
<file path=[Content_Types].xml><?xml version="1.0" encoding="utf-8"?>
<ns0:Types xmlns:ns0="http://schemas.openxmlformats.org/package/2006/content-types">
  <ns0:Default Extension="rels" ContentType="application/vnd.openxmlformats-package.relationships+xml"/>
  <ns0:Default Extension="xml" ContentType="application/xml"/>
  <ns0:Default Extension="vml" ContentType="application/vnd.openxmlformats-officedocument.vmlDrawing"/>
  <ns0:Override PartName="/xl/styles.xml" ContentType="application/vnd.openxmlformats-officedocument.spreadsheetml.styles+xml"/>
  <ns0:Override PartName="/xl/theme/theme1.xml" ContentType="application/vnd.openxmlformats-officedocument.theme+xml"/>
  <ns0:Override PartName="/docProps/core.xml" ContentType="application/vnd.openxmlformats-package.core-properties+xml"/>
  <ns0:Override PartName="/docProps/app.xml" ContentType="application/vnd.openxmlformats-officedocument.extended-properties+xml"/>
  <ns0:Override PartName="/docProps/custom.xml" ContentType="application/vnd.openxmlformats-officedocument.custom-properties+xml"/>
  <ns0:Override PartName="/xl/worksheets/sheet1.xml" ContentType="application/vnd.openxmlformats-officedocument.spreadsheetml.worksheet+xml"/>
  <ns0:Override PartName="/xl/comments/comment1.xml" ContentType="application/vnd.openxmlformats-officedocument.spreadsheetml.comments+xml"/>
  <ns0:Override PartName="/xl/worksheets/sheet2.xml" ContentType="application/vnd.openxmlformats-officedocument.spreadsheetml.worksheet+xml"/>
  <ns0:Override PartName="/xl/worksheets/sheet3.xml" ContentType="application/vnd.openxmlformats-officedocument.spreadsheetml.worksheet+xml"/>
  <ns0:Override PartName="/xl/worksheets/sheet4.xml" ContentType="application/vnd.openxmlformats-officedocument.spreadsheetml.worksheet+xml"/>
  <ns0:Override PartName="/xl/comments/comment2.xml" ContentType="application/vnd.openxmlformats-officedocument.spreadsheetml.comments+xml"/>
  <ns0:Override PartName="/xl/worksheets/sheet5.xml" ContentType="application/vnd.openxmlformats-officedocument.spreadsheetml.worksheet+xml"/>
  <ns0:Override PartName="/xl/comments/comment3.xml" ContentType="application/vnd.openxmlformats-officedocument.spreadsheetml.comments+xml"/>
  <ns0:Override PartName="/xl/worksheets/sheet11.xml" ContentType="application/vnd.openxmlformats-officedocument.spreadsheetml.worksheet+xml"/>
  <ns0:Override PartName="/xl/worksheets/sheet12.xml" ContentType="application/vnd.openxmlformats-officedocument.spreadsheetml.worksheet+xml"/>
  <ns0:Override PartName="/xl/comments/comment9.xml" ContentType="application/vnd.openxmlformats-officedocument.spreadsheetml.comments+xml"/>
  <ns0:Override PartName="/xl/worksheets/sheet13.xml" ContentType="application/vnd.openxmlformats-officedocument.spreadsheetml.worksheet+xml"/>
  <ns0:Override PartName="/xl/comments/comment10.xml" ContentType="application/vnd.openxmlformats-officedocument.spreadsheetml.comments+xml"/>
  <ns0:Override PartName="/xl/worksheets/sheet15.xml" ContentType="application/vnd.openxmlformats-officedocument.spreadsheetml.worksheet+xml"/>
  <ns0:Override PartName="/xl/comments/comment12.xml" ContentType="application/vnd.openxmlformats-officedocument.spreadsheetml.comments+xml"/>
  <ns0:Override PartName="/xl/worksheets/sheet16.xml" ContentType="application/vnd.openxmlformats-officedocument.spreadsheetml.worksheet+xml"/>
  <ns0:Override PartName="/xl/comments/comment13.xml" ContentType="application/vnd.openxmlformats-officedocument.spreadsheetml.comments+xml"/>
  <ns0:Override PartName="/xl/tables/table3.xml" ContentType="application/vnd.openxmlformats-officedocument.spreadsheetml.table+xml"/>
  <ns0:Override PartName="/xl/worksheets/sheet17.xml" ContentType="application/vnd.openxmlformats-officedocument.spreadsheetml.worksheet+xml"/>
  <ns0:Override PartName="/xl/comments/comment14.xml" ContentType="application/vnd.openxmlformats-officedocument.spreadsheetml.comments+xml"/>
  <ns0:Override PartName="/xl/worksheets/sheet18.xml" ContentType="application/vnd.openxmlformats-officedocument.spreadsheetml.worksheet+xml"/>
  <ns0:Override PartName="/xl/comments/comment15.xml" ContentType="application/vnd.openxmlformats-officedocument.spreadsheetml.comments+xml"/>
  <ns0:Override PartName="/xl/worksheets/sheet19.xml" ContentType="application/vnd.openxmlformats-officedocument.spreadsheetml.worksheet+xml"/>
  <ns0:Override PartName="/xl/comments/comment16.xml" ContentType="application/vnd.openxmlformats-officedocument.spreadsheetml.comments+xml"/>
  <ns0:Override PartName="/xl/worksheets/sheet20.xml" ContentType="application/vnd.openxmlformats-officedocument.spreadsheetml.worksheet+xml"/>
  <ns0:Override PartName="/xl/comments/comment17.xml" ContentType="application/vnd.openxmlformats-officedocument.spreadsheetml.comments+xml"/>
  <ns0:Override PartName="/xl/worksheets/sheet21.xml" ContentType="application/vnd.openxmlformats-officedocument.spreadsheetml.worksheet+xml"/>
  <ns0:Override PartName="/xl/comments/comment18.xml" ContentType="application/vnd.openxmlformats-officedocument.spreadsheetml.comments+xml"/>
  <ns0:Override PartName="/xl/worksheets/sheet27.xml" ContentType="application/vnd.openxmlformats-officedocument.spreadsheetml.worksheet+xml"/>
  <ns0:Override PartName="/xl/worksheets/sheet28.xml" ContentType="application/vnd.openxmlformats-officedocument.spreadsheetml.worksheet+xml"/>
  <ns0:Override PartName="/xl/charts/chart6.xml" ContentType="application/vnd.openxmlformats-officedocument.drawingml.chart+xml"/>
  <ns0:Override PartName="/xl/workbook.xml" ContentType="application/vnd.openxmlformats-officedocument.spreadsheetml.sheet.main+xml"/>
  <ns0:Override PartName="/xl/worksheets/sheet29.xml" ContentType="application/vnd.openxmlformats-officedocument.spreadsheetml.worksheet+xml"/>
  <ns0:Override PartName="/xl/worksheets/sheet30.xml" ContentType="application/vnd.openxmlformats-officedocument.spreadsheetml.worksheet+xml"/>
  <ns0:Override PartName="/xl/worksheets/sheet31.xml" ContentType="application/vnd.openxmlformats-officedocument.spreadsheetml.worksheet+xml"/>
  <ns0:Override PartName="/xl/tables/table4.xml" ContentType="application/vnd.openxmlformats-officedocument.spreadsheetml.table+xml"/>
  <ns0:Override PartName="/xl/tables/table5.xml" ContentType="application/vnd.openxmlformats-officedocument.spreadsheetml.table+xml"/>
</ns0: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xmlns:r="http://schemas.openxmlformats.org/officeDocument/2006/relationships">
  <workbookPr/>
  <bookViews>
    <workbookView visibility="visible" minimized="0" showHorizontalScroll="1" showVerticalScroll="1" showSheetTabs="1" xWindow="-108" yWindow="-108" windowWidth="23256" windowHeight="12456" tabRatio="600" firstSheet="0" activeTab="0" autoFilterDateGrouping="1"/>
  </bookViews>
  <sheets>
    <sheet name="① START HERE" sheetId="1" state="visible" r:id="rId1"/>
    <sheet name="Release &amp; QA" sheetId="2" state="visible" r:id="rId2"/>
    <sheet name="Methodology, Controls &amp; Std" sheetId="3" state="visible" r:id="rId3"/>
    <sheet name="Company Profile" sheetId="4" state="visible" r:id="rId4"/>
    <sheet name="Assessment Questions" sheetId="5" state="visible" r:id="rId5"/>
    <sheet name="AS-IS Assessment" sheetId="29" state="visible" r:id="rId34"/>
    <sheet name="Resilience &amp; Risk Scenario" sheetId="30" state="visible" r:id="rId35"/>
    <sheet name="Action Plan &amp; Roadmap" sheetId="31" state="visible" r:id="rId36"/>
    <sheet name="Model Calibration" sheetId="11" state="visible" r:id="rId11"/>
    <sheet name="_DATA_Assessment_Model" sheetId="12" state="hidden" r:id="rId12"/>
    <sheet name="_DATA_Dashboard_Facts" sheetId="13" state="hidden" r:id="rId13"/>
    <sheet name="_ENGINE_Initiatives" sheetId="15" state="veryHidden" r:id="rId15"/>
    <sheet name="_DATA_Mappings" sheetId="16" state="hidden" r:id="rId16"/>
    <sheet name="_ENGINE_Risk" sheetId="17" state="veryHidden" r:id="rId17"/>
    <sheet name="_ENGINE_Crisis" sheetId="18" state="veryHidden" r:id="rId18"/>
    <sheet name="_ENGINE_Strategy" sheetId="19" state="veryHidden" r:id="rId19"/>
    <sheet name="_REF_Model_Content" sheetId="20" state="hidden" r:id="rId20"/>
    <sheet name="_CONFIG_Model_Settings" sheetId="21" state="hidden" r:id="rId21"/>
    <sheet name="_ENGINE_Fuzzy_Posture" sheetId="27" state="hidden" r:id="rId27"/>
    <sheet name="_CONFIG_Risk_Calibration" sheetId="28" state="hidden" r:id="rId28"/>
  </sheets>
  <definedNames>
    <definedName name="cfg_AboveOptimumRatio">_CONFIG_Model_Settings!$B$24</definedName>
    <definedName name="cfg_CrisisHighCut">_CONFIG_Model_Settings!$B$17</definedName>
    <definedName name="cfg_CrisisMedCut">_CONFIG_Model_Settings!$B$18</definedName>
    <definedName name="cfg_IndPriorityHigh">_CONFIG_Model_Settings!$B$19</definedName>
    <definedName name="cfg_IndPriorityLow">_CONFIG_Model_Settings!$B$20</definedName>
    <definedName name="cfg_RiskFitScale">_CONFIG_Model_Settings!$B$26</definedName>
    <definedName name="cfg_RiskSecondaryWeight">_CONFIG_Model_Settings!$B$25</definedName>
    <definedName name="cfg_ScenarioFitScale">_CONFIG_Model_Settings!$B$27</definedName>
    <definedName name="cfg_TimelineBucket1">_CONFIG_Model_Settings!$B$21</definedName>
    <definedName name="cfg_TimelineBucket2">_CONFIG_Model_Settings!$B$22</definedName>
    <definedName name="cfg_TimelineBucket3">_CONFIG_Model_Settings!$B$23</definedName>
    <definedName name="qn_AssessConf">_DATA_Assessment_Model!$AI$5:$AI$428</definedName>
    <definedName name="qn_Comments">_DATA_Assessment_Model!$U$5:$U$428</definedName>
    <definedName name="qn_Coverage">_DATA_Assessment_Model!$AU$5:$AU$428</definedName>
    <definedName name="qn_Domain">_DATA_Assessment_Model!$AW$5:$AW$428</definedName>
    <definedName name="qn_EvidConf">_DATA_Assessment_Model!$AH$5:$AH$428</definedName>
    <definedName name="qn_RiskLevel">_DATA_Assessment_Model!$L$5:$L$428</definedName>
    <definedName name="qn_Score">_DATA_Assessment_Model!$H$5:$H$428</definedName>
    <definedName name="_xlnm._FilterDatabase" localSheetId="3" hidden="1">'Company Profile'!$A$4:$D$36</definedName>
    <definedName name="_xlnm._FilterDatabase" localSheetId="4" hidden="1">'Assessment Questions'!$A$4:$AY$428</definedName>
    <definedName name="_xlnm._FilterDatabase" localSheetId="10" hidden="1">'_DATA_Assessment_Model'!$A$4:$AZ$428</definedName>
    <definedName name="_xlnm._FilterDatabase" localSheetId="14" hidden="1">'_ENGINE_Risk'!$A$4:$AL$428</definedName>
    <definedName name="_xlnm._FilterDatabase" localSheetId="15" hidden="1">'_ENGINE_Crisis'!$A$4:$J$191</definedName>
    <definedName name="_xlnm._FilterDatabase" localSheetId="16" hidden="1">'_ENGINE_Strategy'!$A$4:$AR$18</definedName>
  </definedNames>
  <calcPr calcId="191029" calcMode="auto" fullCalcOnLoad="1" forceFullCalc="1"/>
</workbook>
</file>

<file path=xl/styles.xml><?xml version="1.0" encoding="utf-8"?>
<styleSheet xmlns="http://schemas.openxmlformats.org/spreadsheetml/2006/main">
  <numFmts count="4">
    <numFmt numFmtId="164" formatCode="0.0"/>
    <numFmt numFmtId="165" formatCode="0.000"/>
    <numFmt numFmtId="166" formatCode="0.0000"/>
    <numFmt numFmtId="167" formatCode="yyyy\-mm\-dd"/>
  </numFmts>
  <fonts count="54">
    <font>
      <name val="Carlito"/>
      <sz val="11"/>
    </font>
    <font>
      <name val="Carlito"/>
      <b val="1"/>
      <color rgb="FFFFFFFF"/>
      <sz val="15"/>
    </font>
    <font>
      <name val="Carlito"/>
      <i val="1"/>
      <color rgb="FF1F2937"/>
      <sz val="10"/>
    </font>
    <font>
      <name val="Carlito"/>
      <b val="1"/>
      <color rgb="FFFFFFFF"/>
      <sz val="11"/>
    </font>
    <font>
      <name val="Carlito"/>
      <b val="1"/>
      <color rgb="FFFFFFFF"/>
      <sz val="16"/>
    </font>
    <font>
      <name val="Carlito"/>
      <b val="1"/>
      <color rgb="FFFFFFFF"/>
      <sz val="11"/>
    </font>
    <font>
      <name val="Carlito"/>
      <sz val="9"/>
    </font>
    <font>
      <name val="Carlito"/>
      <b val="1"/>
      <color rgb="FFFFFFFF"/>
      <sz val="14"/>
    </font>
    <font>
      <name val="Carlito"/>
      <b val="1"/>
      <sz val="11"/>
    </font>
    <font>
      <name val="Carlito"/>
      <b val="1"/>
      <color rgb="FFFFFFFF"/>
      <sz val="13"/>
    </font>
    <font>
      <name val="Carlito"/>
      <b val="1"/>
      <color rgb="FF1F4E78"/>
      <sz val="16"/>
    </font>
    <font>
      <name val="Carlito"/>
      <sz val="10"/>
    </font>
    <font>
      <name val="Carlito"/>
      <b val="1"/>
      <color rgb="FF1F4E78"/>
      <sz val="11"/>
    </font>
    <font>
      <name val="Carlito"/>
      <b val="1"/>
      <color rgb="FF1F4E78"/>
      <sz val="12"/>
    </font>
    <font>
      <name val="Carlito"/>
      <b val="1"/>
      <sz val="10"/>
    </font>
    <font>
      <name val="Carlito"/>
      <b val="1"/>
      <color rgb="FFFFFFFF"/>
      <sz val="12"/>
    </font>
    <font>
      <name val="Carlito"/>
      <i val="1"/>
      <color rgb="FF666666"/>
      <sz val="10"/>
    </font>
    <font>
      <name val="Carlito"/>
      <b val="1"/>
      <color rgb="FF1F3864"/>
      <sz val="14"/>
    </font>
    <font>
      <name val="Carlito"/>
      <i val="1"/>
      <color rgb="FF595959"/>
      <sz val="9"/>
    </font>
    <font>
      <name val="Carlito"/>
      <b val="1"/>
      <sz val="9"/>
    </font>
    <font>
      <name val="Carlito"/>
      <b val="1"/>
      <sz val="8"/>
    </font>
    <font>
      <name val="Carlito"/>
      <b val="1"/>
      <color rgb="FFFFFFFF"/>
      <sz val="10"/>
    </font>
    <font>
      <name val="Carlito"/>
      <b val="1"/>
      <color rgb="FF1F3864"/>
      <sz val="11"/>
    </font>
    <font>
      <name val="Carlito"/>
      <b val="1"/>
      <color rgb="FFC00000"/>
      <sz val="11"/>
    </font>
    <font>
      <name val="Carlito"/>
      <color rgb="FF1F3864"/>
      <sz val="9"/>
    </font>
    <font>
      <name val="Carlito"/>
      <sz val="8"/>
    </font>
    <font>
      <name val="Calibri"/>
      <family val="2"/>
      <color theme="10"/>
      <sz val="12"/>
      <scheme val="minor"/>
    </font>
    <font>
      <name val="Carlito"/>
      <i val="1"/>
      <color rgb="FF666666"/>
      <sz val="11"/>
    </font>
    <font>
      <name val="Carlito"/>
      <b val="1"/>
      <color rgb="FF1F4E79"/>
      <sz val="14"/>
    </font>
    <font>
      <name val="Carlito"/>
      <b val="1"/>
      <color rgb="FFFFFFFF"/>
      <sz val="14"/>
    </font>
    <font>
      <name val="Carlito"/>
      <i val="1"/>
      <color rgb="FF334155"/>
      <sz val="10"/>
    </font>
    <font>
      <name val="Carlito"/>
      <b val="1"/>
      <color rgb="FF111827"/>
      <sz val="11"/>
    </font>
    <font>
      <name val="Carlito"/>
      <b val="1"/>
      <color rgb="FFFFFFFF"/>
      <sz val="10"/>
    </font>
    <font>
      <name val="Carlito"/>
      <b val="1"/>
      <color rgb="FF111827"/>
      <sz val="14"/>
    </font>
    <font>
      <name val="Calibri"/>
      <b val="1"/>
      <color rgb="FF1F4E79"/>
      <sz val="14"/>
    </font>
    <font>
      <name val="Calibri"/>
      <i val="1"/>
      <color rgb="FF808080"/>
      <sz val="10"/>
    </font>
    <font>
      <name val="Calibri"/>
      <b val="1"/>
      <color rgb="FF1F4E79"/>
      <sz val="10"/>
      <u val="single"/>
    </font>
    <font>
      <name val="Calibri"/>
      <i val="1"/>
      <color rgb="FF808080"/>
      <sz val="9"/>
    </font>
    <font>
      <name val="Calibri"/>
      <sz val="11"/>
    </font>
    <font>
      <name val="Calibri"/>
      <b val="1"/>
      <color rgb="FF1F4E79"/>
      <sz val="12"/>
    </font>
    <font>
      <name val="Calibri"/>
      <b val="1"/>
      <color rgb="FF808080"/>
      <sz val="9"/>
    </font>
    <font>
      <name val="Calibri"/>
      <b val="1"/>
      <color rgb="FFFFFFFF"/>
      <sz val="11"/>
    </font>
    <font>
      <name val="Calibri"/>
      <color rgb="FF808080"/>
      <sz val="9"/>
    </font>
    <font>
      <name val="Calibri"/>
      <color rgb="FF0563C1"/>
      <sz val="11"/>
      <u val="single"/>
    </font>
    <font>
      <name val="Calibri"/>
      <color rgb="FF000000"/>
      <sz val="9"/>
    </font>
    <font>
      <name val="Calibri"/>
      <b val="1"/>
      <color rgb="FF1F4E79"/>
      <sz val="9"/>
    </font>
    <font>
      <name val="Calibri"/>
      <b val="1"/>
      <sz val="9"/>
    </font>
    <font>
      <name val="Calibri"/>
      <sz val="9"/>
    </font>
    <font>
      <b val="1"/>
      <color rgb="001E3A8A"/>
      <sz val="16"/>
    </font>
    <font>
      <b val="1"/>
      <color rgb="00FFFFFF"/>
    </font>
    <font>
      <b val="1"/>
    </font>
    <font>
      <b val="1"/>
      <color rgb="001E3A8A"/>
    </font>
    <font>
      <b val="1"/>
      <sz val="12"/>
    </font>
    <font>
      <b val="1"/>
      <color rgb="00FFFFFF"/>
      <sz val="14"/>
    </font>
  </fonts>
  <fills count="53">
    <fill>
      <patternFill/>
    </fill>
    <fill>
      <patternFill patternType="gray125"/>
    </fill>
    <fill>
      <patternFill patternType="solid">
        <fgColor rgb="FF24577A"/>
      </patternFill>
    </fill>
    <fill>
      <patternFill patternType="solid">
        <fgColor rgb="FF17324D"/>
      </patternFill>
    </fill>
    <fill>
      <patternFill patternType="solid">
        <fgColor rgb="FF0B1F33"/>
      </patternFill>
    </fill>
    <fill>
      <patternFill patternType="solid">
        <fgColor rgb="FF17365D"/>
      </patternFill>
    </fill>
    <fill>
      <patternFill patternType="solid">
        <fgColor rgb="FFEAF2F8"/>
      </patternFill>
    </fill>
    <fill>
      <patternFill patternType="solid">
        <fgColor rgb="FF1F4E78"/>
      </patternFill>
    </fill>
    <fill>
      <patternFill patternType="solid">
        <fgColor rgb="FF7F1D1D"/>
      </patternFill>
    </fill>
    <fill>
      <patternFill patternType="solid">
        <fgColor rgb="FFFFF7ED"/>
      </patternFill>
    </fill>
    <fill>
      <patternFill patternType="solid">
        <fgColor rgb="FF991B1B"/>
      </patternFill>
    </fill>
    <fill>
      <patternFill patternType="solid">
        <fgColor rgb="FFD9EAF7"/>
      </patternFill>
    </fill>
    <fill>
      <patternFill patternType="solid">
        <fgColor rgb="FFFFFDE7"/>
      </patternFill>
    </fill>
    <fill>
      <patternFill patternType="solid">
        <fgColor rgb="FFEAF3F8"/>
      </patternFill>
    </fill>
    <fill>
      <patternFill patternType="solid">
        <fgColor rgb="FFF8FBFD"/>
      </patternFill>
    </fill>
    <fill>
      <patternFill patternType="solid">
        <fgColor rgb="FFFFF2CC"/>
      </patternFill>
    </fill>
    <fill>
      <patternFill patternType="solid">
        <fgColor rgb="FFEEF5FB"/>
      </patternFill>
    </fill>
    <fill>
      <patternFill patternType="solid">
        <fgColor rgb="FFD9E1F2"/>
      </patternFill>
    </fill>
    <fill>
      <patternFill patternType="solid">
        <fgColor rgb="FF1F3864"/>
      </patternFill>
    </fill>
    <fill>
      <patternFill patternType="solid">
        <fgColor rgb="FFFFE699"/>
      </patternFill>
    </fill>
    <fill>
      <patternFill patternType="solid">
        <fgColor rgb="FFF8CBAD"/>
      </patternFill>
    </fill>
    <fill>
      <patternFill patternType="solid">
        <fgColor rgb="FF1F4E79"/>
      </patternFill>
    </fill>
    <fill>
      <patternFill patternType="solid">
        <fgColor rgb="FFD9EAF7"/>
      </patternFill>
    </fill>
    <fill>
      <patternFill patternType="solid">
        <fgColor rgb="FFE2F0D9"/>
      </patternFill>
    </fill>
    <fill>
      <patternFill patternType="solid">
        <fgColor rgb="FFEAF3F8"/>
      </patternFill>
    </fill>
    <fill>
      <patternFill patternType="solid">
        <fgColor rgb="FF0F766E"/>
      </patternFill>
    </fill>
    <fill>
      <patternFill patternType="solid">
        <fgColor rgb="FF6D28D9"/>
      </patternFill>
    </fill>
    <fill>
      <patternFill patternType="solid">
        <fgColor rgb="FF4F46E5"/>
      </patternFill>
    </fill>
    <fill>
      <patternFill patternType="solid">
        <fgColor rgb="FFB45309"/>
      </patternFill>
    </fill>
    <fill>
      <patternFill patternType="solid">
        <fgColor rgb="FF92400E"/>
      </patternFill>
    </fill>
    <fill>
      <patternFill patternType="solid">
        <fgColor rgb="FF166534"/>
      </patternFill>
    </fill>
    <fill>
      <patternFill patternType="solid">
        <fgColor rgb="FF334155"/>
      </patternFill>
    </fill>
    <fill>
      <patternFill patternType="solid">
        <fgColor rgb="FF6B7280"/>
      </patternFill>
    </fill>
    <fill>
      <patternFill patternType="solid">
        <fgColor rgb="FFE5E7EB"/>
      </patternFill>
    </fill>
    <fill>
      <patternFill patternType="solid">
        <fgColor rgb="FFFFF2CC"/>
      </patternFill>
    </fill>
    <fill>
      <patternFill patternType="solid">
        <fgColor rgb="FFFDE68A"/>
      </patternFill>
    </fill>
    <fill>
      <patternFill patternType="solid">
        <fgColor rgb="FFEDE9FE"/>
      </patternFill>
    </fill>
    <fill>
      <patternFill patternType="solid">
        <fgColor rgb="FFFCE5CD"/>
      </patternFill>
    </fill>
    <fill>
      <patternFill patternType="solid">
        <fgColor rgb="FFFDE9D9"/>
      </patternFill>
    </fill>
    <fill>
      <patternFill patternType="solid">
        <fgColor rgb="FFE0E7FF"/>
      </patternFill>
    </fill>
    <fill>
      <patternFill patternType="solid">
        <fgColor rgb="FFE2E8F0"/>
      </patternFill>
    </fill>
    <fill>
      <patternFill patternType="solid">
        <fgColor rgb="FFD9EAD3"/>
      </patternFill>
    </fill>
    <fill>
      <patternFill patternType="solid">
        <fgColor rgb="FFEAF2F8"/>
      </patternFill>
    </fill>
    <fill>
      <patternFill patternType="solid">
        <fgColor rgb="FF111827"/>
      </patternFill>
    </fill>
    <fill>
      <patternFill patternType="solid">
        <fgColor rgb="FF595959"/>
      </patternFill>
    </fill>
    <fill>
      <patternFill patternType="solid">
        <fgColor rgb="FFBF8F00"/>
      </patternFill>
    </fill>
    <fill>
      <patternFill patternType="solid">
        <fgColor rgb="FF843C0C"/>
      </patternFill>
    </fill>
    <fill>
      <patternFill patternType="solid">
        <fgColor rgb="001E3A8A"/>
      </patternFill>
    </fill>
    <fill>
      <patternFill patternType="solid">
        <fgColor rgb="00DBEAFE"/>
      </patternFill>
    </fill>
    <fill>
      <patternFill patternType="solid">
        <fgColor rgb="001F4E78"/>
      </patternFill>
    </fill>
    <fill>
      <patternFill patternType="solid">
        <fgColor rgb="00C6EFCE"/>
      </patternFill>
    </fill>
    <fill>
      <patternFill patternType="solid">
        <fgColor rgb="00FFEB9C"/>
      </patternFill>
    </fill>
    <fill>
      <patternFill patternType="solid">
        <fgColor rgb="00D9EAD3"/>
      </patternFill>
    </fill>
  </fills>
  <borders count="33">
    <border>
      <left/>
      <right/>
      <top/>
      <bottom/>
      <diagonal/>
    </border>
    <border>
      <left/>
      <right/>
      <top/>
      <bottom/>
      <diagonal/>
    </border>
    <border>
      <left style="thin">
        <color rgb="FFE5E7EB"/>
      </left>
      <right style="thin">
        <color rgb="FFE5E7EB"/>
      </right>
      <top style="thin">
        <color rgb="FFE5E7EB"/>
      </top>
      <bottom style="thin">
        <color rgb="FFE5E7EB"/>
      </bottom>
      <diagonal/>
    </border>
    <border>
      <left style="thin">
        <color rgb="FFD9E2F3"/>
      </left>
      <right style="thin">
        <color rgb="FFD9E2F3"/>
      </right>
      <top style="thin">
        <color rgb="FFD9E2F3"/>
      </top>
      <bottom style="thin">
        <color rgb="FFD9E2F3"/>
      </bottom>
      <diagonal/>
    </border>
    <border>
      <left/>
      <right/>
      <top style="thin">
        <color rgb="FFD9E2F3"/>
      </top>
      <bottom/>
      <diagonal/>
    </border>
    <border>
      <left/>
      <right style="thin">
        <color rgb="FFD9E2F3"/>
      </right>
      <top style="thin">
        <color rgb="FFD9E2F3"/>
      </top>
      <bottom/>
      <diagonal/>
    </border>
    <border>
      <left/>
      <right/>
      <top style="thin">
        <color rgb="FFD9E2F3"/>
      </top>
      <bottom style="thin">
        <color rgb="FFD9E2F3"/>
      </bottom>
      <diagonal/>
    </border>
    <border>
      <left/>
      <right style="thin">
        <color rgb="FFD9E2F3"/>
      </right>
      <top style="thin">
        <color rgb="FFD9E2F3"/>
      </top>
      <bottom style="thin">
        <color rgb="FFD9E2F3"/>
      </bottom>
      <diagonal/>
    </border>
    <border>
      <left style="thin">
        <color rgb="FFD9E2F3"/>
      </left>
      <right/>
      <top/>
      <bottom/>
      <diagonal/>
    </border>
    <border>
      <left/>
      <right style="thin">
        <color rgb="FFD9E2F3"/>
      </right>
      <top/>
      <bottom/>
      <diagonal/>
    </border>
    <border>
      <left style="thin">
        <color rgb="FFD9E2F3"/>
      </left>
      <right/>
      <top/>
      <bottom style="thin">
        <color rgb="FFD9E2F3"/>
      </bottom>
      <diagonal/>
    </border>
    <border>
      <left/>
      <right/>
      <top/>
      <bottom style="thin">
        <color rgb="FFD9E2F3"/>
      </bottom>
      <diagonal/>
    </border>
    <border>
      <left/>
      <right style="thin">
        <color rgb="FFD9E2F3"/>
      </right>
      <top/>
      <bottom style="thin">
        <color rgb="FFD9E2F3"/>
      </bottom>
      <diagonal/>
    </border>
    <border>
      <left style="thin">
        <color rgb="FFBFBFBF"/>
      </left>
      <right style="thin">
        <color rgb="FFBFBFBF"/>
      </right>
      <top style="thin">
        <color rgb="FFBFBFBF"/>
      </top>
      <bottom style="thin">
        <color rgb="FFBFBFBF"/>
      </bottom>
      <diagonal/>
    </border>
    <border>
      <left/>
      <right/>
      <top/>
      <bottom style="thin">
        <color rgb="FFD9E1F2"/>
      </bottom>
      <diagonal/>
    </border>
    <border>
      <left/>
      <right/>
      <top/>
      <bottom/>
      <diagonal/>
    </border>
    <border>
      <left style="thin">
        <color rgb="FFCBD5E1"/>
      </left>
      <right style="thin">
        <color rgb="FFCBD5E1"/>
      </right>
      <top style="medium">
        <color rgb="FF1F4E79"/>
      </top>
      <bottom style="medium">
        <color rgb="FF1F4E79"/>
      </bottom>
      <diagonal/>
    </border>
    <border>
      <left/>
      <right/>
      <top style="medium">
        <color rgb="FF64748B"/>
      </top>
      <bottom style="thin">
        <color rgb="FFCBD5E1"/>
      </bottom>
      <diagonal/>
    </border>
    <border>
      <left/>
      <right/>
      <top style="medium">
        <color rgb="FF64748B"/>
      </top>
      <bottom style="thin">
        <color rgb="FFCBD5E1"/>
      </bottom>
      <diagonal/>
    </border>
    <border>
      <left/>
      <right style="thin">
        <color rgb="FFCBD5E1"/>
      </right>
      <top style="medium">
        <color rgb="FF1F4E79"/>
      </top>
      <bottom/>
      <diagonal/>
    </border>
    <border>
      <left/>
      <right/>
      <top style="medium">
        <color rgb="FF1F4E79"/>
      </top>
      <bottom style="medium">
        <color rgb="FF1F4E79"/>
      </bottom>
      <diagonal/>
    </border>
    <border>
      <left/>
      <right style="thin">
        <color rgb="FFCBD5E1"/>
      </right>
      <top style="medium">
        <color rgb="FF1F4E79"/>
      </top>
      <bottom style="medium">
        <color rgb="FF1F4E79"/>
      </bottom>
      <diagonal/>
    </border>
    <border>
      <left style="thin">
        <color rgb="FFCBD5E1"/>
      </left>
      <right/>
      <top/>
      <bottom style="medium">
        <color rgb="FF1F4E79"/>
      </bottom>
      <diagonal/>
    </border>
    <border>
      <left/>
      <right style="thin">
        <color rgb="FFCBD5E1"/>
      </right>
      <top/>
      <bottom style="medium">
        <color rgb="FF1F4E79"/>
      </bottom>
      <diagonal/>
    </border>
    <border>
      <left/>
      <right/>
      <top style="medium">
        <color rgb="FF1F4E79"/>
      </top>
      <bottom/>
      <diagonal/>
    </border>
    <border>
      <left/>
      <right/>
      <top style="medium">
        <color rgb="FF64748B"/>
      </top>
      <bottom/>
      <diagonal/>
    </border>
    <border>
      <left style="thin">
        <color rgb="FFCBD5E1"/>
      </left>
      <right/>
      <top/>
      <bottom/>
      <diagonal/>
    </border>
    <border>
      <left/>
      <right style="thin">
        <color rgb="FFCBD5E1"/>
      </right>
      <top/>
      <bottom/>
      <diagonal/>
    </border>
    <border>
      <left style="thin">
        <color rgb="00CBD5E1"/>
      </left>
      <right style="thin">
        <color rgb="00CBD5E1"/>
      </right>
      <top style="thin">
        <color rgb="00CBD5E1"/>
      </top>
      <bottom style="thin">
        <color rgb="00CBD5E1"/>
      </bottom>
    </border>
    <border>
      <left/>
      <right/>
      <top style="thin">
        <color rgb="00CBD5E1"/>
      </top>
      <bottom/>
      <diagonal/>
    </border>
    <border>
      <left/>
      <right style="thin">
        <color rgb="00CBD5E1"/>
      </right>
      <top style="thin">
        <color rgb="00CBD5E1"/>
      </top>
      <bottom/>
      <diagonal/>
    </border>
    <border>
      <left/>
      <right/>
      <top style="thin">
        <color rgb="00CBD5E1"/>
      </top>
      <bottom style="thin">
        <color rgb="00CBD5E1"/>
      </bottom>
      <diagonal/>
    </border>
    <border>
      <left/>
      <right style="thin">
        <color rgb="00CBD5E1"/>
      </right>
      <top style="thin">
        <color rgb="00CBD5E1"/>
      </top>
      <bottom style="thin">
        <color rgb="00CBD5E1"/>
      </bottom>
      <diagonal/>
    </border>
  </borders>
  <cellStyleXfs count="2">
    <xf numFmtId="0" fontId="0" fillId="0" borderId="15"/>
    <xf numFmtId="0" fontId="26" fillId="0" borderId="15"/>
  </cellStyleXfs>
  <cellXfs count="324">
    <xf numFmtId="0" fontId="0" fillId="0" borderId="0" pivotButton="0" quotePrefix="0" xfId="0"/>
    <xf numFmtId="0" fontId="0" fillId="0" borderId="1" pivotButton="0" quotePrefix="0" xfId="0"/>
    <xf numFmtId="0" fontId="0" fillId="0" borderId="0" applyAlignment="1" pivotButton="0" quotePrefix="0" xfId="0">
      <alignment wrapText="1"/>
    </xf>
    <xf numFmtId="0" fontId="0" fillId="0" borderId="0" applyAlignment="1" pivotButton="0" quotePrefix="0" xfId="0">
      <alignment vertical="top" wrapText="1"/>
    </xf>
    <xf numFmtId="2" fontId="0" fillId="0" borderId="0" applyAlignment="1" pivotButton="0" quotePrefix="0" xfId="0">
      <alignment vertical="top" wrapText="1"/>
    </xf>
    <xf numFmtId="2" fontId="0" fillId="0" borderId="0" pivotButton="0" quotePrefix="0" xfId="0"/>
    <xf numFmtId="0" fontId="0" fillId="0" borderId="0" applyAlignment="1" pivotButton="0" quotePrefix="0" xfId="0">
      <alignment horizontal="center"/>
    </xf>
    <xf numFmtId="1" fontId="0" fillId="0" borderId="0" applyAlignment="1" pivotButton="0" quotePrefix="0" xfId="0">
      <alignment horizontal="center"/>
    </xf>
    <xf numFmtId="2" fontId="0" fillId="0" borderId="0" applyAlignment="1" pivotButton="0" quotePrefix="0" xfId="0">
      <alignment horizontal="center"/>
    </xf>
    <xf numFmtId="9" fontId="0" fillId="0" borderId="0" applyAlignment="1" pivotButton="0" quotePrefix="0" xfId="0">
      <alignment horizontal="center"/>
    </xf>
    <xf numFmtId="0" fontId="3" fillId="7" borderId="0" applyAlignment="1" pivotButton="0" quotePrefix="0" xfId="0">
      <alignment horizontal="center" vertical="center" wrapText="1"/>
    </xf>
    <xf numFmtId="0" fontId="5" fillId="10" borderId="2" applyAlignment="1" pivotButton="0" quotePrefix="0" xfId="0">
      <alignment vertical="top" wrapText="1"/>
    </xf>
    <xf numFmtId="0" fontId="6" fillId="9" borderId="2" applyAlignment="1" pivotButton="0" quotePrefix="0" xfId="0">
      <alignment vertical="top" wrapText="1"/>
    </xf>
    <xf numFmtId="0" fontId="6" fillId="0" borderId="2" applyAlignment="1" pivotButton="0" quotePrefix="0" xfId="0">
      <alignment vertical="top" wrapText="1"/>
    </xf>
    <xf numFmtId="0" fontId="6" fillId="10" borderId="2" applyAlignment="1" pivotButton="0" quotePrefix="0" xfId="0">
      <alignment vertical="top" wrapText="1"/>
    </xf>
    <xf numFmtId="0" fontId="8" fillId="11" borderId="3" pivotButton="0" quotePrefix="0" xfId="0"/>
    <xf numFmtId="0" fontId="0" fillId="12" borderId="3" pivotButton="0" quotePrefix="0" xfId="0"/>
    <xf numFmtId="0" fontId="0" fillId="0" borderId="3" applyAlignment="1" pivotButton="0" quotePrefix="0" xfId="0">
      <alignment wrapText="1"/>
    </xf>
    <xf numFmtId="0" fontId="8" fillId="11" borderId="0" applyAlignment="1" pivotButton="0" quotePrefix="0" xfId="0">
      <alignment vertical="top" wrapText="1"/>
    </xf>
    <xf numFmtId="0" fontId="0" fillId="12" borderId="0" applyAlignment="1" pivotButton="0" quotePrefix="0" xfId="0">
      <alignment vertical="top" wrapText="1"/>
    </xf>
    <xf numFmtId="0" fontId="8" fillId="11" borderId="3" applyAlignment="1" pivotButton="0" quotePrefix="0" xfId="0">
      <alignment vertical="top" wrapText="1"/>
    </xf>
    <xf numFmtId="0" fontId="0" fillId="12" borderId="3" applyAlignment="1" pivotButton="0" quotePrefix="0" xfId="0">
      <alignment vertical="top" wrapText="1"/>
    </xf>
    <xf numFmtId="0" fontId="0" fillId="0" borderId="3" applyAlignment="1" pivotButton="0" quotePrefix="0" xfId="0">
      <alignment vertical="top" wrapText="1"/>
    </xf>
    <xf numFmtId="0" fontId="5" fillId="7" borderId="3" applyAlignment="1" pivotButton="0" quotePrefix="0" xfId="0">
      <alignment horizontal="center" vertical="center" wrapText="1"/>
    </xf>
    <xf numFmtId="0" fontId="11" fillId="7" borderId="3" applyAlignment="1" pivotButton="0" quotePrefix="0" xfId="0">
      <alignment vertical="top" wrapText="1"/>
    </xf>
    <xf numFmtId="0" fontId="11" fillId="0" borderId="3" applyAlignment="1" pivotButton="0" quotePrefix="0" xfId="0">
      <alignment vertical="top" wrapText="1"/>
    </xf>
    <xf numFmtId="0" fontId="12" fillId="11" borderId="3" applyAlignment="1" pivotButton="0" quotePrefix="0" xfId="0">
      <alignment horizontal="center" vertical="center" wrapText="1"/>
    </xf>
    <xf numFmtId="2" fontId="12" fillId="11" borderId="3" applyAlignment="1" pivotButton="0" quotePrefix="0" xfId="0">
      <alignment horizontal="center" vertical="center" wrapText="1"/>
    </xf>
    <xf numFmtId="2" fontId="11" fillId="0" borderId="3" applyAlignment="1" pivotButton="0" quotePrefix="0" xfId="0">
      <alignment vertical="top" wrapText="1"/>
    </xf>
    <xf numFmtId="0" fontId="5" fillId="7" borderId="3" pivotButton="0" quotePrefix="0" xfId="0"/>
    <xf numFmtId="0" fontId="0" fillId="0" borderId="3" pivotButton="0" quotePrefix="0" xfId="0"/>
    <xf numFmtId="0" fontId="14" fillId="0" borderId="3" applyAlignment="1" pivotButton="0" quotePrefix="0" xfId="0">
      <alignment vertical="top" wrapText="1"/>
    </xf>
    <xf numFmtId="0" fontId="11" fillId="12" borderId="3" applyAlignment="1" pivotButton="0" quotePrefix="0" xfId="0">
      <alignment vertical="top" wrapText="1"/>
    </xf>
    <xf numFmtId="0" fontId="11" fillId="14" borderId="3" applyAlignment="1" pivotButton="0" quotePrefix="0" xfId="0">
      <alignment vertical="top" wrapText="1"/>
    </xf>
    <xf numFmtId="0" fontId="14" fillId="0" borderId="3" applyAlignment="1" pivotButton="0" quotePrefix="0" xfId="0">
      <alignment wrapText="1"/>
    </xf>
    <xf numFmtId="0" fontId="11" fillId="12" borderId="3" applyAlignment="1" pivotButton="0" quotePrefix="0" xfId="0">
      <alignment wrapText="1"/>
    </xf>
    <xf numFmtId="0" fontId="11" fillId="0" borderId="3" applyAlignment="1" pivotButton="0" quotePrefix="0" xfId="0">
      <alignment wrapText="1"/>
    </xf>
    <xf numFmtId="9" fontId="11" fillId="0" borderId="3" applyAlignment="1" pivotButton="0" quotePrefix="0" xfId="0">
      <alignment wrapText="1"/>
    </xf>
    <xf numFmtId="9" fontId="5" fillId="7" borderId="3" applyAlignment="1" pivotButton="0" quotePrefix="0" xfId="0">
      <alignment horizontal="center" vertical="center" wrapText="1"/>
    </xf>
    <xf numFmtId="9" fontId="11" fillId="14" borderId="3" applyAlignment="1" pivotButton="0" quotePrefix="0" xfId="0">
      <alignment vertical="top" wrapText="1"/>
    </xf>
    <xf numFmtId="9" fontId="11" fillId="0" borderId="3" applyAlignment="1" pivotButton="0" quotePrefix="0" xfId="0">
      <alignment vertical="top" wrapText="1"/>
    </xf>
    <xf numFmtId="0" fontId="8" fillId="0" borderId="3" pivotButton="0" quotePrefix="0" xfId="0"/>
    <xf numFmtId="0" fontId="0" fillId="13" borderId="3" pivotButton="0" quotePrefix="0" xfId="0"/>
    <xf numFmtId="0" fontId="0" fillId="14" borderId="3" applyAlignment="1" pivotButton="0" quotePrefix="0" xfId="0">
      <alignment vertical="top" wrapText="1"/>
    </xf>
    <xf numFmtId="0" fontId="5" fillId="7" borderId="3" applyAlignment="1" pivotButton="0" quotePrefix="0" xfId="0">
      <alignment vertical="top" wrapText="1"/>
    </xf>
    <xf numFmtId="0" fontId="8" fillId="0" borderId="3" applyAlignment="1" pivotButton="0" quotePrefix="0" xfId="0">
      <alignment vertical="top" wrapText="1"/>
    </xf>
    <xf numFmtId="0" fontId="0" fillId="15" borderId="3" applyAlignment="1" pivotButton="0" quotePrefix="0" xfId="0">
      <alignment vertical="top" wrapText="1"/>
    </xf>
    <xf numFmtId="9" fontId="11" fillId="12" borderId="3" applyAlignment="1" pivotButton="0" quotePrefix="0" xfId="0">
      <alignment vertical="top" wrapText="1"/>
    </xf>
    <xf numFmtId="49" fontId="12" fillId="16" borderId="3" applyAlignment="1" pivotButton="0" quotePrefix="0" xfId="0">
      <alignment horizontal="center" vertical="center" wrapText="1"/>
    </xf>
    <xf numFmtId="0" fontId="12" fillId="16" borderId="3" applyAlignment="1" pivotButton="0" quotePrefix="0" xfId="0">
      <alignment horizontal="center" vertical="center" wrapText="1"/>
    </xf>
    <xf numFmtId="0" fontId="0" fillId="0" borderId="3" applyAlignment="1" pivotButton="0" quotePrefix="0" xfId="0">
      <alignment horizontal="center" vertical="center" wrapText="1"/>
    </xf>
    <xf numFmtId="0" fontId="12" fillId="11" borderId="3" applyAlignment="1" pivotButton="0" quotePrefix="0" xfId="0">
      <alignment vertical="top" wrapText="1"/>
    </xf>
    <xf numFmtId="2" fontId="0" fillId="0" borderId="3" applyAlignment="1" pivotButton="0" quotePrefix="0" xfId="0">
      <alignment horizontal="center" vertical="center"/>
    </xf>
    <xf numFmtId="164" fontId="0" fillId="0" borderId="3" applyAlignment="1" pivotButton="0" quotePrefix="0" xfId="0">
      <alignment horizontal="center" vertical="center"/>
    </xf>
    <xf numFmtId="17" fontId="5" fillId="7" borderId="3" applyAlignment="1" pivotButton="0" quotePrefix="0" xfId="0">
      <alignment horizontal="center" vertical="center" wrapText="1"/>
    </xf>
    <xf numFmtId="1" fontId="0" fillId="0" borderId="3" applyAlignment="1" pivotButton="0" quotePrefix="0" xfId="0">
      <alignment horizontal="center" vertical="center"/>
    </xf>
    <xf numFmtId="0" fontId="0" fillId="0" borderId="3" applyAlignment="1" pivotButton="0" quotePrefix="0" xfId="0">
      <alignment horizontal="center" vertical="center"/>
    </xf>
    <xf numFmtId="0" fontId="12" fillId="0" borderId="3" applyAlignment="1" pivotButton="0" quotePrefix="0" xfId="0">
      <alignment vertical="top" wrapText="1"/>
    </xf>
    <xf numFmtId="0" fontId="18" fillId="0" borderId="0" pivotButton="0" quotePrefix="0" xfId="0"/>
    <xf numFmtId="0" fontId="19" fillId="17" borderId="0" pivotButton="0" quotePrefix="0" xfId="0"/>
    <xf numFmtId="0" fontId="20" fillId="17" borderId="13" applyAlignment="1" pivotButton="0" quotePrefix="0" xfId="0">
      <alignment horizontal="center" textRotation="90"/>
    </xf>
    <xf numFmtId="0" fontId="20" fillId="0" borderId="0" applyAlignment="1" pivotButton="0" quotePrefix="0" xfId="0">
      <alignment horizontal="center" wrapText="1"/>
    </xf>
    <xf numFmtId="0" fontId="20" fillId="17" borderId="13" pivotButton="0" quotePrefix="0" xfId="0"/>
    <xf numFmtId="2" fontId="0" fillId="0" borderId="13" applyAlignment="1" pivotButton="0" quotePrefix="0" xfId="0">
      <alignment horizontal="center"/>
    </xf>
    <xf numFmtId="0" fontId="20" fillId="0" borderId="0" pivotButton="0" quotePrefix="0" xfId="0"/>
    <xf numFmtId="0" fontId="8" fillId="0" borderId="0" pivotButton="0" quotePrefix="0" xfId="0"/>
    <xf numFmtId="0" fontId="21" fillId="18" borderId="0" pivotButton="0" quotePrefix="0" xfId="0"/>
    <xf numFmtId="0" fontId="0" fillId="15" borderId="13" pivotButton="0" quotePrefix="0" xfId="0"/>
    <xf numFmtId="0" fontId="21" fillId="18" borderId="13" applyAlignment="1" pivotButton="0" quotePrefix="0" xfId="0">
      <alignment horizontal="center" vertical="center" wrapText="1"/>
    </xf>
    <xf numFmtId="2" fontId="0" fillId="0" borderId="13" pivotButton="0" quotePrefix="0" xfId="0"/>
    <xf numFmtId="0" fontId="6" fillId="0" borderId="0" pivotButton="0" quotePrefix="0" xfId="0"/>
    <xf numFmtId="0" fontId="8" fillId="0" borderId="13" applyAlignment="1" pivotButton="0" quotePrefix="0" xfId="0">
      <alignment vertical="top" wrapText="1"/>
    </xf>
    <xf numFmtId="0" fontId="0" fillId="0" borderId="13" applyAlignment="1" pivotButton="0" quotePrefix="0" xfId="0">
      <alignment vertical="top" wrapText="1"/>
    </xf>
    <xf numFmtId="0" fontId="24" fillId="0" borderId="13" applyAlignment="1" pivotButton="0" quotePrefix="0" xfId="0">
      <alignment vertical="top" wrapText="1"/>
    </xf>
    <xf numFmtId="165" fontId="0" fillId="0" borderId="0" pivotButton="0" quotePrefix="0" xfId="0"/>
    <xf numFmtId="166" fontId="0" fillId="0" borderId="0" pivotButton="0" quotePrefix="0" xfId="0"/>
    <xf numFmtId="0" fontId="6" fillId="0" borderId="13" pivotButton="0" quotePrefix="0" xfId="0"/>
    <xf numFmtId="0" fontId="25" fillId="0" borderId="13" pivotButton="0" quotePrefix="0" xfId="0"/>
    <xf numFmtId="166" fontId="0" fillId="0" borderId="13" pivotButton="0" quotePrefix="0" xfId="0"/>
    <xf numFmtId="165" fontId="0" fillId="0" borderId="13" pivotButton="0" quotePrefix="0" xfId="0"/>
    <xf numFmtId="0" fontId="23" fillId="0" borderId="0" applyAlignment="1" pivotButton="0" quotePrefix="0" xfId="0">
      <alignment horizontal="center"/>
    </xf>
    <xf numFmtId="165" fontId="22" fillId="0" borderId="0" pivotButton="0" quotePrefix="0" xfId="0"/>
    <xf numFmtId="2" fontId="22" fillId="0" borderId="0" pivotButton="0" quotePrefix="0" xfId="0"/>
    <xf numFmtId="0" fontId="22" fillId="0" borderId="0" pivotButton="0" quotePrefix="0" xfId="0"/>
    <xf numFmtId="0" fontId="0" fillId="20" borderId="13" pivotButton="0" quotePrefix="0" xfId="0"/>
    <xf numFmtId="0" fontId="0" fillId="19" borderId="0" applyAlignment="1" pivotButton="0" quotePrefix="0" xfId="0">
      <alignment vertical="top" wrapText="1"/>
    </xf>
    <xf numFmtId="0" fontId="13" fillId="0" borderId="1" pivotButton="0" quotePrefix="0" xfId="0"/>
    <xf numFmtId="0" fontId="15" fillId="7" borderId="1" pivotButton="0" quotePrefix="0" xfId="0"/>
    <xf numFmtId="0" fontId="0" fillId="0" borderId="7" pivotButton="0" quotePrefix="0" xfId="0"/>
    <xf numFmtId="0" fontId="5" fillId="7" borderId="1" pivotButton="0" quotePrefix="0" xfId="0"/>
    <xf numFmtId="0" fontId="12" fillId="0" borderId="3" pivotButton="0" quotePrefix="0" xfId="0"/>
    <xf numFmtId="0" fontId="0" fillId="0" borderId="6" pivotButton="0" quotePrefix="0" xfId="0"/>
    <xf numFmtId="0" fontId="16" fillId="0" borderId="3" applyAlignment="1" pivotButton="0" quotePrefix="0" xfId="0">
      <alignment vertical="top" wrapText="1"/>
    </xf>
    <xf numFmtId="0" fontId="10" fillId="0" borderId="3" pivotButton="0" quotePrefix="0" xfId="0"/>
    <xf numFmtId="0" fontId="0" fillId="0" borderId="1" applyAlignment="1" pivotButton="0" quotePrefix="0" xfId="0">
      <alignment wrapText="1"/>
    </xf>
    <xf numFmtId="0" fontId="26" fillId="0" borderId="14" applyAlignment="1" pivotButton="0" quotePrefix="0" xfId="1">
      <alignment vertical="top" wrapText="1"/>
    </xf>
    <xf numFmtId="0" fontId="0" fillId="0" borderId="14" applyAlignment="1" pivotButton="0" quotePrefix="0" xfId="0">
      <alignment vertical="top" wrapText="1"/>
    </xf>
    <xf numFmtId="0" fontId="27" fillId="0" borderId="0" applyAlignment="1" pivotButton="0" quotePrefix="0" xfId="0">
      <alignment wrapText="1"/>
    </xf>
    <xf numFmtId="0" fontId="26" fillId="0" borderId="1" pivotButton="0" quotePrefix="0" xfId="1"/>
    <xf numFmtId="0" fontId="1" fillId="3" borderId="1" applyAlignment="1" pivotButton="0" quotePrefix="0" xfId="0">
      <alignment horizontal="left" vertical="center"/>
    </xf>
    <xf numFmtId="0" fontId="2" fillId="6" borderId="1" applyAlignment="1" pivotButton="0" quotePrefix="0" xfId="0">
      <alignment vertical="top" wrapText="1"/>
    </xf>
    <xf numFmtId="0" fontId="5" fillId="2" borderId="1" applyAlignment="1" pivotButton="0" quotePrefix="0" xfId="0">
      <alignment horizontal="center" wrapText="1"/>
    </xf>
    <xf numFmtId="0" fontId="7" fillId="4" borderId="1" applyAlignment="1" pivotButton="0" quotePrefix="0" xfId="0">
      <alignment horizontal="left" vertical="center" wrapText="1"/>
    </xf>
    <xf numFmtId="0" fontId="8" fillId="0" borderId="1" applyAlignment="1" pivotButton="0" quotePrefix="0" xfId="0">
      <alignment wrapText="1"/>
    </xf>
    <xf numFmtId="0" fontId="8" fillId="6" borderId="1" applyAlignment="1" pivotButton="0" quotePrefix="0" xfId="0">
      <alignment vertical="top" wrapText="1"/>
    </xf>
    <xf numFmtId="0" fontId="0" fillId="0" borderId="1" applyAlignment="1" pivotButton="0" quotePrefix="0" xfId="0">
      <alignment vertical="top" wrapText="1"/>
    </xf>
    <xf numFmtId="0" fontId="17" fillId="0" borderId="1" pivotButton="0" quotePrefix="0" xfId="0"/>
    <xf numFmtId="0" fontId="5" fillId="2" borderId="1" applyAlignment="1" pivotButton="0" quotePrefix="0" xfId="0">
      <alignment horizontal="center"/>
    </xf>
    <xf numFmtId="9" fontId="0" fillId="0" borderId="1" applyAlignment="1" pivotButton="0" quotePrefix="0" xfId="0">
      <alignment wrapText="1"/>
    </xf>
    <xf numFmtId="2" fontId="0" fillId="0" borderId="1" applyAlignment="1" pivotButton="0" quotePrefix="0" xfId="0">
      <alignment wrapText="1"/>
    </xf>
    <xf numFmtId="2" fontId="0" fillId="0" borderId="1" pivotButton="0" quotePrefix="0" xfId="0"/>
    <xf numFmtId="0" fontId="5" fillId="3" borderId="1" applyAlignment="1" pivotButton="0" quotePrefix="0" xfId="0">
      <alignment horizontal="center" vertical="center" wrapText="1"/>
    </xf>
    <xf numFmtId="0" fontId="0" fillId="0" borderId="1" applyAlignment="1" pivotButton="0" quotePrefix="0" xfId="0">
      <alignment vertical="center"/>
    </xf>
    <xf numFmtId="2" fontId="0" fillId="0" borderId="1" applyAlignment="1" pivotButton="0" quotePrefix="0" xfId="0">
      <alignment horizontal="center" vertical="center"/>
    </xf>
    <xf numFmtId="9" fontId="0" fillId="0" borderId="1" applyAlignment="1" pivotButton="0" quotePrefix="0" xfId="0">
      <alignment horizontal="center" vertical="center"/>
    </xf>
    <xf numFmtId="1" fontId="0" fillId="0" borderId="1" applyAlignment="1" pivotButton="0" quotePrefix="0" xfId="0">
      <alignment horizontal="center" vertical="center"/>
    </xf>
    <xf numFmtId="0" fontId="0" fillId="0" borderId="1" applyAlignment="1" pivotButton="0" quotePrefix="0" xfId="0">
      <alignment vertical="center" wrapText="1"/>
    </xf>
    <xf numFmtId="2" fontId="0" fillId="0" borderId="1" applyAlignment="1" pivotButton="0" quotePrefix="0" xfId="0">
      <alignment horizontal="center" vertical="center" wrapText="1"/>
    </xf>
    <xf numFmtId="9" fontId="0" fillId="0" borderId="1" applyAlignment="1" pivotButton="0" quotePrefix="0" xfId="0">
      <alignment horizontal="center" vertical="center" wrapText="1"/>
    </xf>
    <xf numFmtId="2" fontId="0" fillId="0" borderId="1" applyAlignment="1" pivotButton="0" quotePrefix="0" xfId="0">
      <alignment vertical="center"/>
    </xf>
    <xf numFmtId="0" fontId="21" fillId="18" borderId="0" applyAlignment="1" pivotButton="0" quotePrefix="0" xfId="0">
      <alignment horizontal="center" vertical="center" wrapText="1"/>
    </xf>
    <xf numFmtId="0" fontId="28" fillId="24" borderId="0" applyAlignment="1" pivotButton="0" quotePrefix="0" xfId="0">
      <alignment vertical="center"/>
    </xf>
    <xf numFmtId="0" fontId="31" fillId="22" borderId="17" applyAlignment="1" pivotButton="0" quotePrefix="0" xfId="0">
      <alignment horizontal="left" vertical="center" wrapText="1"/>
    </xf>
    <xf numFmtId="0" fontId="32" fillId="21" borderId="16" applyAlignment="1" pivotButton="0" quotePrefix="0" xfId="0">
      <alignment horizontal="center" vertical="center" wrapText="1"/>
    </xf>
    <xf numFmtId="0" fontId="31" fillId="34" borderId="17" applyAlignment="1" pivotButton="0" quotePrefix="0" xfId="0">
      <alignment horizontal="left" vertical="center" wrapText="1"/>
    </xf>
    <xf numFmtId="0" fontId="30" fillId="33" borderId="0" applyAlignment="1" pivotButton="0" quotePrefix="0" xfId="0">
      <alignment vertical="center" wrapText="1"/>
    </xf>
    <xf numFmtId="0" fontId="29" fillId="26" borderId="16" applyAlignment="1" pivotButton="0" quotePrefix="0" xfId="0">
      <alignment horizontal="center" vertical="center" wrapText="1"/>
    </xf>
    <xf numFmtId="0" fontId="31" fillId="36" borderId="17" applyAlignment="1" pivotButton="0" quotePrefix="0" xfId="0">
      <alignment horizontal="left" vertical="center" wrapText="1"/>
    </xf>
    <xf numFmtId="0" fontId="32" fillId="26" borderId="16" applyAlignment="1" pivotButton="0" quotePrefix="0" xfId="0">
      <alignment horizontal="center" vertical="center" wrapText="1"/>
    </xf>
    <xf numFmtId="0" fontId="31" fillId="36" borderId="17" applyAlignment="1" pivotButton="0" quotePrefix="0" xfId="1">
      <alignment horizontal="left" vertical="center" wrapText="1"/>
    </xf>
    <xf numFmtId="0" fontId="30" fillId="33" borderId="1" applyAlignment="1" pivotButton="0" quotePrefix="0" xfId="0">
      <alignment vertical="center" wrapText="1"/>
    </xf>
    <xf numFmtId="0" fontId="32" fillId="25" borderId="16" applyAlignment="1" pivotButton="0" quotePrefix="0" xfId="0">
      <alignment horizontal="center" vertical="center" wrapText="1"/>
    </xf>
    <xf numFmtId="0" fontId="11" fillId="41" borderId="3" applyAlignment="1" pivotButton="0" quotePrefix="0" xfId="0">
      <alignment vertical="top" wrapText="1"/>
    </xf>
    <xf numFmtId="167" fontId="11" fillId="41" borderId="3" applyAlignment="1" pivotButton="0" quotePrefix="0" xfId="0">
      <alignment vertical="top" wrapText="1"/>
    </xf>
    <xf numFmtId="0" fontId="0" fillId="41" borderId="0" pivotButton="0" quotePrefix="0" xfId="0"/>
    <xf numFmtId="0" fontId="0" fillId="41" borderId="3" pivotButton="0" quotePrefix="0" xfId="0"/>
    <xf numFmtId="0" fontId="5" fillId="41" borderId="3" applyAlignment="1" pivotButton="0" quotePrefix="0" xfId="0">
      <alignment horizontal="center" vertical="center" wrapText="1"/>
    </xf>
    <xf numFmtId="0" fontId="32" fillId="41" borderId="16" applyAlignment="1" pivotButton="0" quotePrefix="0" xfId="0">
      <alignment horizontal="center" vertical="center" wrapText="1"/>
    </xf>
    <xf numFmtId="0" fontId="29" fillId="25" borderId="16" applyAlignment="1" pivotButton="0" quotePrefix="0" xfId="0">
      <alignment horizontal="center" vertical="center" wrapText="1"/>
    </xf>
    <xf numFmtId="0" fontId="29" fillId="32" borderId="16" applyAlignment="1" pivotButton="0" quotePrefix="0" xfId="0">
      <alignment horizontal="center" vertical="center" wrapText="1"/>
    </xf>
    <xf numFmtId="0" fontId="33" fillId="37" borderId="17" applyAlignment="1" pivotButton="0" quotePrefix="0" xfId="0">
      <alignment horizontal="left" vertical="center" wrapText="1"/>
    </xf>
    <xf numFmtId="0" fontId="32" fillId="28" borderId="16" applyAlignment="1" pivotButton="0" quotePrefix="0" xfId="0">
      <alignment horizontal="center" vertical="center" wrapText="1"/>
    </xf>
    <xf numFmtId="0" fontId="31" fillId="37" borderId="17" applyAlignment="1" pivotButton="0" quotePrefix="0" xfId="0">
      <alignment horizontal="left" vertical="center" wrapText="1"/>
    </xf>
    <xf numFmtId="0" fontId="33" fillId="38" borderId="17" applyAlignment="1" pivotButton="0" quotePrefix="0" xfId="0">
      <alignment horizontal="left" vertical="center" wrapText="1"/>
    </xf>
    <xf numFmtId="0" fontId="32" fillId="29" borderId="16" applyAlignment="1" pivotButton="0" quotePrefix="0" xfId="0">
      <alignment horizontal="center" vertical="center" wrapText="1"/>
    </xf>
    <xf numFmtId="0" fontId="31" fillId="38" borderId="17" applyAlignment="1" pivotButton="0" quotePrefix="0" xfId="0">
      <alignment horizontal="left" vertical="center" wrapText="1"/>
    </xf>
    <xf numFmtId="0" fontId="33" fillId="23" borderId="17" applyAlignment="1" pivotButton="0" quotePrefix="0" xfId="0">
      <alignment horizontal="left" vertical="center" wrapText="1"/>
    </xf>
    <xf numFmtId="0" fontId="32" fillId="30" borderId="16" applyAlignment="1" pivotButton="0" quotePrefix="0" xfId="0">
      <alignment horizontal="center" vertical="center" wrapText="1"/>
    </xf>
    <xf numFmtId="0" fontId="31" fillId="23" borderId="17" applyAlignment="1" pivotButton="0" quotePrefix="0" xfId="0">
      <alignment horizontal="left" vertical="center" wrapText="1"/>
    </xf>
    <xf numFmtId="2" fontId="32" fillId="30" borderId="16" applyAlignment="1" pivotButton="0" quotePrefix="0" xfId="0">
      <alignment horizontal="center" vertical="center" wrapText="1"/>
    </xf>
    <xf numFmtId="2" fontId="31" fillId="23" borderId="17" applyAlignment="1" pivotButton="0" quotePrefix="0" xfId="0">
      <alignment horizontal="left" vertical="center" wrapText="1"/>
    </xf>
    <xf numFmtId="0" fontId="33" fillId="39" borderId="17" applyAlignment="1" pivotButton="0" quotePrefix="0" xfId="0">
      <alignment horizontal="left" vertical="center" wrapText="1"/>
    </xf>
    <xf numFmtId="0" fontId="32" fillId="27" borderId="16" applyAlignment="1" pivotButton="0" quotePrefix="0" xfId="0">
      <alignment horizontal="center" vertical="center" wrapText="1"/>
    </xf>
    <xf numFmtId="0" fontId="31" fillId="39" borderId="17" applyAlignment="1" pivotButton="0" quotePrefix="0" xfId="0">
      <alignment horizontal="left" vertical="center" wrapText="1"/>
    </xf>
    <xf numFmtId="0" fontId="33" fillId="34" borderId="17" applyAlignment="1" pivotButton="0" quotePrefix="0" xfId="0">
      <alignment horizontal="left" vertical="center" wrapText="1"/>
    </xf>
    <xf numFmtId="0" fontId="32" fillId="35" borderId="16" applyAlignment="1" pivotButton="0" quotePrefix="0" xfId="0">
      <alignment horizontal="center" vertical="center" wrapText="1"/>
    </xf>
    <xf numFmtId="2" fontId="0" fillId="42" borderId="13" applyAlignment="1" pivotButton="0" quotePrefix="0" xfId="0">
      <alignment horizontal="center"/>
    </xf>
    <xf numFmtId="2" fontId="0" fillId="33" borderId="13" applyAlignment="1" pivotButton="0" quotePrefix="0" xfId="0">
      <alignment horizontal="center"/>
    </xf>
    <xf numFmtId="2" fontId="0" fillId="41" borderId="13" applyAlignment="1" pivotButton="0" quotePrefix="0" xfId="0">
      <alignment horizontal="center"/>
    </xf>
    <xf numFmtId="165" fontId="31" fillId="34" borderId="17" applyAlignment="1" pivotButton="0" quotePrefix="0" xfId="0">
      <alignment horizontal="left" vertical="center" wrapText="1"/>
    </xf>
    <xf numFmtId="166" fontId="31" fillId="34" borderId="17" applyAlignment="1" pivotButton="0" quotePrefix="0" xfId="0">
      <alignment horizontal="left" vertical="center" wrapText="1"/>
    </xf>
    <xf numFmtId="2" fontId="31" fillId="34" borderId="17" applyAlignment="1" pivotButton="0" quotePrefix="0" xfId="0">
      <alignment horizontal="left" vertical="center" wrapText="1"/>
    </xf>
    <xf numFmtId="166" fontId="32" fillId="35" borderId="16" applyAlignment="1" pivotButton="0" quotePrefix="0" xfId="0">
      <alignment horizontal="center" vertical="center" wrapText="1"/>
    </xf>
    <xf numFmtId="2" fontId="32" fillId="35" borderId="16" applyAlignment="1" pivotButton="0" quotePrefix="0" xfId="0">
      <alignment horizontal="center" vertical="center" wrapText="1"/>
    </xf>
    <xf numFmtId="165" fontId="32" fillId="35" borderId="16" applyAlignment="1" pivotButton="0" quotePrefix="0" xfId="0">
      <alignment horizontal="center" vertical="center" wrapText="1"/>
    </xf>
    <xf numFmtId="0" fontId="29" fillId="43" borderId="16" applyAlignment="1" pivotButton="0" quotePrefix="0" xfId="0">
      <alignment horizontal="center" vertical="center" wrapText="1"/>
    </xf>
    <xf numFmtId="0" fontId="32" fillId="31" borderId="16" applyAlignment="1" pivotButton="0" quotePrefix="0" xfId="0">
      <alignment horizontal="center" vertical="center" wrapText="1"/>
    </xf>
    <xf numFmtId="0" fontId="31" fillId="40" borderId="17" applyAlignment="1" pivotButton="0" quotePrefix="0" xfId="0">
      <alignment horizontal="left" vertical="center" wrapText="1"/>
    </xf>
    <xf numFmtId="0" fontId="30" fillId="33" borderId="3" applyAlignment="1" pivotButton="0" quotePrefix="0" xfId="0">
      <alignment vertical="center" wrapText="1"/>
    </xf>
    <xf numFmtId="0" fontId="34" fillId="0" borderId="16" pivotButton="0" quotePrefix="0" xfId="0"/>
    <xf numFmtId="0" fontId="38" fillId="0" borderId="16" pivotButton="0" quotePrefix="0" xfId="0"/>
    <xf numFmtId="0" fontId="35" fillId="0" borderId="15" pivotButton="0" quotePrefix="0" xfId="0"/>
    <xf numFmtId="0" fontId="38" fillId="0" borderId="15" pivotButton="0" quotePrefix="0" xfId="0"/>
    <xf numFmtId="0" fontId="39" fillId="0" borderId="17" pivotButton="0" quotePrefix="0" xfId="0"/>
    <xf numFmtId="0" fontId="38" fillId="0" borderId="17" pivotButton="0" quotePrefix="0" xfId="0"/>
    <xf numFmtId="0" fontId="40" fillId="0" borderId="16" pivotButton="0" quotePrefix="0" xfId="0"/>
    <xf numFmtId="0" fontId="42" fillId="0" borderId="15" pivotButton="0" quotePrefix="0" xfId="0"/>
    <xf numFmtId="0" fontId="43" fillId="0" borderId="15" pivotButton="0" quotePrefix="0" xfId="0"/>
    <xf numFmtId="0" fontId="44" fillId="0" borderId="15" pivotButton="0" quotePrefix="0" xfId="0"/>
    <xf numFmtId="0" fontId="42" fillId="0" borderId="17" pivotButton="0" quotePrefix="0" xfId="0"/>
    <xf numFmtId="0" fontId="43" fillId="0" borderId="17" pivotButton="0" quotePrefix="0" xfId="0"/>
    <xf numFmtId="0" fontId="44" fillId="0" borderId="17" pivotButton="0" quotePrefix="0" xfId="0"/>
    <xf numFmtId="0" fontId="37" fillId="0" borderId="15" pivotButton="0" quotePrefix="0" xfId="0"/>
    <xf numFmtId="0" fontId="37" fillId="0" borderId="17" pivotButton="0" quotePrefix="0" xfId="0"/>
    <xf numFmtId="0" fontId="39" fillId="0" borderId="15" pivotButton="0" quotePrefix="0" xfId="0"/>
    <xf numFmtId="0" fontId="45" fillId="0" borderId="17" pivotButton="0" quotePrefix="0" xfId="0"/>
    <xf numFmtId="0" fontId="46" fillId="0" borderId="17" pivotButton="0" quotePrefix="0" xfId="0"/>
    <xf numFmtId="0" fontId="47" fillId="0" borderId="17" pivotButton="0" quotePrefix="0" xfId="0"/>
    <xf numFmtId="0" fontId="45" fillId="0" borderId="15" pivotButton="0" quotePrefix="0" xfId="0"/>
    <xf numFmtId="0" fontId="46" fillId="0" borderId="15" pivotButton="0" quotePrefix="0" xfId="0"/>
    <xf numFmtId="0" fontId="47" fillId="0" borderId="15" pivotButton="0" quotePrefix="0" xfId="0"/>
    <xf numFmtId="0" fontId="45" fillId="0" borderId="0" pivotButton="0" quotePrefix="0" xfId="0"/>
    <xf numFmtId="0" fontId="46" fillId="0" borderId="0" pivotButton="0" quotePrefix="0" xfId="0"/>
    <xf numFmtId="0" fontId="47" fillId="0" borderId="0" pivotButton="0" quotePrefix="0" xfId="0"/>
    <xf numFmtId="0" fontId="38" fillId="0" borderId="0" pivotButton="0" quotePrefix="0" xfId="0"/>
    <xf numFmtId="0" fontId="37" fillId="0" borderId="0" pivotButton="0" quotePrefix="0" xfId="0"/>
    <xf numFmtId="0" fontId="35" fillId="33" borderId="0" applyAlignment="1" pivotButton="0" quotePrefix="0" xfId="0">
      <alignment vertical="center" wrapText="1"/>
    </xf>
    <xf numFmtId="0" fontId="36" fillId="0" borderId="0" pivotButton="0" quotePrefix="0" xfId="0"/>
    <xf numFmtId="0" fontId="34" fillId="25" borderId="16" applyAlignment="1" pivotButton="0" quotePrefix="0" xfId="0">
      <alignment horizontal="center" vertical="center" wrapText="1"/>
    </xf>
    <xf numFmtId="0" fontId="34" fillId="39" borderId="17" applyAlignment="1" pivotButton="0" quotePrefix="0" xfId="0">
      <alignment horizontal="left" vertical="center" wrapText="1"/>
    </xf>
    <xf numFmtId="0" fontId="34" fillId="34" borderId="17" applyAlignment="1" pivotButton="0" quotePrefix="0" xfId="0">
      <alignment horizontal="left" vertical="center" wrapText="1"/>
    </xf>
    <xf numFmtId="0" fontId="41" fillId="45" borderId="15" applyAlignment="1" pivotButton="0" quotePrefix="0" xfId="0">
      <alignment vertical="center" indent="1"/>
    </xf>
    <xf numFmtId="0" fontId="0" fillId="0" borderId="1" pivotButton="0" quotePrefix="0" xfId="0"/>
    <xf numFmtId="0" fontId="41" fillId="44" borderId="15" applyAlignment="1" pivotButton="0" quotePrefix="0" xfId="0">
      <alignment vertical="center" indent="1"/>
    </xf>
    <xf numFmtId="0" fontId="41" fillId="46" borderId="15" applyAlignment="1" pivotButton="0" quotePrefix="0" xfId="0">
      <alignment vertical="center" indent="1"/>
    </xf>
    <xf numFmtId="0" fontId="41" fillId="21" borderId="15" applyAlignment="1" pivotButton="0" quotePrefix="0" xfId="0">
      <alignment vertical="center" indent="1"/>
    </xf>
    <xf numFmtId="0" fontId="31" fillId="22" borderId="17" applyAlignment="1" pivotButton="0" quotePrefix="0" xfId="0">
      <alignment horizontal="left" vertical="center" wrapText="1"/>
    </xf>
    <xf numFmtId="0" fontId="0" fillId="0" borderId="18" pivotButton="0" quotePrefix="0" xfId="0"/>
    <xf numFmtId="0" fontId="35" fillId="33" borderId="0" applyAlignment="1" pivotButton="0" quotePrefix="0" xfId="0">
      <alignment vertical="center" wrapText="1"/>
    </xf>
    <xf numFmtId="0" fontId="0" fillId="0" borderId="0" pivotButton="0" quotePrefix="0" xfId="0"/>
    <xf numFmtId="0" fontId="13" fillId="0" borderId="1" pivotButton="0" quotePrefix="0" xfId="0"/>
    <xf numFmtId="0" fontId="9" fillId="7" borderId="1" pivotButton="0" quotePrefix="0" xfId="0"/>
    <xf numFmtId="0" fontId="5" fillId="5" borderId="1" pivotButton="0" quotePrefix="0" xfId="0"/>
    <xf numFmtId="0" fontId="7" fillId="4" borderId="1" applyAlignment="1" pivotButton="0" quotePrefix="0" xfId="0">
      <alignment horizontal="left" vertical="center" wrapText="1"/>
    </xf>
    <xf numFmtId="0" fontId="34" fillId="21" borderId="16" applyAlignment="1" pivotButton="0" quotePrefix="0" xfId="0">
      <alignment horizontal="center" vertical="center" wrapText="1"/>
    </xf>
    <xf numFmtId="0" fontId="0" fillId="0" borderId="20" pivotButton="0" quotePrefix="0" xfId="0"/>
    <xf numFmtId="0" fontId="0" fillId="0" borderId="21" pivotButton="0" quotePrefix="0" xfId="0"/>
    <xf numFmtId="0" fontId="15" fillId="7" borderId="1" pivotButton="0" quotePrefix="0" xfId="0"/>
    <xf numFmtId="0" fontId="4" fillId="8" borderId="1" applyAlignment="1" pivotButton="0" quotePrefix="0" xfId="0">
      <alignment horizontal="left"/>
    </xf>
    <xf numFmtId="0" fontId="5" fillId="7" borderId="1" pivotButton="0" quotePrefix="0" xfId="0"/>
    <xf numFmtId="0" fontId="32" fillId="26" borderId="16" applyAlignment="1" pivotButton="0" quotePrefix="0" xfId="0">
      <alignment horizontal="center" vertical="center" wrapText="1"/>
    </xf>
    <xf numFmtId="0" fontId="0" fillId="0" borderId="19" pivotButton="0" quotePrefix="0" xfId="0"/>
    <xf numFmtId="0" fontId="0" fillId="0" borderId="22" pivotButton="0" quotePrefix="0" xfId="0"/>
    <xf numFmtId="0" fontId="0" fillId="0" borderId="23" pivotButton="0" quotePrefix="0" xfId="0"/>
    <xf numFmtId="0" fontId="31" fillId="36" borderId="17" applyAlignment="1" pivotButton="0" quotePrefix="0" xfId="0">
      <alignment horizontal="left" vertical="center" wrapText="1"/>
    </xf>
    <xf numFmtId="0" fontId="0" fillId="0" borderId="1" applyAlignment="1" pivotButton="0" quotePrefix="0" xfId="0">
      <alignment wrapText="1"/>
    </xf>
    <xf numFmtId="0" fontId="12" fillId="0" borderId="3" pivotButton="0" quotePrefix="0" xfId="0"/>
    <xf numFmtId="0" fontId="0" fillId="0" borderId="6" pivotButton="0" quotePrefix="0" xfId="0"/>
    <xf numFmtId="0" fontId="0" fillId="0" borderId="7" pivotButton="0" quotePrefix="0" xfId="0"/>
    <xf numFmtId="0" fontId="5" fillId="7" borderId="3" applyAlignment="1" pivotButton="0" quotePrefix="0" xfId="0">
      <alignment vertical="top" wrapText="1"/>
    </xf>
    <xf numFmtId="0" fontId="16" fillId="0" borderId="3" applyAlignment="1" pivotButton="0" quotePrefix="0" xfId="0">
      <alignment vertical="top" wrapText="1"/>
    </xf>
    <xf numFmtId="0" fontId="1" fillId="3" borderId="1" applyAlignment="1" pivotButton="0" quotePrefix="0" xfId="0">
      <alignment horizontal="left" vertical="center"/>
    </xf>
    <xf numFmtId="0" fontId="34" fillId="26" borderId="16" applyAlignment="1" pivotButton="0" quotePrefix="0" xfId="0">
      <alignment horizontal="center" vertical="center" wrapText="1"/>
    </xf>
    <xf numFmtId="0" fontId="0" fillId="13" borderId="3" applyAlignment="1" pivotButton="0" quotePrefix="0" xfId="0">
      <alignment vertical="top" wrapText="1"/>
    </xf>
    <xf numFmtId="0" fontId="0" fillId="0" borderId="4" pivotButton="0" quotePrefix="0" xfId="0"/>
    <xf numFmtId="0" fontId="0" fillId="0" borderId="5" pivotButton="0" quotePrefix="0" xfId="0"/>
    <xf numFmtId="0" fontId="0" fillId="0" borderId="8" pivotButton="0" quotePrefix="0" xfId="0"/>
    <xf numFmtId="0" fontId="0" fillId="0" borderId="9" pivotButton="0" quotePrefix="0" xfId="0"/>
    <xf numFmtId="0" fontId="0" fillId="0" borderId="10" pivotButton="0" quotePrefix="0" xfId="0"/>
    <xf numFmtId="0" fontId="0" fillId="0" borderId="11" pivotButton="0" quotePrefix="0" xfId="0"/>
    <xf numFmtId="0" fontId="0" fillId="0" borderId="12" pivotButton="0" quotePrefix="0" xfId="0"/>
    <xf numFmtId="0" fontId="31" fillId="41" borderId="17" applyAlignment="1" pivotButton="0" quotePrefix="0" xfId="0">
      <alignment horizontal="left" vertical="center" wrapText="1"/>
    </xf>
    <xf numFmtId="0" fontId="35" fillId="33" borderId="1" applyAlignment="1" pivotButton="0" quotePrefix="0" xfId="0">
      <alignment vertical="center" wrapText="1"/>
    </xf>
    <xf numFmtId="0" fontId="34" fillId="41" borderId="17" applyAlignment="1" pivotButton="0" quotePrefix="0" xfId="0">
      <alignment horizontal="left" vertical="center" wrapText="1"/>
    </xf>
    <xf numFmtId="0" fontId="34" fillId="37" borderId="17" applyAlignment="1" pivotButton="0" quotePrefix="0" xfId="0">
      <alignment horizontal="left" vertical="center" wrapText="1"/>
    </xf>
    <xf numFmtId="0" fontId="5" fillId="7" borderId="1" applyAlignment="1" pivotButton="0" quotePrefix="0" xfId="0">
      <alignment vertical="top" wrapText="1"/>
    </xf>
    <xf numFmtId="0" fontId="31" fillId="37" borderId="17" applyAlignment="1" pivotButton="0" quotePrefix="0" xfId="0">
      <alignment horizontal="left" vertical="center" wrapText="1"/>
    </xf>
    <xf numFmtId="0" fontId="0" fillId="0" borderId="3" applyAlignment="1" pivotButton="0" quotePrefix="0" xfId="0">
      <alignment vertical="top" wrapText="1"/>
    </xf>
    <xf numFmtId="0" fontId="32" fillId="29" borderId="16" applyAlignment="1" pivotButton="0" quotePrefix="0" xfId="0">
      <alignment horizontal="center" vertical="center" wrapText="1"/>
    </xf>
    <xf numFmtId="0" fontId="31" fillId="38" borderId="17" applyAlignment="1" pivotButton="0" quotePrefix="0" xfId="0">
      <alignment horizontal="left" vertical="center" wrapText="1"/>
    </xf>
    <xf numFmtId="0" fontId="34" fillId="38" borderId="17" applyAlignment="1" pivotButton="0" quotePrefix="0" xfId="0">
      <alignment horizontal="left" vertical="center" wrapText="1"/>
    </xf>
    <xf numFmtId="0" fontId="31" fillId="23" borderId="17" applyAlignment="1" pivotButton="0" quotePrefix="0" xfId="0">
      <alignment horizontal="left" vertical="center" wrapText="1"/>
    </xf>
    <xf numFmtId="0" fontId="32" fillId="30" borderId="16" applyAlignment="1" pivotButton="0" quotePrefix="0" xfId="0">
      <alignment horizontal="center" vertical="center" wrapText="1"/>
    </xf>
    <xf numFmtId="0" fontId="34" fillId="23" borderId="17" applyAlignment="1" pivotButton="0" quotePrefix="0" xfId="0">
      <alignment horizontal="left" vertical="center" wrapText="1"/>
    </xf>
    <xf numFmtId="0" fontId="32" fillId="27" borderId="16" applyAlignment="1" pivotButton="0" quotePrefix="0" xfId="0">
      <alignment horizontal="center" vertical="center" wrapText="1"/>
    </xf>
    <xf numFmtId="0" fontId="31" fillId="39" borderId="17" applyAlignment="1" pivotButton="0" quotePrefix="0" xfId="0">
      <alignment horizontal="left" vertical="center" wrapText="1"/>
    </xf>
    <xf numFmtId="0" fontId="29" fillId="43" borderId="16" applyAlignment="1" pivotButton="0" quotePrefix="0" xfId="0">
      <alignment horizontal="center" vertical="center" wrapText="1"/>
    </xf>
    <xf numFmtId="0" fontId="30" fillId="33" borderId="1" applyAlignment="1" pivotButton="0" quotePrefix="0" xfId="0">
      <alignment vertical="center" wrapText="1"/>
    </xf>
    <xf numFmtId="0" fontId="34" fillId="40" borderId="17" applyAlignment="1" pivotButton="0" quotePrefix="0" xfId="0">
      <alignment horizontal="left" vertical="center" wrapText="1"/>
    </xf>
    <xf numFmtId="0" fontId="31" fillId="40" borderId="17" applyAlignment="1" pivotButton="0" quotePrefix="0" xfId="0">
      <alignment horizontal="left" vertical="center" wrapText="1"/>
    </xf>
    <xf numFmtId="0" fontId="32" fillId="31" borderId="16" applyAlignment="1" pivotButton="0" quotePrefix="0" xfId="0">
      <alignment horizontal="center" vertical="center" wrapText="1"/>
    </xf>
    <xf numFmtId="0" fontId="29" fillId="32" borderId="16" applyAlignment="1" pivotButton="0" quotePrefix="0" xfId="0">
      <alignment horizontal="center" vertical="center" wrapText="1"/>
    </xf>
    <xf numFmtId="0" fontId="48" fillId="0" borderId="0" pivotButton="0" quotePrefix="0" xfId="0"/>
    <xf numFmtId="0" fontId="49" fillId="47" borderId="0" pivotButton="0" quotePrefix="0" xfId="0"/>
    <xf numFmtId="0" fontId="50" fillId="48" borderId="28" applyAlignment="1" pivotButton="0" quotePrefix="0" xfId="0">
      <alignment vertical="top" wrapText="1"/>
    </xf>
    <xf numFmtId="0" fontId="0" fillId="0" borderId="28" applyAlignment="1" pivotButton="0" quotePrefix="0" xfId="0">
      <alignment vertical="top" wrapText="1"/>
    </xf>
    <xf numFmtId="0" fontId="49" fillId="47" borderId="28" applyAlignment="1" pivotButton="0" quotePrefix="0" xfId="0">
      <alignment vertical="top" wrapText="1"/>
    </xf>
    <xf numFmtId="0" fontId="35" fillId="33" borderId="15" applyAlignment="1" pivotButton="0" quotePrefix="0" xfId="0">
      <alignment vertical="center" wrapText="1"/>
    </xf>
    <xf numFmtId="0" fontId="31" fillId="22" borderId="18" applyAlignment="1" pivotButton="0" quotePrefix="0" xfId="0">
      <alignment horizontal="left" vertical="center" wrapText="1"/>
    </xf>
    <xf numFmtId="0" fontId="7" fillId="4" borderId="15" applyAlignment="1" pivotButton="0" quotePrefix="0" xfId="0">
      <alignment horizontal="left" vertical="center" wrapText="1"/>
    </xf>
    <xf numFmtId="0" fontId="5" fillId="5" borderId="15" pivotButton="0" quotePrefix="0" xfId="0"/>
    <xf numFmtId="0" fontId="4" fillId="8" borderId="15" applyAlignment="1" pivotButton="0" quotePrefix="0" xfId="0">
      <alignment horizontal="left"/>
    </xf>
    <xf numFmtId="0" fontId="9" fillId="7" borderId="15" pivotButton="0" quotePrefix="0" xfId="0"/>
    <xf numFmtId="0" fontId="13" fillId="0" borderId="15" pivotButton="0" quotePrefix="0" xfId="0"/>
    <xf numFmtId="0" fontId="5" fillId="7" borderId="15" pivotButton="0" quotePrefix="0" xfId="0"/>
    <xf numFmtId="0" fontId="15" fillId="7" borderId="15" pivotButton="0" quotePrefix="0" xfId="0"/>
    <xf numFmtId="0" fontId="50" fillId="0" borderId="0" pivotButton="0" quotePrefix="0" xfId="0"/>
    <xf numFmtId="0" fontId="31" fillId="36" borderId="18" applyAlignment="1" pivotButton="0" quotePrefix="0" xfId="0">
      <alignment horizontal="left" vertical="center" wrapText="1"/>
    </xf>
    <xf numFmtId="0" fontId="1" fillId="3" borderId="15" applyAlignment="1" pivotButton="0" quotePrefix="0" xfId="0">
      <alignment horizontal="left" vertical="center"/>
    </xf>
    <xf numFmtId="0" fontId="0" fillId="0" borderId="15" applyAlignment="1" pivotButton="0" quotePrefix="0" xfId="0">
      <alignment wrapText="1"/>
    </xf>
    <xf numFmtId="164" fontId="0" fillId="0" borderId="3" applyAlignment="1" pivotButton="0" quotePrefix="0" xfId="0">
      <alignment horizontal="center" vertical="center"/>
    </xf>
    <xf numFmtId="0" fontId="34" fillId="41" borderId="18" applyAlignment="1" pivotButton="0" quotePrefix="0" xfId="0">
      <alignment horizontal="left" vertical="center" wrapText="1"/>
    </xf>
    <xf numFmtId="167" fontId="11" fillId="41" borderId="3" applyAlignment="1" pivotButton="0" quotePrefix="0" xfId="0">
      <alignment vertical="top" wrapText="1"/>
    </xf>
    <xf numFmtId="0" fontId="31" fillId="41" borderId="18" applyAlignment="1" pivotButton="0" quotePrefix="0" xfId="0">
      <alignment horizontal="left" vertical="center" wrapText="1"/>
    </xf>
    <xf numFmtId="0" fontId="34" fillId="37" borderId="18" applyAlignment="1" pivotButton="0" quotePrefix="0" xfId="0">
      <alignment horizontal="left" vertical="center" wrapText="1"/>
    </xf>
    <xf numFmtId="0" fontId="5" fillId="7" borderId="15" applyAlignment="1" pivotButton="0" quotePrefix="0" xfId="0">
      <alignment vertical="top" wrapText="1"/>
    </xf>
    <xf numFmtId="0" fontId="0" fillId="0" borderId="15" pivotButton="0" quotePrefix="0" xfId="0"/>
    <xf numFmtId="0" fontId="31" fillId="37" borderId="18" applyAlignment="1" pivotButton="0" quotePrefix="0" xfId="0">
      <alignment horizontal="left" vertical="center" wrapText="1"/>
    </xf>
    <xf numFmtId="0" fontId="34" fillId="38" borderId="18" applyAlignment="1" pivotButton="0" quotePrefix="0" xfId="0">
      <alignment horizontal="left" vertical="center" wrapText="1"/>
    </xf>
    <xf numFmtId="0" fontId="31" fillId="38" borderId="18" applyAlignment="1" pivotButton="0" quotePrefix="0" xfId="0">
      <alignment horizontal="left" vertical="center" wrapText="1"/>
    </xf>
    <xf numFmtId="0" fontId="34" fillId="23" borderId="18" applyAlignment="1" pivotButton="0" quotePrefix="0" xfId="0">
      <alignment horizontal="left" vertical="center" wrapText="1"/>
    </xf>
    <xf numFmtId="0" fontId="31" fillId="23" borderId="18" applyAlignment="1" pivotButton="0" quotePrefix="0" xfId="0">
      <alignment horizontal="left" vertical="center" wrapText="1"/>
    </xf>
    <xf numFmtId="166" fontId="0" fillId="0" borderId="0" pivotButton="0" quotePrefix="0" xfId="0"/>
    <xf numFmtId="165" fontId="22" fillId="0" borderId="0" pivotButton="0" quotePrefix="0" xfId="0"/>
    <xf numFmtId="0" fontId="31" fillId="39" borderId="18" applyAlignment="1" pivotButton="0" quotePrefix="0" xfId="0">
      <alignment horizontal="left" vertical="center" wrapText="1"/>
    </xf>
    <xf numFmtId="165" fontId="0" fillId="0" borderId="0" pivotButton="0" quotePrefix="0" xfId="0"/>
    <xf numFmtId="165" fontId="31" fillId="34" borderId="17" applyAlignment="1" pivotButton="0" quotePrefix="0" xfId="0">
      <alignment horizontal="left" vertical="center" wrapText="1"/>
    </xf>
    <xf numFmtId="166" fontId="0" fillId="0" borderId="13" pivotButton="0" quotePrefix="0" xfId="0"/>
    <xf numFmtId="165" fontId="0" fillId="0" borderId="13" pivotButton="0" quotePrefix="0" xfId="0"/>
    <xf numFmtId="166" fontId="31" fillId="34" borderId="17" applyAlignment="1" pivotButton="0" quotePrefix="0" xfId="0">
      <alignment horizontal="left" vertical="center" wrapText="1"/>
    </xf>
    <xf numFmtId="166" fontId="32" fillId="35" borderId="16" applyAlignment="1" pivotButton="0" quotePrefix="0" xfId="0">
      <alignment horizontal="center" vertical="center" wrapText="1"/>
    </xf>
    <xf numFmtId="165" fontId="32" fillId="35" borderId="16" applyAlignment="1" pivotButton="0" quotePrefix="0" xfId="0">
      <alignment horizontal="center" vertical="center" wrapText="1"/>
    </xf>
    <xf numFmtId="0" fontId="30" fillId="33" borderId="15" applyAlignment="1" pivotButton="0" quotePrefix="0" xfId="0">
      <alignment vertical="center" wrapText="1"/>
    </xf>
    <xf numFmtId="0" fontId="34" fillId="40" borderId="18" applyAlignment="1" pivotButton="0" quotePrefix="0" xfId="0">
      <alignment horizontal="left" vertical="center" wrapText="1"/>
    </xf>
    <xf numFmtId="0" fontId="31" fillId="40" borderId="18" applyAlignment="1" pivotButton="0" quotePrefix="0" xfId="0">
      <alignment horizontal="left" vertical="center" wrapText="1"/>
    </xf>
    <xf numFmtId="0" fontId="0" fillId="0" borderId="31" pivotButton="0" quotePrefix="0" xfId="0"/>
    <xf numFmtId="0" fontId="0" fillId="0" borderId="32" pivotButton="0" quotePrefix="0" xfId="0"/>
    <xf numFmtId="0" fontId="51" fillId="0" borderId="0" pivotButton="0" quotePrefix="0" xfId="0"/>
    <xf numFmtId="0" fontId="52" fillId="0" borderId="0" pivotButton="0" quotePrefix="0" xfId="0"/>
    <xf numFmtId="0" fontId="49" fillId="49" borderId="0" applyAlignment="1" pivotButton="0" quotePrefix="0" xfId="0">
      <alignment vertical="top" wrapText="1"/>
    </xf>
    <xf numFmtId="0" fontId="0" fillId="50" borderId="0" applyAlignment="1" pivotButton="0" quotePrefix="0" xfId="0">
      <alignment vertical="top" wrapText="1"/>
    </xf>
    <xf numFmtId="0" fontId="0" fillId="51" borderId="0" applyAlignment="1" pivotButton="0" quotePrefix="0" xfId="0">
      <alignment vertical="top" wrapText="1"/>
    </xf>
    <xf numFmtId="0" fontId="0" fillId="52" borderId="0" applyAlignment="1" pivotButton="0" quotePrefix="0" xfId="0">
      <alignment vertical="top" wrapText="1"/>
    </xf>
    <xf numFmtId="0" fontId="49" fillId="49" borderId="0" pivotButton="0" quotePrefix="0" xfId="0"/>
    <xf numFmtId="0" fontId="53" fillId="49" borderId="0" applyAlignment="1" pivotButton="0" quotePrefix="0" xfId="0">
      <alignment vertical="top" wrapText="1"/>
    </xf>
    <xf numFmtId="0" fontId="50" fillId="0" borderId="0" applyAlignment="1" pivotButton="0" quotePrefix="0" xfId="0">
      <alignment vertical="top" wrapText="1"/>
    </xf>
    <xf numFmtId="0" fontId="19" fillId="17" borderId="15" pivotButton="0" quotePrefix="0" xfId="0"/>
    <xf numFmtId="0" fontId="20" fillId="0" borderId="15" applyAlignment="1" pivotButton="0" quotePrefix="0" xfId="0">
      <alignment horizontal="center" wrapText="1"/>
    </xf>
    <xf numFmtId="2" fontId="0" fillId="0" borderId="15" pivotButton="0" quotePrefix="0" xfId="0"/>
    <xf numFmtId="0" fontId="20" fillId="0" borderId="15" pivotButton="0" quotePrefix="0" xfId="0"/>
    <xf numFmtId="0" fontId="8" fillId="0" borderId="15" pivotButton="0" quotePrefix="0" xfId="0"/>
    <xf numFmtId="0" fontId="32" fillId="18" borderId="15" pivotButton="0" quotePrefix="0" xfId="0"/>
    <xf numFmtId="0" fontId="0" fillId="34" borderId="13" pivotButton="0" quotePrefix="0" xfId="0"/>
    <xf numFmtId="0" fontId="18" fillId="0" borderId="15" pivotButton="0" quotePrefix="0" xfId="0"/>
  </cellXfs>
  <cellStyles count="2">
    <cellStyle name="Normal" xfId="0" builtinId="0"/>
    <cellStyle name="Hyperlink" xfId="1" builtinId="8"/>
  </cellStyles>
  <dxfs count="21">
    <dxf>
      <fill>
        <patternFill patternType="solid">
          <fgColor rgb="FFFFF2CC"/>
        </patternFill>
      </fill>
    </dxf>
    <dxf>
      <fill>
        <patternFill patternType="solid">
          <fgColor rgb="FFFFF2CC"/>
        </patternFill>
      </fill>
    </dxf>
    <dxf>
      <fill>
        <patternFill patternType="solid">
          <fgColor rgb="FFD9EAD3"/>
        </patternFill>
      </fill>
    </dxf>
    <dxf>
      <fill>
        <patternFill patternType="solid">
          <fgColor rgb="FFF4CCCC"/>
        </patternFill>
      </fill>
    </dxf>
    <dxf>
      <fill>
        <patternFill patternType="solid">
          <fgColor rgb="FFFFF2CC"/>
        </patternFill>
      </fill>
    </dxf>
    <dxf>
      <fill>
        <patternFill patternType="solid">
          <fgColor rgb="FFD9EAD3"/>
        </patternFill>
      </fill>
    </dxf>
    <dxf>
      <fill>
        <patternFill patternType="solid">
          <fgColor rgb="FFFFF2CC"/>
        </patternFill>
      </fill>
    </dxf>
    <dxf>
      <fill>
        <patternFill patternType="solid">
          <fgColor rgb="FFF4CCCC"/>
        </patternFill>
      </fill>
    </dxf>
    <dxf>
      <fill>
        <patternFill patternType="solid">
          <fgColor rgb="FFFFF2CC"/>
        </patternFill>
      </fill>
    </dxf>
    <dxf>
      <fill>
        <patternFill patternType="solid">
          <fgColor rgb="FFF4CCCC"/>
        </patternFill>
      </fill>
    </dxf>
    <dxf>
      <fill>
        <patternFill patternType="solid">
          <fgColor rgb="FFD9EAD3"/>
        </patternFill>
      </fill>
    </dxf>
    <dxf>
      <fill>
        <patternFill patternType="solid">
          <fgColor rgb="FFD9EAD3"/>
        </patternFill>
      </fill>
    </dxf>
    <dxf>
      <fill>
        <patternFill patternType="solid">
          <fgColor rgb="FFEAF2F8"/>
        </patternFill>
      </fill>
    </dxf>
    <dxf>
      <fill>
        <patternFill patternType="solid">
          <fgColor rgb="FFD9EAD3"/>
        </patternFill>
      </fill>
    </dxf>
    <dxf>
      <fill>
        <patternFill patternType="solid">
          <fgColor rgb="FFD9EAD3"/>
        </patternFill>
      </fill>
    </dxf>
    <dxf>
      <fill>
        <patternFill patternType="solid">
          <fgColor rgb="FFF3F4F6"/>
        </patternFill>
      </fill>
    </dxf>
    <dxf>
      <fill>
        <patternFill patternType="solid">
          <fgColor rgb="FFFCE5CD"/>
        </patternFill>
      </fill>
    </dxf>
    <dxf>
      <fill>
        <patternFill patternType="solid">
          <fgColor rgb="FFF4CCCC"/>
        </patternFill>
      </fill>
    </dxf>
    <dxf>
      <fill>
        <patternFill patternType="solid">
          <fgColor rgb="FFEAF2F8"/>
        </patternFill>
      </fill>
    </dxf>
    <dxf>
      <fill>
        <patternFill patternType="solid">
          <fgColor rgb="FFD9EAD3"/>
        </patternFill>
      </fill>
    </dxf>
    <dxf>
      <fill>
        <patternFill patternType="solid">
          <fgColor rgb="FFF3F4F6"/>
        </patternFill>
      </fill>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ns0:Relationships xmlns:ns0="http://schemas.openxmlformats.org/package/2006/relationships"><ns0:Relationship Type="http://schemas.openxmlformats.org/officeDocument/2006/relationships/worksheet" Target="/xl/worksheets/sheet1.xml" Id="rId1" /><ns0:Relationship Type="http://schemas.openxmlformats.org/officeDocument/2006/relationships/worksheet" Target="/xl/worksheets/sheet2.xml" Id="rId2" /><ns0:Relationship Type="http://schemas.openxmlformats.org/officeDocument/2006/relationships/worksheet" Target="/xl/worksheets/sheet3.xml" Id="rId3" /><ns0:Relationship Type="http://schemas.openxmlformats.org/officeDocument/2006/relationships/worksheet" Target="/xl/worksheets/sheet4.xml" Id="rId4" /><ns0:Relationship Type="http://schemas.openxmlformats.org/officeDocument/2006/relationships/worksheet" Target="/xl/worksheets/sheet5.xml" Id="rId5" /><ns0:Relationship Type="http://schemas.openxmlformats.org/officeDocument/2006/relationships/worksheet" Target="/xl/worksheets/sheet11.xml" Id="rId11" /><ns0:Relationship Type="http://schemas.openxmlformats.org/officeDocument/2006/relationships/worksheet" Target="/xl/worksheets/sheet12.xml" Id="rId12" /><ns0:Relationship Type="http://schemas.openxmlformats.org/officeDocument/2006/relationships/worksheet" Target="/xl/worksheets/sheet13.xml" Id="rId13" /><ns0:Relationship Type="http://schemas.openxmlformats.org/officeDocument/2006/relationships/worksheet" Target="/xl/worksheets/sheet15.xml" Id="rId15" /><ns0:Relationship Type="http://schemas.openxmlformats.org/officeDocument/2006/relationships/worksheet" Target="/xl/worksheets/sheet16.xml" Id="rId16" /><ns0:Relationship Type="http://schemas.openxmlformats.org/officeDocument/2006/relationships/worksheet" Target="/xl/worksheets/sheet17.xml" Id="rId17" /><ns0:Relationship Type="http://schemas.openxmlformats.org/officeDocument/2006/relationships/worksheet" Target="/xl/worksheets/sheet18.xml" Id="rId18" /><ns0:Relationship Type="http://schemas.openxmlformats.org/officeDocument/2006/relationships/worksheet" Target="/xl/worksheets/sheet19.xml" Id="rId19" /><ns0:Relationship Type="http://schemas.openxmlformats.org/officeDocument/2006/relationships/worksheet" Target="/xl/worksheets/sheet20.xml" Id="rId20" /><ns0:Relationship Type="http://schemas.openxmlformats.org/officeDocument/2006/relationships/worksheet" Target="/xl/worksheets/sheet21.xml" Id="rId21" /><ns0:Relationship Type="http://schemas.openxmlformats.org/officeDocument/2006/relationships/worksheet" Target="/xl/worksheets/sheet27.xml" Id="rId27" /><ns0:Relationship Type="http://schemas.openxmlformats.org/officeDocument/2006/relationships/worksheet" Target="/xl/worksheets/sheet28.xml" Id="rId28" /><ns0:Relationship Type="http://schemas.openxmlformats.org/officeDocument/2006/relationships/styles" Target="styles.xml" Id="rId31" /><ns0:Relationship Type="http://schemas.openxmlformats.org/officeDocument/2006/relationships/theme" Target="theme/theme1.xml" Id="rId32" /><ns0:Relationship Id="rId34" Type="http://schemas.openxmlformats.org/officeDocument/2006/relationships/worksheet" Target="/xl/worksheets/sheet29.xml" /><ns0:Relationship Id="rId35" Type="http://schemas.openxmlformats.org/officeDocument/2006/relationships/worksheet" Target="/xl/worksheets/sheet30.xml" /><ns0:Relationship Id="rId36" Type="http://schemas.openxmlformats.org/officeDocument/2006/relationships/worksheet" Target="/xl/worksheets/sheet31.xml" /></ns0:Relationships>
</file>

<file path=xl/charts/chart6.xml><?xml version="1.0" encoding="utf-8"?>
<chartSpace xmlns="http://schemas.openxmlformats.org/drawingml/2006/chart">
  <chart>
    <title>
      <tx>
        <rich>
          <a:bodyPr xmlns:a="http://schemas.openxmlformats.org/drawingml/2006/main"/>
          <a:lstStyle xmlns:a="http://schemas.openxmlformats.org/drawingml/2006/main"/>
          <a:p xmlns:a="http://schemas.openxmlformats.org/drawingml/2006/main">
            <a:pPr>
              <a:defRPr/>
            </a:pPr>
            <a:r>
              <a:rPr lang="en-GB"/>
              <a:t>Strategy scores</a:t>
            </a:r>
          </a:p>
        </rich>
      </tx>
      <overlay val="1"/>
    </title>
    <plotArea>
      <layout/>
      <barChart>
        <barDir val="bar"/>
        <grouping val="clustered"/>
        <varyColors val="1"/>
        <ser>
          <idx val="0"/>
          <order val="0"/>
          <tx>
            <strRef>
              <f>'Risk &amp; Recommendations'!$J$9</f>
              <strCache>
                <ptCount val="1"/>
                <pt idx="0">
                  <v>Total strategy score</v>
                </pt>
              </strCache>
            </strRef>
          </tx>
          <spPr>
            <a:ln xmlns:a="http://schemas.openxmlformats.org/drawingml/2006/main">
              <a:prstDash val="solid"/>
            </a:ln>
          </spPr>
          <invertIfNegative val="1"/>
          <cat>
            <strRef>
              <f>'Risk &amp; Recommendations'!$B$10:$B$23</f>
              <strCache>
                <ptCount val="14"/>
                <pt idx="0">
                  <v>Digital Foundation Strategy</v>
                </pt>
                <pt idx="1">
                  <v>Business Continuity and Resilience Strategy</v>
                </pt>
                <pt idx="2">
                  <v>Cloud and Infrastructure Resilience Strategy</v>
                </pt>
                <pt idx="3">
                  <v>Cyber Resilience Strategy</v>
                </pt>
                <pt idx="4">
                  <v>Data Governance and AI Readiness Strategy</v>
                </pt>
                <pt idx="5">
                  <v>Workforce Resilience Strategy</v>
                </pt>
                <pt idx="6">
                  <v>Operational Excellence and Automation Strategy</v>
                </pt>
                <pt idx="7">
                  <v>Supply Chain and Delivery Resilience Strategy</v>
                </pt>
                <pt idx="8">
                  <v>Manufacturing Continuity and MES Strategy</v>
                </pt>
                <pt idx="9">
                  <v>Physical Safety and Site Resilience Strategy</v>
                </pt>
                <pt idx="10">
                  <v>Sales Channel Diversification Strategy</v>
                </pt>
                <pt idx="11">
                  <v>Customer Retention and Revenue Protection Strategy</v>
                </pt>
                <pt idx="12">
                  <v>Compliance and Risk Control Strategy</v>
                </pt>
                <pt idx="13">
                  <v>Governance and Decision-Speed Strategy</v>
                </pt>
              </strCache>
            </strRef>
          </cat>
          <val>
            <numRef>
              <f>'Risk &amp; Recommendations'!$J$10:$J$23</f>
              <numCache>
                <formatCode>General</formatCode>
                <ptCount val="14"/>
                <pt idx="0">
                  <v>0</v>
                </pt>
                <pt idx="1">
                  <v>0</v>
                </pt>
                <pt idx="2">
                  <v>0</v>
                </pt>
                <pt idx="3">
                  <v>0</v>
                </pt>
                <pt idx="4">
                  <v>0</v>
                </pt>
                <pt idx="5">
                  <v>0</v>
                </pt>
                <pt idx="6">
                  <v>0</v>
                </pt>
                <pt idx="7">
                  <v>0</v>
                </pt>
                <pt idx="8">
                  <v>0</v>
                </pt>
                <pt idx="9">
                  <v>0</v>
                </pt>
                <pt idx="10">
                  <v>0</v>
                </pt>
                <pt idx="11">
                  <v>0</v>
                </pt>
                <pt idx="12">
                  <v>0</v>
                </pt>
                <pt idx="13">
                  <v>0</v>
                </pt>
              </numCache>
            </numRef>
          </val>
        </ser>
        <dLbls>
          <showLegendKey val="0"/>
          <showVal val="0"/>
          <showCatName val="0"/>
          <showSerName val="0"/>
          <showPercent val="0"/>
          <showBubbleSize val="0"/>
        </dLbls>
        <gapWidth val="150"/>
        <axId val="10"/>
        <axId val="100"/>
      </barChart>
      <catAx>
        <axId val="10"/>
        <scaling>
          <orientation val="minMax"/>
        </scaling>
        <delete val="1"/>
        <axPos val="l"/>
        <title>
          <tx>
            <rich>
              <a:bodyPr xmlns:a="http://schemas.openxmlformats.org/drawingml/2006/main"/>
              <a:lstStyle xmlns:a="http://schemas.openxmlformats.org/drawingml/2006/main"/>
              <a:p xmlns:a="http://schemas.openxmlformats.org/drawingml/2006/main">
                <a:pPr>
                  <a:defRPr/>
                </a:pPr>
                <a:r>
                  <a:rPr lang="en-GB"/>
                  <a:t>Score 0-100</a:t>
                </a:r>
              </a:p>
            </rich>
          </tx>
          <overlay val="1"/>
        </title>
        <numFmt formatCode="General" sourceLinked="1"/>
        <majorTickMark val="none"/>
        <minorTickMark val="none"/>
        <tickLblPos val="nextTo"/>
        <crossAx val="100"/>
        <crosses val="autoZero"/>
        <auto val="1"/>
        <lblAlgn val="ctr"/>
        <lblOffset val="100"/>
        <noMultiLvlLbl val="1"/>
      </catAx>
      <valAx>
        <axId val="100"/>
        <scaling>
          <orientation val="minMax"/>
        </scaling>
        <delete val="1"/>
        <axPos val="b"/>
        <majorGridlines/>
        <title>
          <tx>
            <rich>
              <a:bodyPr xmlns:a="http://schemas.openxmlformats.org/drawingml/2006/main"/>
              <a:lstStyle xmlns:a="http://schemas.openxmlformats.org/drawingml/2006/main"/>
              <a:p xmlns:a="http://schemas.openxmlformats.org/drawingml/2006/main">
                <a:pPr>
                  <a:defRPr/>
                </a:pPr>
                <a:r>
                  <a:rPr lang="en-GB"/>
                  <a:t>Strategy</a:t>
                </a:r>
              </a:p>
            </rich>
          </tx>
          <overlay val="1"/>
        </title>
        <numFmt formatCode="General" sourceLinked="1"/>
        <majorTickMark val="none"/>
        <minorTickMark val="none"/>
        <tickLblPos val="nextTo"/>
        <crossAx val="10"/>
        <crosses val="autoZero"/>
        <crossBetween val="between"/>
      </valAx>
    </plotArea>
    <legend>
      <legendPos val="r"/>
      <overlay val="0"/>
    </legend>
    <plotVisOnly val="1"/>
    <dispBlanksAs val="gap"/>
  </chart>
</chartSpace>
</file>

<file path=xl/comments/comment1.xml><?xml version="1.0" encoding="utf-8"?>
<comments xmlns="http://schemas.openxmlformats.org/spreadsheetml/2006/main">
  <authors>
    <author>RR-framework</author>
  </authors>
  <commentList>
    <comment ref="A1" authorId="0" shapeId="0">
      <text>
        <t>Start here. Current optimized 28-tab structure and workflow map.</t>
      </text>
    </comment>
  </commentList>
</comments>
</file>

<file path=xl/comments/comment2.xml><?xml version="1.0" encoding="utf-8"?>
<comments xmlns="http://schemas.openxmlformats.org/spreadsheetml/2006/main">
  <authors>
    <author>Guide</author>
    <author>RR-framework</author>
  </authors>
  <commentList>
    <comment ref="A1" authorId="0" shapeId="0">
      <text>
        <t>INPUT TAB — fill once per organisation.
Yellow cells in the 'Value / input' column are your inputs; column C explains each one. These drive industry targets, SPOF, strategy logic and crisis exposure.</t>
      </text>
    </comment>
    <comment ref="B5" authorId="1" shapeId="0">
      <text>
        <t>Input guidance: Legal or commercial name used in the assessment.</t>
      </text>
    </comment>
    <comment ref="B6" authorId="1" shapeId="0">
      <text>
        <t>Input guidance: Baseline date. Gantt roadmap starts from this
date unless changed.</t>
      </text>
    </comment>
    <comment ref="B7" authorId="1" shapeId="0">
      <text>
        <t>Input guidance: Person responsible for coordinating the
assessment.</t>
      </text>
    </comment>
    <comment ref="B8" authorId="1" shapeId="0">
      <text>
        <t>Input guidance: Senior owner who accepts priorities and crisis
roadmap.</t>
      </text>
    </comment>
    <comment ref="B9" authorId="1" shapeId="0">
      <text>
        <t>Input guidance: Primary industry or sector.</t>
      </text>
    </comment>
    <comment ref="B10" authorId="1" shapeId="0">
      <text>
        <t>Input guidance: More specific segment, e.g. manufacturing, SaaS,
retail, healthcare.</t>
      </text>
    </comment>
    <comment ref="B11" authorId="1" shapeId="0">
      <text>
        <t>Input guidance: Country where the main legal or management entity
is located.</t>
      </text>
    </comment>
    <comment ref="B12" authorId="1" shapeId="0">
      <text>
        <t>Input guidance: List countries, regions and key cities where the
company operates.</t>
      </text>
    </comment>
    <comment ref="B13" authorId="1" shapeId="0">
      <text>
        <t>Input guidance: Private, public, state-owned, family-owned, PE-
backed, NGO or other.</t>
      </text>
    </comment>
    <comment ref="B14" authorId="1" shapeId="0">
      <text>
        <t>Input guidance: Main legal entities and subsidiaries.</t>
      </text>
    </comment>
    <comment ref="B15" authorId="1" shapeId="0">
      <text>
        <t>Input guidance: Total employees and contractors.</t>
      </text>
    </comment>
    <comment ref="B16" authorId="1" shapeId="0">
      <text>
        <t>Input guidance: Annual revenue band.</t>
      </text>
    </comment>
    <comment ref="B17" authorId="1" shapeId="0">
      <text>
        <t>Input guidance: Centralized, decentralized, hub-and-spoke,
remote-first, multi-site, franchise, hybrid.</t>
      </text>
    </comment>
    <comment ref="B18" authorId="1" shapeId="0">
      <text>
        <t>Input guidance: B2B, B2C, B2B2C, marketplace, subscription,
project-based, manufacturing, distribution.</t>
      </text>
    </comment>
    <comment ref="B19" authorId="1" shapeId="0">
      <text>
        <t>Input guidance: Products or services that must continue during
disruption.</t>
      </text>
    </comment>
    <comment ref="B20" authorId="1" shapeId="0">
      <text>
        <t>Input guidance: Ideal customer profiles and most important
customer groups.</t>
      </text>
    </comment>
    <comment ref="B21" authorId="1" shapeId="0">
      <text>
        <t>Input guidance: Countries, regions or customer segments with
highest revenue share.</t>
      </text>
    </comment>
    <comment ref="B22" authorId="1" shapeId="0">
      <text>
        <t>Input guidance: Share of top 1, 3 or 10 customers if known.</t>
      </text>
    </comment>
    <comment ref="B23" authorId="1" shapeId="0">
      <text>
        <t>Input guidance: Offices, plants, warehouses, data centers, labs,
showrooms or service centers.</t>
      </text>
    </comment>
    <comment ref="B24" authorId="1" shapeId="0">
      <text>
        <t>Input guidance: Roles where loss of individuals creates
continuity risk.</t>
      </text>
    </comment>
    <comment ref="B25" authorId="1" shapeId="0">
      <text>
        <t>Input guidance: Low, medium, high or critical regulatory
exposure.</t>
      </text>
    </comment>
    <comment ref="B26" authorId="1" shapeId="0">
      <text>
        <t>Input guidance: Examples: GDPR, NIS2, HIPAA, SOX, ISO, industry
licenses, customer audit obligations.</t>
      </text>
    </comment>
    <comment ref="B27" authorId="1" shapeId="0">
      <text>
        <t>Input guidance: ERP, CRM, MES, HRMS, BI, WMS, SCM, billing,
support desk, data warehouse.</t>
      </text>
    </comment>
    <comment ref="B28" authorId="1" shapeId="0">
      <text>
        <t>Input guidance: On-premise, public cloud, private cloud, hybrid,
multi-cloud, SaaS-first.</t>
      </text>
    </comment>
    <comment ref="B29" authorId="1" shapeId="0">
      <text>
        <t>Input guidance: Active scenario is selected in Crisis Simulator.</t>
      </text>
    </comment>
    <comment ref="B30" authorId="1" shapeId="0">
      <text>
        <t>Input guidance: Active scenario severity is selected in Crisis
Simulator.</t>
      </text>
    </comment>
    <comment ref="B31" authorId="1" shapeId="0">
      <text>
        <t>Input guidance: Target level for process maturity.</t>
      </text>
    </comment>
    <comment ref="B32" authorId="1" shapeId="0">
      <text>
        <t>Input guidance: Target level for implementation of digital
technologies.</t>
      </text>
    </comment>
    <comment ref="B33" authorId="1" shapeId="0">
      <text>
        <t>Input guidance: Target level for resilience against relevant
risks.</t>
      </text>
    </comment>
    <comment ref="B34" authorId="1" shapeId="0">
      <text>
        <t>Input guidance: Quarterly, semi-annual, annual, or crisis-
triggered review.</t>
      </text>
    </comment>
    <comment ref="B35" authorId="1" shapeId="0">
      <text>
        <t>Input guidance: Closed choice: Low / Balanced / High. Low = risk-
averse (targets tightened), High = more residual risk accepted
(targets relaxed). Adjusts industry maturity targets across the
model via _CONFIG_Model_Settings.</t>
      </text>
    </comment>
    <comment ref="B36" authorId="1" shapeId="0">
      <text>
        <t>Input guidance: Context notes, limitations, excluded scope or
special assessment assumptions.</t>
      </text>
    </comment>
    <comment ref="B39" authorId="1" shapeId="0">
      <text>
        <t>Input guidance: Used as lookup key for domain weights, targets,
criticality and recommendations.</t>
      </text>
    </comment>
    <comment ref="B40" authorId="1" shapeId="0">
      <text>
        <t>Input guidance: Used when question-level evidence confidence is
blank.</t>
      </text>
    </comment>
    <comment ref="B41" authorId="1" shapeId="0">
      <text>
        <t>Input guidance: Used when question-level assessor confidence is
blank.</t>
      </text>
    </comment>
    <comment ref="B42" authorId="1" shapeId="0">
      <text>
        <t>Input guidance: Should equal 17 for a valid industry template.</t>
      </text>
    </comment>
    <comment ref="B43" authorId="1" shapeId="0">
      <text>
        <t>Input guidance: Average expected maturity for selected industry.</t>
      </text>
    </comment>
    <comment ref="B44" authorId="1" shapeId="0">
      <text>
        <t>Input guidance: Higher value means industry makes weaknesses more
material.</t>
      </text>
    </comment>
  </commentList>
</comments>
</file>

<file path=xl/comments/comment3.xml><?xml version="1.0" encoding="utf-8"?>
<comments xmlns="http://schemas.openxmlformats.org/spreadsheetml/2006/main">
  <authors>
    <author>RR-framework</author>
  </authors>
  <commentList>
    <comment ref="A1" authorId="0" shapeId="0">
      <text>
        <t>Assessment Questions — Consolidated Input. Main assessment
surface with all 424 questions. Use green/input columns for
answers, evidence confidence, coverage, owners and comments.</t>
      </text>
    </comment>
    <comment ref="A4" authorId="0" shapeId="0">
      <text>
        <t>Domain used for aggregation and dashboard grouping.</t>
      </text>
    </comment>
    <comment ref="D4" authorId="0" shapeId="0">
      <text>
        <t>Stable Question ID. Do not change unless updating the data model
and change log.</t>
      </text>
    </comment>
    <comment ref="F4" authorId="0" shapeId="0">
      <text>
        <t>Assessment question. Use answer column to score maturity.</t>
      </text>
    </comment>
    <comment ref="J4" authorId="0" shapeId="0">
      <text>
        <t>Question weight. Change only if calibrating the model.</t>
      </text>
    </comment>
    <comment ref="W4" authorId="0" shapeId="0">
      <text>
        <t>Owner or SME responsible for answer validation.</t>
      </text>
    </comment>
    <comment ref="X4" authorId="0" shapeId="0">
      <text>
        <t>Evidence / observations / findings.</t>
      </text>
    </comment>
    <comment ref="AC4" authorId="0" shapeId="0">
      <text>
        <t>Main answer selector; drives scoring and downstream dashboards.</t>
      </text>
    </comment>
    <comment ref="AK4" authorId="0" shapeId="0">
      <text>
        <t>Evidence confidence.</t>
      </text>
    </comment>
    <comment ref="AL4" authorId="0" shapeId="0">
      <text>
        <t>Assessor confidence.</t>
      </text>
    </comment>
    <comment ref="AX4" authorId="0" shapeId="0">
      <text>
        <t>Deployment coverage.</t>
      </text>
    </comment>
  </commentList>
</comments>
</file>

<file path=xl/comments/comment9.xml><?xml version="1.0" encoding="utf-8"?>
<comments xmlns="http://schemas.openxmlformats.org/spreadsheetml/2006/main">
  <authors>
    <author>RR-framework</author>
  </authors>
  <commentList>
    <comment ref="A1" authorId="0" shapeId="0">
      <text>
        <t>Backend/protected sheet. Do not edit during normal assessments.</t>
      </text>
    </comment>
  </commentList>
</comments>
</file>

<file path=xl/comments/comment10.xml><?xml version="1.0" encoding="utf-8"?>
<comments xmlns="http://schemas.openxmlformats.org/spreadsheetml/2006/main">
  <authors>
    <author>Guide</author>
  </authors>
  <commentList>
    <comment ref="A1" authorId="0" shapeId="0">
      <text>
        <t>EXECUTIVE OUTPUT (read-only). Updates automatically from the domain tabs. Don't type here.</t>
      </text>
    </comment>
  </commentList>
</comments>
</file>

<file path=xl/comments/comment12.xml><?xml version="1.0" encoding="utf-8"?>
<comments xmlns="http://schemas.openxmlformats.org/spreadsheetml/2006/main">
  <authors>
    <author>RR-framework</author>
  </authors>
  <commentList>
    <comment ref="A1" authorId="0" shapeId="0">
      <text>
        <t>Backend/protected sheet. Do not edit during normal assessments.</t>
      </text>
    </comment>
  </commentList>
</comments>
</file>

<file path=xl/comments/comment13.xml><?xml version="1.0" encoding="utf-8"?>
<comments xmlns="http://schemas.openxmlformats.org/spreadsheetml/2006/main">
  <authors>
    <author>RR-framework</author>
  </authors>
  <commentList>
    <comment ref="A1" authorId="0" shapeId="0">
      <text>
        <t>Backend/protected sheet. Do not edit during normal assessments.</t>
      </text>
    </comment>
  </commentList>
</comments>
</file>

<file path=xl/comments/comment14.xml><?xml version="1.0" encoding="utf-8"?>
<comments xmlns="http://schemas.openxmlformats.org/spreadsheetml/2006/main">
  <authors>
    <author>RR-framework</author>
  </authors>
  <commentList>
    <comment ref="A1" authorId="0" shapeId="0">
      <text>
        <t>Backend/protected sheet. Do not edit during normal assessments.</t>
      </text>
    </comment>
  </commentList>
</comments>
</file>

<file path=xl/comments/comment15.xml><?xml version="1.0" encoding="utf-8"?>
<comments xmlns="http://schemas.openxmlformats.org/spreadsheetml/2006/main">
  <authors>
    <author>RR-framework</author>
  </authors>
  <commentList>
    <comment ref="A1" authorId="0" shapeId="0">
      <text>
        <t>Backend/protected sheet. Do not edit during normal assessments.</t>
      </text>
    </comment>
  </commentList>
</comments>
</file>

<file path=xl/comments/comment16.xml><?xml version="1.0" encoding="utf-8"?>
<comments xmlns="http://schemas.openxmlformats.org/spreadsheetml/2006/main">
  <authors>
    <author>RR-framework</author>
  </authors>
  <commentList>
    <comment ref="A1" authorId="0" shapeId="0">
      <text>
        <t>Backend/protected sheet. Do not edit during normal assessments.</t>
      </text>
    </comment>
  </commentList>
</comments>
</file>

<file path=xl/comments/comment17.xml><?xml version="1.0" encoding="utf-8"?>
<comments xmlns="http://schemas.openxmlformats.org/spreadsheetml/2006/main">
  <authors>
    <author>RR-framework</author>
  </authors>
  <commentList>
    <comment ref="A1" authorId="0" shapeId="0">
      <text>
        <t>Backend/protected sheet. Do not edit during normal assessments.</t>
      </text>
    </comment>
  </commentList>
</comments>
</file>

<file path=xl/comments/comment18.xml><?xml version="1.0" encoding="utf-8"?>
<comments xmlns="http://schemas.openxmlformats.org/spreadsheetml/2006/main">
  <authors>
    <author>RR-framework</author>
  </authors>
  <commentList>
    <comment ref="A1" authorId="0" shapeId="0">
      <text>
        <t>Backend/protected sheet. Do not edit during normal assessments.</t>
      </text>
    </comment>
  </commentList>
</comments>
</file>

<file path=xl/tables/table3.xml><?xml version="1.0" encoding="utf-8"?>
<table xmlns="http://schemas.openxmlformats.org/spreadsheetml/2006/main" id="3" name="RecommendationMatrixTable" displayName="RecommendationMatrixTable" ref="A4:V411" headerRowCount="1">
  <tableColumns count="22">
    <tableColumn id="1" name="Question ID"/>
    <tableColumn id="2" name="Domain"/>
    <tableColumn id="3" name="Subdomain"/>
    <tableColumn id="4" name="Question"/>
    <tableColumn id="5" name="Score 0 → 1 recommendation"/>
    <tableColumn id="6" name="Score 1 → 2 recommendation"/>
    <tableColumn id="7" name="Score 2 → 3 recommendation"/>
    <tableColumn id="8" name="Score 3 → 4 recommendation"/>
    <tableColumn id="9" name="Score 4 → 5 recommendation"/>
    <tableColumn id="10" name="Score 5 sustain recommendation"/>
    <tableColumn id="11" name="Expected benefit"/>
    <tableColumn id="12" name="Complexity if score 0"/>
    <tableColumn id="13" name="Complexity if score 1"/>
    <tableColumn id="14" name="Complexity if score 2"/>
    <tableColumn id="15" name="Complexity if score 3"/>
    <tableColumn id="16" name="Complexity if score 4"/>
    <tableColumn id="17" name="Complexity if score 5"/>
    <tableColumn id="18" name="Standards / frameworks"/>
    <tableColumn id="19" name="Evidence to request"/>
    <tableColumn id="20" name="Crisis tags"/>
    <tableColumn id="21" name="Owner / SME"/>
    <tableColumn id="22" name="Source sheet row"/>
  </tableColumns>
  <tableStyleInfo name="TableStyleMedium2" showFirstColumn="0" showLastColumn="0" showRowStripes="1" showColumnStripes="0"/>
</table>
</file>

<file path=xl/tables/table4.xml><?xml version="1.0" encoding="utf-8"?>
<table xmlns="http://schemas.openxmlformats.org/spreadsheetml/2006/main" id="4" name="tblInitiatives" displayName="tblInitiatives" ref="A4:BY76" totalsRowShown="0">
  <autoFilter ref="A4:BY76"/>
  <tableColumns count="77">
    <tableColumn id="1" name="Initiative ID"/>
    <tableColumn id="2" name="Domain"/>
    <tableColumn id="3" name="Subdomain"/>
    <tableColumn id="4" name="Strategy"/>
    <tableColumn id="5" name="Strategy ID"/>
    <tableColumn id="6" name="Initiative theme"/>
    <tableColumn id="7" name="Initiative objective"/>
    <tableColumn id="8" name="Related risk category"/>
    <tableColumn id="9" name="Related crisis scenarios"/>
    <tableColumn id="10" name="Related question IDs"/>
    <tableColumn id="11" name="Question count"/>
    <tableColumn id="12" name="Active recommendations"/>
    <tableColumn id="13" name="Active risks"/>
    <tableColumn id="14" name="Avg current score 0-5"/>
    <tableColumn id="15" name="Maturity gap"/>
    <tableColumn id="16" name="Domain maturity 0-5"/>
    <tableColumn id="17" name="Domain gap"/>
    <tableColumn id="18" name="Crisis multiplier"/>
    <tableColumn id="19" name="Strategy rank"/>
    <tableColumn id="20" name="Strategy score"/>
    <tableColumn id="21" name="Digital impact"/>
    <tableColumn id="22" name="Resilience impact"/>
    <tableColumn id="23" name="Process impact"/>
    <tableColumn id="24" name="Business value"/>
    <tableColumn id="25" name="Time criticality"/>
    <tableColumn id="26" name="Risk reduction"/>
    <tableColumn id="27" name="Opportunity enablement"/>
    <tableColumn id="28" name="Complexity / job size"/>
    <tableColumn id="29" name="WSJF"/>
    <tableColumn id="30" name="Rank"/>
    <tableColumn id="31" name="Roadmap wave"/>
    <tableColumn id="32" name="Owner role"/>
    <tableColumn id="33" name="Default duration"/>
    <tableColumn id="34" name="Dependencies"/>
    <tableColumn id="35" name="KPI examples"/>
    <tableColumn id="36" name="Expected output"/>
    <tableColumn id="37" name="Recommendation engine link"/>
    <tableColumn id="38" name="Risk engine link"/>
    <tableColumn id="39" name="Strategy engine link"/>
    <tableColumn id="40" name="Trigger rule"/>
    <tableColumn id="41" name="Default status"/>
    <tableColumn id="42" name="Budget estimate"/>
    <tableColumn id="43" name="Manual priority override"/>
    <tableColumn id="44" name="Notes"/>
    <tableColumn id="45" name="Industry initiative multiplier"/>
    <tableColumn id="46" name="Industry-adjusted WSJF"/>
    <tableColumn id="47" name="Industry-adjusted rank"/>
    <tableColumn id="48" name="Industry target gap"/>
    <tableColumn id="49" name="Industry adjustment rationale"/>
    <tableColumn id="50" name="Manual status (Initiative Status sheet)"/>
    <tableColumn id="51" name="Effective status"/>
    <tableColumn id="52" name="PCF metric examples (APQC v8.0)"/>
    <tableColumn id="53" name="P1 mapped risk count"/>
    <tableColumn id="54" name="P1 avg risk pressure"/>
    <tableColumn id="55" name="P1 expected score uplift"/>
    <tableColumn id="56" name="P1 risk reduction v2"/>
    <tableColumn id="57" name="P1 WSJF v2"/>
    <tableColumn id="58" name="P1 industry-adjusted WSJF v2"/>
    <tableColumn id="59" name="P1 rank"/>
    <tableColumn id="60" name="P1 rationale"/>
    <tableColumn id="61" name="P2 fuzzy state"/>
    <tableColumn id="62" name="P2 fuzzy BV weight"/>
    <tableColumn id="63" name="P2 fuzzy TC weight"/>
    <tableColumn id="64" name="P2 fuzzy RR weight"/>
    <tableColumn id="65" name="P2 fuzzy OE weight"/>
    <tableColumn id="66" name="P2 goal BV multiplier"/>
    <tableColumn id="67" name="P2 goal TC multiplier"/>
    <tableColumn id="68" name="P2 goal RR multiplier"/>
    <tableColumn id="69" name="P2 goal OE multiplier"/>
    <tableColumn id="70" name="P2 financial value score"/>
    <tableColumn id="71" name="P2 weighted Cost of Delay"/>
    <tableColumn id="72" name="P2 complexity / job size"/>
    <tableColumn id="73" name="P2 WSJF v3"/>
    <tableColumn id="74" name="P2 industry-adjusted WSJF v3"/>
    <tableColumn id="75" name="P2 rank"/>
    <tableColumn id="76" name="P2 roadmap wave"/>
    <tableColumn id="77" name="P2 rationale"/>
  </tableColumns>
  <tableStyleInfo name="TableStyleLight9" showFirstColumn="0" showLastColumn="0" showRowStripes="1" showColumnStripes="0"/>
</table>
</file>

<file path=xl/tables/table5.xml><?xml version="1.0" encoding="utf-8"?>
<table xmlns="http://schemas.openxmlformats.org/spreadsheetml/2006/main" id="5" name="tblStrategy" displayName="tblStrategy" ref="A4:AR18" totalsRowShown="0">
  <autoFilter ref="A4:AR18"/>
  <tableColumns count="44">
    <tableColumn id="1" name="Strategy ID"/>
    <tableColumn id="2" name="Strategy"/>
    <tableColumn id="3" name="Description"/>
    <tableColumn id="4" name="Recommended when"/>
    <tableColumn id="5" name="Typical outcome"/>
    <tableColumn id="6" name="Priority initiative themes"/>
    <tableColumn id="7" name="Owner role"/>
    <tableColumn id="8" name="Default timeline"/>
    <tableColumn id="9" name="KPI examples"/>
    <tableColumn id="10" name="Base importance"/>
    <tableColumn id="11" name="Digital focus weight"/>
    <tableColumn id="12" name="Resilience focus weight"/>
    <tableColumn id="13" name="Process focus weight"/>
    <tableColumn id="14" name="Complexity / job size"/>
    <tableColumn id="15" name="Rationale"/>
    <tableColumn id="16" name="War / security crisis"/>
    <tableColumn id="17" name="Physical site loss"/>
    <tableColumn id="18" name="Cyberattack / ransomware"/>
    <tableColumn id="19" name="Cloud / SaaS outage"/>
    <tableColumn id="20" name="Supplier / logistics disruption"/>
    <tableColumn id="21" name="Energy / utilities outage"/>
    <tableColumn id="22" name="Financial liquidity crisis"/>
    <tableColumn id="23" name="Demand shock"/>
    <tableColumn id="24" name="Pandemic / health crisis"/>
    <tableColumn id="25" name="Regulatory / legal shock"/>
    <tableColumn id="26" name="Reputation crisis"/>
    <tableColumn id="27" name="Company Geography"/>
    <tableColumn id="28" name="Strategy GTM"/>
    <tableColumn id="29" name="Governance Crisis"/>
    <tableColumn id="30" name="HR Workforce"/>
    <tableColumn id="31" name="Finance Procurement"/>
    <tableColumn id="32" name="Legal Risk"/>
    <tableColumn id="33" name="Physical Safety"/>
    <tableColumn id="34" name="Delivery Ops"/>
    <tableColumn id="35" name="Supply Chain"/>
    <tableColumn id="36" name="Manufacturing MES"/>
    <tableColumn id="37" name="Sales CRM"/>
    <tableColumn id="38" name="Marketing Comms"/>
    <tableColumn id="39" name="IT Cloud DR"/>
    <tableColumn id="40" name="Business Systems"/>
    <tableColumn id="41" name="Data BI AI"/>
    <tableColumn id="42" name="Cyber Privacy"/>
    <tableColumn id="43" name="Quality Portfolio"/>
    <tableColumn id="44" name="Trigger domains"/>
  </tableColumns>
  <tableStyleInfo name="TableStyleLight9" showFirstColumn="0" showLastColumn="0" showRowStripes="1" showColumnStripes="0"/>
</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_rels/sheet4.xml.rels><Relationships xmlns="http://schemas.openxmlformats.org/package/2006/relationships"><Relationship Type="http://schemas.openxmlformats.org/officeDocument/2006/relationships/comments" Target="/xl/comments/comment2.xml" Id="comments"/><Relationship Type="http://schemas.openxmlformats.org/officeDocument/2006/relationships/vmlDrawing" Target="/xl/drawings/commentsDrawing2.vml" Id="anysvml"/></Relationships>
</file>

<file path=xl/worksheets/_rels/sheet5.xml.rels><Relationships xmlns="http://schemas.openxmlformats.org/package/2006/relationships"><Relationship Type="http://schemas.openxmlformats.org/officeDocument/2006/relationships/comments" Target="/xl/comments/comment3.xml" Id="comments"/><Relationship Type="http://schemas.openxmlformats.org/officeDocument/2006/relationships/vmlDrawing" Target="/xl/drawings/commentsDrawing3.vml" Id="anysvml"/></Relationships>
</file>

<file path=xl/worksheets/_rels/sheet12.xml.rels><Relationships xmlns="http://schemas.openxmlformats.org/package/2006/relationships"><Relationship Type="http://schemas.openxmlformats.org/officeDocument/2006/relationships/comments" Target="/xl/comments/comment9.xml" Id="comments"/><Relationship Type="http://schemas.openxmlformats.org/officeDocument/2006/relationships/vmlDrawing" Target="/xl/drawings/commentsDrawing9.vml" Id="anysvml"/></Relationships>
</file>

<file path=xl/worksheets/_rels/sheet13.xml.rels><Relationships xmlns="http://schemas.openxmlformats.org/package/2006/relationships"><Relationship Type="http://schemas.openxmlformats.org/officeDocument/2006/relationships/comments" Target="/xl/comments/comment10.xml" Id="comments"/><Relationship Type="http://schemas.openxmlformats.org/officeDocument/2006/relationships/vmlDrawing" Target="/xl/drawings/commentsDrawing10.vml" Id="anysvml"/></Relationships>
</file>

<file path=xl/worksheets/_rels/sheet15.xml.rels><Relationships xmlns="http://schemas.openxmlformats.org/package/2006/relationships"><Relationship Type="http://schemas.openxmlformats.org/officeDocument/2006/relationships/comments" Target="/xl/comments/comment12.xml" Id="comments"/><Relationship Type="http://schemas.openxmlformats.org/officeDocument/2006/relationships/vmlDrawing" Target="/xl/drawings/commentsDrawing12.vml" Id="anysvml"/><Relationship Id="rId1" Type="http://schemas.openxmlformats.org/officeDocument/2006/relationships/table" Target="../tables/table4.xml"/></Relationships>
</file>

<file path=xl/worksheets/_rels/sheet16.xml.rels><Relationships xmlns="http://schemas.openxmlformats.org/package/2006/relationships"><Relationship Type="http://schemas.openxmlformats.org/officeDocument/2006/relationships/table" Target="/xl/tables/table3.xml" Id="rId1"/><Relationship Type="http://schemas.openxmlformats.org/officeDocument/2006/relationships/comments" Target="/xl/comments/comment13.xml" Id="comments"/><Relationship Type="http://schemas.openxmlformats.org/officeDocument/2006/relationships/vmlDrawing" Target="/xl/drawings/commentsDrawing13.vml" Id="anysvml"/></Relationships>
</file>

<file path=xl/worksheets/_rels/sheet17.xml.rels><Relationships xmlns="http://schemas.openxmlformats.org/package/2006/relationships"><Relationship Type="http://schemas.openxmlformats.org/officeDocument/2006/relationships/comments" Target="/xl/comments/comment14.xml" Id="comments"/><Relationship Type="http://schemas.openxmlformats.org/officeDocument/2006/relationships/vmlDrawing" Target="/xl/drawings/commentsDrawing14.vml" Id="anysvml"/></Relationships>
</file>

<file path=xl/worksheets/_rels/sheet18.xml.rels><Relationships xmlns="http://schemas.openxmlformats.org/package/2006/relationships"><Relationship Type="http://schemas.openxmlformats.org/officeDocument/2006/relationships/comments" Target="/xl/comments/comment15.xml" Id="comments"/><Relationship Type="http://schemas.openxmlformats.org/officeDocument/2006/relationships/vmlDrawing" Target="/xl/drawings/commentsDrawing15.vml" Id="anysvml"/></Relationships>
</file>

<file path=xl/worksheets/_rels/sheet19.xml.rels><Relationships xmlns="http://schemas.openxmlformats.org/package/2006/relationships"><Relationship Type="http://schemas.openxmlformats.org/officeDocument/2006/relationships/comments" Target="/xl/comments/comment16.xml" Id="comments"/><Relationship Type="http://schemas.openxmlformats.org/officeDocument/2006/relationships/vmlDrawing" Target="/xl/drawings/commentsDrawing16.vml" Id="anysvml"/><Relationship Id="rId1" Type="http://schemas.openxmlformats.org/officeDocument/2006/relationships/table" Target="../tables/table5.xml"/></Relationships>
</file>

<file path=xl/worksheets/_rels/sheet20.xml.rels><Relationships xmlns="http://schemas.openxmlformats.org/package/2006/relationships"><Relationship Type="http://schemas.openxmlformats.org/officeDocument/2006/relationships/comments" Target="/xl/comments/comment17.xml" Id="comments"/><Relationship Type="http://schemas.openxmlformats.org/officeDocument/2006/relationships/vmlDrawing" Target="/xl/drawings/commentsDrawing17.vml" Id="anysvml"/></Relationships>
</file>

<file path=xl/worksheets/_rels/sheet21.xml.rels><Relationships xmlns="http://schemas.openxmlformats.org/package/2006/relationships"><Relationship Type="http://schemas.openxmlformats.org/officeDocument/2006/relationships/comments" Target="/xl/comments/comment18.xml" Id="comments"/><Relationship Type="http://schemas.openxmlformats.org/officeDocument/2006/relationships/vmlDrawing" Target="/xl/drawings/commentsDrawing18.vml" Id="anysvml"/></Relationships>
</file>

<file path=xl/worksheets/sheet1.xml><?xml version="1.0" encoding="utf-8"?>
<worksheet xmlns="http://schemas.openxmlformats.org/spreadsheetml/2006/main">
  <dimension ref="A1:F30"/>
  <sheetViews>
    <sheetView workbookViewId="0">
      <pane ySplit="4" topLeftCell="A5" activePane="bottomLeft" state="frozen"/>
    </sheetView>
  </sheetViews>
  <sheetFormatPr defaultRowHeight="15"/>
  <cols>
    <col min="1" max="1" width="18" customWidth="1"/>
    <col min="2" max="2" width="36" customWidth="1"/>
    <col min="3" max="3" width="78" customWidth="1"/>
    <col min="4" max="4" width="20" customWidth="1"/>
    <col min="5" max="5" width="20" customWidth="1"/>
    <col min="6" max="6" width="20" customWidth="1"/>
  </cols>
  <sheetData>
    <row r="1">
      <c r="A1" t="inlineStr">
        <is>
          <t>RR-framework v1.99 — Logic Engine Template</t>
        </is>
        <is>
          <t>RR-framework v1.992 — Logic Engine Template</t>
        </is>
      </c>
    </row>
    <row r="2">
      <c r="A2" t="inlineStr">
        <is>
          <t>Clean workbook architecture: user inputs, consolidated outputs, engine/data layers and incremental safe staging cleanup.</t>
        </is>
      </c>
      <c r="B2" t="inlineStr">
        <is>
          <t>RR-framework v1.991 — AS-IS scoring staging refactor</t>
        </is>
        <is>
          <t>RR-framework v1.992 — crisis/fuzzy staging refactor; clean 20-sheet architecture for Excel logic prototype and future web app backend design.</t>
        </is>
      </c>
    </row>
    <row r="3"/>
    <row r="4">
      <c r="A4" t="inlineStr">
        <is>
          <t>Recommended flow</t>
        </is>
      </c>
      <c r="B4" t="inlineStr">
        <is>
          <t>Sheet</t>
        </is>
      </c>
      <c r="C4" t="inlineStr">
        <is>
          <t>Purpose</t>
        </is>
      </c>
    </row>
    <row r="5">
      <c r="A5" t="inlineStr">
        <is>
          <t>1</t>
        </is>
      </c>
      <c r="B5" t="inlineStr">
        <is>
          <t>Company Profile</t>
        </is>
      </c>
      <c r="C5" t="inlineStr">
        <is>
          <t>Enter company context: industry, size, geography, revenue model, critical dependencies.</t>
        </is>
      </c>
    </row>
    <row r="6">
      <c r="A6" t="inlineStr">
        <is>
          <t>2</t>
        </is>
      </c>
      <c r="B6" t="inlineStr">
        <is>
          <t>Assessment Questions</t>
        </is>
      </c>
      <c r="C6" t="inlineStr">
        <is>
          <t>Complete 424-question assessment. This is the main input source for AS-IS and risk logic.</t>
        </is>
      </c>
    </row>
    <row r="7">
      <c r="A7" t="inlineStr">
        <is>
          <t>3</t>
        </is>
      </c>
      <c r="B7" t="inlineStr">
        <is>
          <t>AS-IS Assessment</t>
        </is>
      </c>
      <c r="C7" t="inlineStr">
        <is>
          <t>Current state: maturity, diagnostics, gaps and domain-level view.</t>
        </is>
      </c>
    </row>
    <row r="8">
      <c r="A8" t="inlineStr">
        <is>
          <t>4</t>
        </is>
      </c>
      <c r="B8" t="inlineStr">
        <is>
          <t>Resilience &amp; Risk Scenario</t>
        </is>
      </c>
      <c r="C8" t="inlineStr">
        <is>
          <t>Scenario-adjusted state: crisis, fuzzy posture, resilience and risks.</t>
        </is>
      </c>
    </row>
    <row r="9">
      <c r="A9" t="inlineStr">
        <is>
          <t>5</t>
        </is>
      </c>
      <c r="B9" t="inlineStr">
        <is>
          <t>Action Plan &amp; Roadmap</t>
        </is>
      </c>
      <c r="C9" t="inlineStr">
        <is>
          <t>What to do next: recommendations, initiatives, P2 WSJF and roadmap waves.</t>
        </is>
      </c>
    </row>
    <row r="10">
      <c r="A10" t="inlineStr">
        <is>
          <t>6</t>
        </is>
      </c>
      <c r="B10" t="inlineStr">
        <is>
          <t>Model Calibration</t>
        </is>
      </c>
      <c r="C10" t="inlineStr">
        <is>
          <t>Admin/consultant controls and parameter guidance.</t>
        </is>
      </c>
    </row>
    <row r="11"/>
    <row r="12">
      <c r="A12" t="inlineStr">
        <is>
          <t>Visible sheets in v1.99</t>
        </is>
        <is>
          <t>Visible sheets in v1.992</t>
        </is>
      </c>
      <c r="B12" t="inlineStr">
        <is>
          <t>① START HERE; Release &amp; QA; Methodology, Controls &amp; Std; Company Profile; Assessment Questions; AS-IS Assessment; Resilience &amp; Risk Scenario; Action Plan &amp; Roadmap; Model Calibration</t>
        </is>
        <is>
          <t>① START HERE; Release &amp; QA; Methodology, Controls &amp; Std; Company Profile; Assessment Questions; AS-IS Assessment; Resilience &amp; Risk Scenario; Action Plan &amp; Roadmap; Model Calibration</t>
        </is>
      </c>
    </row>
    <row r="13">
      <c r="A13" t="inlineStr">
        <is>
          <t>Legacy handling</t>
        </is>
        <is>
          <t>Legacy handling</t>
        </is>
      </c>
      <c r="B13" t="inlineStr">
        <is>
          <t>Legacy handling: Executive Dashboard and scoring staging were removed after dependency migration. Crisis/Resilience/Fuzzy staging remains hidden until the remaining crisis/fuzzy dependencies are migrated and audited.</t>
        </is>
        <is>
          <t>Legacy presentation/staging tabs have been removed. Consolidated visible workflow sheets now read from hidden data/engine/config layers.</t>
        </is>
      </c>
    </row>
    <row r="14">
      <c r="A14" t="inlineStr">
        <is>
          <t>Architecture rule</t>
        </is>
      </c>
      <c r="B14" t="inlineStr">
        <is>
          <t>Visible layer = workflow. Hidden/veryHidden layers = source of truth, engines and configuration.</t>
        </is>
      </c>
    </row>
    <row r="18">
      <c r="A18" t="inlineStr">
        <is>
          <t>Current architecture note</t>
        </is>
      </c>
      <c r="B18" t="inlineStr">
        <is>
          <t>v1.99 removes the redundant Executive Dashboard staging sheet. Consolidated visible sheets remain the workflow layer; hidden/veryHidden sheets hold data, config, staging and calculation engines.</t>
        </is>
      </c>
    </row>
  </sheetData>
  <pageMargins left="0.7" right="0.7" top="0.75" bottom="0.75" header="0.3" footer="0.3"/>
</worksheet>
</file>

<file path=xl/worksheets/sheet2.xml><?xml version="1.0" encoding="utf-8"?>
<worksheet xmlns="http://schemas.openxmlformats.org/spreadsheetml/2006/main">
  <dimension ref="A1:E40"/>
  <sheetViews>
    <sheetView workbookViewId="0">
      <pane ySplit="8" topLeftCell="A9" activePane="bottomLeft" state="frozen"/>
    </sheetView>
  </sheetViews>
  <sheetFormatPr defaultRowHeight="15"/>
  <cols>
    <col min="1" max="1" width="22" customWidth="1"/>
    <col min="2" max="2" width="65" customWidth="1"/>
    <col min="3" max="3" width="18" customWidth="1"/>
    <col min="4" max="4" width="70" customWidth="1"/>
    <col min="5" max="5" width="20" customWidth="1"/>
  </cols>
  <sheetData>
    <row r="1">
      <c r="A1" t="inlineStr">
        <is>
          <t>RR-framework v1.991 — AS-IS Scoring Staging Refactor</t>
        </is>
        <is>
          <t>RR-framework v1.992 — Crisis/Fuzzy Staging Refactor</t>
        </is>
      </c>
    </row>
    <row r="2">
      <c r="A2" t="inlineStr">
        <is>
          <t>Release status</t>
        </is>
      </c>
      <c r="B2" t="inlineStr">
        <is>
          <t>Clean template / calculation logic preserved / redundant AS-IS dashboard staging removed</t>
        </is>
        <is>
          <t>Clean template / calculation logic preserved / final crisis-fuzzy staging sheet removed</t>
        </is>
      </c>
    </row>
    <row r="3">
      <c r="A3" t="inlineStr">
        <is>
          <t>Release status</t>
        </is>
      </c>
      <c r="B3" t="inlineStr">
        <is>
          <t>v1.991</t>
        </is>
        <is>
          <t>v1.992</t>
        </is>
      </c>
    </row>
    <row r="4">
      <c r="A4" t="inlineStr">
        <is>
          <t>Build ID</t>
        </is>
      </c>
      <c r="B4" t="inlineStr">
        <is>
          <t>RR-FRAMEWORK-v1.991-ASIS-SCORING-STAGING-REFACTOR-20260619</t>
        </is>
        <is>
          <t>RR-FRAMEWORK-v1.992-CRISIS-FUZZY-STAGING-REFACTOR-20260619</t>
        </is>
      </c>
    </row>
    <row r="5">
      <c r="A5" t="inlineStr">
        <is>
          <t>Current workbook architecture</t>
        </is>
      </c>
      <c r="B5" t="inlineStr">
        <is>
          <t>22 sheets: 9 visible workflow sheets, 9 hidden data/config/staging sheets, 4 veryHidden engine sheets.</t>
        </is>
        <is>
          <t>20 sheets: 9 visible workflow sheets, 7 hidden data/config/helper sheets, 4 veryHidden engine sheets.</t>
        </is>
      </c>
    </row>
    <row r="6">
      <c r="A6" t="inlineStr">
        <is>
          <t>Calculation policy</t>
        </is>
      </c>
      <c r="B6" t="inlineStr">
        <is>
          <t>AS-IS visible workflow now reads through consolidated output/data layers; full recalculation on open is preserved.</t>
        </is>
        <is>
          <t>Crisis scenario, fuzzy posture and crisis-domain multipliers now read from visible workflow inputs and engine/data layers; full recalculation on open is preserved.</t>
        </is>
      </c>
    </row>
    <row r="7">
      <c r="A7" t="inlineStr">
        <is>
          <t>v1.99 refactor summary</t>
        </is>
        <is>
          <t>v1.992 refactor summary</t>
        </is>
      </c>
      <c>
        <is>
          <t>The former hidden crisis/fuzzy staging sheet was removed after all formula dependencies were redirected to Resilience &amp; Risk Scenario, _ENGINE_Crisis, _ENGINE_Fuzzy_Posture and _DATA_Dashboard_Facts.</t>
        </is>
      </c>
    </row>
    <row r="8">
      <c r="A8" t="inlineStr">
        <is>
          <t>Change</t>
        </is>
      </c>
      <c r="B8" t="inlineStr">
        <is>
          <t>Status</t>
        </is>
      </c>
      <c r="C8" t="inlineStr">
        <is>
          <t>Notes</t>
        </is>
      </c>
    </row>
    <row r="9">
      <c r="A9" t="inlineStr">
        <is>
          <t>Backlog</t>
        </is>
        <is>
          <t>Backlog</t>
        </is>
      </c>
      <c r="B9" t="inlineStr">
        <is>
          <t>Next refactor target: migrate remaining crisis/resilience/fuzzy staging dependencies into data/engine layers, then delete that staging sheet after zero-reference audit.</t>
        </is>
        <is>
          <t>Next architecture target: regression-test v1.992 against v1.81/v1.93 and consider optional final cleanup of any non-formula text references or unused hidden helper ranges.</t>
        </is>
      </c>
      <c r="C9" t="inlineStr">
        <is>
          <t>Risk &amp; Recommendations and Roadmap &amp; Portfolio were already removed; Executive Dashboard removed in v1.99.</t>
        </is>
        <is>
          <t>All legacy output/staging sheets have now been removed or absorbed into engine/data layers.</t>
        </is>
      </c>
    </row>
    <row r="10">
      <c r="A10" t="inlineStr">
        <is>
          <t>Visible action layer switched to direct engine output</t>
        </is>
      </c>
      <c r="B10" t="inlineStr">
        <is>
          <t>Removed redundant scoring staging sheet; preserved AS-IS calculations through a hidden refactored scoring helper block in _DATA_Dashboard_Facts.</t>
        </is>
      </c>
      <c r="C10" t="inlineStr">
        <is>
          <t>Action Plan &amp; Roadmap now owns initiative status input and reads initiative ranking directly from _ENGINE_Initiatives.</t>
        </is>
      </c>
    </row>
    <row r="11">
      <c r="A11" t="inlineStr">
        <is>
          <t>Legacy roadmap staging removed</t>
        </is>
      </c>
      <c>
        <is>
          <t>Crisis/fuzzy staging removed; scenario inputs now live in Resilience &amp; Risk Scenario and engine helper formulas.</t>
        </is>
      </c>
      <c r="C11" t="inlineStr">
        <is>
          <t>No formulas, charts or workbook relationships reference Roadmap &amp; Portfolio.</t>
        </is>
      </c>
    </row>
    <row r="12">
      <c r="A12" t="inlineStr">
        <is>
          <t>Legacy AS-IS dashboard cleanup</t>
        </is>
      </c>
      <c>
        <is>
          <t>Backlog: perform full business scenario regression with test data before promoting to stable release.</t>
        </is>
      </c>
      <c r="C12" t="inlineStr">
        <is>
          <t>Executive Dashboard and AS-IS scoring staging removed. Crisis/Resilience/Fuzzy retained temporarily as calculation staging only.</t>
        </is>
      </c>
    </row>
    <row r="13"/>
    <row r="14">
      <c r="A14" t="inlineStr">
        <is>
          <t>Backlog ID</t>
        </is>
      </c>
      <c r="B14" t="inlineStr">
        <is>
          <t>Backlog item</t>
        </is>
      </c>
      <c r="C14" t="inlineStr">
        <is>
          <t>Target release</t>
        </is>
      </c>
      <c r="D14" t="inlineStr">
        <is>
          <t>Acceptance criteria</t>
        </is>
      </c>
    </row>
    <row r="15">
      <c r="A15" t="inlineStr">
        <is>
          <t>B-LEGACY-001</t>
        </is>
      </c>
      <c r="B15" t="inlineStr">
        <is>
          <t>Completed: redundant Executive Dashboard removed after AS-IS Assessment was redirected to _DATA_Dashboard_Facts / engines.</t>
        </is>
      </c>
      <c r="C15" t="inlineStr">
        <is>
          <t>v1.99 done</t>
        </is>
      </c>
      <c r="D15" t="inlineStr">
        <is>
          <t>No formulas reference Executive Dashboard.</t>
        </is>
      </c>
    </row>
    <row r="16">
      <c r="A16" t="inlineStr">
        <is>
          <t>B-LEGACY-002</t>
        </is>
      </c>
      <c r="B16" t="inlineStr">
        <is>
          <t>Completed: Risk &amp; Recommendations refactored into _ENGINE_Risk / _DATA_Mappings and removed.</t>
        </is>
      </c>
      <c r="C16" t="inlineStr">
        <is>
          <t>v1.97 done</t>
        </is>
      </c>
      <c r="D16" t="inlineStr">
        <is>
          <t>Risk-output, recommendation and strategy dependencies migrated before deletion.</t>
        </is>
      </c>
    </row>
    <row r="17">
      <c r="A17" t="inlineStr">
        <is>
          <t>B-LEGACY-003</t>
        </is>
      </c>
      <c r="B17" t="inlineStr">
        <is>
          <t>Completed: Roadmap &amp; Portfolio removed after Action Plan &amp; Roadmap took ownership of action/status workflow.</t>
        </is>
      </c>
      <c r="C17" t="inlineStr">
        <is>
          <t>v1.98 done</t>
        </is>
      </c>
      <c r="D17" t="inlineStr">
        <is>
          <t>Legacy sheet physically removed; Action Plan &amp; Roadmap owns status/action workflow.</t>
        </is>
      </c>
    </row>
    <row r="18">
      <c r="A18" t="inlineStr">
        <is>
          <t>B-ARCH-004</t>
        </is>
      </c>
      <c r="B18" t="inlineStr">
        <is>
          <t>Migrate remaining crisis/resilience/fuzzy staging dependencies into engine/data layers; then move major backend tables to structured tables / ID-driven formulas.</t>
        </is>
      </c>
      <c r="C18" t="inlineStr">
        <is>
          <t>future</t>
        </is>
      </c>
      <c r="D18" t="inlineStr">
        <is>
          <t>Reduced row-offset risk and simpler web-app migration.</t>
        </is>
      </c>
    </row>
    <row r="19"/>
    <row r="20">
      <c r="A20" t="inlineStr">
        <is>
          <t>QA check</t>
        </is>
      </c>
      <c r="B20" t="inlineStr">
        <is>
          <t>Expected result</t>
        </is>
      </c>
    </row>
    <row r="21">
      <c r="A21" t="inlineStr">
        <is>
          <t>XLSX structure</t>
        </is>
      </c>
      <c r="B21" t="inlineStr">
        <is>
          <t>Valid workbook relationships and content types.</t>
        </is>
      </c>
    </row>
    <row r="22">
      <c r="A22" t="inlineStr">
        <is>
          <t>Formula errors</t>
        </is>
      </c>
      <c r="B22" t="inlineStr">
        <is>
          <t>No #REF!, #DIV/0!, #VALUE!, #NAME? or #N/A tokens in formulas.</t>
        </is>
      </c>
    </row>
    <row r="23">
      <c r="A23" t="inlineStr">
        <is>
          <t>Visible user flow</t>
        </is>
      </c>
      <c r="B23" t="inlineStr">
        <is>
          <t>9 visible sheets; redundant Executive Dashboard removed; remaining staging tabs are hidden only because active formulas still depend on them.</t>
        </is>
      </c>
    </row>
    <row r="24">
      <c r="A24" t="inlineStr">
        <is>
          <t>Recalculation</t>
        </is>
      </c>
      <c r="B24" t="inlineStr">
        <is>
          <t>Full recalculation on open preserved.</t>
        </is>
      </c>
    </row>
  </sheetData>
  <pageMargins left="0.7" right="0.7" top="0.75" bottom="0.75" header="0.3" footer="0.3"/>
</worksheet>
</file>

<file path=xl/worksheets/sheet3.xml><?xml version="1.0" encoding="utf-8"?>
<worksheet xmlns="http://schemas.openxmlformats.org/spreadsheetml/2006/main">
  <dimension ref="A1:D30"/>
  <sheetViews>
    <sheetView workbookViewId="0">
      <pane ySplit="4" topLeftCell="A5" activePane="bottomLeft" state="frozen"/>
    </sheetView>
  </sheetViews>
  <sheetFormatPr defaultRowHeight="15"/>
  <cols>
    <col min="1" max="1" width="22" customWidth="1"/>
    <col min="2" max="2" width="38" customWidth="1"/>
    <col min="3" max="3" width="88" customWidth="1"/>
    <col min="4" max="4" width="20" customWidth="1"/>
  </cols>
  <sheetData>
    <row r="1">
      <c r="A1" t="inlineStr">
        <is>
          <t>Methodology, Controls &amp; Standards — v1.99</t>
        </is>
        <is>
          <t>Methodology, Controls &amp; Standards — v1.992</t>
        </is>
      </c>
    </row>
    <row r="2">
      <c r="A2" t="inlineStr">
        <is>
          <t>Current-state documentation for the consolidated logic prototype. This workbook is the calculation/methodology layer for the future web app; visual UX will be implemented in the web product.</t>
        </is>
      </c>
      <c r="B2" t="inlineStr">
        <is>
          <t>Current-state methodology for v1.991: 21-sheet architecture with AS-IS scoring refactored into the data layer.</t>
        </is>
        <is>
          <t>Current-state methodology for v1.992: 20-sheet architecture with crisis/fuzzy staging migrated into engine/data layers.</t>
        </is>
      </c>
    </row>
    <row r="3">
      <c r="A3" t="inlineStr">
        <is>
          <t>Current calculation architecture</t>
        </is>
      </c>
      <c r="B3" t="inlineStr">
        <is>
          <t>AS-IS visible output now uses consolidated workflow/data layers. Redundant Executive Dashboard staging has been removed; remaining diagnostic/crisis staging is retained only for active formulas until a future dependency refactor.</t>
        </is>
        <is>
          <t>AS-IS, crisis/fuzzy, risk, recommendation and roadmap logic now flow through consolidated visible workflow sheets and hidden engine/data layers without legacy presentation staging tabs.</t>
        </is>
      </c>
    </row>
    <row r="4">
      <c r="A4" t="inlineStr">
        <is>
          <t>Layer</t>
        </is>
      </c>
      <c r="B4" t="inlineStr">
        <is>
          <t>Visible sheet / engine</t>
        </is>
      </c>
      <c r="C4" t="inlineStr">
        <is>
          <t>Purpose</t>
        </is>
      </c>
    </row>
    <row r="5">
      <c r="A5" t="inlineStr">
        <is>
          <t>Risk engine</t>
        </is>
      </c>
      <c r="B5" t="inlineStr">
        <is>
          <t>_DATA_Assessment_Model, _DATA_Dashboard_Facts and _DATA_Mappings provide the normalized data layer for company profile, assessment and output facts.</t>
        </is>
      </c>
      <c r="C5" t="inlineStr">
        <is>
          <t>Capture company context and 424-question assessment data.</t>
        </is>
      </c>
    </row>
    <row r="6">
      <c r="A6" t="inlineStr">
        <is>
          <t>Strategy engine</t>
        </is>
      </c>
      <c r="B6" t="inlineStr">
        <is>
          <t>_ENGINE_Risk, _ENGINE_Strategy and _ENGINE_Initiatives are the sources for risk outputs, strategy scoring, recommendations, initiative prioritization and roadmap logic.</t>
        </is>
      </c>
      <c r="C6" t="inlineStr">
        <is>
          <t>Combines executive summary and diagnostics into one current-state assessment layer.</t>
        </is>
      </c>
    </row>
    <row r="7">
      <c r="A7" t="inlineStr">
        <is>
          <t>Scenario-adjusted state</t>
        </is>
      </c>
      <c r="B7" t="inlineStr">
        <is>
          <t>Resilience &amp; Risk Scenario</t>
        </is>
      </c>
      <c r="C7" t="inlineStr">
        <is>
          <t>Combines crisis selection, resilience, fuzzy posture and risk exposure into one state interpretation layer.</t>
        </is>
      </c>
    </row>
    <row r="8">
      <c r="A8" t="inlineStr">
        <is>
          <t>Action layer</t>
        </is>
      </c>
      <c r="B8" t="inlineStr">
        <is>
          <t>Action Plan &amp; Roadmap</t>
        </is>
      </c>
      <c r="C8" t="inlineStr">
        <is>
          <t>Combines recommendations, initiatives, P2 WSJF and roadmap waves into one execution layer.</t>
        </is>
      </c>
    </row>
    <row r="9">
      <c r="A9" t="inlineStr">
        <is>
          <t>Calibration</t>
        </is>
      </c>
      <c r="B9" t="inlineStr">
        <is>
          <t>Model Calibration; _CONFIG_Model_Settings; _CONFIG_Risk_Calibration</t>
        </is>
      </c>
      <c r="C9" t="inlineStr">
        <is>
          <t>Keeps visible controls separate from hidden source-of-truth parameters.</t>
        </is>
      </c>
    </row>
    <row r="10">
      <c r="A10" t="inlineStr">
        <is>
          <t>Risk engine</t>
        </is>
      </c>
      <c r="B10" t="inlineStr">
        <is>
          <t>_ENGINE_Risk</t>
        </is>
      </c>
      <c r="C10" t="inlineStr">
        <is>
          <t>Calculates risk states, impact/probability, P1-adjusted risk score and now hosts the consolidated risk-output block used by visible scenario/action sheets.</t>
        </is>
      </c>
    </row>
    <row r="11">
      <c r="A11" t="inlineStr">
        <is>
          <t>Initiative engine</t>
        </is>
      </c>
      <c r="B11" t="inlineStr">
        <is>
          <t>_ENGINE_Initiatives</t>
        </is>
      </c>
      <c r="C11" t="inlineStr">
        <is>
          <t>Calculates initiative value, risk reduction, P2 WSJF v3, rank and roadmap wave.</t>
        </is>
      </c>
    </row>
    <row r="12">
      <c r="A12" t="inlineStr">
        <is>
          <t>Crisis/fuzzy engine</t>
        </is>
      </c>
      <c r="B12" t="inlineStr">
        <is>
          <t>_ENGINE_Crisis; _ENGINE_Fuzzy_Posture</t>
        </is>
        <is>
          <t>_ENGINE_Crisis and _ENGINE_Fuzzy_Posture model crisis multipliers, cascade pressure, fuzzy membership and strategic posture. Scenario inputs are owned by Resilience &amp; Risk Scenario.</t>
        </is>
      </c>
      <c r="C12" t="inlineStr">
        <is>
          <t>Models crisis multipliers, cascade pressure and fuzzy strategic posture.</t>
        </is>
      </c>
    </row>
    <row r="13"/>
    <row r="14">
      <c r="A14" t="inlineStr">
        <is>
          <t>Fuzzy logic summary</t>
        </is>
      </c>
      <c r="B14" t="inlineStr">
        <is>
          <t>Fuzzy logic is an interpretation and prioritization-weighting layer. It converts maturity/risk pressure into membership across Fragile, Exposed, Adaptive, Resilient and Anti-fragile states. It does not overwrite baseline risk scores.</t>
        </is>
      </c>
    </row>
    <row r="15">
      <c r="A15" t="inlineStr">
        <is>
          <t>Risk logic summary</t>
        </is>
      </c>
      <c r="B15" t="inlineStr">
        <is>
          <t>Baseline probability/impact are enhanced by P1 calibration: exposure, incident history, evidence uncertainty, dependency/cascade and red-line logic.</t>
        </is>
      </c>
    </row>
    <row r="16">
      <c r="A16" t="inlineStr">
        <is>
          <t>WSJF logic summary</t>
        </is>
      </c>
      <c r="B16" t="inlineStr">
        <is>
          <t>P2 WSJF v3 uses fuzzy posture, client objective multipliers, financial value and risk-reduction pressure to prioritize initiatives.</t>
        </is>
      </c>
    </row>
    <row r="17">
      <c r="A17" t="inlineStr">
        <is>
          <t>Governance rule</t>
        </is>
      </c>
      <c r="B17" t="inlineStr">
        <is>
          <t>One source of truth per parameter. Visible sheets may summarize or reference parameters, but hidden config/engine sheets own the calculation inputs.</t>
        </is>
      </c>
    </row>
    <row r="18">
      <c r="A18" t="inlineStr">
        <is>
          <t>Legacy backlog rule</t>
        </is>
      </c>
      <c r="B18" t="inlineStr">
        <is>
          <t>Legacy deletion rule: physically remove staging sheets only after formulas are rewritten to engine/data layers and audit confirms zero remaining references.</t>
        </is>
      </c>
    </row>
  </sheetData>
  <pageMargins left="0.7" right="0.7" top="0.75" bottom="0.75" header="0.3" footer="0.3"/>
</worksheet>
</file>

<file path=xl/worksheets/sheet4.xml><?xml version="1.0" encoding="utf-8"?>
<worksheet xmlns="http://schemas.openxmlformats.org/spreadsheetml/2006/main">
  <sheetPr>
    <tabColor rgb="FF0F766E"/>
    <outlinePr summaryBelow="1" summaryRight="1"/>
    <pageSetUpPr fitToPage="1"/>
  </sheetPr>
  <dimension ref="A1:H113"/>
  <sheetViews>
    <sheetView showGridLines="0" workbookViewId="0">
      <pane ySplit="3" topLeftCell="A4" activePane="bottomLeft" state="frozen"/>
      <selection pane="bottomLeft" activeCell="A1" sqref="A1:H1"/>
    </sheetView>
  </sheetViews>
  <sheetFormatPr baseColWidth="8" defaultRowHeight="13.8"/>
  <cols>
    <col width="28" customWidth="1" style="209" min="1" max="2"/>
    <col width="52" customWidth="1" style="209" min="3" max="3"/>
    <col width="34" customWidth="1" style="209" min="4" max="4"/>
    <col width="4" customWidth="1" style="209" min="5" max="5"/>
    <col width="36" customWidth="1" style="209" min="6" max="6"/>
    <col width="30" customWidth="1" style="209" min="7" max="7"/>
    <col width="28" customWidth="1" style="209" min="8" max="8"/>
  </cols>
  <sheetData>
    <row r="1" ht="25.95" customHeight="1" s="209">
      <c r="A1" s="281" t="inlineStr">
        <is>
          <t>Company Profile — Assessment Context</t>
        </is>
      </c>
      <c r="B1" s="207" t="n"/>
      <c r="C1" s="207" t="n"/>
      <c r="D1" s="207" t="n"/>
      <c r="E1" s="207" t="n"/>
      <c r="F1" s="207" t="n"/>
      <c r="G1" s="207" t="n"/>
      <c r="H1" s="207" t="n"/>
    </row>
    <row r="2" ht="34.05" customHeight="1" s="209">
      <c r="A2" s="267" t="inlineStr">
        <is>
          <t>Fill this once per organization. This clean template contains no client/test profile data; profile answers drive targets, risk context, crisis interpretation and roadmap priorities.</t>
        </is>
      </c>
    </row>
    <row r="3" ht="14.4" customHeight="1" s="209">
      <c r="A3" s="197">
        <f>HYPERLINK("#'① START HERE'!A1","⌂ START HERE")</f>
        <v/>
      </c>
      <c r="C3" s="195" t="inlineStr">
        <is>
          <t>✎ Input: edit coloured cells only — everything else is formula-driven.</t>
        </is>
      </c>
    </row>
    <row r="4" ht="24" customHeight="1" s="209">
      <c r="A4" s="131" t="inlineStr">
        <is>
          <t>Profile field</t>
        </is>
      </c>
      <c r="B4" s="131" t="inlineStr">
        <is>
          <t>Value / input</t>
        </is>
      </c>
      <c r="C4" s="131" t="inlineStr">
        <is>
          <t>Guidance</t>
        </is>
      </c>
      <c r="D4" s="131" t="inlineStr">
        <is>
          <t>Used by</t>
        </is>
      </c>
      <c r="E4" s="131" t="n"/>
      <c r="F4" s="131" t="inlineStr">
        <is>
          <t>How this sheet is used</t>
        </is>
      </c>
      <c r="G4" s="131" t="n"/>
      <c r="H4" s="131" t="n"/>
    </row>
    <row r="5" ht="32.1" customHeight="1" s="209">
      <c r="A5" s="31" t="inlineStr">
        <is>
          <t>Organization name</t>
        </is>
      </c>
      <c r="B5" s="132" t="n"/>
      <c r="C5" s="25" t="inlineStr">
        <is>
          <t>Legal or commercial name used in the assessment.</t>
        </is>
      </c>
      <c r="D5" s="25" t="inlineStr">
        <is>
          <t>Dashboard / executive summary</t>
        </is>
      </c>
      <c r="F5" s="233" t="inlineStr">
        <is>
          <t>1. Define organization context and assessment boundaries.
2. Use Crisis Simulator for active scenario and severity.
3. Use Assessment date as the roadmap start date.
4. Use target scores to calibrate expected maturity level.
5. Keep LLM and financial analysis outside this workbook version.</t>
        </is>
      </c>
      <c r="G5" s="234" t="n"/>
      <c r="H5" s="235" t="n"/>
    </row>
    <row r="6" ht="32.1" customHeight="1" s="209">
      <c r="A6" s="31" t="inlineStr">
        <is>
          <t>Assessment date</t>
        </is>
      </c>
      <c r="B6" s="282">
        <f>TODAY()</f>
        <v/>
      </c>
      <c r="C6" s="25" t="inlineStr">
        <is>
          <t>Baseline date. Defaults to TODAY() and can be replaced by the actual assessment date.</t>
        </is>
      </c>
      <c r="D6" s="25" t="inlineStr">
        <is>
          <t>Gantt Roadmap</t>
        </is>
      </c>
      <c r="F6" s="236" t="n"/>
      <c r="H6" s="237" t="n"/>
    </row>
    <row r="7" ht="32.1" customHeight="1" s="209">
      <c r="A7" s="31" t="inlineStr">
        <is>
          <t>Assessment owner</t>
        </is>
      </c>
      <c r="B7" s="132" t="n"/>
      <c r="C7" s="25" t="inlineStr">
        <is>
          <t>Person responsible for coordinating the assessment.</t>
        </is>
      </c>
      <c r="D7" s="25" t="inlineStr">
        <is>
          <t>Quality Control</t>
        </is>
      </c>
      <c r="F7" s="236" t="n"/>
      <c r="H7" s="237" t="n"/>
    </row>
    <row r="8" ht="32.1" customHeight="1" s="209">
      <c r="A8" s="31" t="inlineStr">
        <is>
          <t>Executive sponsor</t>
        </is>
      </c>
      <c r="B8" s="132" t="n"/>
      <c r="C8" s="25" t="inlineStr">
        <is>
          <t>Senior owner who accepts priorities and crisis roadmap.</t>
        </is>
      </c>
      <c r="D8" s="25" t="inlineStr">
        <is>
          <t>Roadmap governance</t>
        </is>
      </c>
      <c r="F8" s="236" t="n"/>
      <c r="H8" s="237" t="n"/>
    </row>
    <row r="9" ht="32.1" customHeight="1" s="209">
      <c r="A9" s="31" t="inlineStr">
        <is>
          <t>Industry</t>
        </is>
      </c>
      <c r="B9" s="132" t="n"/>
      <c r="C9" s="25" t="inlineStr">
        <is>
          <t>Primary industry or sector.</t>
        </is>
      </c>
      <c r="D9" s="25" t="inlineStr">
        <is>
          <t>Strategy logic</t>
        </is>
      </c>
      <c r="F9" s="238" t="n"/>
      <c r="G9" s="239" t="n"/>
      <c r="H9" s="240" t="n"/>
    </row>
    <row r="10" ht="32.1" customHeight="1" s="209">
      <c r="A10" s="31" t="inlineStr">
        <is>
          <t>Sub-industry / segment</t>
        </is>
      </c>
      <c r="B10" s="132" t="n"/>
      <c r="C10" s="25" t="inlineStr">
        <is>
          <t>More specific segment, e.g. manufacturing, SaaS, retail, healthcare.</t>
        </is>
      </c>
      <c r="D10" s="25" t="inlineStr">
        <is>
          <t>Strategy logic</t>
        </is>
      </c>
    </row>
    <row r="11" ht="32.1" customHeight="1" s="209">
      <c r="A11" s="31" t="inlineStr">
        <is>
          <t>Headquarters country</t>
        </is>
      </c>
      <c r="B11" s="132" t="n"/>
      <c r="C11" s="25" t="inlineStr">
        <is>
          <t>Country where the main legal or management entity is located.</t>
        </is>
      </c>
      <c r="D11" s="25" t="inlineStr">
        <is>
          <t>Risk context</t>
        </is>
      </c>
    </row>
    <row r="12" ht="32.1" customHeight="1" s="209">
      <c r="A12" s="31" t="inlineStr">
        <is>
          <t>Operating countries / regions</t>
        </is>
      </c>
      <c r="B12" s="132" t="n"/>
      <c r="C12" s="25" t="inlineStr">
        <is>
          <t>List countries, regions and key cities where the company operates.</t>
        </is>
      </c>
      <c r="D12" s="25" t="inlineStr">
        <is>
          <t>Geographical exposure</t>
        </is>
      </c>
    </row>
    <row r="13" ht="32.1" customHeight="1" s="209">
      <c r="A13" s="31" t="inlineStr">
        <is>
          <t>Ownership type</t>
        </is>
      </c>
      <c r="B13" s="132" t="n"/>
      <c r="C13" s="25" t="inlineStr">
        <is>
          <t>Private, public, state-owned, family-owned, PE-backed, NGO or other.</t>
        </is>
      </c>
      <c r="D13" s="25" t="inlineStr">
        <is>
          <t>Governance context</t>
        </is>
      </c>
    </row>
    <row r="14" ht="32.1" customHeight="1" s="209">
      <c r="A14" s="31" t="inlineStr">
        <is>
          <t>Legal entities</t>
        </is>
      </c>
      <c r="B14" s="132" t="n"/>
      <c r="C14" s="25" t="inlineStr">
        <is>
          <t>Main legal entities and subsidiaries.</t>
        </is>
      </c>
      <c r="D14" s="25" t="inlineStr">
        <is>
          <t>Legal / continuity context</t>
        </is>
      </c>
    </row>
    <row r="15" ht="32.1" customHeight="1" s="209">
      <c r="A15" s="31" t="inlineStr">
        <is>
          <t>Employee count</t>
        </is>
      </c>
      <c r="B15" s="132" t="n"/>
      <c r="C15" s="25" t="inlineStr">
        <is>
          <t>Total employees and contractors.</t>
        </is>
      </c>
      <c r="D15" s="25" t="inlineStr">
        <is>
          <t>HR / continuity logic</t>
        </is>
      </c>
    </row>
    <row r="16" ht="32.1" customHeight="1" s="209">
      <c r="A16" s="31" t="inlineStr">
        <is>
          <t>Revenue size band</t>
        </is>
      </c>
      <c r="B16" s="132" t="n"/>
      <c r="C16" s="25" t="inlineStr">
        <is>
          <t>Annual revenue band.</t>
        </is>
      </c>
      <c r="D16" s="25" t="inlineStr">
        <is>
          <t>Financial context, not calculation</t>
        </is>
      </c>
    </row>
    <row r="17" ht="32.1" customHeight="1" s="209">
      <c r="A17" s="31" t="inlineStr">
        <is>
          <t>Operating model</t>
        </is>
      </c>
      <c r="B17" s="132" t="n"/>
      <c r="C17" s="25" t="inlineStr">
        <is>
          <t>Centralized, decentralized, hub-and-spoke, remote-first, multi-site, franchise, hybrid.</t>
        </is>
      </c>
      <c r="D17" s="25" t="inlineStr">
        <is>
          <t>Crisis exposure</t>
        </is>
      </c>
    </row>
    <row r="18" ht="32.1" customHeight="1" s="209">
      <c r="A18" s="31" t="inlineStr">
        <is>
          <t>Business model</t>
        </is>
      </c>
      <c r="B18" s="132" t="n"/>
      <c r="C18" s="25" t="inlineStr">
        <is>
          <t>B2B, B2C, B2B2C, marketplace, subscription, project-based, manufacturing, distribution.</t>
        </is>
      </c>
      <c r="D18" s="25" t="inlineStr">
        <is>
          <t>GTM / resilience logic</t>
        </is>
      </c>
    </row>
    <row r="19" ht="32.1" customHeight="1" s="209">
      <c r="A19" s="31" t="inlineStr">
        <is>
          <t>Critical products / services</t>
        </is>
      </c>
      <c r="B19" s="132" t="n"/>
      <c r="C19" s="25" t="inlineStr">
        <is>
          <t>Products or services that must continue during disruption.</t>
        </is>
      </c>
      <c r="D19" s="25" t="inlineStr">
        <is>
          <t>Business continuity</t>
        </is>
      </c>
    </row>
    <row r="20" ht="32.1" customHeight="1" s="209">
      <c r="A20" s="31" t="inlineStr">
        <is>
          <t>ICP / key customer segments</t>
        </is>
      </c>
      <c r="B20" s="132" t="n"/>
      <c r="C20" s="25" t="inlineStr">
        <is>
          <t>Ideal customer profiles and most important customer groups.</t>
        </is>
      </c>
      <c r="D20" s="25" t="inlineStr">
        <is>
          <t>GTM / revenue resilience</t>
        </is>
      </c>
    </row>
    <row r="21" ht="32.1" customHeight="1" s="209">
      <c r="A21" s="31" t="inlineStr">
        <is>
          <t>Top markets by revenue</t>
        </is>
      </c>
      <c r="B21" s="132" t="n"/>
      <c r="C21" s="25" t="inlineStr">
        <is>
          <t>Countries, regions or customer segments with highest revenue share.</t>
        </is>
      </c>
      <c r="D21" s="25" t="inlineStr">
        <is>
          <t>Revenue concentration</t>
        </is>
      </c>
    </row>
    <row r="22" ht="32.1" customHeight="1" s="209">
      <c r="A22" s="31" t="inlineStr">
        <is>
          <t>Customer concentration</t>
        </is>
      </c>
      <c r="B22" s="132" t="n"/>
      <c r="C22" s="25" t="inlineStr">
        <is>
          <t>Share of top 1, 3 or 10 customers if known.</t>
        </is>
      </c>
      <c r="D22" s="25" t="inlineStr">
        <is>
          <t>Revenue risk</t>
        </is>
      </c>
    </row>
    <row r="23" ht="32.1" customHeight="1" s="209">
      <c r="A23" s="31" t="inlineStr">
        <is>
          <t>Critical sites / facilities</t>
        </is>
      </c>
      <c r="B23" s="132" t="n"/>
      <c r="C23" s="25" t="inlineStr">
        <is>
          <t>Offices, plants, warehouses, data centers, labs, showrooms or service centers.</t>
        </is>
      </c>
      <c r="D23" s="25" t="inlineStr">
        <is>
          <t>Physical safety / operations</t>
        </is>
      </c>
    </row>
    <row r="24" ht="32.1" customHeight="1" s="209">
      <c r="A24" s="31" t="inlineStr">
        <is>
          <t>Critical people / roles</t>
        </is>
      </c>
      <c r="B24" s="132" t="n"/>
      <c r="C24" s="25" t="inlineStr">
        <is>
          <t>Roles where loss of individuals creates continuity risk.</t>
        </is>
      </c>
      <c r="D24" s="25" t="inlineStr">
        <is>
          <t>Workforce resilience</t>
        </is>
      </c>
    </row>
    <row r="25" ht="32.1" customHeight="1" s="209">
      <c r="A25" s="31" t="inlineStr">
        <is>
          <t>Regulatory exposure level</t>
        </is>
      </c>
      <c r="B25" s="132" t="n"/>
      <c r="C25" s="25" t="inlineStr">
        <is>
          <t>Low, medium, high or critical regulatory exposure.</t>
        </is>
      </c>
      <c r="D25" s="25" t="inlineStr">
        <is>
          <t>Legal / compliance risk</t>
        </is>
      </c>
    </row>
    <row r="26" ht="32.1" customHeight="1" s="209">
      <c r="A26" s="31" t="inlineStr">
        <is>
          <t>Main regulations / obligations</t>
        </is>
      </c>
      <c r="B26" s="132" t="n"/>
      <c r="C26" s="25" t="inlineStr">
        <is>
          <t>Examples: GDPR, NIS2, HIPAA, SOX, ISO, industry licenses, customer audit obligations.</t>
        </is>
      </c>
      <c r="D26" s="25" t="inlineStr">
        <is>
          <t>Compliance context</t>
        </is>
      </c>
    </row>
    <row r="27" ht="32.1" customHeight="1" s="209">
      <c r="A27" s="31" t="inlineStr">
        <is>
          <t>Core business systems</t>
        </is>
      </c>
      <c r="B27" s="132" t="n"/>
      <c r="C27" s="25" t="inlineStr">
        <is>
          <t>ERP, CRM, MES, HRMS, BI, WMS, SCM, billing, support desk, data warehouse.</t>
        </is>
      </c>
      <c r="D27" s="25" t="inlineStr">
        <is>
          <t>Digital maturity</t>
        </is>
      </c>
    </row>
    <row r="28" ht="32.1" customHeight="1" s="209">
      <c r="A28" s="31" t="inlineStr">
        <is>
          <t>Cloud and infrastructure model</t>
        </is>
      </c>
      <c r="B28" s="132" t="n"/>
      <c r="C28" s="25" t="inlineStr">
        <is>
          <t>On-premise, public cloud, private cloud, hybrid, multi-cloud, SaaS-first.</t>
        </is>
      </c>
      <c r="D28" s="25" t="inlineStr">
        <is>
          <t>IT / DR strategy</t>
        </is>
      </c>
    </row>
    <row r="29" ht="32.1" customHeight="1" s="209">
      <c r="A29" s="31" t="inlineStr">
        <is>
          <t>Primary crisis scenario to test</t>
        </is>
      </c>
      <c r="B29">
        <f>'Resilience &amp; Risk Scenario'!$B$6</f>
      </c>
      <c r="C29" s="25" t="inlineStr">
        <is>
          <t>Active scenario is selected in Crisis Simulator.</t>
        </is>
      </c>
      <c r="D29" s="25" t="inlineStr">
        <is>
          <t>Crisis Simulator</t>
        </is>
      </c>
    </row>
    <row r="30" ht="32.1" customHeight="1" s="209">
      <c r="A30" s="31" t="inlineStr">
        <is>
          <t>Scenario severity 1-5</t>
        </is>
      </c>
      <c r="B30">
        <f>'Resilience &amp; Risk Scenario'!$B$7</f>
      </c>
      <c r="C30" s="25" t="inlineStr">
        <is>
          <t>Active scenario severity is selected in Crisis Simulator.</t>
        </is>
      </c>
      <c r="D30" s="25" t="inlineStr">
        <is>
          <t>Crisis Simulator</t>
        </is>
      </c>
    </row>
    <row r="31" ht="32.1" customHeight="1" s="209">
      <c r="A31" s="31" t="inlineStr">
        <is>
          <t>Target process maturity 0-5</t>
        </is>
      </c>
      <c r="B31" s="132" t="n"/>
      <c r="C31" s="25" t="inlineStr">
        <is>
          <t>Target level for process maturity.</t>
        </is>
      </c>
      <c r="D31" s="25" t="inlineStr">
        <is>
          <t>Gap analysis</t>
        </is>
      </c>
    </row>
    <row r="32" ht="32.1" customHeight="1" s="209">
      <c r="A32" s="31" t="inlineStr">
        <is>
          <t>Target digitalization 0-5</t>
        </is>
      </c>
      <c r="B32" s="132" t="n"/>
      <c r="C32" s="25" t="inlineStr">
        <is>
          <t>Target level for implementation of digital technologies.</t>
        </is>
      </c>
      <c r="D32" s="25" t="inlineStr">
        <is>
          <t>Gap analysis</t>
        </is>
      </c>
    </row>
    <row r="33" ht="32.1" customHeight="1" s="209">
      <c r="A33" s="31" t="inlineStr">
        <is>
          <t>Target resilience 0-5</t>
        </is>
      </c>
      <c r="B33" s="132" t="n"/>
      <c r="C33" s="25" t="inlineStr">
        <is>
          <t>Target level for resilience against relevant risks.</t>
        </is>
      </c>
      <c r="D33" s="25" t="inlineStr">
        <is>
          <t>Gap analysis</t>
        </is>
      </c>
    </row>
    <row r="34" ht="32.1" customHeight="1" s="209">
      <c r="A34" s="31" t="inlineStr">
        <is>
          <t>Assessment cadence</t>
        </is>
      </c>
      <c r="B34" s="132" t="n"/>
      <c r="C34" s="25" t="inlineStr">
        <is>
          <t>Quarterly, semi-annual, annual, or crisis-triggered review.</t>
        </is>
      </c>
      <c r="D34" s="25" t="inlineStr">
        <is>
          <t>Governance</t>
        </is>
      </c>
    </row>
    <row r="35" ht="32.1" customHeight="1" s="209">
      <c r="A35" s="31" t="inlineStr">
        <is>
          <t>Risk appetite statement</t>
        </is>
      </c>
      <c r="B35" s="132" t="n"/>
      <c r="C35" s="25" t="inlineStr">
        <is>
          <t>Closed choice: Low / Balanced / High. Low = risk-averse (targets tightened), High = more residual risk accepted (targets relaxed). Adjusts industry maturity targets across the model via _CONFIG_Model_Settings.</t>
        </is>
      </c>
      <c r="D35" s="25" t="inlineStr">
        <is>
          <t>Risk treatment</t>
        </is>
      </c>
    </row>
    <row r="36" ht="32.1" customHeight="1" s="209">
      <c r="A36" s="31" t="inlineStr">
        <is>
          <t>Key assumptions / comments</t>
        </is>
      </c>
      <c r="B36" s="132" t="n"/>
      <c r="C36" s="25" t="inlineStr">
        <is>
          <t>Context notes, assumptions, excluded scope or special assessment limitations. Leave blank until the real assessment is configured.</t>
        </is>
      </c>
      <c r="D36" s="25" t="inlineStr">
        <is>
          <t>All outputs</t>
        </is>
      </c>
    </row>
    <row r="37">
      <c r="B37" s="134" t="n"/>
    </row>
    <row r="38" ht="22.05" customHeight="1" s="209">
      <c r="A38" s="283" t="inlineStr">
        <is>
          <t>Industry Template and Improved Scoring Logic</t>
        </is>
      </c>
      <c r="B38" s="207" t="n"/>
      <c r="C38" s="207" t="n"/>
      <c r="D38" s="207" t="n"/>
      <c r="E38" s="207" t="n"/>
      <c r="F38" s="207" t="n"/>
      <c r="G38" s="207" t="n"/>
      <c r="H38" s="207" t="n"/>
    </row>
    <row r="39" ht="24" customHeight="1" s="209">
      <c r="A39" s="131" t="inlineStr">
        <is>
          <t>Selected industry template</t>
        </is>
      </c>
      <c r="B39" s="131">
        <f>B9</f>
        <v/>
      </c>
      <c r="C39" s="131" t="inlineStr">
        <is>
          <t>Used as lookup key for domain weights, targets, criticality and recommendations.</t>
        </is>
      </c>
      <c r="D39" s="131" t="n"/>
      <c r="E39" s="131" t="n"/>
      <c r="F39" s="131" t="n"/>
      <c r="G39" s="131" t="n"/>
      <c r="H39" s="131" t="n"/>
    </row>
    <row r="40" ht="36" customHeight="1" s="209">
      <c r="A40" s="41" t="inlineStr">
        <is>
          <t>Default evidence confidence</t>
        </is>
      </c>
      <c r="B40" s="135" t="inlineStr">
        <is>
          <t>Medium</t>
        </is>
      </c>
      <c r="C40" s="17" t="inlineStr">
        <is>
          <t>Used when question-level evidence confidence is blank.</t>
        </is>
      </c>
    </row>
    <row r="41" ht="36" customHeight="1" s="209">
      <c r="A41" s="41" t="inlineStr">
        <is>
          <t>Default assessor confidence</t>
        </is>
      </c>
      <c r="B41" s="135" t="inlineStr">
        <is>
          <t>Medium</t>
        </is>
      </c>
      <c r="C41" s="17" t="inlineStr">
        <is>
          <t>Used when question-level assessor confidence is blank.</t>
        </is>
      </c>
    </row>
    <row r="42" ht="36" customHeight="1" s="209">
      <c r="A42" s="41" t="inlineStr">
        <is>
          <t>Template domains</t>
        </is>
      </c>
      <c r="B42" s="42">
        <f>COUNTIF(_REF_Model_Content!$A$1:$A$157,$B$9)</f>
        <v/>
      </c>
      <c r="C42" s="17" t="inlineStr">
        <is>
          <t>Should equal 17 for a valid industry template.</t>
        </is>
      </c>
    </row>
    <row r="43" ht="36" customHeight="1" s="209">
      <c r="A43" s="41" t="inlineStr">
        <is>
          <t>Average target maturity</t>
        </is>
      </c>
      <c r="B43" s="42">
        <f>IFERROR(ROUND(AVERAGEIFS(_REF_Model_Content!$D$1:$D$157,_REF_Model_Content!$A$1:$A$157,$B$9),2),"")</f>
        <v/>
      </c>
      <c r="C43" s="17" t="inlineStr">
        <is>
          <t>Average expected maturity for selected industry.</t>
        </is>
      </c>
    </row>
    <row r="44" ht="36" customHeight="1" s="209">
      <c r="A44" s="41" t="inlineStr">
        <is>
          <t>Average criticality multiplier</t>
        </is>
      </c>
      <c r="B44" s="42">
        <f>IFERROR(ROUND(AVERAGEIFS(_REF_Model_Content!$E$1:$E$157,_REF_Model_Content!$A$1:$A$157,$B$9),2),"")</f>
        <v/>
      </c>
      <c r="C44" s="17" t="inlineStr">
        <is>
          <t>Higher value means industry makes weaknesses more material.</t>
        </is>
      </c>
    </row>
    <row r="45" ht="36" customHeight="1" s="209">
      <c r="A45" s="41" t="inlineStr">
        <is>
          <t>Critical systems</t>
        </is>
      </c>
      <c r="B45" s="42">
        <f>IFERROR(INDEX(_REF_Model_Content!$H$1:$H$157,MATCH($B$9,_REF_Model_Content!$A$1:$A$157,0)),"")</f>
        <v/>
      </c>
      <c r="C45" s="17" t="inlineStr">
        <is>
          <t>Typical systems that should be treated as critical for this industry.</t>
        </is>
      </c>
    </row>
    <row r="46" ht="36" customHeight="1" s="209">
      <c r="A46" s="41" t="inlineStr">
        <is>
          <t>Red-line controls</t>
        </is>
      </c>
      <c r="B46" s="42">
        <f>IFERROR(INDEX(_REF_Model_Content!$I$1:$I$157,MATCH($B$9,_REF_Model_Content!$A$1:$A$157,0)),"")</f>
        <v/>
      </c>
      <c r="C46" s="17" t="inlineStr">
        <is>
          <t>Minimum controls that should not be missing even if average maturity looks acceptable.</t>
        </is>
      </c>
    </row>
    <row r="47" ht="36" customHeight="1" s="209">
      <c r="A47" s="41" t="inlineStr">
        <is>
          <t>Preferred strategy logic</t>
        </is>
      </c>
      <c r="B47" s="42">
        <f>IFERROR(INDEX(_REF_Model_Content!$L$1:$L$157,MATCH($B$9,_REF_Model_Content!$A$1:$A$157,0)),"")</f>
        <v/>
      </c>
      <c r="C47" s="17" t="inlineStr">
        <is>
          <t>Strategies that receive extra relevance for this industry.</t>
        </is>
      </c>
    </row>
    <row r="48">
      <c r="B48" s="134" t="n"/>
    </row>
    <row r="49" ht="30" customHeight="1" s="209">
      <c r="A49" s="23" t="inlineStr">
        <is>
          <t>Extended Company Context Inputs (closed answers only)</t>
        </is>
      </c>
      <c r="B49" s="136" t="n"/>
      <c r="C49" s="23" t="n"/>
      <c r="D49" s="23" t="n"/>
      <c r="E49" s="23" t="n"/>
      <c r="F49" s="23" t="n"/>
      <c r="G49" s="23" t="n"/>
      <c r="H49" s="23" t="n"/>
    </row>
    <row r="50">
      <c r="A50" s="31" t="inlineStr">
        <is>
          <t>Revenue model</t>
        </is>
      </c>
      <c r="B50" s="132" t="n"/>
      <c r="C50" s="25" t="inlineStr">
        <is>
          <t>Primary revenue model used by the company.</t>
        </is>
      </c>
      <c r="D50" s="25" t="inlineStr">
        <is>
          <t>Risk, strategy and initiative logic</t>
        </is>
      </c>
    </row>
    <row r="51" ht="24" customHeight="1" s="209">
      <c r="A51" s="131" t="inlineStr">
        <is>
          <t>Secondary revenue model</t>
        </is>
      </c>
      <c r="B51" s="137" t="n"/>
      <c r="C51" s="131" t="inlineStr">
        <is>
          <t>Secondary or supporting monetization model.</t>
        </is>
      </c>
      <c r="D51" s="131" t="inlineStr">
        <is>
          <t>Revenue diversification logic</t>
        </is>
      </c>
      <c r="E51" s="131" t="n"/>
      <c r="F51" s="131" t="n"/>
      <c r="G51" s="131" t="n"/>
      <c r="H51" s="131" t="n"/>
    </row>
    <row r="52">
      <c r="A52" s="31" t="inlineStr">
        <is>
          <t>Revenue recurrence</t>
        </is>
      </c>
      <c r="B52" s="132" t="n"/>
      <c r="C52" s="25" t="inlineStr">
        <is>
          <t>Revenue stability profile.</t>
        </is>
      </c>
      <c r="D52" s="25" t="inlineStr">
        <is>
          <t>Crisis impact and revenue risk</t>
        </is>
      </c>
    </row>
    <row r="53">
      <c r="A53" s="31" t="inlineStr">
        <is>
          <t>Primary sales motion</t>
        </is>
      </c>
      <c r="B53" s="132" t="n"/>
      <c r="C53" s="25" t="inlineStr">
        <is>
          <t>Dominant sales motion.</t>
        </is>
      </c>
      <c r="D53" s="25" t="inlineStr">
        <is>
          <t>GTM and CRM strategy</t>
        </is>
      </c>
    </row>
    <row r="54" ht="25.5" customHeight="1" s="209">
      <c r="A54" s="31" t="inlineStr">
        <is>
          <t>Customer concentration: top 1 client revenue share</t>
        </is>
      </c>
      <c r="B54" s="132" t="n"/>
      <c r="C54" s="25" t="inlineStr">
        <is>
          <t>Estimated revenue share of the largest customer.</t>
        </is>
      </c>
      <c r="D54" s="25" t="inlineStr">
        <is>
          <t>Customer concentration risk</t>
        </is>
      </c>
    </row>
    <row r="55" ht="25.5" customHeight="1" s="209">
      <c r="A55" s="31" t="inlineStr">
        <is>
          <t>Customer concentration: top 5 clients revenue share</t>
        </is>
      </c>
      <c r="B55" s="132" t="n"/>
      <c r="C55" s="25" t="inlineStr">
        <is>
          <t>Estimated revenue share of top 5 customers.</t>
        </is>
      </c>
      <c r="D55" s="25" t="inlineStr">
        <is>
          <t>Customer concentration risk</t>
        </is>
      </c>
    </row>
    <row r="56" ht="25.5" customHeight="1" s="209">
      <c r="A56" s="31" t="inlineStr">
        <is>
          <t>Customer concentration: top 10 clients revenue share</t>
        </is>
      </c>
      <c r="B56" s="132" t="n"/>
      <c r="C56" s="25" t="inlineStr">
        <is>
          <t>Estimated revenue share of top 10 customers.</t>
        </is>
      </c>
      <c r="D56" s="25" t="inlineStr">
        <is>
          <t>Revenue diversification risk</t>
        </is>
      </c>
    </row>
    <row r="57" ht="25.5" customHeight="1" s="209">
      <c r="A57" s="31" t="inlineStr">
        <is>
          <t>Supplier concentration: top 1 supplier dependency</t>
        </is>
      </c>
      <c r="B57" s="132" t="n"/>
      <c r="C57" s="25" t="inlineStr">
        <is>
          <t>Estimated dependency on largest supplier/vendor/input.</t>
        </is>
      </c>
      <c r="D57" s="25" t="inlineStr">
        <is>
          <t>Supplier risk</t>
        </is>
      </c>
    </row>
    <row r="58" ht="25.5" customHeight="1" s="209">
      <c r="A58" s="31" t="inlineStr">
        <is>
          <t>Supplier concentration: top 5 supplier dependency</t>
        </is>
      </c>
      <c r="B58" s="132" t="n"/>
      <c r="C58" s="25" t="inlineStr">
        <is>
          <t>Estimated dependency on top 5 suppliers/vendors/inputs.</t>
        </is>
      </c>
      <c r="D58" s="25" t="inlineStr">
        <is>
          <t>Supply chain risk</t>
        </is>
      </c>
    </row>
    <row r="59">
      <c r="A59" s="31" t="inlineStr">
        <is>
          <t>Critical supplier substitutability</t>
        </is>
      </c>
      <c r="B59" s="132" t="n"/>
      <c r="C59" s="25" t="inlineStr">
        <is>
          <t>Availability of alternatives for critical suppliers.</t>
        </is>
      </c>
      <c r="D59" s="25" t="inlineStr">
        <is>
          <t>Supply chain resilience</t>
        </is>
      </c>
    </row>
    <row r="60">
      <c r="B60" s="134" t="n"/>
    </row>
    <row r="61" ht="30" customHeight="1" s="209">
      <c r="A61" s="23" t="inlineStr">
        <is>
          <t>Business Criticality of Locations</t>
        </is>
      </c>
      <c r="B61" s="136" t="n"/>
      <c r="C61" s="23" t="n"/>
      <c r="D61" s="23" t="n"/>
      <c r="E61" s="23" t="n"/>
      <c r="F61" s="23" t="n"/>
      <c r="G61" s="23" t="n"/>
      <c r="H61" s="23" t="n"/>
    </row>
    <row r="62" ht="15" customHeight="1" s="209">
      <c r="A62" s="23" t="inlineStr">
        <is>
          <t>Location type</t>
        </is>
      </c>
      <c r="B62" s="136" t="inlineStr">
        <is>
          <t>Business criticality</t>
        </is>
      </c>
      <c r="C62" s="23" t="inlineStr">
        <is>
          <t>Disruption impact</t>
        </is>
      </c>
      <c r="D62" s="23" t="inlineStr">
        <is>
          <t>Continuity option</t>
        </is>
      </c>
      <c r="E62" s="23" t="inlineStr">
        <is>
          <t>Used by</t>
        </is>
      </c>
      <c r="F62" s="23" t="n"/>
      <c r="G62" s="23" t="n"/>
      <c r="H62" s="23" t="n"/>
    </row>
    <row r="63" ht="63.75" customHeight="1" s="209">
      <c r="A63" s="31" t="inlineStr">
        <is>
          <t>HQ</t>
        </is>
      </c>
      <c r="B63" s="132" t="n"/>
      <c r="C63" s="32" t="n"/>
      <c r="D63" s="32" t="n"/>
      <c r="E63" s="25" t="inlineStr">
        <is>
          <t>Location and physical resilience logic</t>
        </is>
      </c>
    </row>
    <row r="64" ht="24" customHeight="1" s="209">
      <c r="A64" s="131" t="inlineStr">
        <is>
          <t>Production site</t>
        </is>
      </c>
      <c r="B64" s="137" t="n"/>
      <c r="C64" s="131" t="n"/>
      <c r="D64" s="131" t="n"/>
      <c r="E64" s="131" t="inlineStr">
        <is>
          <t>Location and physical resilience logic</t>
        </is>
      </c>
      <c r="F64" s="131" t="n"/>
      <c r="G64" s="131" t="n"/>
      <c r="H64" s="131" t="n"/>
    </row>
    <row r="65" ht="63.75" customHeight="1" s="209">
      <c r="A65" s="31" t="inlineStr">
        <is>
          <t>Warehouse</t>
        </is>
      </c>
      <c r="B65" s="132" t="n"/>
      <c r="C65" s="32" t="n"/>
      <c r="D65" s="32" t="n"/>
      <c r="E65" s="25" t="inlineStr">
        <is>
          <t>Location and physical resilience logic</t>
        </is>
      </c>
    </row>
    <row r="66" ht="63.75" customHeight="1" s="209">
      <c r="A66" s="31" t="inlineStr">
        <is>
          <t>Data center / core cloud region</t>
        </is>
      </c>
      <c r="B66" s="132" t="n"/>
      <c r="C66" s="32" t="n"/>
      <c r="D66" s="32" t="n"/>
      <c r="E66" s="25" t="inlineStr">
        <is>
          <t>Location and physical resilience logic</t>
        </is>
      </c>
    </row>
    <row r="67" ht="63.75" customHeight="1" s="209">
      <c r="A67" s="31" t="inlineStr">
        <is>
          <t>Call center / customer support center</t>
        </is>
      </c>
      <c r="B67" s="132" t="n"/>
      <c r="C67" s="32" t="n"/>
      <c r="D67" s="32" t="n"/>
      <c r="E67" s="25" t="inlineStr">
        <is>
          <t>Location and physical resilience logic</t>
        </is>
      </c>
    </row>
    <row r="68" ht="63.75" customHeight="1" s="209">
      <c r="A68" s="31" t="inlineStr">
        <is>
          <t>R&amp;D / engineering center</t>
        </is>
      </c>
      <c r="B68" s="132" t="n"/>
      <c r="C68" s="32" t="n"/>
      <c r="D68" s="32" t="n"/>
      <c r="E68" s="25" t="inlineStr">
        <is>
          <t>Location and physical resilience logic</t>
        </is>
      </c>
    </row>
    <row r="69" ht="63.75" customHeight="1" s="209">
      <c r="A69" s="31" t="inlineStr">
        <is>
          <t>Sales office</t>
        </is>
      </c>
      <c r="B69" s="132" t="n"/>
      <c r="C69" s="32" t="n"/>
      <c r="D69" s="32" t="n"/>
      <c r="E69" s="25" t="inlineStr">
        <is>
          <t>Location and physical resilience logic</t>
        </is>
      </c>
    </row>
    <row r="70" ht="63.75" customHeight="1" s="209">
      <c r="A70" s="31" t="inlineStr">
        <is>
          <t>Retail / service branch</t>
        </is>
      </c>
      <c r="B70" s="132" t="n"/>
      <c r="C70" s="32" t="n"/>
      <c r="D70" s="32" t="n"/>
      <c r="E70" s="25" t="inlineStr">
        <is>
          <t>Location and physical resilience logic</t>
        </is>
      </c>
    </row>
    <row r="71">
      <c r="B71" s="134" t="n"/>
    </row>
    <row r="72" ht="15" customHeight="1" s="209">
      <c r="A72" s="23" t="inlineStr">
        <is>
          <t>Workforce Distribution</t>
        </is>
      </c>
      <c r="B72" s="136" t="n"/>
      <c r="C72" s="23" t="n"/>
      <c r="D72" s="23" t="n"/>
      <c r="E72" s="23" t="n"/>
      <c r="F72" s="23" t="n"/>
      <c r="G72" s="23" t="n"/>
      <c r="H72" s="23" t="n"/>
    </row>
    <row r="73">
      <c r="A73" s="31" t="inlineStr">
        <is>
          <t>Countries with workforce</t>
        </is>
      </c>
      <c r="B73" s="132" t="n"/>
      <c r="C73" s="25" t="inlineStr">
        <is>
          <t>Workforce country footprint.</t>
        </is>
      </c>
      <c r="D73" s="25" t="inlineStr">
        <is>
          <t>Workforce/geographic concentration</t>
        </is>
      </c>
    </row>
    <row r="74" ht="24" customHeight="1" s="209">
      <c r="A74" s="131" t="inlineStr">
        <is>
          <t>Largest country workforce share</t>
        </is>
      </c>
      <c r="B74" s="137" t="n"/>
      <c r="C74" s="131" t="inlineStr">
        <is>
          <t>Estimated share of workforce in largest country.</t>
        </is>
      </c>
      <c r="D74" s="131" t="inlineStr">
        <is>
          <t>Workforce concentration risk</t>
        </is>
      </c>
      <c r="E74" s="131" t="n"/>
      <c r="F74" s="131" t="n"/>
      <c r="G74" s="131" t="n"/>
      <c r="H74" s="131" t="n"/>
    </row>
    <row r="75" ht="25.5" customHeight="1" s="209">
      <c r="A75" s="31" t="inlineStr">
        <is>
          <t>Largest city/location workforce share</t>
        </is>
      </c>
      <c r="B75" s="132" t="n"/>
      <c r="C75" s="25" t="inlineStr">
        <is>
          <t>Estimated share of workforce in largest city/site.</t>
        </is>
      </c>
      <c r="D75" s="25" t="inlineStr">
        <is>
          <t>Location concentration risk</t>
        </is>
      </c>
    </row>
    <row r="76" ht="25.5" customHeight="1" s="209">
      <c r="A76" s="31" t="inlineStr">
        <is>
          <t>Remote work readiness</t>
        </is>
      </c>
      <c r="B76" s="132" t="n"/>
      <c r="C76" s="25" t="inlineStr">
        <is>
          <t>Ability to continue work remotely.</t>
        </is>
      </c>
      <c r="D76" s="25" t="inlineStr">
        <is>
          <t>Pandemic/war/infrastructure resilience</t>
        </is>
      </c>
    </row>
    <row r="77" ht="25.5" customHeight="1" s="209">
      <c r="A77" s="31" t="inlineStr">
        <is>
          <t>Cross-border mobility / relocation support</t>
        </is>
      </c>
      <c r="B77" s="132" t="n"/>
      <c r="C77" s="25" t="inlineStr">
        <is>
          <t>Ability to relocate or support distributed workforce during crisis.</t>
        </is>
      </c>
      <c r="D77" s="25" t="inlineStr">
        <is>
          <t>Workforce continuity</t>
        </is>
      </c>
    </row>
    <row r="78">
      <c r="B78" s="134" t="n"/>
    </row>
    <row r="79" ht="30" customHeight="1" s="209">
      <c r="A79" s="23" t="inlineStr">
        <is>
          <t>Critical Process List (select top processes)</t>
        </is>
      </c>
      <c r="B79" s="136" t="n"/>
      <c r="C79" s="23" t="n"/>
      <c r="D79" s="23" t="n"/>
      <c r="E79" s="23" t="n"/>
      <c r="F79" s="23" t="n"/>
      <c r="G79" s="23" t="n"/>
      <c r="H79" s="23" t="n"/>
    </row>
    <row r="80">
      <c r="A80" s="31" t="inlineStr">
        <is>
          <t>Critical process #1</t>
        </is>
      </c>
      <c r="B80" s="132" t="n"/>
      <c r="C80" s="25" t="inlineStr">
        <is>
          <t>Select one of the most business-critical processes.</t>
        </is>
      </c>
      <c r="D80" s="25" t="inlineStr">
        <is>
          <t>Risk, continuity and roadmap logic</t>
        </is>
      </c>
    </row>
    <row r="81">
      <c r="A81" s="31" t="inlineStr">
        <is>
          <t>Critical process #2</t>
        </is>
      </c>
      <c r="B81" s="132" t="n"/>
      <c r="C81" s="25" t="inlineStr">
        <is>
          <t>Select one of the most business-critical processes.</t>
        </is>
      </c>
      <c r="D81" s="25" t="inlineStr">
        <is>
          <t>Risk, continuity and roadmap logic</t>
        </is>
      </c>
    </row>
    <row r="82">
      <c r="A82" s="31" t="inlineStr">
        <is>
          <t>Critical process #3</t>
        </is>
      </c>
      <c r="B82" s="132" t="n"/>
      <c r="C82" s="25" t="inlineStr">
        <is>
          <t>Select one of the most business-critical processes.</t>
        </is>
      </c>
      <c r="D82" s="25" t="inlineStr">
        <is>
          <t>Risk, continuity and roadmap logic</t>
        </is>
      </c>
    </row>
    <row r="83">
      <c r="A83" s="31" t="inlineStr">
        <is>
          <t>Critical process #4</t>
        </is>
      </c>
      <c r="B83" s="132" t="n"/>
      <c r="C83" s="25" t="inlineStr">
        <is>
          <t>Select one of the most business-critical processes.</t>
        </is>
      </c>
      <c r="D83" s="25" t="inlineStr">
        <is>
          <t>Risk, continuity and roadmap logic</t>
        </is>
      </c>
    </row>
    <row r="84" ht="24" customHeight="1" s="209">
      <c r="A84" s="131" t="inlineStr">
        <is>
          <t>Critical process #5</t>
        </is>
      </c>
      <c r="B84" s="137" t="n"/>
      <c r="C84" s="131" t="inlineStr">
        <is>
          <t>Select one of the most business-critical processes.</t>
        </is>
      </c>
      <c r="D84" s="131" t="inlineStr">
        <is>
          <t>Risk, continuity and roadmap logic</t>
        </is>
      </c>
      <c r="E84" s="131" t="n"/>
      <c r="F84" s="131" t="n"/>
      <c r="G84" s="131" t="n"/>
      <c r="H84" s="131" t="n"/>
    </row>
    <row r="85">
      <c r="B85" s="134" t="n"/>
    </row>
    <row r="86" ht="30" customHeight="1" s="209">
      <c r="A86" s="23" t="inlineStr">
        <is>
          <t>Critical Product / Service List (select top items)</t>
        </is>
      </c>
      <c r="B86" s="136" t="n"/>
      <c r="C86" s="23" t="n"/>
      <c r="D86" s="23" t="n"/>
      <c r="E86" s="23" t="n"/>
      <c r="F86" s="23" t="n"/>
      <c r="G86" s="23" t="n"/>
      <c r="H86" s="23" t="n"/>
    </row>
    <row r="87">
      <c r="A87" s="31" t="inlineStr">
        <is>
          <t>Critical product/service #1</t>
        </is>
      </c>
      <c r="B87" s="132" t="n"/>
      <c r="C87" s="25" t="inlineStr">
        <is>
          <t>Select one of the most critical products or services.</t>
        </is>
      </c>
      <c r="D87" s="25" t="inlineStr">
        <is>
          <t>Revenue and continuity logic</t>
        </is>
      </c>
    </row>
    <row r="88">
      <c r="A88" s="31" t="inlineStr">
        <is>
          <t>Critical product/service #2</t>
        </is>
      </c>
      <c r="B88" s="132" t="n"/>
      <c r="C88" s="25" t="inlineStr">
        <is>
          <t>Select one of the most critical products or services.</t>
        </is>
      </c>
      <c r="D88" s="25" t="inlineStr">
        <is>
          <t>Revenue and continuity logic</t>
        </is>
      </c>
    </row>
    <row r="89">
      <c r="A89" s="31" t="inlineStr">
        <is>
          <t>Critical product/service #3</t>
        </is>
      </c>
      <c r="B89" s="132" t="n"/>
      <c r="C89" s="25" t="inlineStr">
        <is>
          <t>Select one of the most critical products or services.</t>
        </is>
      </c>
      <c r="D89" s="25" t="inlineStr">
        <is>
          <t>Revenue and continuity logic</t>
        </is>
      </c>
    </row>
    <row r="90">
      <c r="A90" s="31" t="inlineStr">
        <is>
          <t>Critical product/service #4</t>
        </is>
      </c>
      <c r="B90" s="132" t="n"/>
      <c r="C90" s="25" t="inlineStr">
        <is>
          <t>Select one of the most critical products or services.</t>
        </is>
      </c>
      <c r="D90" s="25" t="inlineStr">
        <is>
          <t>Revenue and continuity logic</t>
        </is>
      </c>
    </row>
    <row r="91">
      <c r="A91" s="31" t="inlineStr">
        <is>
          <t>Critical product/service #5</t>
        </is>
      </c>
      <c r="B91" s="132" t="n"/>
      <c r="C91" s="25" t="inlineStr">
        <is>
          <t>Select one of the most critical products or services.</t>
        </is>
      </c>
      <c r="D91" s="25" t="inlineStr">
        <is>
          <t>Revenue and continuity logic</t>
        </is>
      </c>
    </row>
    <row r="92">
      <c r="B92" s="134" t="n"/>
    </row>
    <row r="93" ht="15" customHeight="1" s="209">
      <c r="A93" s="23" t="inlineStr">
        <is>
          <t>Crisis History</t>
        </is>
      </c>
      <c r="B93" s="136" t="n"/>
      <c r="C93" s="23" t="n"/>
      <c r="D93" s="23" t="n"/>
      <c r="E93" s="23" t="n"/>
      <c r="F93" s="23" t="n"/>
      <c r="G93" s="23" t="n"/>
      <c r="H93" s="23" t="n"/>
    </row>
    <row r="94" ht="15" customHeight="1" s="209">
      <c r="A94" s="23" t="inlineStr">
        <is>
          <t>Experienced crisis</t>
        </is>
      </c>
      <c r="B94" s="136" t="inlineStr">
        <is>
          <t>Impact level</t>
        </is>
      </c>
      <c r="C94" s="23" t="inlineStr">
        <is>
          <t>Guidance</t>
        </is>
      </c>
      <c r="D94" s="23" t="inlineStr">
        <is>
          <t>Used by</t>
        </is>
      </c>
      <c r="E94" s="23" t="n"/>
      <c r="F94" s="23" t="n"/>
      <c r="G94" s="23" t="n"/>
      <c r="H94" s="23" t="n"/>
    </row>
    <row r="95" ht="24" customHeight="1" s="209">
      <c r="A95" s="131" t="inlineStr">
        <is>
          <t>Pandemic</t>
        </is>
      </c>
      <c r="B95" s="137" t="n"/>
      <c r="C95" s="131" t="inlineStr">
        <is>
          <t>Select a crisis the organization has already experienced and its observed impact.</t>
        </is>
      </c>
      <c r="D95" s="131" t="inlineStr">
        <is>
          <t>Calibration of scenario logic</t>
        </is>
      </c>
      <c r="E95" s="131" t="n"/>
      <c r="F95" s="131" t="n"/>
      <c r="G95" s="131" t="n"/>
      <c r="H95" s="131" t="n"/>
    </row>
    <row r="96" ht="26.4" customHeight="1" s="209">
      <c r="A96" s="32" t="inlineStr">
        <is>
          <t>War / geopolitical escalation</t>
        </is>
      </c>
      <c r="B96" s="132" t="n"/>
      <c r="C96" s="25" t="inlineStr">
        <is>
          <t>Select a crisis the organization has already experienced and its observed impact.</t>
        </is>
      </c>
      <c r="D96" s="25" t="inlineStr">
        <is>
          <t>Calibration of scenario logic</t>
        </is>
      </c>
    </row>
    <row r="97" ht="26.4" customHeight="1" s="209">
      <c r="A97" s="32" t="inlineStr">
        <is>
          <t>Cyberattack / ransomware</t>
        </is>
      </c>
      <c r="B97" s="132" t="n"/>
      <c r="C97" s="25" t="inlineStr">
        <is>
          <t>Select a crisis the organization has already experienced and its observed impact.</t>
        </is>
      </c>
      <c r="D97" s="25" t="inlineStr">
        <is>
          <t>Calibration of scenario logic</t>
        </is>
      </c>
    </row>
    <row r="98" ht="26.4" customHeight="1" s="209">
      <c r="A98" s="32" t="inlineStr">
        <is>
          <t>Supply chain disruption</t>
        </is>
      </c>
      <c r="B98" s="132" t="n"/>
      <c r="C98" s="25" t="inlineStr">
        <is>
          <t>Select a crisis the organization has already experienced and its observed impact.</t>
        </is>
      </c>
      <c r="D98" s="25" t="inlineStr">
        <is>
          <t>Calibration of scenario logic</t>
        </is>
      </c>
    </row>
    <row r="99" ht="26.4" customHeight="1" s="209">
      <c r="A99" s="32" t="inlineStr">
        <is>
          <t>None experienced</t>
        </is>
      </c>
      <c r="B99" s="132" t="n"/>
      <c r="C99" s="25" t="inlineStr">
        <is>
          <t>Select a crisis the organization has already experienced and its observed impact.</t>
        </is>
      </c>
      <c r="D99" s="25" t="inlineStr">
        <is>
          <t>Calibration of scenario logic</t>
        </is>
      </c>
    </row>
    <row r="100">
      <c r="B100" s="134" t="n"/>
    </row>
    <row r="101">
      <c r="A101" t="inlineStr">
        <is>
          <t>Change Capacity and Brownfield</t>
        </is>
      </c>
      <c r="B101" s="134" t="n"/>
    </row>
    <row r="102">
      <c r="A102" t="inlineStr">
        <is>
          <t>Monthly change capacity (complexity points)</t>
        </is>
      </c>
      <c r="B102" s="134" t="n"/>
      <c r="C102" t="inlineStr">
        <is>
          <t>Sum of initiative complexity points the organization can absorb per month. Rule of thumb: ~3 points per dedicated change FTE; adjust by transformation experience. Used as the overload threshold in Gantt Roadmap.</t>
        </is>
      </c>
      <c r="D102" t="inlineStr">
        <is>
          <t>Gantt Roadmap</t>
        </is>
      </c>
    </row>
    <row r="103">
      <c r="A103" t="inlineStr">
        <is>
          <t>Transformation experience</t>
        </is>
      </c>
      <c r="B103" s="134" t="n"/>
      <c r="C103" t="inlineStr">
        <is>
          <t>Low = few successful change programs (reduce capacity); High = mature PMO and delivery track record.</t>
        </is>
      </c>
      <c r="D103" t="inlineStr">
        <is>
          <t>Capacity guidance</t>
        </is>
      </c>
    </row>
    <row r="104">
      <c r="A104" t="inlineStr">
        <is>
          <t>Brownfield note</t>
        </is>
      </c>
      <c r="B104" s="134" t="n"/>
      <c r="C104" t="inlineStr">
        <is>
          <t>Mark initiatives already underway or completed on the Initiative Status sheet. Done / Not applicable items are excluded from rankings and the roadmap; In progress items keep consuming capacity.</t>
        </is>
      </c>
    </row>
    <row r="105" ht="24" customHeight="1" s="209">
      <c r="A105" s="131" t="inlineStr">
        <is>
          <t>Company size band</t>
        </is>
      </c>
      <c r="B105" s="137" t="n"/>
      <c r="C105" s="131" t="inlineStr">
        <is>
          <t>Peer benchmarks are size-adjusted. Eurostat DII shows ~1-level digital maturity gap between SMEs and large enterprises.</t>
        </is>
      </c>
      <c r="D105" s="131" t="inlineStr">
        <is>
          <t>Benchmark View</t>
        </is>
      </c>
      <c r="E105" s="131" t="n"/>
      <c r="F105" s="131" t="n"/>
      <c r="G105" s="131" t="n"/>
      <c r="H105" s="131" t="n"/>
    </row>
    <row r="106">
      <c r="B106" s="134" t="n"/>
    </row>
    <row r="107">
      <c r="A107" t="inlineStr">
        <is>
          <t>Financial Anchors (hard data)</t>
        </is>
      </c>
      <c r="B107" s="134" t="n"/>
    </row>
    <row r="108">
      <c r="A108" t="inlineStr">
        <is>
          <t>Annual revenue band</t>
        </is>
      </c>
      <c r="B108" s="134" t="n"/>
      <c r="C108" t="inlineStr">
        <is>
          <t>Pick the closest band. Used to monetize risks (cost of inaction) and size revenue-at-risk.</t>
        </is>
      </c>
      <c r="D108" t="inlineStr">
        <is>
          <t>Financial Resilience / Cost of inaction</t>
        </is>
      </c>
    </row>
    <row r="109">
      <c r="A109" t="inlineStr">
        <is>
          <t>Gross margin %</t>
        </is>
      </c>
      <c r="B109" s="134" t="n"/>
      <c r="C109" t="inlineStr">
        <is>
          <t>Approximate gross margin as decimal (0.35 = 35%). Used for EBITDA-proxy impact.</t>
        </is>
      </c>
      <c r="D109" t="inlineStr">
        <is>
          <t>Financial Resilience / Cost of inaction</t>
        </is>
      </c>
    </row>
    <row r="110">
      <c r="A110" t="inlineStr">
        <is>
          <t>Cash runway (months if sales stop)</t>
        </is>
      </c>
      <c r="B110" s="134" t="n"/>
      <c r="C110" t="inlineStr">
        <is>
          <t>Months the company survives on cash + committed financing with zero new sales.</t>
        </is>
      </c>
      <c r="D110" t="inlineStr">
        <is>
          <t>Financial Resilience / Cost of inaction</t>
        </is>
      </c>
    </row>
    <row r="111">
      <c r="A111" t="inlineStr">
        <is>
          <t>Debt load</t>
        </is>
      </c>
      <c r="B111" s="134" t="n"/>
      <c r="C111" t="inlineStr">
        <is>
          <t>Qualitative leverage level relative to EBITDA.</t>
        </is>
      </c>
      <c r="D111" t="inlineStr">
        <is>
          <t>Financial Resilience / Cost of inaction</t>
        </is>
      </c>
    </row>
    <row r="112">
      <c r="A112" t="inlineStr">
        <is>
          <t>FX exposure (foreign-currency revenue share)</t>
        </is>
      </c>
      <c r="B112" s="134" t="n"/>
      <c r="C112" t="inlineStr">
        <is>
          <t>Share of revenue in currencies other than the cost base.</t>
        </is>
      </c>
      <c r="D112" t="inlineStr">
        <is>
          <t>Financial Resilience / Cost of inaction</t>
        </is>
      </c>
    </row>
    <row r="113">
      <c r="A113" t="inlineStr">
        <is>
          <t>Revenue midpoint used (EUR k)</t>
        </is>
      </c>
      <c r="B113">
        <f>_xlfn.IFNA(VLOOKUP($B$108,_CONFIG_Model_Settings!$A$154:$B$158,2,0),12500)</f>
        <v/>
      </c>
      <c r="C113" t="inlineStr">
        <is>
          <t>Calculated from the revenue band. Override with the exact number if known.</t>
        </is>
      </c>
    </row>
  </sheetData>
  <autoFilter ref="A4:D36"/>
  <mergeCells count="4">
    <mergeCell ref="F5:H9"/>
    <mergeCell ref="A38:H38"/>
    <mergeCell ref="A2:H2"/>
    <mergeCell ref="A1:H1"/>
  </mergeCells>
  <dataValidations count="12">
    <dataValidation sqref="B9" showDropDown="0" showInputMessage="0" showErrorMessage="0" allowBlank="1" type="list">
      <formula1>"Manufacturing,IT services,SaaS,Retail,Distribution,Healthcare,Pharma,Energy,Financial services,Telecom,Logistics,Construction,Public sector,Other"</formula1>
    </dataValidation>
    <dataValidation sqref="B13" showDropDown="0" showInputMessage="0" showErrorMessage="0" allowBlank="1" type="list">
      <formula1>"Private,Public,State-owned,Family-owned,PE-backed,VC-backed,NGO,Other"</formula1>
    </dataValidation>
    <dataValidation sqref="B25" showDropDown="0" showInputMessage="0" showErrorMessage="0" allowBlank="1" type="list">
      <formula1>"Low,Medium,High,Critical"</formula1>
    </dataValidation>
    <dataValidation sqref="B34" showDropDown="0" showInputMessage="0" showErrorMessage="0" allowBlank="1" type="list">
      <formula1>"Quarterly,Semi-annual,Annual,Crisis-triggered,Other"</formula1>
    </dataValidation>
    <dataValidation sqref="B31 B32 B33" showDropDown="0" showInputMessage="0" showErrorMessage="0" allowBlank="1" type="whole">
      <formula1>0</formula1>
      <formula2>5</formula2>
    </dataValidation>
    <dataValidation sqref="B35" showDropDown="0" showInputMessage="0" showErrorMessage="0" allowBlank="1" type="list">
      <formula1>"Low,Balanced,High"</formula1>
    </dataValidation>
    <dataValidation sqref="B103" showDropDown="0" showInputMessage="0" showErrorMessage="0" allowBlank="1" type="list">
      <formula1>"Low,Medium,High"</formula1>
    </dataValidation>
    <dataValidation sqref="B105" showDropDown="0" showInputMessage="0" showErrorMessage="0" allowBlank="1" type="list">
      <formula1>"Micro (&lt;10),Small (10-49),Medium (50-249),Large (250-999),Enterprise (1000+)"</formula1>
    </dataValidation>
    <dataValidation sqref="B108" showDropDown="0" showInputMessage="0" showErrorMessage="0" allowBlank="1" type="list">
      <formula1>"&lt;1M EUR,1-5M EUR,5-20M EUR,20-100M EUR,&gt;100M EUR"</formula1>
    </dataValidation>
    <dataValidation sqref="B110" showDropDown="0" showInputMessage="0" showErrorMessage="0" allowBlank="1" type="list">
      <formula1>"&lt;3,3-6,6-12,12+"</formula1>
    </dataValidation>
    <dataValidation sqref="B111" showDropDown="0" showInputMessage="0" showErrorMessage="0" allowBlank="1" type="list">
      <formula1>"None,Low,Moderate,High"</formula1>
    </dataValidation>
    <dataValidation sqref="B112" showDropDown="0" showInputMessage="0" showErrorMessage="0" allowBlank="1" type="list">
      <formula1>"&lt;10%,10-30%,30-60%,&gt;60%"</formula1>
    </dataValidation>
  </dataValidations>
  <pageMargins left="0.75" right="0.75" top="1" bottom="1" header="0.5" footer="0.5"/>
  <pageSetup orientation="landscape" fitToHeight="0"/>
  <headerFooter>
    <oddHeader/>
    <oddFooter>&amp;R© Roman Reznikov / RR-framework — CC BY-NC-SA 4.0 — For authorized use only</oddFooter>
    <evenHeader/>
    <evenFooter>&amp;R© Roman Reznikov / RR-framework — CC BY-NC-SA 4.0 — For authorized use only</evenFooter>
    <firstHeader/>
    <firstFooter>&amp;R© Roman Reznikov / RR-framework — CC BY-NC-SA 4.0 — For authorized use only</firstFooter>
  </headerFooter>
  <legacyDrawing xmlns:r="http://schemas.openxmlformats.org/officeDocument/2006/relationships" r:id="anysvml"/>
</worksheet>
</file>

<file path=xl/worksheets/sheet5.xml><?xml version="1.0" encoding="utf-8"?>
<worksheet xmlns="http://schemas.openxmlformats.org/spreadsheetml/2006/main">
  <sheetPr>
    <tabColor rgb="FF0F766E"/>
    <outlinePr summaryBelow="1" summaryRight="1"/>
    <pageSetUpPr fitToPage="1"/>
  </sheetPr>
  <dimension ref="A1:AY428"/>
  <sheetViews>
    <sheetView showGridLines="0" workbookViewId="0">
      <pane xSplit="7" ySplit="4" topLeftCell="H5" activePane="bottomRight" state="frozen"/>
      <selection pane="topRight" activeCell="A1" sqref="A1"/>
      <selection pane="bottomLeft" activeCell="A1" sqref="A1"/>
      <selection pane="bottomRight" activeCell="A1" sqref="A1"/>
    </sheetView>
  </sheetViews>
  <sheetFormatPr baseColWidth="8" defaultRowHeight="13.8"/>
  <cols>
    <col width="22" customWidth="1" style="209" min="1" max="1"/>
    <col width="18" customWidth="1" style="209" min="2" max="2"/>
    <col width="10" customWidth="1" style="209" min="3" max="3"/>
    <col width="14" customWidth="1" style="209" min="4" max="4"/>
    <col width="24" customWidth="1" style="209" min="5" max="5"/>
    <col width="56" customWidth="1" style="209" min="6" max="6"/>
    <col width="42" customWidth="1" style="209" min="7" max="7"/>
    <col width="32" customWidth="1" style="209" min="8" max="8"/>
    <col width="42" customWidth="1" style="209" min="9" max="9"/>
    <col width="12" customWidth="1" style="209" min="10" max="14"/>
    <col width="14" customWidth="1" style="209" min="15" max="15"/>
    <col width="28" customWidth="1" style="209" min="16" max="22"/>
    <col width="18" customWidth="1" style="209" min="23" max="23"/>
    <col width="42" customWidth="1" style="209" min="24" max="25"/>
    <col width="12" customWidth="1" style="209" min="26" max="28"/>
    <col width="22" customWidth="1" style="209" min="29" max="29"/>
    <col width="18" customWidth="1" style="209" min="30" max="30"/>
    <col width="38" customWidth="1" style="209" min="31" max="31"/>
    <col width="12" customWidth="1" style="209" min="32" max="33"/>
    <col width="14" customWidth="1" style="209" min="34" max="34"/>
    <col width="12" customWidth="1" style="209" min="35" max="36"/>
    <col width="15" customWidth="1" style="209" min="37" max="42"/>
    <col width="18" customWidth="1" style="209" min="43" max="43"/>
    <col width="16" customWidth="1" style="209" min="44" max="45"/>
    <col width="18" customWidth="1" style="209" min="46" max="47"/>
    <col width="20" customWidth="1" style="209" min="48" max="48"/>
    <col width="18" customWidth="1" style="209" min="49" max="50"/>
    <col width="20" customWidth="1" style="209" min="51" max="51"/>
  </cols>
  <sheetData>
    <row r="1" ht="25.95" customHeight="1" s="209">
      <c r="A1" s="198" t="inlineStr">
        <is>
          <t>Assessment Questions — Consolidated Input</t>
        </is>
      </c>
      <c r="B1" s="138" t="n"/>
      <c r="C1" s="138" t="n"/>
      <c r="D1" s="138" t="n"/>
      <c r="E1" s="138" t="n"/>
      <c r="F1" s="138" t="n"/>
      <c r="G1" s="138" t="n"/>
      <c r="H1" s="138" t="n"/>
      <c r="I1" s="138" t="n"/>
      <c r="J1" s="138" t="n"/>
      <c r="K1" s="138" t="n"/>
      <c r="L1" s="138" t="n"/>
      <c r="M1" s="138" t="n"/>
      <c r="N1" s="138" t="n"/>
      <c r="O1" s="138" t="n"/>
      <c r="P1" s="138" t="n"/>
      <c r="Q1" s="138" t="n"/>
      <c r="R1" s="138" t="n"/>
      <c r="S1" s="138" t="n"/>
      <c r="T1" s="138" t="n"/>
      <c r="U1" s="138" t="n"/>
      <c r="V1" s="138" t="n"/>
    </row>
    <row r="2" ht="34.05" customHeight="1" s="209">
      <c r="A2" s="208" t="inlineStr">
        <is>
          <t>Main assessment surface with all 424 questions. Use green/input columns for answers, evidence confidence, coverage, owners and comments.</t>
        </is>
      </c>
      <c r="B2" s="125" t="n"/>
      <c r="C2" s="125" t="n"/>
      <c r="D2" s="125" t="n"/>
      <c r="E2" s="125" t="n"/>
      <c r="F2" s="125" t="n"/>
      <c r="G2" s="125" t="n"/>
      <c r="H2" s="125" t="n"/>
      <c r="I2" s="125" t="n"/>
      <c r="J2" s="125" t="n"/>
      <c r="K2" s="125" t="n"/>
      <c r="L2" s="125" t="n"/>
      <c r="M2" s="125" t="n"/>
      <c r="N2" s="125" t="n"/>
      <c r="O2" s="125" t="n"/>
      <c r="P2" s="125" t="n"/>
      <c r="Q2" s="125" t="n"/>
      <c r="R2" s="125" t="n"/>
      <c r="S2" s="125" t="n"/>
      <c r="T2" s="125" t="n"/>
      <c r="U2" s="125" t="n"/>
      <c r="V2" s="125" t="n"/>
    </row>
    <row r="3" ht="14.4" customHeight="1" s="209">
      <c r="A3" s="197">
        <f>HYPERLINK("#'① START HERE'!A1","⌂ START HERE")</f>
        <v/>
      </c>
      <c r="C3" s="195" t="inlineStr">
        <is>
          <t>✎ Input: edit answer / confidence / comment columns only — the rest is formula-driven.</t>
        </is>
      </c>
    </row>
    <row r="4" ht="24" customHeight="1" s="209">
      <c r="A4" s="131" t="inlineStr">
        <is>
          <t>Domain</t>
        </is>
      </c>
      <c r="B4" s="131" t="inlineStr">
        <is>
          <t>Source sheet</t>
        </is>
      </c>
      <c r="C4" s="131" t="inlineStr">
        <is>
          <t>Source row</t>
        </is>
      </c>
      <c r="D4" s="131" t="inlineStr">
        <is>
          <t>ID</t>
        </is>
      </c>
      <c r="E4" s="131" t="inlineStr">
        <is>
          <t>Subdomain</t>
        </is>
      </c>
      <c r="F4" s="131" t="inlineStr">
        <is>
          <t>Question</t>
        </is>
      </c>
      <c r="G4" s="131" t="inlineStr">
        <is>
          <t>Crisis relevance / why it matters</t>
        </is>
      </c>
      <c r="H4" s="131" t="inlineStr">
        <is>
          <t>Standards / frameworks</t>
        </is>
      </c>
      <c r="I4" s="131" t="inlineStr">
        <is>
          <t>Evidence to request</t>
        </is>
      </c>
      <c r="J4" s="131" t="inlineStr">
        <is>
          <t>Weight 1-5</t>
        </is>
      </c>
      <c r="K4" s="131" t="inlineStr">
        <is>
          <t>Score 0-5 (auto from answer)</t>
        </is>
      </c>
      <c r="L4" s="131" t="inlineStr">
        <is>
          <t>Weighted score</t>
        </is>
      </c>
      <c r="M4" s="131" t="inlineStr">
        <is>
          <t>Max score</t>
        </is>
      </c>
      <c r="N4" s="131" t="inlineStr">
        <is>
          <t>Gap</t>
        </is>
      </c>
      <c r="O4" s="131" t="inlineStr">
        <is>
          <t>Risk level</t>
        </is>
      </c>
      <c r="P4" s="131" t="inlineStr">
        <is>
          <t>Score 0 criteria</t>
        </is>
      </c>
      <c r="Q4" s="131" t="inlineStr">
        <is>
          <t>Score 1 criteria</t>
        </is>
      </c>
      <c r="R4" s="131" t="inlineStr">
        <is>
          <t>Score 2 criteria</t>
        </is>
      </c>
      <c r="S4" s="131" t="inlineStr">
        <is>
          <t>Score 3 criteria</t>
        </is>
      </c>
      <c r="T4" s="131" t="inlineStr">
        <is>
          <t>Score 4 criteria</t>
        </is>
      </c>
      <c r="U4" s="131" t="inlineStr">
        <is>
          <t>Score 5 criteria</t>
        </is>
      </c>
      <c r="V4" s="131" t="inlineStr">
        <is>
          <t>Crisis scenario tags</t>
        </is>
      </c>
      <c r="W4" s="131" t="inlineStr">
        <is>
          <t>Owner / SME</t>
        </is>
      </c>
      <c r="X4" s="131" t="inlineStr">
        <is>
          <t>Comments / findings</t>
        </is>
      </c>
      <c r="Y4" s="131" t="inlineStr">
        <is>
          <t>Recommended action</t>
        </is>
      </c>
      <c r="Z4" s="131" t="inlineStr">
        <is>
          <t>Digitalization relevance 0-5</t>
        </is>
      </c>
      <c r="AA4" s="131" t="inlineStr">
        <is>
          <t>Resilience relevance 0-5</t>
        </is>
      </c>
      <c r="AB4" s="131" t="inlineStr">
        <is>
          <t>Process maturity relevance 0-5</t>
        </is>
      </c>
      <c r="AC4" s="131" t="inlineStr">
        <is>
          <t>Answer - select stage</t>
        </is>
      </c>
      <c r="AD4" s="131" t="inlineStr">
        <is>
          <t>Subarea</t>
        </is>
      </c>
      <c r="AE4" s="131" t="inlineStr">
        <is>
          <t>Questions</t>
        </is>
      </c>
      <c r="AF4" s="131" t="inlineStr">
        <is>
          <t>Avg score 0-5</t>
        </is>
      </c>
      <c r="AG4" s="131" t="inlineStr">
        <is>
          <t>Maturity %</t>
        </is>
      </c>
      <c r="AH4" s="131" t="inlineStr">
        <is>
          <t>Critical/High</t>
        </is>
      </c>
      <c r="AI4" s="131" t="inlineStr">
        <is>
          <t>Gap to 5</t>
        </is>
      </c>
      <c r="AJ4" s="131" t="inlineStr">
        <is>
          <t>Answered</t>
        </is>
      </c>
      <c r="AK4" s="131" t="inlineStr">
        <is>
          <t>Evidence confidence</t>
        </is>
      </c>
      <c r="AL4" s="131" t="inlineStr">
        <is>
          <t>Assessor confidence</t>
        </is>
      </c>
      <c r="AM4" s="131" t="inlineStr">
        <is>
          <t>Evidence factor</t>
        </is>
      </c>
      <c r="AN4" s="131" t="inlineStr">
        <is>
          <t>Assessor factor</t>
        </is>
      </c>
      <c r="AO4" t="inlineStr">
        <is>
          <t>Confidence-adjusted score 0-5</t>
        </is>
      </c>
      <c r="AP4" t="inlineStr">
        <is>
          <t>Normalized score 0-100</t>
        </is>
      </c>
      <c r="AQ4" t="inlineStr">
        <is>
          <t>Industry target 0-5</t>
        </is>
      </c>
      <c r="AR4" t="inlineStr">
        <is>
          <t>Gap to industry target</t>
        </is>
      </c>
      <c r="AS4" t="inlineStr">
        <is>
          <t>Industry criticality multiplier</t>
        </is>
      </c>
      <c r="AT4" t="inlineStr">
        <is>
          <t>Industry-adjusted gap priority</t>
        </is>
      </c>
      <c r="AU4" t="inlineStr">
        <is>
          <t>Improved scoring note</t>
        </is>
      </c>
      <c r="AV4" t="inlineStr">
        <is>
          <t>v2 conf-adj score</t>
        </is>
      </c>
      <c r="AW4" t="inlineStr">
        <is>
          <t>v2 conf factor</t>
        </is>
      </c>
      <c r="AX4" t="inlineStr">
        <is>
          <t>Coverage (how widely deployed)</t>
        </is>
      </c>
      <c r="AY4" t="inlineStr">
        <is>
          <t>Coverage factor</t>
        </is>
      </c>
    </row>
    <row r="5" ht="96.59999999999999" customHeight="1" s="209">
      <c r="A5" t="inlineStr">
        <is>
          <t>Company Geography</t>
        </is>
      </c>
      <c r="B5" t="inlineStr">
        <is>
          <t>Company Geography</t>
        </is>
      </c>
      <c r="C5" t="n">
        <v>5</v>
      </c>
      <c r="D5" s="3" t="inlineStr">
        <is>
          <t>COMP-001</t>
        </is>
      </c>
      <c r="E5" s="3" t="inlineStr">
        <is>
          <t>Company profile</t>
        </is>
      </c>
      <c r="F5" s="3" t="inlineStr">
        <is>
          <t>How mature is the organization in managing legal entity structure, ownership, subsidiaries and operating countries, including ownership, evidence, metrics, fallback procedures and crisis stress testing?</t>
        </is>
      </c>
      <c r="G5" s="3" t="inlineStr">
        <is>
          <t>This topic affects exposure to Geopolitical risk; Physical site loss; Regulatory/legal shock. It helps identify how disruption may impact operations, people, revenue, systems, legal exposure or recovery time.</t>
        </is>
      </c>
      <c r="H5" s="3" t="inlineStr">
        <is>
          <t>ISO 22301; ISO 31000; ISO 9001; ISO 37000; PESTLE; Business Model Canvas</t>
        </is>
      </c>
      <c r="I5" s="3" t="inlineStr">
        <is>
          <t>Policy/SOP; owner/RACI; system report; dashboard; contracts; test records; incident history; interview evidence related to legal entity structure, ownership, subsidiaries and operating countries.</t>
        </is>
      </c>
      <c r="J5" s="3" t="n">
        <v>3</v>
      </c>
      <c r="K5" s="85">
        <f>_DATA_Assessment_Model!H5</f>
        <v/>
      </c>
      <c r="L5" s="4">
        <f>_DATA_Assessment_Model!I5</f>
        <v/>
      </c>
      <c r="M5" s="4">
        <f>_DATA_Assessment_Model!J5</f>
        <v/>
      </c>
      <c r="N5" s="4">
        <f>_DATA_Assessment_Model!K5</f>
        <v/>
      </c>
      <c r="O5" s="3">
        <f>_DATA_Assessment_Model!L5</f>
        <v/>
      </c>
      <c r="P5" s="3" t="inlineStr">
        <is>
          <t>No reliable evidence that legal entity structure, ownership, subsidiaries and operating countries is defined, owned or managed.</t>
        </is>
      </c>
      <c r="Q5" s="3" t="inlineStr">
        <is>
          <t>Legal entity structure, ownership, subsidiaries and operating countries is handled informally and depends on individual knowledge or heroic effort.</t>
        </is>
      </c>
      <c r="R5" s="3" t="inlineStr">
        <is>
          <t>Legal entity structure, ownership, subsidiaries and operating countries is partially documented or implemented, but coverage is inconsistent and not crisis-tested.</t>
        </is>
      </c>
      <c r="S5" s="3" t="inlineStr">
        <is>
          <t>Legal entity structure, ownership, subsidiaries and operating countries is documented, owned, used in normal operations and supported by basic evidence or metrics.</t>
        </is>
      </c>
      <c r="T5" s="3" t="inlineStr">
        <is>
          <t>Legal entity structure, ownership, subsidiaries and operating countries is measured, periodically reviewed, integrated with related processes and tested against relevant disruption scenarios.</t>
        </is>
      </c>
      <c r="U5" s="3" t="inlineStr">
        <is>
          <t>Legal entity structure, ownership, subsidiaries and operating countries is optimized, continuously improved, automated where practical and demonstrably supports crisis resilience.</t>
        </is>
      </c>
      <c r="V5" s="3" t="inlineStr">
        <is>
          <t>Geopolitical risk; Physical site loss; Regulatory/legal shock</t>
        </is>
      </c>
      <c r="W5" s="3" t="n"/>
      <c r="X5" s="3" t="n"/>
      <c r="Y5" s="3" t="inlineStr">
        <is>
          <t>Use the recommended action generated by the model; validate with domain owner during real assessment.</t>
        </is>
      </c>
      <c r="Z5" s="7" t="n">
        <v>4</v>
      </c>
      <c r="AA5" s="7" t="n">
        <v>5</v>
      </c>
      <c r="AB5" s="7" t="n">
        <v>5</v>
      </c>
      <c r="AD5" t="inlineStr">
        <is>
          <t>Company profile</t>
        </is>
      </c>
      <c r="AE5" s="6">
        <f>_DATA_Assessment_Model!AB5</f>
        <v/>
      </c>
      <c r="AF5" s="8">
        <f>_DATA_Assessment_Model!AC5</f>
        <v/>
      </c>
      <c r="AG5" s="9">
        <f>_DATA_Assessment_Model!AD5</f>
        <v/>
      </c>
      <c r="AH5" s="6">
        <f>_DATA_Assessment_Model!AE5</f>
        <v/>
      </c>
      <c r="AI5" s="8">
        <f>_DATA_Assessment_Model!AF5</f>
        <v/>
      </c>
      <c r="AJ5" s="6">
        <f>_DATA_Assessment_Model!AG5</f>
        <v/>
      </c>
      <c r="AK5" s="46" t="n"/>
      <c r="AL5" s="46" t="n"/>
      <c r="AM5" s="247">
        <f>_DATA_Assessment_Model!AJ5</f>
        <v/>
      </c>
      <c r="AN5" s="247">
        <f>_DATA_Assessment_Model!AK5</f>
        <v/>
      </c>
      <c r="AO5" s="247">
        <f>_DATA_Assessment_Model!AL5</f>
        <v/>
      </c>
      <c r="AP5" s="247">
        <f>_DATA_Assessment_Model!AM5</f>
        <v/>
      </c>
      <c r="AQ5" s="247">
        <f>_DATA_Assessment_Model!AN5</f>
        <v/>
      </c>
      <c r="AR5" s="247">
        <f>_DATA_Assessment_Model!AO5</f>
        <v/>
      </c>
      <c r="AS5" s="247">
        <f>_DATA_Assessment_Model!AP5</f>
        <v/>
      </c>
      <c r="AT5" s="247">
        <f>_DATA_Assessment_Model!AQ5</f>
        <v/>
      </c>
      <c r="AU5" s="247">
        <f>_DATA_Assessment_Model!AR5</f>
        <v/>
      </c>
      <c r="AV5" s="5">
        <f>_DATA_Assessment_Model!AS5</f>
        <v/>
      </c>
      <c r="AW5" s="5">
        <f>_DATA_Assessment_Model!AT5</f>
        <v/>
      </c>
      <c r="AY5">
        <f>_DATA_Assessment_Model!AV5</f>
        <v/>
      </c>
    </row>
    <row r="6" ht="69" customHeight="1" s="209">
      <c r="A6" t="inlineStr">
        <is>
          <t>Company Geography</t>
        </is>
      </c>
      <c r="B6" t="inlineStr">
        <is>
          <t>Company Geography</t>
        </is>
      </c>
      <c r="C6" t="n">
        <v>6</v>
      </c>
      <c r="D6" s="3" t="inlineStr">
        <is>
          <t>COMP-002</t>
        </is>
      </c>
      <c r="E6" s="3" t="inlineStr">
        <is>
          <t>Company profile</t>
        </is>
      </c>
      <c r="F6" s="3" t="inlineStr">
        <is>
          <t>How mature is the organization in managing business model, value proposition, revenue streams and cost drivers, including ownership, evidence, metrics, fallback procedures and crisis stress testing?</t>
        </is>
      </c>
      <c r="G6" s="3" t="inlineStr">
        <is>
          <t>This topic affects exposure to Geopolitical risk; Physical site loss; Regulatory/legal shock. It helps identify how disruption may impact operations, people, revenue, systems, legal exposure or recovery time.</t>
        </is>
      </c>
      <c r="H6" s="3" t="inlineStr">
        <is>
          <t>ISO 22301; ISO 31000; ISO 9001; ISO 37000; PESTLE; Business Model Canvas</t>
        </is>
      </c>
      <c r="I6" s="3" t="inlineStr">
        <is>
          <t>Policy/SOP; owner/RACI; system report; dashboard; contracts; test records; incident history; interview evidence related to business model, value proposition, revenue streams and cost drivers.</t>
        </is>
      </c>
      <c r="J6" s="3" t="n">
        <v>5</v>
      </c>
      <c r="K6" s="85">
        <f>_DATA_Assessment_Model!H6</f>
        <v/>
      </c>
      <c r="L6" s="4">
        <f>_DATA_Assessment_Model!I6</f>
        <v/>
      </c>
      <c r="M6" s="4">
        <f>_DATA_Assessment_Model!J6</f>
        <v/>
      </c>
      <c r="N6" s="4">
        <f>_DATA_Assessment_Model!K6</f>
        <v/>
      </c>
      <c r="O6" s="3">
        <f>_DATA_Assessment_Model!L6</f>
        <v/>
      </c>
      <c r="P6" s="3" t="inlineStr">
        <is>
          <t>Does not exist; no owner, no documentation, no practice.</t>
        </is>
      </c>
      <c r="Q6" s="3" t="inlineStr">
        <is>
          <t>Ad hoc; depends entirely on specific individuals.</t>
        </is>
      </c>
      <c r="R6" s="3" t="inlineStr">
        <is>
          <t>Partially documented or implemented; coverage inconsistent; never tested under stress.</t>
        </is>
      </c>
      <c r="S6" s="3" t="inlineStr">
        <is>
          <t>Documented, owned, executed consistently; basic evidence and metrics exist.</t>
        </is>
      </c>
      <c r="T6" s="3" t="inlineStr">
        <is>
          <t>Measured and periodically tested/audited; integrated with adjacent processes.</t>
        </is>
      </c>
      <c r="U6" s="3" t="inlineStr">
        <is>
          <t>Optimized and automated where practical; stress-tested; benchmarked externally.</t>
        </is>
      </c>
      <c r="V6" s="3" t="inlineStr">
        <is>
          <t>Geopolitical risk; Physical site loss; Regulatory/legal shock</t>
        </is>
      </c>
      <c r="W6" s="3" t="n"/>
      <c r="X6" s="3" t="n"/>
      <c r="Y6" s="3" t="inlineStr">
        <is>
          <t>Use the recommended action generated by the model; validate with domain owner during real assessment.</t>
        </is>
      </c>
      <c r="Z6" s="7" t="n">
        <v>4</v>
      </c>
      <c r="AA6" s="7" t="n">
        <v>5</v>
      </c>
      <c r="AB6" s="7" t="n">
        <v>5</v>
      </c>
      <c r="AD6" t="inlineStr">
        <is>
          <t>Geographical distribution</t>
        </is>
      </c>
      <c r="AE6" s="6">
        <f>_DATA_Assessment_Model!AB6</f>
        <v/>
      </c>
      <c r="AF6" s="8">
        <f>_DATA_Assessment_Model!AC6</f>
        <v/>
      </c>
      <c r="AG6" s="9">
        <f>_DATA_Assessment_Model!AD6</f>
        <v/>
      </c>
      <c r="AH6" s="6">
        <f>_DATA_Assessment_Model!AE6</f>
        <v/>
      </c>
      <c r="AI6" s="8">
        <f>_DATA_Assessment_Model!AF6</f>
        <v/>
      </c>
      <c r="AJ6" s="6">
        <f>_DATA_Assessment_Model!AG6</f>
        <v/>
      </c>
      <c r="AK6" s="46" t="n"/>
      <c r="AL6" s="46" t="n"/>
      <c r="AM6" s="247">
        <f>_DATA_Assessment_Model!AJ6</f>
        <v/>
      </c>
      <c r="AN6" s="247">
        <f>_DATA_Assessment_Model!AK6</f>
        <v/>
      </c>
      <c r="AO6" s="247">
        <f>_DATA_Assessment_Model!AL6</f>
        <v/>
      </c>
      <c r="AP6" s="247">
        <f>_DATA_Assessment_Model!AM6</f>
        <v/>
      </c>
      <c r="AQ6" s="247">
        <f>_DATA_Assessment_Model!AN6</f>
        <v/>
      </c>
      <c r="AR6" s="247">
        <f>_DATA_Assessment_Model!AO6</f>
        <v/>
      </c>
      <c r="AS6" s="247">
        <f>_DATA_Assessment_Model!AP6</f>
        <v/>
      </c>
      <c r="AT6" s="247">
        <f>_DATA_Assessment_Model!AQ6</f>
        <v/>
      </c>
      <c r="AU6" s="247">
        <f>_DATA_Assessment_Model!AR6</f>
        <v/>
      </c>
      <c r="AV6" s="5">
        <f>_DATA_Assessment_Model!AS6</f>
        <v/>
      </c>
      <c r="AW6" s="5">
        <f>_DATA_Assessment_Model!AT6</f>
        <v/>
      </c>
      <c r="AY6">
        <f>_DATA_Assessment_Model!AV6</f>
        <v/>
      </c>
    </row>
    <row r="7" ht="69" customHeight="1" s="209">
      <c r="A7" t="inlineStr">
        <is>
          <t>Company Geography</t>
        </is>
      </c>
      <c r="B7" t="inlineStr">
        <is>
          <t>Company Geography</t>
        </is>
      </c>
      <c r="C7" t="n">
        <v>7</v>
      </c>
      <c r="D7" s="3" t="inlineStr">
        <is>
          <t>COMP-003</t>
        </is>
      </c>
      <c r="E7" s="3" t="inlineStr">
        <is>
          <t>Company profile</t>
        </is>
      </c>
      <c r="F7" s="3" t="inlineStr">
        <is>
          <t>How mature is the organization in managing critical products and services ranked by revenue, margin and continuity priority, including ownership, evidence, metrics, fallback procedures and crisis stress testing?</t>
        </is>
      </c>
      <c r="G7" s="3" t="inlineStr">
        <is>
          <t>This topic affects exposure to Geopolitical risk; Physical site loss; Regulatory/legal shock. It helps identify how disruption may impact operations, people, revenue, systems, legal exposure or recovery time.</t>
        </is>
      </c>
      <c r="H7" s="3" t="inlineStr">
        <is>
          <t>ISO 22301; ISO 31000; ISO 9001; ISO 37000; PESTLE; Business Model Canvas</t>
        </is>
      </c>
      <c r="I7" s="3" t="inlineStr">
        <is>
          <t>Policy/SOP; owner/RACI; system report; dashboard; contracts; test records; incident history; interview evidence related to critical products and services ranked by revenue, margin and continuity priority.</t>
        </is>
      </c>
      <c r="J7" s="3" t="n">
        <v>5</v>
      </c>
      <c r="K7" s="85">
        <f>_DATA_Assessment_Model!H7</f>
        <v/>
      </c>
      <c r="L7" s="4">
        <f>_DATA_Assessment_Model!I7</f>
        <v/>
      </c>
      <c r="M7" s="4">
        <f>_DATA_Assessment_Model!J7</f>
        <v/>
      </c>
      <c r="N7" s="4">
        <f>_DATA_Assessment_Model!K7</f>
        <v/>
      </c>
      <c r="O7" s="3">
        <f>_DATA_Assessment_Model!L7</f>
        <v/>
      </c>
      <c r="P7" s="3" t="inlineStr">
        <is>
          <t>Does not exist; no owner, no documentation, no practice.</t>
        </is>
      </c>
      <c r="Q7" s="3" t="inlineStr">
        <is>
          <t>Ad hoc; depends entirely on specific individuals.</t>
        </is>
      </c>
      <c r="R7" s="3" t="inlineStr">
        <is>
          <t>Partially documented or implemented; coverage inconsistent; never tested under stress.</t>
        </is>
      </c>
      <c r="S7" s="3" t="inlineStr">
        <is>
          <t>Documented, owned, executed consistently; basic evidence and metrics exist.</t>
        </is>
      </c>
      <c r="T7" s="3" t="inlineStr">
        <is>
          <t>Measured and periodically tested/audited; integrated with adjacent processes.</t>
        </is>
      </c>
      <c r="U7" s="3" t="inlineStr">
        <is>
          <t>Optimized and automated where practical; stress-tested; benchmarked externally.</t>
        </is>
      </c>
      <c r="V7" s="3" t="inlineStr">
        <is>
          <t>Geopolitical risk; Physical site loss; Regulatory/legal shock</t>
        </is>
      </c>
      <c r="W7" s="3" t="n"/>
      <c r="X7" s="3" t="n"/>
      <c r="Y7" s="3" t="inlineStr">
        <is>
          <t>Use the recommended action generated by the model; validate with domain owner during real assessment.</t>
        </is>
      </c>
      <c r="Z7" s="7" t="n">
        <v>4</v>
      </c>
      <c r="AA7" s="7" t="n">
        <v>5</v>
      </c>
      <c r="AB7" s="7" t="n">
        <v>5</v>
      </c>
      <c r="AD7" t="inlineStr">
        <is>
          <t>Context and dependencies</t>
        </is>
      </c>
      <c r="AE7" s="6">
        <f>_DATA_Assessment_Model!AB7</f>
        <v/>
      </c>
      <c r="AF7" s="8">
        <f>_DATA_Assessment_Model!AC7</f>
        <v/>
      </c>
      <c r="AG7" s="9">
        <f>_DATA_Assessment_Model!AD7</f>
        <v/>
      </c>
      <c r="AH7" s="6">
        <f>_DATA_Assessment_Model!AE7</f>
        <v/>
      </c>
      <c r="AI7" s="8">
        <f>_DATA_Assessment_Model!AF7</f>
        <v/>
      </c>
      <c r="AJ7" s="6">
        <f>_DATA_Assessment_Model!AG7</f>
        <v/>
      </c>
      <c r="AK7" s="46" t="n"/>
      <c r="AL7" s="46" t="n"/>
      <c r="AM7" s="247">
        <f>_DATA_Assessment_Model!AJ7</f>
        <v/>
      </c>
      <c r="AN7" s="247">
        <f>_DATA_Assessment_Model!AK7</f>
        <v/>
      </c>
      <c r="AO7" s="247">
        <f>_DATA_Assessment_Model!AL7</f>
        <v/>
      </c>
      <c r="AP7" s="247">
        <f>_DATA_Assessment_Model!AM7</f>
        <v/>
      </c>
      <c r="AQ7" s="247">
        <f>_DATA_Assessment_Model!AN7</f>
        <v/>
      </c>
      <c r="AR7" s="247">
        <f>_DATA_Assessment_Model!AO7</f>
        <v/>
      </c>
      <c r="AS7" s="247">
        <f>_DATA_Assessment_Model!AP7</f>
        <v/>
      </c>
      <c r="AT7" s="247">
        <f>_DATA_Assessment_Model!AQ7</f>
        <v/>
      </c>
      <c r="AU7" s="247">
        <f>_DATA_Assessment_Model!AR7</f>
        <v/>
      </c>
      <c r="AV7" s="5">
        <f>_DATA_Assessment_Model!AS7</f>
        <v/>
      </c>
      <c r="AW7" s="5">
        <f>_DATA_Assessment_Model!AT7</f>
        <v/>
      </c>
      <c r="AY7">
        <f>_DATA_Assessment_Model!AV7</f>
        <v/>
      </c>
    </row>
    <row r="8" ht="96.59999999999999" customHeight="1" s="209">
      <c r="A8" t="inlineStr">
        <is>
          <t>Company Geography</t>
        </is>
      </c>
      <c r="B8" t="inlineStr">
        <is>
          <t>Company Geography</t>
        </is>
      </c>
      <c r="C8" t="n">
        <v>8</v>
      </c>
      <c r="D8" s="3" t="inlineStr">
        <is>
          <t>COMP-004</t>
        </is>
      </c>
      <c r="E8" s="3" t="inlineStr">
        <is>
          <t>Company profile</t>
        </is>
      </c>
      <c r="F8" s="3" t="inlineStr">
        <is>
          <t>How mature is the organization in managing operating model: centralized, distributed, outsourced, remote or hybrid, including ownership, evidence, metrics, fallback procedures and crisis stress testing?</t>
        </is>
      </c>
      <c r="G8" s="3" t="inlineStr">
        <is>
          <t>This topic affects exposure to Geopolitical risk; Physical site loss; Regulatory/legal shock. It helps identify how disruption may impact operations, people, revenue, systems, legal exposure or recovery time.</t>
        </is>
      </c>
      <c r="H8" s="3" t="inlineStr">
        <is>
          <t>ISO 22301; ISO 31000; ISO 9001; ISO 37000; PESTLE; Business Model Canvas</t>
        </is>
      </c>
      <c r="I8" s="3" t="inlineStr">
        <is>
          <t>Policy/SOP; owner/RACI; system report; dashboard; contracts; test records; incident history; interview evidence related to operating model: centralized, distributed, outsourced, remote or hybrid.</t>
        </is>
      </c>
      <c r="J8" s="3" t="n">
        <v>4</v>
      </c>
      <c r="K8" s="85">
        <f>_DATA_Assessment_Model!H8</f>
        <v/>
      </c>
      <c r="L8" s="4">
        <f>_DATA_Assessment_Model!I8</f>
        <v/>
      </c>
      <c r="M8" s="4">
        <f>_DATA_Assessment_Model!J8</f>
        <v/>
      </c>
      <c r="N8" s="4">
        <f>_DATA_Assessment_Model!K8</f>
        <v/>
      </c>
      <c r="O8" s="3">
        <f>_DATA_Assessment_Model!L8</f>
        <v/>
      </c>
      <c r="P8" s="3" t="inlineStr">
        <is>
          <t>No reliable evidence that operating model: centralized, distributed, outsourced, remote or hybrid is defined, owned or managed.</t>
        </is>
      </c>
      <c r="Q8" s="3" t="inlineStr">
        <is>
          <t>Operating model: centralized, distributed, outsourced, remote or hybrid is handled informally and depends on individual knowledge or heroic effort.</t>
        </is>
      </c>
      <c r="R8" s="3" t="inlineStr">
        <is>
          <t>Operating model: centralized, distributed, outsourced, remote or hybrid is partially documented or implemented, but coverage is inconsistent and not crisis-tested.</t>
        </is>
      </c>
      <c r="S8" s="3" t="inlineStr">
        <is>
          <t>Operating model: centralized, distributed, outsourced, remote or hybrid is documented, owned, used in normal operations and supported by basic evidence or metrics.</t>
        </is>
      </c>
      <c r="T8" s="3" t="inlineStr">
        <is>
          <t>Operating model: centralized, distributed, outsourced, remote or hybrid is measured, periodically reviewed, integrated with related processes and tested against relevant disruption scenarios.</t>
        </is>
      </c>
      <c r="U8" s="3" t="inlineStr">
        <is>
          <t>Operating model: centralized, distributed, outsourced, remote or hybrid is optimized, continuously improved, automated where practical and demonstrably supports crisis resilience.</t>
        </is>
      </c>
      <c r="V8" s="3" t="inlineStr">
        <is>
          <t>Geopolitical risk; Physical site loss; Regulatory/legal shock</t>
        </is>
      </c>
      <c r="W8" s="3" t="n"/>
      <c r="X8" s="3" t="n"/>
      <c r="Y8" s="3" t="inlineStr">
        <is>
          <t>Use the recommended action generated by the model; validate with domain owner during real assessment.</t>
        </is>
      </c>
      <c r="Z8" s="7" t="n">
        <v>4</v>
      </c>
      <c r="AA8" s="7" t="n">
        <v>5</v>
      </c>
      <c r="AB8" s="7" t="n">
        <v>5</v>
      </c>
      <c r="AK8" s="46" t="n"/>
      <c r="AL8" s="46" t="n"/>
      <c r="AM8" s="247">
        <f>_DATA_Assessment_Model!AJ8</f>
        <v/>
      </c>
      <c r="AN8" s="247">
        <f>_DATA_Assessment_Model!AK8</f>
        <v/>
      </c>
      <c r="AO8" s="247">
        <f>_DATA_Assessment_Model!AL8</f>
        <v/>
      </c>
      <c r="AP8" s="247">
        <f>_DATA_Assessment_Model!AM8</f>
        <v/>
      </c>
      <c r="AQ8" s="247">
        <f>_DATA_Assessment_Model!AN8</f>
        <v/>
      </c>
      <c r="AR8" s="247">
        <f>_DATA_Assessment_Model!AO8</f>
        <v/>
      </c>
      <c r="AS8" s="247">
        <f>_DATA_Assessment_Model!AP8</f>
        <v/>
      </c>
      <c r="AT8" s="247">
        <f>_DATA_Assessment_Model!AQ8</f>
        <v/>
      </c>
      <c r="AU8" s="247">
        <f>_DATA_Assessment_Model!AR8</f>
        <v/>
      </c>
      <c r="AV8" s="5">
        <f>_DATA_Assessment_Model!AS8</f>
        <v/>
      </c>
      <c r="AW8" s="5">
        <f>_DATA_Assessment_Model!AT8</f>
        <v/>
      </c>
      <c r="AY8">
        <f>_DATA_Assessment_Model!AV8</f>
        <v/>
      </c>
    </row>
    <row r="9" ht="82.8" customHeight="1" s="209">
      <c r="A9" t="inlineStr">
        <is>
          <t>Company Geography</t>
        </is>
      </c>
      <c r="B9" t="inlineStr">
        <is>
          <t>Company Geography</t>
        </is>
      </c>
      <c r="C9" t="n">
        <v>9</v>
      </c>
      <c r="D9" s="3" t="inlineStr">
        <is>
          <t>COMP-005</t>
        </is>
      </c>
      <c r="E9" s="3" t="inlineStr">
        <is>
          <t>Company profile</t>
        </is>
      </c>
      <c r="F9" s="3" t="inlineStr">
        <is>
          <t>How mature is the organization in managing critical assets: people, facilities, systems, data, equipment and intellectual property, including ownership, evidence, metrics, fallback procedures and crisis stress testing?</t>
        </is>
      </c>
      <c r="G9" s="3" t="inlineStr">
        <is>
          <t>This topic affects exposure to Geopolitical risk; Physical site loss; Regulatory/legal shock. It helps identify how disruption may impact operations, people, revenue, systems, legal exposure or recovery time.</t>
        </is>
      </c>
      <c r="H9" s="3" t="inlineStr">
        <is>
          <t>ISO 22301; ISO 31000; ISO 9001; ISO 37000; PESTLE; Business Model Canvas</t>
        </is>
      </c>
      <c r="I9" s="3" t="inlineStr">
        <is>
          <t>Policy/SOP; owner/RACI; system report; dashboard; contracts; test records; incident history; interview evidence related to critical assets: people, facilities, systems, data, equipment and intellectual property.</t>
        </is>
      </c>
      <c r="J9" s="3" t="n">
        <v>5</v>
      </c>
      <c r="K9" s="85">
        <f>_DATA_Assessment_Model!H9</f>
        <v/>
      </c>
      <c r="L9" s="4">
        <f>_DATA_Assessment_Model!I9</f>
        <v/>
      </c>
      <c r="M9" s="4">
        <f>_DATA_Assessment_Model!J9</f>
        <v/>
      </c>
      <c r="N9" s="4">
        <f>_DATA_Assessment_Model!K9</f>
        <v/>
      </c>
      <c r="O9" s="3">
        <f>_DATA_Assessment_Model!L9</f>
        <v/>
      </c>
      <c r="P9" s="3" t="inlineStr">
        <is>
          <t>Does not exist; no owner, no documentation, no practice.</t>
        </is>
      </c>
      <c r="Q9" s="3" t="inlineStr">
        <is>
          <t>Ad hoc; depends entirely on specific individuals.</t>
        </is>
      </c>
      <c r="R9" s="3" t="inlineStr">
        <is>
          <t>Partially documented or implemented; coverage inconsistent; never tested under stress.</t>
        </is>
      </c>
      <c r="S9" s="3" t="inlineStr">
        <is>
          <t>Documented, owned, executed consistently; basic evidence and metrics exist.</t>
        </is>
      </c>
      <c r="T9" s="3" t="inlineStr">
        <is>
          <t>Measured and periodically tested/audited; integrated with adjacent processes.</t>
        </is>
      </c>
      <c r="U9" s="3" t="inlineStr">
        <is>
          <t>Optimized and automated where practical; stress-tested; benchmarked externally.</t>
        </is>
      </c>
      <c r="V9" s="3" t="inlineStr">
        <is>
          <t>Geopolitical risk; Physical site loss; Regulatory/legal shock</t>
        </is>
      </c>
      <c r="W9" s="3" t="n"/>
      <c r="X9" s="3" t="n"/>
      <c r="Y9" s="3" t="inlineStr">
        <is>
          <t>Use the recommended action generated by the model; validate with domain owner during real assessment.</t>
        </is>
      </c>
      <c r="Z9" s="7" t="n">
        <v>5</v>
      </c>
      <c r="AA9" s="7" t="n">
        <v>5</v>
      </c>
      <c r="AB9" s="7" t="n">
        <v>5</v>
      </c>
      <c r="AK9" s="46" t="n"/>
      <c r="AL9" s="46" t="n"/>
      <c r="AM9" s="247">
        <f>_DATA_Assessment_Model!AJ9</f>
        <v/>
      </c>
      <c r="AN9" s="247">
        <f>_DATA_Assessment_Model!AK9</f>
        <v/>
      </c>
      <c r="AO9" s="247">
        <f>_DATA_Assessment_Model!AL9</f>
        <v/>
      </c>
      <c r="AP9" s="247">
        <f>_DATA_Assessment_Model!AM9</f>
        <v/>
      </c>
      <c r="AQ9" s="247">
        <f>_DATA_Assessment_Model!AN9</f>
        <v/>
      </c>
      <c r="AR9" s="247">
        <f>_DATA_Assessment_Model!AO9</f>
        <v/>
      </c>
      <c r="AS9" s="247">
        <f>_DATA_Assessment_Model!AP9</f>
        <v/>
      </c>
      <c r="AT9" s="247">
        <f>_DATA_Assessment_Model!AQ9</f>
        <v/>
      </c>
      <c r="AU9" s="247">
        <f>_DATA_Assessment_Model!AR9</f>
        <v/>
      </c>
      <c r="AV9" s="5">
        <f>_DATA_Assessment_Model!AS9</f>
        <v/>
      </c>
      <c r="AW9" s="5">
        <f>_DATA_Assessment_Model!AT9</f>
        <v/>
      </c>
      <c r="AY9">
        <f>_DATA_Assessment_Model!AV9</f>
        <v/>
      </c>
    </row>
    <row r="10" ht="82.8" customHeight="1" s="209">
      <c r="A10" t="inlineStr">
        <is>
          <t>Company Geography</t>
        </is>
      </c>
      <c r="B10" t="inlineStr">
        <is>
          <t>Company Geography</t>
        </is>
      </c>
      <c r="C10" t="n">
        <v>10</v>
      </c>
      <c r="D10" s="3" t="inlineStr">
        <is>
          <t>COMP-006</t>
        </is>
      </c>
      <c r="E10" s="3" t="inlineStr">
        <is>
          <t>Company profile</t>
        </is>
      </c>
      <c r="F10" s="3" t="inlineStr">
        <is>
          <t>How mature is the organization in managing regulatory exposure by country, market, product and customer type, including ownership, evidence, metrics, fallback procedures and crisis stress testing?</t>
        </is>
      </c>
      <c r="G10" s="3" t="inlineStr">
        <is>
          <t>This topic affects exposure to Geopolitical risk; Physical site loss; Regulatory/legal shock. It helps identify how disruption may impact operations, people, revenue, systems, legal exposure or recovery time.</t>
        </is>
      </c>
      <c r="H10" s="3" t="inlineStr">
        <is>
          <t>ISO 22301; ISO 31000; ISO 9001; ISO 37000; PESTLE; Business Model Canvas</t>
        </is>
      </c>
      <c r="I10" s="3" t="inlineStr">
        <is>
          <t>Policy/SOP; owner/RACI; system report; dashboard; contracts; test records; incident history; interview evidence related to regulatory exposure by country, market, product and customer type.</t>
        </is>
      </c>
      <c r="J10" s="3" t="n">
        <v>4</v>
      </c>
      <c r="K10" s="85">
        <f>_DATA_Assessment_Model!H10</f>
        <v/>
      </c>
      <c r="L10" s="4">
        <f>_DATA_Assessment_Model!I10</f>
        <v/>
      </c>
      <c r="M10" s="4">
        <f>_DATA_Assessment_Model!J10</f>
        <v/>
      </c>
      <c r="N10" s="4">
        <f>_DATA_Assessment_Model!K10</f>
        <v/>
      </c>
      <c r="O10" s="3">
        <f>_DATA_Assessment_Model!L10</f>
        <v/>
      </c>
      <c r="P10" s="3" t="inlineStr">
        <is>
          <t>No reliable evidence that regulatory exposure by country, market, product and customer type is defined, owned or managed.</t>
        </is>
      </c>
      <c r="Q10" s="3" t="inlineStr">
        <is>
          <t>Regulatory exposure by country, market, product and customer type is handled informally and depends on individual knowledge or heroic effort.</t>
        </is>
      </c>
      <c r="R10" s="3" t="inlineStr">
        <is>
          <t>Regulatory exposure by country, market, product and customer type is partially documented or implemented, but coverage is inconsistent and not crisis-tested.</t>
        </is>
      </c>
      <c r="S10" s="3" t="inlineStr">
        <is>
          <t>Regulatory exposure by country, market, product and customer type is documented, owned, used in normal operations and supported by basic evidence or metrics.</t>
        </is>
      </c>
      <c r="T10" s="3" t="inlineStr">
        <is>
          <t>Regulatory exposure by country, market, product and customer type is measured, periodically reviewed, integrated with related processes and tested against relevant disruption scenarios.</t>
        </is>
      </c>
      <c r="U10" s="3" t="inlineStr">
        <is>
          <t>Regulatory exposure by country, market, product and customer type is optimized, continuously improved, automated where practical and demonstrably supports crisis resilience.</t>
        </is>
      </c>
      <c r="V10" s="3" t="inlineStr">
        <is>
          <t>Geopolitical risk; Physical site loss; Regulatory/legal shock</t>
        </is>
      </c>
      <c r="W10" s="3" t="n"/>
      <c r="X10" s="3" t="n"/>
      <c r="Y10" s="3" t="inlineStr">
        <is>
          <t>Use the recommended action generated by the model; validate with domain owner during real assessment.</t>
        </is>
      </c>
      <c r="Z10" s="7" t="n">
        <v>4</v>
      </c>
      <c r="AA10" s="7" t="n">
        <v>5</v>
      </c>
      <c r="AB10" s="7" t="n">
        <v>5</v>
      </c>
      <c r="AK10" s="46" t="n"/>
      <c r="AL10" s="46" t="n"/>
      <c r="AM10" s="247">
        <f>_DATA_Assessment_Model!AJ10</f>
        <v/>
      </c>
      <c r="AN10" s="247">
        <f>_DATA_Assessment_Model!AK10</f>
        <v/>
      </c>
      <c r="AO10" s="247">
        <f>_DATA_Assessment_Model!AL10</f>
        <v/>
      </c>
      <c r="AP10" s="247">
        <f>_DATA_Assessment_Model!AM10</f>
        <v/>
      </c>
      <c r="AQ10" s="247">
        <f>_DATA_Assessment_Model!AN10</f>
        <v/>
      </c>
      <c r="AR10" s="247">
        <f>_DATA_Assessment_Model!AO10</f>
        <v/>
      </c>
      <c r="AS10" s="247">
        <f>_DATA_Assessment_Model!AP10</f>
        <v/>
      </c>
      <c r="AT10" s="247">
        <f>_DATA_Assessment_Model!AQ10</f>
        <v/>
      </c>
      <c r="AU10" s="247">
        <f>_DATA_Assessment_Model!AR10</f>
        <v/>
      </c>
      <c r="AV10" s="5">
        <f>_DATA_Assessment_Model!AS10</f>
        <v/>
      </c>
      <c r="AW10" s="5">
        <f>_DATA_Assessment_Model!AT10</f>
        <v/>
      </c>
      <c r="AY10">
        <f>_DATA_Assessment_Model!AV10</f>
        <v/>
      </c>
    </row>
    <row r="11" ht="82.8" customHeight="1" s="209">
      <c r="A11" t="inlineStr">
        <is>
          <t>Company Geography</t>
        </is>
      </c>
      <c r="B11" t="inlineStr">
        <is>
          <t>Company Geography</t>
        </is>
      </c>
      <c r="C11" t="n">
        <v>11</v>
      </c>
      <c r="D11" s="3" t="inlineStr">
        <is>
          <t>COMP-007</t>
        </is>
      </c>
      <c r="E11" s="3" t="inlineStr">
        <is>
          <t>Company profile</t>
        </is>
      </c>
      <c r="F11" s="3" t="inlineStr">
        <is>
          <t>How mature is the organization in managing insurance coverage for business interruption, cyber, liability, property and key assets, including ownership, evidence, metrics, fallback procedures and crisis stress testing?</t>
        </is>
      </c>
      <c r="G11" s="3" t="inlineStr">
        <is>
          <t>This topic affects exposure to Geopolitical risk; Physical site loss; Regulatory/legal shock. It helps identify how disruption may impact operations, people, revenue, systems, legal exposure or recovery time.</t>
        </is>
      </c>
      <c r="H11" s="3" t="inlineStr">
        <is>
          <t>ISO 22301; ISO 31000; ISO 9001; ISO 37000; PESTLE; Business Model Canvas</t>
        </is>
      </c>
      <c r="I11" s="3" t="inlineStr">
        <is>
          <t>Policy/SOP; owner/RACI; system report; dashboard; contracts; test records; incident history; interview evidence related to insurance coverage for business interruption, cyber, liability, property and key assets.</t>
        </is>
      </c>
      <c r="J11" s="3" t="n">
        <v>5</v>
      </c>
      <c r="K11" s="85">
        <f>_DATA_Assessment_Model!H11</f>
        <v/>
      </c>
      <c r="L11" s="4">
        <f>_DATA_Assessment_Model!I11</f>
        <v/>
      </c>
      <c r="M11" s="4">
        <f>_DATA_Assessment_Model!J11</f>
        <v/>
      </c>
      <c r="N11" s="4">
        <f>_DATA_Assessment_Model!K11</f>
        <v/>
      </c>
      <c r="O11" s="3">
        <f>_DATA_Assessment_Model!L11</f>
        <v/>
      </c>
      <c r="P11" s="3" t="inlineStr">
        <is>
          <t>Does not exist; no owner, no documentation, no practice.</t>
        </is>
      </c>
      <c r="Q11" s="3" t="inlineStr">
        <is>
          <t>Ad hoc; depends entirely on specific individuals.</t>
        </is>
      </c>
      <c r="R11" s="3" t="inlineStr">
        <is>
          <t>Partially documented or implemented; coverage inconsistent; never tested under stress.</t>
        </is>
      </c>
      <c r="S11" s="3" t="inlineStr">
        <is>
          <t>Documented, owned, executed consistently; basic evidence and metrics exist.</t>
        </is>
      </c>
      <c r="T11" s="3" t="inlineStr">
        <is>
          <t>Measured and periodically tested/audited; integrated with adjacent processes.</t>
        </is>
      </c>
      <c r="U11" s="3" t="inlineStr">
        <is>
          <t>Optimized and automated where practical; stress-tested; benchmarked externally.</t>
        </is>
      </c>
      <c r="V11" s="3" t="inlineStr">
        <is>
          <t>Geopolitical risk; Physical site loss; Regulatory/legal shock</t>
        </is>
      </c>
      <c r="W11" s="3" t="n"/>
      <c r="X11" s="3" t="n"/>
      <c r="Y11" s="3" t="inlineStr">
        <is>
          <t>Use the recommended action generated by the model; validate with domain owner during real assessment.</t>
        </is>
      </c>
      <c r="Z11" s="7" t="n">
        <v>5</v>
      </c>
      <c r="AA11" s="7" t="n">
        <v>5</v>
      </c>
      <c r="AB11" s="7" t="n">
        <v>5</v>
      </c>
      <c r="AK11" s="46" t="n"/>
      <c r="AL11" s="46" t="n"/>
      <c r="AM11" s="247">
        <f>_DATA_Assessment_Model!AJ11</f>
        <v/>
      </c>
      <c r="AN11" s="247">
        <f>_DATA_Assessment_Model!AK11</f>
        <v/>
      </c>
      <c r="AO11" s="247">
        <f>_DATA_Assessment_Model!AL11</f>
        <v/>
      </c>
      <c r="AP11" s="247">
        <f>_DATA_Assessment_Model!AM11</f>
        <v/>
      </c>
      <c r="AQ11" s="247">
        <f>_DATA_Assessment_Model!AN11</f>
        <v/>
      </c>
      <c r="AR11" s="247">
        <f>_DATA_Assessment_Model!AO11</f>
        <v/>
      </c>
      <c r="AS11" s="247">
        <f>_DATA_Assessment_Model!AP11</f>
        <v/>
      </c>
      <c r="AT11" s="247">
        <f>_DATA_Assessment_Model!AQ11</f>
        <v/>
      </c>
      <c r="AU11" s="247">
        <f>_DATA_Assessment_Model!AR11</f>
        <v/>
      </c>
      <c r="AV11" s="5">
        <f>_DATA_Assessment_Model!AS11</f>
        <v/>
      </c>
      <c r="AW11" s="5">
        <f>_DATA_Assessment_Model!AT11</f>
        <v/>
      </c>
      <c r="AY11">
        <f>_DATA_Assessment_Model!AV11</f>
        <v/>
      </c>
    </row>
    <row r="12" ht="69" customHeight="1" s="209">
      <c r="A12" t="inlineStr">
        <is>
          <t>Company Geography</t>
        </is>
      </c>
      <c r="B12" t="inlineStr">
        <is>
          <t>Company Geography</t>
        </is>
      </c>
      <c r="C12" t="n">
        <v>12</v>
      </c>
      <c r="D12" s="3" t="inlineStr">
        <is>
          <t>COMP-008</t>
        </is>
      </c>
      <c r="E12" s="3" t="inlineStr">
        <is>
          <t>Geographical distribution</t>
        </is>
      </c>
      <c r="F12" s="3" t="inlineStr">
        <is>
          <t>How mature is the organization in managing workforce distribution by country, city, function, contract type and criticality, including ownership, evidence, metrics, fallback procedures and crisis stress testing?</t>
        </is>
      </c>
      <c r="G12" s="3" t="inlineStr">
        <is>
          <t>This topic affects exposure to Geopolitical risk; Physical site loss; Regulatory/legal shock. It helps identify how disruption may impact operations, people, revenue, systems, legal exposure or recovery time.</t>
        </is>
      </c>
      <c r="H12" s="3" t="inlineStr">
        <is>
          <t>ISO 22301; ISO 31000; ISO 9001; ISO 37000; PESTLE; Business Model Canvas</t>
        </is>
      </c>
      <c r="I12" s="3" t="inlineStr">
        <is>
          <t>Policy/SOP; owner/RACI; system report; dashboard; contracts; test records; incident history; interview evidence related to workforce distribution by country, city, function, contract type and criticality.</t>
        </is>
      </c>
      <c r="J12" s="3" t="n">
        <v>5</v>
      </c>
      <c r="K12" s="85">
        <f>_DATA_Assessment_Model!H12</f>
        <v/>
      </c>
      <c r="L12" s="4">
        <f>_DATA_Assessment_Model!I12</f>
        <v/>
      </c>
      <c r="M12" s="4">
        <f>_DATA_Assessment_Model!J12</f>
        <v/>
      </c>
      <c r="N12" s="4">
        <f>_DATA_Assessment_Model!K12</f>
        <v/>
      </c>
      <c r="O12" s="3">
        <f>_DATA_Assessment_Model!L12</f>
        <v/>
      </c>
      <c r="P12" s="3" t="inlineStr">
        <is>
          <t>Does not exist; no owner, no documentation, no practice.</t>
        </is>
      </c>
      <c r="Q12" s="3" t="inlineStr">
        <is>
          <t>Ad hoc; depends entirely on specific individuals.</t>
        </is>
      </c>
      <c r="R12" s="3" t="inlineStr">
        <is>
          <t>Partially documented or implemented; coverage inconsistent; never tested under stress.</t>
        </is>
      </c>
      <c r="S12" s="3" t="inlineStr">
        <is>
          <t>Documented, owned, executed consistently; basic evidence and metrics exist.</t>
        </is>
      </c>
      <c r="T12" s="3" t="inlineStr">
        <is>
          <t>Measured and periodically tested/audited; integrated with adjacent processes.</t>
        </is>
      </c>
      <c r="U12" s="3" t="inlineStr">
        <is>
          <t>Optimized and automated where practical; stress-tested; benchmarked externally.</t>
        </is>
      </c>
      <c r="V12" s="3" t="inlineStr">
        <is>
          <t>Geopolitical risk; Physical site loss; Regulatory/legal shock</t>
        </is>
      </c>
      <c r="W12" s="3" t="n"/>
      <c r="X12" s="3" t="n"/>
      <c r="Y12" s="3" t="inlineStr">
        <is>
          <t>Use the recommended action generated by the model; validate with domain owner during real assessment.</t>
        </is>
      </c>
      <c r="Z12" s="7" t="n">
        <v>4</v>
      </c>
      <c r="AA12" s="7" t="n">
        <v>5</v>
      </c>
      <c r="AB12" s="7" t="n">
        <v>5</v>
      </c>
      <c r="AK12" s="46" t="n"/>
      <c r="AL12" s="46" t="n"/>
      <c r="AM12" s="247">
        <f>_DATA_Assessment_Model!AJ12</f>
        <v/>
      </c>
      <c r="AN12" s="247">
        <f>_DATA_Assessment_Model!AK12</f>
        <v/>
      </c>
      <c r="AO12" s="247">
        <f>_DATA_Assessment_Model!AL12</f>
        <v/>
      </c>
      <c r="AP12" s="247">
        <f>_DATA_Assessment_Model!AM12</f>
        <v/>
      </c>
      <c r="AQ12" s="247">
        <f>_DATA_Assessment_Model!AN12</f>
        <v/>
      </c>
      <c r="AR12" s="247">
        <f>_DATA_Assessment_Model!AO12</f>
        <v/>
      </c>
      <c r="AS12" s="247">
        <f>_DATA_Assessment_Model!AP12</f>
        <v/>
      </c>
      <c r="AT12" s="247">
        <f>_DATA_Assessment_Model!AQ12</f>
        <v/>
      </c>
      <c r="AU12" s="247">
        <f>_DATA_Assessment_Model!AR12</f>
        <v/>
      </c>
      <c r="AV12" s="5">
        <f>_DATA_Assessment_Model!AS12</f>
        <v/>
      </c>
      <c r="AW12" s="5">
        <f>_DATA_Assessment_Model!AT12</f>
        <v/>
      </c>
      <c r="AY12">
        <f>_DATA_Assessment_Model!AV12</f>
        <v/>
      </c>
    </row>
    <row r="13" ht="69" customHeight="1" s="209">
      <c r="A13" t="inlineStr">
        <is>
          <t>Company Geography</t>
        </is>
      </c>
      <c r="B13" t="inlineStr">
        <is>
          <t>Company Geography</t>
        </is>
      </c>
      <c r="C13" t="n">
        <v>13</v>
      </c>
      <c r="D13" s="3" t="inlineStr">
        <is>
          <t>COMP-009</t>
        </is>
      </c>
      <c r="E13" s="3" t="inlineStr">
        <is>
          <t>Geographical distribution</t>
        </is>
      </c>
      <c r="F13" s="3" t="inlineStr">
        <is>
          <t>How mature is the organization in managing site distribution across offices, plants, warehouses, stores, labs and data centers, including ownership, evidence, metrics, fallback procedures and crisis stress testing?</t>
        </is>
      </c>
      <c r="G13" s="3" t="inlineStr">
        <is>
          <t>This topic affects exposure to Geopolitical risk; Physical site loss; Regulatory/legal shock. It helps identify how disruption may impact operations, people, revenue, systems, legal exposure or recovery time.</t>
        </is>
      </c>
      <c r="H13" s="3" t="inlineStr">
        <is>
          <t>ISO 22301; ISO 31000; ISO 9001; ISO 37000; PESTLE; Business Model Canvas</t>
        </is>
      </c>
      <c r="I13" s="3" t="inlineStr">
        <is>
          <t>Policy/SOP; owner/RACI; system report; dashboard; contracts; test records; incident history; interview evidence related to site distribution across offices, plants, warehouses, stores, labs and data centers.</t>
        </is>
      </c>
      <c r="J13" s="3" t="n">
        <v>5</v>
      </c>
      <c r="K13" s="85">
        <f>_DATA_Assessment_Model!H13</f>
        <v/>
      </c>
      <c r="L13" s="4">
        <f>_DATA_Assessment_Model!I13</f>
        <v/>
      </c>
      <c r="M13" s="4">
        <f>_DATA_Assessment_Model!J13</f>
        <v/>
      </c>
      <c r="N13" s="4">
        <f>_DATA_Assessment_Model!K13</f>
        <v/>
      </c>
      <c r="O13" s="3">
        <f>_DATA_Assessment_Model!L13</f>
        <v/>
      </c>
      <c r="P13" s="3" t="inlineStr">
        <is>
          <t>No plan or procedure exists.</t>
        </is>
      </c>
      <c r="Q13" s="3" t="inlineStr">
        <is>
          <t>Knowledge lives with individuals; nothing usable is written down.</t>
        </is>
      </c>
      <c r="R13" s="3" t="inlineStr">
        <is>
          <t>Drafted but outdated, not approved, or unknown to the people who must use it.</t>
        </is>
      </c>
      <c r="S13" s="3" t="inlineStr">
        <is>
          <t>Approved and current; owners assigned; affected staff know it exists and where to find it.</t>
        </is>
      </c>
      <c r="T13" s="3" t="inlineStr">
        <is>
          <t>Tested against realistic scenarios; updated after each test or real incident.</t>
        </is>
      </c>
      <c r="U13" s="3" t="inlineStr">
        <is>
          <t>Exercised regularly including external parties; readiness measured; continuously improved.</t>
        </is>
      </c>
      <c r="V13" s="3" t="inlineStr">
        <is>
          <t>Geopolitical risk; Physical site loss; Regulatory/legal shock</t>
        </is>
      </c>
      <c r="W13" s="3" t="n"/>
      <c r="X13" s="3" t="n"/>
      <c r="Y13" s="3" t="inlineStr">
        <is>
          <t>Use the recommended action generated by the model; validate with domain owner during real assessment.</t>
        </is>
      </c>
      <c r="Z13" s="7" t="n">
        <v>5</v>
      </c>
      <c r="AA13" s="7" t="n">
        <v>5</v>
      </c>
      <c r="AB13" s="7" t="n">
        <v>5</v>
      </c>
      <c r="AK13" s="46" t="n"/>
      <c r="AL13" s="46" t="n"/>
      <c r="AM13" s="247">
        <f>_DATA_Assessment_Model!AJ13</f>
        <v/>
      </c>
      <c r="AN13" s="247">
        <f>_DATA_Assessment_Model!AK13</f>
        <v/>
      </c>
      <c r="AO13" s="247">
        <f>_DATA_Assessment_Model!AL13</f>
        <v/>
      </c>
      <c r="AP13" s="247">
        <f>_DATA_Assessment_Model!AM13</f>
        <v/>
      </c>
      <c r="AQ13" s="247">
        <f>_DATA_Assessment_Model!AN13</f>
        <v/>
      </c>
      <c r="AR13" s="247">
        <f>_DATA_Assessment_Model!AO13</f>
        <v/>
      </c>
      <c r="AS13" s="247">
        <f>_DATA_Assessment_Model!AP13</f>
        <v/>
      </c>
      <c r="AT13" s="247">
        <f>_DATA_Assessment_Model!AQ13</f>
        <v/>
      </c>
      <c r="AU13" s="247">
        <f>_DATA_Assessment_Model!AR13</f>
        <v/>
      </c>
      <c r="AV13" s="5">
        <f>_DATA_Assessment_Model!AS13</f>
        <v/>
      </c>
      <c r="AW13" s="5">
        <f>_DATA_Assessment_Model!AT13</f>
        <v/>
      </c>
      <c r="AY13">
        <f>_DATA_Assessment_Model!AV13</f>
        <v/>
      </c>
    </row>
    <row r="14" ht="96.59999999999999" customHeight="1" s="209">
      <c r="A14" t="inlineStr">
        <is>
          <t>Company Geography</t>
        </is>
      </c>
      <c r="B14" t="inlineStr">
        <is>
          <t>Company Geography</t>
        </is>
      </c>
      <c r="C14" t="n">
        <v>14</v>
      </c>
      <c r="D14" s="3" t="inlineStr">
        <is>
          <t>COMP-010</t>
        </is>
      </c>
      <c r="E14" s="3" t="inlineStr">
        <is>
          <t>Geographical distribution</t>
        </is>
      </c>
      <c r="F14" s="3" t="inlineStr">
        <is>
          <t>How mature is the organization in managing revenue distribution by country, currency, customer geography and market exposure, including ownership, evidence, metrics, fallback procedures and crisis stress testing?</t>
        </is>
      </c>
      <c r="G14" s="3" t="inlineStr">
        <is>
          <t>This topic affects exposure to Geopolitical risk; Physical site loss; Regulatory/legal shock. It helps identify how disruption may impact operations, people, revenue, systems, legal exposure or recovery time.</t>
        </is>
      </c>
      <c r="H14" s="3" t="inlineStr">
        <is>
          <t>ISO 22301; ISO 31000; ISO 9001; ISO 37000; PESTLE; Business Model Canvas</t>
        </is>
      </c>
      <c r="I14" s="3" t="inlineStr">
        <is>
          <t>Policy/SOP; owner/RACI; system report; dashboard; contracts; test records; incident history; interview evidence related to revenue distribution by country, currency, customer geography and market exposure.</t>
        </is>
      </c>
      <c r="J14" s="3" t="n">
        <v>4</v>
      </c>
      <c r="K14" s="85">
        <f>_DATA_Assessment_Model!H14</f>
        <v/>
      </c>
      <c r="L14" s="4">
        <f>_DATA_Assessment_Model!I14</f>
        <v/>
      </c>
      <c r="M14" s="4">
        <f>_DATA_Assessment_Model!J14</f>
        <v/>
      </c>
      <c r="N14" s="4">
        <f>_DATA_Assessment_Model!K14</f>
        <v/>
      </c>
      <c r="O14" s="3">
        <f>_DATA_Assessment_Model!L14</f>
        <v/>
      </c>
      <c r="P14" s="3" t="inlineStr">
        <is>
          <t>No reliable evidence that revenue distribution by country, currency, customer geography and market exposure is defined, owned or managed.</t>
        </is>
      </c>
      <c r="Q14" s="3" t="inlineStr">
        <is>
          <t>Revenue distribution by country, currency, customer geography and market exposure is handled informally and depends on individual knowledge or heroic effort.</t>
        </is>
      </c>
      <c r="R14" s="3" t="inlineStr">
        <is>
          <t>Revenue distribution by country, currency, customer geography and market exposure is partially documented or implemented, but coverage is inconsistent and not crisis-tested.</t>
        </is>
      </c>
      <c r="S14" s="3" t="inlineStr">
        <is>
          <t>Revenue distribution by country, currency, customer geography and market exposure is documented, owned, used in normal operations and supported by basic evidence or metrics.</t>
        </is>
      </c>
      <c r="T14" s="3" t="inlineStr">
        <is>
          <t>Revenue distribution by country, currency, customer geography and market exposure is measured, periodically reviewed, integrated with related processes and tested against relevant disruption scenarios.</t>
        </is>
      </c>
      <c r="U14" s="3" t="inlineStr">
        <is>
          <t>Revenue distribution by country, currency, customer geography and market exposure is optimized, continuously improved, automated where practical and demonstrably supports crisis resilience.</t>
        </is>
      </c>
      <c r="V14" s="3" t="inlineStr">
        <is>
          <t>Geopolitical risk; Physical site loss; Regulatory/legal shock</t>
        </is>
      </c>
      <c r="W14" s="3" t="n"/>
      <c r="X14" s="3" t="n"/>
      <c r="Y14" s="3" t="inlineStr">
        <is>
          <t>Use the recommended action generated by the model; validate with domain owner during real assessment.</t>
        </is>
      </c>
      <c r="Z14" s="7" t="n">
        <v>4</v>
      </c>
      <c r="AA14" s="7" t="n">
        <v>5</v>
      </c>
      <c r="AB14" s="7" t="n">
        <v>5</v>
      </c>
      <c r="AK14" s="46" t="n"/>
      <c r="AL14" s="46" t="n"/>
      <c r="AM14" s="247">
        <f>_DATA_Assessment_Model!AJ14</f>
        <v/>
      </c>
      <c r="AN14" s="247">
        <f>_DATA_Assessment_Model!AK14</f>
        <v/>
      </c>
      <c r="AO14" s="247">
        <f>_DATA_Assessment_Model!AL14</f>
        <v/>
      </c>
      <c r="AP14" s="247">
        <f>_DATA_Assessment_Model!AM14</f>
        <v/>
      </c>
      <c r="AQ14" s="247">
        <f>_DATA_Assessment_Model!AN14</f>
        <v/>
      </c>
      <c r="AR14" s="247">
        <f>_DATA_Assessment_Model!AO14</f>
        <v/>
      </c>
      <c r="AS14" s="247">
        <f>_DATA_Assessment_Model!AP14</f>
        <v/>
      </c>
      <c r="AT14" s="247">
        <f>_DATA_Assessment_Model!AQ14</f>
        <v/>
      </c>
      <c r="AU14" s="247">
        <f>_DATA_Assessment_Model!AR14</f>
        <v/>
      </c>
      <c r="AV14" s="5">
        <f>_DATA_Assessment_Model!AS14</f>
        <v/>
      </c>
      <c r="AW14" s="5">
        <f>_DATA_Assessment_Model!AT14</f>
        <v/>
      </c>
      <c r="AY14">
        <f>_DATA_Assessment_Model!AV14</f>
        <v/>
      </c>
    </row>
    <row r="15" ht="82.8" customHeight="1" s="209">
      <c r="A15" t="inlineStr">
        <is>
          <t>Company Geography</t>
        </is>
      </c>
      <c r="B15" t="inlineStr">
        <is>
          <t>Company Geography</t>
        </is>
      </c>
      <c r="C15" t="n">
        <v>15</v>
      </c>
      <c r="D15" s="3" t="inlineStr">
        <is>
          <t>COMP-011</t>
        </is>
      </c>
      <c r="E15" s="3" t="inlineStr">
        <is>
          <t>Geographical distribution</t>
        </is>
      </c>
      <c r="F15" s="3" t="inlineStr">
        <is>
          <t>How mature is the organization in managing supplier distribution by country, tier, criticality and replacement options, including ownership, evidence, metrics, fallback procedures and crisis stress testing?</t>
        </is>
      </c>
      <c r="G15" s="3" t="inlineStr">
        <is>
          <t>This topic affects exposure to Geopolitical risk; Physical site loss; Regulatory/legal shock. It helps identify how disruption may impact operations, people, revenue, systems, legal exposure or recovery time.</t>
        </is>
      </c>
      <c r="H15" s="3" t="inlineStr">
        <is>
          <t>ISO 22301; ISO 31000; ISO 9001; ISO 37000; PESTLE; Business Model Canvas</t>
        </is>
      </c>
      <c r="I15" s="3" t="inlineStr">
        <is>
          <t>Policy/SOP; owner/RACI; system report; dashboard; contracts; test records; incident history; interview evidence related to supplier distribution by country, tier, criticality and replacement options.</t>
        </is>
      </c>
      <c r="J15" s="3" t="n">
        <v>5</v>
      </c>
      <c r="K15" s="85">
        <f>_DATA_Assessment_Model!H15</f>
        <v/>
      </c>
      <c r="L15" s="4">
        <f>_DATA_Assessment_Model!I15</f>
        <v/>
      </c>
      <c r="M15" s="4">
        <f>_DATA_Assessment_Model!J15</f>
        <v/>
      </c>
      <c r="N15" s="4">
        <f>_DATA_Assessment_Model!K15</f>
        <v/>
      </c>
      <c r="O15" s="3">
        <f>_DATA_Assessment_Model!L15</f>
        <v/>
      </c>
      <c r="P15" s="3" t="inlineStr">
        <is>
          <t>Does not exist; no owner, no documentation, no practice.</t>
        </is>
      </c>
      <c r="Q15" s="3" t="inlineStr">
        <is>
          <t>Ad hoc; depends entirely on specific individuals.</t>
        </is>
      </c>
      <c r="R15" s="3" t="inlineStr">
        <is>
          <t>Partially documented or implemented; coverage inconsistent; never tested under stress.</t>
        </is>
      </c>
      <c r="S15" s="3" t="inlineStr">
        <is>
          <t>Documented, owned, executed consistently; basic evidence and metrics exist.</t>
        </is>
      </c>
      <c r="T15" s="3" t="inlineStr">
        <is>
          <t>Measured and periodically tested/audited; integrated with adjacent processes.</t>
        </is>
      </c>
      <c r="U15" s="3" t="inlineStr">
        <is>
          <t>Optimized and automated where practical; stress-tested; benchmarked externally.</t>
        </is>
      </c>
      <c r="V15" s="3" t="inlineStr">
        <is>
          <t>Geopolitical risk; Physical site loss; Regulatory/legal shock</t>
        </is>
      </c>
      <c r="W15" s="3" t="n"/>
      <c r="X15" s="3" t="n"/>
      <c r="Y15" s="3" t="inlineStr">
        <is>
          <t>Use the recommended action generated by the model; validate with domain owner during real assessment.</t>
        </is>
      </c>
      <c r="Z15" s="7" t="n">
        <v>4</v>
      </c>
      <c r="AA15" s="7" t="n">
        <v>5</v>
      </c>
      <c r="AB15" s="7" t="n">
        <v>5</v>
      </c>
      <c r="AK15" s="46" t="n"/>
      <c r="AL15" s="46" t="n"/>
      <c r="AM15" s="247">
        <f>_DATA_Assessment_Model!AJ15</f>
        <v/>
      </c>
      <c r="AN15" s="247">
        <f>_DATA_Assessment_Model!AK15</f>
        <v/>
      </c>
      <c r="AO15" s="247">
        <f>_DATA_Assessment_Model!AL15</f>
        <v/>
      </c>
      <c r="AP15" s="247">
        <f>_DATA_Assessment_Model!AM15</f>
        <v/>
      </c>
      <c r="AQ15" s="247">
        <f>_DATA_Assessment_Model!AN15</f>
        <v/>
      </c>
      <c r="AR15" s="247">
        <f>_DATA_Assessment_Model!AO15</f>
        <v/>
      </c>
      <c r="AS15" s="247">
        <f>_DATA_Assessment_Model!AP15</f>
        <v/>
      </c>
      <c r="AT15" s="247">
        <f>_DATA_Assessment_Model!AQ15</f>
        <v/>
      </c>
      <c r="AU15" s="247">
        <f>_DATA_Assessment_Model!AR15</f>
        <v/>
      </c>
      <c r="AV15" s="5">
        <f>_DATA_Assessment_Model!AS15</f>
        <v/>
      </c>
      <c r="AW15" s="5">
        <f>_DATA_Assessment_Model!AT15</f>
        <v/>
      </c>
      <c r="AY15">
        <f>_DATA_Assessment_Model!AV15</f>
        <v/>
      </c>
    </row>
    <row r="16" ht="69" customHeight="1" s="209">
      <c r="A16" t="inlineStr">
        <is>
          <t>Company Geography</t>
        </is>
      </c>
      <c r="B16" t="inlineStr">
        <is>
          <t>Company Geography</t>
        </is>
      </c>
      <c r="C16" t="n">
        <v>16</v>
      </c>
      <c r="D16" s="3" t="inlineStr">
        <is>
          <t>COMP-012</t>
        </is>
      </c>
      <c r="E16" s="3" t="inlineStr">
        <is>
          <t>Geographical distribution</t>
        </is>
      </c>
      <c r="F16" s="3" t="inlineStr">
        <is>
          <t>How mature is the organization in managing customer distribution by geography, industry, contract and crisis sensitivity, including ownership, evidence, metrics, fallback procedures and crisis stress testing?</t>
        </is>
      </c>
      <c r="G16" s="3" t="inlineStr">
        <is>
          <t>This topic affects exposure to Geopolitical risk; Physical site loss; Regulatory/legal shock. It helps identify how disruption may impact operations, people, revenue, systems, legal exposure or recovery time.</t>
        </is>
      </c>
      <c r="H16" s="3" t="inlineStr">
        <is>
          <t>ISO 22301; ISO 31000; ISO 9001; ISO 37000; PESTLE; Business Model Canvas</t>
        </is>
      </c>
      <c r="I16" s="3" t="inlineStr">
        <is>
          <t>Policy/SOP; owner/RACI; system report; dashboard; contracts; test records; incident history; interview evidence related to customer distribution by geography, industry, contract and crisis sensitivity.</t>
        </is>
      </c>
      <c r="J16" s="3" t="n">
        <v>5</v>
      </c>
      <c r="K16" s="85">
        <f>_DATA_Assessment_Model!H16</f>
        <v/>
      </c>
      <c r="L16" s="4">
        <f>_DATA_Assessment_Model!I16</f>
        <v/>
      </c>
      <c r="M16" s="4">
        <f>_DATA_Assessment_Model!J16</f>
        <v/>
      </c>
      <c r="N16" s="4">
        <f>_DATA_Assessment_Model!K16</f>
        <v/>
      </c>
      <c r="O16" s="3">
        <f>_DATA_Assessment_Model!L16</f>
        <v/>
      </c>
      <c r="P16" s="3" t="inlineStr">
        <is>
          <t>Does not exist; no owner, no documentation, no practice.</t>
        </is>
      </c>
      <c r="Q16" s="3" t="inlineStr">
        <is>
          <t>Ad hoc; depends entirely on specific individuals.</t>
        </is>
      </c>
      <c r="R16" s="3" t="inlineStr">
        <is>
          <t>Partially documented or implemented; coverage inconsistent; never tested under stress.</t>
        </is>
      </c>
      <c r="S16" s="3" t="inlineStr">
        <is>
          <t>Documented, owned, executed consistently; basic evidence and metrics exist.</t>
        </is>
      </c>
      <c r="T16" s="3" t="inlineStr">
        <is>
          <t>Measured and periodically tested/audited; integrated with adjacent processes.</t>
        </is>
      </c>
      <c r="U16" s="3" t="inlineStr">
        <is>
          <t>Optimized and automated where practical; stress-tested; benchmarked externally.</t>
        </is>
      </c>
      <c r="V16" s="3" t="inlineStr">
        <is>
          <t>Geopolitical risk; Physical site loss; Regulatory/legal shock</t>
        </is>
      </c>
      <c r="W16" s="3" t="n"/>
      <c r="X16" s="3" t="n"/>
      <c r="Y16" s="3" t="inlineStr">
        <is>
          <t>Use the recommended action generated by the model; validate with domain owner during real assessment.</t>
        </is>
      </c>
      <c r="Z16" s="7" t="n">
        <v>4</v>
      </c>
      <c r="AA16" s="7" t="n">
        <v>5</v>
      </c>
      <c r="AB16" s="7" t="n">
        <v>5</v>
      </c>
      <c r="AK16" s="46" t="n"/>
      <c r="AL16" s="46" t="n"/>
      <c r="AM16" s="247">
        <f>_DATA_Assessment_Model!AJ16</f>
        <v/>
      </c>
      <c r="AN16" s="247">
        <f>_DATA_Assessment_Model!AK16</f>
        <v/>
      </c>
      <c r="AO16" s="247">
        <f>_DATA_Assessment_Model!AL16</f>
        <v/>
      </c>
      <c r="AP16" s="247">
        <f>_DATA_Assessment_Model!AM16</f>
        <v/>
      </c>
      <c r="AQ16" s="247">
        <f>_DATA_Assessment_Model!AN16</f>
        <v/>
      </c>
      <c r="AR16" s="247">
        <f>_DATA_Assessment_Model!AO16</f>
        <v/>
      </c>
      <c r="AS16" s="247">
        <f>_DATA_Assessment_Model!AP16</f>
        <v/>
      </c>
      <c r="AT16" s="247">
        <f>_DATA_Assessment_Model!AQ16</f>
        <v/>
      </c>
      <c r="AU16" s="247">
        <f>_DATA_Assessment_Model!AR16</f>
        <v/>
      </c>
      <c r="AV16" s="5">
        <f>_DATA_Assessment_Model!AS16</f>
        <v/>
      </c>
      <c r="AW16" s="5">
        <f>_DATA_Assessment_Model!AT16</f>
        <v/>
      </c>
      <c r="AY16">
        <f>_DATA_Assessment_Model!AV16</f>
        <v/>
      </c>
    </row>
    <row r="17" ht="96.59999999999999" customHeight="1" s="209">
      <c r="A17" t="inlineStr">
        <is>
          <t>Company Geography</t>
        </is>
      </c>
      <c r="B17" t="inlineStr">
        <is>
          <t>Company Geography</t>
        </is>
      </c>
      <c r="C17" t="n">
        <v>17</v>
      </c>
      <c r="D17" s="3" t="inlineStr">
        <is>
          <t>COMP-013</t>
        </is>
      </c>
      <c r="E17" s="3" t="inlineStr">
        <is>
          <t>Geographical distribution</t>
        </is>
      </c>
      <c r="F17" s="3" t="inlineStr">
        <is>
          <t>How mature is the organization in managing country risk monitoring for war, sanctions, political instability, natural disaster and energy risks, including ownership, evidence, metrics, fallback procedures and crisis stress testing?</t>
        </is>
      </c>
      <c r="G17" s="3" t="inlineStr">
        <is>
          <t>This topic affects exposure to Geopolitical risk; Physical site loss; Regulatory/legal shock. It helps identify how disruption may impact operations, people, revenue, systems, legal exposure or recovery time.</t>
        </is>
      </c>
      <c r="H17" s="3" t="inlineStr">
        <is>
          <t>ISO 22301; ISO 31000; ISO 9001; ISO 37000; PESTLE; Business Model Canvas</t>
        </is>
      </c>
      <c r="I17" s="3" t="inlineStr">
        <is>
          <t>Policy/SOP; owner/RACI; system report; dashboard; contracts; test records; incident history; interview evidence related to country risk monitoring for war, sanctions, political instability, natural disaster and energy risks.</t>
        </is>
      </c>
      <c r="J17" s="3" t="n">
        <v>4</v>
      </c>
      <c r="K17" s="85">
        <f>_DATA_Assessment_Model!H17</f>
        <v/>
      </c>
      <c r="L17" s="4">
        <f>_DATA_Assessment_Model!I17</f>
        <v/>
      </c>
      <c r="M17" s="4">
        <f>_DATA_Assessment_Model!J17</f>
        <v/>
      </c>
      <c r="N17" s="4">
        <f>_DATA_Assessment_Model!K17</f>
        <v/>
      </c>
      <c r="O17" s="3">
        <f>_DATA_Assessment_Model!L17</f>
        <v/>
      </c>
      <c r="P17" s="3" t="inlineStr">
        <is>
          <t>No reliable evidence that country risk monitoring for war, sanctions, political instability, natural disaster and energy risks is defined, owned or managed.</t>
        </is>
      </c>
      <c r="Q17" s="3" t="inlineStr">
        <is>
          <t>Country risk monitoring for war, sanctions, political instability, natural disaster and energy risks is handled informally and depends on individual knowledge or heroic effort.</t>
        </is>
      </c>
      <c r="R17" s="3" t="inlineStr">
        <is>
          <t>Country risk monitoring for war, sanctions, political instability, natural disaster and energy risks is partially documented or implemented, but coverage is inconsistent and not crisis-tested.</t>
        </is>
      </c>
      <c r="S17" s="3" t="inlineStr">
        <is>
          <t>Country risk monitoring for war, sanctions, political instability, natural disaster and energy risks is documented, owned, used in normal operations and supported by basic evidence or metrics.</t>
        </is>
      </c>
      <c r="T17" s="3" t="inlineStr">
        <is>
          <t>Country risk monitoring for war, sanctions, political instability, natural disaster and energy risks is measured, periodically reviewed, integrated with related processes and tested against relevant disruption scenarios.</t>
        </is>
      </c>
      <c r="U17" s="3" t="inlineStr">
        <is>
          <t>Country risk monitoring for war, sanctions, political instability, natural disaster and energy risks is optimized, continuously improved, automated where practical and demonstrably supports crisis resilience.</t>
        </is>
      </c>
      <c r="V17" s="3" t="inlineStr">
        <is>
          <t>Geopolitical risk; Physical site loss; Regulatory/legal shock</t>
        </is>
      </c>
      <c r="W17" s="3" t="n"/>
      <c r="X17" s="3" t="n"/>
      <c r="Y17" s="3" t="inlineStr">
        <is>
          <t>Use the recommended action generated by the model; validate with domain owner during real assessment.</t>
        </is>
      </c>
      <c r="Z17" s="7" t="n">
        <v>4</v>
      </c>
      <c r="AA17" s="7" t="n">
        <v>5</v>
      </c>
      <c r="AB17" s="7" t="n">
        <v>5</v>
      </c>
      <c r="AK17" s="46" t="n"/>
      <c r="AL17" s="46" t="n"/>
      <c r="AM17" s="247">
        <f>_DATA_Assessment_Model!AJ17</f>
        <v/>
      </c>
      <c r="AN17" s="247">
        <f>_DATA_Assessment_Model!AK17</f>
        <v/>
      </c>
      <c r="AO17" s="247">
        <f>_DATA_Assessment_Model!AL17</f>
        <v/>
      </c>
      <c r="AP17" s="247">
        <f>_DATA_Assessment_Model!AM17</f>
        <v/>
      </c>
      <c r="AQ17" s="247">
        <f>_DATA_Assessment_Model!AN17</f>
        <v/>
      </c>
      <c r="AR17" s="247">
        <f>_DATA_Assessment_Model!AO17</f>
        <v/>
      </c>
      <c r="AS17" s="247">
        <f>_DATA_Assessment_Model!AP17</f>
        <v/>
      </c>
      <c r="AT17" s="247">
        <f>_DATA_Assessment_Model!AQ17</f>
        <v/>
      </c>
      <c r="AU17" s="247">
        <f>_DATA_Assessment_Model!AR17</f>
        <v/>
      </c>
      <c r="AV17" s="5">
        <f>_DATA_Assessment_Model!AS17</f>
        <v/>
      </c>
      <c r="AW17" s="5">
        <f>_DATA_Assessment_Model!AT17</f>
        <v/>
      </c>
      <c r="AY17">
        <f>_DATA_Assessment_Model!AV17</f>
        <v/>
      </c>
    </row>
    <row r="18" ht="69" customHeight="1" s="209">
      <c r="A18" t="inlineStr">
        <is>
          <t>Company Geography</t>
        </is>
      </c>
      <c r="B18" t="inlineStr">
        <is>
          <t>Company Geography</t>
        </is>
      </c>
      <c r="C18" t="n">
        <v>18</v>
      </c>
      <c r="D18" s="3" t="inlineStr">
        <is>
          <t>COMP-014</t>
        </is>
      </c>
      <c r="E18" s="3" t="inlineStr">
        <is>
          <t>Geographical distribution</t>
        </is>
      </c>
      <c r="F18" s="3" t="inlineStr">
        <is>
          <t>How mature is the organization in managing relocation and alternative location options for critical teams and operations, including ownership, evidence, metrics, fallback procedures and crisis stress testing?</t>
        </is>
      </c>
      <c r="G18" s="3" t="inlineStr">
        <is>
          <t>This topic affects exposure to Geopolitical risk; Physical site loss; Regulatory/legal shock. It helps identify how disruption may impact operations, people, revenue, systems, legal exposure or recovery time.</t>
        </is>
      </c>
      <c r="H18" s="3" t="inlineStr">
        <is>
          <t>ISO 22301; ISO 31000; ISO 9001; ISO 37000; PESTLE; Business Model Canvas</t>
        </is>
      </c>
      <c r="I18" s="3" t="inlineStr">
        <is>
          <t>Policy/SOP; owner/RACI; system report; dashboard; contracts; test records; incident history; interview evidence related to relocation and alternative location options for critical teams and operations.</t>
        </is>
      </c>
      <c r="J18" s="3" t="n">
        <v>5</v>
      </c>
      <c r="K18" s="85">
        <f>_DATA_Assessment_Model!H18</f>
        <v/>
      </c>
      <c r="L18" s="4">
        <f>_DATA_Assessment_Model!I18</f>
        <v/>
      </c>
      <c r="M18" s="4">
        <f>_DATA_Assessment_Model!J18</f>
        <v/>
      </c>
      <c r="N18" s="4">
        <f>_DATA_Assessment_Model!K18</f>
        <v/>
      </c>
      <c r="O18" s="3">
        <f>_DATA_Assessment_Model!L18</f>
        <v/>
      </c>
      <c r="P18" s="3" t="inlineStr">
        <is>
          <t>Does not exist; no owner, no documentation, no practice.</t>
        </is>
      </c>
      <c r="Q18" s="3" t="inlineStr">
        <is>
          <t>Ad hoc; depends entirely on specific individuals.</t>
        </is>
      </c>
      <c r="R18" s="3" t="inlineStr">
        <is>
          <t>Partially documented or implemented; coverage inconsistent; never tested under stress.</t>
        </is>
      </c>
      <c r="S18" s="3" t="inlineStr">
        <is>
          <t>Documented, owned, executed consistently; basic evidence and metrics exist.</t>
        </is>
      </c>
      <c r="T18" s="3" t="inlineStr">
        <is>
          <t>Measured and periodically tested/audited; integrated with adjacent processes.</t>
        </is>
      </c>
      <c r="U18" s="3" t="inlineStr">
        <is>
          <t>Optimized and automated where practical; stress-tested; benchmarked externally.</t>
        </is>
      </c>
      <c r="V18" s="3" t="inlineStr">
        <is>
          <t>Geopolitical risk; Physical site loss; Regulatory/legal shock</t>
        </is>
      </c>
      <c r="W18" s="3" t="n"/>
      <c r="X18" s="3" t="n"/>
      <c r="Y18" s="3" t="inlineStr">
        <is>
          <t>Use the recommended action generated by the model; validate with domain owner during real assessment.</t>
        </is>
      </c>
      <c r="Z18" s="7" t="n">
        <v>4</v>
      </c>
      <c r="AA18" s="7" t="n">
        <v>5</v>
      </c>
      <c r="AB18" s="7" t="n">
        <v>5</v>
      </c>
      <c r="AK18" s="46" t="n"/>
      <c r="AL18" s="46" t="n"/>
      <c r="AM18" s="247">
        <f>_DATA_Assessment_Model!AJ18</f>
        <v/>
      </c>
      <c r="AN18" s="247">
        <f>_DATA_Assessment_Model!AK18</f>
        <v/>
      </c>
      <c r="AO18" s="247">
        <f>_DATA_Assessment_Model!AL18</f>
        <v/>
      </c>
      <c r="AP18" s="247">
        <f>_DATA_Assessment_Model!AM18</f>
        <v/>
      </c>
      <c r="AQ18" s="247">
        <f>_DATA_Assessment_Model!AN18</f>
        <v/>
      </c>
      <c r="AR18" s="247">
        <f>_DATA_Assessment_Model!AO18</f>
        <v/>
      </c>
      <c r="AS18" s="247">
        <f>_DATA_Assessment_Model!AP18</f>
        <v/>
      </c>
      <c r="AT18" s="247">
        <f>_DATA_Assessment_Model!AQ18</f>
        <v/>
      </c>
      <c r="AU18" s="247">
        <f>_DATA_Assessment_Model!AR18</f>
        <v/>
      </c>
      <c r="AV18" s="5">
        <f>_DATA_Assessment_Model!AS18</f>
        <v/>
      </c>
      <c r="AW18" s="5">
        <f>_DATA_Assessment_Model!AT18</f>
        <v/>
      </c>
      <c r="AY18">
        <f>_DATA_Assessment_Model!AV18</f>
        <v/>
      </c>
    </row>
    <row r="19" ht="69" customHeight="1" s="209">
      <c r="A19" t="inlineStr">
        <is>
          <t>Company Geography</t>
        </is>
      </c>
      <c r="B19" t="inlineStr">
        <is>
          <t>Company Geography</t>
        </is>
      </c>
      <c r="C19" t="n">
        <v>19</v>
      </c>
      <c r="D19" s="3" t="inlineStr">
        <is>
          <t>COMP-016</t>
        </is>
      </c>
      <c r="E19" s="3" t="inlineStr">
        <is>
          <t>Context and dependencies</t>
        </is>
      </c>
      <c r="F19" s="3" t="inlineStr">
        <is>
          <t>How mature is the organization in managing single-country, single-site and single-provider concentration risks, including ownership, evidence, metrics, fallback procedures and crisis stress testing?</t>
        </is>
      </c>
      <c r="G19" s="3" t="inlineStr">
        <is>
          <t>This topic affects exposure to Geopolitical risk; Physical site loss; Regulatory/legal shock. It helps identify how disruption may impact operations, people, revenue, systems, legal exposure or recovery time.</t>
        </is>
      </c>
      <c r="H19" s="3" t="inlineStr">
        <is>
          <t>ISO 22301; ISO 31000; ISO 9001; ISO 37000; PESTLE; Business Model Canvas</t>
        </is>
      </c>
      <c r="I19" s="3" t="inlineStr">
        <is>
          <t>Policy/SOP; owner/RACI; system report; dashboard; contracts; test records; incident history; interview evidence related to single-country, single-site and single-provider concentration risks.</t>
        </is>
      </c>
      <c r="J19" s="3" t="n">
        <v>5</v>
      </c>
      <c r="K19" s="85">
        <f>_DATA_Assessment_Model!H19</f>
        <v/>
      </c>
      <c r="L19" s="4">
        <f>_DATA_Assessment_Model!I19</f>
        <v/>
      </c>
      <c r="M19" s="4">
        <f>_DATA_Assessment_Model!J19</f>
        <v/>
      </c>
      <c r="N19" s="4">
        <f>_DATA_Assessment_Model!K19</f>
        <v/>
      </c>
      <c r="O19" s="3">
        <f>_DATA_Assessment_Model!L19</f>
        <v/>
      </c>
      <c r="P19" s="3" t="inlineStr">
        <is>
          <t>Does not exist; no owner, no documentation, no practice.</t>
        </is>
      </c>
      <c r="Q19" s="3" t="inlineStr">
        <is>
          <t>Ad hoc; depends entirely on specific individuals.</t>
        </is>
      </c>
      <c r="R19" s="3" t="inlineStr">
        <is>
          <t>Partially documented or implemented; coverage inconsistent; never tested under stress.</t>
        </is>
      </c>
      <c r="S19" s="3" t="inlineStr">
        <is>
          <t>Documented, owned, executed consistently; basic evidence and metrics exist.</t>
        </is>
      </c>
      <c r="T19" s="3" t="inlineStr">
        <is>
          <t>Measured and periodically tested/audited; integrated with adjacent processes.</t>
        </is>
      </c>
      <c r="U19" s="3" t="inlineStr">
        <is>
          <t>Optimized and automated where practical; stress-tested; benchmarked externally.</t>
        </is>
      </c>
      <c r="V19" s="3" t="inlineStr">
        <is>
          <t>Geopolitical risk; Physical site loss; Regulatory/legal shock</t>
        </is>
      </c>
      <c r="W19" s="3" t="n"/>
      <c r="X19" s="3" t="n"/>
      <c r="Y19" s="3" t="inlineStr">
        <is>
          <t>Use the recommended action generated by the model; validate with domain owner during real assessment.</t>
        </is>
      </c>
      <c r="Z19" s="7" t="n">
        <v>4</v>
      </c>
      <c r="AA19" s="7" t="n">
        <v>5</v>
      </c>
      <c r="AB19" s="7" t="n">
        <v>5</v>
      </c>
      <c r="AK19" s="46" t="n"/>
      <c r="AL19" s="46" t="n"/>
      <c r="AM19" s="247">
        <f>_DATA_Assessment_Model!AJ19</f>
        <v/>
      </c>
      <c r="AN19" s="247">
        <f>_DATA_Assessment_Model!AK19</f>
        <v/>
      </c>
      <c r="AO19" s="247">
        <f>_DATA_Assessment_Model!AL19</f>
        <v/>
      </c>
      <c r="AP19" s="247">
        <f>_DATA_Assessment_Model!AM19</f>
        <v/>
      </c>
      <c r="AQ19" s="247">
        <f>_DATA_Assessment_Model!AN19</f>
        <v/>
      </c>
      <c r="AR19" s="247">
        <f>_DATA_Assessment_Model!AO19</f>
        <v/>
      </c>
      <c r="AS19" s="247">
        <f>_DATA_Assessment_Model!AP19</f>
        <v/>
      </c>
      <c r="AT19" s="247">
        <f>_DATA_Assessment_Model!AQ19</f>
        <v/>
      </c>
      <c r="AU19" s="247">
        <f>_DATA_Assessment_Model!AR19</f>
        <v/>
      </c>
      <c r="AV19" s="5">
        <f>_DATA_Assessment_Model!AS19</f>
        <v/>
      </c>
      <c r="AW19" s="5">
        <f>_DATA_Assessment_Model!AT19</f>
        <v/>
      </c>
      <c r="AY19">
        <f>_DATA_Assessment_Model!AV19</f>
        <v/>
      </c>
    </row>
    <row r="20" ht="110.4" customHeight="1" s="209">
      <c r="A20" t="inlineStr">
        <is>
          <t>Company Geography</t>
        </is>
      </c>
      <c r="B20" t="inlineStr">
        <is>
          <t>Company Geography</t>
        </is>
      </c>
      <c r="C20" t="n">
        <v>20</v>
      </c>
      <c r="D20" s="3" t="inlineStr">
        <is>
          <t>COMP-017</t>
        </is>
      </c>
      <c r="E20" s="3" t="inlineStr">
        <is>
          <t>Context and dependencies</t>
        </is>
      </c>
      <c r="F20" s="3" t="inlineStr">
        <is>
          <t>How mature is the organization in managing external stakeholder map: owners, banks, regulators, insurers, local authorities and strategic partners, including ownership, evidence, metrics, fallback procedures and crisis stress testing?</t>
        </is>
      </c>
      <c r="G20" s="3" t="inlineStr">
        <is>
          <t>This topic affects exposure to Geopolitical risk; Physical site loss; Regulatory/legal shock. It helps identify how disruption may impact operations, people, revenue, systems, legal exposure or recovery time.</t>
        </is>
      </c>
      <c r="H20" s="3" t="inlineStr">
        <is>
          <t>ISO 22301; ISO 31000; ISO 9001; ISO 37000; PESTLE; Business Model Canvas</t>
        </is>
      </c>
      <c r="I20" s="3" t="inlineStr">
        <is>
          <t>Policy/SOP; owner/RACI; system report; dashboard; contracts; test records; incident history; interview evidence related to external stakeholder map: owners, banks, regulators, insurers, local authorities and strategic partners.</t>
        </is>
      </c>
      <c r="J20" s="3" t="n">
        <v>3</v>
      </c>
      <c r="K20" s="85">
        <f>_DATA_Assessment_Model!H20</f>
        <v/>
      </c>
      <c r="L20" s="4">
        <f>_DATA_Assessment_Model!I20</f>
        <v/>
      </c>
      <c r="M20" s="4">
        <f>_DATA_Assessment_Model!J20</f>
        <v/>
      </c>
      <c r="N20" s="4">
        <f>_DATA_Assessment_Model!K20</f>
        <v/>
      </c>
      <c r="O20" s="3">
        <f>_DATA_Assessment_Model!L20</f>
        <v/>
      </c>
      <c r="P20" s="3" t="inlineStr">
        <is>
          <t>No reliable evidence that external stakeholder map: owners, banks, regulators, insurers, local authorities and strategic partners is defined, owned or managed.</t>
        </is>
      </c>
      <c r="Q20" s="3" t="inlineStr">
        <is>
          <t>External stakeholder map: owners, banks, regulators, insurers, local authorities and strategic partners is handled informally and depends on individual knowledge or heroic effort.</t>
        </is>
      </c>
      <c r="R20" s="3" t="inlineStr">
        <is>
          <t>External stakeholder map: owners, banks, regulators, insurers, local authorities and strategic partners is partially documented or implemented, but coverage is inconsistent and not crisis-tested.</t>
        </is>
      </c>
      <c r="S20" s="3" t="inlineStr">
        <is>
          <t>External stakeholder map: owners, banks, regulators, insurers, local authorities and strategic partners is documented, owned, used in normal operations and supported by basic evidence or metrics.</t>
        </is>
      </c>
      <c r="T20" s="3" t="inlineStr">
        <is>
          <t>External stakeholder map: owners, banks, regulators, insurers, local authorities and strategic partners is measured, periodically reviewed, integrated with related processes and tested against relevant disruption scenarios.</t>
        </is>
      </c>
      <c r="U20" s="3" t="inlineStr">
        <is>
          <t>External stakeholder map: owners, banks, regulators, insurers, local authorities and strategic partners is optimized, continuously improved, automated where practical and demonstrably supports crisis resilience.</t>
        </is>
      </c>
      <c r="V20" s="3" t="inlineStr">
        <is>
          <t>Geopolitical risk; Physical site loss; Regulatory/legal shock</t>
        </is>
      </c>
      <c r="W20" s="3" t="n"/>
      <c r="X20" s="3" t="n"/>
      <c r="Y20" s="3" t="inlineStr">
        <is>
          <t>Use the recommended action generated by the model; validate with domain owner during real assessment.</t>
        </is>
      </c>
      <c r="Z20" s="7" t="n">
        <v>4</v>
      </c>
      <c r="AA20" s="7" t="n">
        <v>5</v>
      </c>
      <c r="AB20" s="7" t="n">
        <v>5</v>
      </c>
      <c r="AK20" s="46" t="n"/>
      <c r="AL20" s="46" t="n"/>
      <c r="AM20" s="247">
        <f>_DATA_Assessment_Model!AJ20</f>
        <v/>
      </c>
      <c r="AN20" s="247">
        <f>_DATA_Assessment_Model!AK20</f>
        <v/>
      </c>
      <c r="AO20" s="247">
        <f>_DATA_Assessment_Model!AL20</f>
        <v/>
      </c>
      <c r="AP20" s="247">
        <f>_DATA_Assessment_Model!AM20</f>
        <v/>
      </c>
      <c r="AQ20" s="247">
        <f>_DATA_Assessment_Model!AN20</f>
        <v/>
      </c>
      <c r="AR20" s="247">
        <f>_DATA_Assessment_Model!AO20</f>
        <v/>
      </c>
      <c r="AS20" s="247">
        <f>_DATA_Assessment_Model!AP20</f>
        <v/>
      </c>
      <c r="AT20" s="247">
        <f>_DATA_Assessment_Model!AQ20</f>
        <v/>
      </c>
      <c r="AU20" s="247">
        <f>_DATA_Assessment_Model!AR20</f>
        <v/>
      </c>
      <c r="AV20" s="5">
        <f>_DATA_Assessment_Model!AS20</f>
        <v/>
      </c>
      <c r="AW20" s="5">
        <f>_DATA_Assessment_Model!AT20</f>
        <v/>
      </c>
      <c r="AY20">
        <f>_DATA_Assessment_Model!AV20</f>
        <v/>
      </c>
    </row>
    <row r="21" ht="96.59999999999999" customHeight="1" s="209">
      <c r="A21" t="inlineStr">
        <is>
          <t>Company Geography</t>
        </is>
      </c>
      <c r="B21" t="inlineStr">
        <is>
          <t>Company Geography</t>
        </is>
      </c>
      <c r="C21" t="n">
        <v>21</v>
      </c>
      <c r="D21" s="3" t="inlineStr">
        <is>
          <t>COMP-018</t>
        </is>
      </c>
      <c r="E21" s="3" t="inlineStr">
        <is>
          <t>Context and dependencies</t>
        </is>
      </c>
      <c r="F21" s="3" t="inlineStr">
        <is>
          <t>How mature is the organization in managing data residency and cross-border transfer exposure by system and geography, including ownership, evidence, metrics, fallback procedures and crisis stress testing?</t>
        </is>
      </c>
      <c r="G21" s="3" t="inlineStr">
        <is>
          <t>This topic affects exposure to Geopolitical risk; Physical site loss; Regulatory/legal shock. It helps identify how disruption may impact operations, people, revenue, systems, legal exposure or recovery time.</t>
        </is>
      </c>
      <c r="H21" s="3" t="inlineStr">
        <is>
          <t>ISO 22301; ISO 31000; ISO 9001; ISO 37000; PESTLE; Business Model Canvas</t>
        </is>
      </c>
      <c r="I21" s="3" t="inlineStr">
        <is>
          <t>Policy/SOP; owner/RACI; system report; dashboard; contracts; test records; incident history; interview evidence related to data residency and cross-border transfer exposure by system and geography.</t>
        </is>
      </c>
      <c r="J21" s="3" t="n">
        <v>4</v>
      </c>
      <c r="K21" s="85">
        <f>_DATA_Assessment_Model!H21</f>
        <v/>
      </c>
      <c r="L21" s="4">
        <f>_DATA_Assessment_Model!I21</f>
        <v/>
      </c>
      <c r="M21" s="4">
        <f>_DATA_Assessment_Model!J21</f>
        <v/>
      </c>
      <c r="N21" s="4">
        <f>_DATA_Assessment_Model!K21</f>
        <v/>
      </c>
      <c r="O21" s="3">
        <f>_DATA_Assessment_Model!L21</f>
        <v/>
      </c>
      <c r="P21" s="3" t="inlineStr">
        <is>
          <t>No reliable evidence that data residency and cross-border transfer exposure by system and geography is defined, owned or managed.</t>
        </is>
      </c>
      <c r="Q21" s="3" t="inlineStr">
        <is>
          <t>Data residency and cross-border transfer exposure by system and geography is handled informally and depends on individual knowledge or heroic effort.</t>
        </is>
      </c>
      <c r="R21" s="3" t="inlineStr">
        <is>
          <t>Data residency and cross-border transfer exposure by system and geography is partially documented or implemented, but coverage is inconsistent and not crisis-tested.</t>
        </is>
      </c>
      <c r="S21" s="3" t="inlineStr">
        <is>
          <t>Data residency and cross-border transfer exposure by system and geography is documented, owned, used in normal operations and supported by basic evidence or metrics.</t>
        </is>
      </c>
      <c r="T21" s="3" t="inlineStr">
        <is>
          <t>Data residency and cross-border transfer exposure by system and geography is measured, periodically reviewed, integrated with related processes and tested against relevant disruption scenarios.</t>
        </is>
      </c>
      <c r="U21" s="3" t="inlineStr">
        <is>
          <t>Data residency and cross-border transfer exposure by system and geography is optimized, continuously improved, automated where practical and demonstrably supports crisis resilience.</t>
        </is>
      </c>
      <c r="V21" s="3" t="inlineStr">
        <is>
          <t>Geopolitical risk; Physical site loss; Regulatory/legal shock</t>
        </is>
      </c>
      <c r="W21" s="3" t="n"/>
      <c r="X21" s="3" t="n"/>
      <c r="Y21" s="3" t="inlineStr">
        <is>
          <t>Use the recommended action generated by the model; validate with domain owner during real assessment.</t>
        </is>
      </c>
      <c r="Z21" s="7" t="n">
        <v>5</v>
      </c>
      <c r="AA21" s="7" t="n">
        <v>5</v>
      </c>
      <c r="AB21" s="7" t="n">
        <v>5</v>
      </c>
      <c r="AK21" s="46" t="n"/>
      <c r="AL21" s="46" t="n"/>
      <c r="AM21" s="247">
        <f>_DATA_Assessment_Model!AJ21</f>
        <v/>
      </c>
      <c r="AN21" s="247">
        <f>_DATA_Assessment_Model!AK21</f>
        <v/>
      </c>
      <c r="AO21" s="247">
        <f>_DATA_Assessment_Model!AL21</f>
        <v/>
      </c>
      <c r="AP21" s="247">
        <f>_DATA_Assessment_Model!AM21</f>
        <v/>
      </c>
      <c r="AQ21" s="247">
        <f>_DATA_Assessment_Model!AN21</f>
        <v/>
      </c>
      <c r="AR21" s="247">
        <f>_DATA_Assessment_Model!AO21</f>
        <v/>
      </c>
      <c r="AS21" s="247">
        <f>_DATA_Assessment_Model!AP21</f>
        <v/>
      </c>
      <c r="AT21" s="247">
        <f>_DATA_Assessment_Model!AQ21</f>
        <v/>
      </c>
      <c r="AU21" s="247">
        <f>_DATA_Assessment_Model!AR21</f>
        <v/>
      </c>
      <c r="AV21" s="5">
        <f>_DATA_Assessment_Model!AS21</f>
        <v/>
      </c>
      <c r="AW21" s="5">
        <f>_DATA_Assessment_Model!AT21</f>
        <v/>
      </c>
      <c r="AY21">
        <f>_DATA_Assessment_Model!AV21</f>
        <v/>
      </c>
    </row>
    <row r="22" ht="96.59999999999999" customHeight="1" s="209">
      <c r="A22" t="inlineStr">
        <is>
          <t>Company Geography</t>
        </is>
      </c>
      <c r="B22" t="inlineStr">
        <is>
          <t>Company Geography</t>
        </is>
      </c>
      <c r="C22" t="n">
        <v>22</v>
      </c>
      <c r="D22" s="3" t="inlineStr">
        <is>
          <t>COMP-019</t>
        </is>
      </c>
      <c r="E22" s="3" t="inlineStr">
        <is>
          <t>Context and dependencies</t>
        </is>
      </c>
      <c r="F22" s="3" t="inlineStr">
        <is>
          <t>How mature is the organization in managing acceptable downtime thresholds by geography, function, customer and process, including ownership, evidence, metrics, fallback procedures and crisis stress testing?</t>
        </is>
      </c>
      <c r="G22" s="3" t="inlineStr">
        <is>
          <t>This topic affects exposure to Geopolitical risk; Physical site loss; Regulatory/legal shock. It helps identify how disruption may impact operations, people, revenue, systems, legal exposure or recovery time.</t>
        </is>
      </c>
      <c r="H22" s="3" t="inlineStr">
        <is>
          <t>ISO 22301; ISO 31000; ISO 9001; ISO 37000; PESTLE; Business Model Canvas</t>
        </is>
      </c>
      <c r="I22" s="3" t="inlineStr">
        <is>
          <t>Policy/SOP; owner/RACI; system report; dashboard; contracts; test records; incident history; interview evidence related to acceptable downtime thresholds by geography, function, customer and process.</t>
        </is>
      </c>
      <c r="J22" s="3" t="n">
        <v>4</v>
      </c>
      <c r="K22" s="85">
        <f>_DATA_Assessment_Model!H22</f>
        <v/>
      </c>
      <c r="L22" s="4">
        <f>_DATA_Assessment_Model!I22</f>
        <v/>
      </c>
      <c r="M22" s="4">
        <f>_DATA_Assessment_Model!J22</f>
        <v/>
      </c>
      <c r="N22" s="4">
        <f>_DATA_Assessment_Model!K22</f>
        <v/>
      </c>
      <c r="O22" s="3">
        <f>_DATA_Assessment_Model!L22</f>
        <v/>
      </c>
      <c r="P22" s="3" t="inlineStr">
        <is>
          <t>No reliable evidence that acceptable downtime thresholds by geography, function, customer and process is defined, owned or managed.</t>
        </is>
      </c>
      <c r="Q22" s="3" t="inlineStr">
        <is>
          <t>Acceptable downtime thresholds by geography, function, customer and process is handled informally and depends on individual knowledge or heroic effort.</t>
        </is>
      </c>
      <c r="R22" s="3" t="inlineStr">
        <is>
          <t>Acceptable downtime thresholds by geography, function, customer and process is partially documented or implemented, but coverage is inconsistent and not crisis-tested.</t>
        </is>
      </c>
      <c r="S22" s="3" t="inlineStr">
        <is>
          <t>Acceptable downtime thresholds by geography, function, customer and process is documented, owned, used in normal operations and supported by basic evidence or metrics.</t>
        </is>
      </c>
      <c r="T22" s="3" t="inlineStr">
        <is>
          <t>Acceptable downtime thresholds by geography, function, customer and process is measured, periodically reviewed, integrated with related processes and tested against relevant disruption scenarios.</t>
        </is>
      </c>
      <c r="U22" s="3" t="inlineStr">
        <is>
          <t>Acceptable downtime thresholds by geography, function, customer and process is optimized, continuously improved, automated where practical and demonstrably supports crisis resilience.</t>
        </is>
      </c>
      <c r="V22" s="3" t="inlineStr">
        <is>
          <t>Geopolitical risk; Physical site loss; Regulatory/legal shock</t>
        </is>
      </c>
      <c r="W22" s="3" t="n"/>
      <c r="X22" s="3" t="n"/>
      <c r="Y22" s="3" t="inlineStr">
        <is>
          <t>Use the recommended action generated by the model; validate with domain owner during real assessment.</t>
        </is>
      </c>
      <c r="Z22" s="7" t="n">
        <v>4</v>
      </c>
      <c r="AA22" s="7" t="n">
        <v>5</v>
      </c>
      <c r="AB22" s="7" t="n">
        <v>5</v>
      </c>
      <c r="AK22" s="46" t="n"/>
      <c r="AL22" s="46" t="n"/>
      <c r="AM22" s="247">
        <f>_DATA_Assessment_Model!AJ22</f>
        <v/>
      </c>
      <c r="AN22" s="247">
        <f>_DATA_Assessment_Model!AK22</f>
        <v/>
      </c>
      <c r="AO22" s="247">
        <f>_DATA_Assessment_Model!AL22</f>
        <v/>
      </c>
      <c r="AP22" s="247">
        <f>_DATA_Assessment_Model!AM22</f>
        <v/>
      </c>
      <c r="AQ22" s="247">
        <f>_DATA_Assessment_Model!AN22</f>
        <v/>
      </c>
      <c r="AR22" s="247">
        <f>_DATA_Assessment_Model!AO22</f>
        <v/>
      </c>
      <c r="AS22" s="247">
        <f>_DATA_Assessment_Model!AP22</f>
        <v/>
      </c>
      <c r="AT22" s="247">
        <f>_DATA_Assessment_Model!AQ22</f>
        <v/>
      </c>
      <c r="AU22" s="247">
        <f>_DATA_Assessment_Model!AR22</f>
        <v/>
      </c>
      <c r="AV22" s="5">
        <f>_DATA_Assessment_Model!AS22</f>
        <v/>
      </c>
      <c r="AW22" s="5">
        <f>_DATA_Assessment_Model!AT22</f>
        <v/>
      </c>
      <c r="AY22">
        <f>_DATA_Assessment_Model!AV22</f>
        <v/>
      </c>
    </row>
    <row r="23" ht="110.4" customHeight="1" s="209">
      <c r="A23" t="inlineStr">
        <is>
          <t>Company Geography</t>
        </is>
      </c>
      <c r="B23" t="inlineStr">
        <is>
          <t>Company Geography</t>
        </is>
      </c>
      <c r="C23" t="n">
        <v>23</v>
      </c>
      <c r="D23" s="3" t="inlineStr">
        <is>
          <t>COMP-021</t>
        </is>
      </c>
      <c r="E23" s="3" t="inlineStr">
        <is>
          <t>Context and dependencies</t>
        </is>
      </c>
      <c r="F23" s="3" t="inlineStr">
        <is>
          <t>How mature is the organization in managing critical infrastructure status and government emergency obligations across operating geographies, including ownership, evidence, metrics, fallback procedures and crisis stress testing?</t>
        </is>
      </c>
      <c r="G23" s="3" t="inlineStr">
        <is>
          <t>This topic affects exposure to War/security crisis; Energy/utilities outage; Regulatory/legal shock. It helps identify how disruption may impact operations, people, revenue, systems, legal exposure or recovery time.</t>
        </is>
      </c>
      <c r="H23" s="3" t="inlineStr">
        <is>
          <t>ISO 22301; NIS2; national critical infrastructure regulation</t>
        </is>
      </c>
      <c r="I23" s="3" t="inlineStr">
        <is>
          <t>Policy/SOP; owner/RACI; system report; dashboard; contracts; test records; incident history; interview evidence</t>
        </is>
      </c>
      <c r="J23" s="3" t="n">
        <v>3</v>
      </c>
      <c r="K23" s="85">
        <f>_DATA_Assessment_Model!H23</f>
        <v/>
      </c>
      <c r="L23" s="4">
        <f>_DATA_Assessment_Model!I23</f>
        <v/>
      </c>
      <c r="M23" s="4">
        <f>_DATA_Assessment_Model!J23</f>
        <v/>
      </c>
      <c r="N23" s="4">
        <f>_DATA_Assessment_Model!K23</f>
        <v/>
      </c>
      <c r="O23" s="3">
        <f>_DATA_Assessment_Model!L23</f>
        <v/>
      </c>
      <c r="P23" s="3" t="inlineStr">
        <is>
          <t>No reliable evidence that critical infrastructure status and government emergency obligations across operating geographies is defined, owned or managed.</t>
        </is>
      </c>
      <c r="Q23" s="3" t="inlineStr">
        <is>
          <t>Critical infrastructure status and government emergency obligations across operating geographies is handled informally and depends on individual knowledge or heroic effort.</t>
        </is>
      </c>
      <c r="R23" s="3" t="inlineStr">
        <is>
          <t>Critical infrastructure status and government emergency obligations across operating geographies is partially documented or implemented, but coverage is inconsistent and not crisis-tested.</t>
        </is>
      </c>
      <c r="S23" s="3" t="inlineStr">
        <is>
          <t>Critical infrastructure status and government emergency obligations across operating geographies is documented, owned, used in normal operations and supported by basic evidence or metrics.</t>
        </is>
      </c>
      <c r="T23" s="3" t="inlineStr">
        <is>
          <t>Critical infrastructure status and government emergency obligations across operating geographies is measured, periodically reviewed, integrated with related processes and tested against relevant disruption scenarios.</t>
        </is>
      </c>
      <c r="U23" s="3" t="inlineStr">
        <is>
          <t>Critical infrastructure status and government emergency obligations across operating geographies is optimized, continuously improved, automated where practical and demonstrably supports crisis resilience.</t>
        </is>
      </c>
      <c r="V23" s="3" t="inlineStr">
        <is>
          <t>War/security crisis; Energy/utilities outage; Regulatory/legal shock</t>
        </is>
      </c>
      <c r="W23" s="3" t="n"/>
      <c r="X23" s="3" t="n"/>
      <c r="Y23" s="3" t="inlineStr">
        <is>
          <t>Use the recommended action generated by the model; validate with domain owner during real assessment.</t>
        </is>
      </c>
      <c r="Z23" s="7" t="n">
        <v>2</v>
      </c>
      <c r="AA23" s="7" t="n">
        <v>4</v>
      </c>
      <c r="AB23" s="7" t="n">
        <v>4</v>
      </c>
      <c r="AK23" s="46" t="n"/>
      <c r="AL23" s="46" t="n"/>
      <c r="AM23" s="247">
        <f>_DATA_Assessment_Model!AJ23</f>
        <v/>
      </c>
      <c r="AN23" s="247">
        <f>_DATA_Assessment_Model!AK23</f>
        <v/>
      </c>
      <c r="AO23" s="247">
        <f>_DATA_Assessment_Model!AL23</f>
        <v/>
      </c>
      <c r="AP23" s="247">
        <f>_DATA_Assessment_Model!AM23</f>
        <v/>
      </c>
      <c r="AQ23" s="247">
        <f>_DATA_Assessment_Model!AN23</f>
        <v/>
      </c>
      <c r="AR23" s="247">
        <f>_DATA_Assessment_Model!AO23</f>
        <v/>
      </c>
      <c r="AS23" s="247">
        <f>_DATA_Assessment_Model!AP23</f>
        <v/>
      </c>
      <c r="AT23" s="247">
        <f>_DATA_Assessment_Model!AQ23</f>
        <v/>
      </c>
      <c r="AU23" s="247">
        <f>_DATA_Assessment_Model!AR23</f>
        <v/>
      </c>
      <c r="AV23" s="5">
        <f>_DATA_Assessment_Model!AS23</f>
        <v/>
      </c>
      <c r="AW23" s="5">
        <f>_DATA_Assessment_Model!AT23</f>
        <v/>
      </c>
      <c r="AY23">
        <f>_DATA_Assessment_Model!AV23</f>
        <v/>
      </c>
    </row>
    <row r="24" ht="96.59999999999999" customHeight="1" s="209">
      <c r="A24" t="inlineStr">
        <is>
          <t>Strategy GTM</t>
        </is>
      </c>
      <c r="B24" t="inlineStr">
        <is>
          <t>Strategy GTM</t>
        </is>
      </c>
      <c r="C24" t="n">
        <v>5</v>
      </c>
      <c r="D24" s="3" t="inlineStr">
        <is>
          <t>STRA-001</t>
        </is>
      </c>
      <c r="E24" s="3" t="inlineStr">
        <is>
          <t>Corporate strategy</t>
        </is>
      </c>
      <c r="F24" s="3" t="inlineStr">
        <is>
          <t>How mature is the organization in managing documented strategy translated into objectives, KPIs, budgets and accountable owners, including ownership, evidence, metrics, fallback procedures and crisis stress testing?</t>
        </is>
      </c>
      <c r="G24" s="3" t="inlineStr">
        <is>
          <t>This topic affects exposure to Demand shock; Financial liquidity crisis; Reputation crisis. It helps identify how disruption may impact operations, people, revenue, systems, legal exposure or recovery time.</t>
        </is>
      </c>
      <c r="H24" s="3" t="inlineStr">
        <is>
          <t>ISO 9001; ISO 31000; ISO 37000; McKinsey 7S; OHI; Bain Elements of Value; Jobs-to-be-Done; Porter Five Forces; OKR</t>
        </is>
      </c>
      <c r="I24" s="3" t="inlineStr">
        <is>
          <t>Policy/SOP; owner/RACI; system report; dashboard; contracts; test records; incident history; interview evidence related to documented strategy translated into objectives, KPIs, budgets and accountable owners.</t>
        </is>
      </c>
      <c r="J24" s="3" t="n">
        <v>4</v>
      </c>
      <c r="K24" s="85">
        <f>_DATA_Assessment_Model!H24</f>
        <v/>
      </c>
      <c r="L24" s="4">
        <f>_DATA_Assessment_Model!I24</f>
        <v/>
      </c>
      <c r="M24" s="4">
        <f>_DATA_Assessment_Model!J24</f>
        <v/>
      </c>
      <c r="N24" s="4">
        <f>_DATA_Assessment_Model!K24</f>
        <v/>
      </c>
      <c r="O24" s="3">
        <f>_DATA_Assessment_Model!L24</f>
        <v/>
      </c>
      <c r="P24" s="3" t="inlineStr">
        <is>
          <t>No reliable evidence that documented strategy translated into objectives, kpis, budgets and accountable owners is defined, owned or managed.</t>
        </is>
      </c>
      <c r="Q24" s="3" t="inlineStr">
        <is>
          <t>Documented strategy translated into objectives, KPIs, budgets and accountable owners is handled informally and depends on individual knowledge or heroic effort.</t>
        </is>
      </c>
      <c r="R24" s="3" t="inlineStr">
        <is>
          <t>Documented strategy translated into objectives, KPIs, budgets and accountable owners is partially documented or implemented, but coverage is inconsistent and not crisis-tested.</t>
        </is>
      </c>
      <c r="S24" s="3" t="inlineStr">
        <is>
          <t>Documented strategy translated into objectives, KPIs, budgets and accountable owners is documented, owned, used in normal operations and supported by basic evidence or metrics.</t>
        </is>
      </c>
      <c r="T24" s="3" t="inlineStr">
        <is>
          <t>Documented strategy translated into objectives, KPIs, budgets and accountable owners is measured, periodically reviewed, integrated with related processes and tested against relevant disruption scenarios.</t>
        </is>
      </c>
      <c r="U24" s="3" t="inlineStr">
        <is>
          <t>Documented strategy translated into objectives, KPIs, budgets and accountable owners is optimized, continuously improved, automated where practical and demonstrably supports crisis resilience.</t>
        </is>
      </c>
      <c r="V24" s="3" t="inlineStr">
        <is>
          <t>Demand shock; Financial liquidity crisis; Reputation crisis</t>
        </is>
      </c>
      <c r="W24" s="3" t="n"/>
      <c r="X24" s="3" t="n"/>
      <c r="Y24" s="3" t="inlineStr">
        <is>
          <t>Use the recommended action generated by the model; validate with domain owner during real assessment.</t>
        </is>
      </c>
      <c r="Z24" s="7" t="n">
        <v>4</v>
      </c>
      <c r="AA24" s="7" t="n">
        <v>5</v>
      </c>
      <c r="AB24" s="7" t="n">
        <v>5</v>
      </c>
      <c r="AD24" t="inlineStr">
        <is>
          <t>Corporate strategy</t>
        </is>
      </c>
      <c r="AE24" s="6">
        <f>_DATA_Assessment_Model!AB24</f>
        <v/>
      </c>
      <c r="AF24" s="8">
        <f>_DATA_Assessment_Model!AC24</f>
        <v/>
      </c>
      <c r="AG24" s="9">
        <f>_DATA_Assessment_Model!AD24</f>
        <v/>
      </c>
      <c r="AH24" s="6">
        <f>_DATA_Assessment_Model!AE24</f>
        <v/>
      </c>
      <c r="AI24" s="8">
        <f>_DATA_Assessment_Model!AF24</f>
        <v/>
      </c>
      <c r="AJ24" s="6">
        <f>_DATA_Assessment_Model!AG24</f>
        <v/>
      </c>
      <c r="AK24" s="46" t="n"/>
      <c r="AL24" s="46" t="n"/>
      <c r="AM24" s="247">
        <f>_DATA_Assessment_Model!AJ24</f>
        <v/>
      </c>
      <c r="AN24" s="247">
        <f>_DATA_Assessment_Model!AK24</f>
        <v/>
      </c>
      <c r="AO24" s="247">
        <f>_DATA_Assessment_Model!AL24</f>
        <v/>
      </c>
      <c r="AP24" s="247">
        <f>_DATA_Assessment_Model!AM24</f>
        <v/>
      </c>
      <c r="AQ24" s="247">
        <f>_DATA_Assessment_Model!AN24</f>
        <v/>
      </c>
      <c r="AR24" s="247">
        <f>_DATA_Assessment_Model!AO24</f>
        <v/>
      </c>
      <c r="AS24" s="247">
        <f>_DATA_Assessment_Model!AP24</f>
        <v/>
      </c>
      <c r="AT24" s="247">
        <f>_DATA_Assessment_Model!AQ24</f>
        <v/>
      </c>
      <c r="AU24" s="247">
        <f>_DATA_Assessment_Model!AR24</f>
        <v/>
      </c>
      <c r="AV24" s="5">
        <f>_DATA_Assessment_Model!AS24</f>
        <v/>
      </c>
      <c r="AW24" s="5">
        <f>_DATA_Assessment_Model!AT24</f>
        <v/>
      </c>
      <c r="AY24">
        <f>_DATA_Assessment_Model!AV24</f>
        <v/>
      </c>
    </row>
    <row r="25" ht="96.59999999999999" customHeight="1" s="209">
      <c r="A25" t="inlineStr">
        <is>
          <t>Strategy GTM</t>
        </is>
      </c>
      <c r="B25" t="inlineStr">
        <is>
          <t>Strategy GTM</t>
        </is>
      </c>
      <c r="C25" t="n">
        <v>6</v>
      </c>
      <c r="D25" s="3" t="inlineStr">
        <is>
          <t>STRA-002</t>
        </is>
      </c>
      <c r="E25" s="3" t="inlineStr">
        <is>
          <t>Corporate strategy</t>
        </is>
      </c>
      <c r="F25" s="3" t="inlineStr">
        <is>
          <t>How mature is the organization in managing explicit strategic assumptions and periodic challenge of those assumptions, including ownership, evidence, metrics, fallback procedures and crisis stress testing?</t>
        </is>
      </c>
      <c r="G25" s="3" t="inlineStr">
        <is>
          <t>This topic affects exposure to Demand shock; Financial liquidity crisis; Reputation crisis. It helps identify how disruption may impact operations, people, revenue, systems, legal exposure or recovery time.</t>
        </is>
      </c>
      <c r="H25" s="3" t="inlineStr">
        <is>
          <t>ISO 9001; ISO 31000; ISO 37000; McKinsey 7S; OHI; Bain Elements of Value; Jobs-to-be-Done; Porter Five Forces; OKR</t>
        </is>
      </c>
      <c r="I25" s="3" t="inlineStr">
        <is>
          <t>Policy/SOP; owner/RACI; system report; dashboard; contracts; test records; incident history; interview evidence related to explicit strategic assumptions and periodic challenge of those assumptions.</t>
        </is>
      </c>
      <c r="J25" s="3" t="n">
        <v>3</v>
      </c>
      <c r="K25" s="85">
        <f>_DATA_Assessment_Model!H25</f>
        <v/>
      </c>
      <c r="L25" s="4">
        <f>_DATA_Assessment_Model!I25</f>
        <v/>
      </c>
      <c r="M25" s="4">
        <f>_DATA_Assessment_Model!J25</f>
        <v/>
      </c>
      <c r="N25" s="4">
        <f>_DATA_Assessment_Model!K25</f>
        <v/>
      </c>
      <c r="O25" s="3">
        <f>_DATA_Assessment_Model!L25</f>
        <v/>
      </c>
      <c r="P25" s="3" t="inlineStr">
        <is>
          <t>No reliable evidence that explicit strategic assumptions and periodic challenge of those assumptions is defined, owned or managed.</t>
        </is>
      </c>
      <c r="Q25" s="3" t="inlineStr">
        <is>
          <t>Explicit strategic assumptions and periodic challenge of those assumptions is handled informally and depends on individual knowledge or heroic effort.</t>
        </is>
      </c>
      <c r="R25" s="3" t="inlineStr">
        <is>
          <t>Explicit strategic assumptions and periodic challenge of those assumptions is partially documented or implemented, but coverage is inconsistent and not crisis-tested.</t>
        </is>
      </c>
      <c r="S25" s="3" t="inlineStr">
        <is>
          <t>Explicit strategic assumptions and periodic challenge of those assumptions is documented, owned, used in normal operations and supported by basic evidence or metrics.</t>
        </is>
      </c>
      <c r="T25" s="3" t="inlineStr">
        <is>
          <t>Explicit strategic assumptions and periodic challenge of those assumptions is measured, periodically reviewed, integrated with related processes and tested against relevant disruption scenarios.</t>
        </is>
      </c>
      <c r="U25" s="3" t="inlineStr">
        <is>
          <t>Explicit strategic assumptions and periodic challenge of those assumptions is optimized, continuously improved, automated where practical and demonstrably supports crisis resilience.</t>
        </is>
      </c>
      <c r="V25" s="3" t="inlineStr">
        <is>
          <t>Demand shock; Financial liquidity crisis; Reputation crisis</t>
        </is>
      </c>
      <c r="W25" s="3" t="n"/>
      <c r="X25" s="3" t="n"/>
      <c r="Y25" s="3" t="inlineStr">
        <is>
          <t>Use the recommended action generated by the model; validate with domain owner during real assessment.</t>
        </is>
      </c>
      <c r="Z25" s="7" t="n">
        <v>4</v>
      </c>
      <c r="AA25" s="7" t="n">
        <v>5</v>
      </c>
      <c r="AB25" s="7" t="n">
        <v>5</v>
      </c>
      <c r="AD25" t="inlineStr">
        <is>
          <t>Market and ICP</t>
        </is>
      </c>
      <c r="AE25" s="6">
        <f>_DATA_Assessment_Model!AB25</f>
        <v/>
      </c>
      <c r="AF25" s="8">
        <f>_DATA_Assessment_Model!AC25</f>
        <v/>
      </c>
      <c r="AG25" s="9">
        <f>_DATA_Assessment_Model!AD25</f>
        <v/>
      </c>
      <c r="AH25" s="6">
        <f>_DATA_Assessment_Model!AE25</f>
        <v/>
      </c>
      <c r="AI25" s="8">
        <f>_DATA_Assessment_Model!AF25</f>
        <v/>
      </c>
      <c r="AJ25" s="6">
        <f>_DATA_Assessment_Model!AG25</f>
        <v/>
      </c>
      <c r="AK25" s="46" t="n"/>
      <c r="AL25" s="46" t="n"/>
      <c r="AM25" s="247">
        <f>_DATA_Assessment_Model!AJ25</f>
        <v/>
      </c>
      <c r="AN25" s="247">
        <f>_DATA_Assessment_Model!AK25</f>
        <v/>
      </c>
      <c r="AO25" s="247">
        <f>_DATA_Assessment_Model!AL25</f>
        <v/>
      </c>
      <c r="AP25" s="247">
        <f>_DATA_Assessment_Model!AM25</f>
        <v/>
      </c>
      <c r="AQ25" s="247">
        <f>_DATA_Assessment_Model!AN25</f>
        <v/>
      </c>
      <c r="AR25" s="247">
        <f>_DATA_Assessment_Model!AO25</f>
        <v/>
      </c>
      <c r="AS25" s="247">
        <f>_DATA_Assessment_Model!AP25</f>
        <v/>
      </c>
      <c r="AT25" s="247">
        <f>_DATA_Assessment_Model!AQ25</f>
        <v/>
      </c>
      <c r="AU25" s="247">
        <f>_DATA_Assessment_Model!AR25</f>
        <v/>
      </c>
      <c r="AV25" s="5">
        <f>_DATA_Assessment_Model!AS25</f>
        <v/>
      </c>
      <c r="AW25" s="5">
        <f>_DATA_Assessment_Model!AT25</f>
        <v/>
      </c>
      <c r="AY25">
        <f>_DATA_Assessment_Model!AV25</f>
        <v/>
      </c>
    </row>
    <row r="26" ht="82.8" customHeight="1" s="209">
      <c r="A26" t="inlineStr">
        <is>
          <t>Strategy GTM</t>
        </is>
      </c>
      <c r="B26" t="inlineStr">
        <is>
          <t>Strategy GTM</t>
        </is>
      </c>
      <c r="C26" t="n">
        <v>7</v>
      </c>
      <c r="D26" s="3" t="inlineStr">
        <is>
          <t>STRA-003</t>
        </is>
      </c>
      <c r="E26" s="3" t="inlineStr">
        <is>
          <t>Corporate strategy</t>
        </is>
      </c>
      <c r="F26" s="3" t="inlineStr">
        <is>
          <t>How mature is the organization in managing crisis-resilient strategy including adaptation, continuity, digital enablement and recovery options, including ownership, evidence, metrics, fallback procedures and crisis stress testing?</t>
        </is>
      </c>
      <c r="G26" s="3" t="inlineStr">
        <is>
          <t>This topic affects exposure to Demand shock; Financial liquidity crisis; Reputation crisis. It helps identify how disruption may impact operations, people, revenue, systems, legal exposure or recovery time.</t>
        </is>
      </c>
      <c r="H26" s="3" t="inlineStr">
        <is>
          <t>ISO 9001; ISO 31000; ISO 37000; McKinsey 7S; OHI; Bain Elements of Value; Jobs-to-be-Done; Porter Five Forces; OKR</t>
        </is>
      </c>
      <c r="I26" s="3" t="inlineStr">
        <is>
          <t>Policy/SOP; owner/RACI; system report; dashboard; contracts; test records; incident history; interview evidence related to crisis-resilient strategy including adaptation, continuity, digital enablement and recovery options.</t>
        </is>
      </c>
      <c r="J26" s="3" t="n">
        <v>5</v>
      </c>
      <c r="K26" s="85">
        <f>_DATA_Assessment_Model!H26</f>
        <v/>
      </c>
      <c r="L26" s="4">
        <f>_DATA_Assessment_Model!I26</f>
        <v/>
      </c>
      <c r="M26" s="4">
        <f>_DATA_Assessment_Model!J26</f>
        <v/>
      </c>
      <c r="N26" s="4">
        <f>_DATA_Assessment_Model!K26</f>
        <v/>
      </c>
      <c r="O26" s="3">
        <f>_DATA_Assessment_Model!L26</f>
        <v/>
      </c>
      <c r="P26" s="3" t="inlineStr">
        <is>
          <t>Does not exist; no owner, no documentation, no practice.</t>
        </is>
      </c>
      <c r="Q26" s="3" t="inlineStr">
        <is>
          <t>Ad hoc; depends entirely on specific individuals.</t>
        </is>
      </c>
      <c r="R26" s="3" t="inlineStr">
        <is>
          <t>Partially documented or implemented; coverage inconsistent; never tested under stress.</t>
        </is>
      </c>
      <c r="S26" s="3" t="inlineStr">
        <is>
          <t>Documented, owned, executed consistently; basic evidence and metrics exist.</t>
        </is>
      </c>
      <c r="T26" s="3" t="inlineStr">
        <is>
          <t>Measured and periodically tested/audited; integrated with adjacent processes.</t>
        </is>
      </c>
      <c r="U26" s="3" t="inlineStr">
        <is>
          <t>Optimized and automated where practical; stress-tested; benchmarked externally.</t>
        </is>
      </c>
      <c r="V26" s="3" t="inlineStr">
        <is>
          <t>Demand shock; Financial liquidity crisis; Reputation crisis</t>
        </is>
      </c>
      <c r="W26" s="3" t="n"/>
      <c r="X26" s="3" t="n"/>
      <c r="Y26" s="3" t="inlineStr">
        <is>
          <t>Use the recommended action generated by the model; validate with domain owner during real assessment.</t>
        </is>
      </c>
      <c r="Z26" s="7" t="n">
        <v>4</v>
      </c>
      <c r="AA26" s="7" t="n">
        <v>5</v>
      </c>
      <c r="AB26" s="7" t="n">
        <v>5</v>
      </c>
      <c r="AD26" t="inlineStr">
        <is>
          <t>Offering and positioning</t>
        </is>
      </c>
      <c r="AE26" s="6">
        <f>_DATA_Assessment_Model!AB26</f>
        <v/>
      </c>
      <c r="AF26" s="8">
        <f>_DATA_Assessment_Model!AC26</f>
        <v/>
      </c>
      <c r="AG26" s="9">
        <f>_DATA_Assessment_Model!AD26</f>
        <v/>
      </c>
      <c r="AH26" s="6">
        <f>_DATA_Assessment_Model!AE26</f>
        <v/>
      </c>
      <c r="AI26" s="8">
        <f>_DATA_Assessment_Model!AF26</f>
        <v/>
      </c>
      <c r="AJ26" s="6">
        <f>_DATA_Assessment_Model!AG26</f>
        <v/>
      </c>
      <c r="AK26" s="46" t="n"/>
      <c r="AL26" s="46" t="n"/>
      <c r="AM26" s="247">
        <f>_DATA_Assessment_Model!AJ26</f>
        <v/>
      </c>
      <c r="AN26" s="247">
        <f>_DATA_Assessment_Model!AK26</f>
        <v/>
      </c>
      <c r="AO26" s="247">
        <f>_DATA_Assessment_Model!AL26</f>
        <v/>
      </c>
      <c r="AP26" s="247">
        <f>_DATA_Assessment_Model!AM26</f>
        <v/>
      </c>
      <c r="AQ26" s="247">
        <f>_DATA_Assessment_Model!AN26</f>
        <v/>
      </c>
      <c r="AR26" s="247">
        <f>_DATA_Assessment_Model!AO26</f>
        <v/>
      </c>
      <c r="AS26" s="247">
        <f>_DATA_Assessment_Model!AP26</f>
        <v/>
      </c>
      <c r="AT26" s="247">
        <f>_DATA_Assessment_Model!AQ26</f>
        <v/>
      </c>
      <c r="AU26" s="247">
        <f>_DATA_Assessment_Model!AR26</f>
        <v/>
      </c>
      <c r="AV26" s="5">
        <f>_DATA_Assessment_Model!AS26</f>
        <v/>
      </c>
      <c r="AW26" s="5">
        <f>_DATA_Assessment_Model!AT26</f>
        <v/>
      </c>
      <c r="AY26">
        <f>_DATA_Assessment_Model!AV26</f>
        <v/>
      </c>
    </row>
    <row r="27" ht="96.59999999999999" customHeight="1" s="209">
      <c r="A27" t="inlineStr">
        <is>
          <t>Strategy GTM</t>
        </is>
      </c>
      <c r="B27" t="inlineStr">
        <is>
          <t>Strategy GTM</t>
        </is>
      </c>
      <c r="C27" t="n">
        <v>8</v>
      </c>
      <c r="D27" s="3" t="inlineStr">
        <is>
          <t>STRA-004</t>
        </is>
      </c>
      <c r="E27" s="3" t="inlineStr">
        <is>
          <t>Corporate strategy</t>
        </is>
      </c>
      <c r="F27" s="3" t="inlineStr">
        <is>
          <t>How mature is the organization in managing strategic priorities ranked by business value, urgency, risk and resource constraints, including ownership, evidence, metrics, fallback procedures and crisis stress testing?</t>
        </is>
      </c>
      <c r="G27" s="3" t="inlineStr">
        <is>
          <t>This topic affects exposure to Demand shock; Financial liquidity crisis; Reputation crisis. It helps identify how disruption may impact operations, people, revenue, systems, legal exposure or recovery time.</t>
        </is>
      </c>
      <c r="H27" s="3" t="inlineStr">
        <is>
          <t>ISO 9001; ISO 31000; ISO 37000; McKinsey 7S; OHI; Bain Elements of Value; Jobs-to-be-Done; Porter Five Forces; OKR</t>
        </is>
      </c>
      <c r="I27" s="3" t="inlineStr">
        <is>
          <t>Policy/SOP; owner/RACI; system report; dashboard; contracts; test records; incident history; interview evidence related to strategic priorities ranked by business value, urgency, risk and resource constraints.</t>
        </is>
      </c>
      <c r="J27" s="3" t="n">
        <v>4</v>
      </c>
      <c r="K27" s="85">
        <f>_DATA_Assessment_Model!H27</f>
        <v/>
      </c>
      <c r="L27" s="4">
        <f>_DATA_Assessment_Model!I27</f>
        <v/>
      </c>
      <c r="M27" s="4">
        <f>_DATA_Assessment_Model!J27</f>
        <v/>
      </c>
      <c r="N27" s="4">
        <f>_DATA_Assessment_Model!K27</f>
        <v/>
      </c>
      <c r="O27" s="3">
        <f>_DATA_Assessment_Model!L27</f>
        <v/>
      </c>
      <c r="P27" s="3" t="inlineStr">
        <is>
          <t>No reliable evidence that strategic priorities ranked by business value, urgency, risk and resource constraints is defined, owned or managed.</t>
        </is>
      </c>
      <c r="Q27" s="3" t="inlineStr">
        <is>
          <t>Strategic priorities ranked by business value, urgency, risk and resource constraints is handled informally and depends on individual knowledge or heroic effort.</t>
        </is>
      </c>
      <c r="R27" s="3" t="inlineStr">
        <is>
          <t>Strategic priorities ranked by business value, urgency, risk and resource constraints is partially documented or implemented, but coverage is inconsistent and not crisis-tested.</t>
        </is>
      </c>
      <c r="S27" s="3" t="inlineStr">
        <is>
          <t>Strategic priorities ranked by business value, urgency, risk and resource constraints is documented, owned, used in normal operations and supported by basic evidence or metrics.</t>
        </is>
      </c>
      <c r="T27" s="3" t="inlineStr">
        <is>
          <t>Strategic priorities ranked by business value, urgency, risk and resource constraints is measured, periodically reviewed, integrated with related processes and tested against relevant disruption scenarios.</t>
        </is>
      </c>
      <c r="U27" s="3" t="inlineStr">
        <is>
          <t>Strategic priorities ranked by business value, urgency, risk and resource constraints is optimized, continuously improved, automated where practical and demonstrably supports crisis resilience.</t>
        </is>
      </c>
      <c r="V27" s="3" t="inlineStr">
        <is>
          <t>Demand shock; Financial liquidity crisis; Reputation crisis</t>
        </is>
      </c>
      <c r="W27" s="3" t="n"/>
      <c r="X27" s="3" t="n"/>
      <c r="Y27" s="3" t="inlineStr">
        <is>
          <t>Use the recommended action generated by the model; validate with domain owner during real assessment.</t>
        </is>
      </c>
      <c r="Z27" s="7" t="n">
        <v>4</v>
      </c>
      <c r="AA27" s="7" t="n">
        <v>5</v>
      </c>
      <c r="AB27" s="7" t="n">
        <v>5</v>
      </c>
      <c r="AD27" t="inlineStr">
        <is>
          <t>GTM execution</t>
        </is>
      </c>
      <c r="AE27" s="6">
        <f>_DATA_Assessment_Model!AB27</f>
        <v/>
      </c>
      <c r="AF27" s="8">
        <f>_DATA_Assessment_Model!AC27</f>
        <v/>
      </c>
      <c r="AG27" s="9">
        <f>_DATA_Assessment_Model!AD27</f>
        <v/>
      </c>
      <c r="AH27" s="6">
        <f>_DATA_Assessment_Model!AE27</f>
        <v/>
      </c>
      <c r="AI27" s="8">
        <f>_DATA_Assessment_Model!AF27</f>
        <v/>
      </c>
      <c r="AJ27" s="6">
        <f>_DATA_Assessment_Model!AG27</f>
        <v/>
      </c>
      <c r="AK27" s="46" t="n"/>
      <c r="AL27" s="46" t="n"/>
      <c r="AM27" s="247">
        <f>_DATA_Assessment_Model!AJ27</f>
        <v/>
      </c>
      <c r="AN27" s="247">
        <f>_DATA_Assessment_Model!AK27</f>
        <v/>
      </c>
      <c r="AO27" s="247">
        <f>_DATA_Assessment_Model!AL27</f>
        <v/>
      </c>
      <c r="AP27" s="247">
        <f>_DATA_Assessment_Model!AM27</f>
        <v/>
      </c>
      <c r="AQ27" s="247">
        <f>_DATA_Assessment_Model!AN27</f>
        <v/>
      </c>
      <c r="AR27" s="247">
        <f>_DATA_Assessment_Model!AO27</f>
        <v/>
      </c>
      <c r="AS27" s="247">
        <f>_DATA_Assessment_Model!AP27</f>
        <v/>
      </c>
      <c r="AT27" s="247">
        <f>_DATA_Assessment_Model!AQ27</f>
        <v/>
      </c>
      <c r="AU27" s="247">
        <f>_DATA_Assessment_Model!AR27</f>
        <v/>
      </c>
      <c r="AV27" s="5">
        <f>_DATA_Assessment_Model!AS27</f>
        <v/>
      </c>
      <c r="AW27" s="5">
        <f>_DATA_Assessment_Model!AT27</f>
        <v/>
      </c>
      <c r="AY27">
        <f>_DATA_Assessment_Model!AV27</f>
        <v/>
      </c>
    </row>
    <row r="28" ht="82.8" customHeight="1" s="209">
      <c r="A28" t="inlineStr">
        <is>
          <t>Strategy GTM</t>
        </is>
      </c>
      <c r="B28" t="inlineStr">
        <is>
          <t>Strategy GTM</t>
        </is>
      </c>
      <c r="C28" t="n">
        <v>9</v>
      </c>
      <c r="D28" s="3" t="inlineStr">
        <is>
          <t>STRA-005</t>
        </is>
      </c>
      <c r="E28" s="3" t="inlineStr">
        <is>
          <t>Corporate strategy</t>
        </is>
      </c>
      <c r="F28" s="3" t="inlineStr">
        <is>
          <t>How mature is the organization in managing strategic options for pivoting under demand shock, war, regulation, supply or liquidity crisis, including ownership, evidence, metrics, fallback procedures and crisis stress testing?</t>
        </is>
      </c>
      <c r="G28" s="3" t="inlineStr">
        <is>
          <t>This topic affects exposure to Demand shock; Financial liquidity crisis; Reputation crisis. It helps identify how disruption may impact operations, people, revenue, systems, legal exposure or recovery time.</t>
        </is>
      </c>
      <c r="H28" s="3" t="inlineStr">
        <is>
          <t>ISO 9001; ISO 31000; ISO 37000; McKinsey 7S; OHI; Bain Elements of Value; Jobs-to-be-Done; Porter Five Forces; OKR</t>
        </is>
      </c>
      <c r="I28" s="3" t="inlineStr">
        <is>
          <t>Policy/SOP; owner/RACI; system report; dashboard; contracts; test records; incident history; interview evidence related to strategic options for pivoting under demand shock, war, regulation, supply or liquidity crisis.</t>
        </is>
      </c>
      <c r="J28" s="3" t="n">
        <v>5</v>
      </c>
      <c r="K28" s="85">
        <f>_DATA_Assessment_Model!H28</f>
        <v/>
      </c>
      <c r="L28" s="4">
        <f>_DATA_Assessment_Model!I28</f>
        <v/>
      </c>
      <c r="M28" s="4">
        <f>_DATA_Assessment_Model!J28</f>
        <v/>
      </c>
      <c r="N28" s="4">
        <f>_DATA_Assessment_Model!K28</f>
        <v/>
      </c>
      <c r="O28" s="3">
        <f>_DATA_Assessment_Model!L28</f>
        <v/>
      </c>
      <c r="P28" s="3" t="inlineStr">
        <is>
          <t>Does not exist; no owner, no documentation, no practice.</t>
        </is>
      </c>
      <c r="Q28" s="3" t="inlineStr">
        <is>
          <t>Ad hoc; depends entirely on specific individuals.</t>
        </is>
      </c>
      <c r="R28" s="3" t="inlineStr">
        <is>
          <t>Partially documented or implemented; coverage inconsistent; never tested under stress.</t>
        </is>
      </c>
      <c r="S28" s="3" t="inlineStr">
        <is>
          <t>Documented, owned, executed consistently; basic evidence and metrics exist.</t>
        </is>
      </c>
      <c r="T28" s="3" t="inlineStr">
        <is>
          <t>Measured and periodically tested/audited; integrated with adjacent processes.</t>
        </is>
      </c>
      <c r="U28" s="3" t="inlineStr">
        <is>
          <t>Optimized and automated where practical; stress-tested; benchmarked externally.</t>
        </is>
      </c>
      <c r="V28" s="3" t="inlineStr">
        <is>
          <t>Demand shock; Financial liquidity crisis; Reputation crisis</t>
        </is>
      </c>
      <c r="W28" s="3" t="n"/>
      <c r="X28" s="3" t="n"/>
      <c r="Y28" s="3" t="inlineStr">
        <is>
          <t>Use the recommended action generated by the model; validate with domain owner during real assessment.</t>
        </is>
      </c>
      <c r="Z28" s="7" t="n">
        <v>4</v>
      </c>
      <c r="AA28" s="7" t="n">
        <v>5</v>
      </c>
      <c r="AB28" s="7" t="n">
        <v>5</v>
      </c>
      <c r="AD28" t="inlineStr">
        <is>
          <t>External relations and partnerships</t>
        </is>
      </c>
      <c r="AE28">
        <f>_DATA_Assessment_Model!AB28</f>
        <v/>
      </c>
      <c r="AF28">
        <f>_DATA_Assessment_Model!AC28</f>
        <v/>
      </c>
      <c r="AG28">
        <f>_DATA_Assessment_Model!AD28</f>
        <v/>
      </c>
      <c r="AH28">
        <f>_DATA_Assessment_Model!AE28</f>
        <v/>
      </c>
      <c r="AI28">
        <f>_DATA_Assessment_Model!AF28</f>
        <v/>
      </c>
      <c r="AJ28">
        <f>_DATA_Assessment_Model!AG28</f>
        <v/>
      </c>
      <c r="AK28" s="46" t="n"/>
      <c r="AL28" s="46" t="n"/>
      <c r="AM28" s="247">
        <f>_DATA_Assessment_Model!AJ28</f>
        <v/>
      </c>
      <c r="AN28" s="247">
        <f>_DATA_Assessment_Model!AK28</f>
        <v/>
      </c>
      <c r="AO28" s="247">
        <f>_DATA_Assessment_Model!AL28</f>
        <v/>
      </c>
      <c r="AP28" s="247">
        <f>_DATA_Assessment_Model!AM28</f>
        <v/>
      </c>
      <c r="AQ28" s="247">
        <f>_DATA_Assessment_Model!AN28</f>
        <v/>
      </c>
      <c r="AR28" s="247">
        <f>_DATA_Assessment_Model!AO28</f>
        <v/>
      </c>
      <c r="AS28" s="247">
        <f>_DATA_Assessment_Model!AP28</f>
        <v/>
      </c>
      <c r="AT28" s="247">
        <f>_DATA_Assessment_Model!AQ28</f>
        <v/>
      </c>
      <c r="AU28" s="247">
        <f>_DATA_Assessment_Model!AR28</f>
        <v/>
      </c>
      <c r="AV28" s="5">
        <f>_DATA_Assessment_Model!AS28</f>
        <v/>
      </c>
      <c r="AW28" s="5">
        <f>_DATA_Assessment_Model!AT28</f>
        <v/>
      </c>
      <c r="AY28">
        <f>_DATA_Assessment_Model!AV28</f>
        <v/>
      </c>
    </row>
    <row r="29" ht="96.59999999999999" customHeight="1" s="209">
      <c r="A29" t="inlineStr">
        <is>
          <t>Strategy GTM</t>
        </is>
      </c>
      <c r="B29" t="inlineStr">
        <is>
          <t>Strategy GTM</t>
        </is>
      </c>
      <c r="C29" t="n">
        <v>10</v>
      </c>
      <c r="D29" s="3" t="inlineStr">
        <is>
          <t>STRA-006</t>
        </is>
      </c>
      <c r="E29" s="3" t="inlineStr">
        <is>
          <t>Corporate strategy</t>
        </is>
      </c>
      <c r="F29" s="3" t="inlineStr">
        <is>
          <t>How mature is the organization in managing alignment between strategy, structure, systems, skills, staff, leadership style and culture, including ownership, evidence, metrics, fallback procedures and crisis stress testing?</t>
        </is>
      </c>
      <c r="G29" s="3" t="inlineStr">
        <is>
          <t>This topic affects exposure to Demand shock; Financial liquidity crisis; Reputation crisis. It helps identify how disruption may impact operations, people, revenue, systems, legal exposure or recovery time.</t>
        </is>
      </c>
      <c r="H29" s="3" t="inlineStr">
        <is>
          <t>ISO 9001; ISO 31000; ISO 37000; McKinsey 7S; OHI; Bain Elements of Value; Jobs-to-be-Done; Porter Five Forces; OKR</t>
        </is>
      </c>
      <c r="I29" s="3" t="inlineStr">
        <is>
          <t>Policy/SOP; owner/RACI; system report; dashboard; contracts; test records; incident history; interview evidence related to alignment between strategy, structure, systems, skills, staff, leadership style and culture.</t>
        </is>
      </c>
      <c r="J29" s="3" t="n">
        <v>4</v>
      </c>
      <c r="K29" s="85">
        <f>_DATA_Assessment_Model!H29</f>
        <v/>
      </c>
      <c r="L29" s="4">
        <f>_DATA_Assessment_Model!I29</f>
        <v/>
      </c>
      <c r="M29" s="4">
        <f>_DATA_Assessment_Model!J29</f>
        <v/>
      </c>
      <c r="N29" s="4">
        <f>_DATA_Assessment_Model!K29</f>
        <v/>
      </c>
      <c r="O29" s="3">
        <f>_DATA_Assessment_Model!L29</f>
        <v/>
      </c>
      <c r="P29" s="3" t="inlineStr">
        <is>
          <t>No reliable evidence that alignment between strategy, structure, systems, skills, staff, leadership style and culture is defined, owned or managed.</t>
        </is>
      </c>
      <c r="Q29" s="3" t="inlineStr">
        <is>
          <t>Alignment between strategy, structure, systems, skills, staff, leadership style and culture is handled informally and depends on individual knowledge or heroic effort.</t>
        </is>
      </c>
      <c r="R29" s="3" t="inlineStr">
        <is>
          <t>Alignment between strategy, structure, systems, skills, staff, leadership style and culture is partially documented or implemented, but coverage is inconsistent and not crisis-tested.</t>
        </is>
      </c>
      <c r="S29" s="3" t="inlineStr">
        <is>
          <t>Alignment between strategy, structure, systems, skills, staff, leadership style and culture is documented, owned, used in normal operations and supported by basic evidence or metrics.</t>
        </is>
      </c>
      <c r="T29" s="3" t="inlineStr">
        <is>
          <t>Alignment between strategy, structure, systems, skills, staff, leadership style and culture is measured, periodically reviewed, integrated with related processes and tested against relevant disruption scenarios.</t>
        </is>
      </c>
      <c r="U29" s="3" t="inlineStr">
        <is>
          <t>Alignment between strategy, structure, systems, skills, staff, leadership style and culture is optimized, continuously improved, automated where practical and demonstrably supports crisis resilience.</t>
        </is>
      </c>
      <c r="V29" s="3" t="inlineStr">
        <is>
          <t>Demand shock; Financial liquidity crisis; Reputation crisis</t>
        </is>
      </c>
      <c r="W29" s="3" t="n"/>
      <c r="X29" s="3" t="n"/>
      <c r="Y29" s="3" t="inlineStr">
        <is>
          <t>Use the recommended action generated by the model; validate with domain owner during real assessment.</t>
        </is>
      </c>
      <c r="Z29" s="7" t="n">
        <v>4</v>
      </c>
      <c r="AA29" s="7" t="n">
        <v>5</v>
      </c>
      <c r="AB29" s="7" t="n">
        <v>5</v>
      </c>
      <c r="AK29" s="46" t="n"/>
      <c r="AL29" s="46" t="n"/>
      <c r="AM29" s="247">
        <f>_DATA_Assessment_Model!AJ29</f>
        <v/>
      </c>
      <c r="AN29" s="247">
        <f>_DATA_Assessment_Model!AK29</f>
        <v/>
      </c>
      <c r="AO29" s="247">
        <f>_DATA_Assessment_Model!AL29</f>
        <v/>
      </c>
      <c r="AP29" s="247">
        <f>_DATA_Assessment_Model!AM29</f>
        <v/>
      </c>
      <c r="AQ29" s="247">
        <f>_DATA_Assessment_Model!AN29</f>
        <v/>
      </c>
      <c r="AR29" s="247">
        <f>_DATA_Assessment_Model!AO29</f>
        <v/>
      </c>
      <c r="AS29" s="247">
        <f>_DATA_Assessment_Model!AP29</f>
        <v/>
      </c>
      <c r="AT29" s="247">
        <f>_DATA_Assessment_Model!AQ29</f>
        <v/>
      </c>
      <c r="AU29" s="247">
        <f>_DATA_Assessment_Model!AR29</f>
        <v/>
      </c>
      <c r="AV29" s="5">
        <f>_DATA_Assessment_Model!AS29</f>
        <v/>
      </c>
      <c r="AW29" s="5">
        <f>_DATA_Assessment_Model!AT29</f>
        <v/>
      </c>
      <c r="AY29">
        <f>_DATA_Assessment_Model!AV29</f>
        <v/>
      </c>
    </row>
    <row r="30" ht="110.4" customHeight="1" s="209">
      <c r="A30" t="inlineStr">
        <is>
          <t>Strategy GTM</t>
        </is>
      </c>
      <c r="B30" t="inlineStr">
        <is>
          <t>Strategy GTM</t>
        </is>
      </c>
      <c r="C30" t="n">
        <v>11</v>
      </c>
      <c r="D30" s="3" t="inlineStr">
        <is>
          <t>STRA-007</t>
        </is>
      </c>
      <c r="E30" s="3" t="inlineStr">
        <is>
          <t>Market and ICP</t>
        </is>
      </c>
      <c r="F30" s="3" t="inlineStr">
        <is>
          <t>How mature is the organization in managing ideal customer profile by segment, geography, industry, company size, pain, budget and buying trigger, including ownership, evidence, metrics, fallback procedures and crisis stress testing?</t>
        </is>
      </c>
      <c r="G30" s="3" t="inlineStr">
        <is>
          <t>This topic affects exposure to Demand shock; Financial liquidity crisis; Reputation crisis. It helps identify how disruption may impact operations, people, revenue, systems, legal exposure or recovery time.</t>
        </is>
      </c>
      <c r="H30" s="3" t="inlineStr">
        <is>
          <t>ISO 9001; ISO 31000; ISO 37000; McKinsey 7S; OHI; Bain Elements of Value; Jobs-to-be-Done; Porter Five Forces; OKR</t>
        </is>
      </c>
      <c r="I30" s="3" t="inlineStr">
        <is>
          <t>Policy/SOP; owner/RACI; system report; dashboard; contracts; test records; incident history; interview evidence related to ideal customer profile by segment, geography, industry, company size, pain, budget and buying trigger.</t>
        </is>
      </c>
      <c r="J30" s="3" t="n">
        <v>4</v>
      </c>
      <c r="K30" s="85">
        <f>_DATA_Assessment_Model!H30</f>
        <v/>
      </c>
      <c r="L30" s="4">
        <f>_DATA_Assessment_Model!I30</f>
        <v/>
      </c>
      <c r="M30" s="4">
        <f>_DATA_Assessment_Model!J30</f>
        <v/>
      </c>
      <c r="N30" s="4">
        <f>_DATA_Assessment_Model!K30</f>
        <v/>
      </c>
      <c r="O30" s="3">
        <f>_DATA_Assessment_Model!L30</f>
        <v/>
      </c>
      <c r="P30" s="3" t="inlineStr">
        <is>
          <t>No reliable evidence that ideal customer profile by segment, geography, industry, company size, pain, budget and buying trigger is defined, owned or managed.</t>
        </is>
      </c>
      <c r="Q30" s="3" t="inlineStr">
        <is>
          <t>Ideal customer profile by segment, geography, industry, company size, pain, budget and buying trigger is handled informally and depends on individual knowledge or heroic effort.</t>
        </is>
      </c>
      <c r="R30" s="3" t="inlineStr">
        <is>
          <t>Ideal customer profile by segment, geography, industry, company size, pain, budget and buying trigger is partially documented or implemented, but coverage is inconsistent and not crisis-tested.</t>
        </is>
      </c>
      <c r="S30" s="3" t="inlineStr">
        <is>
          <t>Ideal customer profile by segment, geography, industry, company size, pain, budget and buying trigger is documented, owned, used in normal operations and supported by basic evidence or metrics.</t>
        </is>
      </c>
      <c r="T30" s="3" t="inlineStr">
        <is>
          <t>Ideal customer profile by segment, geography, industry, company size, pain, budget and buying trigger is measured, periodically reviewed, integrated with related processes and tested against relevant disruption scenarios.</t>
        </is>
      </c>
      <c r="U30" s="3" t="inlineStr">
        <is>
          <t>Ideal customer profile by segment, geography, industry, company size, pain, budget and buying trigger is optimized, continuously improved, automated where practical and demonstrably supports crisis resilience.</t>
        </is>
      </c>
      <c r="V30" s="3" t="inlineStr">
        <is>
          <t>Demand shock; Financial liquidity crisis; Reputation crisis</t>
        </is>
      </c>
      <c r="W30" s="3" t="n"/>
      <c r="X30" s="3" t="n"/>
      <c r="Y30" s="3" t="inlineStr">
        <is>
          <t>Use the recommended action generated by the model; validate with domain owner during real assessment.</t>
        </is>
      </c>
      <c r="Z30" s="7" t="n">
        <v>4</v>
      </c>
      <c r="AA30" s="7" t="n">
        <v>5</v>
      </c>
      <c r="AB30" s="7" t="n">
        <v>5</v>
      </c>
      <c r="AK30" s="46" t="n"/>
      <c r="AL30" s="46" t="n"/>
      <c r="AM30" s="247">
        <f>_DATA_Assessment_Model!AJ30</f>
        <v/>
      </c>
      <c r="AN30" s="247">
        <f>_DATA_Assessment_Model!AK30</f>
        <v/>
      </c>
      <c r="AO30" s="247">
        <f>_DATA_Assessment_Model!AL30</f>
        <v/>
      </c>
      <c r="AP30" s="247">
        <f>_DATA_Assessment_Model!AM30</f>
        <v/>
      </c>
      <c r="AQ30" s="247">
        <f>_DATA_Assessment_Model!AN30</f>
        <v/>
      </c>
      <c r="AR30" s="247">
        <f>_DATA_Assessment_Model!AO30</f>
        <v/>
      </c>
      <c r="AS30" s="247">
        <f>_DATA_Assessment_Model!AP30</f>
        <v/>
      </c>
      <c r="AT30" s="247">
        <f>_DATA_Assessment_Model!AQ30</f>
        <v/>
      </c>
      <c r="AU30" s="247">
        <f>_DATA_Assessment_Model!AR30</f>
        <v/>
      </c>
      <c r="AV30" s="5">
        <f>_DATA_Assessment_Model!AS30</f>
        <v/>
      </c>
      <c r="AW30" s="5">
        <f>_DATA_Assessment_Model!AT30</f>
        <v/>
      </c>
      <c r="AY30">
        <f>_DATA_Assessment_Model!AV30</f>
        <v/>
      </c>
    </row>
    <row r="31" ht="96.59999999999999" customHeight="1" s="209">
      <c r="A31" t="inlineStr">
        <is>
          <t>Strategy GTM</t>
        </is>
      </c>
      <c r="B31" t="inlineStr">
        <is>
          <t>Strategy GTM</t>
        </is>
      </c>
      <c r="C31" t="n">
        <v>12</v>
      </c>
      <c r="D31" s="3" t="inlineStr">
        <is>
          <t>STRA-008</t>
        </is>
      </c>
      <c r="E31" s="3" t="inlineStr">
        <is>
          <t>Market and ICP</t>
        </is>
      </c>
      <c r="F31" s="3" t="inlineStr">
        <is>
          <t>How mature is the organization in managing buyer personas covering economic buyer, technical buyer, user, influencer and blocker, including ownership, evidence, metrics, fallback procedures and crisis stress testing?</t>
        </is>
      </c>
      <c r="G31" s="3" t="inlineStr">
        <is>
          <t>This topic affects exposure to Demand shock; Financial liquidity crisis; Reputation crisis. It helps identify how disruption may impact operations, people, revenue, systems, legal exposure or recovery time.</t>
        </is>
      </c>
      <c r="H31" s="3" t="inlineStr">
        <is>
          <t>ISO 9001; ISO 31000; ISO 37000; McKinsey 7S; OHI; Bain Elements of Value; Jobs-to-be-Done; Porter Five Forces; OKR</t>
        </is>
      </c>
      <c r="I31" s="3" t="inlineStr">
        <is>
          <t>Policy/SOP; owner/RACI; system report; dashboard; contracts; test records; incident history; interview evidence related to buyer personas covering economic buyer, technical buyer, user, influencer and blocker.</t>
        </is>
      </c>
      <c r="J31" s="3" t="n">
        <v>3</v>
      </c>
      <c r="K31" s="85">
        <f>_DATA_Assessment_Model!H31</f>
        <v/>
      </c>
      <c r="L31" s="4">
        <f>_DATA_Assessment_Model!I31</f>
        <v/>
      </c>
      <c r="M31" s="4">
        <f>_DATA_Assessment_Model!J31</f>
        <v/>
      </c>
      <c r="N31" s="4">
        <f>_DATA_Assessment_Model!K31</f>
        <v/>
      </c>
      <c r="O31" s="3">
        <f>_DATA_Assessment_Model!L31</f>
        <v/>
      </c>
      <c r="P31" s="3" t="inlineStr">
        <is>
          <t>No reliable evidence that buyer personas covering economic buyer, technical buyer, user, influencer and blocker is defined, owned or managed.</t>
        </is>
      </c>
      <c r="Q31" s="3" t="inlineStr">
        <is>
          <t>Buyer personas covering economic buyer, technical buyer, user, influencer and blocker is handled informally and depends on individual knowledge or heroic effort.</t>
        </is>
      </c>
      <c r="R31" s="3" t="inlineStr">
        <is>
          <t>Buyer personas covering economic buyer, technical buyer, user, influencer and blocker is partially documented or implemented, but coverage is inconsistent and not crisis-tested.</t>
        </is>
      </c>
      <c r="S31" s="3" t="inlineStr">
        <is>
          <t>Buyer personas covering economic buyer, technical buyer, user, influencer and blocker is documented, owned, used in normal operations and supported by basic evidence or metrics.</t>
        </is>
      </c>
      <c r="T31" s="3" t="inlineStr">
        <is>
          <t>Buyer personas covering economic buyer, technical buyer, user, influencer and blocker is measured, periodically reviewed, integrated with related processes and tested against relevant disruption scenarios.</t>
        </is>
      </c>
      <c r="U31" s="3" t="inlineStr">
        <is>
          <t>Buyer personas covering economic buyer, technical buyer, user, influencer and blocker is optimized, continuously improved, automated where practical and demonstrably supports crisis resilience.</t>
        </is>
      </c>
      <c r="V31" s="3" t="inlineStr">
        <is>
          <t>Demand shock; Financial liquidity crisis; Reputation crisis</t>
        </is>
      </c>
      <c r="W31" s="3" t="n"/>
      <c r="X31" s="3" t="n"/>
      <c r="Y31" s="3" t="inlineStr">
        <is>
          <t>Use the recommended action generated by the model; validate with domain owner during real assessment.</t>
        </is>
      </c>
      <c r="Z31" s="7" t="n">
        <v>4</v>
      </c>
      <c r="AA31" s="7" t="n">
        <v>5</v>
      </c>
      <c r="AB31" s="7" t="n">
        <v>5</v>
      </c>
      <c r="AK31" s="46" t="n"/>
      <c r="AL31" s="46" t="n"/>
      <c r="AM31" s="247">
        <f>_DATA_Assessment_Model!AJ31</f>
        <v/>
      </c>
      <c r="AN31" s="247">
        <f>_DATA_Assessment_Model!AK31</f>
        <v/>
      </c>
      <c r="AO31" s="247">
        <f>_DATA_Assessment_Model!AL31</f>
        <v/>
      </c>
      <c r="AP31" s="247">
        <f>_DATA_Assessment_Model!AM31</f>
        <v/>
      </c>
      <c r="AQ31" s="247">
        <f>_DATA_Assessment_Model!AN31</f>
        <v/>
      </c>
      <c r="AR31" s="247">
        <f>_DATA_Assessment_Model!AO31</f>
        <v/>
      </c>
      <c r="AS31" s="247">
        <f>_DATA_Assessment_Model!AP31</f>
        <v/>
      </c>
      <c r="AT31" s="247">
        <f>_DATA_Assessment_Model!AQ31</f>
        <v/>
      </c>
      <c r="AU31" s="247">
        <f>_DATA_Assessment_Model!AR31</f>
        <v/>
      </c>
      <c r="AV31" s="5">
        <f>_DATA_Assessment_Model!AS31</f>
        <v/>
      </c>
      <c r="AW31" s="5">
        <f>_DATA_Assessment_Model!AT31</f>
        <v/>
      </c>
      <c r="AY31">
        <f>_DATA_Assessment_Model!AV31</f>
        <v/>
      </c>
    </row>
    <row r="32" ht="96.59999999999999" customHeight="1" s="209">
      <c r="A32" t="inlineStr">
        <is>
          <t>Strategy GTM</t>
        </is>
      </c>
      <c r="B32" t="inlineStr">
        <is>
          <t>Strategy GTM</t>
        </is>
      </c>
      <c r="C32" t="n">
        <v>13</v>
      </c>
      <c r="D32" s="3" t="inlineStr">
        <is>
          <t>STRA-009</t>
        </is>
      </c>
      <c r="E32" s="3" t="inlineStr">
        <is>
          <t>Market and ICP</t>
        </is>
      </c>
      <c r="F32" s="3" t="inlineStr">
        <is>
          <t>How mature is the organization in managing validated customer problems, jobs-to-be-done, urgency triggers and willingness to pay, including ownership, evidence, metrics, fallback procedures and crisis stress testing?</t>
        </is>
      </c>
      <c r="G32" s="3" t="inlineStr">
        <is>
          <t>This topic affects exposure to Demand shock; Financial liquidity crisis; Reputation crisis. It helps identify how disruption may impact operations, people, revenue, systems, legal exposure or recovery time.</t>
        </is>
      </c>
      <c r="H32" s="3" t="inlineStr">
        <is>
          <t>ISO 9001; ISO 31000; ISO 37000; McKinsey 7S; OHI; Bain Elements of Value; Jobs-to-be-Done; Porter Five Forces; OKR</t>
        </is>
      </c>
      <c r="I32" s="3" t="inlineStr">
        <is>
          <t>Policy/SOP; owner/RACI; system report; dashboard; contracts; test records; incident history; interview evidence related to validated customer problems, jobs-to-be-done, urgency triggers and willingness to pay.</t>
        </is>
      </c>
      <c r="J32" s="3" t="n">
        <v>4</v>
      </c>
      <c r="K32" s="85">
        <f>_DATA_Assessment_Model!H32</f>
        <v/>
      </c>
      <c r="L32" s="4">
        <f>_DATA_Assessment_Model!I32</f>
        <v/>
      </c>
      <c r="M32" s="4">
        <f>_DATA_Assessment_Model!J32</f>
        <v/>
      </c>
      <c r="N32" s="4">
        <f>_DATA_Assessment_Model!K32</f>
        <v/>
      </c>
      <c r="O32" s="3">
        <f>_DATA_Assessment_Model!L32</f>
        <v/>
      </c>
      <c r="P32" s="3" t="inlineStr">
        <is>
          <t>No reliable evidence that validated customer problems, jobs-to-be-done, urgency triggers and willingness to pay is defined, owned or managed.</t>
        </is>
      </c>
      <c r="Q32" s="3" t="inlineStr">
        <is>
          <t>Validated customer problems, jobs-to-be-done, urgency triggers and willingness to pay is handled informally and depends on individual knowledge or heroic effort.</t>
        </is>
      </c>
      <c r="R32" s="3" t="inlineStr">
        <is>
          <t>Validated customer problems, jobs-to-be-done, urgency triggers and willingness to pay is partially documented or implemented, but coverage is inconsistent and not crisis-tested.</t>
        </is>
      </c>
      <c r="S32" s="3" t="inlineStr">
        <is>
          <t>Validated customer problems, jobs-to-be-done, urgency triggers and willingness to pay is documented, owned, used in normal operations and supported by basic evidence or metrics.</t>
        </is>
      </c>
      <c r="T32" s="3" t="inlineStr">
        <is>
          <t>Validated customer problems, jobs-to-be-done, urgency triggers and willingness to pay is measured, periodically reviewed, integrated with related processes and tested against relevant disruption scenarios.</t>
        </is>
      </c>
      <c r="U32" s="3" t="inlineStr">
        <is>
          <t>Validated customer problems, jobs-to-be-done, urgency triggers and willingness to pay is optimized, continuously improved, automated where practical and demonstrably supports crisis resilience.</t>
        </is>
      </c>
      <c r="V32" s="3" t="inlineStr">
        <is>
          <t>Demand shock; Financial liquidity crisis; Reputation crisis</t>
        </is>
      </c>
      <c r="W32" s="3" t="n"/>
      <c r="X32" s="3" t="n"/>
      <c r="Y32" s="3" t="inlineStr">
        <is>
          <t>Use the recommended action generated by the model; validate with domain owner during real assessment.</t>
        </is>
      </c>
      <c r="Z32" s="7" t="n">
        <v>4</v>
      </c>
      <c r="AA32" s="7" t="n">
        <v>5</v>
      </c>
      <c r="AB32" s="7" t="n">
        <v>5</v>
      </c>
      <c r="AK32" s="46" t="n"/>
      <c r="AL32" s="46" t="n"/>
      <c r="AM32" s="247">
        <f>_DATA_Assessment_Model!AJ32</f>
        <v/>
      </c>
      <c r="AN32" s="247">
        <f>_DATA_Assessment_Model!AK32</f>
        <v/>
      </c>
      <c r="AO32" s="247">
        <f>_DATA_Assessment_Model!AL32</f>
        <v/>
      </c>
      <c r="AP32" s="247">
        <f>_DATA_Assessment_Model!AM32</f>
        <v/>
      </c>
      <c r="AQ32" s="247">
        <f>_DATA_Assessment_Model!AN32</f>
        <v/>
      </c>
      <c r="AR32" s="247">
        <f>_DATA_Assessment_Model!AO32</f>
        <v/>
      </c>
      <c r="AS32" s="247">
        <f>_DATA_Assessment_Model!AP32</f>
        <v/>
      </c>
      <c r="AT32" s="247">
        <f>_DATA_Assessment_Model!AQ32</f>
        <v/>
      </c>
      <c r="AU32" s="247">
        <f>_DATA_Assessment_Model!AR32</f>
        <v/>
      </c>
      <c r="AV32" s="5">
        <f>_DATA_Assessment_Model!AS32</f>
        <v/>
      </c>
      <c r="AW32" s="5">
        <f>_DATA_Assessment_Model!AT32</f>
        <v/>
      </c>
      <c r="AY32">
        <f>_DATA_Assessment_Model!AV32</f>
        <v/>
      </c>
    </row>
    <row r="33" ht="82.8" customHeight="1" s="209">
      <c r="A33" t="inlineStr">
        <is>
          <t>Strategy GTM</t>
        </is>
      </c>
      <c r="B33" t="inlineStr">
        <is>
          <t>Strategy GTM</t>
        </is>
      </c>
      <c r="C33" t="n">
        <v>14</v>
      </c>
      <c r="D33" s="3" t="inlineStr">
        <is>
          <t>STRA-010</t>
        </is>
      </c>
      <c r="E33" s="3" t="inlineStr">
        <is>
          <t>Market and ICP</t>
        </is>
      </c>
      <c r="F33" s="3" t="inlineStr">
        <is>
          <t>How mature is the organization in managing market segmentation by attractiveness, accessibility, profitability and crisis sensitivity, including ownership, evidence, metrics, fallback procedures and crisis stress testing?</t>
        </is>
      </c>
      <c r="G33" s="3" t="inlineStr">
        <is>
          <t>This topic affects exposure to Demand shock; Financial liquidity crisis; Reputation crisis. It helps identify how disruption may impact operations, people, revenue, systems, legal exposure or recovery time.</t>
        </is>
      </c>
      <c r="H33" s="3" t="inlineStr">
        <is>
          <t>ISO 9001; ISO 31000; ISO 37000; McKinsey 7S; OHI; Bain Elements of Value; Jobs-to-be-Done; Porter Five Forces; OKR</t>
        </is>
      </c>
      <c r="I33" s="3" t="inlineStr">
        <is>
          <t>Policy/SOP; owner/RACI; system report; dashboard; contracts; test records; incident history; interview evidence related to market segmentation by attractiveness, accessibility, profitability and crisis sensitivity.</t>
        </is>
      </c>
      <c r="J33" s="3" t="n">
        <v>5</v>
      </c>
      <c r="K33" s="85">
        <f>_DATA_Assessment_Model!H33</f>
        <v/>
      </c>
      <c r="L33" s="4">
        <f>_DATA_Assessment_Model!I33</f>
        <v/>
      </c>
      <c r="M33" s="4">
        <f>_DATA_Assessment_Model!J33</f>
        <v/>
      </c>
      <c r="N33" s="4">
        <f>_DATA_Assessment_Model!K33</f>
        <v/>
      </c>
      <c r="O33" s="3">
        <f>_DATA_Assessment_Model!L33</f>
        <v/>
      </c>
      <c r="P33" s="3" t="inlineStr">
        <is>
          <t>Does not exist; no owner, no documentation, no practice.</t>
        </is>
      </c>
      <c r="Q33" s="3" t="inlineStr">
        <is>
          <t>Ad hoc; depends entirely on specific individuals.</t>
        </is>
      </c>
      <c r="R33" s="3" t="inlineStr">
        <is>
          <t>Partially documented or implemented; coverage inconsistent; never tested under stress.</t>
        </is>
      </c>
      <c r="S33" s="3" t="inlineStr">
        <is>
          <t>Documented, owned, executed consistently; basic evidence and metrics exist.</t>
        </is>
      </c>
      <c r="T33" s="3" t="inlineStr">
        <is>
          <t>Measured and periodically tested/audited; integrated with adjacent processes.</t>
        </is>
      </c>
      <c r="U33" s="3" t="inlineStr">
        <is>
          <t>Optimized and automated where practical; stress-tested; benchmarked externally.</t>
        </is>
      </c>
      <c r="V33" s="3" t="inlineStr">
        <is>
          <t>Demand shock; Financial liquidity crisis; Reputation crisis</t>
        </is>
      </c>
      <c r="W33" s="3" t="n"/>
      <c r="X33" s="3" t="n"/>
      <c r="Y33" s="3" t="inlineStr">
        <is>
          <t>Use the recommended action generated by the model; validate with domain owner during real assessment.</t>
        </is>
      </c>
      <c r="Z33" s="7" t="n">
        <v>4</v>
      </c>
      <c r="AA33" s="7" t="n">
        <v>5</v>
      </c>
      <c r="AB33" s="7" t="n">
        <v>5</v>
      </c>
      <c r="AK33" s="46" t="n"/>
      <c r="AL33" s="46" t="n"/>
      <c r="AM33" s="247">
        <f>_DATA_Assessment_Model!AJ33</f>
        <v/>
      </c>
      <c r="AN33" s="247">
        <f>_DATA_Assessment_Model!AK33</f>
        <v/>
      </c>
      <c r="AO33" s="247">
        <f>_DATA_Assessment_Model!AL33</f>
        <v/>
      </c>
      <c r="AP33" s="247">
        <f>_DATA_Assessment_Model!AM33</f>
        <v/>
      </c>
      <c r="AQ33" s="247">
        <f>_DATA_Assessment_Model!AN33</f>
        <v/>
      </c>
      <c r="AR33" s="247">
        <f>_DATA_Assessment_Model!AO33</f>
        <v/>
      </c>
      <c r="AS33" s="247">
        <f>_DATA_Assessment_Model!AP33</f>
        <v/>
      </c>
      <c r="AT33" s="247">
        <f>_DATA_Assessment_Model!AQ33</f>
        <v/>
      </c>
      <c r="AU33" s="247">
        <f>_DATA_Assessment_Model!AR33</f>
        <v/>
      </c>
      <c r="AV33" s="5">
        <f>_DATA_Assessment_Model!AS33</f>
        <v/>
      </c>
      <c r="AW33" s="5">
        <f>_DATA_Assessment_Model!AT33</f>
        <v/>
      </c>
      <c r="AY33">
        <f>_DATA_Assessment_Model!AV33</f>
        <v/>
      </c>
    </row>
    <row r="34" ht="96.59999999999999" customHeight="1" s="209">
      <c r="A34" t="inlineStr">
        <is>
          <t>Strategy GTM</t>
        </is>
      </c>
      <c r="B34" t="inlineStr">
        <is>
          <t>Strategy GTM</t>
        </is>
      </c>
      <c r="C34" t="n">
        <v>15</v>
      </c>
      <c r="D34" s="3" t="inlineStr">
        <is>
          <t>STRA-011</t>
        </is>
      </c>
      <c r="E34" s="3" t="inlineStr">
        <is>
          <t>Market and ICP</t>
        </is>
      </c>
      <c r="F34" s="3" t="inlineStr">
        <is>
          <t>How mature is the organization in managing market size and growth assumptions with explicit evidence and uncertainty level, including ownership, evidence, metrics, fallback procedures and crisis stress testing?</t>
        </is>
      </c>
      <c r="G34" s="3" t="inlineStr">
        <is>
          <t>This topic affects exposure to Demand shock; Financial liquidity crisis; Reputation crisis. It helps identify how disruption may impact operations, people, revenue, systems, legal exposure or recovery time.</t>
        </is>
      </c>
      <c r="H34" s="3" t="inlineStr">
        <is>
          <t>ISO 9001; ISO 31000; ISO 37000; McKinsey 7S; OHI; Bain Elements of Value; Jobs-to-be-Done; Porter Five Forces; OKR</t>
        </is>
      </c>
      <c r="I34" s="3" t="inlineStr">
        <is>
          <t>Policy/SOP; owner/RACI; system report; dashboard; contracts; test records; incident history; interview evidence related to market size and growth assumptions with explicit evidence and uncertainty level.</t>
        </is>
      </c>
      <c r="J34" s="3" t="n">
        <v>3</v>
      </c>
      <c r="K34" s="85">
        <f>_DATA_Assessment_Model!H34</f>
        <v/>
      </c>
      <c r="L34" s="4">
        <f>_DATA_Assessment_Model!I34</f>
        <v/>
      </c>
      <c r="M34" s="4">
        <f>_DATA_Assessment_Model!J34</f>
        <v/>
      </c>
      <c r="N34" s="4">
        <f>_DATA_Assessment_Model!K34</f>
        <v/>
      </c>
      <c r="O34" s="3">
        <f>_DATA_Assessment_Model!L34</f>
        <v/>
      </c>
      <c r="P34" s="3" t="inlineStr">
        <is>
          <t>No reliable evidence that market size and growth assumptions with explicit evidence and uncertainty level is defined, owned or managed.</t>
        </is>
      </c>
      <c r="Q34" s="3" t="inlineStr">
        <is>
          <t>Market size and growth assumptions with explicit evidence and uncertainty level is handled informally and depends on individual knowledge or heroic effort.</t>
        </is>
      </c>
      <c r="R34" s="3" t="inlineStr">
        <is>
          <t>Market size and growth assumptions with explicit evidence and uncertainty level is partially documented or implemented, but coverage is inconsistent and not crisis-tested.</t>
        </is>
      </c>
      <c r="S34" s="3" t="inlineStr">
        <is>
          <t>Market size and growth assumptions with explicit evidence and uncertainty level is documented, owned, used in normal operations and supported by basic evidence or metrics.</t>
        </is>
      </c>
      <c r="T34" s="3" t="inlineStr">
        <is>
          <t>Market size and growth assumptions with explicit evidence and uncertainty level is measured, periodically reviewed, integrated with related processes and tested against relevant disruption scenarios.</t>
        </is>
      </c>
      <c r="U34" s="3" t="inlineStr">
        <is>
          <t>Market size and growth assumptions with explicit evidence and uncertainty level is optimized, continuously improved, automated where practical and demonstrably supports crisis resilience.</t>
        </is>
      </c>
      <c r="V34" s="3" t="inlineStr">
        <is>
          <t>Demand shock; Financial liquidity crisis; Reputation crisis</t>
        </is>
      </c>
      <c r="W34" s="3" t="n"/>
      <c r="X34" s="3" t="n"/>
      <c r="Y34" s="3" t="inlineStr">
        <is>
          <t>Use the recommended action generated by the model; validate with domain owner during real assessment.</t>
        </is>
      </c>
      <c r="Z34" s="7" t="n">
        <v>4</v>
      </c>
      <c r="AA34" s="7" t="n">
        <v>5</v>
      </c>
      <c r="AB34" s="7" t="n">
        <v>5</v>
      </c>
      <c r="AK34" s="46" t="n"/>
      <c r="AL34" s="46" t="n"/>
      <c r="AM34" s="247">
        <f>_DATA_Assessment_Model!AJ34</f>
        <v/>
      </c>
      <c r="AN34" s="247">
        <f>_DATA_Assessment_Model!AK34</f>
        <v/>
      </c>
      <c r="AO34" s="247">
        <f>_DATA_Assessment_Model!AL34</f>
        <v/>
      </c>
      <c r="AP34" s="247">
        <f>_DATA_Assessment_Model!AM34</f>
        <v/>
      </c>
      <c r="AQ34" s="247">
        <f>_DATA_Assessment_Model!AN34</f>
        <v/>
      </c>
      <c r="AR34" s="247">
        <f>_DATA_Assessment_Model!AO34</f>
        <v/>
      </c>
      <c r="AS34" s="247">
        <f>_DATA_Assessment_Model!AP34</f>
        <v/>
      </c>
      <c r="AT34" s="247">
        <f>_DATA_Assessment_Model!AQ34</f>
        <v/>
      </c>
      <c r="AU34" s="247">
        <f>_DATA_Assessment_Model!AR34</f>
        <v/>
      </c>
      <c r="AV34" s="5">
        <f>_DATA_Assessment_Model!AS34</f>
        <v/>
      </c>
      <c r="AW34" s="5">
        <f>_DATA_Assessment_Model!AT34</f>
        <v/>
      </c>
      <c r="AY34">
        <f>_DATA_Assessment_Model!AV34</f>
        <v/>
      </c>
    </row>
    <row r="35" ht="96.59999999999999" customHeight="1" s="209">
      <c r="A35" t="inlineStr">
        <is>
          <t>Strategy GTM</t>
        </is>
      </c>
      <c r="B35" t="inlineStr">
        <is>
          <t>Strategy GTM</t>
        </is>
      </c>
      <c r="C35" t="n">
        <v>16</v>
      </c>
      <c r="D35" s="3" t="inlineStr">
        <is>
          <t>STRA-012</t>
        </is>
      </c>
      <c r="E35" s="3" t="inlineStr">
        <is>
          <t>Market and ICP</t>
        </is>
      </c>
      <c r="F35" s="3" t="inlineStr">
        <is>
          <t>How mature is the organization in managing customer concentration and exposure to specific industries, geographies or budget cycles, including ownership, evidence, metrics, fallback procedures and crisis stress testing?</t>
        </is>
      </c>
      <c r="G35" s="3" t="inlineStr">
        <is>
          <t>This topic affects exposure to Demand shock; Financial liquidity crisis; Reputation crisis. It helps identify how disruption may impact operations, people, revenue, systems, legal exposure or recovery time.</t>
        </is>
      </c>
      <c r="H35" s="3" t="inlineStr">
        <is>
          <t>ISO 9001; ISO 31000; ISO 37000; McKinsey 7S; OHI; Bain Elements of Value; Jobs-to-be-Done; Porter Five Forces; OKR</t>
        </is>
      </c>
      <c r="I35" s="3" t="inlineStr">
        <is>
          <t>Policy/SOP; owner/RACI; system report; dashboard; contracts; test records; incident history; interview evidence related to customer concentration and exposure to specific industries, geographies or budget cycles.</t>
        </is>
      </c>
      <c r="J35" s="3" t="n">
        <v>4</v>
      </c>
      <c r="K35" s="85">
        <f>_DATA_Assessment_Model!H35</f>
        <v/>
      </c>
      <c r="L35" s="4">
        <f>_DATA_Assessment_Model!I35</f>
        <v/>
      </c>
      <c r="M35" s="4">
        <f>_DATA_Assessment_Model!J35</f>
        <v/>
      </c>
      <c r="N35" s="4">
        <f>_DATA_Assessment_Model!K35</f>
        <v/>
      </c>
      <c r="O35" s="3">
        <f>_DATA_Assessment_Model!L35</f>
        <v/>
      </c>
      <c r="P35" s="3" t="inlineStr">
        <is>
          <t>No reliable evidence that customer concentration and exposure to specific industries, geographies or budget cycles is defined, owned or managed.</t>
        </is>
      </c>
      <c r="Q35" s="3" t="inlineStr">
        <is>
          <t>Customer concentration and exposure to specific industries, geographies or budget cycles is handled informally and depends on individual knowledge or heroic effort.</t>
        </is>
      </c>
      <c r="R35" s="3" t="inlineStr">
        <is>
          <t>Customer concentration and exposure to specific industries, geographies or budget cycles is partially documented or implemented, but coverage is inconsistent and not crisis-tested.</t>
        </is>
      </c>
      <c r="S35" s="3" t="inlineStr">
        <is>
          <t>Customer concentration and exposure to specific industries, geographies or budget cycles is documented, owned, used in normal operations and supported by basic evidence or metrics.</t>
        </is>
      </c>
      <c r="T35" s="3" t="inlineStr">
        <is>
          <t>Customer concentration and exposure to specific industries, geographies or budget cycles is measured, periodically reviewed, integrated with related processes and tested against relevant disruption scenarios.</t>
        </is>
      </c>
      <c r="U35" s="3" t="inlineStr">
        <is>
          <t>Customer concentration and exposure to specific industries, geographies or budget cycles is optimized, continuously improved, automated where practical and demonstrably supports crisis resilience.</t>
        </is>
      </c>
      <c r="V35" s="3" t="inlineStr">
        <is>
          <t>Demand shock; Financial liquidity crisis; Reputation crisis</t>
        </is>
      </c>
      <c r="W35" s="3" t="n"/>
      <c r="X35" s="3" t="n"/>
      <c r="Y35" s="3" t="inlineStr">
        <is>
          <t>Use the recommended action generated by the model; validate with domain owner during real assessment.</t>
        </is>
      </c>
      <c r="Z35" s="7" t="n">
        <v>4</v>
      </c>
      <c r="AA35" s="7" t="n">
        <v>5</v>
      </c>
      <c r="AB35" s="7" t="n">
        <v>5</v>
      </c>
      <c r="AK35" s="46" t="n"/>
      <c r="AL35" s="46" t="n"/>
      <c r="AM35" s="247">
        <f>_DATA_Assessment_Model!AJ35</f>
        <v/>
      </c>
      <c r="AN35" s="247">
        <f>_DATA_Assessment_Model!AK35</f>
        <v/>
      </c>
      <c r="AO35" s="247">
        <f>_DATA_Assessment_Model!AL35</f>
        <v/>
      </c>
      <c r="AP35" s="247">
        <f>_DATA_Assessment_Model!AM35</f>
        <v/>
      </c>
      <c r="AQ35" s="247">
        <f>_DATA_Assessment_Model!AN35</f>
        <v/>
      </c>
      <c r="AR35" s="247">
        <f>_DATA_Assessment_Model!AO35</f>
        <v/>
      </c>
      <c r="AS35" s="247">
        <f>_DATA_Assessment_Model!AP35</f>
        <v/>
      </c>
      <c r="AT35" s="247">
        <f>_DATA_Assessment_Model!AQ35</f>
        <v/>
      </c>
      <c r="AU35" s="247">
        <f>_DATA_Assessment_Model!AR35</f>
        <v/>
      </c>
      <c r="AV35" s="5">
        <f>_DATA_Assessment_Model!AS35</f>
        <v/>
      </c>
      <c r="AW35" s="5">
        <f>_DATA_Assessment_Model!AT35</f>
        <v/>
      </c>
      <c r="AY35">
        <f>_DATA_Assessment_Model!AV35</f>
        <v/>
      </c>
    </row>
    <row r="36" ht="82.8" customHeight="1" s="209">
      <c r="A36" t="inlineStr">
        <is>
          <t>Strategy GTM</t>
        </is>
      </c>
      <c r="B36" t="inlineStr">
        <is>
          <t>Strategy GTM</t>
        </is>
      </c>
      <c r="C36" t="n">
        <v>17</v>
      </c>
      <c r="D36" s="3" t="inlineStr">
        <is>
          <t>STRA-013</t>
        </is>
      </c>
      <c r="E36" s="3" t="inlineStr">
        <is>
          <t>Offering and positioning</t>
        </is>
      </c>
      <c r="F36" s="3" t="inlineStr">
        <is>
          <t>How mature is the organization in managing structured offering catalog with packages, scope, outcomes, assumptions and delivery requirements, including ownership, evidence, metrics, fallback procedures and crisis stress testing?</t>
        </is>
      </c>
      <c r="G36" s="3" t="inlineStr">
        <is>
          <t>This topic affects exposure to Demand shock; Financial liquidity crisis; Reputation crisis. It helps identify how disruption may impact operations, people, revenue, systems, legal exposure or recovery time.</t>
        </is>
      </c>
      <c r="H36" s="3" t="inlineStr">
        <is>
          <t>ISO 9001; ISO 31000; ISO 37000; McKinsey 7S; OHI; Bain Elements of Value; Jobs-to-be-Done; Porter Five Forces; OKR</t>
        </is>
      </c>
      <c r="I36" s="3" t="inlineStr">
        <is>
          <t>Policy/SOP; owner/RACI; system report; dashboard; contracts; test records; incident history; interview evidence related to structured offering catalog with packages, scope, outcomes, assumptions and delivery requirements.</t>
        </is>
      </c>
      <c r="J36" s="3" t="n">
        <v>5</v>
      </c>
      <c r="K36" s="85">
        <f>_DATA_Assessment_Model!H36</f>
        <v/>
      </c>
      <c r="L36" s="4">
        <f>_DATA_Assessment_Model!I36</f>
        <v/>
      </c>
      <c r="M36" s="4">
        <f>_DATA_Assessment_Model!J36</f>
        <v/>
      </c>
      <c r="N36" s="4">
        <f>_DATA_Assessment_Model!K36</f>
        <v/>
      </c>
      <c r="O36" s="3">
        <f>_DATA_Assessment_Model!L36</f>
        <v/>
      </c>
      <c r="P36" s="3" t="inlineStr">
        <is>
          <t>No inventory/register exists.</t>
        </is>
      </c>
      <c r="Q36" s="3" t="inlineStr">
        <is>
          <t>Partial lists live in individuals' heads or personal files.</t>
        </is>
      </c>
      <c r="R36" s="3" t="inlineStr">
        <is>
          <t>A register exists but is incomplete or outdated (&gt;1 year) and has no owner.</t>
        </is>
      </c>
      <c r="S36" s="3" t="inlineStr">
        <is>
          <t>Owned, documented, updated on a defined schedule, covers the main scope.</t>
        </is>
      </c>
      <c r="T36" s="3" t="inlineStr">
        <is>
          <t>Complete and periodically reviewed; integrated with related processes; completeness measured.</t>
        </is>
      </c>
      <c r="U36" s="3" t="inlineStr">
        <is>
          <t>Maintained automatically or synced with systems; drives decisions; audited.</t>
        </is>
      </c>
      <c r="V36" s="3" t="inlineStr">
        <is>
          <t>Demand shock; Financial liquidity crisis; Reputation crisis</t>
        </is>
      </c>
      <c r="W36" s="3" t="n"/>
      <c r="X36" s="3" t="n"/>
      <c r="Y36" s="3" t="inlineStr">
        <is>
          <t>Use the recommended action generated by the model; validate with domain owner during real assessment.</t>
        </is>
      </c>
      <c r="Z36" s="7" t="n">
        <v>4</v>
      </c>
      <c r="AA36" s="7" t="n">
        <v>5</v>
      </c>
      <c r="AB36" s="7" t="n">
        <v>5</v>
      </c>
      <c r="AK36" s="46" t="n"/>
      <c r="AL36" s="46" t="n"/>
      <c r="AM36" s="247">
        <f>_DATA_Assessment_Model!AJ36</f>
        <v/>
      </c>
      <c r="AN36" s="247">
        <f>_DATA_Assessment_Model!AK36</f>
        <v/>
      </c>
      <c r="AO36" s="247">
        <f>_DATA_Assessment_Model!AL36</f>
        <v/>
      </c>
      <c r="AP36" s="247">
        <f>_DATA_Assessment_Model!AM36</f>
        <v/>
      </c>
      <c r="AQ36" s="247">
        <f>_DATA_Assessment_Model!AN36</f>
        <v/>
      </c>
      <c r="AR36" s="247">
        <f>_DATA_Assessment_Model!AO36</f>
        <v/>
      </c>
      <c r="AS36" s="247">
        <f>_DATA_Assessment_Model!AP36</f>
        <v/>
      </c>
      <c r="AT36" s="247">
        <f>_DATA_Assessment_Model!AQ36</f>
        <v/>
      </c>
      <c r="AU36" s="247">
        <f>_DATA_Assessment_Model!AR36</f>
        <v/>
      </c>
      <c r="AV36" s="5">
        <f>_DATA_Assessment_Model!AS36</f>
        <v/>
      </c>
      <c r="AW36" s="5">
        <f>_DATA_Assessment_Model!AT36</f>
        <v/>
      </c>
      <c r="AY36">
        <f>_DATA_Assessment_Model!AV36</f>
        <v/>
      </c>
    </row>
    <row r="37" ht="96.59999999999999" customHeight="1" s="209">
      <c r="A37" t="inlineStr">
        <is>
          <t>Strategy GTM</t>
        </is>
      </c>
      <c r="B37" t="inlineStr">
        <is>
          <t>Strategy GTM</t>
        </is>
      </c>
      <c r="C37" t="n">
        <v>18</v>
      </c>
      <c r="D37" s="3" t="inlineStr">
        <is>
          <t>STRA-014</t>
        </is>
      </c>
      <c r="E37" s="3" t="inlineStr">
        <is>
          <t>Offering and positioning</t>
        </is>
      </c>
      <c r="F37" s="3" t="inlineStr">
        <is>
          <t>How mature is the organization in managing clear differentiation against direct competitors, substitutes and in-house alternatives, including ownership, evidence, metrics, fallback procedures and crisis stress testing?</t>
        </is>
      </c>
      <c r="G37" s="3" t="inlineStr">
        <is>
          <t>This topic affects exposure to Demand shock; Financial liquidity crisis; Reputation crisis. It helps identify how disruption may impact operations, people, revenue, systems, legal exposure or recovery time.</t>
        </is>
      </c>
      <c r="H37" s="3" t="inlineStr">
        <is>
          <t>ISO 9001; ISO 31000; ISO 37000; McKinsey 7S; OHI; Bain Elements of Value; Jobs-to-be-Done; Porter Five Forces; OKR</t>
        </is>
      </c>
      <c r="I37" s="3" t="inlineStr">
        <is>
          <t>Policy/SOP; owner/RACI; system report; dashboard; contracts; test records; incident history; interview evidence related to clear differentiation against direct competitors, substitutes and in-house alternatives.</t>
        </is>
      </c>
      <c r="J37" s="3" t="n">
        <v>3</v>
      </c>
      <c r="K37" s="85">
        <f>_DATA_Assessment_Model!H37</f>
        <v/>
      </c>
      <c r="L37" s="4">
        <f>_DATA_Assessment_Model!I37</f>
        <v/>
      </c>
      <c r="M37" s="4">
        <f>_DATA_Assessment_Model!J37</f>
        <v/>
      </c>
      <c r="N37" s="4">
        <f>_DATA_Assessment_Model!K37</f>
        <v/>
      </c>
      <c r="O37" s="3">
        <f>_DATA_Assessment_Model!L37</f>
        <v/>
      </c>
      <c r="P37" s="3" t="inlineStr">
        <is>
          <t>No reliable evidence that clear differentiation against direct competitors, substitutes and in-house alternatives is defined, owned or managed.</t>
        </is>
      </c>
      <c r="Q37" s="3" t="inlineStr">
        <is>
          <t>Clear differentiation against direct competitors, substitutes and in-house alternatives is handled informally and depends on individual knowledge or heroic effort.</t>
        </is>
      </c>
      <c r="R37" s="3" t="inlineStr">
        <is>
          <t>Clear differentiation against direct competitors, substitutes and in-house alternatives is partially documented or implemented, but coverage is inconsistent and not crisis-tested.</t>
        </is>
      </c>
      <c r="S37" s="3" t="inlineStr">
        <is>
          <t>Clear differentiation against direct competitors, substitutes and in-house alternatives is documented, owned, used in normal operations and supported by basic evidence or metrics.</t>
        </is>
      </c>
      <c r="T37" s="3" t="inlineStr">
        <is>
          <t>Clear differentiation against direct competitors, substitutes and in-house alternatives is measured, periodically reviewed, integrated with related processes and tested against relevant disruption scenarios.</t>
        </is>
      </c>
      <c r="U37" s="3" t="inlineStr">
        <is>
          <t>Clear differentiation against direct competitors, substitutes and in-house alternatives is optimized, continuously improved, automated where practical and demonstrably supports crisis resilience.</t>
        </is>
      </c>
      <c r="V37" s="3" t="inlineStr">
        <is>
          <t>Demand shock; Financial liquidity crisis; Reputation crisis</t>
        </is>
      </c>
      <c r="W37" s="3" t="n"/>
      <c r="X37" s="3" t="n"/>
      <c r="Y37" s="3" t="inlineStr">
        <is>
          <t>Use the recommended action generated by the model; validate with domain owner during real assessment.</t>
        </is>
      </c>
      <c r="Z37" s="7" t="n">
        <v>4</v>
      </c>
      <c r="AA37" s="7" t="n">
        <v>5</v>
      </c>
      <c r="AB37" s="7" t="n">
        <v>5</v>
      </c>
      <c r="AK37" s="46" t="n"/>
      <c r="AL37" s="46" t="n"/>
      <c r="AM37" s="247">
        <f>_DATA_Assessment_Model!AJ37</f>
        <v/>
      </c>
      <c r="AN37" s="247">
        <f>_DATA_Assessment_Model!AK37</f>
        <v/>
      </c>
      <c r="AO37" s="247">
        <f>_DATA_Assessment_Model!AL37</f>
        <v/>
      </c>
      <c r="AP37" s="247">
        <f>_DATA_Assessment_Model!AM37</f>
        <v/>
      </c>
      <c r="AQ37" s="247">
        <f>_DATA_Assessment_Model!AN37</f>
        <v/>
      </c>
      <c r="AR37" s="247">
        <f>_DATA_Assessment_Model!AO37</f>
        <v/>
      </c>
      <c r="AS37" s="247">
        <f>_DATA_Assessment_Model!AP37</f>
        <v/>
      </c>
      <c r="AT37" s="247">
        <f>_DATA_Assessment_Model!AQ37</f>
        <v/>
      </c>
      <c r="AU37" s="247">
        <f>_DATA_Assessment_Model!AR37</f>
        <v/>
      </c>
      <c r="AV37" s="5">
        <f>_DATA_Assessment_Model!AS37</f>
        <v/>
      </c>
      <c r="AW37" s="5">
        <f>_DATA_Assessment_Model!AT37</f>
        <v/>
      </c>
      <c r="AY37">
        <f>_DATA_Assessment_Model!AV37</f>
        <v/>
      </c>
    </row>
    <row r="38" ht="82.8" customHeight="1" s="209">
      <c r="A38" t="inlineStr">
        <is>
          <t>Strategy GTM</t>
        </is>
      </c>
      <c r="B38" t="inlineStr">
        <is>
          <t>Strategy GTM</t>
        </is>
      </c>
      <c r="C38" t="n">
        <v>19</v>
      </c>
      <c r="D38" s="3" t="inlineStr">
        <is>
          <t>STRA-015</t>
        </is>
      </c>
      <c r="E38" s="3" t="inlineStr">
        <is>
          <t>Offering and positioning</t>
        </is>
      </c>
      <c r="F38" s="3" t="inlineStr">
        <is>
          <t>How mature is the organization in managing value proposition linked to measurable customer economic value, risk reduction or continuity impact, including ownership, evidence, metrics, fallback procedures and crisis stress testing?</t>
        </is>
      </c>
      <c r="G38" s="3" t="inlineStr">
        <is>
          <t>This topic affects exposure to Demand shock; Financial liquidity crisis; Reputation crisis. It helps identify how disruption may impact operations, people, revenue, systems, legal exposure or recovery time.</t>
        </is>
      </c>
      <c r="H38" s="3" t="inlineStr">
        <is>
          <t>ISO 9001; ISO 31000; ISO 37000; McKinsey 7S; OHI; Bain Elements of Value; Jobs-to-be-Done; Porter Five Forces; OKR</t>
        </is>
      </c>
      <c r="I38" s="3" t="inlineStr">
        <is>
          <t>Policy/SOP; owner/RACI; system report; dashboard; contracts; test records; incident history; interview evidence related to value proposition linked to measurable customer economic value, risk reduction or continuity impact.</t>
        </is>
      </c>
      <c r="J38" s="3" t="n">
        <v>5</v>
      </c>
      <c r="K38" s="85">
        <f>_DATA_Assessment_Model!H38</f>
        <v/>
      </c>
      <c r="L38" s="4">
        <f>_DATA_Assessment_Model!I38</f>
        <v/>
      </c>
      <c r="M38" s="4">
        <f>_DATA_Assessment_Model!J38</f>
        <v/>
      </c>
      <c r="N38" s="4">
        <f>_DATA_Assessment_Model!K38</f>
        <v/>
      </c>
      <c r="O38" s="3">
        <f>_DATA_Assessment_Model!L38</f>
        <v/>
      </c>
      <c r="P38" s="3" t="inlineStr">
        <is>
          <t>Nothing is monitored or measured.</t>
        </is>
      </c>
      <c r="Q38" s="3" t="inlineStr">
        <is>
          <t>Occasional manual checks by individuals.</t>
        </is>
      </c>
      <c r="R38" s="3" t="inlineStr">
        <is>
          <t>Some metrics exist but are not reviewed regularly and trigger no action.</t>
        </is>
      </c>
      <c r="S38" s="3" t="inlineStr">
        <is>
          <t>Defined metrics with an owner, reviewed on a set cadence.</t>
        </is>
      </c>
      <c r="T38" s="3" t="inlineStr">
        <is>
          <t>Thresholds and alerts in place; deviations trigger documented action; trends analyzed.</t>
        </is>
      </c>
      <c r="U38" s="3" t="inlineStr">
        <is>
          <t>Automated monitoring with leading indicators, integrated into management decisions.</t>
        </is>
      </c>
      <c r="V38" s="3" t="inlineStr">
        <is>
          <t>Demand shock; Financial liquidity crisis; Reputation crisis</t>
        </is>
      </c>
      <c r="W38" s="3" t="n"/>
      <c r="X38" s="3" t="n"/>
      <c r="Y38" s="3" t="inlineStr">
        <is>
          <t>Use the recommended action generated by the model; validate with domain owner during real assessment.</t>
        </is>
      </c>
      <c r="Z38" s="7" t="n">
        <v>4</v>
      </c>
      <c r="AA38" s="7" t="n">
        <v>5</v>
      </c>
      <c r="AB38" s="7" t="n">
        <v>5</v>
      </c>
      <c r="AK38" s="46" t="n"/>
      <c r="AL38" s="46" t="n"/>
      <c r="AM38" s="247">
        <f>_DATA_Assessment_Model!AJ38</f>
        <v/>
      </c>
      <c r="AN38" s="247">
        <f>_DATA_Assessment_Model!AK38</f>
        <v/>
      </c>
      <c r="AO38" s="247">
        <f>_DATA_Assessment_Model!AL38</f>
        <v/>
      </c>
      <c r="AP38" s="247">
        <f>_DATA_Assessment_Model!AM38</f>
        <v/>
      </c>
      <c r="AQ38" s="247">
        <f>_DATA_Assessment_Model!AN38</f>
        <v/>
      </c>
      <c r="AR38" s="247">
        <f>_DATA_Assessment_Model!AO38</f>
        <v/>
      </c>
      <c r="AS38" s="247">
        <f>_DATA_Assessment_Model!AP38</f>
        <v/>
      </c>
      <c r="AT38" s="247">
        <f>_DATA_Assessment_Model!AQ38</f>
        <v/>
      </c>
      <c r="AU38" s="247">
        <f>_DATA_Assessment_Model!AR38</f>
        <v/>
      </c>
      <c r="AV38" s="5">
        <f>_DATA_Assessment_Model!AS38</f>
        <v/>
      </c>
      <c r="AW38" s="5">
        <f>_DATA_Assessment_Model!AT38</f>
        <v/>
      </c>
      <c r="AY38">
        <f>_DATA_Assessment_Model!AV38</f>
        <v/>
      </c>
    </row>
    <row r="39" ht="69" customHeight="1" s="209">
      <c r="A39" t="inlineStr">
        <is>
          <t>Strategy GTM</t>
        </is>
      </c>
      <c r="B39" t="inlineStr">
        <is>
          <t>Strategy GTM</t>
        </is>
      </c>
      <c r="C39" t="n">
        <v>20</v>
      </c>
      <c r="D39" s="3" t="inlineStr">
        <is>
          <t>STRA-016</t>
        </is>
      </c>
      <c r="E39" s="3" t="inlineStr">
        <is>
          <t>Offering and positioning</t>
        </is>
      </c>
      <c r="F39" s="3" t="inlineStr">
        <is>
          <t>How mature is the organization in managing pricing strategy with margin thresholds, discount governance and crisis boundaries, including ownership, evidence, metrics, fallback procedures and crisis stress testing?</t>
        </is>
      </c>
      <c r="G39" s="3" t="inlineStr">
        <is>
          <t>This topic affects exposure to Demand shock; Financial liquidity crisis; Reputation crisis. It helps identify how disruption may impact operations, people, revenue, systems, legal exposure or recovery time.</t>
        </is>
      </c>
      <c r="H39" s="3" t="inlineStr">
        <is>
          <t>ISO 9001; ISO 31000; ISO 37000; McKinsey 7S; OHI; Bain Elements of Value; Jobs-to-be-Done; Porter Five Forces; OKR</t>
        </is>
      </c>
      <c r="I39" s="3" t="inlineStr">
        <is>
          <t>Policy/SOP; owner/RACI; system report; dashboard; contracts; test records; incident history; interview evidence related to pricing strategy with margin thresholds, discount governance and crisis boundaries.</t>
        </is>
      </c>
      <c r="J39" s="3" t="n">
        <v>5</v>
      </c>
      <c r="K39" s="85">
        <f>_DATA_Assessment_Model!H39</f>
        <v/>
      </c>
      <c r="L39" s="4">
        <f>_DATA_Assessment_Model!I39</f>
        <v/>
      </c>
      <c r="M39" s="4">
        <f>_DATA_Assessment_Model!J39</f>
        <v/>
      </c>
      <c r="N39" s="4">
        <f>_DATA_Assessment_Model!K39</f>
        <v/>
      </c>
      <c r="O39" s="3">
        <f>_DATA_Assessment_Model!L39</f>
        <v/>
      </c>
      <c r="P39" s="3" t="inlineStr">
        <is>
          <t>Does not exist; no owner, no documentation, no practice.</t>
        </is>
      </c>
      <c r="Q39" s="3" t="inlineStr">
        <is>
          <t>Ad hoc; depends entirely on specific individuals.</t>
        </is>
      </c>
      <c r="R39" s="3" t="inlineStr">
        <is>
          <t>Partially documented or implemented; coverage inconsistent; never tested under stress.</t>
        </is>
      </c>
      <c r="S39" s="3" t="inlineStr">
        <is>
          <t>Documented, owned, executed consistently; basic evidence and metrics exist.</t>
        </is>
      </c>
      <c r="T39" s="3" t="inlineStr">
        <is>
          <t>Measured and periodically tested/audited; integrated with adjacent processes.</t>
        </is>
      </c>
      <c r="U39" s="3" t="inlineStr">
        <is>
          <t>Optimized and automated where practical; stress-tested; benchmarked externally.</t>
        </is>
      </c>
      <c r="V39" s="3" t="inlineStr">
        <is>
          <t>Demand shock; Financial liquidity crisis; Reputation crisis</t>
        </is>
      </c>
      <c r="W39" s="3" t="n"/>
      <c r="X39" s="3" t="n"/>
      <c r="Y39" s="3" t="inlineStr">
        <is>
          <t>Use the recommended action generated by the model; validate with domain owner during real assessment.</t>
        </is>
      </c>
      <c r="Z39" s="7" t="n">
        <v>4</v>
      </c>
      <c r="AA39" s="7" t="n">
        <v>5</v>
      </c>
      <c r="AB39" s="7" t="n">
        <v>5</v>
      </c>
      <c r="AK39" s="46" t="n"/>
      <c r="AL39" s="46" t="n"/>
      <c r="AM39" s="247">
        <f>_DATA_Assessment_Model!AJ39</f>
        <v/>
      </c>
      <c r="AN39" s="247">
        <f>_DATA_Assessment_Model!AK39</f>
        <v/>
      </c>
      <c r="AO39" s="247">
        <f>_DATA_Assessment_Model!AL39</f>
        <v/>
      </c>
      <c r="AP39" s="247">
        <f>_DATA_Assessment_Model!AM39</f>
        <v/>
      </c>
      <c r="AQ39" s="247">
        <f>_DATA_Assessment_Model!AN39</f>
        <v/>
      </c>
      <c r="AR39" s="247">
        <f>_DATA_Assessment_Model!AO39</f>
        <v/>
      </c>
      <c r="AS39" s="247">
        <f>_DATA_Assessment_Model!AP39</f>
        <v/>
      </c>
      <c r="AT39" s="247">
        <f>_DATA_Assessment_Model!AQ39</f>
        <v/>
      </c>
      <c r="AU39" s="247">
        <f>_DATA_Assessment_Model!AR39</f>
        <v/>
      </c>
      <c r="AV39" s="5">
        <f>_DATA_Assessment_Model!AS39</f>
        <v/>
      </c>
      <c r="AW39" s="5">
        <f>_DATA_Assessment_Model!AT39</f>
        <v/>
      </c>
      <c r="AY39">
        <f>_DATA_Assessment_Model!AV39</f>
        <v/>
      </c>
    </row>
    <row r="40" ht="82.8" customHeight="1" s="209">
      <c r="A40" t="inlineStr">
        <is>
          <t>Strategy GTM</t>
        </is>
      </c>
      <c r="B40" t="inlineStr">
        <is>
          <t>Strategy GTM</t>
        </is>
      </c>
      <c r="C40" t="n">
        <v>21</v>
      </c>
      <c r="D40" s="3" t="inlineStr">
        <is>
          <t>STRA-017</t>
        </is>
      </c>
      <c r="E40" s="3" t="inlineStr">
        <is>
          <t>Offering and positioning</t>
        </is>
      </c>
      <c r="F40" s="3" t="inlineStr">
        <is>
          <t>How mature is the organization in managing proof assets such as case studies, references, certifications, security evidence and continuity commitments, including ownership, evidence, metrics, fallback procedures and crisis stress testing?</t>
        </is>
      </c>
      <c r="G40" s="3" t="inlineStr">
        <is>
          <t>This topic affects exposure to Demand shock; Financial liquidity crisis; Reputation crisis. It helps identify how disruption may impact operations, people, revenue, systems, legal exposure or recovery time.</t>
        </is>
      </c>
      <c r="H40" s="3" t="inlineStr">
        <is>
          <t>ISO 9001; ISO 31000; ISO 37000; McKinsey 7S; OHI; Bain Elements of Value; Jobs-to-be-Done; Porter Five Forces; OKR</t>
        </is>
      </c>
      <c r="I40" s="3" t="inlineStr">
        <is>
          <t>Policy/SOP; owner/RACI; system report; dashboard; contracts; test records; incident history; interview evidence related to proof assets such as case studies, references, certifications, security evidence and continuity commitments.</t>
        </is>
      </c>
      <c r="J40" s="3" t="n">
        <v>5</v>
      </c>
      <c r="K40" s="85">
        <f>_DATA_Assessment_Model!H40</f>
        <v/>
      </c>
      <c r="L40" s="4">
        <f>_DATA_Assessment_Model!I40</f>
        <v/>
      </c>
      <c r="M40" s="4">
        <f>_DATA_Assessment_Model!J40</f>
        <v/>
      </c>
      <c r="N40" s="4">
        <f>_DATA_Assessment_Model!K40</f>
        <v/>
      </c>
      <c r="O40" s="3">
        <f>_DATA_Assessment_Model!L40</f>
        <v/>
      </c>
      <c r="P40" s="3" t="inlineStr">
        <is>
          <t>Does not exist; no owner, no documentation, no practice.</t>
        </is>
      </c>
      <c r="Q40" s="3" t="inlineStr">
        <is>
          <t>Ad hoc; depends entirely on specific individuals.</t>
        </is>
      </c>
      <c r="R40" s="3" t="inlineStr">
        <is>
          <t>Partially documented or implemented; coverage inconsistent; never tested under stress.</t>
        </is>
      </c>
      <c r="S40" s="3" t="inlineStr">
        <is>
          <t>Documented, owned, executed consistently; basic evidence and metrics exist.</t>
        </is>
      </c>
      <c r="T40" s="3" t="inlineStr">
        <is>
          <t>Measured and periodically tested/audited; integrated with adjacent processes.</t>
        </is>
      </c>
      <c r="U40" s="3" t="inlineStr">
        <is>
          <t>Optimized and automated where practical; stress-tested; benchmarked externally.</t>
        </is>
      </c>
      <c r="V40" s="3" t="inlineStr">
        <is>
          <t>Demand shock; Financial liquidity crisis; Reputation crisis</t>
        </is>
      </c>
      <c r="W40" s="3" t="n"/>
      <c r="X40" s="3" t="n"/>
      <c r="Y40" s="3" t="inlineStr">
        <is>
          <t>Use the recommended action generated by the model; validate with domain owner during real assessment.</t>
        </is>
      </c>
      <c r="Z40" s="7" t="n">
        <v>4</v>
      </c>
      <c r="AA40" s="7" t="n">
        <v>5</v>
      </c>
      <c r="AB40" s="7" t="n">
        <v>5</v>
      </c>
      <c r="AK40" s="46" t="n"/>
      <c r="AL40" s="46" t="n"/>
      <c r="AM40" s="247">
        <f>_DATA_Assessment_Model!AJ40</f>
        <v/>
      </c>
      <c r="AN40" s="247">
        <f>_DATA_Assessment_Model!AK40</f>
        <v/>
      </c>
      <c r="AO40" s="247">
        <f>_DATA_Assessment_Model!AL40</f>
        <v/>
      </c>
      <c r="AP40" s="247">
        <f>_DATA_Assessment_Model!AM40</f>
        <v/>
      </c>
      <c r="AQ40" s="247">
        <f>_DATA_Assessment_Model!AN40</f>
        <v/>
      </c>
      <c r="AR40" s="247">
        <f>_DATA_Assessment_Model!AO40</f>
        <v/>
      </c>
      <c r="AS40" s="247">
        <f>_DATA_Assessment_Model!AP40</f>
        <v/>
      </c>
      <c r="AT40" s="247">
        <f>_DATA_Assessment_Model!AQ40</f>
        <v/>
      </c>
      <c r="AU40" s="247">
        <f>_DATA_Assessment_Model!AR40</f>
        <v/>
      </c>
      <c r="AV40" s="5">
        <f>_DATA_Assessment_Model!AS40</f>
        <v/>
      </c>
      <c r="AW40" s="5">
        <f>_DATA_Assessment_Model!AT40</f>
        <v/>
      </c>
      <c r="AY40">
        <f>_DATA_Assessment_Model!AV40</f>
        <v/>
      </c>
    </row>
    <row r="41" ht="82.8" customHeight="1" s="209">
      <c r="A41" t="inlineStr">
        <is>
          <t>Strategy GTM</t>
        </is>
      </c>
      <c r="B41" t="inlineStr">
        <is>
          <t>Strategy GTM</t>
        </is>
      </c>
      <c r="C41" t="n">
        <v>22</v>
      </c>
      <c r="D41" s="3" t="inlineStr">
        <is>
          <t>STRA-018</t>
        </is>
      </c>
      <c r="E41" s="3" t="inlineStr">
        <is>
          <t>Offering and positioning</t>
        </is>
      </c>
      <c r="F41" s="3" t="inlineStr">
        <is>
          <t>How mature is the organization in managing product or service modularity that allows budget-sensitive or crisis-driven adaptation, including ownership, evidence, metrics, fallback procedures and crisis stress testing?</t>
        </is>
      </c>
      <c r="G41" s="3" t="inlineStr">
        <is>
          <t>This topic affects exposure to Demand shock; Financial liquidity crisis; Reputation crisis. It helps identify how disruption may impact operations, people, revenue, systems, legal exposure or recovery time.</t>
        </is>
      </c>
      <c r="H41" s="3" t="inlineStr">
        <is>
          <t>ISO 9001; ISO 31000; ISO 37000; McKinsey 7S; OHI; Bain Elements of Value; Jobs-to-be-Done; Porter Five Forces; OKR</t>
        </is>
      </c>
      <c r="I41" s="3" t="inlineStr">
        <is>
          <t>Policy/SOP; owner/RACI; system report; dashboard; contracts; test records; incident history; interview evidence related to product or service modularity that allows budget-sensitive or crisis-driven adaptation.</t>
        </is>
      </c>
      <c r="J41" s="3" t="n">
        <v>5</v>
      </c>
      <c r="K41" s="85">
        <f>_DATA_Assessment_Model!H41</f>
        <v/>
      </c>
      <c r="L41" s="4">
        <f>_DATA_Assessment_Model!I41</f>
        <v/>
      </c>
      <c r="M41" s="4">
        <f>_DATA_Assessment_Model!J41</f>
        <v/>
      </c>
      <c r="N41" s="4">
        <f>_DATA_Assessment_Model!K41</f>
        <v/>
      </c>
      <c r="O41" s="3">
        <f>_DATA_Assessment_Model!L41</f>
        <v/>
      </c>
      <c r="P41" s="3" t="inlineStr">
        <is>
          <t>Does not exist; no owner, no documentation, no practice.</t>
        </is>
      </c>
      <c r="Q41" s="3" t="inlineStr">
        <is>
          <t>Ad hoc; depends entirely on specific individuals.</t>
        </is>
      </c>
      <c r="R41" s="3" t="inlineStr">
        <is>
          <t>Partially documented or implemented; coverage inconsistent; never tested under stress.</t>
        </is>
      </c>
      <c r="S41" s="3" t="inlineStr">
        <is>
          <t>Documented, owned, executed consistently; basic evidence and metrics exist.</t>
        </is>
      </c>
      <c r="T41" s="3" t="inlineStr">
        <is>
          <t>Measured and periodically tested/audited; integrated with adjacent processes.</t>
        </is>
      </c>
      <c r="U41" s="3" t="inlineStr">
        <is>
          <t>Optimized and automated where practical; stress-tested; benchmarked externally.</t>
        </is>
      </c>
      <c r="V41" s="3" t="inlineStr">
        <is>
          <t>Demand shock; Financial liquidity crisis; Reputation crisis</t>
        </is>
      </c>
      <c r="W41" s="3" t="n"/>
      <c r="X41" s="3" t="n"/>
      <c r="Y41" s="3" t="inlineStr">
        <is>
          <t>Use the recommended action generated by the model; validate with domain owner during real assessment.</t>
        </is>
      </c>
      <c r="Z41" s="7" t="n">
        <v>4</v>
      </c>
      <c r="AA41" s="7" t="n">
        <v>5</v>
      </c>
      <c r="AB41" s="7" t="n">
        <v>5</v>
      </c>
      <c r="AK41" s="46" t="n"/>
      <c r="AL41" s="46" t="n"/>
      <c r="AM41" s="247">
        <f>_DATA_Assessment_Model!AJ41</f>
        <v/>
      </c>
      <c r="AN41" s="247">
        <f>_DATA_Assessment_Model!AK41</f>
        <v/>
      </c>
      <c r="AO41" s="247">
        <f>_DATA_Assessment_Model!AL41</f>
        <v/>
      </c>
      <c r="AP41" s="247">
        <f>_DATA_Assessment_Model!AM41</f>
        <v/>
      </c>
      <c r="AQ41" s="247">
        <f>_DATA_Assessment_Model!AN41</f>
        <v/>
      </c>
      <c r="AR41" s="247">
        <f>_DATA_Assessment_Model!AO41</f>
        <v/>
      </c>
      <c r="AS41" s="247">
        <f>_DATA_Assessment_Model!AP41</f>
        <v/>
      </c>
      <c r="AT41" s="247">
        <f>_DATA_Assessment_Model!AQ41</f>
        <v/>
      </c>
      <c r="AU41" s="247">
        <f>_DATA_Assessment_Model!AR41</f>
        <v/>
      </c>
      <c r="AV41" s="5">
        <f>_DATA_Assessment_Model!AS41</f>
        <v/>
      </c>
      <c r="AW41" s="5">
        <f>_DATA_Assessment_Model!AT41</f>
        <v/>
      </c>
      <c r="AY41">
        <f>_DATA_Assessment_Model!AV41</f>
        <v/>
      </c>
    </row>
    <row r="42" ht="82.8" customHeight="1" s="209">
      <c r="A42" t="inlineStr">
        <is>
          <t>Strategy GTM</t>
        </is>
      </c>
      <c r="B42" t="inlineStr">
        <is>
          <t>Strategy GTM</t>
        </is>
      </c>
      <c r="C42" t="n">
        <v>23</v>
      </c>
      <c r="D42" s="3" t="inlineStr">
        <is>
          <t>STRA-019</t>
        </is>
      </c>
      <c r="E42" s="3" t="inlineStr">
        <is>
          <t>GTM execution</t>
        </is>
      </c>
      <c r="F42" s="3" t="inlineStr">
        <is>
          <t>How mature is the organization in managing sales playbooks for ICPs, offerings, objections, competitors and crisis-specific customer concerns, including ownership, evidence, metrics, fallback procedures and crisis stress testing?</t>
        </is>
      </c>
      <c r="G42" s="3" t="inlineStr">
        <is>
          <t>This topic affects exposure to Demand shock; Financial liquidity crisis; Reputation crisis. It helps identify how disruption may impact operations, people, revenue, systems, legal exposure or recovery time.</t>
        </is>
      </c>
      <c r="H42" s="3" t="inlineStr">
        <is>
          <t>ISO 9001; ISO 31000; ISO 37000; McKinsey 7S; OHI; Bain Elements of Value; Jobs-to-be-Done; Porter Five Forces; OKR</t>
        </is>
      </c>
      <c r="I42" s="3" t="inlineStr">
        <is>
          <t>Policy/SOP; owner/RACI; system report; dashboard; contracts; test records; incident history; interview evidence related to sales playbooks for ICPs, offerings, objections, competitors and crisis-specific customer concerns.</t>
        </is>
      </c>
      <c r="J42" s="3" t="n">
        <v>5</v>
      </c>
      <c r="K42" s="85">
        <f>_DATA_Assessment_Model!H42</f>
        <v/>
      </c>
      <c r="L42" s="4">
        <f>_DATA_Assessment_Model!I42</f>
        <v/>
      </c>
      <c r="M42" s="4">
        <f>_DATA_Assessment_Model!J42</f>
        <v/>
      </c>
      <c r="N42" s="4">
        <f>_DATA_Assessment_Model!K42</f>
        <v/>
      </c>
      <c r="O42" s="3">
        <f>_DATA_Assessment_Model!L42</f>
        <v/>
      </c>
      <c r="P42" s="3" t="inlineStr">
        <is>
          <t>No plan or procedure exists.</t>
        </is>
      </c>
      <c r="Q42" s="3" t="inlineStr">
        <is>
          <t>Knowledge lives with individuals; nothing usable is written down.</t>
        </is>
      </c>
      <c r="R42" s="3" t="inlineStr">
        <is>
          <t>Drafted but outdated, not approved, or unknown to the people who must use it.</t>
        </is>
      </c>
      <c r="S42" s="3" t="inlineStr">
        <is>
          <t>Approved and current; owners assigned; affected staff know it exists and where to find it.</t>
        </is>
      </c>
      <c r="T42" s="3" t="inlineStr">
        <is>
          <t>Tested against realistic scenarios; updated after each test or real incident.</t>
        </is>
      </c>
      <c r="U42" s="3" t="inlineStr">
        <is>
          <t>Exercised regularly including external parties; readiness measured; continuously improved.</t>
        </is>
      </c>
      <c r="V42" s="3" t="inlineStr">
        <is>
          <t>Demand shock; Financial liquidity crisis; Reputation crisis</t>
        </is>
      </c>
      <c r="W42" s="3" t="n"/>
      <c r="X42" s="3" t="n"/>
      <c r="Y42" s="3" t="inlineStr">
        <is>
          <t>Use the recommended action generated by the model; validate with domain owner during real assessment.</t>
        </is>
      </c>
      <c r="Z42" s="7" t="n">
        <v>4</v>
      </c>
      <c r="AA42" s="7" t="n">
        <v>5</v>
      </c>
      <c r="AB42" s="7" t="n">
        <v>5</v>
      </c>
      <c r="AK42" s="46" t="n"/>
      <c r="AL42" s="46" t="n"/>
      <c r="AM42" s="247">
        <f>_DATA_Assessment_Model!AJ42</f>
        <v/>
      </c>
      <c r="AN42" s="247">
        <f>_DATA_Assessment_Model!AK42</f>
        <v/>
      </c>
      <c r="AO42" s="247">
        <f>_DATA_Assessment_Model!AL42</f>
        <v/>
      </c>
      <c r="AP42" s="247">
        <f>_DATA_Assessment_Model!AM42</f>
        <v/>
      </c>
      <c r="AQ42" s="247">
        <f>_DATA_Assessment_Model!AN42</f>
        <v/>
      </c>
      <c r="AR42" s="247">
        <f>_DATA_Assessment_Model!AO42</f>
        <v/>
      </c>
      <c r="AS42" s="247">
        <f>_DATA_Assessment_Model!AP42</f>
        <v/>
      </c>
      <c r="AT42" s="247">
        <f>_DATA_Assessment_Model!AQ42</f>
        <v/>
      </c>
      <c r="AU42" s="247">
        <f>_DATA_Assessment_Model!AR42</f>
        <v/>
      </c>
      <c r="AV42" s="5">
        <f>_DATA_Assessment_Model!AS42</f>
        <v/>
      </c>
      <c r="AW42" s="5">
        <f>_DATA_Assessment_Model!AT42</f>
        <v/>
      </c>
      <c r="AY42">
        <f>_DATA_Assessment_Model!AV42</f>
        <v/>
      </c>
    </row>
    <row r="43" ht="110.4" customHeight="1" s="209">
      <c r="A43" t="inlineStr">
        <is>
          <t>Strategy GTM</t>
        </is>
      </c>
      <c r="B43" t="inlineStr">
        <is>
          <t>Strategy GTM</t>
        </is>
      </c>
      <c r="C43" t="n">
        <v>24</v>
      </c>
      <c r="D43" s="3" t="inlineStr">
        <is>
          <t>STRA-020</t>
        </is>
      </c>
      <c r="E43" s="3" t="inlineStr">
        <is>
          <t>GTM execution</t>
        </is>
      </c>
      <c r="F43" s="3" t="inlineStr">
        <is>
          <t>How mature is the organization in managing pipeline governance with clear stages, qualification criteria, forecast probability and CRM discipline, including ownership, evidence, metrics, fallback procedures and crisis stress testing?</t>
        </is>
      </c>
      <c r="G43" s="3" t="inlineStr">
        <is>
          <t>This topic affects exposure to Demand shock; Financial liquidity crisis; Reputation crisis. It helps identify how disruption may impact operations, people, revenue, systems, legal exposure or recovery time.</t>
        </is>
      </c>
      <c r="H43" s="3" t="inlineStr">
        <is>
          <t>ISO 9001; ISO 31000; ISO 37000; McKinsey 7S; OHI; Bain Elements of Value; Jobs-to-be-Done; Porter Five Forces; OKR</t>
        </is>
      </c>
      <c r="I43" s="3" t="inlineStr">
        <is>
          <t>Policy/SOP; owner/RACI; system report; dashboard; contracts; test records; incident history; interview evidence related to pipeline governance with clear stages, qualification criteria, forecast probability and CRM discipline.</t>
        </is>
      </c>
      <c r="J43" s="3" t="n">
        <v>4</v>
      </c>
      <c r="K43" s="85">
        <f>_DATA_Assessment_Model!H43</f>
        <v/>
      </c>
      <c r="L43" s="4">
        <f>_DATA_Assessment_Model!I43</f>
        <v/>
      </c>
      <c r="M43" s="4">
        <f>_DATA_Assessment_Model!J43</f>
        <v/>
      </c>
      <c r="N43" s="4">
        <f>_DATA_Assessment_Model!K43</f>
        <v/>
      </c>
      <c r="O43" s="3">
        <f>_DATA_Assessment_Model!L43</f>
        <v/>
      </c>
      <c r="P43" s="3" t="inlineStr">
        <is>
          <t>No reliable evidence that pipeline governance with clear stages, qualification criteria, forecast probability and crm discipline is defined, owned or managed.</t>
        </is>
      </c>
      <c r="Q43" s="3" t="inlineStr">
        <is>
          <t>Pipeline governance with clear stages, qualification criteria, forecast probability and CRM discipline is handled informally and depends on individual knowledge or heroic effort.</t>
        </is>
      </c>
      <c r="R43" s="3" t="inlineStr">
        <is>
          <t>Pipeline governance with clear stages, qualification criteria, forecast probability and CRM discipline is partially documented or implemented, but coverage is inconsistent and not crisis-tested.</t>
        </is>
      </c>
      <c r="S43" s="3" t="inlineStr">
        <is>
          <t>Pipeline governance with clear stages, qualification criteria, forecast probability and CRM discipline is documented, owned, used in normal operations and supported by basic evidence or metrics.</t>
        </is>
      </c>
      <c r="T43" s="3" t="inlineStr">
        <is>
          <t>Pipeline governance with clear stages, qualification criteria, forecast probability and CRM discipline is measured, periodically reviewed, integrated with related processes and tested against relevant disruption scenarios.</t>
        </is>
      </c>
      <c r="U43" s="3" t="inlineStr">
        <is>
          <t>Pipeline governance with clear stages, qualification criteria, forecast probability and CRM discipline is optimized, continuously improved, automated where practical and demonstrably supports crisis resilience.</t>
        </is>
      </c>
      <c r="V43" s="3" t="inlineStr">
        <is>
          <t>Demand shock; Financial liquidity crisis; Reputation crisis</t>
        </is>
      </c>
      <c r="W43" s="3" t="n"/>
      <c r="X43" s="3" t="n"/>
      <c r="Y43" s="3" t="inlineStr">
        <is>
          <t>Use the recommended action generated by the model; validate with domain owner during real assessment.</t>
        </is>
      </c>
      <c r="Z43" s="7" t="n">
        <v>5</v>
      </c>
      <c r="AA43" s="7" t="n">
        <v>5</v>
      </c>
      <c r="AB43" s="7" t="n">
        <v>5</v>
      </c>
      <c r="AK43" s="46" t="n"/>
      <c r="AL43" s="46" t="n"/>
      <c r="AM43" s="247">
        <f>_DATA_Assessment_Model!AJ43</f>
        <v/>
      </c>
      <c r="AN43" s="247">
        <f>_DATA_Assessment_Model!AK43</f>
        <v/>
      </c>
      <c r="AO43" s="247">
        <f>_DATA_Assessment_Model!AL43</f>
        <v/>
      </c>
      <c r="AP43" s="247">
        <f>_DATA_Assessment_Model!AM43</f>
        <v/>
      </c>
      <c r="AQ43" s="247">
        <f>_DATA_Assessment_Model!AN43</f>
        <v/>
      </c>
      <c r="AR43" s="247">
        <f>_DATA_Assessment_Model!AO43</f>
        <v/>
      </c>
      <c r="AS43" s="247">
        <f>_DATA_Assessment_Model!AP43</f>
        <v/>
      </c>
      <c r="AT43" s="247">
        <f>_DATA_Assessment_Model!AQ43</f>
        <v/>
      </c>
      <c r="AU43" s="247">
        <f>_DATA_Assessment_Model!AR43</f>
        <v/>
      </c>
      <c r="AV43" s="5">
        <f>_DATA_Assessment_Model!AS43</f>
        <v/>
      </c>
      <c r="AW43" s="5">
        <f>_DATA_Assessment_Model!AT43</f>
        <v/>
      </c>
      <c r="AY43">
        <f>_DATA_Assessment_Model!AV43</f>
        <v/>
      </c>
    </row>
    <row r="44" ht="110.4" customHeight="1" s="209">
      <c r="A44" t="inlineStr">
        <is>
          <t>Strategy GTM</t>
        </is>
      </c>
      <c r="B44" t="inlineStr">
        <is>
          <t>Strategy GTM</t>
        </is>
      </c>
      <c r="C44" t="n">
        <v>25</v>
      </c>
      <c r="D44" s="3" t="inlineStr">
        <is>
          <t>STRA-021</t>
        </is>
      </c>
      <c r="E44" s="3" t="inlineStr">
        <is>
          <t>GTM execution</t>
        </is>
      </c>
      <c r="F44" s="3" t="inlineStr">
        <is>
          <t>How mature is the organization in managing channel strategy across direct sales, partners, ecommerce, marketplaces, distributors and digital channels, including ownership, evidence, metrics, fallback procedures and crisis stress testing?</t>
        </is>
      </c>
      <c r="G44" s="3" t="inlineStr">
        <is>
          <t>This topic affects exposure to Demand shock; Financial liquidity crisis; Reputation crisis. It helps identify how disruption may impact operations, people, revenue, systems, legal exposure or recovery time.</t>
        </is>
      </c>
      <c r="H44" s="3" t="inlineStr">
        <is>
          <t>ISO 9001; ISO 31000; ISO 37000; McKinsey 7S; OHI; Bain Elements of Value; Jobs-to-be-Done; Porter Five Forces; OKR</t>
        </is>
      </c>
      <c r="I44" s="3" t="inlineStr">
        <is>
          <t>Policy/SOP; owner/RACI; system report; dashboard; contracts; test records; incident history; interview evidence related to channel strategy across direct sales, partners, ecommerce, marketplaces, distributors and digital channels.</t>
        </is>
      </c>
      <c r="J44" s="3" t="n">
        <v>4</v>
      </c>
      <c r="K44" s="85">
        <f>_DATA_Assessment_Model!H44</f>
        <v/>
      </c>
      <c r="L44" s="4">
        <f>_DATA_Assessment_Model!I44</f>
        <v/>
      </c>
      <c r="M44" s="4">
        <f>_DATA_Assessment_Model!J44</f>
        <v/>
      </c>
      <c r="N44" s="4">
        <f>_DATA_Assessment_Model!K44</f>
        <v/>
      </c>
      <c r="O44" s="3">
        <f>_DATA_Assessment_Model!L44</f>
        <v/>
      </c>
      <c r="P44" s="3" t="inlineStr">
        <is>
          <t>No reliable evidence that channel strategy across direct sales, partners, ecommerce, marketplaces, distributors and digital channels is defined, owned or managed.</t>
        </is>
      </c>
      <c r="Q44" s="3" t="inlineStr">
        <is>
          <t>Channel strategy across direct sales, partners, ecommerce, marketplaces, distributors and digital channels is handled informally and depends on individual knowledge or heroic effort.</t>
        </is>
      </c>
      <c r="R44" s="3" t="inlineStr">
        <is>
          <t>Channel strategy across direct sales, partners, ecommerce, marketplaces, distributors and digital channels is partially documented or implemented, but coverage is inconsistent and not crisis-tested.</t>
        </is>
      </c>
      <c r="S44" s="3" t="inlineStr">
        <is>
          <t>Channel strategy across direct sales, partners, ecommerce, marketplaces, distributors and digital channels is documented, owned, used in normal operations and supported by basic evidence or metrics.</t>
        </is>
      </c>
      <c r="T44" s="3" t="inlineStr">
        <is>
          <t>Channel strategy across direct sales, partners, ecommerce, marketplaces, distributors and digital channels is measured, periodically reviewed, integrated with related processes and tested against relevant disruption scenarios.</t>
        </is>
      </c>
      <c r="U44" s="3" t="inlineStr">
        <is>
          <t>Channel strategy across direct sales, partners, ecommerce, marketplaces, distributors and digital channels is optimized, continuously improved, automated where practical and demonstrably supports crisis resilience.</t>
        </is>
      </c>
      <c r="V44" s="3" t="inlineStr">
        <is>
          <t>Demand shock; Financial liquidity crisis; Reputation crisis</t>
        </is>
      </c>
      <c r="W44" s="3" t="n"/>
      <c r="X44" s="3" t="n"/>
      <c r="Y44" s="3" t="inlineStr">
        <is>
          <t>Use the recommended action generated by the model; validate with domain owner during real assessment.</t>
        </is>
      </c>
      <c r="Z44" s="7" t="n">
        <v>4</v>
      </c>
      <c r="AA44" s="7" t="n">
        <v>5</v>
      </c>
      <c r="AB44" s="7" t="n">
        <v>5</v>
      </c>
      <c r="AK44" s="46" t="n"/>
      <c r="AL44" s="46" t="n"/>
      <c r="AM44" s="247">
        <f>_DATA_Assessment_Model!AJ44</f>
        <v/>
      </c>
      <c r="AN44" s="247">
        <f>_DATA_Assessment_Model!AK44</f>
        <v/>
      </c>
      <c r="AO44" s="247">
        <f>_DATA_Assessment_Model!AL44</f>
        <v/>
      </c>
      <c r="AP44" s="247">
        <f>_DATA_Assessment_Model!AM44</f>
        <v/>
      </c>
      <c r="AQ44" s="247">
        <f>_DATA_Assessment_Model!AN44</f>
        <v/>
      </c>
      <c r="AR44" s="247">
        <f>_DATA_Assessment_Model!AO44</f>
        <v/>
      </c>
      <c r="AS44" s="247">
        <f>_DATA_Assessment_Model!AP44</f>
        <v/>
      </c>
      <c r="AT44" s="247">
        <f>_DATA_Assessment_Model!AQ44</f>
        <v/>
      </c>
      <c r="AU44" s="247">
        <f>_DATA_Assessment_Model!AR44</f>
        <v/>
      </c>
      <c r="AV44" s="5">
        <f>_DATA_Assessment_Model!AS44</f>
        <v/>
      </c>
      <c r="AW44" s="5">
        <f>_DATA_Assessment_Model!AT44</f>
        <v/>
      </c>
      <c r="AY44">
        <f>_DATA_Assessment_Model!AV44</f>
        <v/>
      </c>
    </row>
    <row r="45" ht="69" customHeight="1" s="209">
      <c r="A45" t="inlineStr">
        <is>
          <t>Strategy GTM</t>
        </is>
      </c>
      <c r="B45" t="inlineStr">
        <is>
          <t>Strategy GTM</t>
        </is>
      </c>
      <c r="C45" t="n">
        <v>26</v>
      </c>
      <c r="D45" s="3" t="inlineStr">
        <is>
          <t>STRA-022</t>
        </is>
      </c>
      <c r="E45" s="3" t="inlineStr">
        <is>
          <t>GTM execution</t>
        </is>
      </c>
      <c r="F45" s="3" t="inlineStr">
        <is>
          <t>How mature is the organization in managing win/loss analysis feeding back into strategy, offering, pricing and messaging, including ownership, evidence, metrics, fallback procedures and crisis stress testing?</t>
        </is>
      </c>
      <c r="G45" s="3" t="inlineStr">
        <is>
          <t>This topic affects exposure to Demand shock; Financial liquidity crisis; Reputation crisis. It helps identify how disruption may impact operations, people, revenue, systems, legal exposure or recovery time.</t>
        </is>
      </c>
      <c r="H45" s="3" t="inlineStr">
        <is>
          <t>ISO 9001; ISO 31000; ISO 37000; McKinsey 7S; OHI; Bain Elements of Value; Jobs-to-be-Done; Porter Five Forces; OKR</t>
        </is>
      </c>
      <c r="I45" s="3" t="inlineStr">
        <is>
          <t>Policy/SOP; owner/RACI; system report; dashboard; contracts; test records; incident history; interview evidence related to win/loss analysis feeding back into strategy, offering, pricing and messaging.</t>
        </is>
      </c>
      <c r="J45" s="3" t="n">
        <v>5</v>
      </c>
      <c r="K45" s="85">
        <f>_DATA_Assessment_Model!H45</f>
        <v/>
      </c>
      <c r="L45" s="4">
        <f>_DATA_Assessment_Model!I45</f>
        <v/>
      </c>
      <c r="M45" s="4">
        <f>_DATA_Assessment_Model!J45</f>
        <v/>
      </c>
      <c r="N45" s="4">
        <f>_DATA_Assessment_Model!K45</f>
        <v/>
      </c>
      <c r="O45" s="3">
        <f>_DATA_Assessment_Model!L45</f>
        <v/>
      </c>
      <c r="P45" s="3" t="inlineStr">
        <is>
          <t>Does not exist; no owner, no documentation, no practice.</t>
        </is>
      </c>
      <c r="Q45" s="3" t="inlineStr">
        <is>
          <t>Ad hoc; depends entirely on specific individuals.</t>
        </is>
      </c>
      <c r="R45" s="3" t="inlineStr">
        <is>
          <t>Partially documented or implemented; coverage inconsistent; never tested under stress.</t>
        </is>
      </c>
      <c r="S45" s="3" t="inlineStr">
        <is>
          <t>Documented, owned, executed consistently; basic evidence and metrics exist.</t>
        </is>
      </c>
      <c r="T45" s="3" t="inlineStr">
        <is>
          <t>Measured and periodically tested/audited; integrated with adjacent processes.</t>
        </is>
      </c>
      <c r="U45" s="3" t="inlineStr">
        <is>
          <t>Optimized and automated where practical; stress-tested; benchmarked externally.</t>
        </is>
      </c>
      <c r="V45" s="3" t="inlineStr">
        <is>
          <t>Demand shock; Financial liquidity crisis; Reputation crisis</t>
        </is>
      </c>
      <c r="W45" s="3" t="n"/>
      <c r="X45" s="3" t="n"/>
      <c r="Y45" s="3" t="inlineStr">
        <is>
          <t>Use the recommended action generated by the model; validate with domain owner during real assessment.</t>
        </is>
      </c>
      <c r="Z45" s="7" t="n">
        <v>4</v>
      </c>
      <c r="AA45" s="7" t="n">
        <v>5</v>
      </c>
      <c r="AB45" s="7" t="n">
        <v>5</v>
      </c>
      <c r="AK45" s="46" t="n"/>
      <c r="AL45" s="46" t="n"/>
      <c r="AM45" s="247">
        <f>_DATA_Assessment_Model!AJ45</f>
        <v/>
      </c>
      <c r="AN45" s="247">
        <f>_DATA_Assessment_Model!AK45</f>
        <v/>
      </c>
      <c r="AO45" s="247">
        <f>_DATA_Assessment_Model!AL45</f>
        <v/>
      </c>
      <c r="AP45" s="247">
        <f>_DATA_Assessment_Model!AM45</f>
        <v/>
      </c>
      <c r="AQ45" s="247">
        <f>_DATA_Assessment_Model!AN45</f>
        <v/>
      </c>
      <c r="AR45" s="247">
        <f>_DATA_Assessment_Model!AO45</f>
        <v/>
      </c>
      <c r="AS45" s="247">
        <f>_DATA_Assessment_Model!AP45</f>
        <v/>
      </c>
      <c r="AT45" s="247">
        <f>_DATA_Assessment_Model!AQ45</f>
        <v/>
      </c>
      <c r="AU45" s="247">
        <f>_DATA_Assessment_Model!AR45</f>
        <v/>
      </c>
      <c r="AV45" s="5">
        <f>_DATA_Assessment_Model!AS45</f>
        <v/>
      </c>
      <c r="AW45" s="5">
        <f>_DATA_Assessment_Model!AT45</f>
        <v/>
      </c>
      <c r="AY45">
        <f>_DATA_Assessment_Model!AV45</f>
        <v/>
      </c>
    </row>
    <row r="46" ht="110.4" customHeight="1" s="209">
      <c r="A46" t="inlineStr">
        <is>
          <t>Strategy GTM</t>
        </is>
      </c>
      <c r="B46" t="inlineStr">
        <is>
          <t>Strategy GTM</t>
        </is>
      </c>
      <c r="C46" t="n">
        <v>27</v>
      </c>
      <c r="D46" s="3" t="inlineStr">
        <is>
          <t>STRA-024</t>
        </is>
      </c>
      <c r="E46" s="3" t="inlineStr">
        <is>
          <t>GTM execution</t>
        </is>
      </c>
      <c r="F46" s="3" t="inlineStr">
        <is>
          <t>How mature is the organization in managing leading indicators for demand, churn, pricing pressure, conversion, sales velocity and customer health, including ownership, evidence, metrics, fallback procedures and crisis stress testing?</t>
        </is>
      </c>
      <c r="G46" s="3" t="inlineStr">
        <is>
          <t>This topic affects exposure to Demand shock; Financial liquidity crisis; Reputation crisis. It helps identify how disruption may impact operations, people, revenue, systems, legal exposure or recovery time.</t>
        </is>
      </c>
      <c r="H46" s="3" t="inlineStr">
        <is>
          <t>ISO 9001; ISO 31000; ISO 37000; McKinsey 7S; OHI; Bain Elements of Value; Jobs-to-be-Done; Porter Five Forces; OKR</t>
        </is>
      </c>
      <c r="I46" s="3" t="inlineStr">
        <is>
          <t>Policy/SOP; owner/RACI; system report; dashboard; contracts; test records; incident history; interview evidence related to leading indicators for demand, churn, pricing pressure, conversion, sales velocity and customer health.</t>
        </is>
      </c>
      <c r="J46" s="3" t="n">
        <v>4</v>
      </c>
      <c r="K46" s="85">
        <f>_DATA_Assessment_Model!H46</f>
        <v/>
      </c>
      <c r="L46" s="4">
        <f>_DATA_Assessment_Model!I46</f>
        <v/>
      </c>
      <c r="M46" s="4">
        <f>_DATA_Assessment_Model!J46</f>
        <v/>
      </c>
      <c r="N46" s="4">
        <f>_DATA_Assessment_Model!K46</f>
        <v/>
      </c>
      <c r="O46" s="3">
        <f>_DATA_Assessment_Model!L46</f>
        <v/>
      </c>
      <c r="P46" s="3" t="inlineStr">
        <is>
          <t>No reliable evidence that leading indicators for demand, churn, pricing pressure, conversion, sales velocity and customer health is defined, owned or managed.</t>
        </is>
      </c>
      <c r="Q46" s="3" t="inlineStr">
        <is>
          <t>Leading indicators for demand, churn, pricing pressure, conversion, sales velocity and customer health is handled informally and depends on individual knowledge or heroic effort.</t>
        </is>
      </c>
      <c r="R46" s="3" t="inlineStr">
        <is>
          <t>Leading indicators for demand, churn, pricing pressure, conversion, sales velocity and customer health is partially documented or implemented, but coverage is inconsistent and not crisis-tested.</t>
        </is>
      </c>
      <c r="S46" s="3" t="inlineStr">
        <is>
          <t>Leading indicators for demand, churn, pricing pressure, conversion, sales velocity and customer health is documented, owned, used in normal operations and supported by basic evidence or metrics.</t>
        </is>
      </c>
      <c r="T46" s="3" t="inlineStr">
        <is>
          <t>Leading indicators for demand, churn, pricing pressure, conversion, sales velocity and customer health is measured, periodically reviewed, integrated with related processes and tested against relevant disruption scenarios.</t>
        </is>
      </c>
      <c r="U46" s="3" t="inlineStr">
        <is>
          <t>Leading indicators for demand, churn, pricing pressure, conversion, sales velocity and customer health is optimized, continuously improved, automated where practical and demonstrably supports crisis resilience.</t>
        </is>
      </c>
      <c r="V46" s="3" t="inlineStr">
        <is>
          <t>Demand shock; Financial liquidity crisis; Reputation crisis</t>
        </is>
      </c>
      <c r="W46" s="3" t="n"/>
      <c r="X46" s="3" t="n"/>
      <c r="Y46" s="3" t="inlineStr">
        <is>
          <t>Use the recommended action generated by the model; validate with domain owner during real assessment.</t>
        </is>
      </c>
      <c r="Z46" s="7" t="n">
        <v>4</v>
      </c>
      <c r="AA46" s="7" t="n">
        <v>5</v>
      </c>
      <c r="AB46" s="7" t="n">
        <v>5</v>
      </c>
      <c r="AK46" s="46" t="n"/>
      <c r="AL46" s="46" t="n"/>
      <c r="AM46" s="247">
        <f>_DATA_Assessment_Model!AJ46</f>
        <v/>
      </c>
      <c r="AN46" s="247">
        <f>_DATA_Assessment_Model!AK46</f>
        <v/>
      </c>
      <c r="AO46" s="247">
        <f>_DATA_Assessment_Model!AL46</f>
        <v/>
      </c>
      <c r="AP46" s="247">
        <f>_DATA_Assessment_Model!AM46</f>
        <v/>
      </c>
      <c r="AQ46" s="247">
        <f>_DATA_Assessment_Model!AN46</f>
        <v/>
      </c>
      <c r="AR46" s="247">
        <f>_DATA_Assessment_Model!AO46</f>
        <v/>
      </c>
      <c r="AS46" s="247">
        <f>_DATA_Assessment_Model!AP46</f>
        <v/>
      </c>
      <c r="AT46" s="247">
        <f>_DATA_Assessment_Model!AQ46</f>
        <v/>
      </c>
      <c r="AU46" s="247">
        <f>_DATA_Assessment_Model!AR46</f>
        <v/>
      </c>
      <c r="AV46" s="5">
        <f>_DATA_Assessment_Model!AS46</f>
        <v/>
      </c>
      <c r="AW46" s="5">
        <f>_DATA_Assessment_Model!AT46</f>
        <v/>
      </c>
      <c r="AY46">
        <f>_DATA_Assessment_Model!AV46</f>
        <v/>
      </c>
    </row>
    <row r="47" ht="110.4" customHeight="1" s="209">
      <c r="A47" t="inlineStr">
        <is>
          <t>Strategy GTM</t>
        </is>
      </c>
      <c r="B47" t="inlineStr">
        <is>
          <t>Strategy GTM</t>
        </is>
      </c>
      <c r="C47" t="n">
        <v>28</v>
      </c>
      <c r="D47" s="3" t="inlineStr">
        <is>
          <t>STRA-025</t>
        </is>
      </c>
      <c r="E47" s="3" t="inlineStr">
        <is>
          <t>External relations and partnerships</t>
        </is>
      </c>
      <c r="F47" s="3" t="inlineStr">
        <is>
          <t>How mature is the organization in managing partner and alliance portfolio management with selection criteria, contracts, performance review and dependency control, including ownership, evidence, metrics, fallback procedures and crisis stress testing?</t>
        </is>
      </c>
      <c r="G47" s="3" t="inlineStr">
        <is>
          <t>This topic affects exposure to Demand shock; Supplier/logistics disruption; Reputation crisis. It helps identify how disruption may impact operations, people, revenue, systems, legal exposure or recovery time.</t>
        </is>
      </c>
      <c r="H47" s="3" t="inlineStr">
        <is>
          <t>APQC PCF 12.0; EFQM 2025 3.5; ISO 44001</t>
        </is>
      </c>
      <c r="I47" s="3" t="inlineStr">
        <is>
          <t>Policy/SOP; owner/RACI; system report; dashboard; contracts; test records; incident history; interview evidence related to documented strategy translated into objectives, KPIs, budgets and accountable owners.</t>
        </is>
      </c>
      <c r="J47" s="3" t="n">
        <v>4</v>
      </c>
      <c r="K47" s="85">
        <f>_DATA_Assessment_Model!H47</f>
        <v/>
      </c>
      <c r="L47" s="4">
        <f>_DATA_Assessment_Model!I47</f>
        <v/>
      </c>
      <c r="M47" s="4">
        <f>_DATA_Assessment_Model!J47</f>
        <v/>
      </c>
      <c r="N47" s="4">
        <f>_DATA_Assessment_Model!K47</f>
        <v/>
      </c>
      <c r="O47" s="3">
        <f>_DATA_Assessment_Model!L47</f>
        <v/>
      </c>
      <c r="P47" s="3" t="inlineStr">
        <is>
          <t>No reliable evidence that partner and alliance portfolio management with selection criteria, contracts, performance review and dependency control is defined, owned or managed.</t>
        </is>
      </c>
      <c r="Q47" s="3" t="inlineStr">
        <is>
          <t>Partner and alliance portfolio management with selection criteria, contracts, performance review and dependency control is handled informally and depends on individual knowledge or heroic effort.</t>
        </is>
      </c>
      <c r="R47" s="3" t="inlineStr">
        <is>
          <t>Partner and alliance portfolio management with selection criteria, contracts, performance review and dependency control is partially documented or implemented, but coverage is inconsistent and not crisis-tested.</t>
        </is>
      </c>
      <c r="S47" s="3" t="inlineStr">
        <is>
          <t>Partner and alliance portfolio management with selection criteria, contracts, performance review and dependency control is documented, owned, used in normal operations and supported by basic evidence or metrics.</t>
        </is>
      </c>
      <c r="T47" s="3" t="inlineStr">
        <is>
          <t>Partner and alliance portfolio management with selection criteria, contracts, performance review and dependency control is measured, periodically reviewed, integrated with related processes and tested against relevant disruption scenarios.</t>
        </is>
      </c>
      <c r="U47" s="3" t="inlineStr">
        <is>
          <t>Partner and alliance portfolio management with selection criteria, contracts, performance review and dependency control is optimized, continuously improved, automated where practical and demonstrably supports crisis resilience.</t>
        </is>
      </c>
      <c r="V47" s="3" t="inlineStr">
        <is>
          <t>Demand shock; Supplier/logistics disruption; Reputation crisis</t>
        </is>
      </c>
      <c r="W47" s="3" t="n"/>
      <c r="X47" s="3" t="n"/>
      <c r="Y47" s="3" t="inlineStr">
        <is>
          <t>Use the recommended action generated by the model; validate with domain owner during real assessment.</t>
        </is>
      </c>
      <c r="Z47" s="7" t="n">
        <v>3</v>
      </c>
      <c r="AA47" s="7" t="n">
        <v>4</v>
      </c>
      <c r="AB47" s="7" t="n">
        <v>4</v>
      </c>
      <c r="AK47" s="46" t="n"/>
      <c r="AL47" s="46" t="n"/>
      <c r="AM47" s="247">
        <f>_DATA_Assessment_Model!AJ47</f>
        <v/>
      </c>
      <c r="AN47" s="247">
        <f>_DATA_Assessment_Model!AK47</f>
        <v/>
      </c>
      <c r="AO47" s="247">
        <f>_DATA_Assessment_Model!AL47</f>
        <v/>
      </c>
      <c r="AP47" s="247">
        <f>_DATA_Assessment_Model!AM47</f>
        <v/>
      </c>
      <c r="AQ47" s="247">
        <f>_DATA_Assessment_Model!AN47</f>
        <v/>
      </c>
      <c r="AR47" s="247">
        <f>_DATA_Assessment_Model!AO47</f>
        <v/>
      </c>
      <c r="AS47" s="247">
        <f>_DATA_Assessment_Model!AP47</f>
        <v/>
      </c>
      <c r="AT47" s="247">
        <f>_DATA_Assessment_Model!AQ47</f>
        <v/>
      </c>
      <c r="AU47" s="247">
        <f>_DATA_Assessment_Model!AR47</f>
        <v/>
      </c>
      <c r="AV47" s="5">
        <f>_DATA_Assessment_Model!AS47</f>
        <v/>
      </c>
      <c r="AW47" s="5">
        <f>_DATA_Assessment_Model!AT47</f>
        <v/>
      </c>
      <c r="AY47">
        <f>_DATA_Assessment_Model!AV47</f>
        <v/>
      </c>
    </row>
    <row r="48">
      <c r="A48" t="inlineStr">
        <is>
          <t>Strategy GTM</t>
        </is>
      </c>
      <c r="B48" t="inlineStr">
        <is>
          <t>Strategy GTM</t>
        </is>
      </c>
      <c r="C48" t="n">
        <v>29</v>
      </c>
      <c r="D48" t="inlineStr">
        <is>
          <t>STRA-026</t>
        </is>
      </c>
      <c r="E48" t="inlineStr">
        <is>
          <t>External relations and partnerships</t>
        </is>
      </c>
      <c r="F48" t="inlineStr">
        <is>
          <t>How mature is the organization in managing government and regulator relations with named owners, engagement plan and crisis escalation contacts, including ownership, evidence, metrics, fallback procedures and crisis stress testing?</t>
        </is>
      </c>
      <c r="G48" t="inlineStr">
        <is>
          <t>This topic affects exposure to Regulatory/legal shock; War/security crisis. It helps identify how disruption may impact operations, people, revenue, systems, legal exposure or recovery time.</t>
        </is>
      </c>
      <c r="H48" t="inlineStr">
        <is>
          <t>APQC PCF 12.1; ISO 37301; PESTLE</t>
        </is>
      </c>
      <c r="I48" t="inlineStr">
        <is>
          <t>Policy/SOP; owner/RACI; system report; dashboard; contracts; test records; incident history; interview evidence related to documented strategy translated into objectives, KPIs, budgets and accountable owners.</t>
        </is>
      </c>
      <c r="J48" t="n">
        <v>3</v>
      </c>
      <c r="K48">
        <f>_DATA_Assessment_Model!H48</f>
        <v/>
      </c>
      <c r="L48">
        <f>_DATA_Assessment_Model!I48</f>
        <v/>
      </c>
      <c r="M48">
        <f>_DATA_Assessment_Model!J48</f>
        <v/>
      </c>
      <c r="N48">
        <f>_DATA_Assessment_Model!K48</f>
        <v/>
      </c>
      <c r="O48">
        <f>_DATA_Assessment_Model!L48</f>
        <v/>
      </c>
      <c r="P48" t="inlineStr">
        <is>
          <t>No reliable evidence that government and regulator relations with named owners, engagement plan and crisis escalation contacts is defined, owned or managed.</t>
        </is>
      </c>
      <c r="Q48" t="inlineStr">
        <is>
          <t>Government and regulator relations with named owners, engagement plan and crisis escalation contacts is handled informally and depends on individual knowledge or heroic effort.</t>
        </is>
      </c>
      <c r="R48" t="inlineStr">
        <is>
          <t>Government and regulator relations with named owners, engagement plan and crisis escalation contacts is partially documented or implemented, but coverage is inconsistent and not crisis-tested.</t>
        </is>
      </c>
      <c r="S48" t="inlineStr">
        <is>
          <t>Government and regulator relations with named owners, engagement plan and crisis escalation contacts is documented, owned, used in normal operations and supported by basic evidence or metrics.</t>
        </is>
      </c>
      <c r="T48" t="inlineStr">
        <is>
          <t>Government and regulator relations with named owners, engagement plan and crisis escalation contacts is measured, periodically reviewed, integrated with related processes and tested against relevant disruption scenarios.</t>
        </is>
      </c>
      <c r="U48" t="inlineStr">
        <is>
          <t>Government and regulator relations with named owners, engagement plan and crisis escalation contacts is optimized, continuously improved, automated where practical and demonstrably supports crisis resilience.</t>
        </is>
      </c>
      <c r="V48" t="inlineStr">
        <is>
          <t>Regulatory/legal shock; War/security crisis</t>
        </is>
      </c>
      <c r="Y48" t="inlineStr">
        <is>
          <t>Use the recommended action generated by the model; validate with domain owner during real assessment.</t>
        </is>
      </c>
      <c r="Z48" t="n">
        <v>2</v>
      </c>
      <c r="AA48" t="n">
        <v>4</v>
      </c>
      <c r="AB48" t="n">
        <v>3</v>
      </c>
      <c r="AM48">
        <f>_DATA_Assessment_Model!AJ48</f>
        <v/>
      </c>
      <c r="AN48">
        <f>_DATA_Assessment_Model!AK48</f>
        <v/>
      </c>
      <c r="AO48">
        <f>_DATA_Assessment_Model!AL48</f>
        <v/>
      </c>
      <c r="AP48">
        <f>_DATA_Assessment_Model!AM48</f>
        <v/>
      </c>
      <c r="AQ48">
        <f>_DATA_Assessment_Model!AN48</f>
        <v/>
      </c>
      <c r="AR48">
        <f>_DATA_Assessment_Model!AO48</f>
        <v/>
      </c>
      <c r="AS48">
        <f>_DATA_Assessment_Model!AP48</f>
        <v/>
      </c>
      <c r="AT48">
        <f>_DATA_Assessment_Model!AQ48</f>
        <v/>
      </c>
      <c r="AU48">
        <f>_DATA_Assessment_Model!AR48</f>
        <v/>
      </c>
      <c r="AV48">
        <f>_DATA_Assessment_Model!AS48</f>
        <v/>
      </c>
      <c r="AW48">
        <f>_DATA_Assessment_Model!AT48</f>
        <v/>
      </c>
      <c r="AY48">
        <f>_DATA_Assessment_Model!AV48</f>
        <v/>
      </c>
    </row>
    <row r="49">
      <c r="A49" t="inlineStr">
        <is>
          <t>Strategy GTM</t>
        </is>
      </c>
      <c r="B49" t="inlineStr">
        <is>
          <t>Strategy GTM</t>
        </is>
      </c>
      <c r="C49" t="n">
        <v>30</v>
      </c>
      <c r="D49" t="inlineStr">
        <is>
          <t>STRA-028</t>
        </is>
      </c>
      <c r="E49" t="inlineStr">
        <is>
          <t>External relations and partnerships</t>
        </is>
      </c>
      <c r="F49" t="inlineStr">
        <is>
          <t>How mature is the organization in managing owner, investor and lender communication discipline including bad-news protocols and crisis updates, including ownership, evidence, metrics, fallback procedures and crisis stress testing?</t>
        </is>
      </c>
      <c r="G49" t="inlineStr">
        <is>
          <t>This topic affects exposure to Financial/liquidity crisis; Reputation crisis. It helps identify how disruption may impact operations, people, revenue, systems, legal exposure or recovery time.</t>
        </is>
      </c>
      <c r="H49" t="inlineStr">
        <is>
          <t>APQC PCF 12.2; ISO 37000; COSO</t>
        </is>
      </c>
      <c r="I49" t="inlineStr">
        <is>
          <t>Policy/SOP; owner/RACI; system report; dashboard; contracts; test records; incident history; interview evidence related to documented strategy translated into objectives, KPIs, budgets and accountable owners.</t>
        </is>
      </c>
      <c r="J49" t="n">
        <v>4</v>
      </c>
      <c r="K49">
        <f>_DATA_Assessment_Model!H49</f>
        <v/>
      </c>
      <c r="L49">
        <f>_DATA_Assessment_Model!I49</f>
        <v/>
      </c>
      <c r="M49">
        <f>_DATA_Assessment_Model!J49</f>
        <v/>
      </c>
      <c r="N49">
        <f>_DATA_Assessment_Model!K49</f>
        <v/>
      </c>
      <c r="O49">
        <f>_DATA_Assessment_Model!L49</f>
        <v/>
      </c>
      <c r="P49" t="inlineStr">
        <is>
          <t>No reliable evidence that owner, investor and lender communication discipline including bad-news protocols and crisis updates is defined, owned or managed.</t>
        </is>
      </c>
      <c r="Q49" t="inlineStr">
        <is>
          <t>Owner, investor and lender communication discipline including bad-news protocols and crisis updates is handled informally and depends on individual knowledge or heroic effort.</t>
        </is>
      </c>
      <c r="R49" t="inlineStr">
        <is>
          <t>Owner, investor and lender communication discipline including bad-news protocols and crisis updates is partially documented or implemented, but coverage is inconsistent and not crisis-tested.</t>
        </is>
      </c>
      <c r="S49" t="inlineStr">
        <is>
          <t>Owner, investor and lender communication discipline including bad-news protocols and crisis updates is documented, owned, used in normal operations and supported by basic evidence or metrics.</t>
        </is>
      </c>
      <c r="T49" t="inlineStr">
        <is>
          <t>Owner, investor and lender communication discipline including bad-news protocols and crisis updates is measured, periodically reviewed, integrated with related processes and tested against relevant disruption scenarios.</t>
        </is>
      </c>
      <c r="U49" t="inlineStr">
        <is>
          <t>Owner, investor and lender communication discipline including bad-news protocols and crisis updates is optimized, continuously improved, automated where practical and demonstrably supports crisis resilience.</t>
        </is>
      </c>
      <c r="V49" t="inlineStr">
        <is>
          <t>Financial/liquidity crisis; Reputation crisis</t>
        </is>
      </c>
      <c r="Y49" t="inlineStr">
        <is>
          <t>Use the recommended action generated by the model; validate with domain owner during real assessment.</t>
        </is>
      </c>
      <c r="Z49" t="n">
        <v>2</v>
      </c>
      <c r="AA49" t="n">
        <v>4</v>
      </c>
      <c r="AB49" t="n">
        <v>4</v>
      </c>
      <c r="AM49">
        <f>_DATA_Assessment_Model!AJ49</f>
        <v/>
      </c>
      <c r="AN49">
        <f>_DATA_Assessment_Model!AK49</f>
        <v/>
      </c>
      <c r="AO49">
        <f>_DATA_Assessment_Model!AL49</f>
        <v/>
      </c>
      <c r="AP49">
        <f>_DATA_Assessment_Model!AM49</f>
        <v/>
      </c>
      <c r="AQ49">
        <f>_DATA_Assessment_Model!AN49</f>
        <v/>
      </c>
      <c r="AR49">
        <f>_DATA_Assessment_Model!AO49</f>
        <v/>
      </c>
      <c r="AS49">
        <f>_DATA_Assessment_Model!AP49</f>
        <v/>
      </c>
      <c r="AT49">
        <f>_DATA_Assessment_Model!AQ49</f>
        <v/>
      </c>
      <c r="AU49">
        <f>_DATA_Assessment_Model!AR49</f>
        <v/>
      </c>
      <c r="AV49">
        <f>_DATA_Assessment_Model!AS49</f>
        <v/>
      </c>
      <c r="AW49">
        <f>_DATA_Assessment_Model!AT49</f>
        <v/>
      </c>
      <c r="AY49">
        <f>_DATA_Assessment_Model!AV49</f>
        <v/>
      </c>
    </row>
    <row r="50" ht="69" customHeight="1" s="209">
      <c r="A50" t="inlineStr">
        <is>
          <t>Governance Crisis</t>
        </is>
      </c>
      <c r="B50" t="inlineStr">
        <is>
          <t>Governance Crisis</t>
        </is>
      </c>
      <c r="C50" t="n">
        <v>5</v>
      </c>
      <c r="D50" s="3" t="inlineStr">
        <is>
          <t>GOVE-001</t>
        </is>
      </c>
      <c r="E50" s="3" t="inlineStr">
        <is>
          <t>Crisis governance</t>
        </is>
      </c>
      <c r="F50" s="3" t="inlineStr">
        <is>
          <t>How mature is the organization in managing formal crisis management structure with named roles, deputies, escalation paths and decision authority, including ownership, evidence, metrics, fallback procedures and crisis stress testing?</t>
        </is>
      </c>
      <c r="G50" s="3" t="inlineStr">
        <is>
          <t>This topic affects exposure to All crisis types. It helps identify how disruption may impact operations, people, revenue, systems, legal exposure or recovery time.</t>
        </is>
      </c>
      <c r="H50" s="3" t="inlineStr">
        <is>
          <t>ISO 22301; ISO 22320; ISO 31000; ISO 37000; NIST SP 800-34; BCI Good Practice Guidelines; Bain RAPID</t>
        </is>
      </c>
      <c r="I50" s="3" t="inlineStr">
        <is>
          <t>Policy/SOP; owner/RACI; system report; dashboard; contracts; test records; incident history; interview evidence related to formal crisis management structure with named roles, deputies, escalation paths and decision authority.</t>
        </is>
      </c>
      <c r="J50" s="3" t="n">
        <v>5</v>
      </c>
      <c r="K50" s="85">
        <f>_DATA_Assessment_Model!H50</f>
        <v/>
      </c>
      <c r="L50" s="4">
        <f>_DATA_Assessment_Model!I50</f>
        <v/>
      </c>
      <c r="M50" s="4">
        <f>_DATA_Assessment_Model!J50</f>
        <v/>
      </c>
      <c r="N50" s="4">
        <f>_DATA_Assessment_Model!K50</f>
        <v/>
      </c>
      <c r="O50" s="3">
        <f>_DATA_Assessment_Model!L50</f>
        <v/>
      </c>
      <c r="P50" s="3" t="inlineStr">
        <is>
          <t>Does not exist; no owner, no documentation, no practice.</t>
        </is>
      </c>
      <c r="Q50" s="3" t="inlineStr">
        <is>
          <t>Ad hoc; depends entirely on specific individuals.</t>
        </is>
      </c>
      <c r="R50" s="3" t="inlineStr">
        <is>
          <t>Partially documented or implemented; coverage inconsistent; never tested under stress.</t>
        </is>
      </c>
      <c r="S50" s="3" t="inlineStr">
        <is>
          <t>Documented, owned, executed consistently; basic evidence and metrics exist.</t>
        </is>
      </c>
      <c r="T50" s="3" t="inlineStr">
        <is>
          <t>Measured and periodically tested/audited; integrated with adjacent processes.</t>
        </is>
      </c>
      <c r="U50" s="3" t="inlineStr">
        <is>
          <t>Optimized and automated where practical; stress-tested; benchmarked externally.</t>
        </is>
      </c>
      <c r="V50" s="3" t="inlineStr">
        <is>
          <t>All crisis types</t>
        </is>
      </c>
      <c r="W50" s="3" t="n"/>
      <c r="X50" s="3" t="n"/>
      <c r="Y50" s="3" t="inlineStr">
        <is>
          <t>Use the recommended action generated by the model; validate with domain owner during real assessment.</t>
        </is>
      </c>
      <c r="Z50" s="7" t="n">
        <v>4</v>
      </c>
      <c r="AA50" s="7" t="n">
        <v>5</v>
      </c>
      <c r="AB50" s="7" t="n">
        <v>5</v>
      </c>
      <c r="AD50" t="inlineStr">
        <is>
          <t>Crisis governance</t>
        </is>
      </c>
      <c r="AE50" s="6">
        <f>_DATA_Assessment_Model!AB50</f>
        <v/>
      </c>
      <c r="AF50" s="8">
        <f>_DATA_Assessment_Model!AC50</f>
        <v/>
      </c>
      <c r="AG50" s="9">
        <f>_DATA_Assessment_Model!AD50</f>
        <v/>
      </c>
      <c r="AH50" s="6">
        <f>_DATA_Assessment_Model!AE50</f>
        <v/>
      </c>
      <c r="AI50" s="8">
        <f>_DATA_Assessment_Model!AF50</f>
        <v/>
      </c>
      <c r="AJ50" s="6">
        <f>_DATA_Assessment_Model!AG50</f>
        <v/>
      </c>
      <c r="AK50" s="46" t="n"/>
      <c r="AL50" s="46" t="n"/>
      <c r="AM50" s="247">
        <f>_DATA_Assessment_Model!AJ50</f>
        <v/>
      </c>
      <c r="AN50" s="247">
        <f>_DATA_Assessment_Model!AK50</f>
        <v/>
      </c>
      <c r="AO50" s="247">
        <f>_DATA_Assessment_Model!AL50</f>
        <v/>
      </c>
      <c r="AP50" s="247">
        <f>_DATA_Assessment_Model!AM50</f>
        <v/>
      </c>
      <c r="AQ50" s="247">
        <f>_DATA_Assessment_Model!AN50</f>
        <v/>
      </c>
      <c r="AR50" s="247">
        <f>_DATA_Assessment_Model!AO50</f>
        <v/>
      </c>
      <c r="AS50" s="247">
        <f>_DATA_Assessment_Model!AP50</f>
        <v/>
      </c>
      <c r="AT50" s="247">
        <f>_DATA_Assessment_Model!AQ50</f>
        <v/>
      </c>
      <c r="AU50" s="247">
        <f>_DATA_Assessment_Model!AR50</f>
        <v/>
      </c>
      <c r="AV50" s="5">
        <f>_DATA_Assessment_Model!AS50</f>
        <v/>
      </c>
      <c r="AW50" s="5">
        <f>_DATA_Assessment_Model!AT50</f>
        <v/>
      </c>
      <c r="AY50">
        <f>_DATA_Assessment_Model!AV50</f>
        <v/>
      </c>
    </row>
    <row r="51" ht="69" customHeight="1" s="209">
      <c r="A51" t="inlineStr">
        <is>
          <t>Governance Crisis</t>
        </is>
      </c>
      <c r="B51" t="inlineStr">
        <is>
          <t>Governance Crisis</t>
        </is>
      </c>
      <c r="C51" t="n">
        <v>6</v>
      </c>
      <c r="D51" s="3" t="inlineStr">
        <is>
          <t>GOVE-002</t>
        </is>
      </c>
      <c r="E51" s="3" t="inlineStr">
        <is>
          <t>Crisis governance</t>
        </is>
      </c>
      <c r="F51" s="3" t="inlineStr">
        <is>
          <t>How mature is the organization in managing executive crisis team trained for cross-functional crisis response, including ownership, evidence, metrics, fallback procedures and crisis stress testing?</t>
        </is>
      </c>
      <c r="G51" s="3" t="inlineStr">
        <is>
          <t>This topic affects exposure to All crisis types. It helps identify how disruption may impact operations, people, revenue, systems, legal exposure or recovery time.</t>
        </is>
      </c>
      <c r="H51" s="3" t="inlineStr">
        <is>
          <t>ISO 22301; ISO 22320; ISO 31000; ISO 37000; NIST SP 800-34; BCI Good Practice Guidelines; Bain RAPID</t>
        </is>
      </c>
      <c r="I51" s="3" t="inlineStr">
        <is>
          <t>Policy/SOP; owner/RACI; system report; dashboard; contracts; test records; incident history; interview evidence related to executive crisis team trained for cross-functional crisis response.</t>
        </is>
      </c>
      <c r="J51" s="3" t="n">
        <v>5</v>
      </c>
      <c r="K51" s="85">
        <f>_DATA_Assessment_Model!H51</f>
        <v/>
      </c>
      <c r="L51" s="4">
        <f>_DATA_Assessment_Model!I51</f>
        <v/>
      </c>
      <c r="M51" s="4">
        <f>_DATA_Assessment_Model!J51</f>
        <v/>
      </c>
      <c r="N51" s="4">
        <f>_DATA_Assessment_Model!K51</f>
        <v/>
      </c>
      <c r="O51" s="3">
        <f>_DATA_Assessment_Model!L51</f>
        <v/>
      </c>
      <c r="P51" s="3" t="inlineStr">
        <is>
          <t>Does not exist; no owner, no documentation, no practice.</t>
        </is>
      </c>
      <c r="Q51" s="3" t="inlineStr">
        <is>
          <t>Ad hoc; depends entirely on specific individuals.</t>
        </is>
      </c>
      <c r="R51" s="3" t="inlineStr">
        <is>
          <t>Partially documented or implemented; coverage inconsistent; never tested under stress.</t>
        </is>
      </c>
      <c r="S51" s="3" t="inlineStr">
        <is>
          <t>Documented, owned, executed consistently; basic evidence and metrics exist.</t>
        </is>
      </c>
      <c r="T51" s="3" t="inlineStr">
        <is>
          <t>Measured and periodically tested/audited; integrated with adjacent processes.</t>
        </is>
      </c>
      <c r="U51" s="3" t="inlineStr">
        <is>
          <t>Optimized and automated where practical; stress-tested; benchmarked externally.</t>
        </is>
      </c>
      <c r="V51" s="3" t="inlineStr">
        <is>
          <t>All crisis types</t>
        </is>
      </c>
      <c r="W51" s="3" t="n"/>
      <c r="X51" s="3" t="n"/>
      <c r="Y51" s="3" t="inlineStr">
        <is>
          <t>Use the recommended action generated by the model; validate with domain owner during real assessment.</t>
        </is>
      </c>
      <c r="Z51" s="7" t="n">
        <v>4</v>
      </c>
      <c r="AA51" s="7" t="n">
        <v>5</v>
      </c>
      <c r="AB51" s="7" t="n">
        <v>5</v>
      </c>
      <c r="AD51" t="inlineStr">
        <is>
          <t>Risk and continuity</t>
        </is>
      </c>
      <c r="AE51" s="6">
        <f>_DATA_Assessment_Model!AB51</f>
        <v/>
      </c>
      <c r="AF51" s="8">
        <f>_DATA_Assessment_Model!AC51</f>
        <v/>
      </c>
      <c r="AG51" s="9">
        <f>_DATA_Assessment_Model!AD51</f>
        <v/>
      </c>
      <c r="AH51" s="6">
        <f>_DATA_Assessment_Model!AE51</f>
        <v/>
      </c>
      <c r="AI51" s="8">
        <f>_DATA_Assessment_Model!AF51</f>
        <v/>
      </c>
      <c r="AJ51" s="6">
        <f>_DATA_Assessment_Model!AG51</f>
        <v/>
      </c>
      <c r="AK51" s="46" t="n"/>
      <c r="AL51" s="46" t="n"/>
      <c r="AM51" s="247">
        <f>_DATA_Assessment_Model!AJ51</f>
        <v/>
      </c>
      <c r="AN51" s="247">
        <f>_DATA_Assessment_Model!AK51</f>
        <v/>
      </c>
      <c r="AO51" s="247">
        <f>_DATA_Assessment_Model!AL51</f>
        <v/>
      </c>
      <c r="AP51" s="247">
        <f>_DATA_Assessment_Model!AM51</f>
        <v/>
      </c>
      <c r="AQ51" s="247">
        <f>_DATA_Assessment_Model!AN51</f>
        <v/>
      </c>
      <c r="AR51" s="247">
        <f>_DATA_Assessment_Model!AO51</f>
        <v/>
      </c>
      <c r="AS51" s="247">
        <f>_DATA_Assessment_Model!AP51</f>
        <v/>
      </c>
      <c r="AT51" s="247">
        <f>_DATA_Assessment_Model!AQ51</f>
        <v/>
      </c>
      <c r="AU51" s="247">
        <f>_DATA_Assessment_Model!AR51</f>
        <v/>
      </c>
      <c r="AV51" s="5">
        <f>_DATA_Assessment_Model!AS51</f>
        <v/>
      </c>
      <c r="AW51" s="5">
        <f>_DATA_Assessment_Model!AT51</f>
        <v/>
      </c>
      <c r="AY51">
        <f>_DATA_Assessment_Model!AV51</f>
        <v/>
      </c>
    </row>
    <row r="52" ht="69" customHeight="1" s="209">
      <c r="A52" t="inlineStr">
        <is>
          <t>Governance Crisis</t>
        </is>
      </c>
      <c r="B52" t="inlineStr">
        <is>
          <t>Governance Crisis</t>
        </is>
      </c>
      <c r="C52" t="n">
        <v>7</v>
      </c>
      <c r="D52" s="3" t="inlineStr">
        <is>
          <t>GOVE-003</t>
        </is>
      </c>
      <c r="E52" s="3" t="inlineStr">
        <is>
          <t>Crisis governance</t>
        </is>
      </c>
      <c r="F52" s="3" t="inlineStr">
        <is>
          <t>How mature is the organization in managing clear crisis decision rights for finance, people, operations, IT, legal, safety and communications, including ownership, evidence, metrics, fallback procedures and crisis stress testing?</t>
        </is>
      </c>
      <c r="G52" s="3" t="inlineStr">
        <is>
          <t>This topic affects exposure to All crisis types. It helps identify how disruption may impact operations, people, revenue, systems, legal exposure or recovery time.</t>
        </is>
      </c>
      <c r="H52" s="3" t="inlineStr">
        <is>
          <t>ISO 22301; ISO 22320; ISO 31000; ISO 37000; NIST SP 800-34; BCI Good Practice Guidelines; Bain RAPID</t>
        </is>
      </c>
      <c r="I52" s="3" t="inlineStr">
        <is>
          <t>Policy/SOP; owner/RACI; system report; dashboard; contracts; test records; incident history; interview evidence related to clear crisis decision rights for finance, people, operations, IT, legal, safety and communications.</t>
        </is>
      </c>
      <c r="J52" s="3" t="n">
        <v>5</v>
      </c>
      <c r="K52" s="85">
        <f>_DATA_Assessment_Model!H52</f>
        <v/>
      </c>
      <c r="L52" s="4">
        <f>_DATA_Assessment_Model!I52</f>
        <v/>
      </c>
      <c r="M52" s="4">
        <f>_DATA_Assessment_Model!J52</f>
        <v/>
      </c>
      <c r="N52" s="4">
        <f>_DATA_Assessment_Model!K52</f>
        <v/>
      </c>
      <c r="O52" s="3">
        <f>_DATA_Assessment_Model!L52</f>
        <v/>
      </c>
      <c r="P52" s="3" t="inlineStr">
        <is>
          <t>Does not exist; no owner, no documentation, no practice.</t>
        </is>
      </c>
      <c r="Q52" s="3" t="inlineStr">
        <is>
          <t>Ad hoc; depends entirely on specific individuals.</t>
        </is>
      </c>
      <c r="R52" s="3" t="inlineStr">
        <is>
          <t>Partially documented or implemented; coverage inconsistent; never tested under stress.</t>
        </is>
      </c>
      <c r="S52" s="3" t="inlineStr">
        <is>
          <t>Documented, owned, executed consistently; basic evidence and metrics exist.</t>
        </is>
      </c>
      <c r="T52" s="3" t="inlineStr">
        <is>
          <t>Measured and periodically tested/audited; integrated with adjacent processes.</t>
        </is>
      </c>
      <c r="U52" s="3" t="inlineStr">
        <is>
          <t>Optimized and automated where practical; stress-tested; benchmarked externally.</t>
        </is>
      </c>
      <c r="V52" s="3" t="inlineStr">
        <is>
          <t>All crisis types</t>
        </is>
      </c>
      <c r="W52" s="3" t="n"/>
      <c r="X52" s="3" t="n"/>
      <c r="Y52" s="3" t="inlineStr">
        <is>
          <t>Use the recommended action generated by the model; validate with domain owner during real assessment.</t>
        </is>
      </c>
      <c r="Z52" s="7" t="n">
        <v>4</v>
      </c>
      <c r="AA52" s="7" t="n">
        <v>5</v>
      </c>
      <c r="AB52" s="7" t="n">
        <v>5</v>
      </c>
      <c r="AD52" t="inlineStr">
        <is>
          <t>Incident management</t>
        </is>
      </c>
      <c r="AE52" s="6">
        <f>_DATA_Assessment_Model!AB52</f>
        <v/>
      </c>
      <c r="AF52" s="8">
        <f>_DATA_Assessment_Model!AC52</f>
        <v/>
      </c>
      <c r="AG52" s="9">
        <f>_DATA_Assessment_Model!AD52</f>
        <v/>
      </c>
      <c r="AH52" s="6">
        <f>_DATA_Assessment_Model!AE52</f>
        <v/>
      </c>
      <c r="AI52" s="8">
        <f>_DATA_Assessment_Model!AF52</f>
        <v/>
      </c>
      <c r="AJ52" s="6">
        <f>_DATA_Assessment_Model!AG52</f>
        <v/>
      </c>
      <c r="AK52" s="46" t="n"/>
      <c r="AL52" s="46" t="n"/>
      <c r="AM52" s="247">
        <f>_DATA_Assessment_Model!AJ52</f>
        <v/>
      </c>
      <c r="AN52" s="247">
        <f>_DATA_Assessment_Model!AK52</f>
        <v/>
      </c>
      <c r="AO52" s="247">
        <f>_DATA_Assessment_Model!AL52</f>
        <v/>
      </c>
      <c r="AP52" s="247">
        <f>_DATA_Assessment_Model!AM52</f>
        <v/>
      </c>
      <c r="AQ52" s="247">
        <f>_DATA_Assessment_Model!AN52</f>
        <v/>
      </c>
      <c r="AR52" s="247">
        <f>_DATA_Assessment_Model!AO52</f>
        <v/>
      </c>
      <c r="AS52" s="247">
        <f>_DATA_Assessment_Model!AP52</f>
        <v/>
      </c>
      <c r="AT52" s="247">
        <f>_DATA_Assessment_Model!AQ52</f>
        <v/>
      </c>
      <c r="AU52" s="247">
        <f>_DATA_Assessment_Model!AR52</f>
        <v/>
      </c>
      <c r="AV52" s="5">
        <f>_DATA_Assessment_Model!AS52</f>
        <v/>
      </c>
      <c r="AW52" s="5">
        <f>_DATA_Assessment_Model!AT52</f>
        <v/>
      </c>
      <c r="AY52">
        <f>_DATA_Assessment_Model!AV52</f>
        <v/>
      </c>
    </row>
    <row r="53" ht="69" customHeight="1" s="209">
      <c r="A53" t="inlineStr">
        <is>
          <t>Governance Crisis</t>
        </is>
      </c>
      <c r="B53" t="inlineStr">
        <is>
          <t>Governance Crisis</t>
        </is>
      </c>
      <c r="C53" t="n">
        <v>8</v>
      </c>
      <c r="D53" s="3" t="inlineStr">
        <is>
          <t>GOVE-004</t>
        </is>
      </c>
      <c r="E53" s="3" t="inlineStr">
        <is>
          <t>Crisis governance</t>
        </is>
      </c>
      <c r="F53" s="3" t="inlineStr">
        <is>
          <t>How mature is the organization in managing crisis cadence for situation reports, decisions, action owners, deadlines and follow-up, including ownership, evidence, metrics, fallback procedures and crisis stress testing?</t>
        </is>
      </c>
      <c r="G53" s="3" t="inlineStr">
        <is>
          <t>This topic affects exposure to All crisis types. It helps identify how disruption may impact operations, people, revenue, systems, legal exposure or recovery time.</t>
        </is>
      </c>
      <c r="H53" s="3" t="inlineStr">
        <is>
          <t>ISO 22301; ISO 22320; ISO 31000; ISO 37000; NIST SP 800-34; BCI Good Practice Guidelines; Bain RAPID</t>
        </is>
      </c>
      <c r="I53" s="3" t="inlineStr">
        <is>
          <t>Policy/SOP; owner/RACI; system report; dashboard; contracts; test records; incident history; interview evidence related to crisis cadence for situation reports, decisions, action owners, deadlines and follow-up.</t>
        </is>
      </c>
      <c r="J53" s="3" t="n">
        <v>5</v>
      </c>
      <c r="K53" s="85">
        <f>_DATA_Assessment_Model!H53</f>
        <v/>
      </c>
      <c r="L53" s="4">
        <f>_DATA_Assessment_Model!I53</f>
        <v/>
      </c>
      <c r="M53" s="4">
        <f>_DATA_Assessment_Model!J53</f>
        <v/>
      </c>
      <c r="N53" s="4">
        <f>_DATA_Assessment_Model!K53</f>
        <v/>
      </c>
      <c r="O53" s="3">
        <f>_DATA_Assessment_Model!L53</f>
        <v/>
      </c>
      <c r="P53" s="3" t="inlineStr">
        <is>
          <t>Does not exist; no owner, no documentation, no practice.</t>
        </is>
      </c>
      <c r="Q53" s="3" t="inlineStr">
        <is>
          <t>Ad hoc; depends entirely on specific individuals.</t>
        </is>
      </c>
      <c r="R53" s="3" t="inlineStr">
        <is>
          <t>Partially documented or implemented; coverage inconsistent; never tested under stress.</t>
        </is>
      </c>
      <c r="S53" s="3" t="inlineStr">
        <is>
          <t>Documented, owned, executed consistently; basic evidence and metrics exist.</t>
        </is>
      </c>
      <c r="T53" s="3" t="inlineStr">
        <is>
          <t>Measured and periodically tested/audited; integrated with adjacent processes.</t>
        </is>
      </c>
      <c r="U53" s="3" t="inlineStr">
        <is>
          <t>Optimized and automated where practical; stress-tested; benchmarked externally.</t>
        </is>
      </c>
      <c r="V53" s="3" t="inlineStr">
        <is>
          <t>All crisis types</t>
        </is>
      </c>
      <c r="W53" s="3" t="n"/>
      <c r="X53" s="3" t="n"/>
      <c r="Y53" s="3" t="inlineStr">
        <is>
          <t>Use the recommended action generated by the model; validate with domain owner during real assessment.</t>
        </is>
      </c>
      <c r="Z53" s="7" t="n">
        <v>4</v>
      </c>
      <c r="AA53" s="7" t="n">
        <v>5</v>
      </c>
      <c r="AB53" s="7" t="n">
        <v>5</v>
      </c>
      <c r="AK53" s="46" t="n"/>
      <c r="AL53" s="46" t="n"/>
      <c r="AM53" s="247">
        <f>_DATA_Assessment_Model!AJ53</f>
        <v/>
      </c>
      <c r="AN53" s="247">
        <f>_DATA_Assessment_Model!AK53</f>
        <v/>
      </c>
      <c r="AO53" s="247">
        <f>_DATA_Assessment_Model!AL53</f>
        <v/>
      </c>
      <c r="AP53" s="247">
        <f>_DATA_Assessment_Model!AM53</f>
        <v/>
      </c>
      <c r="AQ53" s="247">
        <f>_DATA_Assessment_Model!AN53</f>
        <v/>
      </c>
      <c r="AR53" s="247">
        <f>_DATA_Assessment_Model!AO53</f>
        <v/>
      </c>
      <c r="AS53" s="247">
        <f>_DATA_Assessment_Model!AP53</f>
        <v/>
      </c>
      <c r="AT53" s="247">
        <f>_DATA_Assessment_Model!AQ53</f>
        <v/>
      </c>
      <c r="AU53" s="247">
        <f>_DATA_Assessment_Model!AR53</f>
        <v/>
      </c>
      <c r="AV53" s="5">
        <f>_DATA_Assessment_Model!AS53</f>
        <v/>
      </c>
      <c r="AW53" s="5">
        <f>_DATA_Assessment_Model!AT53</f>
        <v/>
      </c>
      <c r="AY53">
        <f>_DATA_Assessment_Model!AV53</f>
        <v/>
      </c>
    </row>
    <row r="54" ht="69" customHeight="1" s="209">
      <c r="A54" t="inlineStr">
        <is>
          <t>Governance Crisis</t>
        </is>
      </c>
      <c r="B54" t="inlineStr">
        <is>
          <t>Governance Crisis</t>
        </is>
      </c>
      <c r="C54" t="n">
        <v>9</v>
      </c>
      <c r="D54" s="3" t="inlineStr">
        <is>
          <t>GOVE-005</t>
        </is>
      </c>
      <c r="E54" s="3" t="inlineStr">
        <is>
          <t>Crisis governance</t>
        </is>
      </c>
      <c r="F54" s="3" t="inlineStr">
        <is>
          <t>How mature is the organization in managing board or owner-level oversight of resilience, continuity and enterprise risk, including ownership, evidence, metrics, fallback procedures and crisis stress testing?</t>
        </is>
      </c>
      <c r="G54" s="3" t="inlineStr">
        <is>
          <t>This topic affects exposure to All crisis types. It helps identify how disruption may impact operations, people, revenue, systems, legal exposure or recovery time.</t>
        </is>
      </c>
      <c r="H54" s="3" t="inlineStr">
        <is>
          <t>ISO 22301; ISO 22320; ISO 31000; ISO 37000; NIST SP 800-34; BCI Good Practice Guidelines; Bain RAPID</t>
        </is>
      </c>
      <c r="I54" s="3" t="inlineStr">
        <is>
          <t>Policy/SOP; owner/RACI; system report; dashboard; contracts; test records; incident history; interview evidence related to board or owner-level oversight of resilience, continuity and enterprise risk.</t>
        </is>
      </c>
      <c r="J54" s="3" t="n">
        <v>5</v>
      </c>
      <c r="K54" s="85">
        <f>_DATA_Assessment_Model!H54</f>
        <v/>
      </c>
      <c r="L54" s="4">
        <f>_DATA_Assessment_Model!I54</f>
        <v/>
      </c>
      <c r="M54" s="4">
        <f>_DATA_Assessment_Model!J54</f>
        <v/>
      </c>
      <c r="N54" s="4">
        <f>_DATA_Assessment_Model!K54</f>
        <v/>
      </c>
      <c r="O54" s="3">
        <f>_DATA_Assessment_Model!L54</f>
        <v/>
      </c>
      <c r="P54" s="3" t="inlineStr">
        <is>
          <t>Does not exist; no owner, no documentation, no practice.</t>
        </is>
      </c>
      <c r="Q54" s="3" t="inlineStr">
        <is>
          <t>Ad hoc; depends entirely on specific individuals.</t>
        </is>
      </c>
      <c r="R54" s="3" t="inlineStr">
        <is>
          <t>Partially documented or implemented; coverage inconsistent; never tested under stress.</t>
        </is>
      </c>
      <c r="S54" s="3" t="inlineStr">
        <is>
          <t>Documented, owned, executed consistently; basic evidence and metrics exist.</t>
        </is>
      </c>
      <c r="T54" s="3" t="inlineStr">
        <is>
          <t>Measured and periodically tested/audited; integrated with adjacent processes.</t>
        </is>
      </c>
      <c r="U54" s="3" t="inlineStr">
        <is>
          <t>Optimized and automated where practical; stress-tested; benchmarked externally.</t>
        </is>
      </c>
      <c r="V54" s="3" t="inlineStr">
        <is>
          <t>All crisis types</t>
        </is>
      </c>
      <c r="W54" s="3" t="n"/>
      <c r="X54" s="3" t="n"/>
      <c r="Y54" s="3" t="inlineStr">
        <is>
          <t>Use the recommended action generated by the model; validate with domain owner during real assessment.</t>
        </is>
      </c>
      <c r="Z54" s="7" t="n">
        <v>4</v>
      </c>
      <c r="AA54" s="7" t="n">
        <v>5</v>
      </c>
      <c r="AB54" s="7" t="n">
        <v>5</v>
      </c>
      <c r="AK54" s="46" t="n"/>
      <c r="AL54" s="46" t="n"/>
      <c r="AM54" s="247">
        <f>_DATA_Assessment_Model!AJ54</f>
        <v/>
      </c>
      <c r="AN54" s="247">
        <f>_DATA_Assessment_Model!AK54</f>
        <v/>
      </c>
      <c r="AO54" s="247">
        <f>_DATA_Assessment_Model!AL54</f>
        <v/>
      </c>
      <c r="AP54" s="247">
        <f>_DATA_Assessment_Model!AM54</f>
        <v/>
      </c>
      <c r="AQ54" s="247">
        <f>_DATA_Assessment_Model!AN54</f>
        <v/>
      </c>
      <c r="AR54" s="247">
        <f>_DATA_Assessment_Model!AO54</f>
        <v/>
      </c>
      <c r="AS54" s="247">
        <f>_DATA_Assessment_Model!AP54</f>
        <v/>
      </c>
      <c r="AT54" s="247">
        <f>_DATA_Assessment_Model!AQ54</f>
        <v/>
      </c>
      <c r="AU54" s="247">
        <f>_DATA_Assessment_Model!AR54</f>
        <v/>
      </c>
      <c r="AV54" s="5">
        <f>_DATA_Assessment_Model!AS54</f>
        <v/>
      </c>
      <c r="AW54" s="5">
        <f>_DATA_Assessment_Model!AT54</f>
        <v/>
      </c>
      <c r="AY54">
        <f>_DATA_Assessment_Model!AV54</f>
        <v/>
      </c>
    </row>
    <row r="55" ht="82.8" customHeight="1" s="209">
      <c r="A55" t="inlineStr">
        <is>
          <t>Governance Crisis</t>
        </is>
      </c>
      <c r="B55" t="inlineStr">
        <is>
          <t>Governance Crisis</t>
        </is>
      </c>
      <c r="C55" t="n">
        <v>10</v>
      </c>
      <c r="D55" s="3" t="inlineStr">
        <is>
          <t>GOVE-006</t>
        </is>
      </c>
      <c r="E55" s="3" t="inlineStr">
        <is>
          <t>Crisis governance</t>
        </is>
      </c>
      <c r="F55" s="3" t="inlineStr">
        <is>
          <t>How mature is the organization in managing emergency spending authority and budget release rules, including ownership, evidence, metrics, fallback procedures and crisis stress testing?</t>
        </is>
      </c>
      <c r="G55" s="3" t="inlineStr">
        <is>
          <t>This topic affects exposure to All crisis types. It helps identify how disruption may impact operations, people, revenue, systems, legal exposure or recovery time.</t>
        </is>
      </c>
      <c r="H55" s="3" t="inlineStr">
        <is>
          <t>ISO 22301; ISO 22320; ISO 31000; ISO 37000; NIST SP 800-34; BCI Good Practice Guidelines; Bain RAPID</t>
        </is>
      </c>
      <c r="I55" s="3" t="inlineStr">
        <is>
          <t>Policy/SOP; owner/RACI; system report; dashboard; contracts; test records; incident history; interview evidence related to emergency spending authority and budget release rules.</t>
        </is>
      </c>
      <c r="J55" s="3" t="n">
        <v>3</v>
      </c>
      <c r="K55" s="85">
        <f>_DATA_Assessment_Model!H55</f>
        <v/>
      </c>
      <c r="L55" s="4">
        <f>_DATA_Assessment_Model!I55</f>
        <v/>
      </c>
      <c r="M55" s="4">
        <f>_DATA_Assessment_Model!J55</f>
        <v/>
      </c>
      <c r="N55" s="4">
        <f>_DATA_Assessment_Model!K55</f>
        <v/>
      </c>
      <c r="O55" s="3">
        <f>_DATA_Assessment_Model!L55</f>
        <v/>
      </c>
      <c r="P55" s="3" t="inlineStr">
        <is>
          <t>No reliable evidence that emergency spending authority and budget release rules is defined, owned or managed.</t>
        </is>
      </c>
      <c r="Q55" s="3" t="inlineStr">
        <is>
          <t>Emergency spending authority and budget release rules is handled informally and depends on individual knowledge or heroic effort.</t>
        </is>
      </c>
      <c r="R55" s="3" t="inlineStr">
        <is>
          <t>Emergency spending authority and budget release rules is partially documented or implemented, but coverage is inconsistent and not crisis-tested.</t>
        </is>
      </c>
      <c r="S55" s="3" t="inlineStr">
        <is>
          <t>Emergency spending authority and budget release rules is documented, owned, used in normal operations and supported by basic evidence or metrics.</t>
        </is>
      </c>
      <c r="T55" s="3" t="inlineStr">
        <is>
          <t>Emergency spending authority and budget release rules is measured, periodically reviewed, integrated with related processes and tested against relevant disruption scenarios.</t>
        </is>
      </c>
      <c r="U55" s="3" t="inlineStr">
        <is>
          <t>Emergency spending authority and budget release rules is optimized, continuously improved, automated where practical and demonstrably supports crisis resilience.</t>
        </is>
      </c>
      <c r="V55" s="3" t="inlineStr">
        <is>
          <t>All crisis types</t>
        </is>
      </c>
      <c r="W55" s="3" t="n"/>
      <c r="X55" s="3" t="n"/>
      <c r="Y55" s="3" t="inlineStr">
        <is>
          <t>Use the recommended action generated by the model; validate with domain owner during real assessment.</t>
        </is>
      </c>
      <c r="Z55" s="7" t="n">
        <v>4</v>
      </c>
      <c r="AA55" s="7" t="n">
        <v>5</v>
      </c>
      <c r="AB55" s="7" t="n">
        <v>5</v>
      </c>
      <c r="AK55" s="46" t="n"/>
      <c r="AL55" s="46" t="n"/>
      <c r="AM55" s="247">
        <f>_DATA_Assessment_Model!AJ55</f>
        <v/>
      </c>
      <c r="AN55" s="247">
        <f>_DATA_Assessment_Model!AK55</f>
        <v/>
      </c>
      <c r="AO55" s="247">
        <f>_DATA_Assessment_Model!AL55</f>
        <v/>
      </c>
      <c r="AP55" s="247">
        <f>_DATA_Assessment_Model!AM55</f>
        <v/>
      </c>
      <c r="AQ55" s="247">
        <f>_DATA_Assessment_Model!AN55</f>
        <v/>
      </c>
      <c r="AR55" s="247">
        <f>_DATA_Assessment_Model!AO55</f>
        <v/>
      </c>
      <c r="AS55" s="247">
        <f>_DATA_Assessment_Model!AP55</f>
        <v/>
      </c>
      <c r="AT55" s="247">
        <f>_DATA_Assessment_Model!AQ55</f>
        <v/>
      </c>
      <c r="AU55" s="247">
        <f>_DATA_Assessment_Model!AR55</f>
        <v/>
      </c>
      <c r="AV55" s="5">
        <f>_DATA_Assessment_Model!AS55</f>
        <v/>
      </c>
      <c r="AW55" s="5">
        <f>_DATA_Assessment_Model!AT55</f>
        <v/>
      </c>
      <c r="AY55">
        <f>_DATA_Assessment_Model!AV55</f>
        <v/>
      </c>
    </row>
    <row r="56" ht="69" customHeight="1" s="209">
      <c r="A56" t="inlineStr">
        <is>
          <t>Governance Crisis</t>
        </is>
      </c>
      <c r="B56" t="inlineStr">
        <is>
          <t>Governance Crisis</t>
        </is>
      </c>
      <c r="C56" t="n">
        <v>11</v>
      </c>
      <c r="D56" s="3" t="inlineStr">
        <is>
          <t>GOVE-007</t>
        </is>
      </c>
      <c r="E56" s="3" t="inlineStr">
        <is>
          <t>Risk and continuity</t>
        </is>
      </c>
      <c r="F56" s="3" t="inlineStr">
        <is>
          <t>How mature is the organization in managing enterprise risk register with owners, likelihood, impact, controls, triggers and residual risk, including ownership, evidence, metrics, fallback procedures and crisis stress testing?</t>
        </is>
      </c>
      <c r="G56" s="3" t="inlineStr">
        <is>
          <t>This topic affects exposure to All crisis types. It helps identify how disruption may impact operations, people, revenue, systems, legal exposure or recovery time.</t>
        </is>
      </c>
      <c r="H56" s="3" t="inlineStr">
        <is>
          <t>ISO 22301; ISO 22320; ISO 31000; ISO 37000; NIST SP 800-34; BCI Good Practice Guidelines; Bain RAPID</t>
        </is>
      </c>
      <c r="I56" s="3" t="inlineStr">
        <is>
          <t>Policy/SOP; owner/RACI; system report; dashboard; contracts; test records; incident history; interview evidence related to enterprise risk register with owners, likelihood, impact, controls, triggers and residual risk.</t>
        </is>
      </c>
      <c r="J56" s="3" t="n">
        <v>5</v>
      </c>
      <c r="K56" s="85">
        <f>_DATA_Assessment_Model!H56</f>
        <v/>
      </c>
      <c r="L56" s="4">
        <f>_DATA_Assessment_Model!I56</f>
        <v/>
      </c>
      <c r="M56" s="4">
        <f>_DATA_Assessment_Model!J56</f>
        <v/>
      </c>
      <c r="N56" s="4">
        <f>_DATA_Assessment_Model!K56</f>
        <v/>
      </c>
      <c r="O56" s="3">
        <f>_DATA_Assessment_Model!L56</f>
        <v/>
      </c>
      <c r="P56" s="3" t="inlineStr">
        <is>
          <t>No inventory/register exists.</t>
        </is>
      </c>
      <c r="Q56" s="3" t="inlineStr">
        <is>
          <t>Partial lists live in individuals' heads or personal files.</t>
        </is>
      </c>
      <c r="R56" s="3" t="inlineStr">
        <is>
          <t>A register exists but is incomplete or outdated (&gt;1 year) and has no owner.</t>
        </is>
      </c>
      <c r="S56" s="3" t="inlineStr">
        <is>
          <t>Owned, documented, updated on a defined schedule, covers the main scope.</t>
        </is>
      </c>
      <c r="T56" s="3" t="inlineStr">
        <is>
          <t>Complete and periodically reviewed; integrated with related processes; completeness measured.</t>
        </is>
      </c>
      <c r="U56" s="3" t="inlineStr">
        <is>
          <t>Maintained automatically or synced with systems; drives decisions; audited.</t>
        </is>
      </c>
      <c r="V56" s="3" t="inlineStr">
        <is>
          <t>All crisis types</t>
        </is>
      </c>
      <c r="W56" s="3" t="n"/>
      <c r="X56" s="3" t="n"/>
      <c r="Y56" s="3" t="inlineStr">
        <is>
          <t>Use the recommended action generated by the model; validate with domain owner during real assessment.</t>
        </is>
      </c>
      <c r="Z56" s="7" t="n">
        <v>4</v>
      </c>
      <c r="AA56" s="7" t="n">
        <v>5</v>
      </c>
      <c r="AB56" s="7" t="n">
        <v>5</v>
      </c>
      <c r="AK56" s="46" t="n"/>
      <c r="AL56" s="46" t="n"/>
      <c r="AM56" s="247">
        <f>_DATA_Assessment_Model!AJ56</f>
        <v/>
      </c>
      <c r="AN56" s="247">
        <f>_DATA_Assessment_Model!AK56</f>
        <v/>
      </c>
      <c r="AO56" s="247">
        <f>_DATA_Assessment_Model!AL56</f>
        <v/>
      </c>
      <c r="AP56" s="247">
        <f>_DATA_Assessment_Model!AM56</f>
        <v/>
      </c>
      <c r="AQ56" s="247">
        <f>_DATA_Assessment_Model!AN56</f>
        <v/>
      </c>
      <c r="AR56" s="247">
        <f>_DATA_Assessment_Model!AO56</f>
        <v/>
      </c>
      <c r="AS56" s="247">
        <f>_DATA_Assessment_Model!AP56</f>
        <v/>
      </c>
      <c r="AT56" s="247">
        <f>_DATA_Assessment_Model!AQ56</f>
        <v/>
      </c>
      <c r="AU56" s="247">
        <f>_DATA_Assessment_Model!AR56</f>
        <v/>
      </c>
      <c r="AV56" s="5">
        <f>_DATA_Assessment_Model!AS56</f>
        <v/>
      </c>
      <c r="AW56" s="5">
        <f>_DATA_Assessment_Model!AT56</f>
        <v/>
      </c>
      <c r="AY56">
        <f>_DATA_Assessment_Model!AV56</f>
        <v/>
      </c>
    </row>
    <row r="57" ht="69" customHeight="1" s="209">
      <c r="A57" t="inlineStr">
        <is>
          <t>Governance Crisis</t>
        </is>
      </c>
      <c r="B57" t="inlineStr">
        <is>
          <t>Governance Crisis</t>
        </is>
      </c>
      <c r="C57" t="n">
        <v>12</v>
      </c>
      <c r="D57" s="3" t="inlineStr">
        <is>
          <t>GOVE-008</t>
        </is>
      </c>
      <c r="E57" s="3" t="inlineStr">
        <is>
          <t>Risk and continuity</t>
        </is>
      </c>
      <c r="F57" s="3" t="inlineStr">
        <is>
          <t>How mature is the organization in managing risk appetite for safety, cash, cyber, delivery, compliance, reputation and operational continuity, including ownership, evidence, metrics, fallback procedures and crisis stress testing?</t>
        </is>
      </c>
      <c r="G57" s="3" t="inlineStr">
        <is>
          <t>This topic affects exposure to All crisis types. It helps identify how disruption may impact operations, people, revenue, systems, legal exposure or recovery time.</t>
        </is>
      </c>
      <c r="H57" s="3" t="inlineStr">
        <is>
          <t>ISO 22301; ISO 22320; ISO 31000; ISO 37000; NIST SP 800-34; BCI Good Practice Guidelines; Bain RAPID</t>
        </is>
      </c>
      <c r="I57" s="3" t="inlineStr">
        <is>
          <t>Policy/SOP; owner/RACI; system report; dashboard; contracts; test records; incident history; interview evidence related to risk appetite for safety, cash, cyber, delivery, compliance, reputation and operational continuity.</t>
        </is>
      </c>
      <c r="J57" s="3" t="n">
        <v>5</v>
      </c>
      <c r="K57" s="85">
        <f>_DATA_Assessment_Model!H57</f>
        <v/>
      </c>
      <c r="L57" s="4">
        <f>_DATA_Assessment_Model!I57</f>
        <v/>
      </c>
      <c r="M57" s="4">
        <f>_DATA_Assessment_Model!J57</f>
        <v/>
      </c>
      <c r="N57" s="4">
        <f>_DATA_Assessment_Model!K57</f>
        <v/>
      </c>
      <c r="O57" s="3">
        <f>_DATA_Assessment_Model!L57</f>
        <v/>
      </c>
      <c r="P57" s="3" t="inlineStr">
        <is>
          <t>Does not exist; no owner, no documentation, no practice.</t>
        </is>
      </c>
      <c r="Q57" s="3" t="inlineStr">
        <is>
          <t>Ad hoc; depends entirely on specific individuals.</t>
        </is>
      </c>
      <c r="R57" s="3" t="inlineStr">
        <is>
          <t>Partially documented or implemented; coverage inconsistent; never tested under stress.</t>
        </is>
      </c>
      <c r="S57" s="3" t="inlineStr">
        <is>
          <t>Documented, owned, executed consistently; basic evidence and metrics exist.</t>
        </is>
      </c>
      <c r="T57" s="3" t="inlineStr">
        <is>
          <t>Measured and periodically tested/audited; integrated with adjacent processes.</t>
        </is>
      </c>
      <c r="U57" s="3" t="inlineStr">
        <is>
          <t>Optimized and automated where practical; stress-tested; benchmarked externally.</t>
        </is>
      </c>
      <c r="V57" s="3" t="inlineStr">
        <is>
          <t>All crisis types</t>
        </is>
      </c>
      <c r="W57" s="3" t="n"/>
      <c r="X57" s="3" t="n"/>
      <c r="Y57" s="3" t="inlineStr">
        <is>
          <t>Use the recommended action generated by the model; validate with domain owner during real assessment.</t>
        </is>
      </c>
      <c r="Z57" s="7" t="n">
        <v>5</v>
      </c>
      <c r="AA57" s="7" t="n">
        <v>5</v>
      </c>
      <c r="AB57" s="7" t="n">
        <v>5</v>
      </c>
      <c r="AK57" s="46" t="n"/>
      <c r="AL57" s="46" t="n"/>
      <c r="AM57" s="247">
        <f>_DATA_Assessment_Model!AJ57</f>
        <v/>
      </c>
      <c r="AN57" s="247">
        <f>_DATA_Assessment_Model!AK57</f>
        <v/>
      </c>
      <c r="AO57" s="247">
        <f>_DATA_Assessment_Model!AL57</f>
        <v/>
      </c>
      <c r="AP57" s="247">
        <f>_DATA_Assessment_Model!AM57</f>
        <v/>
      </c>
      <c r="AQ57" s="247">
        <f>_DATA_Assessment_Model!AN57</f>
        <v/>
      </c>
      <c r="AR57" s="247">
        <f>_DATA_Assessment_Model!AO57</f>
        <v/>
      </c>
      <c r="AS57" s="247">
        <f>_DATA_Assessment_Model!AP57</f>
        <v/>
      </c>
      <c r="AT57" s="247">
        <f>_DATA_Assessment_Model!AQ57</f>
        <v/>
      </c>
      <c r="AU57" s="247">
        <f>_DATA_Assessment_Model!AR57</f>
        <v/>
      </c>
      <c r="AV57" s="5">
        <f>_DATA_Assessment_Model!AS57</f>
        <v/>
      </c>
      <c r="AW57" s="5">
        <f>_DATA_Assessment_Model!AT57</f>
        <v/>
      </c>
      <c r="AY57">
        <f>_DATA_Assessment_Model!AV57</f>
        <v/>
      </c>
    </row>
    <row r="58" ht="69" customHeight="1" s="209">
      <c r="A58" t="inlineStr">
        <is>
          <t>Governance Crisis</t>
        </is>
      </c>
      <c r="B58" t="inlineStr">
        <is>
          <t>Governance Crisis</t>
        </is>
      </c>
      <c r="C58" t="n">
        <v>13</v>
      </c>
      <c r="D58" s="3" t="inlineStr">
        <is>
          <t>GOVE-009</t>
        </is>
      </c>
      <c r="E58" s="3" t="inlineStr">
        <is>
          <t>Risk and continuity</t>
        </is>
      </c>
      <c r="F58" s="3" t="inlineStr">
        <is>
          <t>How mature is the organization in managing early warning indicators for major crisis types and objective crisis activation triggers, including ownership, evidence, metrics, fallback procedures and crisis stress testing?</t>
        </is>
      </c>
      <c r="G58" s="3" t="inlineStr">
        <is>
          <t>This topic affects exposure to All crisis types. It helps identify how disruption may impact operations, people, revenue, systems, legal exposure or recovery time.</t>
        </is>
      </c>
      <c r="H58" s="3" t="inlineStr">
        <is>
          <t>ISO 22301; ISO 22320; ISO 31000; ISO 37000; NIST SP 800-34; BCI Good Practice Guidelines; Bain RAPID</t>
        </is>
      </c>
      <c r="I58" s="3" t="inlineStr">
        <is>
          <t>Policy/SOP; owner/RACI; system report; dashboard; contracts; test records; incident history; interview evidence related to early warning indicators for major crisis types and objective crisis activation triggers.</t>
        </is>
      </c>
      <c r="J58" s="3" t="n">
        <v>5</v>
      </c>
      <c r="K58" s="85">
        <f>_DATA_Assessment_Model!H58</f>
        <v/>
      </c>
      <c r="L58" s="4">
        <f>_DATA_Assessment_Model!I58</f>
        <v/>
      </c>
      <c r="M58" s="4">
        <f>_DATA_Assessment_Model!J58</f>
        <v/>
      </c>
      <c r="N58" s="4">
        <f>_DATA_Assessment_Model!K58</f>
        <v/>
      </c>
      <c r="O58" s="3">
        <f>_DATA_Assessment_Model!L58</f>
        <v/>
      </c>
      <c r="P58" s="3" t="inlineStr">
        <is>
          <t>Nothing is monitored or measured.</t>
        </is>
      </c>
      <c r="Q58" s="3" t="inlineStr">
        <is>
          <t>Occasional manual checks by individuals.</t>
        </is>
      </c>
      <c r="R58" s="3" t="inlineStr">
        <is>
          <t>Some metrics exist but are not reviewed regularly and trigger no action.</t>
        </is>
      </c>
      <c r="S58" s="3" t="inlineStr">
        <is>
          <t>Defined metrics with an owner, reviewed on a set cadence.</t>
        </is>
      </c>
      <c r="T58" s="3" t="inlineStr">
        <is>
          <t>Thresholds and alerts in place; deviations trigger documented action; trends analyzed.</t>
        </is>
      </c>
      <c r="U58" s="3" t="inlineStr">
        <is>
          <t>Automated monitoring with leading indicators, integrated into management decisions.</t>
        </is>
      </c>
      <c r="V58" s="3" t="inlineStr">
        <is>
          <t>All crisis types</t>
        </is>
      </c>
      <c r="W58" s="3" t="n"/>
      <c r="X58" s="3" t="n"/>
      <c r="Y58" s="3" t="inlineStr">
        <is>
          <t>Use the recommended action generated by the model; validate with domain owner during real assessment.</t>
        </is>
      </c>
      <c r="Z58" s="7" t="n">
        <v>4</v>
      </c>
      <c r="AA58" s="7" t="n">
        <v>5</v>
      </c>
      <c r="AB58" s="7" t="n">
        <v>5</v>
      </c>
      <c r="AK58" s="46" t="n"/>
      <c r="AL58" s="46" t="n"/>
      <c r="AM58" s="247">
        <f>_DATA_Assessment_Model!AJ58</f>
        <v/>
      </c>
      <c r="AN58" s="247">
        <f>_DATA_Assessment_Model!AK58</f>
        <v/>
      </c>
      <c r="AO58" s="247">
        <f>_DATA_Assessment_Model!AL58</f>
        <v/>
      </c>
      <c r="AP58" s="247">
        <f>_DATA_Assessment_Model!AM58</f>
        <v/>
      </c>
      <c r="AQ58" s="247">
        <f>_DATA_Assessment_Model!AN58</f>
        <v/>
      </c>
      <c r="AR58" s="247">
        <f>_DATA_Assessment_Model!AO58</f>
        <v/>
      </c>
      <c r="AS58" s="247">
        <f>_DATA_Assessment_Model!AP58</f>
        <v/>
      </c>
      <c r="AT58" s="247">
        <f>_DATA_Assessment_Model!AQ58</f>
        <v/>
      </c>
      <c r="AU58" s="247">
        <f>_DATA_Assessment_Model!AR58</f>
        <v/>
      </c>
      <c r="AV58" s="5">
        <f>_DATA_Assessment_Model!AS58</f>
        <v/>
      </c>
      <c r="AW58" s="5">
        <f>_DATA_Assessment_Model!AT58</f>
        <v/>
      </c>
      <c r="AY58">
        <f>_DATA_Assessment_Model!AV58</f>
        <v/>
      </c>
    </row>
    <row r="59" ht="69" customHeight="1" s="209">
      <c r="A59" t="inlineStr">
        <is>
          <t>Governance Crisis</t>
        </is>
      </c>
      <c r="B59" t="inlineStr">
        <is>
          <t>Governance Crisis</t>
        </is>
      </c>
      <c r="C59" t="n">
        <v>14</v>
      </c>
      <c r="D59" s="3" t="inlineStr">
        <is>
          <t>GOVE-010</t>
        </is>
      </c>
      <c r="E59" s="3" t="inlineStr">
        <is>
          <t>Risk and continuity</t>
        </is>
      </c>
      <c r="F59" s="3" t="inlineStr">
        <is>
          <t>How mature is the organization in managing business impact analysis across functions, sites, systems, people and suppliers, including ownership, evidence, metrics, fallback procedures and crisis stress testing?</t>
        </is>
      </c>
      <c r="G59" s="3" t="inlineStr">
        <is>
          <t>This topic affects exposure to All crisis types. It helps identify how disruption may impact operations, people, revenue, systems, legal exposure or recovery time.</t>
        </is>
      </c>
      <c r="H59" s="3" t="inlineStr">
        <is>
          <t>ISO 22301; ISO 22320; ISO 31000; ISO 37000; NIST SP 800-34; BCI Good Practice Guidelines; Bain RAPID</t>
        </is>
      </c>
      <c r="I59" s="3" t="inlineStr">
        <is>
          <t>Policy/SOP; owner/RACI; system report; dashboard; contracts; test records; incident history; interview evidence related to business impact analysis across functions, sites, systems, people and suppliers.</t>
        </is>
      </c>
      <c r="J59" s="3" t="n">
        <v>5</v>
      </c>
      <c r="K59" s="85">
        <f>_DATA_Assessment_Model!H59</f>
        <v/>
      </c>
      <c r="L59" s="4">
        <f>_DATA_Assessment_Model!I59</f>
        <v/>
      </c>
      <c r="M59" s="4">
        <f>_DATA_Assessment_Model!J59</f>
        <v/>
      </c>
      <c r="N59" s="4">
        <f>_DATA_Assessment_Model!K59</f>
        <v/>
      </c>
      <c r="O59" s="3">
        <f>_DATA_Assessment_Model!L59</f>
        <v/>
      </c>
      <c r="P59" s="3" t="inlineStr">
        <is>
          <t>Does not exist; no owner, no documentation, no practice.</t>
        </is>
      </c>
      <c r="Q59" s="3" t="inlineStr">
        <is>
          <t>Ad hoc; depends entirely on specific individuals.</t>
        </is>
      </c>
      <c r="R59" s="3" t="inlineStr">
        <is>
          <t>Partially documented or implemented; coverage inconsistent; never tested under stress.</t>
        </is>
      </c>
      <c r="S59" s="3" t="inlineStr">
        <is>
          <t>Documented, owned, executed consistently; basic evidence and metrics exist.</t>
        </is>
      </c>
      <c r="T59" s="3" t="inlineStr">
        <is>
          <t>Measured and periodically tested/audited; integrated with adjacent processes.</t>
        </is>
      </c>
      <c r="U59" s="3" t="inlineStr">
        <is>
          <t>Optimized and automated where practical; stress-tested; benchmarked externally.</t>
        </is>
      </c>
      <c r="V59" s="3" t="inlineStr">
        <is>
          <t>All crisis types</t>
        </is>
      </c>
      <c r="W59" s="3" t="n"/>
      <c r="X59" s="3" t="n"/>
      <c r="Y59" s="3" t="inlineStr">
        <is>
          <t>Use the recommended action generated by the model; validate with domain owner during real assessment.</t>
        </is>
      </c>
      <c r="Z59" s="7" t="n">
        <v>4</v>
      </c>
      <c r="AA59" s="7" t="n">
        <v>5</v>
      </c>
      <c r="AB59" s="7" t="n">
        <v>5</v>
      </c>
      <c r="AK59" s="46" t="n"/>
      <c r="AL59" s="46" t="n"/>
      <c r="AM59" s="247">
        <f>_DATA_Assessment_Model!AJ59</f>
        <v/>
      </c>
      <c r="AN59" s="247">
        <f>_DATA_Assessment_Model!AK59</f>
        <v/>
      </c>
      <c r="AO59" s="247">
        <f>_DATA_Assessment_Model!AL59</f>
        <v/>
      </c>
      <c r="AP59" s="247">
        <f>_DATA_Assessment_Model!AM59</f>
        <v/>
      </c>
      <c r="AQ59" s="247">
        <f>_DATA_Assessment_Model!AN59</f>
        <v/>
      </c>
      <c r="AR59" s="247">
        <f>_DATA_Assessment_Model!AO59</f>
        <v/>
      </c>
      <c r="AS59" s="247">
        <f>_DATA_Assessment_Model!AP59</f>
        <v/>
      </c>
      <c r="AT59" s="247">
        <f>_DATA_Assessment_Model!AQ59</f>
        <v/>
      </c>
      <c r="AU59" s="247">
        <f>_DATA_Assessment_Model!AR59</f>
        <v/>
      </c>
      <c r="AV59" s="5">
        <f>_DATA_Assessment_Model!AS59</f>
        <v/>
      </c>
      <c r="AW59" s="5">
        <f>_DATA_Assessment_Model!AT59</f>
        <v/>
      </c>
      <c r="AY59">
        <f>_DATA_Assessment_Model!AV59</f>
        <v/>
      </c>
    </row>
    <row r="60" ht="82.8" customHeight="1" s="209">
      <c r="A60" t="inlineStr">
        <is>
          <t>Governance Crisis</t>
        </is>
      </c>
      <c r="B60" t="inlineStr">
        <is>
          <t>Governance Crisis</t>
        </is>
      </c>
      <c r="C60" t="n">
        <v>15</v>
      </c>
      <c r="D60" s="3" t="inlineStr">
        <is>
          <t>GOVE-011</t>
        </is>
      </c>
      <c r="E60" s="3" t="inlineStr">
        <is>
          <t>Risk and continuity</t>
        </is>
      </c>
      <c r="F60" s="3" t="inlineStr">
        <is>
          <t>How mature is the organization in managing business continuity plans covering critical processes, people, systems, sites, suppliers and communication, including ownership, evidence, metrics, fallback procedures and crisis stress testing?</t>
        </is>
      </c>
      <c r="G60" s="3" t="inlineStr">
        <is>
          <t>This topic affects exposure to All crisis types. It helps identify how disruption may impact operations, people, revenue, systems, legal exposure or recovery time.</t>
        </is>
      </c>
      <c r="H60" s="3" t="inlineStr">
        <is>
          <t>ISO 22301; ISO 22320; ISO 31000; ISO 37000; NIST SP 800-34; BCI Good Practice Guidelines; Bain RAPID</t>
        </is>
      </c>
      <c r="I60" s="3" t="inlineStr">
        <is>
          <t>Policy/SOP; owner/RACI; system report; dashboard; contracts; test records; incident history; interview evidence related to business continuity plans covering critical processes, people, systems, sites, suppliers and communication.</t>
        </is>
      </c>
      <c r="J60" s="3" t="n">
        <v>5</v>
      </c>
      <c r="K60" s="85">
        <f>_DATA_Assessment_Model!H60</f>
        <v/>
      </c>
      <c r="L60" s="4">
        <f>_DATA_Assessment_Model!I60</f>
        <v/>
      </c>
      <c r="M60" s="4">
        <f>_DATA_Assessment_Model!J60</f>
        <v/>
      </c>
      <c r="N60" s="4">
        <f>_DATA_Assessment_Model!K60</f>
        <v/>
      </c>
      <c r="O60" s="3">
        <f>_DATA_Assessment_Model!L60</f>
        <v/>
      </c>
      <c r="P60" s="3" t="inlineStr">
        <is>
          <t>No plan or procedure exists.</t>
        </is>
      </c>
      <c r="Q60" s="3" t="inlineStr">
        <is>
          <t>Knowledge lives with individuals; nothing usable is written down.</t>
        </is>
      </c>
      <c r="R60" s="3" t="inlineStr">
        <is>
          <t>Drafted but outdated, not approved, or unknown to the people who must use it.</t>
        </is>
      </c>
      <c r="S60" s="3" t="inlineStr">
        <is>
          <t>Approved and current; owners assigned; affected staff know it exists and where to find it.</t>
        </is>
      </c>
      <c r="T60" s="3" t="inlineStr">
        <is>
          <t>Tested against realistic scenarios; updated after each test or real incident.</t>
        </is>
      </c>
      <c r="U60" s="3" t="inlineStr">
        <is>
          <t>Exercised regularly including external parties; readiness measured; continuously improved.</t>
        </is>
      </c>
      <c r="V60" s="3" t="inlineStr">
        <is>
          <t>All crisis types</t>
        </is>
      </c>
      <c r="W60" s="3" t="n"/>
      <c r="X60" s="3" t="n"/>
      <c r="Y60" s="3" t="inlineStr">
        <is>
          <t>Use the recommended action generated by the model; validate with domain owner during real assessment.</t>
        </is>
      </c>
      <c r="Z60" s="7" t="n">
        <v>4</v>
      </c>
      <c r="AA60" s="7" t="n">
        <v>5</v>
      </c>
      <c r="AB60" s="7" t="n">
        <v>5</v>
      </c>
      <c r="AK60" s="46" t="n"/>
      <c r="AL60" s="46" t="n"/>
      <c r="AM60" s="247">
        <f>_DATA_Assessment_Model!AJ60</f>
        <v/>
      </c>
      <c r="AN60" s="247">
        <f>_DATA_Assessment_Model!AK60</f>
        <v/>
      </c>
      <c r="AO60" s="247">
        <f>_DATA_Assessment_Model!AL60</f>
        <v/>
      </c>
      <c r="AP60" s="247">
        <f>_DATA_Assessment_Model!AM60</f>
        <v/>
      </c>
      <c r="AQ60" s="247">
        <f>_DATA_Assessment_Model!AN60</f>
        <v/>
      </c>
      <c r="AR60" s="247">
        <f>_DATA_Assessment_Model!AO60</f>
        <v/>
      </c>
      <c r="AS60" s="247">
        <f>_DATA_Assessment_Model!AP60</f>
        <v/>
      </c>
      <c r="AT60" s="247">
        <f>_DATA_Assessment_Model!AQ60</f>
        <v/>
      </c>
      <c r="AU60" s="247">
        <f>_DATA_Assessment_Model!AR60</f>
        <v/>
      </c>
      <c r="AV60" s="5">
        <f>_DATA_Assessment_Model!AS60</f>
        <v/>
      </c>
      <c r="AW60" s="5">
        <f>_DATA_Assessment_Model!AT60</f>
        <v/>
      </c>
      <c r="AY60">
        <f>_DATA_Assessment_Model!AV60</f>
        <v/>
      </c>
    </row>
    <row r="61" ht="82.8" customHeight="1" s="209">
      <c r="A61" t="inlineStr">
        <is>
          <t>Governance Crisis</t>
        </is>
      </c>
      <c r="B61" t="inlineStr">
        <is>
          <t>Governance Crisis</t>
        </is>
      </c>
      <c r="C61" t="n">
        <v>16</v>
      </c>
      <c r="D61" s="3" t="inlineStr">
        <is>
          <t>GOVE-012</t>
        </is>
      </c>
      <c r="E61" s="3" t="inlineStr">
        <is>
          <t>Risk and continuity</t>
        </is>
      </c>
      <c r="F61" s="3" t="inlineStr">
        <is>
          <t>How mature is the organization in managing scenario library covering cyberattack, war/security, site loss, supplier disruption, cloud outage, pandemic, demand shock and liquidity crisis, including ownership, evidence, metrics, fallback procedures and crisis stress testing?</t>
        </is>
      </c>
      <c r="G61" s="3" t="inlineStr">
        <is>
          <t>This topic affects exposure to All crisis types. It helps identify how disruption may impact operations, people, revenue, systems, legal exposure or recovery time.</t>
        </is>
      </c>
      <c r="H61" s="3" t="inlineStr">
        <is>
          <t>ISO 22301; ISO 22320; ISO 31000; ISO 37000; NIST SP 800-34; BCI Good Practice Guidelines; Bain RAPID</t>
        </is>
      </c>
      <c r="I61" s="3" t="inlineStr">
        <is>
          <t>Policy/SOP; owner/RACI; system report; dashboard; contracts; test records; incident history; interview evidence related to scenario library covering cyberattack, war/security, site loss, supplier disruption, cloud outage, pandemic, demand shock and liquidity crisis.</t>
        </is>
      </c>
      <c r="J61" s="3" t="n">
        <v>5</v>
      </c>
      <c r="K61" s="85">
        <f>_DATA_Assessment_Model!H61</f>
        <v/>
      </c>
      <c r="L61" s="4">
        <f>_DATA_Assessment_Model!I61</f>
        <v/>
      </c>
      <c r="M61" s="4">
        <f>_DATA_Assessment_Model!J61</f>
        <v/>
      </c>
      <c r="N61" s="4">
        <f>_DATA_Assessment_Model!K61</f>
        <v/>
      </c>
      <c r="O61" s="3">
        <f>_DATA_Assessment_Model!L61</f>
        <v/>
      </c>
      <c r="P61" s="3" t="inlineStr">
        <is>
          <t>Does not exist; no owner, no documentation, no practice.</t>
        </is>
      </c>
      <c r="Q61" s="3" t="inlineStr">
        <is>
          <t>Ad hoc; depends entirely on specific individuals.</t>
        </is>
      </c>
      <c r="R61" s="3" t="inlineStr">
        <is>
          <t>Partially documented or implemented; coverage inconsistent; never tested under stress.</t>
        </is>
      </c>
      <c r="S61" s="3" t="inlineStr">
        <is>
          <t>Documented, owned, executed consistently; basic evidence and metrics exist.</t>
        </is>
      </c>
      <c r="T61" s="3" t="inlineStr">
        <is>
          <t>Measured and periodically tested/audited; integrated with adjacent processes.</t>
        </is>
      </c>
      <c r="U61" s="3" t="inlineStr">
        <is>
          <t>Optimized and automated where practical; stress-tested; benchmarked externally.</t>
        </is>
      </c>
      <c r="V61" s="3" t="inlineStr">
        <is>
          <t>All crisis types</t>
        </is>
      </c>
      <c r="W61" s="3" t="n"/>
      <c r="X61" s="3" t="n"/>
      <c r="Y61" s="3" t="inlineStr">
        <is>
          <t>Use the recommended action generated by the model; validate with domain owner during real assessment.</t>
        </is>
      </c>
      <c r="Z61" s="7" t="n">
        <v>5</v>
      </c>
      <c r="AA61" s="7" t="n">
        <v>5</v>
      </c>
      <c r="AB61" s="7" t="n">
        <v>5</v>
      </c>
      <c r="AK61" s="46" t="n"/>
      <c r="AL61" s="46" t="n"/>
      <c r="AM61" s="247">
        <f>_DATA_Assessment_Model!AJ61</f>
        <v/>
      </c>
      <c r="AN61" s="247">
        <f>_DATA_Assessment_Model!AK61</f>
        <v/>
      </c>
      <c r="AO61" s="247">
        <f>_DATA_Assessment_Model!AL61</f>
        <v/>
      </c>
      <c r="AP61" s="247">
        <f>_DATA_Assessment_Model!AM61</f>
        <v/>
      </c>
      <c r="AQ61" s="247">
        <f>_DATA_Assessment_Model!AN61</f>
        <v/>
      </c>
      <c r="AR61" s="247">
        <f>_DATA_Assessment_Model!AO61</f>
        <v/>
      </c>
      <c r="AS61" s="247">
        <f>_DATA_Assessment_Model!AP61</f>
        <v/>
      </c>
      <c r="AT61" s="247">
        <f>_DATA_Assessment_Model!AQ61</f>
        <v/>
      </c>
      <c r="AU61" s="247">
        <f>_DATA_Assessment_Model!AR61</f>
        <v/>
      </c>
      <c r="AV61" s="5">
        <f>_DATA_Assessment_Model!AS61</f>
        <v/>
      </c>
      <c r="AW61" s="5">
        <f>_DATA_Assessment_Model!AT61</f>
        <v/>
      </c>
      <c r="AY61">
        <f>_DATA_Assessment_Model!AV61</f>
        <v/>
      </c>
    </row>
    <row r="62" ht="69" customHeight="1" s="209">
      <c r="A62" t="inlineStr">
        <is>
          <t>Governance Crisis</t>
        </is>
      </c>
      <c r="B62" t="inlineStr">
        <is>
          <t>Governance Crisis</t>
        </is>
      </c>
      <c r="C62" t="n">
        <v>17</v>
      </c>
      <c r="D62" s="3" t="inlineStr">
        <is>
          <t>GOVE-013</t>
        </is>
      </c>
      <c r="E62" s="3" t="inlineStr">
        <is>
          <t>Risk and continuity</t>
        </is>
      </c>
      <c r="F62" s="3" t="inlineStr">
        <is>
          <t>How mature is the organization in managing continuity testing through tabletop exercises, simulations and real incident reviews, including ownership, evidence, metrics, fallback procedures and crisis stress testing?</t>
        </is>
      </c>
      <c r="G62" s="3" t="inlineStr">
        <is>
          <t>This topic affects exposure to All crisis types. It helps identify how disruption may impact operations, people, revenue, systems, legal exposure or recovery time.</t>
        </is>
      </c>
      <c r="H62" s="3" t="inlineStr">
        <is>
          <t>ISO 22301; ISO 22320; ISO 31000; ISO 37000; NIST SP 800-34; BCI Good Practice Guidelines; Bain RAPID</t>
        </is>
      </c>
      <c r="I62" s="3" t="inlineStr">
        <is>
          <t>Policy/SOP; owner/RACI; system report; dashboard; contracts; test records; incident history; interview evidence related to continuity testing through tabletop exercises, simulations and real incident reviews.</t>
        </is>
      </c>
      <c r="J62" s="3" t="n">
        <v>5</v>
      </c>
      <c r="K62" s="85">
        <f>_DATA_Assessment_Model!H62</f>
        <v/>
      </c>
      <c r="L62" s="4">
        <f>_DATA_Assessment_Model!I62</f>
        <v/>
      </c>
      <c r="M62" s="4">
        <f>_DATA_Assessment_Model!J62</f>
        <v/>
      </c>
      <c r="N62" s="4">
        <f>_DATA_Assessment_Model!K62</f>
        <v/>
      </c>
      <c r="O62" s="3">
        <f>_DATA_Assessment_Model!L62</f>
        <v/>
      </c>
      <c r="P62" s="3" t="inlineStr">
        <is>
          <t>Never done; no records exist.</t>
        </is>
      </c>
      <c r="Q62" s="3" t="inlineStr">
        <is>
          <t>Done once long ago or only after an incident; no schedule, no records.</t>
        </is>
      </c>
      <c r="R62" s="3" t="inlineStr">
        <is>
          <t>Done irregularly; results are not documented and findings are not tracked.</t>
        </is>
      </c>
      <c r="S62" s="3" t="inlineStr">
        <is>
          <t>Done on a defined schedule (at least annually); results documented, owner assigned.</t>
        </is>
      </c>
      <c r="T62" s="3" t="inlineStr">
        <is>
          <t>Done quarterly/semi-annually; findings tracked to closure, effectiveness measured against targets.</t>
        </is>
      </c>
      <c r="U62" s="3" t="inlineStr">
        <is>
          <t>Continuous or automated where possible; results drive improvements and are validated externally (audit/customer).</t>
        </is>
      </c>
      <c r="V62" s="3" t="inlineStr">
        <is>
          <t>All crisis types</t>
        </is>
      </c>
      <c r="W62" s="3" t="n"/>
      <c r="X62" s="3" t="n"/>
      <c r="Y62" s="3" t="inlineStr">
        <is>
          <t>Use the recommended action generated by the model; validate with domain owner during real assessment.</t>
        </is>
      </c>
      <c r="Z62" s="7" t="n">
        <v>4</v>
      </c>
      <c r="AA62" s="7" t="n">
        <v>5</v>
      </c>
      <c r="AB62" s="7" t="n">
        <v>5</v>
      </c>
      <c r="AK62" s="46" t="n"/>
      <c r="AL62" s="46" t="n"/>
      <c r="AM62" s="247">
        <f>_DATA_Assessment_Model!AJ62</f>
        <v/>
      </c>
      <c r="AN62" s="247">
        <f>_DATA_Assessment_Model!AK62</f>
        <v/>
      </c>
      <c r="AO62" s="247">
        <f>_DATA_Assessment_Model!AL62</f>
        <v/>
      </c>
      <c r="AP62" s="247">
        <f>_DATA_Assessment_Model!AM62</f>
        <v/>
      </c>
      <c r="AQ62" s="247">
        <f>_DATA_Assessment_Model!AN62</f>
        <v/>
      </c>
      <c r="AR62" s="247">
        <f>_DATA_Assessment_Model!AO62</f>
        <v/>
      </c>
      <c r="AS62" s="247">
        <f>_DATA_Assessment_Model!AP62</f>
        <v/>
      </c>
      <c r="AT62" s="247">
        <f>_DATA_Assessment_Model!AQ62</f>
        <v/>
      </c>
      <c r="AU62" s="247">
        <f>_DATA_Assessment_Model!AR62</f>
        <v/>
      </c>
      <c r="AV62" s="5">
        <f>_DATA_Assessment_Model!AS62</f>
        <v/>
      </c>
      <c r="AW62" s="5">
        <f>_DATA_Assessment_Model!AT62</f>
        <v/>
      </c>
      <c r="AY62">
        <f>_DATA_Assessment_Model!AV62</f>
        <v/>
      </c>
    </row>
    <row r="63" ht="69" customHeight="1" s="209">
      <c r="A63" t="inlineStr">
        <is>
          <t>Governance Crisis</t>
        </is>
      </c>
      <c r="B63" t="inlineStr">
        <is>
          <t>Governance Crisis</t>
        </is>
      </c>
      <c r="C63" t="n">
        <v>18</v>
      </c>
      <c r="D63" s="3" t="inlineStr">
        <is>
          <t>GOVE-014</t>
        </is>
      </c>
      <c r="E63" s="3" t="inlineStr">
        <is>
          <t>Incident management</t>
        </is>
      </c>
      <c r="F63" s="3" t="inlineStr">
        <is>
          <t>How mature is the organization in managing common incident classification model for severity, impact, escalation and communication, including ownership, evidence, metrics, fallback procedures and crisis stress testing?</t>
        </is>
      </c>
      <c r="G63" s="3" t="inlineStr">
        <is>
          <t>This topic affects exposure to All crisis types. It helps identify how disruption may impact operations, people, revenue, systems, legal exposure or recovery time.</t>
        </is>
      </c>
      <c r="H63" s="3" t="inlineStr">
        <is>
          <t>ISO 22301; ISO 22320; ISO 31000; ISO 37000; NIST SP 800-34; BCI Good Practice Guidelines; Bain RAPID</t>
        </is>
      </c>
      <c r="I63" s="3" t="inlineStr">
        <is>
          <t>Policy/SOP; owner/RACI; system report; dashboard; contracts; test records; incident history; interview evidence related to common incident classification model for severity, impact, escalation and communication.</t>
        </is>
      </c>
      <c r="J63" s="3" t="n">
        <v>5</v>
      </c>
      <c r="K63" s="85">
        <f>_DATA_Assessment_Model!H63</f>
        <v/>
      </c>
      <c r="L63" s="4">
        <f>_DATA_Assessment_Model!I63</f>
        <v/>
      </c>
      <c r="M63" s="4">
        <f>_DATA_Assessment_Model!J63</f>
        <v/>
      </c>
      <c r="N63" s="4">
        <f>_DATA_Assessment_Model!K63</f>
        <v/>
      </c>
      <c r="O63" s="3">
        <f>_DATA_Assessment_Model!L63</f>
        <v/>
      </c>
      <c r="P63" s="3" t="inlineStr">
        <is>
          <t>Does not exist; no owner, no documentation, no practice.</t>
        </is>
      </c>
      <c r="Q63" s="3" t="inlineStr">
        <is>
          <t>Ad hoc; depends entirely on specific individuals.</t>
        </is>
      </c>
      <c r="R63" s="3" t="inlineStr">
        <is>
          <t>Partially documented or implemented; coverage inconsistent; never tested under stress.</t>
        </is>
      </c>
      <c r="S63" s="3" t="inlineStr">
        <is>
          <t>Documented, owned, executed consistently; basic evidence and metrics exist.</t>
        </is>
      </c>
      <c r="T63" s="3" t="inlineStr">
        <is>
          <t>Measured and periodically tested/audited; integrated with adjacent processes.</t>
        </is>
      </c>
      <c r="U63" s="3" t="inlineStr">
        <is>
          <t>Optimized and automated where practical; stress-tested; benchmarked externally.</t>
        </is>
      </c>
      <c r="V63" s="3" t="inlineStr">
        <is>
          <t>All crisis types</t>
        </is>
      </c>
      <c r="W63" s="3" t="n"/>
      <c r="X63" s="3" t="n"/>
      <c r="Y63" s="3" t="inlineStr">
        <is>
          <t>Use the recommended action generated by the model; validate with domain owner during real assessment.</t>
        </is>
      </c>
      <c r="Z63" s="7" t="n">
        <v>4</v>
      </c>
      <c r="AA63" s="7" t="n">
        <v>5</v>
      </c>
      <c r="AB63" s="7" t="n">
        <v>5</v>
      </c>
      <c r="AK63" s="46" t="n"/>
      <c r="AL63" s="46" t="n"/>
      <c r="AM63" s="247">
        <f>_DATA_Assessment_Model!AJ63</f>
        <v/>
      </c>
      <c r="AN63" s="247">
        <f>_DATA_Assessment_Model!AK63</f>
        <v/>
      </c>
      <c r="AO63" s="247">
        <f>_DATA_Assessment_Model!AL63</f>
        <v/>
      </c>
      <c r="AP63" s="247">
        <f>_DATA_Assessment_Model!AM63</f>
        <v/>
      </c>
      <c r="AQ63" s="247">
        <f>_DATA_Assessment_Model!AN63</f>
        <v/>
      </c>
      <c r="AR63" s="247">
        <f>_DATA_Assessment_Model!AO63</f>
        <v/>
      </c>
      <c r="AS63" s="247">
        <f>_DATA_Assessment_Model!AP63</f>
        <v/>
      </c>
      <c r="AT63" s="247">
        <f>_DATA_Assessment_Model!AQ63</f>
        <v/>
      </c>
      <c r="AU63" s="247">
        <f>_DATA_Assessment_Model!AR63</f>
        <v/>
      </c>
      <c r="AV63" s="5">
        <f>_DATA_Assessment_Model!AS63</f>
        <v/>
      </c>
      <c r="AW63" s="5">
        <f>_DATA_Assessment_Model!AT63</f>
        <v/>
      </c>
      <c r="AY63">
        <f>_DATA_Assessment_Model!AV63</f>
        <v/>
      </c>
    </row>
    <row r="64" ht="69" customHeight="1" s="209">
      <c r="A64" t="inlineStr">
        <is>
          <t>Governance Crisis</t>
        </is>
      </c>
      <c r="B64" t="inlineStr">
        <is>
          <t>Governance Crisis</t>
        </is>
      </c>
      <c r="C64" t="n">
        <v>19</v>
      </c>
      <c r="D64" s="3" t="inlineStr">
        <is>
          <t>GOVE-015</t>
        </is>
      </c>
      <c r="E64" s="3" t="inlineStr">
        <is>
          <t>Incident management</t>
        </is>
      </c>
      <c r="F64" s="3" t="inlineStr">
        <is>
          <t>How mature is the organization in managing post-incident review process that converts incidents into corrective and preventive actions, including ownership, evidence, metrics, fallback procedures and crisis stress testing?</t>
        </is>
      </c>
      <c r="G64" s="3" t="inlineStr">
        <is>
          <t>This topic affects exposure to All crisis types. It helps identify how disruption may impact operations, people, revenue, systems, legal exposure or recovery time.</t>
        </is>
      </c>
      <c r="H64" s="3" t="inlineStr">
        <is>
          <t>ISO 22301; ISO 22320; ISO 31000; ISO 37000; NIST SP 800-34; BCI Good Practice Guidelines; Bain RAPID</t>
        </is>
      </c>
      <c r="I64" s="3" t="inlineStr">
        <is>
          <t>Policy/SOP; owner/RACI; system report; dashboard; contracts; test records; incident history; interview evidence related to post-incident review process that converts incidents into corrective and preventive actions.</t>
        </is>
      </c>
      <c r="J64" s="3" t="n">
        <v>5</v>
      </c>
      <c r="K64" s="85">
        <f>_DATA_Assessment_Model!H64</f>
        <v/>
      </c>
      <c r="L64" s="4">
        <f>_DATA_Assessment_Model!I64</f>
        <v/>
      </c>
      <c r="M64" s="4">
        <f>_DATA_Assessment_Model!J64</f>
        <v/>
      </c>
      <c r="N64" s="4">
        <f>_DATA_Assessment_Model!K64</f>
        <v/>
      </c>
      <c r="O64" s="3">
        <f>_DATA_Assessment_Model!L64</f>
        <v/>
      </c>
      <c r="P64" s="3" t="inlineStr">
        <is>
          <t>Does not exist; no owner, no documentation, no practice.</t>
        </is>
      </c>
      <c r="Q64" s="3" t="inlineStr">
        <is>
          <t>Ad hoc; depends entirely on specific individuals.</t>
        </is>
      </c>
      <c r="R64" s="3" t="inlineStr">
        <is>
          <t>Partially documented or implemented; coverage inconsistent; never tested under stress.</t>
        </is>
      </c>
      <c r="S64" s="3" t="inlineStr">
        <is>
          <t>Documented, owned, executed consistently; basic evidence and metrics exist.</t>
        </is>
      </c>
      <c r="T64" s="3" t="inlineStr">
        <is>
          <t>Measured and periodically tested/audited; integrated with adjacent processes.</t>
        </is>
      </c>
      <c r="U64" s="3" t="inlineStr">
        <is>
          <t>Optimized and automated where practical; stress-tested; benchmarked externally.</t>
        </is>
      </c>
      <c r="V64" s="3" t="inlineStr">
        <is>
          <t>All crisis types</t>
        </is>
      </c>
      <c r="W64" s="3" t="n"/>
      <c r="X64" s="3" t="n"/>
      <c r="Y64" s="3" t="inlineStr">
        <is>
          <t>Use the recommended action generated by the model; validate with domain owner during real assessment.</t>
        </is>
      </c>
      <c r="Z64" s="7" t="n">
        <v>4</v>
      </c>
      <c r="AA64" s="7" t="n">
        <v>5</v>
      </c>
      <c r="AB64" s="7" t="n">
        <v>5</v>
      </c>
      <c r="AK64" s="46" t="n"/>
      <c r="AL64" s="46" t="n"/>
      <c r="AM64" s="247">
        <f>_DATA_Assessment_Model!AJ64</f>
        <v/>
      </c>
      <c r="AN64" s="247">
        <f>_DATA_Assessment_Model!AK64</f>
        <v/>
      </c>
      <c r="AO64" s="247">
        <f>_DATA_Assessment_Model!AL64</f>
        <v/>
      </c>
      <c r="AP64" s="247">
        <f>_DATA_Assessment_Model!AM64</f>
        <v/>
      </c>
      <c r="AQ64" s="247">
        <f>_DATA_Assessment_Model!AN64</f>
        <v/>
      </c>
      <c r="AR64" s="247">
        <f>_DATA_Assessment_Model!AO64</f>
        <v/>
      </c>
      <c r="AS64" s="247">
        <f>_DATA_Assessment_Model!AP64</f>
        <v/>
      </c>
      <c r="AT64" s="247">
        <f>_DATA_Assessment_Model!AQ64</f>
        <v/>
      </c>
      <c r="AU64" s="247">
        <f>_DATA_Assessment_Model!AR64</f>
        <v/>
      </c>
      <c r="AV64" s="5">
        <f>_DATA_Assessment_Model!AS64</f>
        <v/>
      </c>
      <c r="AW64" s="5">
        <f>_DATA_Assessment_Model!AT64</f>
        <v/>
      </c>
      <c r="AY64">
        <f>_DATA_Assessment_Model!AV64</f>
        <v/>
      </c>
    </row>
    <row r="65" ht="69" customHeight="1" s="209">
      <c r="A65" t="inlineStr">
        <is>
          <t>Governance Crisis</t>
        </is>
      </c>
      <c r="B65" t="inlineStr">
        <is>
          <t>Governance Crisis</t>
        </is>
      </c>
      <c r="C65" t="n">
        <v>20</v>
      </c>
      <c r="D65" s="3" t="inlineStr">
        <is>
          <t>GOVE-016</t>
        </is>
      </c>
      <c r="E65" s="3" t="inlineStr">
        <is>
          <t>Incident management</t>
        </is>
      </c>
      <c r="F65" s="3" t="inlineStr">
        <is>
          <t>How mature is the organization in managing interdependency map linking functions, sites, systems, people, suppliers and customers, including ownership, evidence, metrics, fallback procedures and crisis stress testing?</t>
        </is>
      </c>
      <c r="G65" s="3" t="inlineStr">
        <is>
          <t>This topic affects exposure to All crisis types. It helps identify how disruption may impact operations, people, revenue, systems, legal exposure or recovery time.</t>
        </is>
      </c>
      <c r="H65" s="3" t="inlineStr">
        <is>
          <t>ISO 22301; ISO 22320; ISO 31000; ISO 37000; NIST SP 800-34; BCI Good Practice Guidelines; Bain RAPID</t>
        </is>
      </c>
      <c r="I65" s="3" t="inlineStr">
        <is>
          <t>Policy/SOP; owner/RACI; system report; dashboard; contracts; test records; incident history; interview evidence related to interdependency map linking functions, sites, systems, people, suppliers and customers.</t>
        </is>
      </c>
      <c r="J65" s="3" t="n">
        <v>5</v>
      </c>
      <c r="K65" s="85">
        <f>_DATA_Assessment_Model!H65</f>
        <v/>
      </c>
      <c r="L65" s="4">
        <f>_DATA_Assessment_Model!I65</f>
        <v/>
      </c>
      <c r="M65" s="4">
        <f>_DATA_Assessment_Model!J65</f>
        <v/>
      </c>
      <c r="N65" s="4">
        <f>_DATA_Assessment_Model!K65</f>
        <v/>
      </c>
      <c r="O65" s="3">
        <f>_DATA_Assessment_Model!L65</f>
        <v/>
      </c>
      <c r="P65" s="3" t="inlineStr">
        <is>
          <t>No inventory/register exists.</t>
        </is>
      </c>
      <c r="Q65" s="3" t="inlineStr">
        <is>
          <t>Partial lists live in individuals' heads or personal files.</t>
        </is>
      </c>
      <c r="R65" s="3" t="inlineStr">
        <is>
          <t>A register exists but is incomplete or outdated (&gt;1 year) and has no owner.</t>
        </is>
      </c>
      <c r="S65" s="3" t="inlineStr">
        <is>
          <t>Owned, documented, updated on a defined schedule, covers the main scope.</t>
        </is>
      </c>
      <c r="T65" s="3" t="inlineStr">
        <is>
          <t>Complete and periodically reviewed; integrated with related processes; completeness measured.</t>
        </is>
      </c>
      <c r="U65" s="3" t="inlineStr">
        <is>
          <t>Maintained automatically or synced with systems; drives decisions; audited.</t>
        </is>
      </c>
      <c r="V65" s="3" t="inlineStr">
        <is>
          <t>All crisis types</t>
        </is>
      </c>
      <c r="W65" s="3" t="n"/>
      <c r="X65" s="3" t="n"/>
      <c r="Y65" s="3" t="inlineStr">
        <is>
          <t>Use the recommended action generated by the model; validate with domain owner during real assessment.</t>
        </is>
      </c>
      <c r="Z65" s="7" t="n">
        <v>4</v>
      </c>
      <c r="AA65" s="7" t="n">
        <v>5</v>
      </c>
      <c r="AB65" s="7" t="n">
        <v>5</v>
      </c>
      <c r="AK65" s="46" t="n"/>
      <c r="AL65" s="46" t="n"/>
      <c r="AM65" s="247">
        <f>_DATA_Assessment_Model!AJ65</f>
        <v/>
      </c>
      <c r="AN65" s="247">
        <f>_DATA_Assessment_Model!AK65</f>
        <v/>
      </c>
      <c r="AO65" s="247">
        <f>_DATA_Assessment_Model!AL65</f>
        <v/>
      </c>
      <c r="AP65" s="247">
        <f>_DATA_Assessment_Model!AM65</f>
        <v/>
      </c>
      <c r="AQ65" s="247">
        <f>_DATA_Assessment_Model!AN65</f>
        <v/>
      </c>
      <c r="AR65" s="247">
        <f>_DATA_Assessment_Model!AO65</f>
        <v/>
      </c>
      <c r="AS65" s="247">
        <f>_DATA_Assessment_Model!AP65</f>
        <v/>
      </c>
      <c r="AT65" s="247">
        <f>_DATA_Assessment_Model!AQ65</f>
        <v/>
      </c>
      <c r="AU65" s="247">
        <f>_DATA_Assessment_Model!AR65</f>
        <v/>
      </c>
      <c r="AV65" s="5">
        <f>_DATA_Assessment_Model!AS65</f>
        <v/>
      </c>
      <c r="AW65" s="5">
        <f>_DATA_Assessment_Model!AT65</f>
        <v/>
      </c>
      <c r="AY65">
        <f>_DATA_Assessment_Model!AV65</f>
        <v/>
      </c>
    </row>
    <row r="66" ht="69" customHeight="1" s="209">
      <c r="A66" t="inlineStr">
        <is>
          <t>Governance Crisis</t>
        </is>
      </c>
      <c r="B66" t="inlineStr">
        <is>
          <t>Governance Crisis</t>
        </is>
      </c>
      <c r="C66" t="n">
        <v>21</v>
      </c>
      <c r="D66" s="3" t="inlineStr">
        <is>
          <t>GOVE-017</t>
        </is>
      </c>
      <c r="E66" s="3" t="inlineStr">
        <is>
          <t>Incident management</t>
        </is>
      </c>
      <c r="F66" s="3" t="inlineStr">
        <is>
          <t>How mature is the organization in managing crisis communication protocol for employees, customers, suppliers, regulators, insurers and media, including ownership, evidence, metrics, fallback procedures and crisis stress testing?</t>
        </is>
      </c>
      <c r="G66" s="3" t="inlineStr">
        <is>
          <t>This topic affects exposure to All crisis types. It helps identify how disruption may impact operations, people, revenue, systems, legal exposure or recovery time.</t>
        </is>
      </c>
      <c r="H66" s="3" t="inlineStr">
        <is>
          <t>ISO 22301; ISO 22320; ISO 31000; ISO 37000; NIST SP 800-34; BCI Good Practice Guidelines; Bain RAPID</t>
        </is>
      </c>
      <c r="I66" s="3" t="inlineStr">
        <is>
          <t>Policy/SOP; owner/RACI; system report; dashboard; contracts; test records; incident history; interview evidence related to crisis communication protocol for employees, customers, suppliers, regulators, insurers and media.</t>
        </is>
      </c>
      <c r="J66" s="3" t="n">
        <v>5</v>
      </c>
      <c r="K66" s="85">
        <f>_DATA_Assessment_Model!H66</f>
        <v/>
      </c>
      <c r="L66" s="4">
        <f>_DATA_Assessment_Model!I66</f>
        <v/>
      </c>
      <c r="M66" s="4">
        <f>_DATA_Assessment_Model!J66</f>
        <v/>
      </c>
      <c r="N66" s="4">
        <f>_DATA_Assessment_Model!K66</f>
        <v/>
      </c>
      <c r="O66" s="3">
        <f>_DATA_Assessment_Model!L66</f>
        <v/>
      </c>
      <c r="P66" s="3" t="inlineStr">
        <is>
          <t>No plan or procedure exists.</t>
        </is>
      </c>
      <c r="Q66" s="3" t="inlineStr">
        <is>
          <t>Knowledge lives with individuals; nothing usable is written down.</t>
        </is>
      </c>
      <c r="R66" s="3" t="inlineStr">
        <is>
          <t>Drafted but outdated, not approved, or unknown to the people who must use it.</t>
        </is>
      </c>
      <c r="S66" s="3" t="inlineStr">
        <is>
          <t>Approved and current; owners assigned; affected staff know it exists and where to find it.</t>
        </is>
      </c>
      <c r="T66" s="3" t="inlineStr">
        <is>
          <t>Tested against realistic scenarios; updated after each test or real incident.</t>
        </is>
      </c>
      <c r="U66" s="3" t="inlineStr">
        <is>
          <t>Exercised regularly including external parties; readiness measured; continuously improved.</t>
        </is>
      </c>
      <c r="V66" s="3" t="inlineStr">
        <is>
          <t>All crisis types</t>
        </is>
      </c>
      <c r="W66" s="3" t="n"/>
      <c r="X66" s="3" t="n"/>
      <c r="Y66" s="3" t="inlineStr">
        <is>
          <t>Use the recommended action generated by the model; validate with domain owner during real assessment.</t>
        </is>
      </c>
      <c r="Z66" s="7" t="n">
        <v>4</v>
      </c>
      <c r="AA66" s="7" t="n">
        <v>5</v>
      </c>
      <c r="AB66" s="7" t="n">
        <v>5</v>
      </c>
      <c r="AK66" s="46" t="n"/>
      <c r="AL66" s="46" t="n"/>
      <c r="AM66" s="247">
        <f>_DATA_Assessment_Model!AJ66</f>
        <v/>
      </c>
      <c r="AN66" s="247">
        <f>_DATA_Assessment_Model!AK66</f>
        <v/>
      </c>
      <c r="AO66" s="247">
        <f>_DATA_Assessment_Model!AL66</f>
        <v/>
      </c>
      <c r="AP66" s="247">
        <f>_DATA_Assessment_Model!AM66</f>
        <v/>
      </c>
      <c r="AQ66" s="247">
        <f>_DATA_Assessment_Model!AN66</f>
        <v/>
      </c>
      <c r="AR66" s="247">
        <f>_DATA_Assessment_Model!AO66</f>
        <v/>
      </c>
      <c r="AS66" s="247">
        <f>_DATA_Assessment_Model!AP66</f>
        <v/>
      </c>
      <c r="AT66" s="247">
        <f>_DATA_Assessment_Model!AQ66</f>
        <v/>
      </c>
      <c r="AU66" s="247">
        <f>_DATA_Assessment_Model!AR66</f>
        <v/>
      </c>
      <c r="AV66" s="5">
        <f>_DATA_Assessment_Model!AS66</f>
        <v/>
      </c>
      <c r="AW66" s="5">
        <f>_DATA_Assessment_Model!AT66</f>
        <v/>
      </c>
      <c r="AY66">
        <f>_DATA_Assessment_Model!AV66</f>
        <v/>
      </c>
    </row>
    <row r="67" ht="82.8" customHeight="1" s="209">
      <c r="A67" t="inlineStr">
        <is>
          <t>Governance Crisis</t>
        </is>
      </c>
      <c r="B67" t="inlineStr">
        <is>
          <t>Governance Crisis</t>
        </is>
      </c>
      <c r="C67" t="n">
        <v>22</v>
      </c>
      <c r="D67" s="3" t="inlineStr">
        <is>
          <t>GOVE-018</t>
        </is>
      </c>
      <c r="E67" s="3" t="inlineStr">
        <is>
          <t>Incident management</t>
        </is>
      </c>
      <c r="F67" s="3" t="inlineStr">
        <is>
          <t>How mature is the organization in managing mass notification and emergency coordination tools, including ownership, evidence, metrics, fallback procedures and crisis stress testing?</t>
        </is>
      </c>
      <c r="G67" s="3" t="inlineStr">
        <is>
          <t>This topic affects exposure to All crisis types. It helps identify how disruption may impact operations, people, revenue, systems, legal exposure or recovery time.</t>
        </is>
      </c>
      <c r="H67" s="3" t="inlineStr">
        <is>
          <t>ISO 22301; ISO 22320; ISO 31000; ISO 37000; NIST SP 800-34; BCI Good Practice Guidelines; Bain RAPID</t>
        </is>
      </c>
      <c r="I67" s="3" t="inlineStr">
        <is>
          <t>Policy/SOP; owner/RACI; system report; dashboard; contracts; test records; incident history; interview evidence related to mass notification and emergency coordination tools.</t>
        </is>
      </c>
      <c r="J67" s="3" t="n">
        <v>3</v>
      </c>
      <c r="K67" s="85">
        <f>_DATA_Assessment_Model!H67</f>
        <v/>
      </c>
      <c r="L67" s="4">
        <f>_DATA_Assessment_Model!I67</f>
        <v/>
      </c>
      <c r="M67" s="4">
        <f>_DATA_Assessment_Model!J67</f>
        <v/>
      </c>
      <c r="N67" s="4">
        <f>_DATA_Assessment_Model!K67</f>
        <v/>
      </c>
      <c r="O67" s="3">
        <f>_DATA_Assessment_Model!L67</f>
        <v/>
      </c>
      <c r="P67" s="3" t="inlineStr">
        <is>
          <t>No reliable evidence that mass notification and emergency coordination tools is defined, owned or managed.</t>
        </is>
      </c>
      <c r="Q67" s="3" t="inlineStr">
        <is>
          <t>Mass notification and emergency coordination tools is handled informally and depends on individual knowledge or heroic effort.</t>
        </is>
      </c>
      <c r="R67" s="3" t="inlineStr">
        <is>
          <t>Mass notification and emergency coordination tools is partially documented or implemented, but coverage is inconsistent and not crisis-tested.</t>
        </is>
      </c>
      <c r="S67" s="3" t="inlineStr">
        <is>
          <t>Mass notification and emergency coordination tools is documented, owned, used in normal operations and supported by basic evidence or metrics.</t>
        </is>
      </c>
      <c r="T67" s="3" t="inlineStr">
        <is>
          <t>Mass notification and emergency coordination tools is measured, periodically reviewed, integrated with related processes and tested against relevant disruption scenarios.</t>
        </is>
      </c>
      <c r="U67" s="3" t="inlineStr">
        <is>
          <t>Mass notification and emergency coordination tools is optimized, continuously improved, automated where practical and demonstrably supports crisis resilience.</t>
        </is>
      </c>
      <c r="V67" s="3" t="inlineStr">
        <is>
          <t>All crisis types</t>
        </is>
      </c>
      <c r="W67" s="3" t="n"/>
      <c r="X67" s="3" t="n"/>
      <c r="Y67" s="3" t="inlineStr">
        <is>
          <t>Use the recommended action generated by the model; validate with domain owner during real assessment.</t>
        </is>
      </c>
      <c r="Z67" s="7" t="n">
        <v>4</v>
      </c>
      <c r="AA67" s="7" t="n">
        <v>5</v>
      </c>
      <c r="AB67" s="7" t="n">
        <v>5</v>
      </c>
      <c r="AK67" s="46" t="n"/>
      <c r="AL67" s="46" t="n"/>
      <c r="AM67" s="247">
        <f>_DATA_Assessment_Model!AJ67</f>
        <v/>
      </c>
      <c r="AN67" s="247">
        <f>_DATA_Assessment_Model!AK67</f>
        <v/>
      </c>
      <c r="AO67" s="247">
        <f>_DATA_Assessment_Model!AL67</f>
        <v/>
      </c>
      <c r="AP67" s="247">
        <f>_DATA_Assessment_Model!AM67</f>
        <v/>
      </c>
      <c r="AQ67" s="247">
        <f>_DATA_Assessment_Model!AN67</f>
        <v/>
      </c>
      <c r="AR67" s="247">
        <f>_DATA_Assessment_Model!AO67</f>
        <v/>
      </c>
      <c r="AS67" s="247">
        <f>_DATA_Assessment_Model!AP67</f>
        <v/>
      </c>
      <c r="AT67" s="247">
        <f>_DATA_Assessment_Model!AQ67</f>
        <v/>
      </c>
      <c r="AU67" s="247">
        <f>_DATA_Assessment_Model!AR67</f>
        <v/>
      </c>
      <c r="AV67" s="5">
        <f>_DATA_Assessment_Model!AS67</f>
        <v/>
      </c>
      <c r="AW67" s="5">
        <f>_DATA_Assessment_Model!AT67</f>
        <v/>
      </c>
      <c r="AY67">
        <f>_DATA_Assessment_Model!AV67</f>
        <v/>
      </c>
    </row>
    <row r="68" ht="69" customHeight="1" s="209">
      <c r="A68" t="inlineStr">
        <is>
          <t>Governance Crisis</t>
        </is>
      </c>
      <c r="B68" t="inlineStr">
        <is>
          <t>Governance Crisis</t>
        </is>
      </c>
      <c r="C68" t="n">
        <v>23</v>
      </c>
      <c r="D68" s="3" t="inlineStr">
        <is>
          <t>GOVE-019</t>
        </is>
      </c>
      <c r="E68" s="3" t="inlineStr">
        <is>
          <t>Incident management</t>
        </is>
      </c>
      <c r="F68" s="3" t="inlineStr">
        <is>
          <t>How mature is the organization in managing crisis lessons-learned process tied to improvement backlog and management review, including ownership, evidence, metrics, fallback procedures and crisis stress testing?</t>
        </is>
      </c>
      <c r="G68" s="3" t="inlineStr">
        <is>
          <t>This topic affects exposure to All crisis types. It helps identify how disruption may impact operations, people, revenue, systems, legal exposure or recovery time.</t>
        </is>
      </c>
      <c r="H68" s="3" t="inlineStr">
        <is>
          <t>ISO 22301; ISO 22320; ISO 31000; ISO 37000; NIST SP 800-34; BCI Good Practice Guidelines; Bain RAPID</t>
        </is>
      </c>
      <c r="I68" s="3" t="inlineStr">
        <is>
          <t>Policy/SOP; owner/RACI; system report; dashboard; contracts; test records; incident history; interview evidence related to crisis lessons-learned process tied to improvement backlog and management review.</t>
        </is>
      </c>
      <c r="J68" s="3" t="n">
        <v>5</v>
      </c>
      <c r="K68" s="85">
        <f>_DATA_Assessment_Model!H68</f>
        <v/>
      </c>
      <c r="L68" s="4">
        <f>_DATA_Assessment_Model!I68</f>
        <v/>
      </c>
      <c r="M68" s="4">
        <f>_DATA_Assessment_Model!J68</f>
        <v/>
      </c>
      <c r="N68" s="4">
        <f>_DATA_Assessment_Model!K68</f>
        <v/>
      </c>
      <c r="O68" s="3">
        <f>_DATA_Assessment_Model!L68</f>
        <v/>
      </c>
      <c r="P68" s="3" t="inlineStr">
        <is>
          <t>Does not exist; no owner, no documentation, no practice.</t>
        </is>
      </c>
      <c r="Q68" s="3" t="inlineStr">
        <is>
          <t>Ad hoc; depends entirely on specific individuals.</t>
        </is>
      </c>
      <c r="R68" s="3" t="inlineStr">
        <is>
          <t>Partially documented or implemented; coverage inconsistent; never tested under stress.</t>
        </is>
      </c>
      <c r="S68" s="3" t="inlineStr">
        <is>
          <t>Documented, owned, executed consistently; basic evidence and metrics exist.</t>
        </is>
      </c>
      <c r="T68" s="3" t="inlineStr">
        <is>
          <t>Measured and periodically tested/audited; integrated with adjacent processes.</t>
        </is>
      </c>
      <c r="U68" s="3" t="inlineStr">
        <is>
          <t>Optimized and automated where practical; stress-tested; benchmarked externally.</t>
        </is>
      </c>
      <c r="V68" s="3" t="inlineStr">
        <is>
          <t>All crisis types</t>
        </is>
      </c>
      <c r="W68" s="3" t="n"/>
      <c r="X68" s="3" t="n"/>
      <c r="Y68" s="3" t="inlineStr">
        <is>
          <t>Use the recommended action generated by the model; validate with domain owner during real assessment.</t>
        </is>
      </c>
      <c r="Z68" s="7" t="n">
        <v>4</v>
      </c>
      <c r="AA68" s="7" t="n">
        <v>5</v>
      </c>
      <c r="AB68" s="7" t="n">
        <v>5</v>
      </c>
      <c r="AK68" s="46" t="n"/>
      <c r="AL68" s="46" t="n"/>
      <c r="AM68" s="247">
        <f>_DATA_Assessment_Model!AJ68</f>
        <v/>
      </c>
      <c r="AN68" s="247">
        <f>_DATA_Assessment_Model!AK68</f>
        <v/>
      </c>
      <c r="AO68" s="247">
        <f>_DATA_Assessment_Model!AL68</f>
        <v/>
      </c>
      <c r="AP68" s="247">
        <f>_DATA_Assessment_Model!AM68</f>
        <v/>
      </c>
      <c r="AQ68" s="247">
        <f>_DATA_Assessment_Model!AN68</f>
        <v/>
      </c>
      <c r="AR68" s="247">
        <f>_DATA_Assessment_Model!AO68</f>
        <v/>
      </c>
      <c r="AS68" s="247">
        <f>_DATA_Assessment_Model!AP68</f>
        <v/>
      </c>
      <c r="AT68" s="247">
        <f>_DATA_Assessment_Model!AQ68</f>
        <v/>
      </c>
      <c r="AU68" s="247">
        <f>_DATA_Assessment_Model!AR68</f>
        <v/>
      </c>
      <c r="AV68" s="5">
        <f>_DATA_Assessment_Model!AS68</f>
        <v/>
      </c>
      <c r="AW68" s="5">
        <f>_DATA_Assessment_Model!AT68</f>
        <v/>
      </c>
      <c r="AY68">
        <f>_DATA_Assessment_Model!AV68</f>
        <v/>
      </c>
    </row>
    <row r="69">
      <c r="A69" t="inlineStr">
        <is>
          <t>Governance Crisis</t>
        </is>
      </c>
      <c r="B69" t="inlineStr">
        <is>
          <t>Governance Crisis</t>
        </is>
      </c>
      <c r="C69" t="n">
        <v>24</v>
      </c>
      <c r="D69" t="inlineStr">
        <is>
          <t>GOVE-020</t>
        </is>
      </c>
      <c r="E69" t="inlineStr">
        <is>
          <t>Risk and continuity</t>
        </is>
      </c>
      <c r="F69" t="inlineStr">
        <is>
          <t>How mature is the organization in managing offline availability of continuity plans, runbooks, contact lists and key contracts when core IT is unavailable, including ownership, evidence, metrics, fallback procedures and crisis stress testing?</t>
        </is>
      </c>
      <c r="G69" t="inlineStr">
        <is>
          <t>This topic affects exposure to Cyberattack/ransomware; Energy/utilities outage; Cloud/SaaS outage. It helps identify how disruption may impact operations, people, revenue, systems, legal exposure or recovery time.</t>
        </is>
      </c>
      <c r="H69" t="inlineStr">
        <is>
          <t>ISO 22301; NIST SP 800-34</t>
        </is>
      </c>
      <c r="I69" t="inlineStr">
        <is>
          <t>Policy/SOP; owner/RACI; system report; dashboard; contracts; test records; incident history; interview evidence</t>
        </is>
      </c>
      <c r="J69" t="n">
        <v>4</v>
      </c>
      <c r="K69">
        <f>_DATA_Assessment_Model!H69</f>
        <v/>
      </c>
      <c r="L69">
        <f>_DATA_Assessment_Model!I69</f>
        <v/>
      </c>
      <c r="M69">
        <f>_DATA_Assessment_Model!J69</f>
        <v/>
      </c>
      <c r="N69">
        <f>_DATA_Assessment_Model!K69</f>
        <v/>
      </c>
      <c r="O69">
        <f>_DATA_Assessment_Model!L69</f>
        <v/>
      </c>
      <c r="P69" t="inlineStr">
        <is>
          <t>No reliable evidence that offline availability of continuity plans, runbooks, contact lists and key contracts when core IT is unavailable is defined, owned or managed.</t>
        </is>
      </c>
      <c r="Q69" t="inlineStr">
        <is>
          <t>Offline availability of continuity plans, runbooks, contact lists and key contracts when core IT is unavailable is handled informally and depends on individual knowledge or heroic effort.</t>
        </is>
      </c>
      <c r="R69" t="inlineStr">
        <is>
          <t>Offline availability of continuity plans, runbooks, contact lists and key contracts when core IT is unavailable is partially documented or implemented, but coverage is inconsistent and not crisis-tested.</t>
        </is>
      </c>
      <c r="S69" t="inlineStr">
        <is>
          <t>Offline availability of continuity plans, runbooks, contact lists and key contracts when core IT is unavailable is documented, owned, used in normal operations and supported by basic evidence or metrics.</t>
        </is>
      </c>
      <c r="T69" t="inlineStr">
        <is>
          <t>Offline availability of continuity plans, runbooks, contact lists and key contracts when core IT is unavailable is measured, periodically reviewed, integrated with related processes and tested against relevant disruption scenarios.</t>
        </is>
      </c>
      <c r="U69" t="inlineStr">
        <is>
          <t>Offline availability of continuity plans, runbooks, contact lists and key contracts when core IT is unavailable is optimized, continuously improved, automated where practical and demonstrably supports crisis resilience.</t>
        </is>
      </c>
      <c r="V69" t="inlineStr">
        <is>
          <t>Cyberattack/ransomware; Energy/utilities outage; Cloud/SaaS outage</t>
        </is>
      </c>
      <c r="Y69" t="inlineStr">
        <is>
          <t>Use the recommended action generated by the model; validate with domain owner during real assessment.</t>
        </is>
      </c>
      <c r="Z69" t="n">
        <v>2</v>
      </c>
      <c r="AA69" t="n">
        <v>5</v>
      </c>
      <c r="AB69" t="n">
        <v>4</v>
      </c>
      <c r="AM69">
        <f>_DATA_Assessment_Model!AJ69</f>
        <v/>
      </c>
      <c r="AN69">
        <f>_DATA_Assessment_Model!AK69</f>
        <v/>
      </c>
      <c r="AO69">
        <f>_DATA_Assessment_Model!AL69</f>
        <v/>
      </c>
      <c r="AP69">
        <f>_DATA_Assessment_Model!AM69</f>
        <v/>
      </c>
      <c r="AQ69">
        <f>_DATA_Assessment_Model!AN69</f>
        <v/>
      </c>
      <c r="AR69">
        <f>_DATA_Assessment_Model!AO69</f>
        <v/>
      </c>
      <c r="AS69">
        <f>_DATA_Assessment_Model!AP69</f>
        <v/>
      </c>
      <c r="AT69">
        <f>_DATA_Assessment_Model!AQ69</f>
        <v/>
      </c>
      <c r="AU69">
        <f>_DATA_Assessment_Model!AR69</f>
        <v/>
      </c>
      <c r="AV69">
        <f>_DATA_Assessment_Model!AS69</f>
        <v/>
      </c>
      <c r="AW69">
        <f>_DATA_Assessment_Model!AT69</f>
        <v/>
      </c>
      <c r="AY69">
        <f>_DATA_Assessment_Model!AV69</f>
        <v/>
      </c>
    </row>
    <row r="70">
      <c r="A70" t="inlineStr">
        <is>
          <t>Governance Crisis</t>
        </is>
      </c>
      <c r="B70" t="inlineStr">
        <is>
          <t>Governance Crisis</t>
        </is>
      </c>
      <c r="C70" t="n">
        <v>25</v>
      </c>
      <c r="D70" t="inlineStr">
        <is>
          <t>GOVE-021</t>
        </is>
      </c>
      <c r="E70" t="inlineStr">
        <is>
          <t>Crisis governance</t>
        </is>
      </c>
      <c r="F70" t="inlineStr">
        <is>
          <t>How mature is the organization in managing primary and alternate crisis command arrangements with independent communications and access to crisis tools, including ownership, evidence, metrics, fallback procedures and crisis stress testing?</t>
        </is>
      </c>
      <c r="G70" t="inlineStr">
        <is>
          <t>This topic affects exposure to War/security crisis; Physical site loss; Energy/utilities outage. It helps identify how disruption may impact operations, people, revenue, systems, legal exposure or recovery time.</t>
        </is>
      </c>
      <c r="H70" t="inlineStr">
        <is>
          <t>ISO 22301; ISO 22320</t>
        </is>
      </c>
      <c r="I70" t="inlineStr">
        <is>
          <t>Policy/SOP; owner/RACI; system report; dashboard; contracts; test records; incident history; interview evidence</t>
        </is>
      </c>
      <c r="J70" t="n">
        <v>4</v>
      </c>
      <c r="K70">
        <f>_DATA_Assessment_Model!H70</f>
        <v/>
      </c>
      <c r="L70">
        <f>_DATA_Assessment_Model!I70</f>
        <v/>
      </c>
      <c r="M70">
        <f>_DATA_Assessment_Model!J70</f>
        <v/>
      </c>
      <c r="N70">
        <f>_DATA_Assessment_Model!K70</f>
        <v/>
      </c>
      <c r="O70">
        <f>_DATA_Assessment_Model!L70</f>
        <v/>
      </c>
      <c r="P70" t="inlineStr">
        <is>
          <t>No reliable evidence that primary and alternate crisis command arrangements with independent communications and access to crisis tools is defined, owned or managed.</t>
        </is>
      </c>
      <c r="Q70" t="inlineStr">
        <is>
          <t>Primary and alternate crisis command arrangements with independent communications and access to crisis tools is handled informally and depends on individual knowledge or heroic effort.</t>
        </is>
      </c>
      <c r="R70" t="inlineStr">
        <is>
          <t>Primary and alternate crisis command arrangements with independent communications and access to crisis tools is partially documented or implemented, but coverage is inconsistent and not crisis-tested.</t>
        </is>
      </c>
      <c r="S70" t="inlineStr">
        <is>
          <t>Primary and alternate crisis command arrangements with independent communications and access to crisis tools is documented, owned, used in normal operations and supported by basic evidence or metrics.</t>
        </is>
      </c>
      <c r="T70" t="inlineStr">
        <is>
          <t>Primary and alternate crisis command arrangements with independent communications and access to crisis tools is measured, periodically reviewed, integrated with related processes and tested against relevant disruption scenarios.</t>
        </is>
      </c>
      <c r="U70" t="inlineStr">
        <is>
          <t>Primary and alternate crisis command arrangements with independent communications and access to crisis tools is optimized, continuously improved, automated where practical and demonstrably supports crisis resilience.</t>
        </is>
      </c>
      <c r="V70" t="inlineStr">
        <is>
          <t>War/security crisis; Physical site loss; Energy/utilities outage</t>
        </is>
      </c>
      <c r="Y70" t="inlineStr">
        <is>
          <t>Use the recommended action generated by the model; validate with domain owner during real assessment.</t>
        </is>
      </c>
      <c r="Z70" t="n">
        <v>3</v>
      </c>
      <c r="AA70" t="n">
        <v>5</v>
      </c>
      <c r="AB70" t="n">
        <v>4</v>
      </c>
      <c r="AM70">
        <f>_DATA_Assessment_Model!AJ70</f>
        <v/>
      </c>
      <c r="AN70">
        <f>_DATA_Assessment_Model!AK70</f>
        <v/>
      </c>
      <c r="AO70">
        <f>_DATA_Assessment_Model!AL70</f>
        <v/>
      </c>
      <c r="AP70">
        <f>_DATA_Assessment_Model!AM70</f>
        <v/>
      </c>
      <c r="AQ70">
        <f>_DATA_Assessment_Model!AN70</f>
        <v/>
      </c>
      <c r="AR70">
        <f>_DATA_Assessment_Model!AO70</f>
        <v/>
      </c>
      <c r="AS70">
        <f>_DATA_Assessment_Model!AP70</f>
        <v/>
      </c>
      <c r="AT70">
        <f>_DATA_Assessment_Model!AQ70</f>
        <v/>
      </c>
      <c r="AU70">
        <f>_DATA_Assessment_Model!AR70</f>
        <v/>
      </c>
      <c r="AV70">
        <f>_DATA_Assessment_Model!AS70</f>
        <v/>
      </c>
      <c r="AW70">
        <f>_DATA_Assessment_Model!AT70</f>
        <v/>
      </c>
      <c r="AY70">
        <f>_DATA_Assessment_Model!AV70</f>
        <v/>
      </c>
    </row>
    <row r="71">
      <c r="A71" t="inlineStr">
        <is>
          <t>Governance Crisis</t>
        </is>
      </c>
      <c r="B71" t="inlineStr">
        <is>
          <t>Governance Crisis</t>
        </is>
      </c>
      <c r="C71" t="n">
        <v>26</v>
      </c>
      <c r="D71" t="inlineStr">
        <is>
          <t>GOVE-022</t>
        </is>
      </c>
      <c r="E71" t="inlineStr">
        <is>
          <t>Risk and continuity</t>
        </is>
      </c>
      <c r="F71" t="inlineStr">
        <is>
          <t>How mature is the organization in managing joint crisis exercises with critical suppliers, customers, authorities and insurers, including ownership, evidence, metrics, fallback procedures and crisis stress testing?</t>
        </is>
      </c>
      <c r="G71" t="inlineStr">
        <is>
          <t>This topic affects exposure to Supplier/logistics disruption; War/security crisis; Cyberattack/ransomware. It helps identify how disruption may impact operations, people, revenue, systems, legal exposure or recovery time.</t>
        </is>
      </c>
      <c r="H71" t="inlineStr">
        <is>
          <t>ISO 22301; ISO 22398</t>
        </is>
      </c>
      <c r="I71" t="inlineStr">
        <is>
          <t>Policy/SOP; owner/RACI; system report; dashboard; contracts; test records; incident history; interview evidence</t>
        </is>
      </c>
      <c r="J71" t="n">
        <v>3</v>
      </c>
      <c r="K71">
        <f>_DATA_Assessment_Model!H71</f>
        <v/>
      </c>
      <c r="L71">
        <f>_DATA_Assessment_Model!I71</f>
        <v/>
      </c>
      <c r="M71">
        <f>_DATA_Assessment_Model!J71</f>
        <v/>
      </c>
      <c r="N71">
        <f>_DATA_Assessment_Model!K71</f>
        <v/>
      </c>
      <c r="O71">
        <f>_DATA_Assessment_Model!L71</f>
        <v/>
      </c>
      <c r="P71" t="inlineStr">
        <is>
          <t>Never done; no records exist.</t>
        </is>
      </c>
      <c r="Q71" t="inlineStr">
        <is>
          <t>Done once long ago or only after an incident; no schedule, no records.</t>
        </is>
      </c>
      <c r="R71" t="inlineStr">
        <is>
          <t>Done irregularly; results are not documented and findings are not tracked.</t>
        </is>
      </c>
      <c r="S71" t="inlineStr">
        <is>
          <t>Done on a defined schedule (at least annually); results documented, owner assigned.</t>
        </is>
      </c>
      <c r="T71" t="inlineStr">
        <is>
          <t>Done quarterly/semi-annually; findings tracked to closure, effectiveness measured against targets.</t>
        </is>
      </c>
      <c r="U71" t="inlineStr">
        <is>
          <t>Continuous or automated where possible; results drive improvements and are validated externally (audit/customer).</t>
        </is>
      </c>
      <c r="V71" t="inlineStr">
        <is>
          <t>Supplier/logistics disruption; War/security crisis; Cyberattack/ransomware</t>
        </is>
      </c>
      <c r="Y71" t="inlineStr">
        <is>
          <t>Use the recommended action generated by the model; validate with domain owner during real assessment.</t>
        </is>
      </c>
      <c r="Z71" t="n">
        <v>2</v>
      </c>
      <c r="AA71" t="n">
        <v>5</v>
      </c>
      <c r="AB71" t="n">
        <v>3</v>
      </c>
      <c r="AM71">
        <f>_DATA_Assessment_Model!AJ71</f>
        <v/>
      </c>
      <c r="AN71">
        <f>_DATA_Assessment_Model!AK71</f>
        <v/>
      </c>
      <c r="AO71">
        <f>_DATA_Assessment_Model!AL71</f>
        <v/>
      </c>
      <c r="AP71">
        <f>_DATA_Assessment_Model!AM71</f>
        <v/>
      </c>
      <c r="AQ71">
        <f>_DATA_Assessment_Model!AN71</f>
        <v/>
      </c>
      <c r="AR71">
        <f>_DATA_Assessment_Model!AO71</f>
        <v/>
      </c>
      <c r="AS71">
        <f>_DATA_Assessment_Model!AP71</f>
        <v/>
      </c>
      <c r="AT71">
        <f>_DATA_Assessment_Model!AQ71</f>
        <v/>
      </c>
      <c r="AU71">
        <f>_DATA_Assessment_Model!AR71</f>
        <v/>
      </c>
      <c r="AV71">
        <f>_DATA_Assessment_Model!AS71</f>
        <v/>
      </c>
      <c r="AW71">
        <f>_DATA_Assessment_Model!AT71</f>
        <v/>
      </c>
      <c r="AY71">
        <f>_DATA_Assessment_Model!AV71</f>
        <v/>
      </c>
    </row>
    <row r="72" ht="82.8" customHeight="1" s="209">
      <c r="A72" t="inlineStr">
        <is>
          <t>HR Workforce</t>
        </is>
      </c>
      <c r="B72" t="inlineStr">
        <is>
          <t>HR Workforce</t>
        </is>
      </c>
      <c r="C72" t="n">
        <v>5</v>
      </c>
      <c r="D72" s="3" t="inlineStr">
        <is>
          <t>HRWO-001</t>
        </is>
      </c>
      <c r="E72" s="3" t="inlineStr">
        <is>
          <t>Workforce visibility</t>
        </is>
      </c>
      <c r="F72" s="3" t="inlineStr">
        <is>
          <t>How mature is the organization in managing workforce inventory by role, location, manager, contract type, employment entity, skill and criticality, including ownership, evidence, metrics, fallback procedures and crisis stress testing?</t>
        </is>
      </c>
      <c r="G72" s="3" t="inlineStr">
        <is>
          <t>This topic affects exposure to Workforce disruption; Pandemic/health crisis; War/security crisis. It helps identify how disruption may impact operations, people, revenue, systems, legal exposure or recovery time.</t>
        </is>
      </c>
      <c r="H72" s="3" t="inlineStr">
        <is>
          <t>ISO 30414; ISO 30405; ISO 45001; ISO 22301; CIPD; SHRM</t>
        </is>
      </c>
      <c r="I72" s="3" t="inlineStr">
        <is>
          <t>Policy/SOP; owner/RACI; system report; dashboard; contracts; test records; incident history; interview evidence related to workforce inventory by role, location, manager, contract type, employment entity, skill and criticality.</t>
        </is>
      </c>
      <c r="J72" s="3" t="n">
        <v>5</v>
      </c>
      <c r="K72" s="85">
        <f>_DATA_Assessment_Model!H72</f>
        <v/>
      </c>
      <c r="L72" s="4">
        <f>_DATA_Assessment_Model!I72</f>
        <v/>
      </c>
      <c r="M72" s="4">
        <f>_DATA_Assessment_Model!J72</f>
        <v/>
      </c>
      <c r="N72" s="4">
        <f>_DATA_Assessment_Model!K72</f>
        <v/>
      </c>
      <c r="O72" s="3">
        <f>_DATA_Assessment_Model!L72</f>
        <v/>
      </c>
      <c r="P72" s="3" t="inlineStr">
        <is>
          <t>No inventory/register exists.</t>
        </is>
      </c>
      <c r="Q72" s="3" t="inlineStr">
        <is>
          <t>Partial lists live in individuals' heads or personal files.</t>
        </is>
      </c>
      <c r="R72" s="3" t="inlineStr">
        <is>
          <t>A register exists but is incomplete or outdated (&gt;1 year) and has no owner.</t>
        </is>
      </c>
      <c r="S72" s="3" t="inlineStr">
        <is>
          <t>Owned, documented, updated on a defined schedule, covers the main scope.</t>
        </is>
      </c>
      <c r="T72" s="3" t="inlineStr">
        <is>
          <t>Complete and periodically reviewed; integrated with related processes; completeness measured.</t>
        </is>
      </c>
      <c r="U72" s="3" t="inlineStr">
        <is>
          <t>Maintained automatically or synced with systems; drives decisions; audited.</t>
        </is>
      </c>
      <c r="V72" s="3" t="inlineStr">
        <is>
          <t>Workforce disruption; Pandemic/health crisis; War/security crisis</t>
        </is>
      </c>
      <c r="W72" s="3" t="n"/>
      <c r="X72" s="3" t="n"/>
      <c r="Y72" s="3" t="inlineStr">
        <is>
          <t>Use the recommended action generated by the model; validate with domain owner during real assessment.</t>
        </is>
      </c>
      <c r="Z72" s="7" t="n">
        <v>4</v>
      </c>
      <c r="AA72" s="7" t="n">
        <v>5</v>
      </c>
      <c r="AB72" s="7" t="n">
        <v>5</v>
      </c>
      <c r="AD72" t="inlineStr">
        <is>
          <t>Workforce visibility</t>
        </is>
      </c>
      <c r="AE72" s="6">
        <f>_DATA_Assessment_Model!AB72</f>
        <v/>
      </c>
      <c r="AF72" s="8">
        <f>_DATA_Assessment_Model!AC72</f>
        <v/>
      </c>
      <c r="AG72" s="9">
        <f>_DATA_Assessment_Model!AD72</f>
        <v/>
      </c>
      <c r="AH72" s="6">
        <f>_DATA_Assessment_Model!AE72</f>
        <v/>
      </c>
      <c r="AI72" s="8">
        <f>_DATA_Assessment_Model!AF72</f>
        <v/>
      </c>
      <c r="AJ72" s="6">
        <f>_DATA_Assessment_Model!AG72</f>
        <v/>
      </c>
      <c r="AK72" s="46" t="n"/>
      <c r="AL72" s="46" t="n"/>
      <c r="AM72" s="247">
        <f>_DATA_Assessment_Model!AJ72</f>
        <v/>
      </c>
      <c r="AN72" s="247">
        <f>_DATA_Assessment_Model!AK72</f>
        <v/>
      </c>
      <c r="AO72" s="247">
        <f>_DATA_Assessment_Model!AL72</f>
        <v/>
      </c>
      <c r="AP72" s="247">
        <f>_DATA_Assessment_Model!AM72</f>
        <v/>
      </c>
      <c r="AQ72" s="247">
        <f>_DATA_Assessment_Model!AN72</f>
        <v/>
      </c>
      <c r="AR72" s="247">
        <f>_DATA_Assessment_Model!AO72</f>
        <v/>
      </c>
      <c r="AS72" s="247">
        <f>_DATA_Assessment_Model!AP72</f>
        <v/>
      </c>
      <c r="AT72" s="247">
        <f>_DATA_Assessment_Model!AQ72</f>
        <v/>
      </c>
      <c r="AU72" s="247">
        <f>_DATA_Assessment_Model!AR72</f>
        <v/>
      </c>
      <c r="AV72" s="5">
        <f>_DATA_Assessment_Model!AS72</f>
        <v/>
      </c>
      <c r="AW72" s="5">
        <f>_DATA_Assessment_Model!AT72</f>
        <v/>
      </c>
      <c r="AY72">
        <f>_DATA_Assessment_Model!AV72</f>
        <v/>
      </c>
    </row>
    <row r="73" ht="96.59999999999999" customHeight="1" s="209">
      <c r="A73" t="inlineStr">
        <is>
          <t>HR Workforce</t>
        </is>
      </c>
      <c r="B73" t="inlineStr">
        <is>
          <t>HR Workforce</t>
        </is>
      </c>
      <c r="C73" t="n">
        <v>6</v>
      </c>
      <c r="D73" s="3" t="inlineStr">
        <is>
          <t>HRWO-002</t>
        </is>
      </c>
      <c r="E73" s="3" t="inlineStr">
        <is>
          <t>Workforce visibility</t>
        </is>
      </c>
      <c r="F73" s="3" t="inlineStr">
        <is>
          <t>How mature is the organization in managing critical role mapping by process dependency, customer impact, system access and knowledge concentration, including ownership, evidence, metrics, fallback procedures and crisis stress testing?</t>
        </is>
      </c>
      <c r="G73" s="3" t="inlineStr">
        <is>
          <t>This topic affects exposure to Workforce disruption; Pandemic/health crisis; War/security crisis. It helps identify how disruption may impact operations, people, revenue, systems, legal exposure or recovery time.</t>
        </is>
      </c>
      <c r="H73" s="3" t="inlineStr">
        <is>
          <t>ISO 30414; ISO 30405; ISO 45001; ISO 22301; CIPD; SHRM</t>
        </is>
      </c>
      <c r="I73" s="3" t="inlineStr">
        <is>
          <t>Policy/SOP; owner/RACI; system report; dashboard; contracts; test records; incident history; interview evidence related to critical role mapping by process dependency, customer impact, system access and knowledge concentration.</t>
        </is>
      </c>
      <c r="J73" s="3" t="n">
        <v>5</v>
      </c>
      <c r="K73" s="85">
        <f>_DATA_Assessment_Model!H73</f>
        <v/>
      </c>
      <c r="L73" s="4">
        <f>_DATA_Assessment_Model!I73</f>
        <v/>
      </c>
      <c r="M73" s="4">
        <f>_DATA_Assessment_Model!J73</f>
        <v/>
      </c>
      <c r="N73" s="4">
        <f>_DATA_Assessment_Model!K73</f>
        <v/>
      </c>
      <c r="O73" s="3">
        <f>_DATA_Assessment_Model!L73</f>
        <v/>
      </c>
      <c r="P73" s="3" t="inlineStr">
        <is>
          <t>No inventory/register exists.</t>
        </is>
      </c>
      <c r="Q73" s="3" t="inlineStr">
        <is>
          <t>Partial lists live in individuals' heads or personal files.</t>
        </is>
      </c>
      <c r="R73" s="3" t="inlineStr">
        <is>
          <t>A register exists but is incomplete or outdated (&gt;1 year) and has no owner.</t>
        </is>
      </c>
      <c r="S73" s="3" t="inlineStr">
        <is>
          <t>Owned, documented, updated on a defined schedule, covers the main scope.</t>
        </is>
      </c>
      <c r="T73" s="3" t="inlineStr">
        <is>
          <t>Complete and periodically reviewed; integrated with related processes; completeness measured.</t>
        </is>
      </c>
      <c r="U73" s="3" t="inlineStr">
        <is>
          <t>Maintained automatically or synced with systems; drives decisions; audited.</t>
        </is>
      </c>
      <c r="V73" s="3" t="inlineStr">
        <is>
          <t>Workforce disruption; Pandemic/health crisis; War/security crisis</t>
        </is>
      </c>
      <c r="W73" s="3" t="n"/>
      <c r="X73" s="3" t="n"/>
      <c r="Y73" s="3" t="inlineStr">
        <is>
          <t>Use the recommended action generated by the model; validate with domain owner during real assessment.</t>
        </is>
      </c>
      <c r="Z73" s="7" t="n">
        <v>4</v>
      </c>
      <c r="AA73" s="7" t="n">
        <v>5</v>
      </c>
      <c r="AB73" s="7" t="n">
        <v>5</v>
      </c>
      <c r="AD73" t="inlineStr">
        <is>
          <t>Recruitment and retention</t>
        </is>
      </c>
      <c r="AE73" s="6">
        <f>_DATA_Assessment_Model!AB73</f>
        <v/>
      </c>
      <c r="AF73" s="8">
        <f>_DATA_Assessment_Model!AC73</f>
        <v/>
      </c>
      <c r="AG73" s="9">
        <f>_DATA_Assessment_Model!AD73</f>
        <v/>
      </c>
      <c r="AH73" s="6">
        <f>_DATA_Assessment_Model!AE73</f>
        <v/>
      </c>
      <c r="AI73" s="8">
        <f>_DATA_Assessment_Model!AF73</f>
        <v/>
      </c>
      <c r="AJ73" s="6">
        <f>_DATA_Assessment_Model!AG73</f>
        <v/>
      </c>
      <c r="AK73" s="46" t="n"/>
      <c r="AL73" s="46" t="n"/>
      <c r="AM73" s="247">
        <f>_DATA_Assessment_Model!AJ73</f>
        <v/>
      </c>
      <c r="AN73" s="247">
        <f>_DATA_Assessment_Model!AK73</f>
        <v/>
      </c>
      <c r="AO73" s="247">
        <f>_DATA_Assessment_Model!AL73</f>
        <v/>
      </c>
      <c r="AP73" s="247">
        <f>_DATA_Assessment_Model!AM73</f>
        <v/>
      </c>
      <c r="AQ73" s="247">
        <f>_DATA_Assessment_Model!AN73</f>
        <v/>
      </c>
      <c r="AR73" s="247">
        <f>_DATA_Assessment_Model!AO73</f>
        <v/>
      </c>
      <c r="AS73" s="247">
        <f>_DATA_Assessment_Model!AP73</f>
        <v/>
      </c>
      <c r="AT73" s="247">
        <f>_DATA_Assessment_Model!AQ73</f>
        <v/>
      </c>
      <c r="AU73" s="247">
        <f>_DATA_Assessment_Model!AR73</f>
        <v/>
      </c>
      <c r="AV73" s="5">
        <f>_DATA_Assessment_Model!AS73</f>
        <v/>
      </c>
      <c r="AW73" s="5">
        <f>_DATA_Assessment_Model!AT73</f>
        <v/>
      </c>
      <c r="AY73">
        <f>_DATA_Assessment_Model!AV73</f>
        <v/>
      </c>
    </row>
    <row r="74" ht="82.8" customHeight="1" s="209">
      <c r="A74" t="inlineStr">
        <is>
          <t>HR Workforce</t>
        </is>
      </c>
      <c r="B74" t="inlineStr">
        <is>
          <t>HR Workforce</t>
        </is>
      </c>
      <c r="C74" t="n">
        <v>7</v>
      </c>
      <c r="D74" s="3" t="inlineStr">
        <is>
          <t>HRWO-003</t>
        </is>
      </c>
      <c r="E74" s="3" t="inlineStr">
        <is>
          <t>Workforce visibility</t>
        </is>
      </c>
      <c r="F74" s="3" t="inlineStr">
        <is>
          <t>How mature is the organization in managing key-person risk for executives, founders, architects, plant specialists, client owners and finance signatories, including ownership, evidence, metrics, fallback procedures and crisis stress testing?</t>
        </is>
      </c>
      <c r="G74" s="3" t="inlineStr">
        <is>
          <t>This topic affects exposure to Workforce disruption; Pandemic/health crisis; War/security crisis. It helps identify how disruption may impact operations, people, revenue, systems, legal exposure or recovery time.</t>
        </is>
      </c>
      <c r="H74" s="3" t="inlineStr">
        <is>
          <t>ISO 30414; ISO 30405; ISO 45001; ISO 22301; CIPD; SHRM</t>
        </is>
      </c>
      <c r="I74" s="3" t="inlineStr">
        <is>
          <t>Policy/SOP; owner/RACI; system report; dashboard; contracts; test records; incident history; interview evidence related to key-person risk for executives, founders, architects, plant specialists, client owners and finance signatories.</t>
        </is>
      </c>
      <c r="J74" s="3" t="n">
        <v>5</v>
      </c>
      <c r="K74" s="85">
        <f>_DATA_Assessment_Model!H74</f>
        <v/>
      </c>
      <c r="L74" s="4">
        <f>_DATA_Assessment_Model!I74</f>
        <v/>
      </c>
      <c r="M74" s="4">
        <f>_DATA_Assessment_Model!J74</f>
        <v/>
      </c>
      <c r="N74" s="4">
        <f>_DATA_Assessment_Model!K74</f>
        <v/>
      </c>
      <c r="O74" s="3">
        <f>_DATA_Assessment_Model!L74</f>
        <v/>
      </c>
      <c r="P74" s="3" t="inlineStr">
        <is>
          <t>No plan or procedure exists.</t>
        </is>
      </c>
      <c r="Q74" s="3" t="inlineStr">
        <is>
          <t>Knowledge lives with individuals; nothing usable is written down.</t>
        </is>
      </c>
      <c r="R74" s="3" t="inlineStr">
        <is>
          <t>Drafted but outdated, not approved, or unknown to the people who must use it.</t>
        </is>
      </c>
      <c r="S74" s="3" t="inlineStr">
        <is>
          <t>Approved and current; owners assigned; affected staff know it exists and where to find it.</t>
        </is>
      </c>
      <c r="T74" s="3" t="inlineStr">
        <is>
          <t>Tested against realistic scenarios; updated after each test or real incident.</t>
        </is>
      </c>
      <c r="U74" s="3" t="inlineStr">
        <is>
          <t>Exercised regularly including external parties; readiness measured; continuously improved.</t>
        </is>
      </c>
      <c r="V74" s="3" t="inlineStr">
        <is>
          <t>Workforce disruption; Pandemic/health crisis; War/security crisis</t>
        </is>
      </c>
      <c r="W74" s="3" t="n"/>
      <c r="X74" s="3" t="n"/>
      <c r="Y74" s="3" t="inlineStr">
        <is>
          <t>Use the recommended action generated by the model; validate with domain owner during real assessment.</t>
        </is>
      </c>
      <c r="Z74" s="7" t="n">
        <v>4</v>
      </c>
      <c r="AA74" s="7" t="n">
        <v>5</v>
      </c>
      <c r="AB74" s="7" t="n">
        <v>5</v>
      </c>
      <c r="AD74" t="inlineStr">
        <is>
          <t>Continuity and wellbeing</t>
        </is>
      </c>
      <c r="AE74" s="6">
        <f>_DATA_Assessment_Model!AB74</f>
        <v/>
      </c>
      <c r="AF74" s="8">
        <f>_DATA_Assessment_Model!AC74</f>
        <v/>
      </c>
      <c r="AG74" s="9">
        <f>_DATA_Assessment_Model!AD74</f>
        <v/>
      </c>
      <c r="AH74" s="6">
        <f>_DATA_Assessment_Model!AE74</f>
        <v/>
      </c>
      <c r="AI74" s="8">
        <f>_DATA_Assessment_Model!AF74</f>
        <v/>
      </c>
      <c r="AJ74" s="6">
        <f>_DATA_Assessment_Model!AG74</f>
        <v/>
      </c>
      <c r="AK74" s="46" t="n"/>
      <c r="AL74" s="46" t="n"/>
      <c r="AM74" s="247">
        <f>_DATA_Assessment_Model!AJ74</f>
        <v/>
      </c>
      <c r="AN74" s="247">
        <f>_DATA_Assessment_Model!AK74</f>
        <v/>
      </c>
      <c r="AO74" s="247">
        <f>_DATA_Assessment_Model!AL74</f>
        <v/>
      </c>
      <c r="AP74" s="247">
        <f>_DATA_Assessment_Model!AM74</f>
        <v/>
      </c>
      <c r="AQ74" s="247">
        <f>_DATA_Assessment_Model!AN74</f>
        <v/>
      </c>
      <c r="AR74" s="247">
        <f>_DATA_Assessment_Model!AO74</f>
        <v/>
      </c>
      <c r="AS74" s="247">
        <f>_DATA_Assessment_Model!AP74</f>
        <v/>
      </c>
      <c r="AT74" s="247">
        <f>_DATA_Assessment_Model!AQ74</f>
        <v/>
      </c>
      <c r="AU74" s="247">
        <f>_DATA_Assessment_Model!AR74</f>
        <v/>
      </c>
      <c r="AV74" s="5">
        <f>_DATA_Assessment_Model!AS74</f>
        <v/>
      </c>
      <c r="AW74" s="5">
        <f>_DATA_Assessment_Model!AT74</f>
        <v/>
      </c>
      <c r="AY74">
        <f>_DATA_Assessment_Model!AV74</f>
        <v/>
      </c>
    </row>
    <row r="75" ht="82.8" customHeight="1" s="209">
      <c r="A75" t="inlineStr">
        <is>
          <t>HR Workforce</t>
        </is>
      </c>
      <c r="B75" t="inlineStr">
        <is>
          <t>HR Workforce</t>
        </is>
      </c>
      <c r="C75" t="n">
        <v>8</v>
      </c>
      <c r="D75" s="3" t="inlineStr">
        <is>
          <t>HRWO-004</t>
        </is>
      </c>
      <c r="E75" s="3" t="inlineStr">
        <is>
          <t>Workforce visibility</t>
        </is>
      </c>
      <c r="F75" s="3" t="inlineStr">
        <is>
          <t>How mature is the organization in managing skills matrix linked to critical processes, systems, products, sites and backup coverage, including ownership, evidence, metrics, fallback procedures and crisis stress testing?</t>
        </is>
      </c>
      <c r="G75" s="3" t="inlineStr">
        <is>
          <t>This topic affects exposure to Workforce disruption; Pandemic/health crisis; War/security crisis. It helps identify how disruption may impact operations, people, revenue, systems, legal exposure or recovery time.</t>
        </is>
      </c>
      <c r="H75" s="3" t="inlineStr">
        <is>
          <t>ISO 30414; ISO 30405; ISO 45001; ISO 22301; CIPD; SHRM</t>
        </is>
      </c>
      <c r="I75" s="3" t="inlineStr">
        <is>
          <t>Policy/SOP; owner/RACI; system report; dashboard; contracts; test records; incident history; interview evidence related to skills matrix linked to critical processes, systems, products, sites and backup coverage.</t>
        </is>
      </c>
      <c r="J75" s="3" t="n">
        <v>5</v>
      </c>
      <c r="K75" s="85">
        <f>_DATA_Assessment_Model!H75</f>
        <v/>
      </c>
      <c r="L75" s="4">
        <f>_DATA_Assessment_Model!I75</f>
        <v/>
      </c>
      <c r="M75" s="4">
        <f>_DATA_Assessment_Model!J75</f>
        <v/>
      </c>
      <c r="N75" s="4">
        <f>_DATA_Assessment_Model!K75</f>
        <v/>
      </c>
      <c r="O75" s="3">
        <f>_DATA_Assessment_Model!L75</f>
        <v/>
      </c>
      <c r="P75" s="3" t="inlineStr">
        <is>
          <t>No inventory/register exists.</t>
        </is>
      </c>
      <c r="Q75" s="3" t="inlineStr">
        <is>
          <t>Partial lists live in individuals' heads or personal files.</t>
        </is>
      </c>
      <c r="R75" s="3" t="inlineStr">
        <is>
          <t>A register exists but is incomplete or outdated (&gt;1 year) and has no owner.</t>
        </is>
      </c>
      <c r="S75" s="3" t="inlineStr">
        <is>
          <t>Owned, documented, updated on a defined schedule, covers the main scope.</t>
        </is>
      </c>
      <c r="T75" s="3" t="inlineStr">
        <is>
          <t>Complete and periodically reviewed; integrated with related processes; completeness measured.</t>
        </is>
      </c>
      <c r="U75" s="3" t="inlineStr">
        <is>
          <t>Maintained automatically or synced with systems; drives decisions; audited.</t>
        </is>
      </c>
      <c r="V75" s="3" t="inlineStr">
        <is>
          <t>Workforce disruption; Pandemic/health crisis; War/security crisis</t>
        </is>
      </c>
      <c r="W75" s="3" t="n"/>
      <c r="X75" s="3" t="n"/>
      <c r="Y75" s="3" t="inlineStr">
        <is>
          <t>Use the recommended action generated by the model; validate with domain owner during real assessment.</t>
        </is>
      </c>
      <c r="Z75" s="7" t="n">
        <v>5</v>
      </c>
      <c r="AA75" s="7" t="n">
        <v>5</v>
      </c>
      <c r="AB75" s="7" t="n">
        <v>5</v>
      </c>
      <c r="AD75" t="inlineStr">
        <is>
          <t>HR systems and compliance</t>
        </is>
      </c>
      <c r="AE75" s="6">
        <f>_DATA_Assessment_Model!AB75</f>
        <v/>
      </c>
      <c r="AF75" s="8">
        <f>_DATA_Assessment_Model!AC75</f>
        <v/>
      </c>
      <c r="AG75" s="9">
        <f>_DATA_Assessment_Model!AD75</f>
        <v/>
      </c>
      <c r="AH75" s="6">
        <f>_DATA_Assessment_Model!AE75</f>
        <v/>
      </c>
      <c r="AI75" s="8">
        <f>_DATA_Assessment_Model!AF75</f>
        <v/>
      </c>
      <c r="AJ75" s="6">
        <f>_DATA_Assessment_Model!AG75</f>
        <v/>
      </c>
      <c r="AK75" s="46" t="n"/>
      <c r="AL75" s="46" t="n"/>
      <c r="AM75" s="247">
        <f>_DATA_Assessment_Model!AJ75</f>
        <v/>
      </c>
      <c r="AN75" s="247">
        <f>_DATA_Assessment_Model!AK75</f>
        <v/>
      </c>
      <c r="AO75" s="247">
        <f>_DATA_Assessment_Model!AL75</f>
        <v/>
      </c>
      <c r="AP75" s="247">
        <f>_DATA_Assessment_Model!AM75</f>
        <v/>
      </c>
      <c r="AQ75" s="247">
        <f>_DATA_Assessment_Model!AN75</f>
        <v/>
      </c>
      <c r="AR75" s="247">
        <f>_DATA_Assessment_Model!AO75</f>
        <v/>
      </c>
      <c r="AS75" s="247">
        <f>_DATA_Assessment_Model!AP75</f>
        <v/>
      </c>
      <c r="AT75" s="247">
        <f>_DATA_Assessment_Model!AQ75</f>
        <v/>
      </c>
      <c r="AU75" s="247">
        <f>_DATA_Assessment_Model!AR75</f>
        <v/>
      </c>
      <c r="AV75" s="5">
        <f>_DATA_Assessment_Model!AS75</f>
        <v/>
      </c>
      <c r="AW75" s="5">
        <f>_DATA_Assessment_Model!AT75</f>
        <v/>
      </c>
      <c r="AY75">
        <f>_DATA_Assessment_Model!AV75</f>
        <v/>
      </c>
    </row>
    <row r="76" ht="82.8" customHeight="1" s="209">
      <c r="A76" t="inlineStr">
        <is>
          <t>HR Workforce</t>
        </is>
      </c>
      <c r="B76" t="inlineStr">
        <is>
          <t>HR Workforce</t>
        </is>
      </c>
      <c r="C76" t="n">
        <v>9</v>
      </c>
      <c r="D76" s="3" t="inlineStr">
        <is>
          <t>HRWO-005</t>
        </is>
      </c>
      <c r="E76" s="3" t="inlineStr">
        <is>
          <t>Workforce visibility</t>
        </is>
      </c>
      <c r="F76" s="3" t="inlineStr">
        <is>
          <t>How mature is the organization in managing minimum staffing levels for critical functions, shifts, production lines and customer support, including ownership, evidence, metrics, fallback procedures and crisis stress testing?</t>
        </is>
      </c>
      <c r="G76" s="3" t="inlineStr">
        <is>
          <t>This topic affects exposure to Workforce disruption; Pandemic/health crisis; War/security crisis. It helps identify how disruption may impact operations, people, revenue, systems, legal exposure or recovery time.</t>
        </is>
      </c>
      <c r="H76" s="3" t="inlineStr">
        <is>
          <t>ISO 30414; ISO 30405; ISO 45001; ISO 22301; CIPD; SHRM</t>
        </is>
      </c>
      <c r="I76" s="3" t="inlineStr">
        <is>
          <t>Policy/SOP; owner/RACI; system report; dashboard; contracts; test records; incident history; interview evidence related to minimum staffing levels for critical functions, shifts, production lines and customer support.</t>
        </is>
      </c>
      <c r="J76" s="3" t="n">
        <v>5</v>
      </c>
      <c r="K76" s="85">
        <f>_DATA_Assessment_Model!H76</f>
        <v/>
      </c>
      <c r="L76" s="4">
        <f>_DATA_Assessment_Model!I76</f>
        <v/>
      </c>
      <c r="M76" s="4">
        <f>_DATA_Assessment_Model!J76</f>
        <v/>
      </c>
      <c r="N76" s="4">
        <f>_DATA_Assessment_Model!K76</f>
        <v/>
      </c>
      <c r="O76" s="3">
        <f>_DATA_Assessment_Model!L76</f>
        <v/>
      </c>
      <c r="P76" s="3" t="inlineStr">
        <is>
          <t>Does not exist; no owner, no documentation, no practice.</t>
        </is>
      </c>
      <c r="Q76" s="3" t="inlineStr">
        <is>
          <t>Ad hoc; depends entirely on specific individuals.</t>
        </is>
      </c>
      <c r="R76" s="3" t="inlineStr">
        <is>
          <t>Partially documented or implemented; coverage inconsistent; never tested under stress.</t>
        </is>
      </c>
      <c r="S76" s="3" t="inlineStr">
        <is>
          <t>Documented, owned, executed consistently; basic evidence and metrics exist.</t>
        </is>
      </c>
      <c r="T76" s="3" t="inlineStr">
        <is>
          <t>Measured and periodically tested/audited; integrated with adjacent processes.</t>
        </is>
      </c>
      <c r="U76" s="3" t="inlineStr">
        <is>
          <t>Optimized and automated where practical; stress-tested; benchmarked externally.</t>
        </is>
      </c>
      <c r="V76" s="3" t="inlineStr">
        <is>
          <t>Workforce disruption; Pandemic/health crisis; War/security crisis</t>
        </is>
      </c>
      <c r="W76" s="3" t="n"/>
      <c r="X76" s="3" t="n"/>
      <c r="Y76" s="3" t="inlineStr">
        <is>
          <t>Use the recommended action generated by the model; validate with domain owner during real assessment.</t>
        </is>
      </c>
      <c r="Z76" s="7" t="n">
        <v>4</v>
      </c>
      <c r="AA76" s="7" t="n">
        <v>5</v>
      </c>
      <c r="AB76" s="7" t="n">
        <v>5</v>
      </c>
      <c r="AK76" s="46" t="n"/>
      <c r="AL76" s="46" t="n"/>
      <c r="AM76" s="247">
        <f>_DATA_Assessment_Model!AJ76</f>
        <v/>
      </c>
      <c r="AN76" s="247">
        <f>_DATA_Assessment_Model!AK76</f>
        <v/>
      </c>
      <c r="AO76" s="247">
        <f>_DATA_Assessment_Model!AL76</f>
        <v/>
      </c>
      <c r="AP76" s="247">
        <f>_DATA_Assessment_Model!AM76</f>
        <v/>
      </c>
      <c r="AQ76" s="247">
        <f>_DATA_Assessment_Model!AN76</f>
        <v/>
      </c>
      <c r="AR76" s="247">
        <f>_DATA_Assessment_Model!AO76</f>
        <v/>
      </c>
      <c r="AS76" s="247">
        <f>_DATA_Assessment_Model!AP76</f>
        <v/>
      </c>
      <c r="AT76" s="247">
        <f>_DATA_Assessment_Model!AQ76</f>
        <v/>
      </c>
      <c r="AU76" s="247">
        <f>_DATA_Assessment_Model!AR76</f>
        <v/>
      </c>
      <c r="AV76" s="5">
        <f>_DATA_Assessment_Model!AS76</f>
        <v/>
      </c>
      <c r="AW76" s="5">
        <f>_DATA_Assessment_Model!AT76</f>
        <v/>
      </c>
      <c r="AY76">
        <f>_DATA_Assessment_Model!AV76</f>
        <v/>
      </c>
    </row>
    <row r="77" ht="96.59999999999999" customHeight="1" s="209">
      <c r="A77" t="inlineStr">
        <is>
          <t>HR Workforce</t>
        </is>
      </c>
      <c r="B77" t="inlineStr">
        <is>
          <t>HR Workforce</t>
        </is>
      </c>
      <c r="C77" t="n">
        <v>10</v>
      </c>
      <c r="D77" s="3" t="inlineStr">
        <is>
          <t>HRWO-006</t>
        </is>
      </c>
      <c r="E77" s="3" t="inlineStr">
        <is>
          <t>Workforce visibility</t>
        </is>
      </c>
      <c r="F77" s="3" t="inlineStr">
        <is>
          <t>How mature is the organization in managing absence trends, sick leave spikes and workforce availability monitoring, including ownership, evidence, metrics, fallback procedures and crisis stress testing?</t>
        </is>
      </c>
      <c r="G77" s="3" t="inlineStr">
        <is>
          <t>This topic affects exposure to Workforce disruption; Pandemic/health crisis; War/security crisis. It helps identify how disruption may impact operations, people, revenue, systems, legal exposure or recovery time.</t>
        </is>
      </c>
      <c r="H77" s="3" t="inlineStr">
        <is>
          <t>ISO 30414; ISO 30405; ISO 45001; ISO 22301; CIPD; SHRM</t>
        </is>
      </c>
      <c r="I77" s="3" t="inlineStr">
        <is>
          <t>Policy/SOP; owner/RACI; system report; dashboard; contracts; test records; incident history; interview evidence related to absence trends, sick leave spikes and workforce availability monitoring.</t>
        </is>
      </c>
      <c r="J77" s="3" t="n">
        <v>3</v>
      </c>
      <c r="K77" s="85">
        <f>_DATA_Assessment_Model!H77</f>
        <v/>
      </c>
      <c r="L77" s="4">
        <f>_DATA_Assessment_Model!I77</f>
        <v/>
      </c>
      <c r="M77" s="4">
        <f>_DATA_Assessment_Model!J77</f>
        <v/>
      </c>
      <c r="N77" s="4">
        <f>_DATA_Assessment_Model!K77</f>
        <v/>
      </c>
      <c r="O77" s="3">
        <f>_DATA_Assessment_Model!L77</f>
        <v/>
      </c>
      <c r="P77" s="3" t="inlineStr">
        <is>
          <t>No reliable evidence that absence trends, sick leave spikes and workforce availability monitoring is defined, owned or managed.</t>
        </is>
      </c>
      <c r="Q77" s="3" t="inlineStr">
        <is>
          <t>Absence trends, sick leave spikes and workforce availability monitoring is handled informally and depends on individual knowledge or heroic effort.</t>
        </is>
      </c>
      <c r="R77" s="3" t="inlineStr">
        <is>
          <t>Absence trends, sick leave spikes and workforce availability monitoring is partially documented or implemented, but coverage is inconsistent and not crisis-tested.</t>
        </is>
      </c>
      <c r="S77" s="3" t="inlineStr">
        <is>
          <t>Absence trends, sick leave spikes and workforce availability monitoring is documented, owned, used in normal operations and supported by basic evidence or metrics.</t>
        </is>
      </c>
      <c r="T77" s="3" t="inlineStr">
        <is>
          <t>Absence trends, sick leave spikes and workforce availability monitoring is measured, periodically reviewed, integrated with related processes and tested against relevant disruption scenarios.</t>
        </is>
      </c>
      <c r="U77" s="3" t="inlineStr">
        <is>
          <t>Absence trends, sick leave spikes and workforce availability monitoring is optimized, continuously improved, automated where practical and demonstrably supports crisis resilience.</t>
        </is>
      </c>
      <c r="V77" s="3" t="inlineStr">
        <is>
          <t>Workforce disruption; Pandemic/health crisis; War/security crisis</t>
        </is>
      </c>
      <c r="W77" s="3" t="n"/>
      <c r="X77" s="3" t="n"/>
      <c r="Y77" s="3" t="inlineStr">
        <is>
          <t>Use the recommended action generated by the model; validate with domain owner during real assessment.</t>
        </is>
      </c>
      <c r="Z77" s="7" t="n">
        <v>4</v>
      </c>
      <c r="AA77" s="7" t="n">
        <v>5</v>
      </c>
      <c r="AB77" s="7" t="n">
        <v>5</v>
      </c>
      <c r="AK77" s="46" t="n"/>
      <c r="AL77" s="46" t="n"/>
      <c r="AM77" s="247">
        <f>_DATA_Assessment_Model!AJ77</f>
        <v/>
      </c>
      <c r="AN77" s="247">
        <f>_DATA_Assessment_Model!AK77</f>
        <v/>
      </c>
      <c r="AO77" s="247">
        <f>_DATA_Assessment_Model!AL77</f>
        <v/>
      </c>
      <c r="AP77" s="247">
        <f>_DATA_Assessment_Model!AM77</f>
        <v/>
      </c>
      <c r="AQ77" s="247">
        <f>_DATA_Assessment_Model!AN77</f>
        <v/>
      </c>
      <c r="AR77" s="247">
        <f>_DATA_Assessment_Model!AO77</f>
        <v/>
      </c>
      <c r="AS77" s="247">
        <f>_DATA_Assessment_Model!AP77</f>
        <v/>
      </c>
      <c r="AT77" s="247">
        <f>_DATA_Assessment_Model!AQ77</f>
        <v/>
      </c>
      <c r="AU77" s="247">
        <f>_DATA_Assessment_Model!AR77</f>
        <v/>
      </c>
      <c r="AV77" s="5">
        <f>_DATA_Assessment_Model!AS77</f>
        <v/>
      </c>
      <c r="AW77" s="5">
        <f>_DATA_Assessment_Model!AT77</f>
        <v/>
      </c>
      <c r="AY77">
        <f>_DATA_Assessment_Model!AV77</f>
        <v/>
      </c>
    </row>
    <row r="78" ht="82.8" customHeight="1" s="209">
      <c r="A78" t="inlineStr">
        <is>
          <t>HR Workforce</t>
        </is>
      </c>
      <c r="B78" t="inlineStr">
        <is>
          <t>HR Workforce</t>
        </is>
      </c>
      <c r="C78" t="n">
        <v>11</v>
      </c>
      <c r="D78" s="3" t="inlineStr">
        <is>
          <t>HRWO-007</t>
        </is>
      </c>
      <c r="E78" s="3" t="inlineStr">
        <is>
          <t>Recruitment and retention</t>
        </is>
      </c>
      <c r="F78" s="3" t="inlineStr">
        <is>
          <t>How mature is the organization in managing hiring pipeline resilience for critical roles under market shortage or geographic disruption, including ownership, evidence, metrics, fallback procedures and crisis stress testing?</t>
        </is>
      </c>
      <c r="G78" s="3" t="inlineStr">
        <is>
          <t>This topic affects exposure to Workforce disruption; Pandemic/health crisis; War/security crisis. It helps identify how disruption may impact operations, people, revenue, systems, legal exposure or recovery time.</t>
        </is>
      </c>
      <c r="H78" s="3" t="inlineStr">
        <is>
          <t>ISO 30414; ISO 30405; ISO 45001; ISO 22301; CIPD; SHRM</t>
        </is>
      </c>
      <c r="I78" s="3" t="inlineStr">
        <is>
          <t>Policy/SOP; owner/RACI; system report; dashboard; contracts; test records; incident history; interview evidence related to hiring pipeline resilience for critical roles under market shortage or geographic disruption.</t>
        </is>
      </c>
      <c r="J78" s="3" t="n">
        <v>5</v>
      </c>
      <c r="K78" s="85">
        <f>_DATA_Assessment_Model!H78</f>
        <v/>
      </c>
      <c r="L78" s="4">
        <f>_DATA_Assessment_Model!I78</f>
        <v/>
      </c>
      <c r="M78" s="4">
        <f>_DATA_Assessment_Model!J78</f>
        <v/>
      </c>
      <c r="N78" s="4">
        <f>_DATA_Assessment_Model!K78</f>
        <v/>
      </c>
      <c r="O78" s="3">
        <f>_DATA_Assessment_Model!L78</f>
        <v/>
      </c>
      <c r="P78" s="3" t="inlineStr">
        <is>
          <t>Does not exist; no owner, no documentation, no practice.</t>
        </is>
      </c>
      <c r="Q78" s="3" t="inlineStr">
        <is>
          <t>Ad hoc; depends entirely on specific individuals.</t>
        </is>
      </c>
      <c r="R78" s="3" t="inlineStr">
        <is>
          <t>Partially documented or implemented; coverage inconsistent; never tested under stress.</t>
        </is>
      </c>
      <c r="S78" s="3" t="inlineStr">
        <is>
          <t>Documented, owned, executed consistently; basic evidence and metrics exist.</t>
        </is>
      </c>
      <c r="T78" s="3" t="inlineStr">
        <is>
          <t>Measured and periodically tested/audited; integrated with adjacent processes.</t>
        </is>
      </c>
      <c r="U78" s="3" t="inlineStr">
        <is>
          <t>Optimized and automated where practical; stress-tested; benchmarked externally.</t>
        </is>
      </c>
      <c r="V78" s="3" t="inlineStr">
        <is>
          <t>Workforce disruption; Pandemic/health crisis; War/security crisis</t>
        </is>
      </c>
      <c r="W78" s="3" t="n"/>
      <c r="X78" s="3" t="n"/>
      <c r="Y78" s="3" t="inlineStr">
        <is>
          <t>Use the recommended action generated by the model; validate with domain owner during real assessment.</t>
        </is>
      </c>
      <c r="Z78" s="7" t="n">
        <v>4</v>
      </c>
      <c r="AA78" s="7" t="n">
        <v>5</v>
      </c>
      <c r="AB78" s="7" t="n">
        <v>5</v>
      </c>
      <c r="AK78" s="46" t="n"/>
      <c r="AL78" s="46" t="n"/>
      <c r="AM78" s="247">
        <f>_DATA_Assessment_Model!AJ78</f>
        <v/>
      </c>
      <c r="AN78" s="247">
        <f>_DATA_Assessment_Model!AK78</f>
        <v/>
      </c>
      <c r="AO78" s="247">
        <f>_DATA_Assessment_Model!AL78</f>
        <v/>
      </c>
      <c r="AP78" s="247">
        <f>_DATA_Assessment_Model!AM78</f>
        <v/>
      </c>
      <c r="AQ78" s="247">
        <f>_DATA_Assessment_Model!AN78</f>
        <v/>
      </c>
      <c r="AR78" s="247">
        <f>_DATA_Assessment_Model!AO78</f>
        <v/>
      </c>
      <c r="AS78" s="247">
        <f>_DATA_Assessment_Model!AP78</f>
        <v/>
      </c>
      <c r="AT78" s="247">
        <f>_DATA_Assessment_Model!AQ78</f>
        <v/>
      </c>
      <c r="AU78" s="247">
        <f>_DATA_Assessment_Model!AR78</f>
        <v/>
      </c>
      <c r="AV78" s="5">
        <f>_DATA_Assessment_Model!AS78</f>
        <v/>
      </c>
      <c r="AW78" s="5">
        <f>_DATA_Assessment_Model!AT78</f>
        <v/>
      </c>
      <c r="AY78">
        <f>_DATA_Assessment_Model!AV78</f>
        <v/>
      </c>
    </row>
    <row r="79" ht="69" customHeight="1" s="209">
      <c r="A79" t="inlineStr">
        <is>
          <t>HR Workforce</t>
        </is>
      </c>
      <c r="B79" t="inlineStr">
        <is>
          <t>HR Workforce</t>
        </is>
      </c>
      <c r="C79" t="n">
        <v>12</v>
      </c>
      <c r="D79" s="3" t="inlineStr">
        <is>
          <t>HRWO-008</t>
        </is>
      </c>
      <c r="E79" s="3" t="inlineStr">
        <is>
          <t>Recruitment and retention</t>
        </is>
      </c>
      <c r="F79" s="3" t="inlineStr">
        <is>
          <t>How mature is the organization in managing time-to-hire tracking by critical role, geography and seniority, including ownership, evidence, metrics, fallback procedures and crisis stress testing?</t>
        </is>
      </c>
      <c r="G79" s="3" t="inlineStr">
        <is>
          <t>This topic affects exposure to Workforce disruption; Pandemic/health crisis; War/security crisis. It helps identify how disruption may impact operations, people, revenue, systems, legal exposure or recovery time.</t>
        </is>
      </c>
      <c r="H79" s="3" t="inlineStr">
        <is>
          <t>ISO 30414; ISO 30405; ISO 45001; ISO 22301; CIPD; SHRM</t>
        </is>
      </c>
      <c r="I79" s="3" t="inlineStr">
        <is>
          <t>Policy/SOP; owner/RACI; system report; dashboard; contracts; test records; incident history; interview evidence related to time-to-hire tracking by critical role, geography and seniority.</t>
        </is>
      </c>
      <c r="J79" s="3" t="n">
        <v>5</v>
      </c>
      <c r="K79" s="85">
        <f>_DATA_Assessment_Model!H79</f>
        <v/>
      </c>
      <c r="L79" s="4">
        <f>_DATA_Assessment_Model!I79</f>
        <v/>
      </c>
      <c r="M79" s="4">
        <f>_DATA_Assessment_Model!J79</f>
        <v/>
      </c>
      <c r="N79" s="4">
        <f>_DATA_Assessment_Model!K79</f>
        <v/>
      </c>
      <c r="O79" s="3">
        <f>_DATA_Assessment_Model!L79</f>
        <v/>
      </c>
      <c r="P79" s="3" t="inlineStr">
        <is>
          <t>Nothing is monitored or measured.</t>
        </is>
      </c>
      <c r="Q79" s="3" t="inlineStr">
        <is>
          <t>Occasional manual checks by individuals.</t>
        </is>
      </c>
      <c r="R79" s="3" t="inlineStr">
        <is>
          <t>Some metrics exist but are not reviewed regularly and trigger no action.</t>
        </is>
      </c>
      <c r="S79" s="3" t="inlineStr">
        <is>
          <t>Defined metrics with an owner, reviewed on a set cadence.</t>
        </is>
      </c>
      <c r="T79" s="3" t="inlineStr">
        <is>
          <t>Thresholds and alerts in place; deviations trigger documented action; trends analyzed.</t>
        </is>
      </c>
      <c r="U79" s="3" t="inlineStr">
        <is>
          <t>Automated monitoring with leading indicators, integrated into management decisions.</t>
        </is>
      </c>
      <c r="V79" s="3" t="inlineStr">
        <is>
          <t>Workforce disruption; Pandemic/health crisis; War/security crisis</t>
        </is>
      </c>
      <c r="W79" s="3" t="n"/>
      <c r="X79" s="3" t="n"/>
      <c r="Y79" s="3" t="inlineStr">
        <is>
          <t>Use the recommended action generated by the model; validate with domain owner during real assessment.</t>
        </is>
      </c>
      <c r="Z79" s="7" t="n">
        <v>4</v>
      </c>
      <c r="AA79" s="7" t="n">
        <v>5</v>
      </c>
      <c r="AB79" s="7" t="n">
        <v>5</v>
      </c>
      <c r="AK79" s="46" t="n"/>
      <c r="AL79" s="46" t="n"/>
      <c r="AM79" s="247">
        <f>_DATA_Assessment_Model!AJ79</f>
        <v/>
      </c>
      <c r="AN79" s="247">
        <f>_DATA_Assessment_Model!AK79</f>
        <v/>
      </c>
      <c r="AO79" s="247">
        <f>_DATA_Assessment_Model!AL79</f>
        <v/>
      </c>
      <c r="AP79" s="247">
        <f>_DATA_Assessment_Model!AM79</f>
        <v/>
      </c>
      <c r="AQ79" s="247">
        <f>_DATA_Assessment_Model!AN79</f>
        <v/>
      </c>
      <c r="AR79" s="247">
        <f>_DATA_Assessment_Model!AO79</f>
        <v/>
      </c>
      <c r="AS79" s="247">
        <f>_DATA_Assessment_Model!AP79</f>
        <v/>
      </c>
      <c r="AT79" s="247">
        <f>_DATA_Assessment_Model!AQ79</f>
        <v/>
      </c>
      <c r="AU79" s="247">
        <f>_DATA_Assessment_Model!AR79</f>
        <v/>
      </c>
      <c r="AV79" s="5">
        <f>_DATA_Assessment_Model!AS79</f>
        <v/>
      </c>
      <c r="AW79" s="5">
        <f>_DATA_Assessment_Model!AT79</f>
        <v/>
      </c>
      <c r="AY79">
        <f>_DATA_Assessment_Model!AV79</f>
        <v/>
      </c>
    </row>
    <row r="80" ht="82.8" customHeight="1" s="209">
      <c r="A80" t="inlineStr">
        <is>
          <t>HR Workforce</t>
        </is>
      </c>
      <c r="B80" t="inlineStr">
        <is>
          <t>HR Workforce</t>
        </is>
      </c>
      <c r="C80" t="n">
        <v>13</v>
      </c>
      <c r="D80" s="3" t="inlineStr">
        <is>
          <t>HRWO-009</t>
        </is>
      </c>
      <c r="E80" s="3" t="inlineStr">
        <is>
          <t>Recruitment and retention</t>
        </is>
      </c>
      <c r="F80" s="3" t="inlineStr">
        <is>
          <t>How mature is the organization in managing alternative sourcing channels for critical roles, geographies and rare skills, including ownership, evidence, metrics, fallback procedures and crisis stress testing?</t>
        </is>
      </c>
      <c r="G80" s="3" t="inlineStr">
        <is>
          <t>This topic affects exposure to Workforce disruption; Pandemic/health crisis; War/security crisis. It helps identify how disruption may impact operations, people, revenue, systems, legal exposure or recovery time.</t>
        </is>
      </c>
      <c r="H80" s="3" t="inlineStr">
        <is>
          <t>ISO 30414; ISO 30405; ISO 45001; ISO 22301; CIPD; SHRM</t>
        </is>
      </c>
      <c r="I80" s="3" t="inlineStr">
        <is>
          <t>Policy/SOP; owner/RACI; system report; dashboard; contracts; test records; incident history; interview evidence related to alternative sourcing channels for critical roles, geographies and rare skills.</t>
        </is>
      </c>
      <c r="J80" s="3" t="n">
        <v>5</v>
      </c>
      <c r="K80" s="85">
        <f>_DATA_Assessment_Model!H80</f>
        <v/>
      </c>
      <c r="L80" s="4">
        <f>_DATA_Assessment_Model!I80</f>
        <v/>
      </c>
      <c r="M80" s="4">
        <f>_DATA_Assessment_Model!J80</f>
        <v/>
      </c>
      <c r="N80" s="4">
        <f>_DATA_Assessment_Model!K80</f>
        <v/>
      </c>
      <c r="O80" s="3">
        <f>_DATA_Assessment_Model!L80</f>
        <v/>
      </c>
      <c r="P80" s="3" t="inlineStr">
        <is>
          <t>Does not exist; no owner, no documentation, no practice.</t>
        </is>
      </c>
      <c r="Q80" s="3" t="inlineStr">
        <is>
          <t>Ad hoc; depends entirely on specific individuals.</t>
        </is>
      </c>
      <c r="R80" s="3" t="inlineStr">
        <is>
          <t>Partially documented or implemented; coverage inconsistent; never tested under stress.</t>
        </is>
      </c>
      <c r="S80" s="3" t="inlineStr">
        <is>
          <t>Documented, owned, executed consistently; basic evidence and metrics exist.</t>
        </is>
      </c>
      <c r="T80" s="3" t="inlineStr">
        <is>
          <t>Measured and periodically tested/audited; integrated with adjacent processes.</t>
        </is>
      </c>
      <c r="U80" s="3" t="inlineStr">
        <is>
          <t>Optimized and automated where practical; stress-tested; benchmarked externally.</t>
        </is>
      </c>
      <c r="V80" s="3" t="inlineStr">
        <is>
          <t>Workforce disruption; Pandemic/health crisis; War/security crisis</t>
        </is>
      </c>
      <c r="W80" s="3" t="n"/>
      <c r="X80" s="3" t="n"/>
      <c r="Y80" s="3" t="inlineStr">
        <is>
          <t>Use the recommended action generated by the model; validate with domain owner during real assessment.</t>
        </is>
      </c>
      <c r="Z80" s="7" t="n">
        <v>4</v>
      </c>
      <c r="AA80" s="7" t="n">
        <v>5</v>
      </c>
      <c r="AB80" s="7" t="n">
        <v>5</v>
      </c>
      <c r="AK80" s="46" t="n"/>
      <c r="AL80" s="46" t="n"/>
      <c r="AM80" s="247">
        <f>_DATA_Assessment_Model!AJ80</f>
        <v/>
      </c>
      <c r="AN80" s="247">
        <f>_DATA_Assessment_Model!AK80</f>
        <v/>
      </c>
      <c r="AO80" s="247">
        <f>_DATA_Assessment_Model!AL80</f>
        <v/>
      </c>
      <c r="AP80" s="247">
        <f>_DATA_Assessment_Model!AM80</f>
        <v/>
      </c>
      <c r="AQ80" s="247">
        <f>_DATA_Assessment_Model!AN80</f>
        <v/>
      </c>
      <c r="AR80" s="247">
        <f>_DATA_Assessment_Model!AO80</f>
        <v/>
      </c>
      <c r="AS80" s="247">
        <f>_DATA_Assessment_Model!AP80</f>
        <v/>
      </c>
      <c r="AT80" s="247">
        <f>_DATA_Assessment_Model!AQ80</f>
        <v/>
      </c>
      <c r="AU80" s="247">
        <f>_DATA_Assessment_Model!AR80</f>
        <v/>
      </c>
      <c r="AV80" s="5">
        <f>_DATA_Assessment_Model!AS80</f>
        <v/>
      </c>
      <c r="AW80" s="5">
        <f>_DATA_Assessment_Model!AT80</f>
        <v/>
      </c>
      <c r="AY80">
        <f>_DATA_Assessment_Model!AV80</f>
        <v/>
      </c>
    </row>
    <row r="81" ht="82.8" customHeight="1" s="209">
      <c r="A81" t="inlineStr">
        <is>
          <t>HR Workforce</t>
        </is>
      </c>
      <c r="B81" t="inlineStr">
        <is>
          <t>HR Workforce</t>
        </is>
      </c>
      <c r="C81" t="n">
        <v>14</v>
      </c>
      <c r="D81" s="3" t="inlineStr">
        <is>
          <t>HRWO-010</t>
        </is>
      </c>
      <c r="E81" s="3" t="inlineStr">
        <is>
          <t>Recruitment and retention</t>
        </is>
      </c>
      <c r="F81" s="3" t="inlineStr">
        <is>
          <t>How mature is the organization in managing retention risk monitoring for critical people, high performers and scarce-skill roles, including ownership, evidence, metrics, fallback procedures and crisis stress testing?</t>
        </is>
      </c>
      <c r="G81" s="3" t="inlineStr">
        <is>
          <t>This topic affects exposure to Workforce disruption; Pandemic/health crisis; War/security crisis. It helps identify how disruption may impact operations, people, revenue, systems, legal exposure or recovery time.</t>
        </is>
      </c>
      <c r="H81" s="3" t="inlineStr">
        <is>
          <t>ISO 30414; ISO 30405; ISO 45001; ISO 22301; CIPD; SHRM</t>
        </is>
      </c>
      <c r="I81" s="3" t="inlineStr">
        <is>
          <t>Policy/SOP; owner/RACI; system report; dashboard; contracts; test records; incident history; interview evidence related to retention risk monitoring for critical people, high performers and scarce-skill roles.</t>
        </is>
      </c>
      <c r="J81" s="3" t="n">
        <v>5</v>
      </c>
      <c r="K81" s="85">
        <f>_DATA_Assessment_Model!H81</f>
        <v/>
      </c>
      <c r="L81" s="4">
        <f>_DATA_Assessment_Model!I81</f>
        <v/>
      </c>
      <c r="M81" s="4">
        <f>_DATA_Assessment_Model!J81</f>
        <v/>
      </c>
      <c r="N81" s="4">
        <f>_DATA_Assessment_Model!K81</f>
        <v/>
      </c>
      <c r="O81" s="3">
        <f>_DATA_Assessment_Model!L81</f>
        <v/>
      </c>
      <c r="P81" s="3" t="inlineStr">
        <is>
          <t>Nothing is monitored or measured.</t>
        </is>
      </c>
      <c r="Q81" s="3" t="inlineStr">
        <is>
          <t>Occasional manual checks by individuals.</t>
        </is>
      </c>
      <c r="R81" s="3" t="inlineStr">
        <is>
          <t>Some metrics exist but are not reviewed regularly and trigger no action.</t>
        </is>
      </c>
      <c r="S81" s="3" t="inlineStr">
        <is>
          <t>Defined metrics with an owner, reviewed on a set cadence.</t>
        </is>
      </c>
      <c r="T81" s="3" t="inlineStr">
        <is>
          <t>Thresholds and alerts in place; deviations trigger documented action; trends analyzed.</t>
        </is>
      </c>
      <c r="U81" s="3" t="inlineStr">
        <is>
          <t>Automated monitoring with leading indicators, integrated into management decisions.</t>
        </is>
      </c>
      <c r="V81" s="3" t="inlineStr">
        <is>
          <t>Workforce disruption; Pandemic/health crisis; War/security crisis</t>
        </is>
      </c>
      <c r="W81" s="3" t="n"/>
      <c r="X81" s="3" t="n"/>
      <c r="Y81" s="3" t="inlineStr">
        <is>
          <t>Use the recommended action generated by the model; validate with domain owner during real assessment.</t>
        </is>
      </c>
      <c r="Z81" s="7" t="n">
        <v>4</v>
      </c>
      <c r="AA81" s="7" t="n">
        <v>5</v>
      </c>
      <c r="AB81" s="7" t="n">
        <v>5</v>
      </c>
      <c r="AK81" s="46" t="n"/>
      <c r="AL81" s="46" t="n"/>
      <c r="AM81" s="247">
        <f>_DATA_Assessment_Model!AJ81</f>
        <v/>
      </c>
      <c r="AN81" s="247">
        <f>_DATA_Assessment_Model!AK81</f>
        <v/>
      </c>
      <c r="AO81" s="247">
        <f>_DATA_Assessment_Model!AL81</f>
        <v/>
      </c>
      <c r="AP81" s="247">
        <f>_DATA_Assessment_Model!AM81</f>
        <v/>
      </c>
      <c r="AQ81" s="247">
        <f>_DATA_Assessment_Model!AN81</f>
        <v/>
      </c>
      <c r="AR81" s="247">
        <f>_DATA_Assessment_Model!AO81</f>
        <v/>
      </c>
      <c r="AS81" s="247">
        <f>_DATA_Assessment_Model!AP81</f>
        <v/>
      </c>
      <c r="AT81" s="247">
        <f>_DATA_Assessment_Model!AQ81</f>
        <v/>
      </c>
      <c r="AU81" s="247">
        <f>_DATA_Assessment_Model!AR81</f>
        <v/>
      </c>
      <c r="AV81" s="5">
        <f>_DATA_Assessment_Model!AS81</f>
        <v/>
      </c>
      <c r="AW81" s="5">
        <f>_DATA_Assessment_Model!AT81</f>
        <v/>
      </c>
      <c r="AY81">
        <f>_DATA_Assessment_Model!AV81</f>
        <v/>
      </c>
    </row>
    <row r="82" ht="82.8" customHeight="1" s="209">
      <c r="A82" t="inlineStr">
        <is>
          <t>HR Workforce</t>
        </is>
      </c>
      <c r="B82" t="inlineStr">
        <is>
          <t>HR Workforce</t>
        </is>
      </c>
      <c r="C82" t="n">
        <v>15</v>
      </c>
      <c r="D82" s="3" t="inlineStr">
        <is>
          <t>HRWO-011</t>
        </is>
      </c>
      <c r="E82" s="3" t="inlineStr">
        <is>
          <t>Recruitment and retention</t>
        </is>
      </c>
      <c r="F82" s="3" t="inlineStr">
        <is>
          <t>How mature is the organization in managing compensation and payroll continuity during banking, legal or system disruption, including ownership, evidence, metrics, fallback procedures and crisis stress testing?</t>
        </is>
      </c>
      <c r="G82" s="3" t="inlineStr">
        <is>
          <t>This topic affects exposure to Workforce disruption; Pandemic/health crisis; War/security crisis. It helps identify how disruption may impact operations, people, revenue, systems, legal exposure or recovery time.</t>
        </is>
      </c>
      <c r="H82" s="3" t="inlineStr">
        <is>
          <t>ISO 30414; ISO 30405; ISO 45001; ISO 22301; CIPD; SHRM</t>
        </is>
      </c>
      <c r="I82" s="3" t="inlineStr">
        <is>
          <t>Policy/SOP; owner/RACI; system report; dashboard; contracts; test records; incident history; interview evidence related to compensation and payroll continuity during banking, legal or system disruption.</t>
        </is>
      </c>
      <c r="J82" s="3" t="n">
        <v>5</v>
      </c>
      <c r="K82" s="85">
        <f>_DATA_Assessment_Model!H82</f>
        <v/>
      </c>
      <c r="L82" s="4">
        <f>_DATA_Assessment_Model!I82</f>
        <v/>
      </c>
      <c r="M82" s="4">
        <f>_DATA_Assessment_Model!J82</f>
        <v/>
      </c>
      <c r="N82" s="4">
        <f>_DATA_Assessment_Model!K82</f>
        <v/>
      </c>
      <c r="O82" s="3">
        <f>_DATA_Assessment_Model!L82</f>
        <v/>
      </c>
      <c r="P82" s="3" t="inlineStr">
        <is>
          <t>Does not exist; no owner, no documentation, no practice.</t>
        </is>
      </c>
      <c r="Q82" s="3" t="inlineStr">
        <is>
          <t>Ad hoc; depends entirely on specific individuals.</t>
        </is>
      </c>
      <c r="R82" s="3" t="inlineStr">
        <is>
          <t>Partially documented or implemented; coverage inconsistent; never tested under stress.</t>
        </is>
      </c>
      <c r="S82" s="3" t="inlineStr">
        <is>
          <t>Documented, owned, executed consistently; basic evidence and metrics exist.</t>
        </is>
      </c>
      <c r="T82" s="3" t="inlineStr">
        <is>
          <t>Measured and periodically tested/audited; integrated with adjacent processes.</t>
        </is>
      </c>
      <c r="U82" s="3" t="inlineStr">
        <is>
          <t>Optimized and automated where practical; stress-tested; benchmarked externally.</t>
        </is>
      </c>
      <c r="V82" s="3" t="inlineStr">
        <is>
          <t>Workforce disruption; Pandemic/health crisis; War/security crisis</t>
        </is>
      </c>
      <c r="W82" s="3" t="n"/>
      <c r="X82" s="3" t="n"/>
      <c r="Y82" s="3" t="inlineStr">
        <is>
          <t>Use the recommended action generated by the model; validate with domain owner during real assessment.</t>
        </is>
      </c>
      <c r="Z82" s="7" t="n">
        <v>4</v>
      </c>
      <c r="AA82" s="7" t="n">
        <v>5</v>
      </c>
      <c r="AB82" s="7" t="n">
        <v>5</v>
      </c>
      <c r="AK82" s="46" t="n"/>
      <c r="AL82" s="46" t="n"/>
      <c r="AM82" s="247">
        <f>_DATA_Assessment_Model!AJ82</f>
        <v/>
      </c>
      <c r="AN82" s="247">
        <f>_DATA_Assessment_Model!AK82</f>
        <v/>
      </c>
      <c r="AO82" s="247">
        <f>_DATA_Assessment_Model!AL82</f>
        <v/>
      </c>
      <c r="AP82" s="247">
        <f>_DATA_Assessment_Model!AM82</f>
        <v/>
      </c>
      <c r="AQ82" s="247">
        <f>_DATA_Assessment_Model!AN82</f>
        <v/>
      </c>
      <c r="AR82" s="247">
        <f>_DATA_Assessment_Model!AO82</f>
        <v/>
      </c>
      <c r="AS82" s="247">
        <f>_DATA_Assessment_Model!AP82</f>
        <v/>
      </c>
      <c r="AT82" s="247">
        <f>_DATA_Assessment_Model!AQ82</f>
        <v/>
      </c>
      <c r="AU82" s="247">
        <f>_DATA_Assessment_Model!AR82</f>
        <v/>
      </c>
      <c r="AV82" s="5">
        <f>_DATA_Assessment_Model!AS82</f>
        <v/>
      </c>
      <c r="AW82" s="5">
        <f>_DATA_Assessment_Model!AT82</f>
        <v/>
      </c>
      <c r="AY82">
        <f>_DATA_Assessment_Model!AV82</f>
        <v/>
      </c>
    </row>
    <row r="83" ht="82.8" customHeight="1" s="209">
      <c r="A83" t="inlineStr">
        <is>
          <t>HR Workforce</t>
        </is>
      </c>
      <c r="B83" t="inlineStr">
        <is>
          <t>HR Workforce</t>
        </is>
      </c>
      <c r="C83" t="n">
        <v>16</v>
      </c>
      <c r="D83" s="3" t="inlineStr">
        <is>
          <t>HRWO-012</t>
        </is>
      </c>
      <c r="E83" s="3" t="inlineStr">
        <is>
          <t>Recruitment and retention</t>
        </is>
      </c>
      <c r="F83" s="3" t="inlineStr">
        <is>
          <t>How mature is the organization in managing succession planning and deputies for all critical leadership and operational roles, including ownership, evidence, metrics, fallback procedures and crisis stress testing?</t>
        </is>
      </c>
      <c r="G83" s="3" t="inlineStr">
        <is>
          <t>This topic affects exposure to Workforce disruption; Pandemic/health crisis; War/security crisis. It helps identify how disruption may impact operations, people, revenue, systems, legal exposure or recovery time.</t>
        </is>
      </c>
      <c r="H83" s="3" t="inlineStr">
        <is>
          <t>ISO 30414; ISO 30405; ISO 45001; ISO 22301; CIPD; SHRM</t>
        </is>
      </c>
      <c r="I83" s="3" t="inlineStr">
        <is>
          <t>Policy/SOP; owner/RACI; system report; dashboard; contracts; test records; incident history; interview evidence related to succession planning and deputies for all critical leadership and operational roles.</t>
        </is>
      </c>
      <c r="J83" s="3" t="n">
        <v>5</v>
      </c>
      <c r="K83" s="85">
        <f>_DATA_Assessment_Model!H83</f>
        <v/>
      </c>
      <c r="L83" s="4">
        <f>_DATA_Assessment_Model!I83</f>
        <v/>
      </c>
      <c r="M83" s="4">
        <f>_DATA_Assessment_Model!J83</f>
        <v/>
      </c>
      <c r="N83" s="4">
        <f>_DATA_Assessment_Model!K83</f>
        <v/>
      </c>
      <c r="O83" s="3">
        <f>_DATA_Assessment_Model!L83</f>
        <v/>
      </c>
      <c r="P83" s="3" t="inlineStr">
        <is>
          <t>No plan or procedure exists.</t>
        </is>
      </c>
      <c r="Q83" s="3" t="inlineStr">
        <is>
          <t>Knowledge lives with individuals; nothing usable is written down.</t>
        </is>
      </c>
      <c r="R83" s="3" t="inlineStr">
        <is>
          <t>Drafted but outdated, not approved, or unknown to the people who must use it.</t>
        </is>
      </c>
      <c r="S83" s="3" t="inlineStr">
        <is>
          <t>Approved and current; owners assigned; affected staff know it exists and where to find it.</t>
        </is>
      </c>
      <c r="T83" s="3" t="inlineStr">
        <is>
          <t>Tested against realistic scenarios; updated after each test or real incident.</t>
        </is>
      </c>
      <c r="U83" s="3" t="inlineStr">
        <is>
          <t>Exercised regularly including external parties; readiness measured; continuously improved.</t>
        </is>
      </c>
      <c r="V83" s="3" t="inlineStr">
        <is>
          <t>Workforce disruption; Pandemic/health crisis; War/security crisis</t>
        </is>
      </c>
      <c r="W83" s="3" t="n"/>
      <c r="X83" s="3" t="n"/>
      <c r="Y83" s="3" t="inlineStr">
        <is>
          <t>Use the recommended action generated by the model; validate with domain owner during real assessment.</t>
        </is>
      </c>
      <c r="Z83" s="7" t="n">
        <v>4</v>
      </c>
      <c r="AA83" s="7" t="n">
        <v>5</v>
      </c>
      <c r="AB83" s="7" t="n">
        <v>5</v>
      </c>
      <c r="AK83" s="46" t="n"/>
      <c r="AL83" s="46" t="n"/>
      <c r="AM83" s="247">
        <f>_DATA_Assessment_Model!AJ83</f>
        <v/>
      </c>
      <c r="AN83" s="247">
        <f>_DATA_Assessment_Model!AK83</f>
        <v/>
      </c>
      <c r="AO83" s="247">
        <f>_DATA_Assessment_Model!AL83</f>
        <v/>
      </c>
      <c r="AP83" s="247">
        <f>_DATA_Assessment_Model!AM83</f>
        <v/>
      </c>
      <c r="AQ83" s="247">
        <f>_DATA_Assessment_Model!AN83</f>
        <v/>
      </c>
      <c r="AR83" s="247">
        <f>_DATA_Assessment_Model!AO83</f>
        <v/>
      </c>
      <c r="AS83" s="247">
        <f>_DATA_Assessment_Model!AP83</f>
        <v/>
      </c>
      <c r="AT83" s="247">
        <f>_DATA_Assessment_Model!AQ83</f>
        <v/>
      </c>
      <c r="AU83" s="247">
        <f>_DATA_Assessment_Model!AR83</f>
        <v/>
      </c>
      <c r="AV83" s="5">
        <f>_DATA_Assessment_Model!AS83</f>
        <v/>
      </c>
      <c r="AW83" s="5">
        <f>_DATA_Assessment_Model!AT83</f>
        <v/>
      </c>
      <c r="AY83">
        <f>_DATA_Assessment_Model!AV83</f>
        <v/>
      </c>
    </row>
    <row r="84" ht="82.8" customHeight="1" s="209">
      <c r="A84" t="inlineStr">
        <is>
          <t>HR Workforce</t>
        </is>
      </c>
      <c r="B84" t="inlineStr">
        <is>
          <t>HR Workforce</t>
        </is>
      </c>
      <c r="C84" t="n">
        <v>17</v>
      </c>
      <c r="D84" s="3" t="inlineStr">
        <is>
          <t>HRWO-013</t>
        </is>
      </c>
      <c r="E84" s="3" t="inlineStr">
        <is>
          <t>Continuity and wellbeing</t>
        </is>
      </c>
      <c r="F84" s="3" t="inlineStr">
        <is>
          <t>How mature is the organization in managing remote onboarding with secure access, equipment, training and manager support, including ownership, evidence, metrics, fallback procedures and crisis stress testing?</t>
        </is>
      </c>
      <c r="G84" s="3" t="inlineStr">
        <is>
          <t>This topic affects exposure to Workforce disruption; Pandemic/health crisis; War/security crisis. It helps identify how disruption may impact operations, people, revenue, systems, legal exposure or recovery time.</t>
        </is>
      </c>
      <c r="H84" s="3" t="inlineStr">
        <is>
          <t>ISO 30414; ISO 30405; ISO 45001; ISO 22301; CIPD; SHRM</t>
        </is>
      </c>
      <c r="I84" s="3" t="inlineStr">
        <is>
          <t>Policy/SOP; owner/RACI; system report; dashboard; contracts; test records; incident history; interview evidence related to remote onboarding with secure access, equipment, training and manager support.</t>
        </is>
      </c>
      <c r="J84" s="3" t="n">
        <v>4</v>
      </c>
      <c r="K84" s="85">
        <f>_DATA_Assessment_Model!H84</f>
        <v/>
      </c>
      <c r="L84" s="4">
        <f>_DATA_Assessment_Model!I84</f>
        <v/>
      </c>
      <c r="M84" s="4">
        <f>_DATA_Assessment_Model!J84</f>
        <v/>
      </c>
      <c r="N84" s="4">
        <f>_DATA_Assessment_Model!K84</f>
        <v/>
      </c>
      <c r="O84" s="3">
        <f>_DATA_Assessment_Model!L84</f>
        <v/>
      </c>
      <c r="P84" s="3" t="inlineStr">
        <is>
          <t>Never done; no records exist.</t>
        </is>
      </c>
      <c r="Q84" s="3" t="inlineStr">
        <is>
          <t>Done once long ago or only after an incident; no schedule, no records.</t>
        </is>
      </c>
      <c r="R84" s="3" t="inlineStr">
        <is>
          <t>Done irregularly; results are not documented and findings are not tracked.</t>
        </is>
      </c>
      <c r="S84" s="3" t="inlineStr">
        <is>
          <t>Done on a defined schedule (at least annually); results documented, owner assigned.</t>
        </is>
      </c>
      <c r="T84" s="3" t="inlineStr">
        <is>
          <t>Done quarterly/semi-annually; findings tracked to closure, effectiveness measured against targets.</t>
        </is>
      </c>
      <c r="U84" s="3" t="inlineStr">
        <is>
          <t>Continuous or automated where possible; results drive improvements and are validated externally (audit/customer).</t>
        </is>
      </c>
      <c r="V84" s="3" t="inlineStr">
        <is>
          <t>Workforce disruption; Pandemic/health crisis; War/security crisis</t>
        </is>
      </c>
      <c r="W84" s="3" t="n"/>
      <c r="X84" s="3" t="n"/>
      <c r="Y84" s="3" t="inlineStr">
        <is>
          <t>Use the recommended action generated by the model; validate with domain owner during real assessment.</t>
        </is>
      </c>
      <c r="Z84" s="7" t="n">
        <v>4</v>
      </c>
      <c r="AA84" s="7" t="n">
        <v>5</v>
      </c>
      <c r="AB84" s="7" t="n">
        <v>5</v>
      </c>
      <c r="AK84" s="46" t="n"/>
      <c r="AL84" s="46" t="n"/>
      <c r="AM84" s="247">
        <f>_DATA_Assessment_Model!AJ84</f>
        <v/>
      </c>
      <c r="AN84" s="247">
        <f>_DATA_Assessment_Model!AK84</f>
        <v/>
      </c>
      <c r="AO84" s="247">
        <f>_DATA_Assessment_Model!AL84</f>
        <v/>
      </c>
      <c r="AP84" s="247">
        <f>_DATA_Assessment_Model!AM84</f>
        <v/>
      </c>
      <c r="AQ84" s="247">
        <f>_DATA_Assessment_Model!AN84</f>
        <v/>
      </c>
      <c r="AR84" s="247">
        <f>_DATA_Assessment_Model!AO84</f>
        <v/>
      </c>
      <c r="AS84" s="247">
        <f>_DATA_Assessment_Model!AP84</f>
        <v/>
      </c>
      <c r="AT84" s="247">
        <f>_DATA_Assessment_Model!AQ84</f>
        <v/>
      </c>
      <c r="AU84" s="247">
        <f>_DATA_Assessment_Model!AR84</f>
        <v/>
      </c>
      <c r="AV84" s="5">
        <f>_DATA_Assessment_Model!AS84</f>
        <v/>
      </c>
      <c r="AW84" s="5">
        <f>_DATA_Assessment_Model!AT84</f>
        <v/>
      </c>
      <c r="AY84">
        <f>_DATA_Assessment_Model!AV84</f>
        <v/>
      </c>
    </row>
    <row r="85" ht="110.4" customHeight="1" s="209">
      <c r="A85" t="inlineStr">
        <is>
          <t>HR Workforce</t>
        </is>
      </c>
      <c r="B85" t="inlineStr">
        <is>
          <t>HR Workforce</t>
        </is>
      </c>
      <c r="C85" t="n">
        <v>18</v>
      </c>
      <c r="D85" s="3" t="inlineStr">
        <is>
          <t>HRWO-014</t>
        </is>
      </c>
      <c r="E85" s="3" t="inlineStr">
        <is>
          <t>Continuity and wellbeing</t>
        </is>
      </c>
      <c r="F85" s="3" t="inlineStr">
        <is>
          <t>How mature is the organization in managing remote work capability with secure access, connectivity, equipment and documented procedures, including ownership, evidence, metrics, fallback procedures and crisis stress testing?</t>
        </is>
      </c>
      <c r="G85" s="3" t="inlineStr">
        <is>
          <t>This topic affects exposure to Workforce disruption; Pandemic/health crisis; War/security crisis. It helps identify how disruption may impact operations, people, revenue, systems, legal exposure or recovery time.</t>
        </is>
      </c>
      <c r="H85" s="3" t="inlineStr">
        <is>
          <t>ISO 30414; ISO 30405; ISO 45001; ISO 22301; CIPD; SHRM</t>
        </is>
      </c>
      <c r="I85" s="3" t="inlineStr">
        <is>
          <t>Policy/SOP; owner/RACI; system report; dashboard; contracts; test records; incident history; interview evidence related to remote work capability with secure access, connectivity, equipment and documented procedures.</t>
        </is>
      </c>
      <c r="J85" s="3" t="n">
        <v>4</v>
      </c>
      <c r="K85" s="85">
        <f>_DATA_Assessment_Model!H85</f>
        <v/>
      </c>
      <c r="L85" s="4">
        <f>_DATA_Assessment_Model!I85</f>
        <v/>
      </c>
      <c r="M85" s="4">
        <f>_DATA_Assessment_Model!J85</f>
        <v/>
      </c>
      <c r="N85" s="4">
        <f>_DATA_Assessment_Model!K85</f>
        <v/>
      </c>
      <c r="O85" s="3">
        <f>_DATA_Assessment_Model!L85</f>
        <v/>
      </c>
      <c r="P85" s="3" t="inlineStr">
        <is>
          <t>No reliable evidence that remote work capability with secure access, connectivity, equipment and documented procedures is defined, owned or managed.</t>
        </is>
      </c>
      <c r="Q85" s="3" t="inlineStr">
        <is>
          <t>Remote work capability with secure access, connectivity, equipment and documented procedures is handled informally and depends on individual knowledge or heroic effort.</t>
        </is>
      </c>
      <c r="R85" s="3" t="inlineStr">
        <is>
          <t>Remote work capability with secure access, connectivity, equipment and documented procedures is partially documented or implemented, but coverage is inconsistent and not crisis-tested.</t>
        </is>
      </c>
      <c r="S85" s="3" t="inlineStr">
        <is>
          <t>Remote work capability with secure access, connectivity, equipment and documented procedures is documented, owned, used in normal operations and supported by basic evidence or metrics.</t>
        </is>
      </c>
      <c r="T85" s="3" t="inlineStr">
        <is>
          <t>Remote work capability with secure access, connectivity, equipment and documented procedures is measured, periodically reviewed, integrated with related processes and tested against relevant disruption scenarios.</t>
        </is>
      </c>
      <c r="U85" s="3" t="inlineStr">
        <is>
          <t>Remote work capability with secure access, connectivity, equipment and documented procedures is optimized, continuously improved, automated where practical and demonstrably supports crisis resilience.</t>
        </is>
      </c>
      <c r="V85" s="3" t="inlineStr">
        <is>
          <t>Workforce disruption; Pandemic/health crisis; War/security crisis</t>
        </is>
      </c>
      <c r="W85" s="3" t="n"/>
      <c r="X85" s="3" t="n"/>
      <c r="Y85" s="3" t="inlineStr">
        <is>
          <t>Use the recommended action generated by the model; validate with domain owner during real assessment.</t>
        </is>
      </c>
      <c r="Z85" s="7" t="n">
        <v>4</v>
      </c>
      <c r="AA85" s="7" t="n">
        <v>5</v>
      </c>
      <c r="AB85" s="7" t="n">
        <v>5</v>
      </c>
      <c r="AK85" s="46" t="n"/>
      <c r="AL85" s="46" t="n"/>
      <c r="AM85" s="247">
        <f>_DATA_Assessment_Model!AJ85</f>
        <v/>
      </c>
      <c r="AN85" s="247">
        <f>_DATA_Assessment_Model!AK85</f>
        <v/>
      </c>
      <c r="AO85" s="247">
        <f>_DATA_Assessment_Model!AL85</f>
        <v/>
      </c>
      <c r="AP85" s="247">
        <f>_DATA_Assessment_Model!AM85</f>
        <v/>
      </c>
      <c r="AQ85" s="247">
        <f>_DATA_Assessment_Model!AN85</f>
        <v/>
      </c>
      <c r="AR85" s="247">
        <f>_DATA_Assessment_Model!AO85</f>
        <v/>
      </c>
      <c r="AS85" s="247">
        <f>_DATA_Assessment_Model!AP85</f>
        <v/>
      </c>
      <c r="AT85" s="247">
        <f>_DATA_Assessment_Model!AQ85</f>
        <v/>
      </c>
      <c r="AU85" s="247">
        <f>_DATA_Assessment_Model!AR85</f>
        <v/>
      </c>
      <c r="AV85" s="5">
        <f>_DATA_Assessment_Model!AS85</f>
        <v/>
      </c>
      <c r="AW85" s="5">
        <f>_DATA_Assessment_Model!AT85</f>
        <v/>
      </c>
      <c r="AY85">
        <f>_DATA_Assessment_Model!AV85</f>
        <v/>
      </c>
    </row>
    <row r="86" ht="69" customHeight="1" s="209">
      <c r="A86" t="inlineStr">
        <is>
          <t>HR Workforce</t>
        </is>
      </c>
      <c r="B86" t="inlineStr">
        <is>
          <t>HR Workforce</t>
        </is>
      </c>
      <c r="C86" t="n">
        <v>19</v>
      </c>
      <c r="D86" s="3" t="inlineStr">
        <is>
          <t>HRWO-015</t>
        </is>
      </c>
      <c r="E86" s="3" t="inlineStr">
        <is>
          <t>Continuity and wellbeing</t>
        </is>
      </c>
      <c r="F86" s="3" t="inlineStr">
        <is>
          <t>How mature is the organization in managing backup connectivity options for critical staff and locations, including ownership, evidence, metrics, fallback procedures and crisis stress testing?</t>
        </is>
      </c>
      <c r="G86" s="3" t="inlineStr">
        <is>
          <t>This topic affects exposure to Workforce disruption; Pandemic/health crisis; War/security crisis. It helps identify how disruption may impact operations, people, revenue, systems, legal exposure or recovery time.</t>
        </is>
      </c>
      <c r="H86" s="3" t="inlineStr">
        <is>
          <t>ISO 30414; ISO 30405; ISO 45001; ISO 22301; CIPD; SHRM</t>
        </is>
      </c>
      <c r="I86" s="3" t="inlineStr">
        <is>
          <t>Policy/SOP; owner/RACI; system report; dashboard; contracts; test records; incident history; interview evidence related to backup connectivity options for critical staff and locations.</t>
        </is>
      </c>
      <c r="J86" s="3" t="n">
        <v>5</v>
      </c>
      <c r="K86" s="85">
        <f>_DATA_Assessment_Model!H86</f>
        <v/>
      </c>
      <c r="L86" s="4">
        <f>_DATA_Assessment_Model!I86</f>
        <v/>
      </c>
      <c r="M86" s="4">
        <f>_DATA_Assessment_Model!J86</f>
        <v/>
      </c>
      <c r="N86" s="4">
        <f>_DATA_Assessment_Model!K86</f>
        <v/>
      </c>
      <c r="O86" s="3">
        <f>_DATA_Assessment_Model!L86</f>
        <v/>
      </c>
      <c r="P86" s="3" t="inlineStr">
        <is>
          <t>Does not exist; no owner, no documentation, no practice.</t>
        </is>
      </c>
      <c r="Q86" s="3" t="inlineStr">
        <is>
          <t>Ad hoc; depends entirely on specific individuals.</t>
        </is>
      </c>
      <c r="R86" s="3" t="inlineStr">
        <is>
          <t>Partially documented or implemented; coverage inconsistent; never tested under stress.</t>
        </is>
      </c>
      <c r="S86" s="3" t="inlineStr">
        <is>
          <t>Documented, owned, executed consistently; basic evidence and metrics exist.</t>
        </is>
      </c>
      <c r="T86" s="3" t="inlineStr">
        <is>
          <t>Measured and periodically tested/audited; integrated with adjacent processes.</t>
        </is>
      </c>
      <c r="U86" s="3" t="inlineStr">
        <is>
          <t>Optimized and automated where practical; stress-tested; benchmarked externally.</t>
        </is>
      </c>
      <c r="V86" s="3" t="inlineStr">
        <is>
          <t>Workforce disruption; Pandemic/health crisis; War/security crisis</t>
        </is>
      </c>
      <c r="W86" s="3" t="n"/>
      <c r="X86" s="3" t="n"/>
      <c r="Y86" s="3" t="inlineStr">
        <is>
          <t>Use the recommended action generated by the model; validate with domain owner during real assessment.</t>
        </is>
      </c>
      <c r="Z86" s="7" t="n">
        <v>5</v>
      </c>
      <c r="AA86" s="7" t="n">
        <v>5</v>
      </c>
      <c r="AB86" s="7" t="n">
        <v>5</v>
      </c>
      <c r="AK86" s="46" t="n"/>
      <c r="AL86" s="46" t="n"/>
      <c r="AM86" s="247">
        <f>_DATA_Assessment_Model!AJ86</f>
        <v/>
      </c>
      <c r="AN86" s="247">
        <f>_DATA_Assessment_Model!AK86</f>
        <v/>
      </c>
      <c r="AO86" s="247">
        <f>_DATA_Assessment_Model!AL86</f>
        <v/>
      </c>
      <c r="AP86" s="247">
        <f>_DATA_Assessment_Model!AM86</f>
        <v/>
      </c>
      <c r="AQ86" s="247">
        <f>_DATA_Assessment_Model!AN86</f>
        <v/>
      </c>
      <c r="AR86" s="247">
        <f>_DATA_Assessment_Model!AO86</f>
        <v/>
      </c>
      <c r="AS86" s="247">
        <f>_DATA_Assessment_Model!AP86</f>
        <v/>
      </c>
      <c r="AT86" s="247">
        <f>_DATA_Assessment_Model!AQ86</f>
        <v/>
      </c>
      <c r="AU86" s="247">
        <f>_DATA_Assessment_Model!AR86</f>
        <v/>
      </c>
      <c r="AV86" s="5">
        <f>_DATA_Assessment_Model!AS86</f>
        <v/>
      </c>
      <c r="AW86" s="5">
        <f>_DATA_Assessment_Model!AT86</f>
        <v/>
      </c>
      <c r="AY86">
        <f>_DATA_Assessment_Model!AV86</f>
        <v/>
      </c>
    </row>
    <row r="87" ht="69" customHeight="1" s="209">
      <c r="A87" t="inlineStr">
        <is>
          <t>HR Workforce</t>
        </is>
      </c>
      <c r="B87" t="inlineStr">
        <is>
          <t>HR Workforce</t>
        </is>
      </c>
      <c r="C87" t="n">
        <v>20</v>
      </c>
      <c r="D87" s="3" t="inlineStr">
        <is>
          <t>HRWO-016</t>
        </is>
      </c>
      <c r="E87" s="3" t="inlineStr">
        <is>
          <t>Continuity and wellbeing</t>
        </is>
      </c>
      <c r="F87" s="3" t="inlineStr">
        <is>
          <t>How mature is the organization in managing employee location and safety check process during severe incidents, including ownership, evidence, metrics, fallback procedures and crisis stress testing?</t>
        </is>
      </c>
      <c r="G87" s="3" t="inlineStr">
        <is>
          <t>This topic affects exposure to Workforce disruption; Pandemic/health crisis; War/security crisis. It helps identify how disruption may impact operations, people, revenue, systems, legal exposure or recovery time.</t>
        </is>
      </c>
      <c r="H87" s="3" t="inlineStr">
        <is>
          <t>ISO 30414; ISO 30405; ISO 45001; ISO 22301; CIPD; SHRM</t>
        </is>
      </c>
      <c r="I87" s="3" t="inlineStr">
        <is>
          <t>Policy/SOP; owner/RACI; system report; dashboard; contracts; test records; incident history; interview evidence related to employee location and safety check process during severe incidents.</t>
        </is>
      </c>
      <c r="J87" s="3" t="n">
        <v>5</v>
      </c>
      <c r="K87" s="85">
        <f>_DATA_Assessment_Model!H87</f>
        <v/>
      </c>
      <c r="L87" s="4">
        <f>_DATA_Assessment_Model!I87</f>
        <v/>
      </c>
      <c r="M87" s="4">
        <f>_DATA_Assessment_Model!J87</f>
        <v/>
      </c>
      <c r="N87" s="4">
        <f>_DATA_Assessment_Model!K87</f>
        <v/>
      </c>
      <c r="O87" s="3">
        <f>_DATA_Assessment_Model!L87</f>
        <v/>
      </c>
      <c r="P87" s="3" t="inlineStr">
        <is>
          <t>Does not exist; no owner, no documentation, no practice.</t>
        </is>
      </c>
      <c r="Q87" s="3" t="inlineStr">
        <is>
          <t>Ad hoc; depends entirely on specific individuals.</t>
        </is>
      </c>
      <c r="R87" s="3" t="inlineStr">
        <is>
          <t>Partially documented or implemented; coverage inconsistent; never tested under stress.</t>
        </is>
      </c>
      <c r="S87" s="3" t="inlineStr">
        <is>
          <t>Documented, owned, executed consistently; basic evidence and metrics exist.</t>
        </is>
      </c>
      <c r="T87" s="3" t="inlineStr">
        <is>
          <t>Measured and periodically tested/audited; integrated with adjacent processes.</t>
        </is>
      </c>
      <c r="U87" s="3" t="inlineStr">
        <is>
          <t>Optimized and automated where practical; stress-tested; benchmarked externally.</t>
        </is>
      </c>
      <c r="V87" s="3" t="inlineStr">
        <is>
          <t>Workforce disruption; Pandemic/health crisis; War/security crisis</t>
        </is>
      </c>
      <c r="W87" s="3" t="n"/>
      <c r="X87" s="3" t="n"/>
      <c r="Y87" s="3" t="inlineStr">
        <is>
          <t>Use the recommended action generated by the model; validate with domain owner during real assessment.</t>
        </is>
      </c>
      <c r="Z87" s="7" t="n">
        <v>4</v>
      </c>
      <c r="AA87" s="7" t="n">
        <v>5</v>
      </c>
      <c r="AB87" s="7" t="n">
        <v>5</v>
      </c>
      <c r="AK87" s="46" t="n"/>
      <c r="AL87" s="46" t="n"/>
      <c r="AM87" s="247">
        <f>_DATA_Assessment_Model!AJ87</f>
        <v/>
      </c>
      <c r="AN87" s="247">
        <f>_DATA_Assessment_Model!AK87</f>
        <v/>
      </c>
      <c r="AO87" s="247">
        <f>_DATA_Assessment_Model!AL87</f>
        <v/>
      </c>
      <c r="AP87" s="247">
        <f>_DATA_Assessment_Model!AM87</f>
        <v/>
      </c>
      <c r="AQ87" s="247">
        <f>_DATA_Assessment_Model!AN87</f>
        <v/>
      </c>
      <c r="AR87" s="247">
        <f>_DATA_Assessment_Model!AO87</f>
        <v/>
      </c>
      <c r="AS87" s="247">
        <f>_DATA_Assessment_Model!AP87</f>
        <v/>
      </c>
      <c r="AT87" s="247">
        <f>_DATA_Assessment_Model!AQ87</f>
        <v/>
      </c>
      <c r="AU87" s="247">
        <f>_DATA_Assessment_Model!AR87</f>
        <v/>
      </c>
      <c r="AV87" s="5">
        <f>_DATA_Assessment_Model!AS87</f>
        <v/>
      </c>
      <c r="AW87" s="5">
        <f>_DATA_Assessment_Model!AT87</f>
        <v/>
      </c>
      <c r="AY87">
        <f>_DATA_Assessment_Model!AV87</f>
        <v/>
      </c>
    </row>
    <row r="88" ht="82.8" customHeight="1" s="209">
      <c r="A88" t="inlineStr">
        <is>
          <t>HR Workforce</t>
        </is>
      </c>
      <c r="B88" t="inlineStr">
        <is>
          <t>HR Workforce</t>
        </is>
      </c>
      <c r="C88" t="n">
        <v>21</v>
      </c>
      <c r="D88" s="3" t="inlineStr">
        <is>
          <t>HRWO-017</t>
        </is>
      </c>
      <c r="E88" s="3" t="inlineStr">
        <is>
          <t>Continuity and wellbeing</t>
        </is>
      </c>
      <c r="F88" s="3" t="inlineStr">
        <is>
          <t>How mature is the organization in managing wellbeing, fatigue, burnout and psychological safety monitoring during prolonged crisis, including ownership, evidence, metrics, fallback procedures and crisis stress testing?</t>
        </is>
      </c>
      <c r="G88" s="3" t="inlineStr">
        <is>
          <t>This topic affects exposure to Workforce disruption; Pandemic/health crisis; War/security crisis. It helps identify how disruption may impact operations, people, revenue, systems, legal exposure or recovery time.</t>
        </is>
      </c>
      <c r="H88" s="3" t="inlineStr">
        <is>
          <t>ISO 30414; ISO 30405; ISO 45001; ISO 22301; CIPD; SHRM</t>
        </is>
      </c>
      <c r="I88" s="3" t="inlineStr">
        <is>
          <t>Policy/SOP; owner/RACI; system report; dashboard; contracts; test records; incident history; interview evidence related to wellbeing, fatigue, burnout and psychological safety monitoring during prolonged crisis.</t>
        </is>
      </c>
      <c r="J88" s="3" t="n">
        <v>5</v>
      </c>
      <c r="K88" s="85">
        <f>_DATA_Assessment_Model!H88</f>
        <v/>
      </c>
      <c r="L88" s="4">
        <f>_DATA_Assessment_Model!I88</f>
        <v/>
      </c>
      <c r="M88" s="4">
        <f>_DATA_Assessment_Model!J88</f>
        <v/>
      </c>
      <c r="N88" s="4">
        <f>_DATA_Assessment_Model!K88</f>
        <v/>
      </c>
      <c r="O88" s="3">
        <f>_DATA_Assessment_Model!L88</f>
        <v/>
      </c>
      <c r="P88" s="3" t="inlineStr">
        <is>
          <t>Nothing is monitored or measured.</t>
        </is>
      </c>
      <c r="Q88" s="3" t="inlineStr">
        <is>
          <t>Occasional manual checks by individuals.</t>
        </is>
      </c>
      <c r="R88" s="3" t="inlineStr">
        <is>
          <t>Some metrics exist but are not reviewed regularly and trigger no action.</t>
        </is>
      </c>
      <c r="S88" s="3" t="inlineStr">
        <is>
          <t>Defined metrics with an owner, reviewed on a set cadence.</t>
        </is>
      </c>
      <c r="T88" s="3" t="inlineStr">
        <is>
          <t>Thresholds and alerts in place; deviations trigger documented action; trends analyzed.</t>
        </is>
      </c>
      <c r="U88" s="3" t="inlineStr">
        <is>
          <t>Automated monitoring with leading indicators, integrated into management decisions.</t>
        </is>
      </c>
      <c r="V88" s="3" t="inlineStr">
        <is>
          <t>Workforce disruption; Pandemic/health crisis; War/security crisis</t>
        </is>
      </c>
      <c r="W88" s="3" t="n"/>
      <c r="X88" s="3" t="n"/>
      <c r="Y88" s="3" t="inlineStr">
        <is>
          <t>Use the recommended action generated by the model; validate with domain owner during real assessment.</t>
        </is>
      </c>
      <c r="Z88" s="7" t="n">
        <v>4</v>
      </c>
      <c r="AA88" s="7" t="n">
        <v>5</v>
      </c>
      <c r="AB88" s="7" t="n">
        <v>5</v>
      </c>
      <c r="AK88" s="46" t="n"/>
      <c r="AL88" s="46" t="n"/>
      <c r="AM88" s="247">
        <f>_DATA_Assessment_Model!AJ88</f>
        <v/>
      </c>
      <c r="AN88" s="247">
        <f>_DATA_Assessment_Model!AK88</f>
        <v/>
      </c>
      <c r="AO88" s="247">
        <f>_DATA_Assessment_Model!AL88</f>
        <v/>
      </c>
      <c r="AP88" s="247">
        <f>_DATA_Assessment_Model!AM88</f>
        <v/>
      </c>
      <c r="AQ88" s="247">
        <f>_DATA_Assessment_Model!AN88</f>
        <v/>
      </c>
      <c r="AR88" s="247">
        <f>_DATA_Assessment_Model!AO88</f>
        <v/>
      </c>
      <c r="AS88" s="247">
        <f>_DATA_Assessment_Model!AP88</f>
        <v/>
      </c>
      <c r="AT88" s="247">
        <f>_DATA_Assessment_Model!AQ88</f>
        <v/>
      </c>
      <c r="AU88" s="247">
        <f>_DATA_Assessment_Model!AR88</f>
        <v/>
      </c>
      <c r="AV88" s="5">
        <f>_DATA_Assessment_Model!AS88</f>
        <v/>
      </c>
      <c r="AW88" s="5">
        <f>_DATA_Assessment_Model!AT88</f>
        <v/>
      </c>
      <c r="AY88">
        <f>_DATA_Assessment_Model!AV88</f>
        <v/>
      </c>
    </row>
    <row r="89" ht="110.4" customHeight="1" s="209">
      <c r="A89" t="inlineStr">
        <is>
          <t>HR Workforce</t>
        </is>
      </c>
      <c r="B89" t="inlineStr">
        <is>
          <t>HR Workforce</t>
        </is>
      </c>
      <c r="C89" t="n">
        <v>22</v>
      </c>
      <c r="D89" s="3" t="inlineStr">
        <is>
          <t>HRWO-018</t>
        </is>
      </c>
      <c r="E89" s="3" t="inlineStr">
        <is>
          <t>Continuity and wellbeing</t>
        </is>
      </c>
      <c r="F89" s="3" t="inlineStr">
        <is>
          <t>How mature is the organization in managing emergency HR policies for relocation, evacuation, hardship support, flexible work and temporary staffing, including ownership, evidence, metrics, fallback procedures and crisis stress testing?</t>
        </is>
      </c>
      <c r="G89" s="3" t="inlineStr">
        <is>
          <t>This topic affects exposure to Workforce disruption; Pandemic/health crisis; War/security crisis. It helps identify how disruption may impact operations, people, revenue, systems, legal exposure or recovery time.</t>
        </is>
      </c>
      <c r="H89" s="3" t="inlineStr">
        <is>
          <t>ISO 30414; ISO 30405; ISO 45001; ISO 22301; CIPD; SHRM</t>
        </is>
      </c>
      <c r="I89" s="3" t="inlineStr">
        <is>
          <t>Policy/SOP; owner/RACI; system report; dashboard; contracts; test records; incident history; interview evidence related to emergency HR policies for relocation, evacuation, hardship support, flexible work and temporary staffing.</t>
        </is>
      </c>
      <c r="J89" s="3" t="n">
        <v>3</v>
      </c>
      <c r="K89" s="85">
        <f>_DATA_Assessment_Model!H89</f>
        <v/>
      </c>
      <c r="L89" s="4">
        <f>_DATA_Assessment_Model!I89</f>
        <v/>
      </c>
      <c r="M89" s="4">
        <f>_DATA_Assessment_Model!J89</f>
        <v/>
      </c>
      <c r="N89" s="4">
        <f>_DATA_Assessment_Model!K89</f>
        <v/>
      </c>
      <c r="O89" s="3">
        <f>_DATA_Assessment_Model!L89</f>
        <v/>
      </c>
      <c r="P89" s="3" t="inlineStr">
        <is>
          <t>No reliable evidence that emergency hr policies for relocation, evacuation, hardship support, flexible work and temporary staffing is defined, owned or managed.</t>
        </is>
      </c>
      <c r="Q89" s="3" t="inlineStr">
        <is>
          <t>Emergency HR policies for relocation, evacuation, hardship support, flexible work and temporary staffing is handled informally and depends on individual knowledge or heroic effort.</t>
        </is>
      </c>
      <c r="R89" s="3" t="inlineStr">
        <is>
          <t>Emergency HR policies for relocation, evacuation, hardship support, flexible work and temporary staffing is partially documented or implemented, but coverage is inconsistent and not crisis-tested.</t>
        </is>
      </c>
      <c r="S89" s="3" t="inlineStr">
        <is>
          <t>Emergency HR policies for relocation, evacuation, hardship support, flexible work and temporary staffing is documented, owned, used in normal operations and supported by basic evidence or metrics.</t>
        </is>
      </c>
      <c r="T89" s="3" t="inlineStr">
        <is>
          <t>Emergency HR policies for relocation, evacuation, hardship support, flexible work and temporary staffing is measured, periodically reviewed, integrated with related processes and tested against relevant disruption scenarios.</t>
        </is>
      </c>
      <c r="U89" s="3" t="inlineStr">
        <is>
          <t>Emergency HR policies for relocation, evacuation, hardship support, flexible work and temporary staffing is optimized, continuously improved, automated where practical and demonstrably supports crisis resilience.</t>
        </is>
      </c>
      <c r="V89" s="3" t="inlineStr">
        <is>
          <t>Workforce disruption; Pandemic/health crisis; War/security crisis</t>
        </is>
      </c>
      <c r="W89" s="3" t="n"/>
      <c r="X89" s="3" t="n"/>
      <c r="Y89" s="3" t="inlineStr">
        <is>
          <t>Use the recommended action generated by the model; validate with domain owner during real assessment.</t>
        </is>
      </c>
      <c r="Z89" s="7" t="n">
        <v>4</v>
      </c>
      <c r="AA89" s="7" t="n">
        <v>5</v>
      </c>
      <c r="AB89" s="7" t="n">
        <v>5</v>
      </c>
      <c r="AK89" s="46" t="n"/>
      <c r="AL89" s="46" t="n"/>
      <c r="AM89" s="247">
        <f>_DATA_Assessment_Model!AJ89</f>
        <v/>
      </c>
      <c r="AN89" s="247">
        <f>_DATA_Assessment_Model!AK89</f>
        <v/>
      </c>
      <c r="AO89" s="247">
        <f>_DATA_Assessment_Model!AL89</f>
        <v/>
      </c>
      <c r="AP89" s="247">
        <f>_DATA_Assessment_Model!AM89</f>
        <v/>
      </c>
      <c r="AQ89" s="247">
        <f>_DATA_Assessment_Model!AN89</f>
        <v/>
      </c>
      <c r="AR89" s="247">
        <f>_DATA_Assessment_Model!AO89</f>
        <v/>
      </c>
      <c r="AS89" s="247">
        <f>_DATA_Assessment_Model!AP89</f>
        <v/>
      </c>
      <c r="AT89" s="247">
        <f>_DATA_Assessment_Model!AQ89</f>
        <v/>
      </c>
      <c r="AU89" s="247">
        <f>_DATA_Assessment_Model!AR89</f>
        <v/>
      </c>
      <c r="AV89" s="5">
        <f>_DATA_Assessment_Model!AS89</f>
        <v/>
      </c>
      <c r="AW89" s="5">
        <f>_DATA_Assessment_Model!AT89</f>
        <v/>
      </c>
      <c r="AY89">
        <f>_DATA_Assessment_Model!AV89</f>
        <v/>
      </c>
    </row>
    <row r="90" ht="69" customHeight="1" s="209">
      <c r="A90" t="inlineStr">
        <is>
          <t>HR Workforce</t>
        </is>
      </c>
      <c r="B90" t="inlineStr">
        <is>
          <t>HR Workforce</t>
        </is>
      </c>
      <c r="C90" t="n">
        <v>23</v>
      </c>
      <c r="D90" s="3" t="inlineStr">
        <is>
          <t>HRWO-019</t>
        </is>
      </c>
      <c r="E90" s="3" t="inlineStr">
        <is>
          <t>Continuity and wellbeing</t>
        </is>
      </c>
      <c r="F90" s="3" t="inlineStr">
        <is>
          <t>How mature is the organization in managing cross-training and knowledge transfer for critical operations and rare skills, including ownership, evidence, metrics, fallback procedures and crisis stress testing?</t>
        </is>
      </c>
      <c r="G90" s="3" t="inlineStr">
        <is>
          <t>This topic affects exposure to Workforce disruption; Pandemic/health crisis; War/security crisis. It helps identify how disruption may impact operations, people, revenue, systems, legal exposure or recovery time.</t>
        </is>
      </c>
      <c r="H90" s="3" t="inlineStr">
        <is>
          <t>ISO 30414; ISO 30405; ISO 45001; ISO 22301; CIPD; SHRM</t>
        </is>
      </c>
      <c r="I90" s="3" t="inlineStr">
        <is>
          <t>Policy/SOP; owner/RACI; system report; dashboard; contracts; test records; incident history; interview evidence related to cross-training and knowledge transfer for critical operations and rare skills.</t>
        </is>
      </c>
      <c r="J90" s="3" t="n">
        <v>5</v>
      </c>
      <c r="K90" s="85">
        <f>_DATA_Assessment_Model!H90</f>
        <v/>
      </c>
      <c r="L90" s="4">
        <f>_DATA_Assessment_Model!I90</f>
        <v/>
      </c>
      <c r="M90" s="4">
        <f>_DATA_Assessment_Model!J90</f>
        <v/>
      </c>
      <c r="N90" s="4">
        <f>_DATA_Assessment_Model!K90</f>
        <v/>
      </c>
      <c r="O90" s="3">
        <f>_DATA_Assessment_Model!L90</f>
        <v/>
      </c>
      <c r="P90" s="3" t="inlineStr">
        <is>
          <t>Never done; no records exist.</t>
        </is>
      </c>
      <c r="Q90" s="3" t="inlineStr">
        <is>
          <t>Done once long ago or only after an incident; no schedule, no records.</t>
        </is>
      </c>
      <c r="R90" s="3" t="inlineStr">
        <is>
          <t>Done irregularly; results are not documented and findings are not tracked.</t>
        </is>
      </c>
      <c r="S90" s="3" t="inlineStr">
        <is>
          <t>Done on a defined schedule (at least annually); results documented, owner assigned.</t>
        </is>
      </c>
      <c r="T90" s="3" t="inlineStr">
        <is>
          <t>Done quarterly/semi-annually; findings tracked to closure, effectiveness measured against targets.</t>
        </is>
      </c>
      <c r="U90" s="3" t="inlineStr">
        <is>
          <t>Continuous or automated where possible; results drive improvements and are validated externally (audit/customer).</t>
        </is>
      </c>
      <c r="V90" s="3" t="inlineStr">
        <is>
          <t>Workforce disruption; Pandemic/health crisis; War/security crisis</t>
        </is>
      </c>
      <c r="W90" s="3" t="n"/>
      <c r="X90" s="3" t="n"/>
      <c r="Y90" s="3" t="inlineStr">
        <is>
          <t>Use the recommended action generated by the model; validate with domain owner during real assessment.</t>
        </is>
      </c>
      <c r="Z90" s="7" t="n">
        <v>4</v>
      </c>
      <c r="AA90" s="7" t="n">
        <v>5</v>
      </c>
      <c r="AB90" s="7" t="n">
        <v>5</v>
      </c>
      <c r="AK90" s="46" t="n"/>
      <c r="AL90" s="46" t="n"/>
      <c r="AM90" s="247">
        <f>_DATA_Assessment_Model!AJ90</f>
        <v/>
      </c>
      <c r="AN90" s="247">
        <f>_DATA_Assessment_Model!AK90</f>
        <v/>
      </c>
      <c r="AO90" s="247">
        <f>_DATA_Assessment_Model!AL90</f>
        <v/>
      </c>
      <c r="AP90" s="247">
        <f>_DATA_Assessment_Model!AM90</f>
        <v/>
      </c>
      <c r="AQ90" s="247">
        <f>_DATA_Assessment_Model!AN90</f>
        <v/>
      </c>
      <c r="AR90" s="247">
        <f>_DATA_Assessment_Model!AO90</f>
        <v/>
      </c>
      <c r="AS90" s="247">
        <f>_DATA_Assessment_Model!AP90</f>
        <v/>
      </c>
      <c r="AT90" s="247">
        <f>_DATA_Assessment_Model!AQ90</f>
        <v/>
      </c>
      <c r="AU90" s="247">
        <f>_DATA_Assessment_Model!AR90</f>
        <v/>
      </c>
      <c r="AV90" s="5">
        <f>_DATA_Assessment_Model!AS90</f>
        <v/>
      </c>
      <c r="AW90" s="5">
        <f>_DATA_Assessment_Model!AT90</f>
        <v/>
      </c>
      <c r="AY90">
        <f>_DATA_Assessment_Model!AV90</f>
        <v/>
      </c>
    </row>
    <row r="91" ht="82.8" customHeight="1" s="209">
      <c r="A91" t="inlineStr">
        <is>
          <t>HR Workforce</t>
        </is>
      </c>
      <c r="B91" t="inlineStr">
        <is>
          <t>HR Workforce</t>
        </is>
      </c>
      <c r="C91" t="n">
        <v>24</v>
      </c>
      <c r="D91" s="3" t="inlineStr">
        <is>
          <t>HRWO-020</t>
        </is>
      </c>
      <c r="E91" s="3" t="inlineStr">
        <is>
          <t>HR systems and compliance</t>
        </is>
      </c>
      <c r="F91" s="3" t="inlineStr">
        <is>
          <t>How mature is the organization in managing HRMS reliability, backup, manual fallback and data quality for employee records and emergency contacts, including ownership, evidence, metrics, fallback procedures and crisis stress testing?</t>
        </is>
      </c>
      <c r="G91" s="3" t="inlineStr">
        <is>
          <t>This topic affects exposure to Workforce disruption; Pandemic/health crisis; War/security crisis. It helps identify how disruption may impact operations, people, revenue, systems, legal exposure or recovery time.</t>
        </is>
      </c>
      <c r="H91" s="3" t="inlineStr">
        <is>
          <t>ISO 30414; ISO 30405; ISO 45001; ISO 22301; CIPD; SHRM</t>
        </is>
      </c>
      <c r="I91" s="3" t="inlineStr">
        <is>
          <t>Policy/SOP; owner/RACI; system report; dashboard; contracts; test records; incident history; interview evidence related to HRMS reliability, backup, manual fallback and data quality for employee records and emergency contacts.</t>
        </is>
      </c>
      <c r="J91" s="3" t="n">
        <v>5</v>
      </c>
      <c r="K91" s="85">
        <f>_DATA_Assessment_Model!H91</f>
        <v/>
      </c>
      <c r="L91" s="4">
        <f>_DATA_Assessment_Model!I91</f>
        <v/>
      </c>
      <c r="M91" s="4">
        <f>_DATA_Assessment_Model!J91</f>
        <v/>
      </c>
      <c r="N91" s="4">
        <f>_DATA_Assessment_Model!K91</f>
        <v/>
      </c>
      <c r="O91" s="3">
        <f>_DATA_Assessment_Model!L91</f>
        <v/>
      </c>
      <c r="P91" s="3" t="inlineStr">
        <is>
          <t>Does not exist; no owner, no documentation, no practice.</t>
        </is>
      </c>
      <c r="Q91" s="3" t="inlineStr">
        <is>
          <t>Ad hoc; depends entirely on specific individuals.</t>
        </is>
      </c>
      <c r="R91" s="3" t="inlineStr">
        <is>
          <t>Partially documented or implemented; coverage inconsistent; never tested under stress.</t>
        </is>
      </c>
      <c r="S91" s="3" t="inlineStr">
        <is>
          <t>Documented, owned, executed consistently; basic evidence and metrics exist.</t>
        </is>
      </c>
      <c r="T91" s="3" t="inlineStr">
        <is>
          <t>Measured and periodically tested/audited; integrated with adjacent processes.</t>
        </is>
      </c>
      <c r="U91" s="3" t="inlineStr">
        <is>
          <t>Optimized and automated where practical; stress-tested; benchmarked externally.</t>
        </is>
      </c>
      <c r="V91" s="3" t="inlineStr">
        <is>
          <t>Workforce disruption; Pandemic/health crisis; War/security crisis</t>
        </is>
      </c>
      <c r="W91" s="3" t="n"/>
      <c r="X91" s="3" t="n"/>
      <c r="Y91" s="3" t="inlineStr">
        <is>
          <t>Use the recommended action generated by the model; validate with domain owner during real assessment.</t>
        </is>
      </c>
      <c r="Z91" s="7" t="n">
        <v>5</v>
      </c>
      <c r="AA91" s="7" t="n">
        <v>5</v>
      </c>
      <c r="AB91" s="7" t="n">
        <v>5</v>
      </c>
      <c r="AK91" s="46" t="n"/>
      <c r="AL91" s="46" t="n"/>
      <c r="AM91" s="247">
        <f>_DATA_Assessment_Model!AJ91</f>
        <v/>
      </c>
      <c r="AN91" s="247">
        <f>_DATA_Assessment_Model!AK91</f>
        <v/>
      </c>
      <c r="AO91" s="247">
        <f>_DATA_Assessment_Model!AL91</f>
        <v/>
      </c>
      <c r="AP91" s="247">
        <f>_DATA_Assessment_Model!AM91</f>
        <v/>
      </c>
      <c r="AQ91" s="247">
        <f>_DATA_Assessment_Model!AN91</f>
        <v/>
      </c>
      <c r="AR91" s="247">
        <f>_DATA_Assessment_Model!AO91</f>
        <v/>
      </c>
      <c r="AS91" s="247">
        <f>_DATA_Assessment_Model!AP91</f>
        <v/>
      </c>
      <c r="AT91" s="247">
        <f>_DATA_Assessment_Model!AQ91</f>
        <v/>
      </c>
      <c r="AU91" s="247">
        <f>_DATA_Assessment_Model!AR91</f>
        <v/>
      </c>
      <c r="AV91" s="5">
        <f>_DATA_Assessment_Model!AS91</f>
        <v/>
      </c>
      <c r="AW91" s="5">
        <f>_DATA_Assessment_Model!AT91</f>
        <v/>
      </c>
      <c r="AY91">
        <f>_DATA_Assessment_Model!AV91</f>
        <v/>
      </c>
    </row>
    <row r="92" ht="96.59999999999999" customHeight="1" s="209">
      <c r="A92" t="inlineStr">
        <is>
          <t>HR Workforce</t>
        </is>
      </c>
      <c r="B92" t="inlineStr">
        <is>
          <t>HR Workforce</t>
        </is>
      </c>
      <c r="C92" t="n">
        <v>25</v>
      </c>
      <c r="D92" s="3" t="inlineStr">
        <is>
          <t>HRWO-022</t>
        </is>
      </c>
      <c r="E92" s="3" t="inlineStr">
        <is>
          <t>HR systems and compliance</t>
        </is>
      </c>
      <c r="F92" s="3" t="inlineStr">
        <is>
          <t>How mature is the organization in managing employment compliance by country, contract type, working hours and emergency measures, including ownership, evidence, metrics, fallback procedures and crisis stress testing?</t>
        </is>
      </c>
      <c r="G92" s="3" t="inlineStr">
        <is>
          <t>This topic affects exposure to Workforce disruption; Pandemic/health crisis; War/security crisis. It helps identify how disruption may impact operations, people, revenue, systems, legal exposure or recovery time.</t>
        </is>
      </c>
      <c r="H92" s="3" t="inlineStr">
        <is>
          <t>ISO 30414; ISO 30405; ISO 45001; ISO 22301; CIPD; SHRM</t>
        </is>
      </c>
      <c r="I92" s="3" t="inlineStr">
        <is>
          <t>Policy/SOP; owner/RACI; system report; dashboard; contracts; test records; incident history; interview evidence related to employment compliance by country, contract type, working hours and emergency measures.</t>
        </is>
      </c>
      <c r="J92" s="3" t="n">
        <v>4</v>
      </c>
      <c r="K92" s="85">
        <f>_DATA_Assessment_Model!H92</f>
        <v/>
      </c>
      <c r="L92" s="4">
        <f>_DATA_Assessment_Model!I92</f>
        <v/>
      </c>
      <c r="M92" s="4">
        <f>_DATA_Assessment_Model!J92</f>
        <v/>
      </c>
      <c r="N92" s="4">
        <f>_DATA_Assessment_Model!K92</f>
        <v/>
      </c>
      <c r="O92" s="3">
        <f>_DATA_Assessment_Model!L92</f>
        <v/>
      </c>
      <c r="P92" s="3" t="inlineStr">
        <is>
          <t>No reliable evidence that employment compliance by country, contract type, working hours and emergency measures is defined, owned or managed.</t>
        </is>
      </c>
      <c r="Q92" s="3" t="inlineStr">
        <is>
          <t>Employment compliance by country, contract type, working hours and emergency measures is handled informally and depends on individual knowledge or heroic effort.</t>
        </is>
      </c>
      <c r="R92" s="3" t="inlineStr">
        <is>
          <t>Employment compliance by country, contract type, working hours and emergency measures is partially documented or implemented, but coverage is inconsistent and not crisis-tested.</t>
        </is>
      </c>
      <c r="S92" s="3" t="inlineStr">
        <is>
          <t>Employment compliance by country, contract type, working hours and emergency measures is documented, owned, used in normal operations and supported by basic evidence or metrics.</t>
        </is>
      </c>
      <c r="T92" s="3" t="inlineStr">
        <is>
          <t>Employment compliance by country, contract type, working hours and emergency measures is measured, periodically reviewed, integrated with related processes and tested against relevant disruption scenarios.</t>
        </is>
      </c>
      <c r="U92" s="3" t="inlineStr">
        <is>
          <t>Employment compliance by country, contract type, working hours and emergency measures is optimized, continuously improved, automated where practical and demonstrably supports crisis resilience.</t>
        </is>
      </c>
      <c r="V92" s="3" t="inlineStr">
        <is>
          <t>Workforce disruption; Pandemic/health crisis; War/security crisis</t>
        </is>
      </c>
      <c r="W92" s="3" t="n"/>
      <c r="X92" s="3" t="n"/>
      <c r="Y92" s="3" t="inlineStr">
        <is>
          <t>Use the recommended action generated by the model; validate with domain owner during real assessment.</t>
        </is>
      </c>
      <c r="Z92" s="7" t="n">
        <v>4</v>
      </c>
      <c r="AA92" s="7" t="n">
        <v>5</v>
      </c>
      <c r="AB92" s="7" t="n">
        <v>5</v>
      </c>
      <c r="AK92" s="46" t="n"/>
      <c r="AL92" s="46" t="n"/>
      <c r="AM92" s="247">
        <f>_DATA_Assessment_Model!AJ92</f>
        <v/>
      </c>
      <c r="AN92" s="247">
        <f>_DATA_Assessment_Model!AK92</f>
        <v/>
      </c>
      <c r="AO92" s="247">
        <f>_DATA_Assessment_Model!AL92</f>
        <v/>
      </c>
      <c r="AP92" s="247">
        <f>_DATA_Assessment_Model!AM92</f>
        <v/>
      </c>
      <c r="AQ92" s="247">
        <f>_DATA_Assessment_Model!AN92</f>
        <v/>
      </c>
      <c r="AR92" s="247">
        <f>_DATA_Assessment_Model!AO92</f>
        <v/>
      </c>
      <c r="AS92" s="247">
        <f>_DATA_Assessment_Model!AP92</f>
        <v/>
      </c>
      <c r="AT92" s="247">
        <f>_DATA_Assessment_Model!AQ92</f>
        <v/>
      </c>
      <c r="AU92" s="247">
        <f>_DATA_Assessment_Model!AR92</f>
        <v/>
      </c>
      <c r="AV92" s="5">
        <f>_DATA_Assessment_Model!AS92</f>
        <v/>
      </c>
      <c r="AW92" s="5">
        <f>_DATA_Assessment_Model!AT92</f>
        <v/>
      </c>
      <c r="AY92">
        <f>_DATA_Assessment_Model!AV92</f>
        <v/>
      </c>
    </row>
    <row r="93" ht="96.59999999999999" customHeight="1" s="209">
      <c r="A93" t="inlineStr">
        <is>
          <t>HR Workforce</t>
        </is>
      </c>
      <c r="B93" t="inlineStr">
        <is>
          <t>HR Workforce</t>
        </is>
      </c>
      <c r="C93" t="n">
        <v>26</v>
      </c>
      <c r="D93" s="3" t="inlineStr">
        <is>
          <t>HRWO-024</t>
        </is>
      </c>
      <c r="E93" s="3" t="inlineStr">
        <is>
          <t>HR systems and compliance</t>
        </is>
      </c>
      <c r="F93" s="3" t="inlineStr">
        <is>
          <t>How mature is the organization in managing health emergency protocols for infectious disease, injury, evacuation and return-to-work, including ownership, evidence, metrics, fallback procedures and crisis stress testing?</t>
        </is>
      </c>
      <c r="G93" s="3" t="inlineStr">
        <is>
          <t>This topic affects exposure to Workforce disruption; Pandemic/health crisis; War/security crisis. It helps identify how disruption may impact operations, people, revenue, systems, legal exposure or recovery time.</t>
        </is>
      </c>
      <c r="H93" s="3" t="inlineStr">
        <is>
          <t>ISO 30414; ISO 30405; ISO 45001; ISO 22301; CIPD; SHRM</t>
        </is>
      </c>
      <c r="I93" s="3" t="inlineStr">
        <is>
          <t>Policy/SOP; owner/RACI; system report; dashboard; contracts; test records; incident history; interview evidence related to health emergency protocols for infectious disease, injury, evacuation and return-to-work.</t>
        </is>
      </c>
      <c r="J93" s="3" t="n">
        <v>3</v>
      </c>
      <c r="K93" s="85">
        <f>_DATA_Assessment_Model!H93</f>
        <v/>
      </c>
      <c r="L93" s="4">
        <f>_DATA_Assessment_Model!I93</f>
        <v/>
      </c>
      <c r="M93" s="4">
        <f>_DATA_Assessment_Model!J93</f>
        <v/>
      </c>
      <c r="N93" s="4">
        <f>_DATA_Assessment_Model!K93</f>
        <v/>
      </c>
      <c r="O93" s="3">
        <f>_DATA_Assessment_Model!L93</f>
        <v/>
      </c>
      <c r="P93" s="3" t="inlineStr">
        <is>
          <t>No reliable evidence that health emergency protocols for infectious disease, injury, evacuation and return-to-work is defined, owned or managed.</t>
        </is>
      </c>
      <c r="Q93" s="3" t="inlineStr">
        <is>
          <t>Health emergency protocols for infectious disease, injury, evacuation and return-to-work is handled informally and depends on individual knowledge or heroic effort.</t>
        </is>
      </c>
      <c r="R93" s="3" t="inlineStr">
        <is>
          <t>Health emergency protocols for infectious disease, injury, evacuation and return-to-work is partially documented or implemented, but coverage is inconsistent and not crisis-tested.</t>
        </is>
      </c>
      <c r="S93" s="3" t="inlineStr">
        <is>
          <t>Health emergency protocols for infectious disease, injury, evacuation and return-to-work is documented, owned, used in normal operations and supported by basic evidence or metrics.</t>
        </is>
      </c>
      <c r="T93" s="3" t="inlineStr">
        <is>
          <t>Health emergency protocols for infectious disease, injury, evacuation and return-to-work is measured, periodically reviewed, integrated with related processes and tested against relevant disruption scenarios.</t>
        </is>
      </c>
      <c r="U93" s="3" t="inlineStr">
        <is>
          <t>Health emergency protocols for infectious disease, injury, evacuation and return-to-work is optimized, continuously improved, automated where practical and demonstrably supports crisis resilience.</t>
        </is>
      </c>
      <c r="V93" s="3" t="inlineStr">
        <is>
          <t>Workforce disruption; Pandemic/health crisis; War/security crisis</t>
        </is>
      </c>
      <c r="W93" s="3" t="n"/>
      <c r="X93" s="3" t="n"/>
      <c r="Y93" s="3" t="inlineStr">
        <is>
          <t>Use the recommended action generated by the model; validate with domain owner during real assessment.</t>
        </is>
      </c>
      <c r="Z93" s="7" t="n">
        <v>4</v>
      </c>
      <c r="AA93" s="7" t="n">
        <v>5</v>
      </c>
      <c r="AB93" s="7" t="n">
        <v>5</v>
      </c>
      <c r="AK93" s="46" t="n"/>
      <c r="AL93" s="46" t="n"/>
      <c r="AM93" s="247">
        <f>_DATA_Assessment_Model!AJ93</f>
        <v/>
      </c>
      <c r="AN93" s="247">
        <f>_DATA_Assessment_Model!AK93</f>
        <v/>
      </c>
      <c r="AO93" s="247">
        <f>_DATA_Assessment_Model!AL93</f>
        <v/>
      </c>
      <c r="AP93" s="247">
        <f>_DATA_Assessment_Model!AM93</f>
        <v/>
      </c>
      <c r="AQ93" s="247">
        <f>_DATA_Assessment_Model!AN93</f>
        <v/>
      </c>
      <c r="AR93" s="247">
        <f>_DATA_Assessment_Model!AO93</f>
        <v/>
      </c>
      <c r="AS93" s="247">
        <f>_DATA_Assessment_Model!AP93</f>
        <v/>
      </c>
      <c r="AT93" s="247">
        <f>_DATA_Assessment_Model!AQ93</f>
        <v/>
      </c>
      <c r="AU93" s="247">
        <f>_DATA_Assessment_Model!AR93</f>
        <v/>
      </c>
      <c r="AV93" s="5">
        <f>_DATA_Assessment_Model!AS93</f>
        <v/>
      </c>
      <c r="AW93" s="5">
        <f>_DATA_Assessment_Model!AT93</f>
        <v/>
      </c>
      <c r="AY93">
        <f>_DATA_Assessment_Model!AV93</f>
        <v/>
      </c>
    </row>
    <row r="94" ht="110.4" customHeight="1" s="209">
      <c r="A94" t="inlineStr">
        <is>
          <t>HR Workforce</t>
        </is>
      </c>
      <c r="B94" t="inlineStr">
        <is>
          <t>HR Workforce</t>
        </is>
      </c>
      <c r="C94" t="n">
        <v>27</v>
      </c>
      <c r="D94" s="3" t="inlineStr">
        <is>
          <t>HRWO-025</t>
        </is>
      </c>
      <c r="E94" s="3" t="inlineStr">
        <is>
          <t>HR systems and compliance</t>
        </is>
      </c>
      <c r="F94" s="3" t="inlineStr">
        <is>
          <t>How mature is the organization in managing background verification and vetting for roles with access to funds, sensitive data or critical systems, including ownership, evidence, metrics, fallback procedures and crisis stress testing?</t>
        </is>
      </c>
      <c r="G94" s="3" t="inlineStr">
        <is>
          <t>This topic affects exposure to Cyberattack/ransomware; Regulatory/legal shock. It helps identify how disruption may impact operations, people, revenue, systems, legal exposure or recovery time.</t>
        </is>
      </c>
      <c r="H94" s="3" t="inlineStr">
        <is>
          <t>C2M2 WORKFORCE; ISO 27001 HR security; customer audit requirements</t>
        </is>
      </c>
      <c r="I94" s="3" t="inlineStr">
        <is>
          <t>Policy/SOP; owner/RACI; system report; dashboard; contracts; test records; incident history; interview evidence related to workforce inventory by role, location, manager, contract type, employment entity, skill and criticality.</t>
        </is>
      </c>
      <c r="J94" s="3" t="n">
        <v>4</v>
      </c>
      <c r="K94" s="85">
        <f>_DATA_Assessment_Model!H94</f>
        <v/>
      </c>
      <c r="L94" s="4">
        <f>_DATA_Assessment_Model!I94</f>
        <v/>
      </c>
      <c r="M94" s="4">
        <f>_DATA_Assessment_Model!J94</f>
        <v/>
      </c>
      <c r="N94" s="4">
        <f>_DATA_Assessment_Model!K94</f>
        <v/>
      </c>
      <c r="O94" s="3">
        <f>_DATA_Assessment_Model!L94</f>
        <v/>
      </c>
      <c r="P94" s="3" t="inlineStr">
        <is>
          <t>No reliable evidence that background verification and vetting for roles with access to funds, sensitive data or critical systems is defined, owned or managed.</t>
        </is>
      </c>
      <c r="Q94" s="3" t="inlineStr">
        <is>
          <t>Background verification and vetting for roles with access to funds, sensitive data or critical systems is handled informally and depends on individual knowledge or heroic effort.</t>
        </is>
      </c>
      <c r="R94" s="3" t="inlineStr">
        <is>
          <t>Background verification and vetting for roles with access to funds, sensitive data or critical systems is partially documented or implemented, but coverage is inconsistent and not crisis-tested.</t>
        </is>
      </c>
      <c r="S94" s="3" t="inlineStr">
        <is>
          <t>Background verification and vetting for roles with access to funds, sensitive data or critical systems is documented, owned, used in normal operations and supported by basic evidence or metrics.</t>
        </is>
      </c>
      <c r="T94" s="3" t="inlineStr">
        <is>
          <t>Background verification and vetting for roles with access to funds, sensitive data or critical systems is measured, periodically reviewed, integrated with related processes and tested against relevant disruption scenarios.</t>
        </is>
      </c>
      <c r="U94" s="3" t="inlineStr">
        <is>
          <t>Background verification and vetting for roles with access to funds, sensitive data or critical systems is optimized, continuously improved, automated where practical and demonstrably supports crisis resilience.</t>
        </is>
      </c>
      <c r="V94" s="3" t="inlineStr">
        <is>
          <t>Cyberattack/ransomware; Regulatory/legal shock</t>
        </is>
      </c>
      <c r="W94" s="3" t="n"/>
      <c r="X94" s="3" t="n"/>
      <c r="Y94" s="3" t="inlineStr">
        <is>
          <t>Use the recommended action generated by the model; validate with domain owner during real assessment.</t>
        </is>
      </c>
      <c r="Z94" s="7" t="n">
        <v>2</v>
      </c>
      <c r="AA94" s="7" t="n">
        <v>4</v>
      </c>
      <c r="AB94" s="7" t="n">
        <v>4</v>
      </c>
      <c r="AK94" s="46" t="n"/>
      <c r="AL94" s="46" t="n"/>
      <c r="AM94" s="247">
        <f>_DATA_Assessment_Model!AJ94</f>
        <v/>
      </c>
      <c r="AN94" s="247">
        <f>_DATA_Assessment_Model!AK94</f>
        <v/>
      </c>
      <c r="AO94" s="247">
        <f>_DATA_Assessment_Model!AL94</f>
        <v/>
      </c>
      <c r="AP94" s="247">
        <f>_DATA_Assessment_Model!AM94</f>
        <v/>
      </c>
      <c r="AQ94" s="247">
        <f>_DATA_Assessment_Model!AN94</f>
        <v/>
      </c>
      <c r="AR94" s="247">
        <f>_DATA_Assessment_Model!AO94</f>
        <v/>
      </c>
      <c r="AS94" s="247">
        <f>_DATA_Assessment_Model!AP94</f>
        <v/>
      </c>
      <c r="AT94" s="247">
        <f>_DATA_Assessment_Model!AQ94</f>
        <v/>
      </c>
      <c r="AU94" s="247">
        <f>_DATA_Assessment_Model!AR94</f>
        <v/>
      </c>
      <c r="AV94" s="5">
        <f>_DATA_Assessment_Model!AS94</f>
        <v/>
      </c>
      <c r="AW94" s="5">
        <f>_DATA_Assessment_Model!AT94</f>
        <v/>
      </c>
      <c r="AY94">
        <f>_DATA_Assessment_Model!AV94</f>
        <v/>
      </c>
    </row>
    <row r="95" ht="82.8" customHeight="1" s="209">
      <c r="A95" t="inlineStr">
        <is>
          <t>HR Workforce</t>
        </is>
      </c>
      <c r="B95" t="inlineStr">
        <is>
          <t>HR Workforce</t>
        </is>
      </c>
      <c r="C95" t="n">
        <v>28</v>
      </c>
      <c r="D95" s="3" t="inlineStr">
        <is>
          <t>HRWO-026</t>
        </is>
      </c>
      <c r="E95" s="3" t="inlineStr">
        <is>
          <t>HR systems and compliance</t>
        </is>
      </c>
      <c r="F95" s="3" t="inlineStr">
        <is>
          <t>How mature is the organization in managing role-specific security responsibilities embedded in job descriptions with specialized training for high-risk roles, including ownership, evidence, metrics, fallback procedures and crisis stress testing?</t>
        </is>
      </c>
      <c r="G95" s="3" t="inlineStr">
        <is>
          <t>This topic affects exposure to Cyberattack/ransomware; Workforce disruption. It helps identify how disruption may impact operations, people, revenue, systems, legal exposure or recovery time.</t>
        </is>
      </c>
      <c r="H95" s="3" t="inlineStr">
        <is>
          <t>C2M2 WORKFORCE; NIST CSF 2.0 PR.AT-02; ISO 27001</t>
        </is>
      </c>
      <c r="I95" s="3" t="inlineStr">
        <is>
          <t>Policy/SOP; owner/RACI; system report; dashboard; contracts; test records; incident history; interview evidence related to workforce inventory by role, location, manager, contract type, employment entity, skill and criticality.</t>
        </is>
      </c>
      <c r="J95" s="3" t="n">
        <v>3</v>
      </c>
      <c r="K95" s="85">
        <f>_DATA_Assessment_Model!H95</f>
        <v/>
      </c>
      <c r="L95" s="4">
        <f>_DATA_Assessment_Model!I95</f>
        <v/>
      </c>
      <c r="M95" s="4">
        <f>_DATA_Assessment_Model!J95</f>
        <v/>
      </c>
      <c r="N95" s="4">
        <f>_DATA_Assessment_Model!K95</f>
        <v/>
      </c>
      <c r="O95" s="3">
        <f>_DATA_Assessment_Model!L95</f>
        <v/>
      </c>
      <c r="P95" s="3" t="inlineStr">
        <is>
          <t>Never done; no records exist.</t>
        </is>
      </c>
      <c r="Q95" s="3" t="inlineStr">
        <is>
          <t>Done once long ago or only after an incident; no schedule, no records.</t>
        </is>
      </c>
      <c r="R95" s="3" t="inlineStr">
        <is>
          <t>Done irregularly; results are not documented and findings are not tracked.</t>
        </is>
      </c>
      <c r="S95" s="3" t="inlineStr">
        <is>
          <t>Done on a defined schedule (at least annually); results documented, owner assigned.</t>
        </is>
      </c>
      <c r="T95" s="3" t="inlineStr">
        <is>
          <t>Done quarterly/semi-annually; findings tracked to closure, effectiveness measured against targets.</t>
        </is>
      </c>
      <c r="U95" s="3" t="inlineStr">
        <is>
          <t>Continuous or automated where possible; results drive improvements and are validated externally (audit/customer).</t>
        </is>
      </c>
      <c r="V95" s="3" t="inlineStr">
        <is>
          <t>Cyberattack/ransomware; Workforce disruption</t>
        </is>
      </c>
      <c r="W95" s="3" t="n"/>
      <c r="X95" s="3" t="n"/>
      <c r="Y95" s="3" t="inlineStr">
        <is>
          <t>Use the recommended action generated by the model; validate with domain owner during real assessment.</t>
        </is>
      </c>
      <c r="Z95" s="7" t="n">
        <v>3</v>
      </c>
      <c r="AA95" s="7" t="n">
        <v>4</v>
      </c>
      <c r="AB95" s="7" t="n">
        <v>4</v>
      </c>
      <c r="AK95" s="46" t="n"/>
      <c r="AL95" s="46" t="n"/>
      <c r="AM95" s="247">
        <f>_DATA_Assessment_Model!AJ95</f>
        <v/>
      </c>
      <c r="AN95" s="247">
        <f>_DATA_Assessment_Model!AK95</f>
        <v/>
      </c>
      <c r="AO95" s="247">
        <f>_DATA_Assessment_Model!AL95</f>
        <v/>
      </c>
      <c r="AP95" s="247">
        <f>_DATA_Assessment_Model!AM95</f>
        <v/>
      </c>
      <c r="AQ95" s="247">
        <f>_DATA_Assessment_Model!AN95</f>
        <v/>
      </c>
      <c r="AR95" s="247">
        <f>_DATA_Assessment_Model!AO95</f>
        <v/>
      </c>
      <c r="AS95" s="247">
        <f>_DATA_Assessment_Model!AP95</f>
        <v/>
      </c>
      <c r="AT95" s="247">
        <f>_DATA_Assessment_Model!AQ95</f>
        <v/>
      </c>
      <c r="AU95" s="247">
        <f>_DATA_Assessment_Model!AR95</f>
        <v/>
      </c>
      <c r="AV95" s="5">
        <f>_DATA_Assessment_Model!AS95</f>
        <v/>
      </c>
      <c r="AW95" s="5">
        <f>_DATA_Assessment_Model!AT95</f>
        <v/>
      </c>
      <c r="AY95">
        <f>_DATA_Assessment_Model!AV95</f>
        <v/>
      </c>
    </row>
    <row r="96">
      <c r="A96" t="inlineStr">
        <is>
          <t>HR Workforce</t>
        </is>
      </c>
      <c r="B96" t="inlineStr">
        <is>
          <t>HR Workforce</t>
        </is>
      </c>
      <c r="C96" t="n">
        <v>29</v>
      </c>
      <c r="D96" t="inlineStr">
        <is>
          <t>HRWO-027</t>
        </is>
      </c>
      <c r="E96" t="inlineStr">
        <is>
          <t>Continuity and wellbeing</t>
        </is>
      </c>
      <c r="F96" t="inlineStr">
        <is>
          <t>How mature is the organization in managing systematic employee engagement measurement with trends, segmentation and follow-up actions, including ownership, evidence, metrics, fallback procedures and crisis stress testing?</t>
        </is>
      </c>
      <c r="G96" t="inlineStr">
        <is>
          <t>This topic affects exposure to Workforce disruption; Pandemic/health crisis. It helps identify how disruption may impact operations, people, revenue, systems, legal exposure or recovery time.</t>
        </is>
      </c>
      <c r="H96" t="inlineStr">
        <is>
          <t>EFQM 2025 3.2 and Results; ISO 30414</t>
        </is>
      </c>
      <c r="I96" t="inlineStr">
        <is>
          <t>Policy/SOP; owner/RACI; system report; dashboard; contracts; test records; incident history; interview evidence related to workforce inventory by role, location, manager, contract type, employment entity, skill and criticality.</t>
        </is>
      </c>
      <c r="J96" t="n">
        <v>3</v>
      </c>
      <c r="K96">
        <f>_DATA_Assessment_Model!H96</f>
        <v/>
      </c>
      <c r="L96">
        <f>_DATA_Assessment_Model!I96</f>
        <v/>
      </c>
      <c r="M96">
        <f>_DATA_Assessment_Model!J96</f>
        <v/>
      </c>
      <c r="N96">
        <f>_DATA_Assessment_Model!K96</f>
        <v/>
      </c>
      <c r="O96">
        <f>_DATA_Assessment_Model!L96</f>
        <v/>
      </c>
      <c r="P96" t="inlineStr">
        <is>
          <t>No reliable evidence that systematic employee engagement measurement with trends, segmentation and follow-up actions is defined, owned or managed.</t>
        </is>
      </c>
      <c r="Q96" t="inlineStr">
        <is>
          <t>Systematic employee engagement measurement with trends, segmentation and follow-up actions is handled informally and depends on individual knowledge or heroic effort.</t>
        </is>
      </c>
      <c r="R96" t="inlineStr">
        <is>
          <t>Systematic employee engagement measurement with trends, segmentation and follow-up actions is partially documented or implemented, but coverage is inconsistent and not crisis-tested.</t>
        </is>
      </c>
      <c r="S96" t="inlineStr">
        <is>
          <t>Systematic employee engagement measurement with trends, segmentation and follow-up actions is documented, owned, used in normal operations and supported by basic evidence or metrics.</t>
        </is>
      </c>
      <c r="T96" t="inlineStr">
        <is>
          <t>Systematic employee engagement measurement with trends, segmentation and follow-up actions is measured, periodically reviewed, integrated with related processes and tested against relevant disruption scenarios.</t>
        </is>
      </c>
      <c r="U96" t="inlineStr">
        <is>
          <t>Systematic employee engagement measurement with trends, segmentation and follow-up actions is optimized, continuously improved, automated where practical and demonstrably supports crisis resilience.</t>
        </is>
      </c>
      <c r="V96" t="inlineStr">
        <is>
          <t>Workforce disruption; Pandemic/health crisis</t>
        </is>
      </c>
      <c r="Y96" t="inlineStr">
        <is>
          <t>Use the recommended action generated by the model; validate with domain owner during real assessment.</t>
        </is>
      </c>
      <c r="Z96" t="n">
        <v>3</v>
      </c>
      <c r="AA96" t="n">
        <v>3</v>
      </c>
      <c r="AB96" t="n">
        <v>4</v>
      </c>
      <c r="AM96">
        <f>_DATA_Assessment_Model!AJ96</f>
        <v/>
      </c>
      <c r="AN96">
        <f>_DATA_Assessment_Model!AK96</f>
        <v/>
      </c>
      <c r="AO96">
        <f>_DATA_Assessment_Model!AL96</f>
        <v/>
      </c>
      <c r="AP96">
        <f>_DATA_Assessment_Model!AM96</f>
        <v/>
      </c>
      <c r="AQ96">
        <f>_DATA_Assessment_Model!AN96</f>
        <v/>
      </c>
      <c r="AR96">
        <f>_DATA_Assessment_Model!AO96</f>
        <v/>
      </c>
      <c r="AS96">
        <f>_DATA_Assessment_Model!AP96</f>
        <v/>
      </c>
      <c r="AT96">
        <f>_DATA_Assessment_Model!AQ96</f>
        <v/>
      </c>
      <c r="AU96">
        <f>_DATA_Assessment_Model!AR96</f>
        <v/>
      </c>
      <c r="AV96">
        <f>_DATA_Assessment_Model!AS96</f>
        <v/>
      </c>
      <c r="AW96">
        <f>_DATA_Assessment_Model!AT96</f>
        <v/>
      </c>
      <c r="AY96">
        <f>_DATA_Assessment_Model!AV96</f>
        <v/>
      </c>
    </row>
    <row r="97">
      <c r="A97" t="inlineStr">
        <is>
          <t>HR Workforce</t>
        </is>
      </c>
      <c r="B97" t="inlineStr">
        <is>
          <t>HR Workforce</t>
        </is>
      </c>
      <c r="C97" t="n">
        <v>30</v>
      </c>
      <c r="D97" t="inlineStr">
        <is>
          <t>HRWO-028</t>
        </is>
      </c>
      <c r="E97" t="inlineStr">
        <is>
          <t>Workforce visibility</t>
        </is>
      </c>
      <c r="F97" t="inlineStr">
        <is>
          <t>How mature is the organization in managing workforce exposure to national emergency duties such as conscription, reservist service or civil mobilization, including exemption processes and continuity planning, including ownership, evidence, metrics, fallback procedures and crisis stress testing?</t>
        </is>
      </c>
      <c r="G97" t="inlineStr">
        <is>
          <t>This topic affects exposure to War/security crisis; Workforce disruption. It helps identify how disruption may impact operations, people, revenue, systems, legal exposure or recovery time.</t>
        </is>
      </c>
      <c r="H97" t="inlineStr">
        <is>
          <t>ISO 22301; national emergency and labor legislation; workforce planning</t>
        </is>
      </c>
      <c r="I97" t="inlineStr">
        <is>
          <t>Policy/SOP; owner/RACI; system report; dashboard; contracts; test records; incident history; interview evidence</t>
        </is>
      </c>
      <c r="J97" t="n">
        <v>4</v>
      </c>
      <c r="K97">
        <f>_DATA_Assessment_Model!H97</f>
        <v/>
      </c>
      <c r="L97">
        <f>_DATA_Assessment_Model!I97</f>
        <v/>
      </c>
      <c r="M97">
        <f>_DATA_Assessment_Model!J97</f>
        <v/>
      </c>
      <c r="N97">
        <f>_DATA_Assessment_Model!K97</f>
        <v/>
      </c>
      <c r="O97">
        <f>_DATA_Assessment_Model!L97</f>
        <v/>
      </c>
      <c r="P97" t="inlineStr">
        <is>
          <t>No reliable evidence that workforce exposure to national emergency duties such as conscription, reservist service or civil mobilization, including exemption processes and continuity planning is defined, owned or managed.</t>
        </is>
      </c>
      <c r="Q97" t="inlineStr">
        <is>
          <t>Workforce exposure to national emergency duties such as conscription, reservist service or civil mobilization, including exemption processes and continuity planning is handled informally and depends on individual knowledge or heroic effort.</t>
        </is>
      </c>
      <c r="R97" t="inlineStr">
        <is>
          <t>Workforce exposure to national emergency duties such as conscription, reservist service or civil mobilization, including exemption processes and continuity planning is partially documented or implemented, but coverage is inconsistent and not crisis-tested.</t>
        </is>
      </c>
      <c r="S97" t="inlineStr">
        <is>
          <t>Workforce exposure to national emergency duties such as conscription, reservist service or civil mobilization, including exemption processes and continuity planning is documented, owned, used in normal operations and supported by basic evidence or metrics.</t>
        </is>
      </c>
      <c r="T97" t="inlineStr">
        <is>
          <t>Workforce exposure to national emergency duties such as conscription, reservist service or civil mobilization, including exemption processes and continuity planning is measured, periodically reviewed, integrated with related processes and tested against relevant disruption scenarios.</t>
        </is>
      </c>
      <c r="U97" t="inlineStr">
        <is>
          <t>Workforce exposure to national emergency duties such as conscription, reservist service or civil mobilization, including exemption processes and continuity planning is optimized, continuously improved, automated where practical and demonstrably supports crisis resilience.</t>
        </is>
      </c>
      <c r="V97" t="inlineStr">
        <is>
          <t>War/security crisis; Workforce disruption</t>
        </is>
      </c>
      <c r="Y97" t="inlineStr">
        <is>
          <t>Use the recommended action generated by the model; validate with domain owner during real assessment.</t>
        </is>
      </c>
      <c r="Z97" t="n">
        <v>2</v>
      </c>
      <c r="AA97" t="n">
        <v>5</v>
      </c>
      <c r="AB97" t="n">
        <v>4</v>
      </c>
      <c r="AM97">
        <f>_DATA_Assessment_Model!AJ97</f>
        <v/>
      </c>
      <c r="AN97">
        <f>_DATA_Assessment_Model!AK97</f>
        <v/>
      </c>
      <c r="AO97">
        <f>_DATA_Assessment_Model!AL97</f>
        <v/>
      </c>
      <c r="AP97">
        <f>_DATA_Assessment_Model!AM97</f>
        <v/>
      </c>
      <c r="AQ97">
        <f>_DATA_Assessment_Model!AN97</f>
        <v/>
      </c>
      <c r="AR97">
        <f>_DATA_Assessment_Model!AO97</f>
        <v/>
      </c>
      <c r="AS97">
        <f>_DATA_Assessment_Model!AP97</f>
        <v/>
      </c>
      <c r="AT97">
        <f>_DATA_Assessment_Model!AQ97</f>
        <v/>
      </c>
      <c r="AU97">
        <f>_DATA_Assessment_Model!AR97</f>
        <v/>
      </c>
      <c r="AV97">
        <f>_DATA_Assessment_Model!AS97</f>
        <v/>
      </c>
      <c r="AW97">
        <f>_DATA_Assessment_Model!AT97</f>
        <v/>
      </c>
      <c r="AY97">
        <f>_DATA_Assessment_Model!AV97</f>
        <v/>
      </c>
    </row>
    <row r="98" ht="69" customHeight="1" s="209">
      <c r="A98" t="inlineStr">
        <is>
          <t>Finance Procurement</t>
        </is>
      </c>
      <c r="B98" t="inlineStr">
        <is>
          <t>Finance Procurement</t>
        </is>
      </c>
      <c r="C98" t="n">
        <v>5</v>
      </c>
      <c r="D98" s="3" t="inlineStr">
        <is>
          <t>FINA-001</t>
        </is>
      </c>
      <c r="E98" s="3" t="inlineStr">
        <is>
          <t>Financial resilience</t>
        </is>
      </c>
      <c r="F98" s="3" t="inlineStr">
        <is>
          <t>How mature is the organization in managing cash visibility by legal entity, bank, currency, restrictions and emergency access, including ownership, evidence, metrics, fallback procedures and crisis stress testing?</t>
        </is>
      </c>
      <c r="G98" s="3" t="inlineStr">
        <is>
          <t>This topic affects exposure to Financial liquidity crisis; Supplier disruption; Fraud risk. It helps identify how disruption may impact operations, people, revenue, systems, legal exposure or recovery time.</t>
        </is>
      </c>
      <c r="H98" s="3" t="inlineStr">
        <is>
          <t>COSO Internal Control; COSO ERM; IFRS; ISO 20400; ISO 37001; CIPS</t>
        </is>
      </c>
      <c r="I98" s="3" t="inlineStr">
        <is>
          <t>Policy/SOP; owner/RACI; system report; dashboard; contracts; test records; incident history; interview evidence related to cash visibility by legal entity, bank, currency, restrictions and emergency access.</t>
        </is>
      </c>
      <c r="J98" s="3" t="n">
        <v>5</v>
      </c>
      <c r="K98" s="85">
        <f>_DATA_Assessment_Model!H98</f>
        <v/>
      </c>
      <c r="L98" s="4">
        <f>_DATA_Assessment_Model!I98</f>
        <v/>
      </c>
      <c r="M98" s="4">
        <f>_DATA_Assessment_Model!J98</f>
        <v/>
      </c>
      <c r="N98" s="4">
        <f>_DATA_Assessment_Model!K98</f>
        <v/>
      </c>
      <c r="O98" s="3">
        <f>_DATA_Assessment_Model!L98</f>
        <v/>
      </c>
      <c r="P98" s="3" t="inlineStr">
        <is>
          <t>Nothing is monitored or measured.</t>
        </is>
      </c>
      <c r="Q98" s="3" t="inlineStr">
        <is>
          <t>Occasional manual checks by individuals.</t>
        </is>
      </c>
      <c r="R98" s="3" t="inlineStr">
        <is>
          <t>Some metrics exist but are not reviewed regularly and trigger no action.</t>
        </is>
      </c>
      <c r="S98" s="3" t="inlineStr">
        <is>
          <t>Defined metrics with an owner, reviewed on a set cadence.</t>
        </is>
      </c>
      <c r="T98" s="3" t="inlineStr">
        <is>
          <t>Thresholds and alerts in place; deviations trigger documented action; trends analyzed.</t>
        </is>
      </c>
      <c r="U98" s="3" t="inlineStr">
        <is>
          <t>Automated monitoring with leading indicators, integrated into management decisions.</t>
        </is>
      </c>
      <c r="V98" s="3" t="inlineStr">
        <is>
          <t>Financial liquidity crisis; Supplier disruption; Fraud risk</t>
        </is>
      </c>
      <c r="W98" s="3" t="n"/>
      <c r="X98" s="3" t="n"/>
      <c r="Y98" s="3" t="inlineStr">
        <is>
          <t>Use the recommended action generated by the model; validate with domain owner during real assessment.</t>
        </is>
      </c>
      <c r="Z98" s="7" t="n">
        <v>4</v>
      </c>
      <c r="AA98" s="7" t="n">
        <v>5</v>
      </c>
      <c r="AB98" s="7" t="n">
        <v>5</v>
      </c>
      <c r="AD98" t="inlineStr">
        <is>
          <t>Financial resilience</t>
        </is>
      </c>
      <c r="AE98" s="6">
        <f>_DATA_Assessment_Model!AB98</f>
        <v/>
      </c>
      <c r="AF98" s="8">
        <f>_DATA_Assessment_Model!AC98</f>
        <v/>
      </c>
      <c r="AG98" s="9">
        <f>_DATA_Assessment_Model!AD98</f>
        <v/>
      </c>
      <c r="AH98" s="6">
        <f>_DATA_Assessment_Model!AE98</f>
        <v/>
      </c>
      <c r="AI98" s="8">
        <f>_DATA_Assessment_Model!AF98</f>
        <v/>
      </c>
      <c r="AJ98" s="6">
        <f>_DATA_Assessment_Model!AG98</f>
        <v/>
      </c>
      <c r="AK98" s="46" t="n"/>
      <c r="AL98" s="46" t="n"/>
      <c r="AM98" s="247">
        <f>_DATA_Assessment_Model!AJ98</f>
        <v/>
      </c>
      <c r="AN98" s="247">
        <f>_DATA_Assessment_Model!AK98</f>
        <v/>
      </c>
      <c r="AO98" s="247">
        <f>_DATA_Assessment_Model!AL98</f>
        <v/>
      </c>
      <c r="AP98" s="247">
        <f>_DATA_Assessment_Model!AM98</f>
        <v/>
      </c>
      <c r="AQ98" s="247">
        <f>_DATA_Assessment_Model!AN98</f>
        <v/>
      </c>
      <c r="AR98" s="247">
        <f>_DATA_Assessment_Model!AO98</f>
        <v/>
      </c>
      <c r="AS98" s="247">
        <f>_DATA_Assessment_Model!AP98</f>
        <v/>
      </c>
      <c r="AT98" s="247">
        <f>_DATA_Assessment_Model!AQ98</f>
        <v/>
      </c>
      <c r="AU98" s="247">
        <f>_DATA_Assessment_Model!AR98</f>
        <v/>
      </c>
      <c r="AV98" s="5">
        <f>_DATA_Assessment_Model!AS98</f>
        <v/>
      </c>
      <c r="AW98" s="5">
        <f>_DATA_Assessment_Model!AT98</f>
        <v/>
      </c>
      <c r="AY98">
        <f>_DATA_Assessment_Model!AV98</f>
        <v/>
      </c>
    </row>
    <row r="99" ht="69" customHeight="1" s="209">
      <c r="A99" t="inlineStr">
        <is>
          <t>Finance Procurement</t>
        </is>
      </c>
      <c r="B99" t="inlineStr">
        <is>
          <t>Finance Procurement</t>
        </is>
      </c>
      <c r="C99" t="n">
        <v>6</v>
      </c>
      <c r="D99" s="3" t="inlineStr">
        <is>
          <t>FINA-002</t>
        </is>
      </c>
      <c r="E99" s="3" t="inlineStr">
        <is>
          <t>Financial resilience</t>
        </is>
      </c>
      <c r="F99" s="3" t="inlineStr">
        <is>
          <t>How mature is the organization in managing cash-flow forecasting under base, downside and severe crisis scenarios, including ownership, evidence, metrics, fallback procedures and crisis stress testing?</t>
        </is>
      </c>
      <c r="G99" s="3" t="inlineStr">
        <is>
          <t>This topic affects exposure to Financial liquidity crisis; Supplier disruption; Fraud risk. It helps identify how disruption may impact operations, people, revenue, systems, legal exposure or recovery time.</t>
        </is>
      </c>
      <c r="H99" s="3" t="inlineStr">
        <is>
          <t>COSO Internal Control; COSO ERM; IFRS; ISO 20400; ISO 37001; CIPS</t>
        </is>
      </c>
      <c r="I99" s="3" t="inlineStr">
        <is>
          <t>Policy/SOP; owner/RACI; system report; dashboard; contracts; test records; incident history; interview evidence related to cash-flow forecasting under base, downside and severe crisis scenarios.</t>
        </is>
      </c>
      <c r="J99" s="3" t="n">
        <v>5</v>
      </c>
      <c r="K99" s="85">
        <f>_DATA_Assessment_Model!H99</f>
        <v/>
      </c>
      <c r="L99" s="4">
        <f>_DATA_Assessment_Model!I99</f>
        <v/>
      </c>
      <c r="M99" s="4">
        <f>_DATA_Assessment_Model!J99</f>
        <v/>
      </c>
      <c r="N99" s="4">
        <f>_DATA_Assessment_Model!K99</f>
        <v/>
      </c>
      <c r="O99" s="3">
        <f>_DATA_Assessment_Model!L99</f>
        <v/>
      </c>
      <c r="P99" s="3" t="inlineStr">
        <is>
          <t>Does not exist; no owner, no documentation, no practice.</t>
        </is>
      </c>
      <c r="Q99" s="3" t="inlineStr">
        <is>
          <t>Ad hoc; depends entirely on specific individuals.</t>
        </is>
      </c>
      <c r="R99" s="3" t="inlineStr">
        <is>
          <t>Partially documented or implemented; coverage inconsistent; never tested under stress.</t>
        </is>
      </c>
      <c r="S99" s="3" t="inlineStr">
        <is>
          <t>Documented, owned, executed consistently; basic evidence and metrics exist.</t>
        </is>
      </c>
      <c r="T99" s="3" t="inlineStr">
        <is>
          <t>Measured and periodically tested/audited; integrated with adjacent processes.</t>
        </is>
      </c>
      <c r="U99" s="3" t="inlineStr">
        <is>
          <t>Optimized and automated where practical; stress-tested; benchmarked externally.</t>
        </is>
      </c>
      <c r="V99" s="3" t="inlineStr">
        <is>
          <t>Financial liquidity crisis; Supplier disruption; Fraud risk</t>
        </is>
      </c>
      <c r="W99" s="3" t="n"/>
      <c r="X99" s="3" t="n"/>
      <c r="Y99" s="3" t="inlineStr">
        <is>
          <t>Use the recommended action generated by the model; validate with domain owner during real assessment.</t>
        </is>
      </c>
      <c r="Z99" s="7" t="n">
        <v>4</v>
      </c>
      <c r="AA99" s="7" t="n">
        <v>5</v>
      </c>
      <c r="AB99" s="7" t="n">
        <v>5</v>
      </c>
      <c r="AD99" t="inlineStr">
        <is>
          <t>Controls and accounting</t>
        </is>
      </c>
      <c r="AE99" s="6">
        <f>_DATA_Assessment_Model!AB99</f>
        <v/>
      </c>
      <c r="AF99" s="8">
        <f>_DATA_Assessment_Model!AC99</f>
        <v/>
      </c>
      <c r="AG99" s="9">
        <f>_DATA_Assessment_Model!AD99</f>
        <v/>
      </c>
      <c r="AH99" s="6">
        <f>_DATA_Assessment_Model!AE99</f>
        <v/>
      </c>
      <c r="AI99" s="8">
        <f>_DATA_Assessment_Model!AF99</f>
        <v/>
      </c>
      <c r="AJ99" s="6">
        <f>_DATA_Assessment_Model!AG99</f>
        <v/>
      </c>
      <c r="AK99" s="46" t="n"/>
      <c r="AL99" s="46" t="n"/>
      <c r="AM99" s="247">
        <f>_DATA_Assessment_Model!AJ99</f>
        <v/>
      </c>
      <c r="AN99" s="247">
        <f>_DATA_Assessment_Model!AK99</f>
        <v/>
      </c>
      <c r="AO99" s="247">
        <f>_DATA_Assessment_Model!AL99</f>
        <v/>
      </c>
      <c r="AP99" s="247">
        <f>_DATA_Assessment_Model!AM99</f>
        <v/>
      </c>
      <c r="AQ99" s="247">
        <f>_DATA_Assessment_Model!AN99</f>
        <v/>
      </c>
      <c r="AR99" s="247">
        <f>_DATA_Assessment_Model!AO99</f>
        <v/>
      </c>
      <c r="AS99" s="247">
        <f>_DATA_Assessment_Model!AP99</f>
        <v/>
      </c>
      <c r="AT99" s="247">
        <f>_DATA_Assessment_Model!AQ99</f>
        <v/>
      </c>
      <c r="AU99" s="247">
        <f>_DATA_Assessment_Model!AR99</f>
        <v/>
      </c>
      <c r="AV99" s="5">
        <f>_DATA_Assessment_Model!AS99</f>
        <v/>
      </c>
      <c r="AW99" s="5">
        <f>_DATA_Assessment_Model!AT99</f>
        <v/>
      </c>
      <c r="AY99">
        <f>_DATA_Assessment_Model!AV99</f>
        <v/>
      </c>
    </row>
    <row r="100" ht="69" customHeight="1" s="209">
      <c r="A100" t="inlineStr">
        <is>
          <t>Finance Procurement</t>
        </is>
      </c>
      <c r="B100" t="inlineStr">
        <is>
          <t>Finance Procurement</t>
        </is>
      </c>
      <c r="C100" t="n">
        <v>7</v>
      </c>
      <c r="D100" s="3" t="inlineStr">
        <is>
          <t>FINA-003</t>
        </is>
      </c>
      <c r="E100" s="3" t="inlineStr">
        <is>
          <t>Financial resilience</t>
        </is>
      </c>
      <c r="F100" s="3" t="inlineStr">
        <is>
          <t>How mature is the organization in managing liquidity buffers, credit lines, emergency funding options and covenant monitoring, including ownership, evidence, metrics, fallback procedures and crisis stress testing?</t>
        </is>
      </c>
      <c r="G100" s="3" t="inlineStr">
        <is>
          <t>This topic affects exposure to Financial liquidity crisis; Supplier disruption; Fraud risk. It helps identify how disruption may impact operations, people, revenue, systems, legal exposure or recovery time.</t>
        </is>
      </c>
      <c r="H100" s="3" t="inlineStr">
        <is>
          <t>COSO Internal Control; COSO ERM; IFRS; ISO 20400; ISO 37001; CIPS</t>
        </is>
      </c>
      <c r="I100" s="3" t="inlineStr">
        <is>
          <t>Policy/SOP; owner/RACI; system report; dashboard; contracts; test records; incident history; interview evidence related to liquidity buffers, credit lines, emergency funding options and covenant monitoring.</t>
        </is>
      </c>
      <c r="J100" s="3" t="n">
        <v>3</v>
      </c>
      <c r="K100" s="85">
        <f>_DATA_Assessment_Model!H100</f>
        <v/>
      </c>
      <c r="L100" s="4">
        <f>_DATA_Assessment_Model!I100</f>
        <v/>
      </c>
      <c r="M100" s="4">
        <f>_DATA_Assessment_Model!J100</f>
        <v/>
      </c>
      <c r="N100" s="4">
        <f>_DATA_Assessment_Model!K100</f>
        <v/>
      </c>
      <c r="O100" s="3">
        <f>_DATA_Assessment_Model!L100</f>
        <v/>
      </c>
      <c r="P100" s="3" t="inlineStr">
        <is>
          <t>No liquidity buffer; no credit lines; cash position unclear.</t>
        </is>
      </c>
      <c r="Q100" s="3" t="inlineStr">
        <is>
          <t>Buffer exists informally; size not based on analysis.</t>
        </is>
      </c>
      <c r="R100" s="3" t="inlineStr">
        <is>
          <t>Buffer or credit line exists but covers under 1 month of fixed costs or is untested.</t>
        </is>
      </c>
      <c r="S100" s="3" t="inlineStr">
        <is>
          <t>Defined buffer target (&gt;=1-3 months) plus committed credit lines; covenants monitored.</t>
        </is>
      </c>
      <c r="T100" s="3" t="inlineStr">
        <is>
          <t>Buffer sized from stress scenarios; emergency funding options pre-negotiated and reviewed.</t>
        </is>
      </c>
      <c r="U100" s="3" t="inlineStr">
        <is>
          <t>Multi-source liquidity strategy tested in real or simulated stress; covenant headroom actively managed.</t>
        </is>
      </c>
      <c r="V100" s="3" t="inlineStr">
        <is>
          <t>Financial liquidity crisis; Supplier disruption; Fraud risk</t>
        </is>
      </c>
      <c r="W100" s="3" t="n"/>
      <c r="X100" s="3" t="n"/>
      <c r="Y100" s="3" t="inlineStr">
        <is>
          <t>Use the recommended action generated by the model; validate with domain owner during real assessment.</t>
        </is>
      </c>
      <c r="Z100" s="7" t="n">
        <v>4</v>
      </c>
      <c r="AA100" s="7" t="n">
        <v>5</v>
      </c>
      <c r="AB100" s="7" t="n">
        <v>5</v>
      </c>
      <c r="AD100" t="inlineStr">
        <is>
          <t>Procurement and suppliers</t>
        </is>
      </c>
      <c r="AE100" s="6">
        <f>_DATA_Assessment_Model!AB100</f>
        <v/>
      </c>
      <c r="AF100" s="8">
        <f>_DATA_Assessment_Model!AC100</f>
        <v/>
      </c>
      <c r="AG100" s="9">
        <f>_DATA_Assessment_Model!AD100</f>
        <v/>
      </c>
      <c r="AH100" s="6">
        <f>_DATA_Assessment_Model!AE100</f>
        <v/>
      </c>
      <c r="AI100" s="8">
        <f>_DATA_Assessment_Model!AF100</f>
        <v/>
      </c>
      <c r="AJ100" s="6">
        <f>_DATA_Assessment_Model!AG100</f>
        <v/>
      </c>
      <c r="AK100" s="46" t="n"/>
      <c r="AL100" s="46" t="n"/>
      <c r="AM100" s="247">
        <f>_DATA_Assessment_Model!AJ100</f>
        <v/>
      </c>
      <c r="AN100" s="247">
        <f>_DATA_Assessment_Model!AK100</f>
        <v/>
      </c>
      <c r="AO100" s="247">
        <f>_DATA_Assessment_Model!AL100</f>
        <v/>
      </c>
      <c r="AP100" s="247">
        <f>_DATA_Assessment_Model!AM100</f>
        <v/>
      </c>
      <c r="AQ100" s="247">
        <f>_DATA_Assessment_Model!AN100</f>
        <v/>
      </c>
      <c r="AR100" s="247">
        <f>_DATA_Assessment_Model!AO100</f>
        <v/>
      </c>
      <c r="AS100" s="247">
        <f>_DATA_Assessment_Model!AP100</f>
        <v/>
      </c>
      <c r="AT100" s="247">
        <f>_DATA_Assessment_Model!AQ100</f>
        <v/>
      </c>
      <c r="AU100" s="247">
        <f>_DATA_Assessment_Model!AR100</f>
        <v/>
      </c>
      <c r="AV100" s="5">
        <f>_DATA_Assessment_Model!AS100</f>
        <v/>
      </c>
      <c r="AW100" s="5">
        <f>_DATA_Assessment_Model!AT100</f>
        <v/>
      </c>
      <c r="AY100">
        <f>_DATA_Assessment_Model!AV100</f>
        <v/>
      </c>
    </row>
    <row r="101" ht="82.8" customHeight="1" s="209">
      <c r="A101" t="inlineStr">
        <is>
          <t>Finance Procurement</t>
        </is>
      </c>
      <c r="B101" t="inlineStr">
        <is>
          <t>Finance Procurement</t>
        </is>
      </c>
      <c r="C101" t="n">
        <v>8</v>
      </c>
      <c r="D101" s="3" t="inlineStr">
        <is>
          <t>FINA-004</t>
        </is>
      </c>
      <c r="E101" s="3" t="inlineStr">
        <is>
          <t>Financial resilience</t>
        </is>
      </c>
      <c r="F101" s="3" t="inlineStr">
        <is>
          <t>How mature is the organization in managing driver-based financial forecasting linked to sales, delivery, workforce, inventory and production, including ownership, evidence, metrics, fallback procedures and crisis stress testing?</t>
        </is>
      </c>
      <c r="G101" s="3" t="inlineStr">
        <is>
          <t>This topic affects exposure to Financial liquidity crisis; Supplier disruption; Fraud risk. It helps identify how disruption may impact operations, people, revenue, systems, legal exposure or recovery time.</t>
        </is>
      </c>
      <c r="H101" s="3" t="inlineStr">
        <is>
          <t>COSO Internal Control; COSO ERM; IFRS; ISO 20400; ISO 37001; CIPS</t>
        </is>
      </c>
      <c r="I101" s="3" t="inlineStr">
        <is>
          <t>Policy/SOP; owner/RACI; system report; dashboard; contracts; test records; incident history; interview evidence related to driver-based financial forecasting linked to sales, delivery, workforce, inventory and production.</t>
        </is>
      </c>
      <c r="J101" s="3" t="n">
        <v>5</v>
      </c>
      <c r="K101" s="85">
        <f>_DATA_Assessment_Model!H101</f>
        <v/>
      </c>
      <c r="L101" s="4">
        <f>_DATA_Assessment_Model!I101</f>
        <v/>
      </c>
      <c r="M101" s="4">
        <f>_DATA_Assessment_Model!J101</f>
        <v/>
      </c>
      <c r="N101" s="4">
        <f>_DATA_Assessment_Model!K101</f>
        <v/>
      </c>
      <c r="O101" s="3">
        <f>_DATA_Assessment_Model!L101</f>
        <v/>
      </c>
      <c r="P101" s="3" t="inlineStr">
        <is>
          <t>No inventory/register exists.</t>
        </is>
      </c>
      <c r="Q101" s="3" t="inlineStr">
        <is>
          <t>Partial lists live in individuals' heads or personal files.</t>
        </is>
      </c>
      <c r="R101" s="3" t="inlineStr">
        <is>
          <t>A register exists but is incomplete or outdated (&gt;1 year) and has no owner.</t>
        </is>
      </c>
      <c r="S101" s="3" t="inlineStr">
        <is>
          <t>Owned, documented, updated on a defined schedule, covers the main scope.</t>
        </is>
      </c>
      <c r="T101" s="3" t="inlineStr">
        <is>
          <t>Complete and periodically reviewed; integrated with related processes; completeness measured.</t>
        </is>
      </c>
      <c r="U101" s="3" t="inlineStr">
        <is>
          <t>Maintained automatically or synced with systems; drives decisions; audited.</t>
        </is>
      </c>
      <c r="V101" s="3" t="inlineStr">
        <is>
          <t>Financial liquidity crisis; Supplier disruption; Fraud risk</t>
        </is>
      </c>
      <c r="W101" s="3" t="n"/>
      <c r="X101" s="3" t="n"/>
      <c r="Y101" s="3" t="inlineStr">
        <is>
          <t>Use the recommended action generated by the model; validate with domain owner during real assessment.</t>
        </is>
      </c>
      <c r="Z101" s="7" t="n">
        <v>4</v>
      </c>
      <c r="AA101" s="7" t="n">
        <v>5</v>
      </c>
      <c r="AB101" s="7" t="n">
        <v>5</v>
      </c>
      <c r="AD101" t="inlineStr">
        <is>
          <t>Working capital</t>
        </is>
      </c>
      <c r="AE101" s="6">
        <f>_DATA_Assessment_Model!AB101</f>
        <v/>
      </c>
      <c r="AF101" s="8">
        <f>_DATA_Assessment_Model!AC101</f>
        <v/>
      </c>
      <c r="AG101" s="9">
        <f>_DATA_Assessment_Model!AD101</f>
        <v/>
      </c>
      <c r="AH101" s="6">
        <f>_DATA_Assessment_Model!AE101</f>
        <v/>
      </c>
      <c r="AI101" s="8">
        <f>_DATA_Assessment_Model!AF101</f>
        <v/>
      </c>
      <c r="AJ101" s="6">
        <f>_DATA_Assessment_Model!AG101</f>
        <v/>
      </c>
      <c r="AK101" s="46" t="n"/>
      <c r="AL101" s="46" t="n"/>
      <c r="AM101" s="247">
        <f>_DATA_Assessment_Model!AJ101</f>
        <v/>
      </c>
      <c r="AN101" s="247">
        <f>_DATA_Assessment_Model!AK101</f>
        <v/>
      </c>
      <c r="AO101" s="247">
        <f>_DATA_Assessment_Model!AL101</f>
        <v/>
      </c>
      <c r="AP101" s="247">
        <f>_DATA_Assessment_Model!AM101</f>
        <v/>
      </c>
      <c r="AQ101" s="247">
        <f>_DATA_Assessment_Model!AN101</f>
        <v/>
      </c>
      <c r="AR101" s="247">
        <f>_DATA_Assessment_Model!AO101</f>
        <v/>
      </c>
      <c r="AS101" s="247">
        <f>_DATA_Assessment_Model!AP101</f>
        <v/>
      </c>
      <c r="AT101" s="247">
        <f>_DATA_Assessment_Model!AQ101</f>
        <v/>
      </c>
      <c r="AU101" s="247">
        <f>_DATA_Assessment_Model!AR101</f>
        <v/>
      </c>
      <c r="AV101" s="5">
        <f>_DATA_Assessment_Model!AS101</f>
        <v/>
      </c>
      <c r="AW101" s="5">
        <f>_DATA_Assessment_Model!AT101</f>
        <v/>
      </c>
      <c r="AY101">
        <f>_DATA_Assessment_Model!AV101</f>
        <v/>
      </c>
    </row>
    <row r="102" ht="82.8" customHeight="1" s="209">
      <c r="A102" t="inlineStr">
        <is>
          <t>Finance Procurement</t>
        </is>
      </c>
      <c r="B102" t="inlineStr">
        <is>
          <t>Finance Procurement</t>
        </is>
      </c>
      <c r="C102" t="n">
        <v>9</v>
      </c>
      <c r="D102" s="3" t="inlineStr">
        <is>
          <t>FINA-005</t>
        </is>
      </c>
      <c r="E102" s="3" t="inlineStr">
        <is>
          <t>Financial resilience</t>
        </is>
      </c>
      <c r="F102" s="3" t="inlineStr">
        <is>
          <t>How mature is the organization in managing budget flexibility and emergency reallocation rules, including ownership, evidence, metrics, fallback procedures and crisis stress testing?</t>
        </is>
      </c>
      <c r="G102" s="3" t="inlineStr">
        <is>
          <t>This topic affects exposure to Financial liquidity crisis; Supplier disruption; Fraud risk. It helps identify how disruption may impact operations, people, revenue, systems, legal exposure or recovery time.</t>
        </is>
      </c>
      <c r="H102" s="3" t="inlineStr">
        <is>
          <t>COSO Internal Control; COSO ERM; IFRS; ISO 20400; ISO 37001; CIPS</t>
        </is>
      </c>
      <c r="I102" s="3" t="inlineStr">
        <is>
          <t>Policy/SOP; owner/RACI; system report; dashboard; contracts; test records; incident history; interview evidence related to budget flexibility and emergency reallocation rules.</t>
        </is>
      </c>
      <c r="J102" s="3" t="n">
        <v>3</v>
      </c>
      <c r="K102" s="85">
        <f>_DATA_Assessment_Model!H102</f>
        <v/>
      </c>
      <c r="L102" s="4">
        <f>_DATA_Assessment_Model!I102</f>
        <v/>
      </c>
      <c r="M102" s="4">
        <f>_DATA_Assessment_Model!J102</f>
        <v/>
      </c>
      <c r="N102" s="4">
        <f>_DATA_Assessment_Model!K102</f>
        <v/>
      </c>
      <c r="O102" s="3">
        <f>_DATA_Assessment_Model!L102</f>
        <v/>
      </c>
      <c r="P102" s="3" t="inlineStr">
        <is>
          <t>No reliable evidence that budget flexibility and emergency reallocation rules is defined, owned or managed.</t>
        </is>
      </c>
      <c r="Q102" s="3" t="inlineStr">
        <is>
          <t>Budget flexibility and emergency reallocation rules is handled informally and depends on individual knowledge or heroic effort.</t>
        </is>
      </c>
      <c r="R102" s="3" t="inlineStr">
        <is>
          <t>Budget flexibility and emergency reallocation rules is partially documented or implemented, but coverage is inconsistent and not crisis-tested.</t>
        </is>
      </c>
      <c r="S102" s="3" t="inlineStr">
        <is>
          <t>Budget flexibility and emergency reallocation rules is documented, owned, used in normal operations and supported by basic evidence or metrics.</t>
        </is>
      </c>
      <c r="T102" s="3" t="inlineStr">
        <is>
          <t>Budget flexibility and emergency reallocation rules is measured, periodically reviewed, integrated with related processes and tested against relevant disruption scenarios.</t>
        </is>
      </c>
      <c r="U102" s="3" t="inlineStr">
        <is>
          <t>Budget flexibility and emergency reallocation rules is optimized, continuously improved, automated where practical and demonstrably supports crisis resilience.</t>
        </is>
      </c>
      <c r="V102" s="3" t="inlineStr">
        <is>
          <t>Financial liquidity crisis; Supplier disruption; Fraud risk</t>
        </is>
      </c>
      <c r="W102" s="3" t="n"/>
      <c r="X102" s="3" t="n"/>
      <c r="Y102" s="3" t="inlineStr">
        <is>
          <t>Use the recommended action generated by the model; validate with domain owner during real assessment.</t>
        </is>
      </c>
      <c r="Z102" s="7" t="n">
        <v>4</v>
      </c>
      <c r="AA102" s="7" t="n">
        <v>5</v>
      </c>
      <c r="AB102" s="7" t="n">
        <v>5</v>
      </c>
      <c r="AK102" s="46" t="n"/>
      <c r="AL102" s="46" t="n"/>
      <c r="AM102" s="247">
        <f>_DATA_Assessment_Model!AJ102</f>
        <v/>
      </c>
      <c r="AN102" s="247">
        <f>_DATA_Assessment_Model!AK102</f>
        <v/>
      </c>
      <c r="AO102" s="247">
        <f>_DATA_Assessment_Model!AL102</f>
        <v/>
      </c>
      <c r="AP102" s="247">
        <f>_DATA_Assessment_Model!AM102</f>
        <v/>
      </c>
      <c r="AQ102" s="247">
        <f>_DATA_Assessment_Model!AN102</f>
        <v/>
      </c>
      <c r="AR102" s="247">
        <f>_DATA_Assessment_Model!AO102</f>
        <v/>
      </c>
      <c r="AS102" s="247">
        <f>_DATA_Assessment_Model!AP102</f>
        <v/>
      </c>
      <c r="AT102" s="247">
        <f>_DATA_Assessment_Model!AQ102</f>
        <v/>
      </c>
      <c r="AU102" s="247">
        <f>_DATA_Assessment_Model!AR102</f>
        <v/>
      </c>
      <c r="AV102" s="5">
        <f>_DATA_Assessment_Model!AS102</f>
        <v/>
      </c>
      <c r="AW102" s="5">
        <f>_DATA_Assessment_Model!AT102</f>
        <v/>
      </c>
      <c r="AY102">
        <f>_DATA_Assessment_Model!AV102</f>
        <v/>
      </c>
    </row>
    <row r="103" ht="82.8" customHeight="1" s="209">
      <c r="A103" t="inlineStr">
        <is>
          <t>Finance Procurement</t>
        </is>
      </c>
      <c r="B103" t="inlineStr">
        <is>
          <t>Finance Procurement</t>
        </is>
      </c>
      <c r="C103" t="n">
        <v>10</v>
      </c>
      <c r="D103" s="3" t="inlineStr">
        <is>
          <t>FINA-006</t>
        </is>
      </c>
      <c r="E103" s="3" t="inlineStr">
        <is>
          <t>Financial resilience</t>
        </is>
      </c>
      <c r="F103" s="3" t="inlineStr">
        <is>
          <t>How mature is the organization in managing financial stress tests for revenue collapse, currency shock, supplier price spikes, debt pressure and delayed receivables, including ownership, evidence, metrics, fallback procedures and crisis stress testing?</t>
        </is>
      </c>
      <c r="G103" s="3" t="inlineStr">
        <is>
          <t>This topic affects exposure to Financial liquidity crisis; Supplier disruption; Fraud risk. It helps identify how disruption may impact operations, people, revenue, systems, legal exposure or recovery time.</t>
        </is>
      </c>
      <c r="H103" s="3" t="inlineStr">
        <is>
          <t>COSO Internal Control; COSO ERM; IFRS; ISO 20400; ISO 37001; CIPS</t>
        </is>
      </c>
      <c r="I103" s="3" t="inlineStr">
        <is>
          <t>Policy/SOP; owner/RACI; system report; dashboard; contracts; test records; incident history; interview evidence related to financial stress tests for revenue collapse, currency shock, supplier price spikes, debt pressure and delayed receivables.</t>
        </is>
      </c>
      <c r="J103" s="3" t="n">
        <v>5</v>
      </c>
      <c r="K103" s="85">
        <f>_DATA_Assessment_Model!H103</f>
        <v/>
      </c>
      <c r="L103" s="4">
        <f>_DATA_Assessment_Model!I103</f>
        <v/>
      </c>
      <c r="M103" s="4">
        <f>_DATA_Assessment_Model!J103</f>
        <v/>
      </c>
      <c r="N103" s="4">
        <f>_DATA_Assessment_Model!K103</f>
        <v/>
      </c>
      <c r="O103" s="3">
        <f>_DATA_Assessment_Model!L103</f>
        <v/>
      </c>
      <c r="P103" s="3" t="inlineStr">
        <is>
          <t>Never done; no records exist.</t>
        </is>
      </c>
      <c r="Q103" s="3" t="inlineStr">
        <is>
          <t>Done once long ago or only after an incident; no schedule, no records.</t>
        </is>
      </c>
      <c r="R103" s="3" t="inlineStr">
        <is>
          <t>Done irregularly; results are not documented and findings are not tracked.</t>
        </is>
      </c>
      <c r="S103" s="3" t="inlineStr">
        <is>
          <t>Done on a defined schedule (at least annually); results documented, owner assigned.</t>
        </is>
      </c>
      <c r="T103" s="3" t="inlineStr">
        <is>
          <t>Done quarterly/semi-annually; findings tracked to closure, effectiveness measured against targets.</t>
        </is>
      </c>
      <c r="U103" s="3" t="inlineStr">
        <is>
          <t>Continuous or automated where possible; results drive improvements and are validated externally (audit/customer).</t>
        </is>
      </c>
      <c r="V103" s="3" t="inlineStr">
        <is>
          <t>Financial liquidity crisis; Supplier disruption; Fraud risk</t>
        </is>
      </c>
      <c r="W103" s="3" t="n"/>
      <c r="X103" s="3" t="n"/>
      <c r="Y103" s="3" t="inlineStr">
        <is>
          <t>Use the recommended action generated by the model; validate with domain owner during real assessment.</t>
        </is>
      </c>
      <c r="Z103" s="7" t="n">
        <v>4</v>
      </c>
      <c r="AA103" s="7" t="n">
        <v>5</v>
      </c>
      <c r="AB103" s="7" t="n">
        <v>5</v>
      </c>
      <c r="AK103" s="46" t="n"/>
      <c r="AL103" s="46" t="n"/>
      <c r="AM103" s="247">
        <f>_DATA_Assessment_Model!AJ103</f>
        <v/>
      </c>
      <c r="AN103" s="247">
        <f>_DATA_Assessment_Model!AK103</f>
        <v/>
      </c>
      <c r="AO103" s="247">
        <f>_DATA_Assessment_Model!AL103</f>
        <v/>
      </c>
      <c r="AP103" s="247">
        <f>_DATA_Assessment_Model!AM103</f>
        <v/>
      </c>
      <c r="AQ103" s="247">
        <f>_DATA_Assessment_Model!AN103</f>
        <v/>
      </c>
      <c r="AR103" s="247">
        <f>_DATA_Assessment_Model!AO103</f>
        <v/>
      </c>
      <c r="AS103" s="247">
        <f>_DATA_Assessment_Model!AP103</f>
        <v/>
      </c>
      <c r="AT103" s="247">
        <f>_DATA_Assessment_Model!AQ103</f>
        <v/>
      </c>
      <c r="AU103" s="247">
        <f>_DATA_Assessment_Model!AR103</f>
        <v/>
      </c>
      <c r="AV103" s="5">
        <f>_DATA_Assessment_Model!AS103</f>
        <v/>
      </c>
      <c r="AW103" s="5">
        <f>_DATA_Assessment_Model!AT103</f>
        <v/>
      </c>
      <c r="AY103">
        <f>_DATA_Assessment_Model!AV103</f>
        <v/>
      </c>
    </row>
    <row r="104" ht="96.59999999999999" customHeight="1" s="209">
      <c r="A104" t="inlineStr">
        <is>
          <t>Finance Procurement</t>
        </is>
      </c>
      <c r="B104" t="inlineStr">
        <is>
          <t>Finance Procurement</t>
        </is>
      </c>
      <c r="C104" t="n">
        <v>11</v>
      </c>
      <c r="D104" s="3" t="inlineStr">
        <is>
          <t>FINA-007</t>
        </is>
      </c>
      <c r="E104" s="3" t="inlineStr">
        <is>
          <t>Controls and accounting</t>
        </is>
      </c>
      <c r="F104" s="3" t="inlineStr">
        <is>
          <t>How mature is the organization in managing approval limits and emergency approvals resilient if key approvers are unavailable, including ownership, evidence, metrics, fallback procedures and crisis stress testing?</t>
        </is>
      </c>
      <c r="G104" s="3" t="inlineStr">
        <is>
          <t>This topic affects exposure to Financial liquidity crisis; Supplier disruption; Fraud risk. It helps identify how disruption may impact operations, people, revenue, systems, legal exposure or recovery time.</t>
        </is>
      </c>
      <c r="H104" s="3" t="inlineStr">
        <is>
          <t>COSO Internal Control; COSO ERM; IFRS; ISO 20400; ISO 37001; CIPS</t>
        </is>
      </c>
      <c r="I104" s="3" t="inlineStr">
        <is>
          <t>Policy/SOP; owner/RACI; system report; dashboard; contracts; test records; incident history; interview evidence related to approval limits and emergency approvals resilient if key approvers are unavailable.</t>
        </is>
      </c>
      <c r="J104" s="3" t="n">
        <v>3</v>
      </c>
      <c r="K104" s="85">
        <f>_DATA_Assessment_Model!H104</f>
        <v/>
      </c>
      <c r="L104" s="4">
        <f>_DATA_Assessment_Model!I104</f>
        <v/>
      </c>
      <c r="M104" s="4">
        <f>_DATA_Assessment_Model!J104</f>
        <v/>
      </c>
      <c r="N104" s="4">
        <f>_DATA_Assessment_Model!K104</f>
        <v/>
      </c>
      <c r="O104" s="3">
        <f>_DATA_Assessment_Model!L104</f>
        <v/>
      </c>
      <c r="P104" s="3" t="inlineStr">
        <is>
          <t>No reliable evidence that approval limits and emergency approvals resilient if key approvers are unavailable is defined, owned or managed.</t>
        </is>
      </c>
      <c r="Q104" s="3" t="inlineStr">
        <is>
          <t>Approval limits and emergency approvals resilient if key approvers are unavailable is handled informally and depends on individual knowledge or heroic effort.</t>
        </is>
      </c>
      <c r="R104" s="3" t="inlineStr">
        <is>
          <t>Approval limits and emergency approvals resilient if key approvers are unavailable is partially documented or implemented, but coverage is inconsistent and not crisis-tested.</t>
        </is>
      </c>
      <c r="S104" s="3" t="inlineStr">
        <is>
          <t>Approval limits and emergency approvals resilient if key approvers are unavailable is documented, owned, used in normal operations and supported by basic evidence or metrics.</t>
        </is>
      </c>
      <c r="T104" s="3" t="inlineStr">
        <is>
          <t>Approval limits and emergency approvals resilient if key approvers are unavailable is measured, periodically reviewed, integrated with related processes and tested against relevant disruption scenarios.</t>
        </is>
      </c>
      <c r="U104" s="3" t="inlineStr">
        <is>
          <t>Approval limits and emergency approvals resilient if key approvers are unavailable is optimized, continuously improved, automated where practical and demonstrably supports crisis resilience.</t>
        </is>
      </c>
      <c r="V104" s="3" t="inlineStr">
        <is>
          <t>Financial liquidity crisis; Supplier disruption; Fraud risk</t>
        </is>
      </c>
      <c r="W104" s="3" t="n"/>
      <c r="X104" s="3" t="n"/>
      <c r="Y104" s="3" t="inlineStr">
        <is>
          <t>Use the recommended action generated by the model; validate with domain owner during real assessment.</t>
        </is>
      </c>
      <c r="Z104" s="7" t="n">
        <v>4</v>
      </c>
      <c r="AA104" s="7" t="n">
        <v>5</v>
      </c>
      <c r="AB104" s="7" t="n">
        <v>5</v>
      </c>
      <c r="AK104" s="46" t="n"/>
      <c r="AL104" s="46" t="n"/>
      <c r="AM104" s="247">
        <f>_DATA_Assessment_Model!AJ104</f>
        <v/>
      </c>
      <c r="AN104" s="247">
        <f>_DATA_Assessment_Model!AK104</f>
        <v/>
      </c>
      <c r="AO104" s="247">
        <f>_DATA_Assessment_Model!AL104</f>
        <v/>
      </c>
      <c r="AP104" s="247">
        <f>_DATA_Assessment_Model!AM104</f>
        <v/>
      </c>
      <c r="AQ104" s="247">
        <f>_DATA_Assessment_Model!AN104</f>
        <v/>
      </c>
      <c r="AR104" s="247">
        <f>_DATA_Assessment_Model!AO104</f>
        <v/>
      </c>
      <c r="AS104" s="247">
        <f>_DATA_Assessment_Model!AP104</f>
        <v/>
      </c>
      <c r="AT104" s="247">
        <f>_DATA_Assessment_Model!AQ104</f>
        <v/>
      </c>
      <c r="AU104" s="247">
        <f>_DATA_Assessment_Model!AR104</f>
        <v/>
      </c>
      <c r="AV104" s="5">
        <f>_DATA_Assessment_Model!AS104</f>
        <v/>
      </c>
      <c r="AW104" s="5">
        <f>_DATA_Assessment_Model!AT104</f>
        <v/>
      </c>
      <c r="AY104">
        <f>_DATA_Assessment_Model!AV104</f>
        <v/>
      </c>
    </row>
    <row r="105" ht="69" customHeight="1" s="209">
      <c r="A105" t="inlineStr">
        <is>
          <t>Finance Procurement</t>
        </is>
      </c>
      <c r="B105" t="inlineStr">
        <is>
          <t>Finance Procurement</t>
        </is>
      </c>
      <c r="C105" t="n">
        <v>12</v>
      </c>
      <c r="D105" s="3" t="inlineStr">
        <is>
          <t>FINA-008</t>
        </is>
      </c>
      <c r="E105" s="3" t="inlineStr">
        <is>
          <t>Controls and accounting</t>
        </is>
      </c>
      <c r="F105" s="3" t="inlineStr">
        <is>
          <t>How mature is the organization in managing segregation of duties in finance, procurement, ERP and payment processes, including ownership, evidence, metrics, fallback procedures and crisis stress testing?</t>
        </is>
      </c>
      <c r="G105" s="3" t="inlineStr">
        <is>
          <t>This topic affects exposure to Financial liquidity crisis; Supplier disruption; Fraud risk. It helps identify how disruption may impact operations, people, revenue, systems, legal exposure or recovery time.</t>
        </is>
      </c>
      <c r="H105" s="3" t="inlineStr">
        <is>
          <t>COSO Internal Control; COSO ERM; IFRS; ISO 20400; ISO 37001; CIPS</t>
        </is>
      </c>
      <c r="I105" s="3" t="inlineStr">
        <is>
          <t>Policy/SOP; owner/RACI; system report; dashboard; contracts; test records; incident history; interview evidence related to segregation of duties in finance, procurement, ERP and payment processes.</t>
        </is>
      </c>
      <c r="J105" s="3" t="n">
        <v>5</v>
      </c>
      <c r="K105" s="85">
        <f>_DATA_Assessment_Model!H105</f>
        <v/>
      </c>
      <c r="L105" s="4">
        <f>_DATA_Assessment_Model!I105</f>
        <v/>
      </c>
      <c r="M105" s="4">
        <f>_DATA_Assessment_Model!J105</f>
        <v/>
      </c>
      <c r="N105" s="4">
        <f>_DATA_Assessment_Model!K105</f>
        <v/>
      </c>
      <c r="O105" s="3">
        <f>_DATA_Assessment_Model!L105</f>
        <v/>
      </c>
      <c r="P105" s="3" t="inlineStr">
        <is>
          <t>Does not exist; no owner, no documentation, no practice.</t>
        </is>
      </c>
      <c r="Q105" s="3" t="inlineStr">
        <is>
          <t>Ad hoc; depends entirely on specific individuals.</t>
        </is>
      </c>
      <c r="R105" s="3" t="inlineStr">
        <is>
          <t>Partially documented or implemented; coverage inconsistent; never tested under stress.</t>
        </is>
      </c>
      <c r="S105" s="3" t="inlineStr">
        <is>
          <t>Documented, owned, executed consistently; basic evidence and metrics exist.</t>
        </is>
      </c>
      <c r="T105" s="3" t="inlineStr">
        <is>
          <t>Measured and periodically tested/audited; integrated with adjacent processes.</t>
        </is>
      </c>
      <c r="U105" s="3" t="inlineStr">
        <is>
          <t>Optimized and automated where practical; stress-tested; benchmarked externally.</t>
        </is>
      </c>
      <c r="V105" s="3" t="inlineStr">
        <is>
          <t>Financial liquidity crisis; Supplier disruption; Fraud risk</t>
        </is>
      </c>
      <c r="W105" s="3" t="n"/>
      <c r="X105" s="3" t="n"/>
      <c r="Y105" s="3" t="inlineStr">
        <is>
          <t>Use the recommended action generated by the model; validate with domain owner during real assessment.</t>
        </is>
      </c>
      <c r="Z105" s="7" t="n">
        <v>5</v>
      </c>
      <c r="AA105" s="7" t="n">
        <v>5</v>
      </c>
      <c r="AB105" s="7" t="n">
        <v>5</v>
      </c>
      <c r="AK105" s="46" t="n"/>
      <c r="AL105" s="46" t="n"/>
      <c r="AM105" s="247">
        <f>_DATA_Assessment_Model!AJ105</f>
        <v/>
      </c>
      <c r="AN105" s="247">
        <f>_DATA_Assessment_Model!AK105</f>
        <v/>
      </c>
      <c r="AO105" s="247">
        <f>_DATA_Assessment_Model!AL105</f>
        <v/>
      </c>
      <c r="AP105" s="247">
        <f>_DATA_Assessment_Model!AM105</f>
        <v/>
      </c>
      <c r="AQ105" s="247">
        <f>_DATA_Assessment_Model!AN105</f>
        <v/>
      </c>
      <c r="AR105" s="247">
        <f>_DATA_Assessment_Model!AO105</f>
        <v/>
      </c>
      <c r="AS105" s="247">
        <f>_DATA_Assessment_Model!AP105</f>
        <v/>
      </c>
      <c r="AT105" s="247">
        <f>_DATA_Assessment_Model!AQ105</f>
        <v/>
      </c>
      <c r="AU105" s="247">
        <f>_DATA_Assessment_Model!AR105</f>
        <v/>
      </c>
      <c r="AV105" s="5">
        <f>_DATA_Assessment_Model!AS105</f>
        <v/>
      </c>
      <c r="AW105" s="5">
        <f>_DATA_Assessment_Model!AT105</f>
        <v/>
      </c>
      <c r="AY105">
        <f>_DATA_Assessment_Model!AV105</f>
        <v/>
      </c>
    </row>
    <row r="106" ht="82.8" customHeight="1" s="209">
      <c r="A106" t="inlineStr">
        <is>
          <t>Finance Procurement</t>
        </is>
      </c>
      <c r="B106" t="inlineStr">
        <is>
          <t>Finance Procurement</t>
        </is>
      </c>
      <c r="C106" t="n">
        <v>13</v>
      </c>
      <c r="D106" s="3" t="inlineStr">
        <is>
          <t>FINA-009</t>
        </is>
      </c>
      <c r="E106" s="3" t="inlineStr">
        <is>
          <t>Controls and accounting</t>
        </is>
      </c>
      <c r="F106" s="3" t="inlineStr">
        <is>
          <t>How mature is the organization in managing month-end close continuity under remote work, system outage or unavailable finance staff, including ownership, evidence, metrics, fallback procedures and crisis stress testing?</t>
        </is>
      </c>
      <c r="G106" s="3" t="inlineStr">
        <is>
          <t>This topic affects exposure to Financial liquidity crisis; Supplier disruption; Fraud risk. It helps identify how disruption may impact operations, people, revenue, systems, legal exposure or recovery time.</t>
        </is>
      </c>
      <c r="H106" s="3" t="inlineStr">
        <is>
          <t>COSO Internal Control; COSO ERM; IFRS; ISO 20400; ISO 37001; CIPS</t>
        </is>
      </c>
      <c r="I106" s="3" t="inlineStr">
        <is>
          <t>Policy/SOP; owner/RACI; system report; dashboard; contracts; test records; incident history; interview evidence related to month-end close continuity under remote work, system outage or unavailable finance staff.</t>
        </is>
      </c>
      <c r="J106" s="3" t="n">
        <v>5</v>
      </c>
      <c r="K106" s="85">
        <f>_DATA_Assessment_Model!H106</f>
        <v/>
      </c>
      <c r="L106" s="4">
        <f>_DATA_Assessment_Model!I106</f>
        <v/>
      </c>
      <c r="M106" s="4">
        <f>_DATA_Assessment_Model!J106</f>
        <v/>
      </c>
      <c r="N106" s="4">
        <f>_DATA_Assessment_Model!K106</f>
        <v/>
      </c>
      <c r="O106" s="3">
        <f>_DATA_Assessment_Model!L106</f>
        <v/>
      </c>
      <c r="P106" s="3" t="inlineStr">
        <is>
          <t>Does not exist; no owner, no documentation, no practice.</t>
        </is>
      </c>
      <c r="Q106" s="3" t="inlineStr">
        <is>
          <t>Ad hoc; depends entirely on specific individuals.</t>
        </is>
      </c>
      <c r="R106" s="3" t="inlineStr">
        <is>
          <t>Partially documented or implemented; coverage inconsistent; never tested under stress.</t>
        </is>
      </c>
      <c r="S106" s="3" t="inlineStr">
        <is>
          <t>Documented, owned, executed consistently; basic evidence and metrics exist.</t>
        </is>
      </c>
      <c r="T106" s="3" t="inlineStr">
        <is>
          <t>Measured and periodically tested/audited; integrated with adjacent processes.</t>
        </is>
      </c>
      <c r="U106" s="3" t="inlineStr">
        <is>
          <t>Optimized and automated where practical; stress-tested; benchmarked externally.</t>
        </is>
      </c>
      <c r="V106" s="3" t="inlineStr">
        <is>
          <t>Financial liquidity crisis; Supplier disruption; Fraud risk</t>
        </is>
      </c>
      <c r="W106" s="3" t="n"/>
      <c r="X106" s="3" t="n"/>
      <c r="Y106" s="3" t="inlineStr">
        <is>
          <t>Use the recommended action generated by the model; validate with domain owner during real assessment.</t>
        </is>
      </c>
      <c r="Z106" s="7" t="n">
        <v>4</v>
      </c>
      <c r="AA106" s="7" t="n">
        <v>5</v>
      </c>
      <c r="AB106" s="7" t="n">
        <v>5</v>
      </c>
      <c r="AK106" s="46" t="n"/>
      <c r="AL106" s="46" t="n"/>
      <c r="AM106" s="247">
        <f>_DATA_Assessment_Model!AJ106</f>
        <v/>
      </c>
      <c r="AN106" s="247">
        <f>_DATA_Assessment_Model!AK106</f>
        <v/>
      </c>
      <c r="AO106" s="247">
        <f>_DATA_Assessment_Model!AL106</f>
        <v/>
      </c>
      <c r="AP106" s="247">
        <f>_DATA_Assessment_Model!AM106</f>
        <v/>
      </c>
      <c r="AQ106" s="247">
        <f>_DATA_Assessment_Model!AN106</f>
        <v/>
      </c>
      <c r="AR106" s="247">
        <f>_DATA_Assessment_Model!AO106</f>
        <v/>
      </c>
      <c r="AS106" s="247">
        <f>_DATA_Assessment_Model!AP106</f>
        <v/>
      </c>
      <c r="AT106" s="247">
        <f>_DATA_Assessment_Model!AQ106</f>
        <v/>
      </c>
      <c r="AU106" s="247">
        <f>_DATA_Assessment_Model!AR106</f>
        <v/>
      </c>
      <c r="AV106" s="5">
        <f>_DATA_Assessment_Model!AS106</f>
        <v/>
      </c>
      <c r="AW106" s="5">
        <f>_DATA_Assessment_Model!AT106</f>
        <v/>
      </c>
      <c r="AY106">
        <f>_DATA_Assessment_Model!AV106</f>
        <v/>
      </c>
    </row>
    <row r="107" ht="82.8" customHeight="1" s="209">
      <c r="A107" t="inlineStr">
        <is>
          <t>Finance Procurement</t>
        </is>
      </c>
      <c r="B107" t="inlineStr">
        <is>
          <t>Finance Procurement</t>
        </is>
      </c>
      <c r="C107" t="n">
        <v>14</v>
      </c>
      <c r="D107" s="3" t="inlineStr">
        <is>
          <t>FINA-010</t>
        </is>
      </c>
      <c r="E107" s="3" t="inlineStr">
        <is>
          <t>Controls and accounting</t>
        </is>
      </c>
      <c r="F107" s="3" t="inlineStr">
        <is>
          <t>How mature is the organization in managing manual fallback procedures for billing, payments, payroll, procurement and accounting close, including ownership, evidence, metrics, fallback procedures and crisis stress testing?</t>
        </is>
      </c>
      <c r="G107" s="3" t="inlineStr">
        <is>
          <t>This topic affects exposure to Financial liquidity crisis; Supplier disruption; Fraud risk. It helps identify how disruption may impact operations, people, revenue, systems, legal exposure or recovery time.</t>
        </is>
      </c>
      <c r="H107" s="3" t="inlineStr">
        <is>
          <t>COSO Internal Control; COSO ERM; IFRS; ISO 20400; ISO 37001; CIPS</t>
        </is>
      </c>
      <c r="I107" s="3" t="inlineStr">
        <is>
          <t>Policy/SOP; owner/RACI; system report; dashboard; contracts; test records; incident history; interview evidence related to manual fallback procedures for billing, payments, payroll, procurement and accounting close.</t>
        </is>
      </c>
      <c r="J107" s="3" t="n">
        <v>5</v>
      </c>
      <c r="K107" s="85">
        <f>_DATA_Assessment_Model!H107</f>
        <v/>
      </c>
      <c r="L107" s="4">
        <f>_DATA_Assessment_Model!I107</f>
        <v/>
      </c>
      <c r="M107" s="4">
        <f>_DATA_Assessment_Model!J107</f>
        <v/>
      </c>
      <c r="N107" s="4">
        <f>_DATA_Assessment_Model!K107</f>
        <v/>
      </c>
      <c r="O107" s="3">
        <f>_DATA_Assessment_Model!L107</f>
        <v/>
      </c>
      <c r="P107" s="3" t="inlineStr">
        <is>
          <t>No plan or procedure exists.</t>
        </is>
      </c>
      <c r="Q107" s="3" t="inlineStr">
        <is>
          <t>Knowledge lives with individuals; nothing usable is written down.</t>
        </is>
      </c>
      <c r="R107" s="3" t="inlineStr">
        <is>
          <t>Drafted but outdated, not approved, or unknown to the people who must use it.</t>
        </is>
      </c>
      <c r="S107" s="3" t="inlineStr">
        <is>
          <t>Approved and current; owners assigned; affected staff know it exists and where to find it.</t>
        </is>
      </c>
      <c r="T107" s="3" t="inlineStr">
        <is>
          <t>Tested against realistic scenarios; updated after each test or real incident.</t>
        </is>
      </c>
      <c r="U107" s="3" t="inlineStr">
        <is>
          <t>Exercised regularly including external parties; readiness measured; continuously improved.</t>
        </is>
      </c>
      <c r="V107" s="3" t="inlineStr">
        <is>
          <t>Financial liquidity crisis; Supplier disruption; Fraud risk</t>
        </is>
      </c>
      <c r="W107" s="3" t="n"/>
      <c r="X107" s="3" t="n"/>
      <c r="Y107" s="3" t="inlineStr">
        <is>
          <t>Use the recommended action generated by the model; validate with domain owner during real assessment.</t>
        </is>
      </c>
      <c r="Z107" s="7" t="n">
        <v>4</v>
      </c>
      <c r="AA107" s="7" t="n">
        <v>5</v>
      </c>
      <c r="AB107" s="7" t="n">
        <v>5</v>
      </c>
      <c r="AK107" s="46" t="n"/>
      <c r="AL107" s="46" t="n"/>
      <c r="AM107" s="247">
        <f>_DATA_Assessment_Model!AJ107</f>
        <v/>
      </c>
      <c r="AN107" s="247">
        <f>_DATA_Assessment_Model!AK107</f>
        <v/>
      </c>
      <c r="AO107" s="247">
        <f>_DATA_Assessment_Model!AL107</f>
        <v/>
      </c>
      <c r="AP107" s="247">
        <f>_DATA_Assessment_Model!AM107</f>
        <v/>
      </c>
      <c r="AQ107" s="247">
        <f>_DATA_Assessment_Model!AN107</f>
        <v/>
      </c>
      <c r="AR107" s="247">
        <f>_DATA_Assessment_Model!AO107</f>
        <v/>
      </c>
      <c r="AS107" s="247">
        <f>_DATA_Assessment_Model!AP107</f>
        <v/>
      </c>
      <c r="AT107" s="247">
        <f>_DATA_Assessment_Model!AQ107</f>
        <v/>
      </c>
      <c r="AU107" s="247">
        <f>_DATA_Assessment_Model!AR107</f>
        <v/>
      </c>
      <c r="AV107" s="5">
        <f>_DATA_Assessment_Model!AS107</f>
        <v/>
      </c>
      <c r="AW107" s="5">
        <f>_DATA_Assessment_Model!AT107</f>
        <v/>
      </c>
      <c r="AY107">
        <f>_DATA_Assessment_Model!AV107</f>
        <v/>
      </c>
    </row>
    <row r="108" ht="82.8" customHeight="1" s="209">
      <c r="A108" t="inlineStr">
        <is>
          <t>Finance Procurement</t>
        </is>
      </c>
      <c r="B108" t="inlineStr">
        <is>
          <t>Finance Procurement</t>
        </is>
      </c>
      <c r="C108" t="n">
        <v>15</v>
      </c>
      <c r="D108" s="3" t="inlineStr">
        <is>
          <t>FINA-011</t>
        </is>
      </c>
      <c r="E108" s="3" t="inlineStr">
        <is>
          <t>Controls and accounting</t>
        </is>
      </c>
      <c r="F108" s="3" t="inlineStr">
        <is>
          <t>How mature is the organization in managing fraud risk controls for fake invoices, payment diversion, supplier impersonation and business email compromise, including ownership, evidence, metrics, fallback procedures and crisis stress testing?</t>
        </is>
      </c>
      <c r="G108" s="3" t="inlineStr">
        <is>
          <t>This topic affects exposure to Financial liquidity crisis; Supplier disruption; Fraud risk. It helps identify how disruption may impact operations, people, revenue, systems, legal exposure or recovery time.</t>
        </is>
      </c>
      <c r="H108" s="3" t="inlineStr">
        <is>
          <t>COSO Internal Control; COSO ERM; IFRS; ISO 20400; ISO 37001; CIPS</t>
        </is>
      </c>
      <c r="I108" s="3" t="inlineStr">
        <is>
          <t>Policy/SOP; owner/RACI; system report; dashboard; contracts; test records; incident history; interview evidence related to fraud risk controls for fake invoices, payment diversion, supplier impersonation and business email compromise.</t>
        </is>
      </c>
      <c r="J108" s="3" t="n">
        <v>5</v>
      </c>
      <c r="K108" s="85">
        <f>_DATA_Assessment_Model!H108</f>
        <v/>
      </c>
      <c r="L108" s="4">
        <f>_DATA_Assessment_Model!I108</f>
        <v/>
      </c>
      <c r="M108" s="4">
        <f>_DATA_Assessment_Model!J108</f>
        <v/>
      </c>
      <c r="N108" s="4">
        <f>_DATA_Assessment_Model!K108</f>
        <v/>
      </c>
      <c r="O108" s="3">
        <f>_DATA_Assessment_Model!L108</f>
        <v/>
      </c>
      <c r="P108" s="3" t="inlineStr">
        <is>
          <t>Does not exist; no owner, no documentation, no practice.</t>
        </is>
      </c>
      <c r="Q108" s="3" t="inlineStr">
        <is>
          <t>Ad hoc; depends entirely on specific individuals.</t>
        </is>
      </c>
      <c r="R108" s="3" t="inlineStr">
        <is>
          <t>Partially documented or implemented; coverage inconsistent; never tested under stress.</t>
        </is>
      </c>
      <c r="S108" s="3" t="inlineStr">
        <is>
          <t>Documented, owned, executed consistently; basic evidence and metrics exist.</t>
        </is>
      </c>
      <c r="T108" s="3" t="inlineStr">
        <is>
          <t>Measured and periodically tested/audited; integrated with adjacent processes.</t>
        </is>
      </c>
      <c r="U108" s="3" t="inlineStr">
        <is>
          <t>Optimized and automated where practical; stress-tested; benchmarked externally.</t>
        </is>
      </c>
      <c r="V108" s="3" t="inlineStr">
        <is>
          <t>Financial liquidity crisis; Supplier disruption; Fraud risk</t>
        </is>
      </c>
      <c r="W108" s="3" t="n"/>
      <c r="X108" s="3" t="n"/>
      <c r="Y108" s="3" t="inlineStr">
        <is>
          <t>Use the recommended action generated by the model; validate with domain owner during real assessment.</t>
        </is>
      </c>
      <c r="Z108" s="7" t="n">
        <v>4</v>
      </c>
      <c r="AA108" s="7" t="n">
        <v>5</v>
      </c>
      <c r="AB108" s="7" t="n">
        <v>5</v>
      </c>
      <c r="AK108" s="46" t="n"/>
      <c r="AL108" s="46" t="n"/>
      <c r="AM108" s="247">
        <f>_DATA_Assessment_Model!AJ108</f>
        <v/>
      </c>
      <c r="AN108" s="247">
        <f>_DATA_Assessment_Model!AK108</f>
        <v/>
      </c>
      <c r="AO108" s="247">
        <f>_DATA_Assessment_Model!AL108</f>
        <v/>
      </c>
      <c r="AP108" s="247">
        <f>_DATA_Assessment_Model!AM108</f>
        <v/>
      </c>
      <c r="AQ108" s="247">
        <f>_DATA_Assessment_Model!AN108</f>
        <v/>
      </c>
      <c r="AR108" s="247">
        <f>_DATA_Assessment_Model!AO108</f>
        <v/>
      </c>
      <c r="AS108" s="247">
        <f>_DATA_Assessment_Model!AP108</f>
        <v/>
      </c>
      <c r="AT108" s="247">
        <f>_DATA_Assessment_Model!AQ108</f>
        <v/>
      </c>
      <c r="AU108" s="247">
        <f>_DATA_Assessment_Model!AR108</f>
        <v/>
      </c>
      <c r="AV108" s="5">
        <f>_DATA_Assessment_Model!AS108</f>
        <v/>
      </c>
      <c r="AW108" s="5">
        <f>_DATA_Assessment_Model!AT108</f>
        <v/>
      </c>
      <c r="AY108">
        <f>_DATA_Assessment_Model!AV108</f>
        <v/>
      </c>
    </row>
    <row r="109" ht="110.4" customHeight="1" s="209">
      <c r="A109" t="inlineStr">
        <is>
          <t>Finance Procurement</t>
        </is>
      </c>
      <c r="B109" t="inlineStr">
        <is>
          <t>Finance Procurement</t>
        </is>
      </c>
      <c r="C109" t="n">
        <v>16</v>
      </c>
      <c r="D109" s="3" t="inlineStr">
        <is>
          <t>FINA-012</t>
        </is>
      </c>
      <c r="E109" s="3" t="inlineStr">
        <is>
          <t>Controls and accounting</t>
        </is>
      </c>
      <c r="F109" s="3" t="inlineStr">
        <is>
          <t>How mature is the organization in managing finance master data controls for chart of accounts, cost centers, vendors, customers and reporting dimensions, including ownership, evidence, metrics, fallback procedures and crisis stress testing?</t>
        </is>
      </c>
      <c r="G109" s="3" t="inlineStr">
        <is>
          <t>This topic affects exposure to Financial liquidity crisis; Supplier disruption; Fraud risk. It helps identify how disruption may impact operations, people, revenue, systems, legal exposure or recovery time.</t>
        </is>
      </c>
      <c r="H109" s="3" t="inlineStr">
        <is>
          <t>COSO Internal Control; COSO ERM; IFRS; ISO 20400; ISO 37001; CIPS</t>
        </is>
      </c>
      <c r="I109" s="3" t="inlineStr">
        <is>
          <t>Policy/SOP; owner/RACI; system report; dashboard; contracts; test records; incident history; interview evidence related to finance master data controls for chart of accounts, cost centers, vendors, customers and reporting dimensions.</t>
        </is>
      </c>
      <c r="J109" s="3" t="n">
        <v>4</v>
      </c>
      <c r="K109" s="85">
        <f>_DATA_Assessment_Model!H109</f>
        <v/>
      </c>
      <c r="L109" s="4">
        <f>_DATA_Assessment_Model!I109</f>
        <v/>
      </c>
      <c r="M109" s="4">
        <f>_DATA_Assessment_Model!J109</f>
        <v/>
      </c>
      <c r="N109" s="4">
        <f>_DATA_Assessment_Model!K109</f>
        <v/>
      </c>
      <c r="O109" s="3">
        <f>_DATA_Assessment_Model!L109</f>
        <v/>
      </c>
      <c r="P109" s="3" t="inlineStr">
        <is>
          <t>No reliable evidence that finance master data controls for chart of accounts, cost centers, vendors, customers and reporting dimensions is defined, owned or managed.</t>
        </is>
      </c>
      <c r="Q109" s="3" t="inlineStr">
        <is>
          <t>Finance master data controls for chart of accounts, cost centers, vendors, customers and reporting dimensions is handled informally and depends on individual knowledge or heroic effort.</t>
        </is>
      </c>
      <c r="R109" s="3" t="inlineStr">
        <is>
          <t>Finance master data controls for chart of accounts, cost centers, vendors, customers and reporting dimensions is partially documented or implemented, but coverage is inconsistent and not crisis-tested.</t>
        </is>
      </c>
      <c r="S109" s="3" t="inlineStr">
        <is>
          <t>Finance master data controls for chart of accounts, cost centers, vendors, customers and reporting dimensions is documented, owned, used in normal operations and supported by basic evidence or metrics.</t>
        </is>
      </c>
      <c r="T109" s="3" t="inlineStr">
        <is>
          <t>Finance master data controls for chart of accounts, cost centers, vendors, customers and reporting dimensions is measured, periodically reviewed, integrated with related processes and tested against relevant disruption scenarios.</t>
        </is>
      </c>
      <c r="U109" s="3" t="inlineStr">
        <is>
          <t>Finance master data controls for chart of accounts, cost centers, vendors, customers and reporting dimensions is optimized, continuously improved, automated where practical and demonstrably supports crisis resilience.</t>
        </is>
      </c>
      <c r="V109" s="3" t="inlineStr">
        <is>
          <t>Financial liquidity crisis; Supplier disruption; Fraud risk</t>
        </is>
      </c>
      <c r="W109" s="3" t="n"/>
      <c r="X109" s="3" t="n"/>
      <c r="Y109" s="3" t="inlineStr">
        <is>
          <t>Use the recommended action generated by the model; validate with domain owner during real assessment.</t>
        </is>
      </c>
      <c r="Z109" s="7" t="n">
        <v>5</v>
      </c>
      <c r="AA109" s="7" t="n">
        <v>5</v>
      </c>
      <c r="AB109" s="7" t="n">
        <v>5</v>
      </c>
      <c r="AK109" s="46" t="n"/>
      <c r="AL109" s="46" t="n"/>
      <c r="AM109" s="247">
        <f>_DATA_Assessment_Model!AJ109</f>
        <v/>
      </c>
      <c r="AN109" s="247">
        <f>_DATA_Assessment_Model!AK109</f>
        <v/>
      </c>
      <c r="AO109" s="247">
        <f>_DATA_Assessment_Model!AL109</f>
        <v/>
      </c>
      <c r="AP109" s="247">
        <f>_DATA_Assessment_Model!AM109</f>
        <v/>
      </c>
      <c r="AQ109" s="247">
        <f>_DATA_Assessment_Model!AN109</f>
        <v/>
      </c>
      <c r="AR109" s="247">
        <f>_DATA_Assessment_Model!AO109</f>
        <v/>
      </c>
      <c r="AS109" s="247">
        <f>_DATA_Assessment_Model!AP109</f>
        <v/>
      </c>
      <c r="AT109" s="247">
        <f>_DATA_Assessment_Model!AQ109</f>
        <v/>
      </c>
      <c r="AU109" s="247">
        <f>_DATA_Assessment_Model!AR109</f>
        <v/>
      </c>
      <c r="AV109" s="5">
        <f>_DATA_Assessment_Model!AS109</f>
        <v/>
      </c>
      <c r="AW109" s="5">
        <f>_DATA_Assessment_Model!AT109</f>
        <v/>
      </c>
      <c r="AY109">
        <f>_DATA_Assessment_Model!AV109</f>
        <v/>
      </c>
    </row>
    <row r="110" ht="110.4" customHeight="1" s="209">
      <c r="A110" t="inlineStr">
        <is>
          <t>Finance Procurement</t>
        </is>
      </c>
      <c r="B110" t="inlineStr">
        <is>
          <t>Finance Procurement</t>
        </is>
      </c>
      <c r="C110" t="n">
        <v>17</v>
      </c>
      <c r="D110" s="3" t="inlineStr">
        <is>
          <t>FINA-013</t>
        </is>
      </c>
      <c r="E110" s="3" t="inlineStr">
        <is>
          <t>Procurement and suppliers</t>
        </is>
      </c>
      <c r="F110" s="3" t="inlineStr">
        <is>
          <t>How mature is the organization in managing procurement policy covering sourcing, approvals, conflicts of interest and emergency purchasing, including ownership, evidence, metrics, fallback procedures and crisis stress testing?</t>
        </is>
      </c>
      <c r="G110" s="3" t="inlineStr">
        <is>
          <t>This topic affects exposure to Financial liquidity crisis; Supplier disruption; Fraud risk. It helps identify how disruption may impact operations, people, revenue, systems, legal exposure or recovery time.</t>
        </is>
      </c>
      <c r="H110" s="3" t="inlineStr">
        <is>
          <t>COSO Internal Control; COSO ERM; IFRS; ISO 20400; ISO 37001; CIPS</t>
        </is>
      </c>
      <c r="I110" s="3" t="inlineStr">
        <is>
          <t>Policy/SOP; owner/RACI; system report; dashboard; contracts; test records; incident history; interview evidence related to procurement policy covering sourcing, approvals, conflicts of interest and emergency purchasing.</t>
        </is>
      </c>
      <c r="J110" s="3" t="n">
        <v>3</v>
      </c>
      <c r="K110" s="85">
        <f>_DATA_Assessment_Model!H110</f>
        <v/>
      </c>
      <c r="L110" s="4">
        <f>_DATA_Assessment_Model!I110</f>
        <v/>
      </c>
      <c r="M110" s="4">
        <f>_DATA_Assessment_Model!J110</f>
        <v/>
      </c>
      <c r="N110" s="4">
        <f>_DATA_Assessment_Model!K110</f>
        <v/>
      </c>
      <c r="O110" s="3">
        <f>_DATA_Assessment_Model!L110</f>
        <v/>
      </c>
      <c r="P110" s="3" t="inlineStr">
        <is>
          <t>No reliable evidence that procurement policy covering sourcing, approvals, conflicts of interest and emergency purchasing is defined, owned or managed.</t>
        </is>
      </c>
      <c r="Q110" s="3" t="inlineStr">
        <is>
          <t>Procurement policy covering sourcing, approvals, conflicts of interest and emergency purchasing is handled informally and depends on individual knowledge or heroic effort.</t>
        </is>
      </c>
      <c r="R110" s="3" t="inlineStr">
        <is>
          <t>Procurement policy covering sourcing, approvals, conflicts of interest and emergency purchasing is partially documented or implemented, but coverage is inconsistent and not crisis-tested.</t>
        </is>
      </c>
      <c r="S110" s="3" t="inlineStr">
        <is>
          <t>Procurement policy covering sourcing, approvals, conflicts of interest and emergency purchasing is documented, owned, used in normal operations and supported by basic evidence or metrics.</t>
        </is>
      </c>
      <c r="T110" s="3" t="inlineStr">
        <is>
          <t>Procurement policy covering sourcing, approvals, conflicts of interest and emergency purchasing is measured, periodically reviewed, integrated with related processes and tested against relevant disruption scenarios.</t>
        </is>
      </c>
      <c r="U110" s="3" t="inlineStr">
        <is>
          <t>Procurement policy covering sourcing, approvals, conflicts of interest and emergency purchasing is optimized, continuously improved, automated where practical and demonstrably supports crisis resilience.</t>
        </is>
      </c>
      <c r="V110" s="3" t="inlineStr">
        <is>
          <t>Financial liquidity crisis; Supplier disruption; Fraud risk</t>
        </is>
      </c>
      <c r="W110" s="3" t="n"/>
      <c r="X110" s="3" t="n"/>
      <c r="Y110" s="3" t="inlineStr">
        <is>
          <t>Use the recommended action generated by the model; validate with domain owner during real assessment.</t>
        </is>
      </c>
      <c r="Z110" s="7" t="n">
        <v>4</v>
      </c>
      <c r="AA110" s="7" t="n">
        <v>5</v>
      </c>
      <c r="AB110" s="7" t="n">
        <v>5</v>
      </c>
      <c r="AK110" s="46" t="n"/>
      <c r="AL110" s="46" t="n"/>
      <c r="AM110" s="247">
        <f>_DATA_Assessment_Model!AJ110</f>
        <v/>
      </c>
      <c r="AN110" s="247">
        <f>_DATA_Assessment_Model!AK110</f>
        <v/>
      </c>
      <c r="AO110" s="247">
        <f>_DATA_Assessment_Model!AL110</f>
        <v/>
      </c>
      <c r="AP110" s="247">
        <f>_DATA_Assessment_Model!AM110</f>
        <v/>
      </c>
      <c r="AQ110" s="247">
        <f>_DATA_Assessment_Model!AN110</f>
        <v/>
      </c>
      <c r="AR110" s="247">
        <f>_DATA_Assessment_Model!AO110</f>
        <v/>
      </c>
      <c r="AS110" s="247">
        <f>_DATA_Assessment_Model!AP110</f>
        <v/>
      </c>
      <c r="AT110" s="247">
        <f>_DATA_Assessment_Model!AQ110</f>
        <v/>
      </c>
      <c r="AU110" s="247">
        <f>_DATA_Assessment_Model!AR110</f>
        <v/>
      </c>
      <c r="AV110" s="5">
        <f>_DATA_Assessment_Model!AS110</f>
        <v/>
      </c>
      <c r="AW110" s="5">
        <f>_DATA_Assessment_Model!AT110</f>
        <v/>
      </c>
      <c r="AY110">
        <f>_DATA_Assessment_Model!AV110</f>
        <v/>
      </c>
    </row>
    <row r="111" ht="82.8" customHeight="1" s="209">
      <c r="A111" t="inlineStr">
        <is>
          <t>Finance Procurement</t>
        </is>
      </c>
      <c r="B111" t="inlineStr">
        <is>
          <t>Finance Procurement</t>
        </is>
      </c>
      <c r="C111" t="n">
        <v>18</v>
      </c>
      <c r="D111" s="3" t="inlineStr">
        <is>
          <t>FINA-014</t>
        </is>
      </c>
      <c r="E111" s="3" t="inlineStr">
        <is>
          <t>Procurement and suppliers</t>
        </is>
      </c>
      <c r="F111" s="3" t="inlineStr">
        <is>
          <t>How mature is the organization in managing critical supplier classification by business impact, replaceability, geography, financial health and SLA, including ownership, evidence, metrics, fallback procedures and crisis stress testing?</t>
        </is>
      </c>
      <c r="G111" s="3" t="inlineStr">
        <is>
          <t>This topic affects exposure to Financial liquidity crisis; Supplier disruption; Fraud risk. It helps identify how disruption may impact operations, people, revenue, systems, legal exposure or recovery time.</t>
        </is>
      </c>
      <c r="H111" s="3" t="inlineStr">
        <is>
          <t>COSO Internal Control; COSO ERM; IFRS; ISO 20400; ISO 37001; CIPS</t>
        </is>
      </c>
      <c r="I111" s="3" t="inlineStr">
        <is>
          <t>Policy/SOP; owner/RACI; system report; dashboard; contracts; test records; incident history; interview evidence related to critical supplier classification by business impact, replaceability, geography, financial health and SLA.</t>
        </is>
      </c>
      <c r="J111" s="3" t="n">
        <v>5</v>
      </c>
      <c r="K111" s="85">
        <f>_DATA_Assessment_Model!H111</f>
        <v/>
      </c>
      <c r="L111" s="4">
        <f>_DATA_Assessment_Model!I111</f>
        <v/>
      </c>
      <c r="M111" s="4">
        <f>_DATA_Assessment_Model!J111</f>
        <v/>
      </c>
      <c r="N111" s="4">
        <f>_DATA_Assessment_Model!K111</f>
        <v/>
      </c>
      <c r="O111" s="3">
        <f>_DATA_Assessment_Model!L111</f>
        <v/>
      </c>
      <c r="P111" s="3" t="inlineStr">
        <is>
          <t>Does not exist; no owner, no documentation, no practice.</t>
        </is>
      </c>
      <c r="Q111" s="3" t="inlineStr">
        <is>
          <t>Ad hoc; depends entirely on specific individuals.</t>
        </is>
      </c>
      <c r="R111" s="3" t="inlineStr">
        <is>
          <t>Partially documented or implemented; coverage inconsistent; never tested under stress.</t>
        </is>
      </c>
      <c r="S111" s="3" t="inlineStr">
        <is>
          <t>Documented, owned, executed consistently; basic evidence and metrics exist.</t>
        </is>
      </c>
      <c r="T111" s="3" t="inlineStr">
        <is>
          <t>Measured and periodically tested/audited; integrated with adjacent processes.</t>
        </is>
      </c>
      <c r="U111" s="3" t="inlineStr">
        <is>
          <t>Optimized and automated where practical; stress-tested; benchmarked externally.</t>
        </is>
      </c>
      <c r="V111" s="3" t="inlineStr">
        <is>
          <t>Financial liquidity crisis; Supplier disruption; Fraud risk</t>
        </is>
      </c>
      <c r="W111" s="3" t="n"/>
      <c r="X111" s="3" t="n"/>
      <c r="Y111" s="3" t="inlineStr">
        <is>
          <t>Use the recommended action generated by the model; validate with domain owner during real assessment.</t>
        </is>
      </c>
      <c r="Z111" s="7" t="n">
        <v>4</v>
      </c>
      <c r="AA111" s="7" t="n">
        <v>5</v>
      </c>
      <c r="AB111" s="7" t="n">
        <v>5</v>
      </c>
      <c r="AK111" s="46" t="n"/>
      <c r="AL111" s="46" t="n"/>
      <c r="AM111" s="247">
        <f>_DATA_Assessment_Model!AJ111</f>
        <v/>
      </c>
      <c r="AN111" s="247">
        <f>_DATA_Assessment_Model!AK111</f>
        <v/>
      </c>
      <c r="AO111" s="247">
        <f>_DATA_Assessment_Model!AL111</f>
        <v/>
      </c>
      <c r="AP111" s="247">
        <f>_DATA_Assessment_Model!AM111</f>
        <v/>
      </c>
      <c r="AQ111" s="247">
        <f>_DATA_Assessment_Model!AN111</f>
        <v/>
      </c>
      <c r="AR111" s="247">
        <f>_DATA_Assessment_Model!AO111</f>
        <v/>
      </c>
      <c r="AS111" s="247">
        <f>_DATA_Assessment_Model!AP111</f>
        <v/>
      </c>
      <c r="AT111" s="247">
        <f>_DATA_Assessment_Model!AQ111</f>
        <v/>
      </c>
      <c r="AU111" s="247">
        <f>_DATA_Assessment_Model!AR111</f>
        <v/>
      </c>
      <c r="AV111" s="5">
        <f>_DATA_Assessment_Model!AS111</f>
        <v/>
      </c>
      <c r="AW111" s="5">
        <f>_DATA_Assessment_Model!AT111</f>
        <v/>
      </c>
      <c r="AY111">
        <f>_DATA_Assessment_Model!AV111</f>
        <v/>
      </c>
    </row>
    <row r="112" ht="69" customHeight="1" s="209">
      <c r="A112" t="inlineStr">
        <is>
          <t>Finance Procurement</t>
        </is>
      </c>
      <c r="B112" t="inlineStr">
        <is>
          <t>Finance Procurement</t>
        </is>
      </c>
      <c r="C112" t="n">
        <v>19</v>
      </c>
      <c r="D112" s="3" t="inlineStr">
        <is>
          <t>FINA-015</t>
        </is>
      </c>
      <c r="E112" s="3" t="inlineStr">
        <is>
          <t>Procurement and suppliers</t>
        </is>
      </c>
      <c r="F112" s="3" t="inlineStr">
        <is>
          <t>How mature is the organization in managing single-source and sole-source supplier exposure and mitigation plans, including ownership, evidence, metrics, fallback procedures and crisis stress testing?</t>
        </is>
      </c>
      <c r="G112" s="3" t="inlineStr">
        <is>
          <t>This topic affects exposure to Financial liquidity crisis; Supplier disruption; Fraud risk. It helps identify how disruption may impact operations, people, revenue, systems, legal exposure or recovery time.</t>
        </is>
      </c>
      <c r="H112" s="3" t="inlineStr">
        <is>
          <t>COSO Internal Control; COSO ERM; IFRS; ISO 20400; ISO 37001; CIPS</t>
        </is>
      </c>
      <c r="I112" s="3" t="inlineStr">
        <is>
          <t>Policy/SOP; owner/RACI; system report; dashboard; contracts; test records; incident history; interview evidence related to single-source and sole-source supplier exposure and mitigation plans.</t>
        </is>
      </c>
      <c r="J112" s="3" t="n">
        <v>5</v>
      </c>
      <c r="K112" s="85">
        <f>_DATA_Assessment_Model!H112</f>
        <v/>
      </c>
      <c r="L112" s="4">
        <f>_DATA_Assessment_Model!I112</f>
        <v/>
      </c>
      <c r="M112" s="4">
        <f>_DATA_Assessment_Model!J112</f>
        <v/>
      </c>
      <c r="N112" s="4">
        <f>_DATA_Assessment_Model!K112</f>
        <v/>
      </c>
      <c r="O112" s="3">
        <f>_DATA_Assessment_Model!L112</f>
        <v/>
      </c>
      <c r="P112" s="3" t="inlineStr">
        <is>
          <t>No plan or procedure exists.</t>
        </is>
      </c>
      <c r="Q112" s="3" t="inlineStr">
        <is>
          <t>Knowledge lives with individuals; nothing usable is written down.</t>
        </is>
      </c>
      <c r="R112" s="3" t="inlineStr">
        <is>
          <t>Drafted but outdated, not approved, or unknown to the people who must use it.</t>
        </is>
      </c>
      <c r="S112" s="3" t="inlineStr">
        <is>
          <t>Approved and current; owners assigned; affected staff know it exists and where to find it.</t>
        </is>
      </c>
      <c r="T112" s="3" t="inlineStr">
        <is>
          <t>Tested against realistic scenarios; updated after each test or real incident.</t>
        </is>
      </c>
      <c r="U112" s="3" t="inlineStr">
        <is>
          <t>Exercised regularly including external parties; readiness measured; continuously improved.</t>
        </is>
      </c>
      <c r="V112" s="3" t="inlineStr">
        <is>
          <t>Financial liquidity crisis; Supplier disruption; Fraud risk</t>
        </is>
      </c>
      <c r="W112" s="3" t="n"/>
      <c r="X112" s="3" t="n"/>
      <c r="Y112" s="3" t="inlineStr">
        <is>
          <t>Use the recommended action generated by the model; validate with domain owner during real assessment.</t>
        </is>
      </c>
      <c r="Z112" s="7" t="n">
        <v>4</v>
      </c>
      <c r="AA112" s="7" t="n">
        <v>5</v>
      </c>
      <c r="AB112" s="7" t="n">
        <v>5</v>
      </c>
      <c r="AK112" s="46" t="n"/>
      <c r="AL112" s="46" t="n"/>
      <c r="AM112" s="247">
        <f>_DATA_Assessment_Model!AJ112</f>
        <v/>
      </c>
      <c r="AN112" s="247">
        <f>_DATA_Assessment_Model!AK112</f>
        <v/>
      </c>
      <c r="AO112" s="247">
        <f>_DATA_Assessment_Model!AL112</f>
        <v/>
      </c>
      <c r="AP112" s="247">
        <f>_DATA_Assessment_Model!AM112</f>
        <v/>
      </c>
      <c r="AQ112" s="247">
        <f>_DATA_Assessment_Model!AN112</f>
        <v/>
      </c>
      <c r="AR112" s="247">
        <f>_DATA_Assessment_Model!AO112</f>
        <v/>
      </c>
      <c r="AS112" s="247">
        <f>_DATA_Assessment_Model!AP112</f>
        <v/>
      </c>
      <c r="AT112" s="247">
        <f>_DATA_Assessment_Model!AQ112</f>
        <v/>
      </c>
      <c r="AU112" s="247">
        <f>_DATA_Assessment_Model!AR112</f>
        <v/>
      </c>
      <c r="AV112" s="5">
        <f>_DATA_Assessment_Model!AS112</f>
        <v/>
      </c>
      <c r="AW112" s="5">
        <f>_DATA_Assessment_Model!AT112</f>
        <v/>
      </c>
      <c r="AY112">
        <f>_DATA_Assessment_Model!AV112</f>
        <v/>
      </c>
    </row>
    <row r="113" ht="82.8" customHeight="1" s="209">
      <c r="A113" t="inlineStr">
        <is>
          <t>Finance Procurement</t>
        </is>
      </c>
      <c r="B113" t="inlineStr">
        <is>
          <t>Finance Procurement</t>
        </is>
      </c>
      <c r="C113" t="n">
        <v>20</v>
      </c>
      <c r="D113" s="3" t="inlineStr">
        <is>
          <t>FINA-016</t>
        </is>
      </c>
      <c r="E113" s="3" t="inlineStr">
        <is>
          <t>Procurement and suppliers</t>
        </is>
      </c>
      <c r="F113" s="3" t="inlineStr">
        <is>
          <t>How mature is the organization in managing supplier financial health, sanctions, insurance, delivery reliability and crisis exposure monitoring, including ownership, evidence, metrics, fallback procedures and crisis stress testing?</t>
        </is>
      </c>
      <c r="G113" s="3" t="inlineStr">
        <is>
          <t>This topic affects exposure to Financial liquidity crisis; Supplier disruption; Fraud risk. It helps identify how disruption may impact operations, people, revenue, systems, legal exposure or recovery time.</t>
        </is>
      </c>
      <c r="H113" s="3" t="inlineStr">
        <is>
          <t>COSO Internal Control; COSO ERM; IFRS; ISO 20400; ISO 37001; CIPS</t>
        </is>
      </c>
      <c r="I113" s="3" t="inlineStr">
        <is>
          <t>Policy/SOP; owner/RACI; system report; dashboard; contracts; test records; incident history; interview evidence related to supplier financial health, sanctions, insurance, delivery reliability and crisis exposure monitoring.</t>
        </is>
      </c>
      <c r="J113" s="3" t="n">
        <v>5</v>
      </c>
      <c r="K113" s="85">
        <f>_DATA_Assessment_Model!H113</f>
        <v/>
      </c>
      <c r="L113" s="4">
        <f>_DATA_Assessment_Model!I113</f>
        <v/>
      </c>
      <c r="M113" s="4">
        <f>_DATA_Assessment_Model!J113</f>
        <v/>
      </c>
      <c r="N113" s="4">
        <f>_DATA_Assessment_Model!K113</f>
        <v/>
      </c>
      <c r="O113" s="3">
        <f>_DATA_Assessment_Model!L113</f>
        <v/>
      </c>
      <c r="P113" s="3" t="inlineStr">
        <is>
          <t>Nothing is monitored or measured.</t>
        </is>
      </c>
      <c r="Q113" s="3" t="inlineStr">
        <is>
          <t>Occasional manual checks by individuals.</t>
        </is>
      </c>
      <c r="R113" s="3" t="inlineStr">
        <is>
          <t>Some metrics exist but are not reviewed regularly and trigger no action.</t>
        </is>
      </c>
      <c r="S113" s="3" t="inlineStr">
        <is>
          <t>Defined metrics with an owner, reviewed on a set cadence.</t>
        </is>
      </c>
      <c r="T113" s="3" t="inlineStr">
        <is>
          <t>Thresholds and alerts in place; deviations trigger documented action; trends analyzed.</t>
        </is>
      </c>
      <c r="U113" s="3" t="inlineStr">
        <is>
          <t>Automated monitoring with leading indicators, integrated into management decisions.</t>
        </is>
      </c>
      <c r="V113" s="3" t="inlineStr">
        <is>
          <t>Financial liquidity crisis; Supplier disruption; Fraud risk</t>
        </is>
      </c>
      <c r="W113" s="3" t="n"/>
      <c r="X113" s="3" t="n"/>
      <c r="Y113" s="3" t="inlineStr">
        <is>
          <t>Use the recommended action generated by the model; validate with domain owner during real assessment.</t>
        </is>
      </c>
      <c r="Z113" s="7" t="n">
        <v>4</v>
      </c>
      <c r="AA113" s="7" t="n">
        <v>5</v>
      </c>
      <c r="AB113" s="7" t="n">
        <v>5</v>
      </c>
      <c r="AK113" s="46" t="n"/>
      <c r="AL113" s="46" t="n"/>
      <c r="AM113" s="247">
        <f>_DATA_Assessment_Model!AJ113</f>
        <v/>
      </c>
      <c r="AN113" s="247">
        <f>_DATA_Assessment_Model!AK113</f>
        <v/>
      </c>
      <c r="AO113" s="247">
        <f>_DATA_Assessment_Model!AL113</f>
        <v/>
      </c>
      <c r="AP113" s="247">
        <f>_DATA_Assessment_Model!AM113</f>
        <v/>
      </c>
      <c r="AQ113" s="247">
        <f>_DATA_Assessment_Model!AN113</f>
        <v/>
      </c>
      <c r="AR113" s="247">
        <f>_DATA_Assessment_Model!AO113</f>
        <v/>
      </c>
      <c r="AS113" s="247">
        <f>_DATA_Assessment_Model!AP113</f>
        <v/>
      </c>
      <c r="AT113" s="247">
        <f>_DATA_Assessment_Model!AQ113</f>
        <v/>
      </c>
      <c r="AU113" s="247">
        <f>_DATA_Assessment_Model!AR113</f>
        <v/>
      </c>
      <c r="AV113" s="5">
        <f>_DATA_Assessment_Model!AS113</f>
        <v/>
      </c>
      <c r="AW113" s="5">
        <f>_DATA_Assessment_Model!AT113</f>
        <v/>
      </c>
      <c r="AY113">
        <f>_DATA_Assessment_Model!AV113</f>
        <v/>
      </c>
    </row>
    <row r="114" ht="96.59999999999999" customHeight="1" s="209">
      <c r="A114" t="inlineStr">
        <is>
          <t>Finance Procurement</t>
        </is>
      </c>
      <c r="B114" t="inlineStr">
        <is>
          <t>Finance Procurement</t>
        </is>
      </c>
      <c r="C114" t="n">
        <v>21</v>
      </c>
      <c r="D114" s="3" t="inlineStr">
        <is>
          <t>FINA-018</t>
        </is>
      </c>
      <c r="E114" s="3" t="inlineStr">
        <is>
          <t>Procurement and suppliers</t>
        </is>
      </c>
      <c r="F114" s="3" t="inlineStr">
        <is>
          <t>How mature is the organization in managing emergency purchasing process that preserves essential controls and fraud prevention, including ownership, evidence, metrics, fallback procedures and crisis stress testing?</t>
        </is>
      </c>
      <c r="G114" s="3" t="inlineStr">
        <is>
          <t>This topic affects exposure to Financial liquidity crisis; Supplier disruption; Fraud risk. It helps identify how disruption may impact operations, people, revenue, systems, legal exposure or recovery time.</t>
        </is>
      </c>
      <c r="H114" s="3" t="inlineStr">
        <is>
          <t>COSO Internal Control; COSO ERM; IFRS; ISO 20400; ISO 37001; CIPS</t>
        </is>
      </c>
      <c r="I114" s="3" t="inlineStr">
        <is>
          <t>Policy/SOP; owner/RACI; system report; dashboard; contracts; test records; incident history; interview evidence related to emergency purchasing process that preserves essential controls and fraud prevention.</t>
        </is>
      </c>
      <c r="J114" s="3" t="n">
        <v>3</v>
      </c>
      <c r="K114" s="85">
        <f>_DATA_Assessment_Model!H114</f>
        <v/>
      </c>
      <c r="L114" s="4">
        <f>_DATA_Assessment_Model!I114</f>
        <v/>
      </c>
      <c r="M114" s="4">
        <f>_DATA_Assessment_Model!J114</f>
        <v/>
      </c>
      <c r="N114" s="4">
        <f>_DATA_Assessment_Model!K114</f>
        <v/>
      </c>
      <c r="O114" s="3">
        <f>_DATA_Assessment_Model!L114</f>
        <v/>
      </c>
      <c r="P114" s="3" t="inlineStr">
        <is>
          <t>No reliable evidence that emergency purchasing process that preserves essential controls and fraud prevention is defined, owned or managed.</t>
        </is>
      </c>
      <c r="Q114" s="3" t="inlineStr">
        <is>
          <t>Emergency purchasing process that preserves essential controls and fraud prevention is handled informally and depends on individual knowledge or heroic effort.</t>
        </is>
      </c>
      <c r="R114" s="3" t="inlineStr">
        <is>
          <t>Emergency purchasing process that preserves essential controls and fraud prevention is partially documented or implemented, but coverage is inconsistent and not crisis-tested.</t>
        </is>
      </c>
      <c r="S114" s="3" t="inlineStr">
        <is>
          <t>Emergency purchasing process that preserves essential controls and fraud prevention is documented, owned, used in normal operations and supported by basic evidence or metrics.</t>
        </is>
      </c>
      <c r="T114" s="3" t="inlineStr">
        <is>
          <t>Emergency purchasing process that preserves essential controls and fraud prevention is measured, periodically reviewed, integrated with related processes and tested against relevant disruption scenarios.</t>
        </is>
      </c>
      <c r="U114" s="3" t="inlineStr">
        <is>
          <t>Emergency purchasing process that preserves essential controls and fraud prevention is optimized, continuously improved, automated where practical and demonstrably supports crisis resilience.</t>
        </is>
      </c>
      <c r="V114" s="3" t="inlineStr">
        <is>
          <t>Financial liquidity crisis; Supplier disruption; Fraud risk</t>
        </is>
      </c>
      <c r="W114" s="3" t="n"/>
      <c r="X114" s="3" t="n"/>
      <c r="Y114" s="3" t="inlineStr">
        <is>
          <t>Use the recommended action generated by the model; validate with domain owner during real assessment.</t>
        </is>
      </c>
      <c r="Z114" s="7" t="n">
        <v>4</v>
      </c>
      <c r="AA114" s="7" t="n">
        <v>5</v>
      </c>
      <c r="AB114" s="7" t="n">
        <v>5</v>
      </c>
      <c r="AK114" s="46" t="n"/>
      <c r="AL114" s="46" t="n"/>
      <c r="AM114" s="247">
        <f>_DATA_Assessment_Model!AJ114</f>
        <v/>
      </c>
      <c r="AN114" s="247">
        <f>_DATA_Assessment_Model!AK114</f>
        <v/>
      </c>
      <c r="AO114" s="247">
        <f>_DATA_Assessment_Model!AL114</f>
        <v/>
      </c>
      <c r="AP114" s="247">
        <f>_DATA_Assessment_Model!AM114</f>
        <v/>
      </c>
      <c r="AQ114" s="247">
        <f>_DATA_Assessment_Model!AN114</f>
        <v/>
      </c>
      <c r="AR114" s="247">
        <f>_DATA_Assessment_Model!AO114</f>
        <v/>
      </c>
      <c r="AS114" s="247">
        <f>_DATA_Assessment_Model!AP114</f>
        <v/>
      </c>
      <c r="AT114" s="247">
        <f>_DATA_Assessment_Model!AQ114</f>
        <v/>
      </c>
      <c r="AU114" s="247">
        <f>_DATA_Assessment_Model!AR114</f>
        <v/>
      </c>
      <c r="AV114" s="5">
        <f>_DATA_Assessment_Model!AS114</f>
        <v/>
      </c>
      <c r="AW114" s="5">
        <f>_DATA_Assessment_Model!AT114</f>
        <v/>
      </c>
      <c r="AY114">
        <f>_DATA_Assessment_Model!AV114</f>
        <v/>
      </c>
    </row>
    <row r="115" ht="82.8" customHeight="1" s="209">
      <c r="A115" t="inlineStr">
        <is>
          <t>Finance Procurement</t>
        </is>
      </c>
      <c r="B115" t="inlineStr">
        <is>
          <t>Finance Procurement</t>
        </is>
      </c>
      <c r="C115" t="n">
        <v>22</v>
      </c>
      <c r="D115" s="3" t="inlineStr">
        <is>
          <t>FINA-019</t>
        </is>
      </c>
      <c r="E115" s="3" t="inlineStr">
        <is>
          <t>Procurement and suppliers</t>
        </is>
      </c>
      <c r="F115" s="3" t="inlineStr">
        <is>
          <t>How mature is the organization in managing purchasing triggers linked to demand, lead time, minimum stock and crisis buffers, including ownership, evidence, metrics, fallback procedures and crisis stress testing?</t>
        </is>
      </c>
      <c r="G115" s="3" t="inlineStr">
        <is>
          <t>This topic affects exposure to Financial liquidity crisis; Supplier disruption; Fraud risk. It helps identify how disruption may impact operations, people, revenue, systems, legal exposure or recovery time.</t>
        </is>
      </c>
      <c r="H115" s="3" t="inlineStr">
        <is>
          <t>COSO Internal Control; COSO ERM; IFRS; ISO 20400; ISO 37001; CIPS</t>
        </is>
      </c>
      <c r="I115" s="3" t="inlineStr">
        <is>
          <t>Policy/SOP; owner/RACI; system report; dashboard; contracts; test records; incident history; interview evidence related to purchasing triggers linked to demand, lead time, minimum stock and crisis buffers.</t>
        </is>
      </c>
      <c r="J115" s="3" t="n">
        <v>5</v>
      </c>
      <c r="K115" s="85">
        <f>_DATA_Assessment_Model!H115</f>
        <v/>
      </c>
      <c r="L115" s="4">
        <f>_DATA_Assessment_Model!I115</f>
        <v/>
      </c>
      <c r="M115" s="4">
        <f>_DATA_Assessment_Model!J115</f>
        <v/>
      </c>
      <c r="N115" s="4">
        <f>_DATA_Assessment_Model!K115</f>
        <v/>
      </c>
      <c r="O115" s="3">
        <f>_DATA_Assessment_Model!L115</f>
        <v/>
      </c>
      <c r="P115" s="3" t="inlineStr">
        <is>
          <t>Does not exist; no owner, no documentation, no practice.</t>
        </is>
      </c>
      <c r="Q115" s="3" t="inlineStr">
        <is>
          <t>Ad hoc; depends entirely on specific individuals.</t>
        </is>
      </c>
      <c r="R115" s="3" t="inlineStr">
        <is>
          <t>Partially documented or implemented; coverage inconsistent; never tested under stress.</t>
        </is>
      </c>
      <c r="S115" s="3" t="inlineStr">
        <is>
          <t>Documented, owned, executed consistently; basic evidence and metrics exist.</t>
        </is>
      </c>
      <c r="T115" s="3" t="inlineStr">
        <is>
          <t>Measured and periodically tested/audited; integrated with adjacent processes.</t>
        </is>
      </c>
      <c r="U115" s="3" t="inlineStr">
        <is>
          <t>Optimized and automated where practical; stress-tested; benchmarked externally.</t>
        </is>
      </c>
      <c r="V115" s="3" t="inlineStr">
        <is>
          <t>Financial liquidity crisis; Supplier disruption; Fraud risk</t>
        </is>
      </c>
      <c r="W115" s="3" t="n"/>
      <c r="X115" s="3" t="n"/>
      <c r="Y115" s="3" t="inlineStr">
        <is>
          <t>Use the recommended action generated by the model; validate with domain owner during real assessment.</t>
        </is>
      </c>
      <c r="Z115" s="7" t="n">
        <v>4</v>
      </c>
      <c r="AA115" s="7" t="n">
        <v>5</v>
      </c>
      <c r="AB115" s="7" t="n">
        <v>5</v>
      </c>
      <c r="AK115" s="46" t="n"/>
      <c r="AL115" s="46" t="n"/>
      <c r="AM115" s="247">
        <f>_DATA_Assessment_Model!AJ115</f>
        <v/>
      </c>
      <c r="AN115" s="247">
        <f>_DATA_Assessment_Model!AK115</f>
        <v/>
      </c>
      <c r="AO115" s="247">
        <f>_DATA_Assessment_Model!AL115</f>
        <v/>
      </c>
      <c r="AP115" s="247">
        <f>_DATA_Assessment_Model!AM115</f>
        <v/>
      </c>
      <c r="AQ115" s="247">
        <f>_DATA_Assessment_Model!AN115</f>
        <v/>
      </c>
      <c r="AR115" s="247">
        <f>_DATA_Assessment_Model!AO115</f>
        <v/>
      </c>
      <c r="AS115" s="247">
        <f>_DATA_Assessment_Model!AP115</f>
        <v/>
      </c>
      <c r="AT115" s="247">
        <f>_DATA_Assessment_Model!AQ115</f>
        <v/>
      </c>
      <c r="AU115" s="247">
        <f>_DATA_Assessment_Model!AR115</f>
        <v/>
      </c>
      <c r="AV115" s="5">
        <f>_DATA_Assessment_Model!AS115</f>
        <v/>
      </c>
      <c r="AW115" s="5">
        <f>_DATA_Assessment_Model!AT115</f>
        <v/>
      </c>
      <c r="AY115">
        <f>_DATA_Assessment_Model!AV115</f>
        <v/>
      </c>
    </row>
    <row r="116" ht="96.59999999999999" customHeight="1" s="209">
      <c r="A116" t="inlineStr">
        <is>
          <t>Finance Procurement</t>
        </is>
      </c>
      <c r="B116" t="inlineStr">
        <is>
          <t>Finance Procurement</t>
        </is>
      </c>
      <c r="C116" t="n">
        <v>23</v>
      </c>
      <c r="D116" s="3" t="inlineStr">
        <is>
          <t>FINA-020</t>
        </is>
      </c>
      <c r="E116" s="3" t="inlineStr">
        <is>
          <t>Working capital</t>
        </is>
      </c>
      <c r="F116" s="3" t="inlineStr">
        <is>
          <t>How mature is the organization in managing receivables aging, customer payment risk and collection scenarios, including ownership, evidence, metrics, fallback procedures and crisis stress testing?</t>
        </is>
      </c>
      <c r="G116" s="3" t="inlineStr">
        <is>
          <t>This topic affects exposure to Financial liquidity crisis; Supplier disruption; Fraud risk. It helps identify how disruption may impact operations, people, revenue, systems, legal exposure or recovery time.</t>
        </is>
      </c>
      <c r="H116" s="3" t="inlineStr">
        <is>
          <t>COSO Internal Control; COSO ERM; IFRS; ISO 20400; ISO 37001; CIPS</t>
        </is>
      </c>
      <c r="I116" s="3" t="inlineStr">
        <is>
          <t>Policy/SOP; owner/RACI; system report; dashboard; contracts; test records; incident history; interview evidence related to receivables aging, customer payment risk and collection scenarios.</t>
        </is>
      </c>
      <c r="J116" s="3" t="n">
        <v>4</v>
      </c>
      <c r="K116" s="85">
        <f>_DATA_Assessment_Model!H116</f>
        <v/>
      </c>
      <c r="L116" s="4">
        <f>_DATA_Assessment_Model!I116</f>
        <v/>
      </c>
      <c r="M116" s="4">
        <f>_DATA_Assessment_Model!J116</f>
        <v/>
      </c>
      <c r="N116" s="4">
        <f>_DATA_Assessment_Model!K116</f>
        <v/>
      </c>
      <c r="O116" s="3">
        <f>_DATA_Assessment_Model!L116</f>
        <v/>
      </c>
      <c r="P116" s="3" t="inlineStr">
        <is>
          <t>No reliable evidence that receivables aging, customer payment risk and collection scenarios is defined, owned or managed.</t>
        </is>
      </c>
      <c r="Q116" s="3" t="inlineStr">
        <is>
          <t>Receivables aging, customer payment risk and collection scenarios is handled informally and depends on individual knowledge or heroic effort.</t>
        </is>
      </c>
      <c r="R116" s="3" t="inlineStr">
        <is>
          <t>Receivables aging, customer payment risk and collection scenarios is partially documented or implemented, but coverage is inconsistent and not crisis-tested.</t>
        </is>
      </c>
      <c r="S116" s="3" t="inlineStr">
        <is>
          <t>Receivables aging, customer payment risk and collection scenarios is documented, owned, used in normal operations and supported by basic evidence or metrics.</t>
        </is>
      </c>
      <c r="T116" s="3" t="inlineStr">
        <is>
          <t>Receivables aging, customer payment risk and collection scenarios is measured, periodically reviewed, integrated with related processes and tested against relevant disruption scenarios.</t>
        </is>
      </c>
      <c r="U116" s="3" t="inlineStr">
        <is>
          <t>Receivables aging, customer payment risk and collection scenarios is optimized, continuously improved, automated where practical and demonstrably supports crisis resilience.</t>
        </is>
      </c>
      <c r="V116" s="3" t="inlineStr">
        <is>
          <t>Financial liquidity crisis; Supplier disruption; Fraud risk</t>
        </is>
      </c>
      <c r="W116" s="3" t="n"/>
      <c r="X116" s="3" t="n"/>
      <c r="Y116" s="3" t="inlineStr">
        <is>
          <t>Use the recommended action generated by the model; validate with domain owner during real assessment.</t>
        </is>
      </c>
      <c r="Z116" s="7" t="n">
        <v>4</v>
      </c>
      <c r="AA116" s="7" t="n">
        <v>5</v>
      </c>
      <c r="AB116" s="7" t="n">
        <v>5</v>
      </c>
      <c r="AK116" s="46" t="n"/>
      <c r="AL116" s="46" t="n"/>
      <c r="AM116" s="247">
        <f>_DATA_Assessment_Model!AJ116</f>
        <v/>
      </c>
      <c r="AN116" s="247">
        <f>_DATA_Assessment_Model!AK116</f>
        <v/>
      </c>
      <c r="AO116" s="247">
        <f>_DATA_Assessment_Model!AL116</f>
        <v/>
      </c>
      <c r="AP116" s="247">
        <f>_DATA_Assessment_Model!AM116</f>
        <v/>
      </c>
      <c r="AQ116" s="247">
        <f>_DATA_Assessment_Model!AN116</f>
        <v/>
      </c>
      <c r="AR116" s="247">
        <f>_DATA_Assessment_Model!AO116</f>
        <v/>
      </c>
      <c r="AS116" s="247">
        <f>_DATA_Assessment_Model!AP116</f>
        <v/>
      </c>
      <c r="AT116" s="247">
        <f>_DATA_Assessment_Model!AQ116</f>
        <v/>
      </c>
      <c r="AU116" s="247">
        <f>_DATA_Assessment_Model!AR116</f>
        <v/>
      </c>
      <c r="AV116" s="5">
        <f>_DATA_Assessment_Model!AS116</f>
        <v/>
      </c>
      <c r="AW116" s="5">
        <f>_DATA_Assessment_Model!AT116</f>
        <v/>
      </c>
      <c r="AY116">
        <f>_DATA_Assessment_Model!AV116</f>
        <v/>
      </c>
    </row>
    <row r="117" ht="69" customHeight="1" s="209">
      <c r="A117" t="inlineStr">
        <is>
          <t>Finance Procurement</t>
        </is>
      </c>
      <c r="B117" t="inlineStr">
        <is>
          <t>Finance Procurement</t>
        </is>
      </c>
      <c r="C117" t="n">
        <v>24</v>
      </c>
      <c r="D117" s="3" t="inlineStr">
        <is>
          <t>FINA-021</t>
        </is>
      </c>
      <c r="E117" s="3" t="inlineStr">
        <is>
          <t>Working capital</t>
        </is>
      </c>
      <c r="F117" s="3" t="inlineStr">
        <is>
          <t>How mature is the organization in managing supplier payment priority rules during cash constraint, including ownership, evidence, metrics, fallback procedures and crisis stress testing?</t>
        </is>
      </c>
      <c r="G117" s="3" t="inlineStr">
        <is>
          <t>This topic affects exposure to Financial liquidity crisis; Supplier disruption; Fraud risk. It helps identify how disruption may impact operations, people, revenue, systems, legal exposure or recovery time.</t>
        </is>
      </c>
      <c r="H117" s="3" t="inlineStr">
        <is>
          <t>COSO Internal Control; COSO ERM; IFRS; ISO 20400; ISO 37001; CIPS</t>
        </is>
      </c>
      <c r="I117" s="3" t="inlineStr">
        <is>
          <t>Policy/SOP; owner/RACI; system report; dashboard; contracts; test records; incident history; interview evidence related to supplier payment priority rules during cash constraint.</t>
        </is>
      </c>
      <c r="J117" s="3" t="n">
        <v>5</v>
      </c>
      <c r="K117" s="85">
        <f>_DATA_Assessment_Model!H117</f>
        <v/>
      </c>
      <c r="L117" s="4">
        <f>_DATA_Assessment_Model!I117</f>
        <v/>
      </c>
      <c r="M117" s="4">
        <f>_DATA_Assessment_Model!J117</f>
        <v/>
      </c>
      <c r="N117" s="4">
        <f>_DATA_Assessment_Model!K117</f>
        <v/>
      </c>
      <c r="O117" s="3">
        <f>_DATA_Assessment_Model!L117</f>
        <v/>
      </c>
      <c r="P117" s="3" t="inlineStr">
        <is>
          <t>Does not exist; no owner, no documentation, no practice.</t>
        </is>
      </c>
      <c r="Q117" s="3" t="inlineStr">
        <is>
          <t>Ad hoc; depends entirely on specific individuals.</t>
        </is>
      </c>
      <c r="R117" s="3" t="inlineStr">
        <is>
          <t>Partially documented or implemented; coverage inconsistent; never tested under stress.</t>
        </is>
      </c>
      <c r="S117" s="3" t="inlineStr">
        <is>
          <t>Documented, owned, executed consistently; basic evidence and metrics exist.</t>
        </is>
      </c>
      <c r="T117" s="3" t="inlineStr">
        <is>
          <t>Measured and periodically tested/audited; integrated with adjacent processes.</t>
        </is>
      </c>
      <c r="U117" s="3" t="inlineStr">
        <is>
          <t>Optimized and automated where practical; stress-tested; benchmarked externally.</t>
        </is>
      </c>
      <c r="V117" s="3" t="inlineStr">
        <is>
          <t>Financial liquidity crisis; Supplier disruption; Fraud risk</t>
        </is>
      </c>
      <c r="W117" s="3" t="n"/>
      <c r="X117" s="3" t="n"/>
      <c r="Y117" s="3" t="inlineStr">
        <is>
          <t>Use the recommended action generated by the model; validate with domain owner during real assessment.</t>
        </is>
      </c>
      <c r="Z117" s="7" t="n">
        <v>4</v>
      </c>
      <c r="AA117" s="7" t="n">
        <v>5</v>
      </c>
      <c r="AB117" s="7" t="n">
        <v>5</v>
      </c>
      <c r="AK117" s="46" t="n"/>
      <c r="AL117" s="46" t="n"/>
      <c r="AM117" s="247">
        <f>_DATA_Assessment_Model!AJ117</f>
        <v/>
      </c>
      <c r="AN117" s="247">
        <f>_DATA_Assessment_Model!AK117</f>
        <v/>
      </c>
      <c r="AO117" s="247">
        <f>_DATA_Assessment_Model!AL117</f>
        <v/>
      </c>
      <c r="AP117" s="247">
        <f>_DATA_Assessment_Model!AM117</f>
        <v/>
      </c>
      <c r="AQ117" s="247">
        <f>_DATA_Assessment_Model!AN117</f>
        <v/>
      </c>
      <c r="AR117" s="247">
        <f>_DATA_Assessment_Model!AO117</f>
        <v/>
      </c>
      <c r="AS117" s="247">
        <f>_DATA_Assessment_Model!AP117</f>
        <v/>
      </c>
      <c r="AT117" s="247">
        <f>_DATA_Assessment_Model!AQ117</f>
        <v/>
      </c>
      <c r="AU117" s="247">
        <f>_DATA_Assessment_Model!AR117</f>
        <v/>
      </c>
      <c r="AV117" s="5">
        <f>_DATA_Assessment_Model!AS117</f>
        <v/>
      </c>
      <c r="AW117" s="5">
        <f>_DATA_Assessment_Model!AT117</f>
        <v/>
      </c>
      <c r="AY117">
        <f>_DATA_Assessment_Model!AV117</f>
        <v/>
      </c>
    </row>
    <row r="118" ht="82.8" customHeight="1" s="209">
      <c r="A118" t="inlineStr">
        <is>
          <t>Finance Procurement</t>
        </is>
      </c>
      <c r="B118" t="inlineStr">
        <is>
          <t>Finance Procurement</t>
        </is>
      </c>
      <c r="C118" t="n">
        <v>25</v>
      </c>
      <c r="D118" s="3" t="inlineStr">
        <is>
          <t>FINA-022</t>
        </is>
      </c>
      <c r="E118" s="3" t="inlineStr">
        <is>
          <t>Working capital</t>
        </is>
      </c>
      <c r="F118" s="3" t="inlineStr">
        <is>
          <t>How mature is the organization in managing banking resilience with backup banks, signatories, online access and payment release fallback, including ownership, evidence, metrics, fallback procedures and crisis stress testing?</t>
        </is>
      </c>
      <c r="G118" s="3" t="inlineStr">
        <is>
          <t>This topic affects exposure to Financial liquidity crisis; Supplier disruption; Fraud risk. It helps identify how disruption may impact operations, people, revenue, systems, legal exposure or recovery time.</t>
        </is>
      </c>
      <c r="H118" s="3" t="inlineStr">
        <is>
          <t>COSO Internal Control; COSO ERM; IFRS; ISO 20400; ISO 37001; CIPS</t>
        </is>
      </c>
      <c r="I118" s="3" t="inlineStr">
        <is>
          <t>Policy/SOP; owner/RACI; system report; dashboard; contracts; test records; incident history; interview evidence related to banking resilience with backup banks, signatories, online access and payment release fallback.</t>
        </is>
      </c>
      <c r="J118" s="3" t="n">
        <v>5</v>
      </c>
      <c r="K118" s="85">
        <f>_DATA_Assessment_Model!H118</f>
        <v/>
      </c>
      <c r="L118" s="4">
        <f>_DATA_Assessment_Model!I118</f>
        <v/>
      </c>
      <c r="M118" s="4">
        <f>_DATA_Assessment_Model!J118</f>
        <v/>
      </c>
      <c r="N118" s="4">
        <f>_DATA_Assessment_Model!K118</f>
        <v/>
      </c>
      <c r="O118" s="3">
        <f>_DATA_Assessment_Model!L118</f>
        <v/>
      </c>
      <c r="P118" s="3" t="inlineStr">
        <is>
          <t>Does not exist; no owner, no documentation, no practice.</t>
        </is>
      </c>
      <c r="Q118" s="3" t="inlineStr">
        <is>
          <t>Ad hoc; depends entirely on specific individuals.</t>
        </is>
      </c>
      <c r="R118" s="3" t="inlineStr">
        <is>
          <t>Partially documented or implemented; coverage inconsistent; never tested under stress.</t>
        </is>
      </c>
      <c r="S118" s="3" t="inlineStr">
        <is>
          <t>Documented, owned, executed consistently; basic evidence and metrics exist.</t>
        </is>
      </c>
      <c r="T118" s="3" t="inlineStr">
        <is>
          <t>Measured and periodically tested/audited; integrated with adjacent processes.</t>
        </is>
      </c>
      <c r="U118" s="3" t="inlineStr">
        <is>
          <t>Optimized and automated where practical; stress-tested; benchmarked externally.</t>
        </is>
      </c>
      <c r="V118" s="3" t="inlineStr">
        <is>
          <t>Financial liquidity crisis; Supplier disruption; Fraud risk</t>
        </is>
      </c>
      <c r="W118" s="3" t="n"/>
      <c r="X118" s="3" t="n"/>
      <c r="Y118" s="3" t="inlineStr">
        <is>
          <t>Use the recommended action generated by the model; validate with domain owner during real assessment.</t>
        </is>
      </c>
      <c r="Z118" s="7" t="n">
        <v>5</v>
      </c>
      <c r="AA118" s="7" t="n">
        <v>5</v>
      </c>
      <c r="AB118" s="7" t="n">
        <v>5</v>
      </c>
      <c r="AK118" s="46" t="n"/>
      <c r="AL118" s="46" t="n"/>
      <c r="AM118" s="247">
        <f>_DATA_Assessment_Model!AJ118</f>
        <v/>
      </c>
      <c r="AN118" s="247">
        <f>_DATA_Assessment_Model!AK118</f>
        <v/>
      </c>
      <c r="AO118" s="247">
        <f>_DATA_Assessment_Model!AL118</f>
        <v/>
      </c>
      <c r="AP118" s="247">
        <f>_DATA_Assessment_Model!AM118</f>
        <v/>
      </c>
      <c r="AQ118" s="247">
        <f>_DATA_Assessment_Model!AN118</f>
        <v/>
      </c>
      <c r="AR118" s="247">
        <f>_DATA_Assessment_Model!AO118</f>
        <v/>
      </c>
      <c r="AS118" s="247">
        <f>_DATA_Assessment_Model!AP118</f>
        <v/>
      </c>
      <c r="AT118" s="247">
        <f>_DATA_Assessment_Model!AQ118</f>
        <v/>
      </c>
      <c r="AU118" s="247">
        <f>_DATA_Assessment_Model!AR118</f>
        <v/>
      </c>
      <c r="AV118" s="5">
        <f>_DATA_Assessment_Model!AS118</f>
        <v/>
      </c>
      <c r="AW118" s="5">
        <f>_DATA_Assessment_Model!AT118</f>
        <v/>
      </c>
      <c r="AY118">
        <f>_DATA_Assessment_Model!AV118</f>
        <v/>
      </c>
    </row>
    <row r="119" ht="69" customHeight="1" s="209">
      <c r="A119" t="inlineStr">
        <is>
          <t>Finance Procurement</t>
        </is>
      </c>
      <c r="B119" t="inlineStr">
        <is>
          <t>Finance Procurement</t>
        </is>
      </c>
      <c r="C119" t="n">
        <v>26</v>
      </c>
      <c r="D119" s="3" t="inlineStr">
        <is>
          <t>FINA-023</t>
        </is>
      </c>
      <c r="E119" s="3" t="inlineStr">
        <is>
          <t>Working capital</t>
        </is>
      </c>
      <c r="F119" s="3" t="inlineStr">
        <is>
          <t>How mature is the organization in managing tax compliance calendar and statutory reporting continuity, including ownership, evidence, metrics, fallback procedures and crisis stress testing?</t>
        </is>
      </c>
      <c r="G119" s="3" t="inlineStr">
        <is>
          <t>This topic affects exposure to Financial liquidity crisis; Supplier disruption; Fraud risk. It helps identify how disruption may impact operations, people, revenue, systems, legal exposure or recovery time.</t>
        </is>
      </c>
      <c r="H119" s="3" t="inlineStr">
        <is>
          <t>COSO Internal Control; COSO ERM; IFRS; ISO 20400; ISO 37001; CIPS</t>
        </is>
      </c>
      <c r="I119" s="3" t="inlineStr">
        <is>
          <t>Policy/SOP; owner/RACI; system report; dashboard; contracts; test records; incident history; interview evidence related to tax compliance calendar and statutory reporting continuity.</t>
        </is>
      </c>
      <c r="J119" s="3" t="n">
        <v>5</v>
      </c>
      <c r="K119" s="85">
        <f>_DATA_Assessment_Model!H119</f>
        <v/>
      </c>
      <c r="L119" s="4">
        <f>_DATA_Assessment_Model!I119</f>
        <v/>
      </c>
      <c r="M119" s="4">
        <f>_DATA_Assessment_Model!J119</f>
        <v/>
      </c>
      <c r="N119" s="4">
        <f>_DATA_Assessment_Model!K119</f>
        <v/>
      </c>
      <c r="O119" s="3">
        <f>_DATA_Assessment_Model!L119</f>
        <v/>
      </c>
      <c r="P119" s="3" t="inlineStr">
        <is>
          <t>Does not exist; no owner, no documentation, no practice.</t>
        </is>
      </c>
      <c r="Q119" s="3" t="inlineStr">
        <is>
          <t>Ad hoc; depends entirely on specific individuals.</t>
        </is>
      </c>
      <c r="R119" s="3" t="inlineStr">
        <is>
          <t>Partially documented or implemented; coverage inconsistent; never tested under stress.</t>
        </is>
      </c>
      <c r="S119" s="3" t="inlineStr">
        <is>
          <t>Documented, owned, executed consistently; basic evidence and metrics exist.</t>
        </is>
      </c>
      <c r="T119" s="3" t="inlineStr">
        <is>
          <t>Measured and periodically tested/audited; integrated with adjacent processes.</t>
        </is>
      </c>
      <c r="U119" s="3" t="inlineStr">
        <is>
          <t>Optimized and automated where practical; stress-tested; benchmarked externally.</t>
        </is>
      </c>
      <c r="V119" s="3" t="inlineStr">
        <is>
          <t>Financial liquidity crisis; Supplier disruption; Fraud risk</t>
        </is>
      </c>
      <c r="W119" s="3" t="n"/>
      <c r="X119" s="3" t="n"/>
      <c r="Y119" s="3" t="inlineStr">
        <is>
          <t>Use the recommended action generated by the model; validate with domain owner during real assessment.</t>
        </is>
      </c>
      <c r="Z119" s="7" t="n">
        <v>4</v>
      </c>
      <c r="AA119" s="7" t="n">
        <v>5</v>
      </c>
      <c r="AB119" s="7" t="n">
        <v>5</v>
      </c>
      <c r="AK119" s="46" t="n"/>
      <c r="AL119" s="46" t="n"/>
      <c r="AM119" s="247">
        <f>_DATA_Assessment_Model!AJ119</f>
        <v/>
      </c>
      <c r="AN119" s="247">
        <f>_DATA_Assessment_Model!AK119</f>
        <v/>
      </c>
      <c r="AO119" s="247">
        <f>_DATA_Assessment_Model!AL119</f>
        <v/>
      </c>
      <c r="AP119" s="247">
        <f>_DATA_Assessment_Model!AM119</f>
        <v/>
      </c>
      <c r="AQ119" s="247">
        <f>_DATA_Assessment_Model!AN119</f>
        <v/>
      </c>
      <c r="AR119" s="247">
        <f>_DATA_Assessment_Model!AO119</f>
        <v/>
      </c>
      <c r="AS119" s="247">
        <f>_DATA_Assessment_Model!AP119</f>
        <v/>
      </c>
      <c r="AT119" s="247">
        <f>_DATA_Assessment_Model!AQ119</f>
        <v/>
      </c>
      <c r="AU119" s="247">
        <f>_DATA_Assessment_Model!AR119</f>
        <v/>
      </c>
      <c r="AV119" s="5">
        <f>_DATA_Assessment_Model!AS119</f>
        <v/>
      </c>
      <c r="AW119" s="5">
        <f>_DATA_Assessment_Model!AT119</f>
        <v/>
      </c>
      <c r="AY119">
        <f>_DATA_Assessment_Model!AV119</f>
        <v/>
      </c>
    </row>
    <row r="120" ht="69" customHeight="1" s="209">
      <c r="A120" t="inlineStr">
        <is>
          <t>Finance Procurement</t>
        </is>
      </c>
      <c r="B120" t="inlineStr">
        <is>
          <t>Finance Procurement</t>
        </is>
      </c>
      <c r="C120" t="n">
        <v>27</v>
      </c>
      <c r="D120" s="3" t="inlineStr">
        <is>
          <t>FINA-024</t>
        </is>
      </c>
      <c r="E120" s="3" t="inlineStr">
        <is>
          <t>Working capital</t>
        </is>
      </c>
      <c r="F120" s="3" t="inlineStr">
        <is>
          <t>How mature is the organization in managing business interruption insurance fit against realistic recovery scenarios, including ownership, evidence, metrics, fallback procedures and crisis stress testing?</t>
        </is>
      </c>
      <c r="G120" s="3" t="inlineStr">
        <is>
          <t>This topic affects exposure to Financial liquidity crisis; Supplier disruption; Fraud risk. It helps identify how disruption may impact operations, people, revenue, systems, legal exposure or recovery time.</t>
        </is>
      </c>
      <c r="H120" s="3" t="inlineStr">
        <is>
          <t>COSO Internal Control; COSO ERM; IFRS; ISO 20400; ISO 37001; CIPS</t>
        </is>
      </c>
      <c r="I120" s="3" t="inlineStr">
        <is>
          <t>Policy/SOP; owner/RACI; system report; dashboard; contracts; test records; incident history; interview evidence related to business interruption insurance fit against realistic recovery scenarios.</t>
        </is>
      </c>
      <c r="J120" s="3" t="n">
        <v>5</v>
      </c>
      <c r="K120" s="85">
        <f>_DATA_Assessment_Model!H120</f>
        <v/>
      </c>
      <c r="L120" s="4">
        <f>_DATA_Assessment_Model!I120</f>
        <v/>
      </c>
      <c r="M120" s="4">
        <f>_DATA_Assessment_Model!J120</f>
        <v/>
      </c>
      <c r="N120" s="4">
        <f>_DATA_Assessment_Model!K120</f>
        <v/>
      </c>
      <c r="O120" s="3">
        <f>_DATA_Assessment_Model!L120</f>
        <v/>
      </c>
      <c r="P120" s="3" t="inlineStr">
        <is>
          <t>Does not exist; no owner, no documentation, no practice.</t>
        </is>
      </c>
      <c r="Q120" s="3" t="inlineStr">
        <is>
          <t>Ad hoc; depends entirely on specific individuals.</t>
        </is>
      </c>
      <c r="R120" s="3" t="inlineStr">
        <is>
          <t>Partially documented or implemented; coverage inconsistent; never tested under stress.</t>
        </is>
      </c>
      <c r="S120" s="3" t="inlineStr">
        <is>
          <t>Documented, owned, executed consistently; basic evidence and metrics exist.</t>
        </is>
      </c>
      <c r="T120" s="3" t="inlineStr">
        <is>
          <t>Measured and periodically tested/audited; integrated with adjacent processes.</t>
        </is>
      </c>
      <c r="U120" s="3" t="inlineStr">
        <is>
          <t>Optimized and automated where practical; stress-tested; benchmarked externally.</t>
        </is>
      </c>
      <c r="V120" s="3" t="inlineStr">
        <is>
          <t>Financial liquidity crisis; Supplier disruption; Fraud risk</t>
        </is>
      </c>
      <c r="W120" s="3" t="n"/>
      <c r="X120" s="3" t="n"/>
      <c r="Y120" s="3" t="inlineStr">
        <is>
          <t>Use the recommended action generated by the model; validate with domain owner during real assessment.</t>
        </is>
      </c>
      <c r="Z120" s="7" t="n">
        <v>4</v>
      </c>
      <c r="AA120" s="7" t="n">
        <v>5</v>
      </c>
      <c r="AB120" s="7" t="n">
        <v>5</v>
      </c>
      <c r="AK120" s="46" t="n"/>
      <c r="AL120" s="46" t="n"/>
      <c r="AM120" s="247">
        <f>_DATA_Assessment_Model!AJ120</f>
        <v/>
      </c>
      <c r="AN120" s="247">
        <f>_DATA_Assessment_Model!AK120</f>
        <v/>
      </c>
      <c r="AO120" s="247">
        <f>_DATA_Assessment_Model!AL120</f>
        <v/>
      </c>
      <c r="AP120" s="247">
        <f>_DATA_Assessment_Model!AM120</f>
        <v/>
      </c>
      <c r="AQ120" s="247">
        <f>_DATA_Assessment_Model!AN120</f>
        <v/>
      </c>
      <c r="AR120" s="247">
        <f>_DATA_Assessment_Model!AO120</f>
        <v/>
      </c>
      <c r="AS120" s="247">
        <f>_DATA_Assessment_Model!AP120</f>
        <v/>
      </c>
      <c r="AT120" s="247">
        <f>_DATA_Assessment_Model!AQ120</f>
        <v/>
      </c>
      <c r="AU120" s="247">
        <f>_DATA_Assessment_Model!AR120</f>
        <v/>
      </c>
      <c r="AV120" s="5">
        <f>_DATA_Assessment_Model!AS120</f>
        <v/>
      </c>
      <c r="AW120" s="5">
        <f>_DATA_Assessment_Model!AT120</f>
        <v/>
      </c>
      <c r="AY120">
        <f>_DATA_Assessment_Model!AV120</f>
        <v/>
      </c>
    </row>
    <row r="121" ht="110.4" customHeight="1" s="209">
      <c r="A121" t="inlineStr">
        <is>
          <t>Finance Procurement</t>
        </is>
      </c>
      <c r="B121" t="inlineStr">
        <is>
          <t>Finance Procurement</t>
        </is>
      </c>
      <c r="C121" t="n">
        <v>28</v>
      </c>
      <c r="D121" s="3" t="inlineStr">
        <is>
          <t>FINA-025</t>
        </is>
      </c>
      <c r="E121" s="3" t="inlineStr">
        <is>
          <t>Financial resilience</t>
        </is>
      </c>
      <c r="F121" s="3" t="inlineStr">
        <is>
          <t>How mature is the organization in managing currency risk management using natural hedges, contract indexation or hedging instruments, including ownership, evidence, metrics, fallback procedures and crisis stress testing?</t>
        </is>
      </c>
      <c r="G121" s="3" t="inlineStr">
        <is>
          <t>This topic affects exposure to Financial/liquidity crisis; Demand shock. It helps identify how disruption may impact operations, people, revenue, systems, legal exposure or recovery time.</t>
        </is>
      </c>
      <c r="H121" s="3" t="inlineStr">
        <is>
          <t>COSO; IFRS; treasury management practices</t>
        </is>
      </c>
      <c r="I121" s="3" t="inlineStr">
        <is>
          <t>Policy/SOP; owner/RACI; system report; dashboard; contracts; test records; incident history; interview evidence</t>
        </is>
      </c>
      <c r="J121" s="3" t="n">
        <v>4</v>
      </c>
      <c r="K121" s="85">
        <f>_DATA_Assessment_Model!H121</f>
        <v/>
      </c>
      <c r="L121" s="4">
        <f>_DATA_Assessment_Model!I121</f>
        <v/>
      </c>
      <c r="M121" s="4">
        <f>_DATA_Assessment_Model!J121</f>
        <v/>
      </c>
      <c r="N121" s="4">
        <f>_DATA_Assessment_Model!K121</f>
        <v/>
      </c>
      <c r="O121" s="3">
        <f>_DATA_Assessment_Model!L121</f>
        <v/>
      </c>
      <c r="P121" s="3" t="inlineStr">
        <is>
          <t>No reliable evidence that currency risk management using natural hedges, contract indexation or hedging instruments is defined, owned or managed.</t>
        </is>
      </c>
      <c r="Q121" s="3" t="inlineStr">
        <is>
          <t>Currency risk management using natural hedges, contract indexation or hedging instruments is handled informally and depends on individual knowledge or heroic effort.</t>
        </is>
      </c>
      <c r="R121" s="3" t="inlineStr">
        <is>
          <t>Currency risk management using natural hedges, contract indexation or hedging instruments is partially documented or implemented, but coverage is inconsistent and not crisis-tested.</t>
        </is>
      </c>
      <c r="S121" s="3" t="inlineStr">
        <is>
          <t>Currency risk management using natural hedges, contract indexation or hedging instruments is documented, owned, used in normal operations and supported by basic evidence or metrics.</t>
        </is>
      </c>
      <c r="T121" s="3" t="inlineStr">
        <is>
          <t>Currency risk management using natural hedges, contract indexation or hedging instruments is measured, periodically reviewed, integrated with related processes and tested against relevant disruption scenarios.</t>
        </is>
      </c>
      <c r="U121" s="3" t="inlineStr">
        <is>
          <t>Currency risk management using natural hedges, contract indexation or hedging instruments is optimized, continuously improved, automated where practical and demonstrably supports crisis resilience.</t>
        </is>
      </c>
      <c r="V121" s="3" t="inlineStr">
        <is>
          <t>Financial/liquidity crisis; Demand shock</t>
        </is>
      </c>
      <c r="W121" s="3" t="n"/>
      <c r="X121" s="3" t="n"/>
      <c r="Y121" s="3" t="inlineStr">
        <is>
          <t>Use the recommended action generated by the model; validate with domain owner during real assessment.</t>
        </is>
      </c>
      <c r="Z121" s="7" t="n">
        <v>3</v>
      </c>
      <c r="AA121" s="7" t="n">
        <v>4</v>
      </c>
      <c r="AB121" s="7" t="n">
        <v>4</v>
      </c>
      <c r="AK121" s="46" t="n"/>
      <c r="AL121" s="46" t="n"/>
      <c r="AM121" s="247">
        <f>_DATA_Assessment_Model!AJ121</f>
        <v/>
      </c>
      <c r="AN121" s="247">
        <f>_DATA_Assessment_Model!AK121</f>
        <v/>
      </c>
      <c r="AO121" s="247">
        <f>_DATA_Assessment_Model!AL121</f>
        <v/>
      </c>
      <c r="AP121" s="247">
        <f>_DATA_Assessment_Model!AM121</f>
        <v/>
      </c>
      <c r="AQ121" s="247">
        <f>_DATA_Assessment_Model!AN121</f>
        <v/>
      </c>
      <c r="AR121" s="247">
        <f>_DATA_Assessment_Model!AO121</f>
        <v/>
      </c>
      <c r="AS121" s="247">
        <f>_DATA_Assessment_Model!AP121</f>
        <v/>
      </c>
      <c r="AT121" s="247">
        <f>_DATA_Assessment_Model!AQ121</f>
        <v/>
      </c>
      <c r="AU121" s="247">
        <f>_DATA_Assessment_Model!AR121</f>
        <v/>
      </c>
      <c r="AV121" s="5">
        <f>_DATA_Assessment_Model!AS121</f>
        <v/>
      </c>
      <c r="AW121" s="5">
        <f>_DATA_Assessment_Model!AT121</f>
        <v/>
      </c>
      <c r="AY121">
        <f>_DATA_Assessment_Model!AV121</f>
        <v/>
      </c>
    </row>
    <row r="122">
      <c r="A122" t="inlineStr">
        <is>
          <t>Finance Procurement</t>
        </is>
      </c>
      <c r="B122" t="inlineStr">
        <is>
          <t>Finance Procurement</t>
        </is>
      </c>
      <c r="C122" t="n">
        <v>29</v>
      </c>
      <c r="D122" t="inlineStr">
        <is>
          <t>FINA-026</t>
        </is>
      </c>
      <c r="E122" t="inlineStr">
        <is>
          <t>Financial resilience</t>
        </is>
      </c>
      <c r="F122" t="inlineStr">
        <is>
          <t>How mature is the organization in managing cost structure flexibility with fixed-to-variable ratio visibility and cost reduction levers ranked by speed and impact, including ownership, evidence, metrics, fallback procedures and crisis stress testing?</t>
        </is>
      </c>
      <c r="G122" t="inlineStr">
        <is>
          <t>This topic affects exposure to Financial/liquidity crisis; Demand shock. It helps identify how disruption may impact operations, people, revenue, systems, legal exposure or recovery time.</t>
        </is>
      </c>
      <c r="H122" t="inlineStr">
        <is>
          <t>driver-based planning practices; COSO</t>
        </is>
      </c>
      <c r="I122" t="inlineStr">
        <is>
          <t>Policy/SOP; owner/RACI; system report; dashboard; contracts; test records; incident history; interview evidence</t>
        </is>
      </c>
      <c r="J122" t="n">
        <v>4</v>
      </c>
      <c r="K122">
        <f>_DATA_Assessment_Model!H122</f>
        <v/>
      </c>
      <c r="L122">
        <f>_DATA_Assessment_Model!I122</f>
        <v/>
      </c>
      <c r="M122">
        <f>_DATA_Assessment_Model!J122</f>
        <v/>
      </c>
      <c r="N122">
        <f>_DATA_Assessment_Model!K122</f>
        <v/>
      </c>
      <c r="O122">
        <f>_DATA_Assessment_Model!L122</f>
        <v/>
      </c>
      <c r="P122" t="inlineStr">
        <is>
          <t>No reliable evidence that cost structure flexibility with fixed-to-variable ratio visibility and cost reduction levers ranked by speed and impact is defined, owned or managed.</t>
        </is>
      </c>
      <c r="Q122" t="inlineStr">
        <is>
          <t>Cost structure flexibility with fixed-to-variable ratio visibility and cost reduction levers ranked by speed and impact is handled informally and depends on individual knowledge or heroic effort.</t>
        </is>
      </c>
      <c r="R122" t="inlineStr">
        <is>
          <t>Cost structure flexibility with fixed-to-variable ratio visibility and cost reduction levers ranked by speed and impact is partially documented or implemented, but coverage is inconsistent and not crisis-tested.</t>
        </is>
      </c>
      <c r="S122" t="inlineStr">
        <is>
          <t>Cost structure flexibility with fixed-to-variable ratio visibility and cost reduction levers ranked by speed and impact is documented, owned, used in normal operations and supported by basic evidence or metrics.</t>
        </is>
      </c>
      <c r="T122" t="inlineStr">
        <is>
          <t>Cost structure flexibility with fixed-to-variable ratio visibility and cost reduction levers ranked by speed and impact is measured, periodically reviewed, integrated with related processes and tested against relevant disruption scenarios.</t>
        </is>
      </c>
      <c r="U122" t="inlineStr">
        <is>
          <t>Cost structure flexibility with fixed-to-variable ratio visibility and cost reduction levers ranked by speed and impact is optimized, continuously improved, automated where practical and demonstrably supports crisis resilience.</t>
        </is>
      </c>
      <c r="V122" t="inlineStr">
        <is>
          <t>Financial/liquidity crisis; Demand shock</t>
        </is>
      </c>
      <c r="Y122" t="inlineStr">
        <is>
          <t>Use the recommended action generated by the model; validate with domain owner during real assessment.</t>
        </is>
      </c>
      <c r="Z122" t="n">
        <v>3</v>
      </c>
      <c r="AA122" t="n">
        <v>4</v>
      </c>
      <c r="AB122" t="n">
        <v>4</v>
      </c>
      <c r="AM122">
        <f>_DATA_Assessment_Model!AJ122</f>
        <v/>
      </c>
      <c r="AN122">
        <f>_DATA_Assessment_Model!AK122</f>
        <v/>
      </c>
      <c r="AO122">
        <f>_DATA_Assessment_Model!AL122</f>
        <v/>
      </c>
      <c r="AP122">
        <f>_DATA_Assessment_Model!AM122</f>
        <v/>
      </c>
      <c r="AQ122">
        <f>_DATA_Assessment_Model!AN122</f>
        <v/>
      </c>
      <c r="AR122">
        <f>_DATA_Assessment_Model!AO122</f>
        <v/>
      </c>
      <c r="AS122">
        <f>_DATA_Assessment_Model!AP122</f>
        <v/>
      </c>
      <c r="AT122">
        <f>_DATA_Assessment_Model!AQ122</f>
        <v/>
      </c>
      <c r="AU122">
        <f>_DATA_Assessment_Model!AR122</f>
        <v/>
      </c>
      <c r="AV122">
        <f>_DATA_Assessment_Model!AS122</f>
        <v/>
      </c>
      <c r="AW122">
        <f>_DATA_Assessment_Model!AT122</f>
        <v/>
      </c>
      <c r="AY122">
        <f>_DATA_Assessment_Model!AV122</f>
        <v/>
      </c>
    </row>
    <row r="123">
      <c r="A123" t="inlineStr">
        <is>
          <t>Finance Procurement</t>
        </is>
      </c>
      <c r="B123" t="inlineStr">
        <is>
          <t>Finance Procurement</t>
        </is>
      </c>
      <c r="C123" t="n">
        <v>30</v>
      </c>
      <c r="D123" t="inlineStr">
        <is>
          <t>FINA-027</t>
        </is>
      </c>
      <c r="E123" t="inlineStr">
        <is>
          <t>Working capital</t>
        </is>
      </c>
      <c r="F123" t="inlineStr">
        <is>
          <t>How mature is the organization in managing customer credit risk assessment with credit checks, limits and payment terms control before contracting, including ownership, evidence, metrics, fallback procedures and crisis stress testing?</t>
        </is>
      </c>
      <c r="G123" t="inlineStr">
        <is>
          <t>This topic affects exposure to Financial/liquidity crisis; Key customer loss. It helps identify how disruption may impact operations, people, revenue, systems, legal exposure or recovery time.</t>
        </is>
      </c>
      <c r="H123" t="inlineStr">
        <is>
          <t>credit management practices; COSO</t>
        </is>
      </c>
      <c r="I123" t="inlineStr">
        <is>
          <t>Policy/SOP; owner/RACI; system report; dashboard; contracts; test records; incident history; interview evidence</t>
        </is>
      </c>
      <c r="J123" t="n">
        <v>3</v>
      </c>
      <c r="K123">
        <f>_DATA_Assessment_Model!H123</f>
        <v/>
      </c>
      <c r="L123">
        <f>_DATA_Assessment_Model!I123</f>
        <v/>
      </c>
      <c r="M123">
        <f>_DATA_Assessment_Model!J123</f>
        <v/>
      </c>
      <c r="N123">
        <f>_DATA_Assessment_Model!K123</f>
        <v/>
      </c>
      <c r="O123">
        <f>_DATA_Assessment_Model!L123</f>
        <v/>
      </c>
      <c r="P123" t="inlineStr">
        <is>
          <t>No reliable evidence that customer credit risk assessment with credit checks, limits and payment terms control before contracting is defined, owned or managed.</t>
        </is>
      </c>
      <c r="Q123" t="inlineStr">
        <is>
          <t>Customer credit risk assessment with credit checks, limits and payment terms control before contracting is handled informally and depends on individual knowledge or heroic effort.</t>
        </is>
      </c>
      <c r="R123" t="inlineStr">
        <is>
          <t>Customer credit risk assessment with credit checks, limits and payment terms control before contracting is partially documented or implemented, but coverage is inconsistent and not crisis-tested.</t>
        </is>
      </c>
      <c r="S123" t="inlineStr">
        <is>
          <t>Customer credit risk assessment with credit checks, limits and payment terms control before contracting is documented, owned, used in normal operations and supported by basic evidence or metrics.</t>
        </is>
      </c>
      <c r="T123" t="inlineStr">
        <is>
          <t>Customer credit risk assessment with credit checks, limits and payment terms control before contracting is measured, periodically reviewed, integrated with related processes and tested against relevant disruption scenarios.</t>
        </is>
      </c>
      <c r="U123" t="inlineStr">
        <is>
          <t>Customer credit risk assessment with credit checks, limits and payment terms control before contracting is optimized, continuously improved, automated where practical and demonstrably supports crisis resilience.</t>
        </is>
      </c>
      <c r="V123" t="inlineStr">
        <is>
          <t>Financial/liquidity crisis; Key customer loss</t>
        </is>
      </c>
      <c r="Y123" t="inlineStr">
        <is>
          <t>Use the recommended action generated by the model; validate with domain owner during real assessment.</t>
        </is>
      </c>
      <c r="Z123" t="n">
        <v>3</v>
      </c>
      <c r="AA123" t="n">
        <v>3</v>
      </c>
      <c r="AB123" t="n">
        <v>4</v>
      </c>
      <c r="AM123">
        <f>_DATA_Assessment_Model!AJ123</f>
        <v/>
      </c>
      <c r="AN123">
        <f>_DATA_Assessment_Model!AK123</f>
        <v/>
      </c>
      <c r="AO123">
        <f>_DATA_Assessment_Model!AL123</f>
        <v/>
      </c>
      <c r="AP123">
        <f>_DATA_Assessment_Model!AM123</f>
        <v/>
      </c>
      <c r="AQ123">
        <f>_DATA_Assessment_Model!AN123</f>
        <v/>
      </c>
      <c r="AR123">
        <f>_DATA_Assessment_Model!AO123</f>
        <v/>
      </c>
      <c r="AS123">
        <f>_DATA_Assessment_Model!AP123</f>
        <v/>
      </c>
      <c r="AT123">
        <f>_DATA_Assessment_Model!AQ123</f>
        <v/>
      </c>
      <c r="AU123">
        <f>_DATA_Assessment_Model!AR123</f>
        <v/>
      </c>
      <c r="AV123">
        <f>_DATA_Assessment_Model!AS123</f>
        <v/>
      </c>
      <c r="AW123">
        <f>_DATA_Assessment_Model!AT123</f>
        <v/>
      </c>
      <c r="AY123">
        <f>_DATA_Assessment_Model!AV123</f>
        <v/>
      </c>
    </row>
    <row r="124" ht="96.59999999999999" customHeight="1" s="209">
      <c r="A124" t="inlineStr">
        <is>
          <t>Legal Risk</t>
        </is>
      </c>
      <c r="B124" t="inlineStr">
        <is>
          <t>Legal Risk</t>
        </is>
      </c>
      <c r="C124" t="n">
        <v>5</v>
      </c>
      <c r="D124" s="3" t="inlineStr">
        <is>
          <t>LEGA-001</t>
        </is>
      </c>
      <c r="E124" s="3" t="inlineStr">
        <is>
          <t>Compliance</t>
        </is>
      </c>
      <c r="F124" s="3" t="inlineStr">
        <is>
          <t>How mature is the organization in managing compliance obligations register by jurisdiction, license, customer, industry and function, including ownership, evidence, metrics, fallback procedures and crisis stress testing?</t>
        </is>
      </c>
      <c r="G124" s="3" t="inlineStr">
        <is>
          <t>This topic affects exposure to Regulatory/legal shock; Contractual exposure; Data breach. It helps identify how disruption may impact operations, people, revenue, systems, legal exposure or recovery time.</t>
        </is>
      </c>
      <c r="H124" s="3" t="inlineStr">
        <is>
          <t>ISO 37301; ISO 31000; ISO 37001; ISO/IEC 27701; GDPR; contract management best practices</t>
        </is>
      </c>
      <c r="I124" s="3" t="inlineStr">
        <is>
          <t>Policy/SOP; owner/RACI; system report; dashboard; contracts; test records; incident history; interview evidence related to compliance obligations register by jurisdiction, license, customer, industry and function.</t>
        </is>
      </c>
      <c r="J124" s="3" t="n">
        <v>4</v>
      </c>
      <c r="K124" s="85">
        <f>_DATA_Assessment_Model!H124</f>
        <v/>
      </c>
      <c r="L124" s="4">
        <f>_DATA_Assessment_Model!I124</f>
        <v/>
      </c>
      <c r="M124" s="4">
        <f>_DATA_Assessment_Model!J124</f>
        <v/>
      </c>
      <c r="N124" s="4">
        <f>_DATA_Assessment_Model!K124</f>
        <v/>
      </c>
      <c r="O124" s="3">
        <f>_DATA_Assessment_Model!L124</f>
        <v/>
      </c>
      <c r="P124" s="3" t="inlineStr">
        <is>
          <t>No reliable evidence that compliance obligations register by jurisdiction, license, customer, industry and function is defined, owned or managed.</t>
        </is>
      </c>
      <c r="Q124" s="3" t="inlineStr">
        <is>
          <t>Compliance obligations register by jurisdiction, license, customer, industry and function is handled informally and depends on individual knowledge or heroic effort.</t>
        </is>
      </c>
      <c r="R124" s="3" t="inlineStr">
        <is>
          <t>Compliance obligations register by jurisdiction, license, customer, industry and function is partially documented or implemented, but coverage is inconsistent and not crisis-tested.</t>
        </is>
      </c>
      <c r="S124" s="3" t="inlineStr">
        <is>
          <t>Compliance obligations register by jurisdiction, license, customer, industry and function is documented, owned, used in normal operations and supported by basic evidence or metrics.</t>
        </is>
      </c>
      <c r="T124" s="3" t="inlineStr">
        <is>
          <t>Compliance obligations register by jurisdiction, license, customer, industry and function is measured, periodically reviewed, integrated with related processes and tested against relevant disruption scenarios.</t>
        </is>
      </c>
      <c r="U124" s="3" t="inlineStr">
        <is>
          <t>Compliance obligations register by jurisdiction, license, customer, industry and function is optimized, continuously improved, automated where practical and demonstrably supports crisis resilience.</t>
        </is>
      </c>
      <c r="V124" s="3" t="inlineStr">
        <is>
          <t>Regulatory/legal shock; Contractual exposure; Data breach</t>
        </is>
      </c>
      <c r="W124" s="3" t="n"/>
      <c r="X124" s="3" t="n"/>
      <c r="Y124" s="3" t="inlineStr">
        <is>
          <t>Use the recommended action generated by the model; validate with domain owner during real assessment.</t>
        </is>
      </c>
      <c r="Z124" s="7" t="n">
        <v>5</v>
      </c>
      <c r="AA124" s="7" t="n">
        <v>5</v>
      </c>
      <c r="AB124" s="7" t="n">
        <v>5</v>
      </c>
      <c r="AD124" t="inlineStr">
        <is>
          <t>Compliance</t>
        </is>
      </c>
      <c r="AE124" s="6">
        <f>_DATA_Assessment_Model!AB124</f>
        <v/>
      </c>
      <c r="AF124" s="8">
        <f>_DATA_Assessment_Model!AC124</f>
        <v/>
      </c>
      <c r="AG124" s="9">
        <f>_DATA_Assessment_Model!AD124</f>
        <v/>
      </c>
      <c r="AH124" s="6">
        <f>_DATA_Assessment_Model!AE124</f>
        <v/>
      </c>
      <c r="AI124" s="8">
        <f>_DATA_Assessment_Model!AF124</f>
        <v/>
      </c>
      <c r="AJ124" s="6">
        <f>_DATA_Assessment_Model!AG124</f>
        <v/>
      </c>
      <c r="AK124" s="46" t="n"/>
      <c r="AL124" s="46" t="n"/>
      <c r="AM124" s="247">
        <f>_DATA_Assessment_Model!AJ124</f>
        <v/>
      </c>
      <c r="AN124" s="247">
        <f>_DATA_Assessment_Model!AK124</f>
        <v/>
      </c>
      <c r="AO124" s="247">
        <f>_DATA_Assessment_Model!AL124</f>
        <v/>
      </c>
      <c r="AP124" s="247">
        <f>_DATA_Assessment_Model!AM124</f>
        <v/>
      </c>
      <c r="AQ124" s="247">
        <f>_DATA_Assessment_Model!AN124</f>
        <v/>
      </c>
      <c r="AR124" s="247">
        <f>_DATA_Assessment_Model!AO124</f>
        <v/>
      </c>
      <c r="AS124" s="247">
        <f>_DATA_Assessment_Model!AP124</f>
        <v/>
      </c>
      <c r="AT124" s="247">
        <f>_DATA_Assessment_Model!AQ124</f>
        <v/>
      </c>
      <c r="AU124" s="247">
        <f>_DATA_Assessment_Model!AR124</f>
        <v/>
      </c>
      <c r="AV124" s="5">
        <f>_DATA_Assessment_Model!AS124</f>
        <v/>
      </c>
      <c r="AW124" s="5">
        <f>_DATA_Assessment_Model!AT124</f>
        <v/>
      </c>
      <c r="AY124">
        <f>_DATA_Assessment_Model!AV124</f>
        <v/>
      </c>
    </row>
    <row r="125" ht="82.8" customHeight="1" s="209">
      <c r="A125" t="inlineStr">
        <is>
          <t>Legal Risk</t>
        </is>
      </c>
      <c r="B125" t="inlineStr">
        <is>
          <t>Legal Risk</t>
        </is>
      </c>
      <c r="C125" t="n">
        <v>6</v>
      </c>
      <c r="D125" s="3" t="inlineStr">
        <is>
          <t>LEGA-002</t>
        </is>
      </c>
      <c r="E125" s="3" t="inlineStr">
        <is>
          <t>Compliance</t>
        </is>
      </c>
      <c r="F125" s="3" t="inlineStr">
        <is>
          <t>How mature is the organization in managing regulatory reporting calendar and emergency reporting triggers for cyber, safety, finance, environment and privacy, including ownership, evidence, metrics, fallback procedures and crisis stress testing?</t>
        </is>
      </c>
      <c r="G125" s="3" t="inlineStr">
        <is>
          <t>This topic affects exposure to Regulatory/legal shock; Contractual exposure; Data breach. It helps identify how disruption may impact operations, people, revenue, systems, legal exposure or recovery time.</t>
        </is>
      </c>
      <c r="H125" s="3" t="inlineStr">
        <is>
          <t>ISO 37301; ISO 31000; ISO 37001; ISO/IEC 27701; GDPR; contract management best practices</t>
        </is>
      </c>
      <c r="I125" s="3" t="inlineStr">
        <is>
          <t>Policy/SOP; owner/RACI; system report; dashboard; contracts; test records; incident history; interview evidence related to regulatory reporting calendar and emergency reporting triggers for cyber, safety, finance, environment and privacy.</t>
        </is>
      </c>
      <c r="J125" s="3" t="n">
        <v>5</v>
      </c>
      <c r="K125" s="85">
        <f>_DATA_Assessment_Model!H125</f>
        <v/>
      </c>
      <c r="L125" s="4">
        <f>_DATA_Assessment_Model!I125</f>
        <v/>
      </c>
      <c r="M125" s="4">
        <f>_DATA_Assessment_Model!J125</f>
        <v/>
      </c>
      <c r="N125" s="4">
        <f>_DATA_Assessment_Model!K125</f>
        <v/>
      </c>
      <c r="O125" s="3">
        <f>_DATA_Assessment_Model!L125</f>
        <v/>
      </c>
      <c r="P125" s="3" t="inlineStr">
        <is>
          <t>Does not exist; no owner, no documentation, no practice.</t>
        </is>
      </c>
      <c r="Q125" s="3" t="inlineStr">
        <is>
          <t>Ad hoc; depends entirely on specific individuals.</t>
        </is>
      </c>
      <c r="R125" s="3" t="inlineStr">
        <is>
          <t>Partially documented or implemented; coverage inconsistent; never tested under stress.</t>
        </is>
      </c>
      <c r="S125" s="3" t="inlineStr">
        <is>
          <t>Documented, owned, executed consistently; basic evidence and metrics exist.</t>
        </is>
      </c>
      <c r="T125" s="3" t="inlineStr">
        <is>
          <t>Measured and periodically tested/audited; integrated with adjacent processes.</t>
        </is>
      </c>
      <c r="U125" s="3" t="inlineStr">
        <is>
          <t>Optimized and automated where practical; stress-tested; benchmarked externally.</t>
        </is>
      </c>
      <c r="V125" s="3" t="inlineStr">
        <is>
          <t>Regulatory/legal shock; Contractual exposure; Data breach</t>
        </is>
      </c>
      <c r="W125" s="3" t="n"/>
      <c r="X125" s="3" t="n"/>
      <c r="Y125" s="3" t="inlineStr">
        <is>
          <t>Use the recommended action generated by the model; validate with domain owner during real assessment.</t>
        </is>
      </c>
      <c r="Z125" s="7" t="n">
        <v>5</v>
      </c>
      <c r="AA125" s="7" t="n">
        <v>5</v>
      </c>
      <c r="AB125" s="7" t="n">
        <v>5</v>
      </c>
      <c r="AD125" t="inlineStr">
        <is>
          <t>Contracts</t>
        </is>
      </c>
      <c r="AE125" s="6">
        <f>_DATA_Assessment_Model!AB125</f>
        <v/>
      </c>
      <c r="AF125" s="8">
        <f>_DATA_Assessment_Model!AC125</f>
        <v/>
      </c>
      <c r="AG125" s="9">
        <f>_DATA_Assessment_Model!AD125</f>
        <v/>
      </c>
      <c r="AH125" s="6">
        <f>_DATA_Assessment_Model!AE125</f>
        <v/>
      </c>
      <c r="AI125" s="8">
        <f>_DATA_Assessment_Model!AF125</f>
        <v/>
      </c>
      <c r="AJ125" s="6">
        <f>_DATA_Assessment_Model!AG125</f>
        <v/>
      </c>
      <c r="AK125" s="46" t="n"/>
      <c r="AL125" s="46" t="n"/>
      <c r="AM125" s="247">
        <f>_DATA_Assessment_Model!AJ125</f>
        <v/>
      </c>
      <c r="AN125" s="247">
        <f>_DATA_Assessment_Model!AK125</f>
        <v/>
      </c>
      <c r="AO125" s="247">
        <f>_DATA_Assessment_Model!AL125</f>
        <v/>
      </c>
      <c r="AP125" s="247">
        <f>_DATA_Assessment_Model!AM125</f>
        <v/>
      </c>
      <c r="AQ125" s="247">
        <f>_DATA_Assessment_Model!AN125</f>
        <v/>
      </c>
      <c r="AR125" s="247">
        <f>_DATA_Assessment_Model!AO125</f>
        <v/>
      </c>
      <c r="AS125" s="247">
        <f>_DATA_Assessment_Model!AP125</f>
        <v/>
      </c>
      <c r="AT125" s="247">
        <f>_DATA_Assessment_Model!AQ125</f>
        <v/>
      </c>
      <c r="AU125" s="247">
        <f>_DATA_Assessment_Model!AR125</f>
        <v/>
      </c>
      <c r="AV125" s="5">
        <f>_DATA_Assessment_Model!AS125</f>
        <v/>
      </c>
      <c r="AW125" s="5">
        <f>_DATA_Assessment_Model!AT125</f>
        <v/>
      </c>
      <c r="AY125">
        <f>_DATA_Assessment_Model!AV125</f>
        <v/>
      </c>
    </row>
    <row r="126" ht="82.8" customHeight="1" s="209">
      <c r="A126" t="inlineStr">
        <is>
          <t>Legal Risk</t>
        </is>
      </c>
      <c r="B126" t="inlineStr">
        <is>
          <t>Legal Risk</t>
        </is>
      </c>
      <c r="C126" t="n">
        <v>7</v>
      </c>
      <c r="D126" s="3" t="inlineStr">
        <is>
          <t>LEGA-003</t>
        </is>
      </c>
      <c r="E126" s="3" t="inlineStr">
        <is>
          <t>Compliance</t>
        </is>
      </c>
      <c r="F126" s="3" t="inlineStr">
        <is>
          <t>How mature is the organization in managing sanctions and restricted-party screening for customers, suppliers, owners and payments, including ownership, evidence, metrics, fallback procedures and crisis stress testing?</t>
        </is>
      </c>
      <c r="G126" s="3" t="inlineStr">
        <is>
          <t>This topic affects exposure to Regulatory/legal shock; Contractual exposure; Data breach. It helps identify how disruption may impact operations, people, revenue, systems, legal exposure or recovery time.</t>
        </is>
      </c>
      <c r="H126" s="3" t="inlineStr">
        <is>
          <t>ISO 37301; ISO 31000; ISO 37001; ISO/IEC 27701; GDPR; contract management best practices</t>
        </is>
      </c>
      <c r="I126" s="3" t="inlineStr">
        <is>
          <t>Policy/SOP; owner/RACI; system report; dashboard; contracts; test records; incident history; interview evidence related to sanctions and restricted-party screening for customers, suppliers, owners and payments.</t>
        </is>
      </c>
      <c r="J126" s="3" t="n">
        <v>5</v>
      </c>
      <c r="K126" s="85">
        <f>_DATA_Assessment_Model!H126</f>
        <v/>
      </c>
      <c r="L126" s="4">
        <f>_DATA_Assessment_Model!I126</f>
        <v/>
      </c>
      <c r="M126" s="4">
        <f>_DATA_Assessment_Model!J126</f>
        <v/>
      </c>
      <c r="N126" s="4">
        <f>_DATA_Assessment_Model!K126</f>
        <v/>
      </c>
      <c r="O126" s="3">
        <f>_DATA_Assessment_Model!L126</f>
        <v/>
      </c>
      <c r="P126" s="3" t="inlineStr">
        <is>
          <t>Does not exist; no owner, no documentation, no practice.</t>
        </is>
      </c>
      <c r="Q126" s="3" t="inlineStr">
        <is>
          <t>Ad hoc; depends entirely on specific individuals.</t>
        </is>
      </c>
      <c r="R126" s="3" t="inlineStr">
        <is>
          <t>Partially documented or implemented; coverage inconsistent; never tested under stress.</t>
        </is>
      </c>
      <c r="S126" s="3" t="inlineStr">
        <is>
          <t>Documented, owned, executed consistently; basic evidence and metrics exist.</t>
        </is>
      </c>
      <c r="T126" s="3" t="inlineStr">
        <is>
          <t>Measured and periodically tested/audited; integrated with adjacent processes.</t>
        </is>
      </c>
      <c r="U126" s="3" t="inlineStr">
        <is>
          <t>Optimized and automated where practical; stress-tested; benchmarked externally.</t>
        </is>
      </c>
      <c r="V126" s="3" t="inlineStr">
        <is>
          <t>Regulatory/legal shock; Contractual exposure; Data breach</t>
        </is>
      </c>
      <c r="W126" s="3" t="n"/>
      <c r="X126" s="3" t="n"/>
      <c r="Y126" s="3" t="inlineStr">
        <is>
          <t>Use the recommended action generated by the model; validate with domain owner during real assessment.</t>
        </is>
      </c>
      <c r="Z126" s="7" t="n">
        <v>5</v>
      </c>
      <c r="AA126" s="7" t="n">
        <v>5</v>
      </c>
      <c r="AB126" s="7" t="n">
        <v>5</v>
      </c>
      <c r="AD126" t="inlineStr">
        <is>
          <t>Data and IP</t>
        </is>
      </c>
      <c r="AE126" s="6">
        <f>_DATA_Assessment_Model!AB126</f>
        <v/>
      </c>
      <c r="AF126" s="8">
        <f>_DATA_Assessment_Model!AC126</f>
        <v/>
      </c>
      <c r="AG126" s="9">
        <f>_DATA_Assessment_Model!AD126</f>
        <v/>
      </c>
      <c r="AH126" s="6">
        <f>_DATA_Assessment_Model!AE126</f>
        <v/>
      </c>
      <c r="AI126" s="8">
        <f>_DATA_Assessment_Model!AF126</f>
        <v/>
      </c>
      <c r="AJ126" s="6">
        <f>_DATA_Assessment_Model!AG126</f>
        <v/>
      </c>
      <c r="AK126" s="46" t="n"/>
      <c r="AL126" s="46" t="n"/>
      <c r="AM126" s="247">
        <f>_DATA_Assessment_Model!AJ126</f>
        <v/>
      </c>
      <c r="AN126" s="247">
        <f>_DATA_Assessment_Model!AK126</f>
        <v/>
      </c>
      <c r="AO126" s="247">
        <f>_DATA_Assessment_Model!AL126</f>
        <v/>
      </c>
      <c r="AP126" s="247">
        <f>_DATA_Assessment_Model!AM126</f>
        <v/>
      </c>
      <c r="AQ126" s="247">
        <f>_DATA_Assessment_Model!AN126</f>
        <v/>
      </c>
      <c r="AR126" s="247">
        <f>_DATA_Assessment_Model!AO126</f>
        <v/>
      </c>
      <c r="AS126" s="247">
        <f>_DATA_Assessment_Model!AP126</f>
        <v/>
      </c>
      <c r="AT126" s="247">
        <f>_DATA_Assessment_Model!AQ126</f>
        <v/>
      </c>
      <c r="AU126" s="247">
        <f>_DATA_Assessment_Model!AR126</f>
        <v/>
      </c>
      <c r="AV126" s="5">
        <f>_DATA_Assessment_Model!AS126</f>
        <v/>
      </c>
      <c r="AW126" s="5">
        <f>_DATA_Assessment_Model!AT126</f>
        <v/>
      </c>
      <c r="AY126">
        <f>_DATA_Assessment_Model!AV126</f>
        <v/>
      </c>
    </row>
    <row r="127" ht="96.59999999999999" customHeight="1" s="209">
      <c r="A127" t="inlineStr">
        <is>
          <t>Legal Risk</t>
        </is>
      </c>
      <c r="B127" t="inlineStr">
        <is>
          <t>Legal Risk</t>
        </is>
      </c>
      <c r="C127" t="n">
        <v>8</v>
      </c>
      <c r="D127" s="3" t="inlineStr">
        <is>
          <t>LEGA-004</t>
        </is>
      </c>
      <c r="E127" s="3" t="inlineStr">
        <is>
          <t>Compliance</t>
        </is>
      </c>
      <c r="F127" s="3" t="inlineStr">
        <is>
          <t>How mature is the organization in managing anti-bribery and corruption controls during emergency procurement and high-pressure sales, including ownership, evidence, metrics, fallback procedures and crisis stress testing?</t>
        </is>
      </c>
      <c r="G127" s="3" t="inlineStr">
        <is>
          <t>This topic affects exposure to Regulatory/legal shock; Contractual exposure; Data breach. It helps identify how disruption may impact operations, people, revenue, systems, legal exposure or recovery time.</t>
        </is>
      </c>
      <c r="H127" s="3" t="inlineStr">
        <is>
          <t>ISO 37301; ISO 31000; ISO 37001; ISO/IEC 27701; GDPR; contract management best practices</t>
        </is>
      </c>
      <c r="I127" s="3" t="inlineStr">
        <is>
          <t>Policy/SOP; owner/RACI; system report; dashboard; contracts; test records; incident history; interview evidence related to anti-bribery and corruption controls during emergency procurement and high-pressure sales.</t>
        </is>
      </c>
      <c r="J127" s="3" t="n">
        <v>3</v>
      </c>
      <c r="K127" s="85">
        <f>_DATA_Assessment_Model!H127</f>
        <v/>
      </c>
      <c r="L127" s="4">
        <f>_DATA_Assessment_Model!I127</f>
        <v/>
      </c>
      <c r="M127" s="4">
        <f>_DATA_Assessment_Model!J127</f>
        <v/>
      </c>
      <c r="N127" s="4">
        <f>_DATA_Assessment_Model!K127</f>
        <v/>
      </c>
      <c r="O127" s="3">
        <f>_DATA_Assessment_Model!L127</f>
        <v/>
      </c>
      <c r="P127" s="3" t="inlineStr">
        <is>
          <t>No reliable evidence that anti-bribery and corruption controls during emergency procurement and high-pressure sales is defined, owned or managed.</t>
        </is>
      </c>
      <c r="Q127" s="3" t="inlineStr">
        <is>
          <t>Anti-bribery and corruption controls during emergency procurement and high-pressure sales is handled informally and depends on individual knowledge or heroic effort.</t>
        </is>
      </c>
      <c r="R127" s="3" t="inlineStr">
        <is>
          <t>Anti-bribery and corruption controls during emergency procurement and high-pressure sales is partially documented or implemented, but coverage is inconsistent and not crisis-tested.</t>
        </is>
      </c>
      <c r="S127" s="3" t="inlineStr">
        <is>
          <t>Anti-bribery and corruption controls during emergency procurement and high-pressure sales is documented, owned, used in normal operations and supported by basic evidence or metrics.</t>
        </is>
      </c>
      <c r="T127" s="3" t="inlineStr">
        <is>
          <t>Anti-bribery and corruption controls during emergency procurement and high-pressure sales is measured, periodically reviewed, integrated with related processes and tested against relevant disruption scenarios.</t>
        </is>
      </c>
      <c r="U127" s="3" t="inlineStr">
        <is>
          <t>Anti-bribery and corruption controls during emergency procurement and high-pressure sales is optimized, continuously improved, automated where practical and demonstrably supports crisis resilience.</t>
        </is>
      </c>
      <c r="V127" s="3" t="inlineStr">
        <is>
          <t>Regulatory/legal shock; Contractual exposure; Data breach</t>
        </is>
      </c>
      <c r="W127" s="3" t="n"/>
      <c r="X127" s="3" t="n"/>
      <c r="Y127" s="3" t="inlineStr">
        <is>
          <t>Use the recommended action generated by the model; validate with domain owner during real assessment.</t>
        </is>
      </c>
      <c r="Z127" s="7" t="n">
        <v>5</v>
      </c>
      <c r="AA127" s="7" t="n">
        <v>5</v>
      </c>
      <c r="AB127" s="7" t="n">
        <v>5</v>
      </c>
      <c r="AD127" t="inlineStr">
        <is>
          <t>Employment law</t>
        </is>
      </c>
      <c r="AE127" s="6">
        <f>_DATA_Assessment_Model!AB127</f>
        <v/>
      </c>
      <c r="AF127" s="8">
        <f>_DATA_Assessment_Model!AC127</f>
        <v/>
      </c>
      <c r="AG127" s="9">
        <f>_DATA_Assessment_Model!AD127</f>
        <v/>
      </c>
      <c r="AH127" s="6">
        <f>_DATA_Assessment_Model!AE127</f>
        <v/>
      </c>
      <c r="AI127" s="8">
        <f>_DATA_Assessment_Model!AF127</f>
        <v/>
      </c>
      <c r="AJ127" s="6">
        <f>_DATA_Assessment_Model!AG127</f>
        <v/>
      </c>
      <c r="AK127" s="46" t="n"/>
      <c r="AL127" s="46" t="n"/>
      <c r="AM127" s="247">
        <f>_DATA_Assessment_Model!AJ127</f>
        <v/>
      </c>
      <c r="AN127" s="247">
        <f>_DATA_Assessment_Model!AK127</f>
        <v/>
      </c>
      <c r="AO127" s="247">
        <f>_DATA_Assessment_Model!AL127</f>
        <v/>
      </c>
      <c r="AP127" s="247">
        <f>_DATA_Assessment_Model!AM127</f>
        <v/>
      </c>
      <c r="AQ127" s="247">
        <f>_DATA_Assessment_Model!AN127</f>
        <v/>
      </c>
      <c r="AR127" s="247">
        <f>_DATA_Assessment_Model!AO127</f>
        <v/>
      </c>
      <c r="AS127" s="247">
        <f>_DATA_Assessment_Model!AP127</f>
        <v/>
      </c>
      <c r="AT127" s="247">
        <f>_DATA_Assessment_Model!AQ127</f>
        <v/>
      </c>
      <c r="AU127" s="247">
        <f>_DATA_Assessment_Model!AR127</f>
        <v/>
      </c>
      <c r="AV127" s="5">
        <f>_DATA_Assessment_Model!AS127</f>
        <v/>
      </c>
      <c r="AW127" s="5">
        <f>_DATA_Assessment_Model!AT127</f>
        <v/>
      </c>
      <c r="AY127">
        <f>_DATA_Assessment_Model!AV127</f>
        <v/>
      </c>
    </row>
    <row r="128" ht="96.59999999999999" customHeight="1" s="209">
      <c r="A128" t="inlineStr">
        <is>
          <t>Legal Risk</t>
        </is>
      </c>
      <c r="B128" t="inlineStr">
        <is>
          <t>Legal Risk</t>
        </is>
      </c>
      <c r="C128" t="n">
        <v>9</v>
      </c>
      <c r="D128" s="3" t="inlineStr">
        <is>
          <t>LEGA-005</t>
        </is>
      </c>
      <c r="E128" s="3" t="inlineStr">
        <is>
          <t>Compliance</t>
        </is>
      </c>
      <c r="F128" s="3" t="inlineStr">
        <is>
          <t>How mature is the organization in managing whistleblowing and misconduct reporting mechanism with investigation process, including ownership, evidence, metrics, fallback procedures and crisis stress testing?</t>
        </is>
      </c>
      <c r="G128" s="3" t="inlineStr">
        <is>
          <t>This topic affects exposure to Regulatory/legal shock; Contractual exposure; Data breach. It helps identify how disruption may impact operations, people, revenue, systems, legal exposure or recovery time.</t>
        </is>
      </c>
      <c r="H128" s="3" t="inlineStr">
        <is>
          <t>ISO 37301; ISO 31000; ISO 37001; ISO/IEC 27701; GDPR; contract management best practices</t>
        </is>
      </c>
      <c r="I128" s="3" t="inlineStr">
        <is>
          <t>Policy/SOP; owner/RACI; system report; dashboard; contracts; test records; incident history; interview evidence related to whistleblowing and misconduct reporting mechanism with investigation process.</t>
        </is>
      </c>
      <c r="J128" s="3" t="n">
        <v>3</v>
      </c>
      <c r="K128" s="85">
        <f>_DATA_Assessment_Model!H128</f>
        <v/>
      </c>
      <c r="L128" s="4">
        <f>_DATA_Assessment_Model!I128</f>
        <v/>
      </c>
      <c r="M128" s="4">
        <f>_DATA_Assessment_Model!J128</f>
        <v/>
      </c>
      <c r="N128" s="4">
        <f>_DATA_Assessment_Model!K128</f>
        <v/>
      </c>
      <c r="O128" s="3">
        <f>_DATA_Assessment_Model!L128</f>
        <v/>
      </c>
      <c r="P128" s="3" t="inlineStr">
        <is>
          <t>No reliable evidence that whistleblowing and misconduct reporting mechanism with investigation process is defined, owned or managed.</t>
        </is>
      </c>
      <c r="Q128" s="3" t="inlineStr">
        <is>
          <t>Whistleblowing and misconduct reporting mechanism with investigation process is handled informally and depends on individual knowledge or heroic effort.</t>
        </is>
      </c>
      <c r="R128" s="3" t="inlineStr">
        <is>
          <t>Whistleblowing and misconduct reporting mechanism with investigation process is partially documented or implemented, but coverage is inconsistent and not crisis-tested.</t>
        </is>
      </c>
      <c r="S128" s="3" t="inlineStr">
        <is>
          <t>Whistleblowing and misconduct reporting mechanism with investigation process is documented, owned, used in normal operations and supported by basic evidence or metrics.</t>
        </is>
      </c>
      <c r="T128" s="3" t="inlineStr">
        <is>
          <t>Whistleblowing and misconduct reporting mechanism with investigation process is measured, periodically reviewed, integrated with related processes and tested against relevant disruption scenarios.</t>
        </is>
      </c>
      <c r="U128" s="3" t="inlineStr">
        <is>
          <t>Whistleblowing and misconduct reporting mechanism with investigation process is optimized, continuously improved, automated where practical and demonstrably supports crisis resilience.</t>
        </is>
      </c>
      <c r="V128" s="3" t="inlineStr">
        <is>
          <t>Regulatory/legal shock; Contractual exposure; Data breach</t>
        </is>
      </c>
      <c r="W128" s="3" t="n"/>
      <c r="X128" s="3" t="n"/>
      <c r="Y128" s="3" t="inlineStr">
        <is>
          <t>Use the recommended action generated by the model; validate with domain owner during real assessment.</t>
        </is>
      </c>
      <c r="Z128" s="7" t="n">
        <v>5</v>
      </c>
      <c r="AA128" s="7" t="n">
        <v>5</v>
      </c>
      <c r="AB128" s="7" t="n">
        <v>5</v>
      </c>
      <c r="AK128" s="46" t="n"/>
      <c r="AL128" s="46" t="n"/>
      <c r="AM128" s="247">
        <f>_DATA_Assessment_Model!AJ128</f>
        <v/>
      </c>
      <c r="AN128" s="247">
        <f>_DATA_Assessment_Model!AK128</f>
        <v/>
      </c>
      <c r="AO128" s="247">
        <f>_DATA_Assessment_Model!AL128</f>
        <v/>
      </c>
      <c r="AP128" s="247">
        <f>_DATA_Assessment_Model!AM128</f>
        <v/>
      </c>
      <c r="AQ128" s="247">
        <f>_DATA_Assessment_Model!AN128</f>
        <v/>
      </c>
      <c r="AR128" s="247">
        <f>_DATA_Assessment_Model!AO128</f>
        <v/>
      </c>
      <c r="AS128" s="247">
        <f>_DATA_Assessment_Model!AP128</f>
        <v/>
      </c>
      <c r="AT128" s="247">
        <f>_DATA_Assessment_Model!AQ128</f>
        <v/>
      </c>
      <c r="AU128" s="247">
        <f>_DATA_Assessment_Model!AR128</f>
        <v/>
      </c>
      <c r="AV128" s="5">
        <f>_DATA_Assessment_Model!AS128</f>
        <v/>
      </c>
      <c r="AW128" s="5">
        <f>_DATA_Assessment_Model!AT128</f>
        <v/>
      </c>
      <c r="AY128">
        <f>_DATA_Assessment_Model!AV128</f>
        <v/>
      </c>
    </row>
    <row r="129" ht="69" customHeight="1" s="209">
      <c r="A129" t="inlineStr">
        <is>
          <t>Legal Risk</t>
        </is>
      </c>
      <c r="B129" t="inlineStr">
        <is>
          <t>Legal Risk</t>
        </is>
      </c>
      <c r="C129" t="n">
        <v>10</v>
      </c>
      <c r="D129" s="3" t="inlineStr">
        <is>
          <t>LEGA-006</t>
        </is>
      </c>
      <c r="E129" s="3" t="inlineStr">
        <is>
          <t>Compliance</t>
        </is>
      </c>
      <c r="F129" s="3" t="inlineStr">
        <is>
          <t>How mature is the organization in managing legal support continuity if internal or external counsel is unavailable, including ownership, evidence, metrics, fallback procedures and crisis stress testing?</t>
        </is>
      </c>
      <c r="G129" s="3" t="inlineStr">
        <is>
          <t>This topic affects exposure to Regulatory/legal shock; Contractual exposure; Data breach. It helps identify how disruption may impact operations, people, revenue, systems, legal exposure or recovery time.</t>
        </is>
      </c>
      <c r="H129" s="3" t="inlineStr">
        <is>
          <t>ISO 37301; ISO 31000; ISO 37001; ISO/IEC 27701; GDPR; contract management best practices</t>
        </is>
      </c>
      <c r="I129" s="3" t="inlineStr">
        <is>
          <t>Policy/SOP; owner/RACI; system report; dashboard; contracts; test records; incident history; interview evidence related to legal support continuity if internal or external counsel is unavailable.</t>
        </is>
      </c>
      <c r="J129" s="3" t="n">
        <v>5</v>
      </c>
      <c r="K129" s="85">
        <f>_DATA_Assessment_Model!H129</f>
        <v/>
      </c>
      <c r="L129" s="4">
        <f>_DATA_Assessment_Model!I129</f>
        <v/>
      </c>
      <c r="M129" s="4">
        <f>_DATA_Assessment_Model!J129</f>
        <v/>
      </c>
      <c r="N129" s="4">
        <f>_DATA_Assessment_Model!K129</f>
        <v/>
      </c>
      <c r="O129" s="3">
        <f>_DATA_Assessment_Model!L129</f>
        <v/>
      </c>
      <c r="P129" s="3" t="inlineStr">
        <is>
          <t>Does not exist; no owner, no documentation, no practice.</t>
        </is>
      </c>
      <c r="Q129" s="3" t="inlineStr">
        <is>
          <t>Ad hoc; depends entirely on specific individuals.</t>
        </is>
      </c>
      <c r="R129" s="3" t="inlineStr">
        <is>
          <t>Partially documented or implemented; coverage inconsistent; never tested under stress.</t>
        </is>
      </c>
      <c r="S129" s="3" t="inlineStr">
        <is>
          <t>Documented, owned, executed consistently; basic evidence and metrics exist.</t>
        </is>
      </c>
      <c r="T129" s="3" t="inlineStr">
        <is>
          <t>Measured and periodically tested/audited; integrated with adjacent processes.</t>
        </is>
      </c>
      <c r="U129" s="3" t="inlineStr">
        <is>
          <t>Optimized and automated where practical; stress-tested; benchmarked externally.</t>
        </is>
      </c>
      <c r="V129" s="3" t="inlineStr">
        <is>
          <t>Regulatory/legal shock; Contractual exposure; Data breach</t>
        </is>
      </c>
      <c r="W129" s="3" t="n"/>
      <c r="X129" s="3" t="n"/>
      <c r="Y129" s="3" t="inlineStr">
        <is>
          <t>Use the recommended action generated by the model; validate with domain owner during real assessment.</t>
        </is>
      </c>
      <c r="Z129" s="7" t="n">
        <v>5</v>
      </c>
      <c r="AA129" s="7" t="n">
        <v>5</v>
      </c>
      <c r="AB129" s="7" t="n">
        <v>5</v>
      </c>
      <c r="AK129" s="46" t="n"/>
      <c r="AL129" s="46" t="n"/>
      <c r="AM129" s="247">
        <f>_DATA_Assessment_Model!AJ129</f>
        <v/>
      </c>
      <c r="AN129" s="247">
        <f>_DATA_Assessment_Model!AK129</f>
        <v/>
      </c>
      <c r="AO129" s="247">
        <f>_DATA_Assessment_Model!AL129</f>
        <v/>
      </c>
      <c r="AP129" s="247">
        <f>_DATA_Assessment_Model!AM129</f>
        <v/>
      </c>
      <c r="AQ129" s="247">
        <f>_DATA_Assessment_Model!AN129</f>
        <v/>
      </c>
      <c r="AR129" s="247">
        <f>_DATA_Assessment_Model!AO129</f>
        <v/>
      </c>
      <c r="AS129" s="247">
        <f>_DATA_Assessment_Model!AP129</f>
        <v/>
      </c>
      <c r="AT129" s="247">
        <f>_DATA_Assessment_Model!AQ129</f>
        <v/>
      </c>
      <c r="AU129" s="247">
        <f>_DATA_Assessment_Model!AR129</f>
        <v/>
      </c>
      <c r="AV129" s="5">
        <f>_DATA_Assessment_Model!AS129</f>
        <v/>
      </c>
      <c r="AW129" s="5">
        <f>_DATA_Assessment_Model!AT129</f>
        <v/>
      </c>
      <c r="AY129">
        <f>_DATA_Assessment_Model!AV129</f>
        <v/>
      </c>
    </row>
    <row r="130" ht="82.8" customHeight="1" s="209">
      <c r="A130" t="inlineStr">
        <is>
          <t>Legal Risk</t>
        </is>
      </c>
      <c r="B130" t="inlineStr">
        <is>
          <t>Legal Risk</t>
        </is>
      </c>
      <c r="C130" t="n">
        <v>11</v>
      </c>
      <c r="D130" s="3" t="inlineStr">
        <is>
          <t>LEGA-007</t>
        </is>
      </c>
      <c r="E130" s="3" t="inlineStr">
        <is>
          <t>Contracts</t>
        </is>
      </c>
      <c r="F130" s="3" t="inlineStr">
        <is>
          <t>How mature is the organization in managing complete contract register for customers, suppliers, leases, loans, employment, insurance and IP, including ownership, evidence, metrics, fallback procedures and crisis stress testing?</t>
        </is>
      </c>
      <c r="G130" s="3" t="inlineStr">
        <is>
          <t>This topic affects exposure to Regulatory/legal shock; Contractual exposure; Data breach. It helps identify how disruption may impact operations, people, revenue, systems, legal exposure or recovery time.</t>
        </is>
      </c>
      <c r="H130" s="3" t="inlineStr">
        <is>
          <t>ISO 37301; ISO 31000; ISO 37001; ISO/IEC 27701; GDPR; contract management best practices</t>
        </is>
      </c>
      <c r="I130" s="3" t="inlineStr">
        <is>
          <t>Policy/SOP; owner/RACI; system report; dashboard; contracts; test records; incident history; interview evidence related to complete contract register for customers, suppliers, leases, loans, employment, insurance and IP.</t>
        </is>
      </c>
      <c r="J130" s="3" t="n">
        <v>5</v>
      </c>
      <c r="K130" s="85">
        <f>_DATA_Assessment_Model!H130</f>
        <v/>
      </c>
      <c r="L130" s="4">
        <f>_DATA_Assessment_Model!I130</f>
        <v/>
      </c>
      <c r="M130" s="4">
        <f>_DATA_Assessment_Model!J130</f>
        <v/>
      </c>
      <c r="N130" s="4">
        <f>_DATA_Assessment_Model!K130</f>
        <v/>
      </c>
      <c r="O130" s="3">
        <f>_DATA_Assessment_Model!L130</f>
        <v/>
      </c>
      <c r="P130" s="3" t="inlineStr">
        <is>
          <t>No inventory/register exists.</t>
        </is>
      </c>
      <c r="Q130" s="3" t="inlineStr">
        <is>
          <t>Partial lists live in individuals' heads or personal files.</t>
        </is>
      </c>
      <c r="R130" s="3" t="inlineStr">
        <is>
          <t>A register exists but is incomplete or outdated (&gt;1 year) and has no owner.</t>
        </is>
      </c>
      <c r="S130" s="3" t="inlineStr">
        <is>
          <t>Owned, documented, updated on a defined schedule, covers the main scope.</t>
        </is>
      </c>
      <c r="T130" s="3" t="inlineStr">
        <is>
          <t>Complete and periodically reviewed; integrated with related processes; completeness measured.</t>
        </is>
      </c>
      <c r="U130" s="3" t="inlineStr">
        <is>
          <t>Maintained automatically or synced with systems; drives decisions; audited.</t>
        </is>
      </c>
      <c r="V130" s="3" t="inlineStr">
        <is>
          <t>Regulatory/legal shock; Contractual exposure; Data breach</t>
        </is>
      </c>
      <c r="W130" s="3" t="n"/>
      <c r="X130" s="3" t="n"/>
      <c r="Y130" s="3" t="inlineStr">
        <is>
          <t>Use the recommended action generated by the model; validate with domain owner during real assessment.</t>
        </is>
      </c>
      <c r="Z130" s="7" t="n">
        <v>5</v>
      </c>
      <c r="AA130" s="7" t="n">
        <v>5</v>
      </c>
      <c r="AB130" s="7" t="n">
        <v>5</v>
      </c>
      <c r="AK130" s="46" t="n"/>
      <c r="AL130" s="46" t="n"/>
      <c r="AM130" s="247">
        <f>_DATA_Assessment_Model!AJ130</f>
        <v/>
      </c>
      <c r="AN130" s="247">
        <f>_DATA_Assessment_Model!AK130</f>
        <v/>
      </c>
      <c r="AO130" s="247">
        <f>_DATA_Assessment_Model!AL130</f>
        <v/>
      </c>
      <c r="AP130" s="247">
        <f>_DATA_Assessment_Model!AM130</f>
        <v/>
      </c>
      <c r="AQ130" s="247">
        <f>_DATA_Assessment_Model!AN130</f>
        <v/>
      </c>
      <c r="AR130" s="247">
        <f>_DATA_Assessment_Model!AO130</f>
        <v/>
      </c>
      <c r="AS130" s="247">
        <f>_DATA_Assessment_Model!AP130</f>
        <v/>
      </c>
      <c r="AT130" s="247">
        <f>_DATA_Assessment_Model!AQ130</f>
        <v/>
      </c>
      <c r="AU130" s="247">
        <f>_DATA_Assessment_Model!AR130</f>
        <v/>
      </c>
      <c r="AV130" s="5">
        <f>_DATA_Assessment_Model!AS130</f>
        <v/>
      </c>
      <c r="AW130" s="5">
        <f>_DATA_Assessment_Model!AT130</f>
        <v/>
      </c>
      <c r="AY130">
        <f>_DATA_Assessment_Model!AV130</f>
        <v/>
      </c>
    </row>
    <row r="131" ht="82.8" customHeight="1" s="209">
      <c r="A131" t="inlineStr">
        <is>
          <t>Legal Risk</t>
        </is>
      </c>
      <c r="B131" t="inlineStr">
        <is>
          <t>Legal Risk</t>
        </is>
      </c>
      <c r="C131" t="n">
        <v>12</v>
      </c>
      <c r="D131" s="3" t="inlineStr">
        <is>
          <t>LEGA-008</t>
        </is>
      </c>
      <c r="E131" s="3" t="inlineStr">
        <is>
          <t>Contracts</t>
        </is>
      </c>
      <c r="F131" s="3" t="inlineStr">
        <is>
          <t>How mature is the organization in managing analysis of force majeure, hardship, termination, liability and continuity clauses in critical contracts, including ownership, evidence, metrics, fallback procedures and crisis stress testing?</t>
        </is>
      </c>
      <c r="G131" s="3" t="inlineStr">
        <is>
          <t>This topic affects exposure to Regulatory/legal shock; Contractual exposure; Data breach. It helps identify how disruption may impact operations, people, revenue, systems, legal exposure or recovery time.</t>
        </is>
      </c>
      <c r="H131" s="3" t="inlineStr">
        <is>
          <t>ISO 37301; ISO 31000; ISO 37001; ISO/IEC 27701; GDPR; contract management best practices</t>
        </is>
      </c>
      <c r="I131" s="3" t="inlineStr">
        <is>
          <t>Policy/SOP; owner/RACI; system report; dashboard; contracts; test records; incident history; interview evidence related to analysis of force majeure, hardship, termination, liability and continuity clauses in critical contracts.</t>
        </is>
      </c>
      <c r="J131" s="3" t="n">
        <v>5</v>
      </c>
      <c r="K131" s="85">
        <f>_DATA_Assessment_Model!H131</f>
        <v/>
      </c>
      <c r="L131" s="4">
        <f>_DATA_Assessment_Model!I131</f>
        <v/>
      </c>
      <c r="M131" s="4">
        <f>_DATA_Assessment_Model!J131</f>
        <v/>
      </c>
      <c r="N131" s="4">
        <f>_DATA_Assessment_Model!K131</f>
        <v/>
      </c>
      <c r="O131" s="3">
        <f>_DATA_Assessment_Model!L131</f>
        <v/>
      </c>
      <c r="P131" s="3" t="inlineStr">
        <is>
          <t>Does not exist; no owner, no documentation, no practice.</t>
        </is>
      </c>
      <c r="Q131" s="3" t="inlineStr">
        <is>
          <t>Ad hoc; depends entirely on specific individuals.</t>
        </is>
      </c>
      <c r="R131" s="3" t="inlineStr">
        <is>
          <t>Partially documented or implemented; coverage inconsistent; never tested under stress.</t>
        </is>
      </c>
      <c r="S131" s="3" t="inlineStr">
        <is>
          <t>Documented, owned, executed consistently; basic evidence and metrics exist.</t>
        </is>
      </c>
      <c r="T131" s="3" t="inlineStr">
        <is>
          <t>Measured and periodically tested/audited; integrated with adjacent processes.</t>
        </is>
      </c>
      <c r="U131" s="3" t="inlineStr">
        <is>
          <t>Optimized and automated where practical; stress-tested; benchmarked externally.</t>
        </is>
      </c>
      <c r="V131" s="3" t="inlineStr">
        <is>
          <t>Regulatory/legal shock; Contractual exposure; Data breach</t>
        </is>
      </c>
      <c r="W131" s="3" t="n"/>
      <c r="X131" s="3" t="n"/>
      <c r="Y131" s="3" t="inlineStr">
        <is>
          <t>Use the recommended action generated by the model; validate with domain owner during real assessment.</t>
        </is>
      </c>
      <c r="Z131" s="7" t="n">
        <v>5</v>
      </c>
      <c r="AA131" s="7" t="n">
        <v>5</v>
      </c>
      <c r="AB131" s="7" t="n">
        <v>5</v>
      </c>
      <c r="AK131" s="46" t="n"/>
      <c r="AL131" s="46" t="n"/>
      <c r="AM131" s="247">
        <f>_DATA_Assessment_Model!AJ131</f>
        <v/>
      </c>
      <c r="AN131" s="247">
        <f>_DATA_Assessment_Model!AK131</f>
        <v/>
      </c>
      <c r="AO131" s="247">
        <f>_DATA_Assessment_Model!AL131</f>
        <v/>
      </c>
      <c r="AP131" s="247">
        <f>_DATA_Assessment_Model!AM131</f>
        <v/>
      </c>
      <c r="AQ131" s="247">
        <f>_DATA_Assessment_Model!AN131</f>
        <v/>
      </c>
      <c r="AR131" s="247">
        <f>_DATA_Assessment_Model!AO131</f>
        <v/>
      </c>
      <c r="AS131" s="247">
        <f>_DATA_Assessment_Model!AP131</f>
        <v/>
      </c>
      <c r="AT131" s="247">
        <f>_DATA_Assessment_Model!AQ131</f>
        <v/>
      </c>
      <c r="AU131" s="247">
        <f>_DATA_Assessment_Model!AR131</f>
        <v/>
      </c>
      <c r="AV131" s="5">
        <f>_DATA_Assessment_Model!AS131</f>
        <v/>
      </c>
      <c r="AW131" s="5">
        <f>_DATA_Assessment_Model!AT131</f>
        <v/>
      </c>
      <c r="AY131">
        <f>_DATA_Assessment_Model!AV131</f>
        <v/>
      </c>
    </row>
    <row r="132" ht="110.4" customHeight="1" s="209">
      <c r="A132" t="inlineStr">
        <is>
          <t>Legal Risk</t>
        </is>
      </c>
      <c r="B132" t="inlineStr">
        <is>
          <t>Legal Risk</t>
        </is>
      </c>
      <c r="C132" t="n">
        <v>13</v>
      </c>
      <c r="D132" s="3" t="inlineStr">
        <is>
          <t>LEGA-009</t>
        </is>
      </c>
      <c r="E132" s="3" t="inlineStr">
        <is>
          <t>Contracts</t>
        </is>
      </c>
      <c r="F132" s="3" t="inlineStr">
        <is>
          <t>How mature is the organization in managing customer SLA obligations, penalties, notification timelines and service credits during disruption, including ownership, evidence, metrics, fallback procedures and crisis stress testing?</t>
        </is>
      </c>
      <c r="G132" s="3" t="inlineStr">
        <is>
          <t>This topic affects exposure to Regulatory/legal shock; Contractual exposure; Data breach. It helps identify how disruption may impact operations, people, revenue, systems, legal exposure or recovery time.</t>
        </is>
      </c>
      <c r="H132" s="3" t="inlineStr">
        <is>
          <t>ISO 37301; ISO 31000; ISO 37001; ISO/IEC 27701; GDPR; contract management best practices</t>
        </is>
      </c>
      <c r="I132" s="3" t="inlineStr">
        <is>
          <t>Policy/SOP; owner/RACI; system report; dashboard; contracts; test records; incident history; interview evidence related to customer SLA obligations, penalties, notification timelines and service credits during disruption.</t>
        </is>
      </c>
      <c r="J132" s="3" t="n">
        <v>4</v>
      </c>
      <c r="K132" s="85">
        <f>_DATA_Assessment_Model!H132</f>
        <v/>
      </c>
      <c r="L132" s="4">
        <f>_DATA_Assessment_Model!I132</f>
        <v/>
      </c>
      <c r="M132" s="4">
        <f>_DATA_Assessment_Model!J132</f>
        <v/>
      </c>
      <c r="N132" s="4">
        <f>_DATA_Assessment_Model!K132</f>
        <v/>
      </c>
      <c r="O132" s="3">
        <f>_DATA_Assessment_Model!L132</f>
        <v/>
      </c>
      <c r="P132" s="3" t="inlineStr">
        <is>
          <t>No reliable evidence that customer sla obligations, penalties, notification timelines and service credits during disruption is defined, owned or managed.</t>
        </is>
      </c>
      <c r="Q132" s="3" t="inlineStr">
        <is>
          <t>Customer SLA obligations, penalties, notification timelines and service credits during disruption is handled informally and depends on individual knowledge or heroic effort.</t>
        </is>
      </c>
      <c r="R132" s="3" t="inlineStr">
        <is>
          <t>Customer SLA obligations, penalties, notification timelines and service credits during disruption is partially documented or implemented, but coverage is inconsistent and not crisis-tested.</t>
        </is>
      </c>
      <c r="S132" s="3" t="inlineStr">
        <is>
          <t>Customer SLA obligations, penalties, notification timelines and service credits during disruption is documented, owned, used in normal operations and supported by basic evidence or metrics.</t>
        </is>
      </c>
      <c r="T132" s="3" t="inlineStr">
        <is>
          <t>Customer SLA obligations, penalties, notification timelines and service credits during disruption is measured, periodically reviewed, integrated with related processes and tested against relevant disruption scenarios.</t>
        </is>
      </c>
      <c r="U132" s="3" t="inlineStr">
        <is>
          <t>Customer SLA obligations, penalties, notification timelines and service credits during disruption is optimized, continuously improved, automated where practical and demonstrably supports crisis resilience.</t>
        </is>
      </c>
      <c r="V132" s="3" t="inlineStr">
        <is>
          <t>Regulatory/legal shock; Contractual exposure; Data breach</t>
        </is>
      </c>
      <c r="W132" s="3" t="n"/>
      <c r="X132" s="3" t="n"/>
      <c r="Y132" s="3" t="inlineStr">
        <is>
          <t>Use the recommended action generated by the model; validate with domain owner during real assessment.</t>
        </is>
      </c>
      <c r="Z132" s="7" t="n">
        <v>5</v>
      </c>
      <c r="AA132" s="7" t="n">
        <v>5</v>
      </c>
      <c r="AB132" s="7" t="n">
        <v>5</v>
      </c>
      <c r="AK132" s="46" t="n"/>
      <c r="AL132" s="46" t="n"/>
      <c r="AM132" s="247">
        <f>_DATA_Assessment_Model!AJ132</f>
        <v/>
      </c>
      <c r="AN132" s="247">
        <f>_DATA_Assessment_Model!AK132</f>
        <v/>
      </c>
      <c r="AO132" s="247">
        <f>_DATA_Assessment_Model!AL132</f>
        <v/>
      </c>
      <c r="AP132" s="247">
        <f>_DATA_Assessment_Model!AM132</f>
        <v/>
      </c>
      <c r="AQ132" s="247">
        <f>_DATA_Assessment_Model!AN132</f>
        <v/>
      </c>
      <c r="AR132" s="247">
        <f>_DATA_Assessment_Model!AO132</f>
        <v/>
      </c>
      <c r="AS132" s="247">
        <f>_DATA_Assessment_Model!AP132</f>
        <v/>
      </c>
      <c r="AT132" s="247">
        <f>_DATA_Assessment_Model!AQ132</f>
        <v/>
      </c>
      <c r="AU132" s="247">
        <f>_DATA_Assessment_Model!AR132</f>
        <v/>
      </c>
      <c r="AV132" s="5">
        <f>_DATA_Assessment_Model!AS132</f>
        <v/>
      </c>
      <c r="AW132" s="5">
        <f>_DATA_Assessment_Model!AT132</f>
        <v/>
      </c>
      <c r="AY132">
        <f>_DATA_Assessment_Model!AV132</f>
        <v/>
      </c>
    </row>
    <row r="133" ht="82.8" customHeight="1" s="209">
      <c r="A133" t="inlineStr">
        <is>
          <t>Legal Risk</t>
        </is>
      </c>
      <c r="B133" t="inlineStr">
        <is>
          <t>Legal Risk</t>
        </is>
      </c>
      <c r="C133" t="n">
        <v>14</v>
      </c>
      <c r="D133" s="3" t="inlineStr">
        <is>
          <t>LEGA-010</t>
        </is>
      </c>
      <c r="E133" s="3" t="inlineStr">
        <is>
          <t>Contracts</t>
        </is>
      </c>
      <c r="F133" s="3" t="inlineStr">
        <is>
          <t>How mature is the organization in managing supplier continuity, security, audit, subcontractor and incident notification clauses, including ownership, evidence, metrics, fallback procedures and crisis stress testing?</t>
        </is>
      </c>
      <c r="G133" s="3" t="inlineStr">
        <is>
          <t>This topic affects exposure to Regulatory/legal shock; Contractual exposure; Data breach. It helps identify how disruption may impact operations, people, revenue, systems, legal exposure or recovery time.</t>
        </is>
      </c>
      <c r="H133" s="3" t="inlineStr">
        <is>
          <t>ISO 37301; ISO 31000; ISO 37001; ISO/IEC 27701; GDPR; contract management best practices</t>
        </is>
      </c>
      <c r="I133" s="3" t="inlineStr">
        <is>
          <t>Policy/SOP; owner/RACI; system report; dashboard; contracts; test records; incident history; interview evidence related to supplier continuity, security, audit, subcontractor and incident notification clauses.</t>
        </is>
      </c>
      <c r="J133" s="3" t="n">
        <v>5</v>
      </c>
      <c r="K133" s="85">
        <f>_DATA_Assessment_Model!H133</f>
        <v/>
      </c>
      <c r="L133" s="4">
        <f>_DATA_Assessment_Model!I133</f>
        <v/>
      </c>
      <c r="M133" s="4">
        <f>_DATA_Assessment_Model!J133</f>
        <v/>
      </c>
      <c r="N133" s="4">
        <f>_DATA_Assessment_Model!K133</f>
        <v/>
      </c>
      <c r="O133" s="3">
        <f>_DATA_Assessment_Model!L133</f>
        <v/>
      </c>
      <c r="P133" s="3" t="inlineStr">
        <is>
          <t>Does not exist; no owner, no documentation, no practice.</t>
        </is>
      </c>
      <c r="Q133" s="3" t="inlineStr">
        <is>
          <t>Ad hoc; depends entirely on specific individuals.</t>
        </is>
      </c>
      <c r="R133" s="3" t="inlineStr">
        <is>
          <t>Partially documented or implemented; coverage inconsistent; never tested under stress.</t>
        </is>
      </c>
      <c r="S133" s="3" t="inlineStr">
        <is>
          <t>Documented, owned, executed consistently; basic evidence and metrics exist.</t>
        </is>
      </c>
      <c r="T133" s="3" t="inlineStr">
        <is>
          <t>Measured and periodically tested/audited; integrated with adjacent processes.</t>
        </is>
      </c>
      <c r="U133" s="3" t="inlineStr">
        <is>
          <t>Optimized and automated where practical; stress-tested; benchmarked externally.</t>
        </is>
      </c>
      <c r="V133" s="3" t="inlineStr">
        <is>
          <t>Regulatory/legal shock; Contractual exposure; Data breach</t>
        </is>
      </c>
      <c r="W133" s="3" t="n"/>
      <c r="X133" s="3" t="n"/>
      <c r="Y133" s="3" t="inlineStr">
        <is>
          <t>Use the recommended action generated by the model; validate with domain owner during real assessment.</t>
        </is>
      </c>
      <c r="Z133" s="7" t="n">
        <v>5</v>
      </c>
      <c r="AA133" s="7" t="n">
        <v>5</v>
      </c>
      <c r="AB133" s="7" t="n">
        <v>5</v>
      </c>
      <c r="AK133" s="46" t="n"/>
      <c r="AL133" s="46" t="n"/>
      <c r="AM133" s="247">
        <f>_DATA_Assessment_Model!AJ133</f>
        <v/>
      </c>
      <c r="AN133" s="247">
        <f>_DATA_Assessment_Model!AK133</f>
        <v/>
      </c>
      <c r="AO133" s="247">
        <f>_DATA_Assessment_Model!AL133</f>
        <v/>
      </c>
      <c r="AP133" s="247">
        <f>_DATA_Assessment_Model!AM133</f>
        <v/>
      </c>
      <c r="AQ133" s="247">
        <f>_DATA_Assessment_Model!AN133</f>
        <v/>
      </c>
      <c r="AR133" s="247">
        <f>_DATA_Assessment_Model!AO133</f>
        <v/>
      </c>
      <c r="AS133" s="247">
        <f>_DATA_Assessment_Model!AP133</f>
        <v/>
      </c>
      <c r="AT133" s="247">
        <f>_DATA_Assessment_Model!AQ133</f>
        <v/>
      </c>
      <c r="AU133" s="247">
        <f>_DATA_Assessment_Model!AR133</f>
        <v/>
      </c>
      <c r="AV133" s="5">
        <f>_DATA_Assessment_Model!AS133</f>
        <v/>
      </c>
      <c r="AW133" s="5">
        <f>_DATA_Assessment_Model!AT133</f>
        <v/>
      </c>
      <c r="AY133">
        <f>_DATA_Assessment_Model!AV133</f>
        <v/>
      </c>
    </row>
    <row r="134" ht="82.8" customHeight="1" s="209">
      <c r="A134" t="inlineStr">
        <is>
          <t>Legal Risk</t>
        </is>
      </c>
      <c r="B134" t="inlineStr">
        <is>
          <t>Legal Risk</t>
        </is>
      </c>
      <c r="C134" t="n">
        <v>15</v>
      </c>
      <c r="D134" s="3" t="inlineStr">
        <is>
          <t>LEGA-011</t>
        </is>
      </c>
      <c r="E134" s="3" t="inlineStr">
        <is>
          <t>Contracts</t>
        </is>
      </c>
      <c r="F134" s="3" t="inlineStr">
        <is>
          <t>How mature is the organization in managing signatory continuity with powers of attorney, board approvals and emergency delegation, including ownership, evidence, metrics, fallback procedures and crisis stress testing?</t>
        </is>
      </c>
      <c r="G134" s="3" t="inlineStr">
        <is>
          <t>This topic affects exposure to Regulatory/legal shock; Contractual exposure; Data breach. It helps identify how disruption may impact operations, people, revenue, systems, legal exposure or recovery time.</t>
        </is>
      </c>
      <c r="H134" s="3" t="inlineStr">
        <is>
          <t>ISO 37301; ISO 31000; ISO 37001; ISO/IEC 27701; GDPR; contract management best practices</t>
        </is>
      </c>
      <c r="I134" s="3" t="inlineStr">
        <is>
          <t>Policy/SOP; owner/RACI; system report; dashboard; contracts; test records; incident history; interview evidence related to signatory continuity with powers of attorney, board approvals and emergency delegation.</t>
        </is>
      </c>
      <c r="J134" s="3" t="n">
        <v>5</v>
      </c>
      <c r="K134" s="85">
        <f>_DATA_Assessment_Model!H134</f>
        <v/>
      </c>
      <c r="L134" s="4">
        <f>_DATA_Assessment_Model!I134</f>
        <v/>
      </c>
      <c r="M134" s="4">
        <f>_DATA_Assessment_Model!J134</f>
        <v/>
      </c>
      <c r="N134" s="4">
        <f>_DATA_Assessment_Model!K134</f>
        <v/>
      </c>
      <c r="O134" s="3">
        <f>_DATA_Assessment_Model!L134</f>
        <v/>
      </c>
      <c r="P134" s="3" t="inlineStr">
        <is>
          <t>Does not exist; no owner, no documentation, no practice.</t>
        </is>
      </c>
      <c r="Q134" s="3" t="inlineStr">
        <is>
          <t>Ad hoc; depends entirely on specific individuals.</t>
        </is>
      </c>
      <c r="R134" s="3" t="inlineStr">
        <is>
          <t>Partially documented or implemented; coverage inconsistent; never tested under stress.</t>
        </is>
      </c>
      <c r="S134" s="3" t="inlineStr">
        <is>
          <t>Documented, owned, executed consistently; basic evidence and metrics exist.</t>
        </is>
      </c>
      <c r="T134" s="3" t="inlineStr">
        <is>
          <t>Measured and periodically tested/audited; integrated with adjacent processes.</t>
        </is>
      </c>
      <c r="U134" s="3" t="inlineStr">
        <is>
          <t>Optimized and automated where practical; stress-tested; benchmarked externally.</t>
        </is>
      </c>
      <c r="V134" s="3" t="inlineStr">
        <is>
          <t>Regulatory/legal shock; Contractual exposure; Data breach</t>
        </is>
      </c>
      <c r="W134" s="3" t="n"/>
      <c r="X134" s="3" t="n"/>
      <c r="Y134" s="3" t="inlineStr">
        <is>
          <t>Use the recommended action generated by the model; validate with domain owner during real assessment.</t>
        </is>
      </c>
      <c r="Z134" s="7" t="n">
        <v>5</v>
      </c>
      <c r="AA134" s="7" t="n">
        <v>5</v>
      </c>
      <c r="AB134" s="7" t="n">
        <v>5</v>
      </c>
      <c r="AK134" s="46" t="n"/>
      <c r="AL134" s="46" t="n"/>
      <c r="AM134" s="247">
        <f>_DATA_Assessment_Model!AJ134</f>
        <v/>
      </c>
      <c r="AN134" s="247">
        <f>_DATA_Assessment_Model!AK134</f>
        <v/>
      </c>
      <c r="AO134" s="247">
        <f>_DATA_Assessment_Model!AL134</f>
        <v/>
      </c>
      <c r="AP134" s="247">
        <f>_DATA_Assessment_Model!AM134</f>
        <v/>
      </c>
      <c r="AQ134" s="247">
        <f>_DATA_Assessment_Model!AN134</f>
        <v/>
      </c>
      <c r="AR134" s="247">
        <f>_DATA_Assessment_Model!AO134</f>
        <v/>
      </c>
      <c r="AS134" s="247">
        <f>_DATA_Assessment_Model!AP134</f>
        <v/>
      </c>
      <c r="AT134" s="247">
        <f>_DATA_Assessment_Model!AQ134</f>
        <v/>
      </c>
      <c r="AU134" s="247">
        <f>_DATA_Assessment_Model!AR134</f>
        <v/>
      </c>
      <c r="AV134" s="5">
        <f>_DATA_Assessment_Model!AS134</f>
        <v/>
      </c>
      <c r="AW134" s="5">
        <f>_DATA_Assessment_Model!AT134</f>
        <v/>
      </c>
      <c r="AY134">
        <f>_DATA_Assessment_Model!AV134</f>
        <v/>
      </c>
    </row>
    <row r="135" ht="69" customHeight="1" s="209">
      <c r="A135" t="inlineStr">
        <is>
          <t>Legal Risk</t>
        </is>
      </c>
      <c r="B135" t="inlineStr">
        <is>
          <t>Legal Risk</t>
        </is>
      </c>
      <c r="C135" t="n">
        <v>16</v>
      </c>
      <c r="D135" s="3" t="inlineStr">
        <is>
          <t>LEGA-012</t>
        </is>
      </c>
      <c r="E135" s="3" t="inlineStr">
        <is>
          <t>Contracts</t>
        </is>
      </c>
      <c r="F135" s="3" t="inlineStr">
        <is>
          <t>How mature is the organization in managing insurance claims process linked to incident evidence collection, including ownership, evidence, metrics, fallback procedures and crisis stress testing?</t>
        </is>
      </c>
      <c r="G135" s="3" t="inlineStr">
        <is>
          <t>This topic affects exposure to Regulatory/legal shock; Contractual exposure; Data breach. It helps identify how disruption may impact operations, people, revenue, systems, legal exposure or recovery time.</t>
        </is>
      </c>
      <c r="H135" s="3" t="inlineStr">
        <is>
          <t>ISO 37301; ISO 31000; ISO 37001; ISO/IEC 27701; GDPR; contract management best practices</t>
        </is>
      </c>
      <c r="I135" s="3" t="inlineStr">
        <is>
          <t>Policy/SOP; owner/RACI; system report; dashboard; contracts; test records; incident history; interview evidence related to insurance claims process linked to incident evidence collection.</t>
        </is>
      </c>
      <c r="J135" s="3" t="n">
        <v>5</v>
      </c>
      <c r="K135" s="85">
        <f>_DATA_Assessment_Model!H135</f>
        <v/>
      </c>
      <c r="L135" s="4">
        <f>_DATA_Assessment_Model!I135</f>
        <v/>
      </c>
      <c r="M135" s="4">
        <f>_DATA_Assessment_Model!J135</f>
        <v/>
      </c>
      <c r="N135" s="4">
        <f>_DATA_Assessment_Model!K135</f>
        <v/>
      </c>
      <c r="O135" s="3">
        <f>_DATA_Assessment_Model!L135</f>
        <v/>
      </c>
      <c r="P135" s="3" t="inlineStr">
        <is>
          <t>Does not exist; no owner, no documentation, no practice.</t>
        </is>
      </c>
      <c r="Q135" s="3" t="inlineStr">
        <is>
          <t>Ad hoc; depends entirely on specific individuals.</t>
        </is>
      </c>
      <c r="R135" s="3" t="inlineStr">
        <is>
          <t>Partially documented or implemented; coverage inconsistent; never tested under stress.</t>
        </is>
      </c>
      <c r="S135" s="3" t="inlineStr">
        <is>
          <t>Documented, owned, executed consistently; basic evidence and metrics exist.</t>
        </is>
      </c>
      <c r="T135" s="3" t="inlineStr">
        <is>
          <t>Measured and periodically tested/audited; integrated with adjacent processes.</t>
        </is>
      </c>
      <c r="U135" s="3" t="inlineStr">
        <is>
          <t>Optimized and automated where practical; stress-tested; benchmarked externally.</t>
        </is>
      </c>
      <c r="V135" s="3" t="inlineStr">
        <is>
          <t>Regulatory/legal shock; Contractual exposure; Data breach</t>
        </is>
      </c>
      <c r="W135" s="3" t="n"/>
      <c r="X135" s="3" t="n"/>
      <c r="Y135" s="3" t="inlineStr">
        <is>
          <t>Use the recommended action generated by the model; validate with domain owner during real assessment.</t>
        </is>
      </c>
      <c r="Z135" s="7" t="n">
        <v>5</v>
      </c>
      <c r="AA135" s="7" t="n">
        <v>5</v>
      </c>
      <c r="AB135" s="7" t="n">
        <v>5</v>
      </c>
      <c r="AK135" s="46" t="n"/>
      <c r="AL135" s="46" t="n"/>
      <c r="AM135" s="247">
        <f>_DATA_Assessment_Model!AJ135</f>
        <v/>
      </c>
      <c r="AN135" s="247">
        <f>_DATA_Assessment_Model!AK135</f>
        <v/>
      </c>
      <c r="AO135" s="247">
        <f>_DATA_Assessment_Model!AL135</f>
        <v/>
      </c>
      <c r="AP135" s="247">
        <f>_DATA_Assessment_Model!AM135</f>
        <v/>
      </c>
      <c r="AQ135" s="247">
        <f>_DATA_Assessment_Model!AN135</f>
        <v/>
      </c>
      <c r="AR135" s="247">
        <f>_DATA_Assessment_Model!AO135</f>
        <v/>
      </c>
      <c r="AS135" s="247">
        <f>_DATA_Assessment_Model!AP135</f>
        <v/>
      </c>
      <c r="AT135" s="247">
        <f>_DATA_Assessment_Model!AQ135</f>
        <v/>
      </c>
      <c r="AU135" s="247">
        <f>_DATA_Assessment_Model!AR135</f>
        <v/>
      </c>
      <c r="AV135" s="5">
        <f>_DATA_Assessment_Model!AS135</f>
        <v/>
      </c>
      <c r="AW135" s="5">
        <f>_DATA_Assessment_Model!AT135</f>
        <v/>
      </c>
      <c r="AY135">
        <f>_DATA_Assessment_Model!AV135</f>
        <v/>
      </c>
    </row>
    <row r="136" ht="82.8" customHeight="1" s="209">
      <c r="A136" t="inlineStr">
        <is>
          <t>Legal Risk</t>
        </is>
      </c>
      <c r="B136" t="inlineStr">
        <is>
          <t>Legal Risk</t>
        </is>
      </c>
      <c r="C136" t="n">
        <v>17</v>
      </c>
      <c r="D136" s="3" t="inlineStr">
        <is>
          <t>LEGA-013</t>
        </is>
      </c>
      <c r="E136" s="3" t="inlineStr">
        <is>
          <t>Data and IP</t>
        </is>
      </c>
      <c r="F136" s="3" t="inlineStr">
        <is>
          <t>How mature is the organization in managing personal data processing map by system, purpose, location, processor and transfer mechanism, including ownership, evidence, metrics, fallback procedures and crisis stress testing?</t>
        </is>
      </c>
      <c r="G136" s="3" t="inlineStr">
        <is>
          <t>This topic affects exposure to Regulatory/legal shock; Contractual exposure; Data breach. It helps identify how disruption may impact operations, people, revenue, systems, legal exposure or recovery time.</t>
        </is>
      </c>
      <c r="H136" s="3" t="inlineStr">
        <is>
          <t>ISO 37301; ISO 31000; ISO 37001; ISO/IEC 27701; GDPR; contract management best practices</t>
        </is>
      </c>
      <c r="I136" s="3" t="inlineStr">
        <is>
          <t>Policy/SOP; owner/RACI; system report; dashboard; contracts; test records; incident history; interview evidence related to personal data processing map by system, purpose, location, processor and transfer mechanism.</t>
        </is>
      </c>
      <c r="J136" s="3" t="n">
        <v>5</v>
      </c>
      <c r="K136" s="85">
        <f>_DATA_Assessment_Model!H136</f>
        <v/>
      </c>
      <c r="L136" s="4">
        <f>_DATA_Assessment_Model!I136</f>
        <v/>
      </c>
      <c r="M136" s="4">
        <f>_DATA_Assessment_Model!J136</f>
        <v/>
      </c>
      <c r="N136" s="4">
        <f>_DATA_Assessment_Model!K136</f>
        <v/>
      </c>
      <c r="O136" s="3">
        <f>_DATA_Assessment_Model!L136</f>
        <v/>
      </c>
      <c r="P136" s="3" t="inlineStr">
        <is>
          <t>No inventory/register exists.</t>
        </is>
      </c>
      <c r="Q136" s="3" t="inlineStr">
        <is>
          <t>Partial lists live in individuals' heads or personal files.</t>
        </is>
      </c>
      <c r="R136" s="3" t="inlineStr">
        <is>
          <t>A register exists but is incomplete or outdated (&gt;1 year) and has no owner.</t>
        </is>
      </c>
      <c r="S136" s="3" t="inlineStr">
        <is>
          <t>Owned, documented, updated on a defined schedule, covers the main scope.</t>
        </is>
      </c>
      <c r="T136" s="3" t="inlineStr">
        <is>
          <t>Complete and periodically reviewed; integrated with related processes; completeness measured.</t>
        </is>
      </c>
      <c r="U136" s="3" t="inlineStr">
        <is>
          <t>Maintained automatically or synced with systems; drives decisions; audited.</t>
        </is>
      </c>
      <c r="V136" s="3" t="inlineStr">
        <is>
          <t>Regulatory/legal shock; Contractual exposure; Data breach</t>
        </is>
      </c>
      <c r="W136" s="3" t="n"/>
      <c r="X136" s="3" t="n"/>
      <c r="Y136" s="3" t="inlineStr">
        <is>
          <t>Use the recommended action generated by the model; validate with domain owner during real assessment.</t>
        </is>
      </c>
      <c r="Z136" s="7" t="n">
        <v>5</v>
      </c>
      <c r="AA136" s="7" t="n">
        <v>5</v>
      </c>
      <c r="AB136" s="7" t="n">
        <v>5</v>
      </c>
      <c r="AK136" s="46" t="n"/>
      <c r="AL136" s="46" t="n"/>
      <c r="AM136" s="247">
        <f>_DATA_Assessment_Model!AJ136</f>
        <v/>
      </c>
      <c r="AN136" s="247">
        <f>_DATA_Assessment_Model!AK136</f>
        <v/>
      </c>
      <c r="AO136" s="247">
        <f>_DATA_Assessment_Model!AL136</f>
        <v/>
      </c>
      <c r="AP136" s="247">
        <f>_DATA_Assessment_Model!AM136</f>
        <v/>
      </c>
      <c r="AQ136" s="247">
        <f>_DATA_Assessment_Model!AN136</f>
        <v/>
      </c>
      <c r="AR136" s="247">
        <f>_DATA_Assessment_Model!AO136</f>
        <v/>
      </c>
      <c r="AS136" s="247">
        <f>_DATA_Assessment_Model!AP136</f>
        <v/>
      </c>
      <c r="AT136" s="247">
        <f>_DATA_Assessment_Model!AQ136</f>
        <v/>
      </c>
      <c r="AU136" s="247">
        <f>_DATA_Assessment_Model!AR136</f>
        <v/>
      </c>
      <c r="AV136" s="5">
        <f>_DATA_Assessment_Model!AS136</f>
        <v/>
      </c>
      <c r="AW136" s="5">
        <f>_DATA_Assessment_Model!AT136</f>
        <v/>
      </c>
      <c r="AY136">
        <f>_DATA_Assessment_Model!AV136</f>
        <v/>
      </c>
    </row>
    <row r="137" ht="96.59999999999999" customHeight="1" s="209">
      <c r="A137" t="inlineStr">
        <is>
          <t>Legal Risk</t>
        </is>
      </c>
      <c r="B137" t="inlineStr">
        <is>
          <t>Legal Risk</t>
        </is>
      </c>
      <c r="C137" t="n">
        <v>18</v>
      </c>
      <c r="D137" s="3" t="inlineStr">
        <is>
          <t>LEGA-014</t>
        </is>
      </c>
      <c r="E137" s="3" t="inlineStr">
        <is>
          <t>Data and IP</t>
        </is>
      </c>
      <c r="F137" s="3" t="inlineStr">
        <is>
          <t>How mature is the organization in managing breach notification readiness for personal data and customer contractual obligations, including ownership, evidence, metrics, fallback procedures and crisis stress testing?</t>
        </is>
      </c>
      <c r="G137" s="3" t="inlineStr">
        <is>
          <t>This topic affects exposure to Regulatory/legal shock; Contractual exposure; Data breach. It helps identify how disruption may impact operations, people, revenue, systems, legal exposure or recovery time.</t>
        </is>
      </c>
      <c r="H137" s="3" t="inlineStr">
        <is>
          <t>ISO 37301; ISO 31000; ISO 37001; ISO/IEC 27701; GDPR; contract management best practices</t>
        </is>
      </c>
      <c r="I137" s="3" t="inlineStr">
        <is>
          <t>Policy/SOP; owner/RACI; system report; dashboard; contracts; test records; incident history; interview evidence related to breach notification readiness for personal data and customer contractual obligations.</t>
        </is>
      </c>
      <c r="J137" s="3" t="n">
        <v>4</v>
      </c>
      <c r="K137" s="85">
        <f>_DATA_Assessment_Model!H137</f>
        <v/>
      </c>
      <c r="L137" s="4">
        <f>_DATA_Assessment_Model!I137</f>
        <v/>
      </c>
      <c r="M137" s="4">
        <f>_DATA_Assessment_Model!J137</f>
        <v/>
      </c>
      <c r="N137" s="4">
        <f>_DATA_Assessment_Model!K137</f>
        <v/>
      </c>
      <c r="O137" s="3">
        <f>_DATA_Assessment_Model!L137</f>
        <v/>
      </c>
      <c r="P137" s="3" t="inlineStr">
        <is>
          <t>No reliable evidence that breach notification readiness for personal data and customer contractual obligations is defined, owned or managed.</t>
        </is>
      </c>
      <c r="Q137" s="3" t="inlineStr">
        <is>
          <t>Breach notification readiness for personal data and customer contractual obligations is handled informally and depends on individual knowledge or heroic effort.</t>
        </is>
      </c>
      <c r="R137" s="3" t="inlineStr">
        <is>
          <t>Breach notification readiness for personal data and customer contractual obligations is partially documented or implemented, but coverage is inconsistent and not crisis-tested.</t>
        </is>
      </c>
      <c r="S137" s="3" t="inlineStr">
        <is>
          <t>Breach notification readiness for personal data and customer contractual obligations is documented, owned, used in normal operations and supported by basic evidence or metrics.</t>
        </is>
      </c>
      <c r="T137" s="3" t="inlineStr">
        <is>
          <t>Breach notification readiness for personal data and customer contractual obligations is measured, periodically reviewed, integrated with related processes and tested against relevant disruption scenarios.</t>
        </is>
      </c>
      <c r="U137" s="3" t="inlineStr">
        <is>
          <t>Breach notification readiness for personal data and customer contractual obligations is optimized, continuously improved, automated where practical and demonstrably supports crisis resilience.</t>
        </is>
      </c>
      <c r="V137" s="3" t="inlineStr">
        <is>
          <t>Regulatory/legal shock; Contractual exposure; Data breach</t>
        </is>
      </c>
      <c r="W137" s="3" t="n"/>
      <c r="X137" s="3" t="n"/>
      <c r="Y137" s="3" t="inlineStr">
        <is>
          <t>Use the recommended action generated by the model; validate with domain owner during real assessment.</t>
        </is>
      </c>
      <c r="Z137" s="7" t="n">
        <v>5</v>
      </c>
      <c r="AA137" s="7" t="n">
        <v>5</v>
      </c>
      <c r="AB137" s="7" t="n">
        <v>5</v>
      </c>
      <c r="AK137" s="46" t="n"/>
      <c r="AL137" s="46" t="n"/>
      <c r="AM137" s="247">
        <f>_DATA_Assessment_Model!AJ137</f>
        <v/>
      </c>
      <c r="AN137" s="247">
        <f>_DATA_Assessment_Model!AK137</f>
        <v/>
      </c>
      <c r="AO137" s="247">
        <f>_DATA_Assessment_Model!AL137</f>
        <v/>
      </c>
      <c r="AP137" s="247">
        <f>_DATA_Assessment_Model!AM137</f>
        <v/>
      </c>
      <c r="AQ137" s="247">
        <f>_DATA_Assessment_Model!AN137</f>
        <v/>
      </c>
      <c r="AR137" s="247">
        <f>_DATA_Assessment_Model!AO137</f>
        <v/>
      </c>
      <c r="AS137" s="247">
        <f>_DATA_Assessment_Model!AP137</f>
        <v/>
      </c>
      <c r="AT137" s="247">
        <f>_DATA_Assessment_Model!AQ137</f>
        <v/>
      </c>
      <c r="AU137" s="247">
        <f>_DATA_Assessment_Model!AR137</f>
        <v/>
      </c>
      <c r="AV137" s="5">
        <f>_DATA_Assessment_Model!AS137</f>
        <v/>
      </c>
      <c r="AW137" s="5">
        <f>_DATA_Assessment_Model!AT137</f>
        <v/>
      </c>
      <c r="AY137">
        <f>_DATA_Assessment_Model!AV137</f>
        <v/>
      </c>
    </row>
    <row r="138" ht="82.8" customHeight="1" s="209">
      <c r="A138" t="inlineStr">
        <is>
          <t>Legal Risk</t>
        </is>
      </c>
      <c r="B138" t="inlineStr">
        <is>
          <t>Legal Risk</t>
        </is>
      </c>
      <c r="C138" t="n">
        <v>19</v>
      </c>
      <c r="D138" s="3" t="inlineStr">
        <is>
          <t>LEGA-015</t>
        </is>
      </c>
      <c r="E138" s="3" t="inlineStr">
        <is>
          <t>Data and IP</t>
        </is>
      </c>
      <c r="F138" s="3" t="inlineStr">
        <is>
          <t>How mature is the organization in managing data processing agreements with vendors covering security, incident response, sub-processors and continuity, including ownership, evidence, metrics, fallback procedures and crisis stress testing?</t>
        </is>
      </c>
      <c r="G138" s="3" t="inlineStr">
        <is>
          <t>This topic affects exposure to Regulatory/legal shock; Contractual exposure; Data breach. It helps identify how disruption may impact operations, people, revenue, systems, legal exposure or recovery time.</t>
        </is>
      </c>
      <c r="H138" s="3" t="inlineStr">
        <is>
          <t>ISO 37301; ISO 31000; ISO 37001; ISO/IEC 27701; GDPR; contract management best practices</t>
        </is>
      </c>
      <c r="I138" s="3" t="inlineStr">
        <is>
          <t>Policy/SOP; owner/RACI; system report; dashboard; contracts; test records; incident history; interview evidence related to data processing agreements with vendors covering security, incident response, sub-processors and continuity.</t>
        </is>
      </c>
      <c r="J138" s="3" t="n">
        <v>5</v>
      </c>
      <c r="K138" s="85">
        <f>_DATA_Assessment_Model!H138</f>
        <v/>
      </c>
      <c r="L138" s="4">
        <f>_DATA_Assessment_Model!I138</f>
        <v/>
      </c>
      <c r="M138" s="4">
        <f>_DATA_Assessment_Model!J138</f>
        <v/>
      </c>
      <c r="N138" s="4">
        <f>_DATA_Assessment_Model!K138</f>
        <v/>
      </c>
      <c r="O138" s="3">
        <f>_DATA_Assessment_Model!L138</f>
        <v/>
      </c>
      <c r="P138" s="3" t="inlineStr">
        <is>
          <t>Does not exist; no owner, no documentation, no practice.</t>
        </is>
      </c>
      <c r="Q138" s="3" t="inlineStr">
        <is>
          <t>Ad hoc; depends entirely on specific individuals.</t>
        </is>
      </c>
      <c r="R138" s="3" t="inlineStr">
        <is>
          <t>Partially documented or implemented; coverage inconsistent; never tested under stress.</t>
        </is>
      </c>
      <c r="S138" s="3" t="inlineStr">
        <is>
          <t>Documented, owned, executed consistently; basic evidence and metrics exist.</t>
        </is>
      </c>
      <c r="T138" s="3" t="inlineStr">
        <is>
          <t>Measured and periodically tested/audited; integrated with adjacent processes.</t>
        </is>
      </c>
      <c r="U138" s="3" t="inlineStr">
        <is>
          <t>Optimized and automated where practical; stress-tested; benchmarked externally.</t>
        </is>
      </c>
      <c r="V138" s="3" t="inlineStr">
        <is>
          <t>Regulatory/legal shock; Contractual exposure; Data breach</t>
        </is>
      </c>
      <c r="W138" s="3" t="n"/>
      <c r="X138" s="3" t="n"/>
      <c r="Y138" s="3" t="inlineStr">
        <is>
          <t>Use the recommended action generated by the model; validate with domain owner during real assessment.</t>
        </is>
      </c>
      <c r="Z138" s="7" t="n">
        <v>5</v>
      </c>
      <c r="AA138" s="7" t="n">
        <v>5</v>
      </c>
      <c r="AB138" s="7" t="n">
        <v>5</v>
      </c>
      <c r="AK138" s="46" t="n"/>
      <c r="AL138" s="46" t="n"/>
      <c r="AM138" s="247">
        <f>_DATA_Assessment_Model!AJ138</f>
        <v/>
      </c>
      <c r="AN138" s="247">
        <f>_DATA_Assessment_Model!AK138</f>
        <v/>
      </c>
      <c r="AO138" s="247">
        <f>_DATA_Assessment_Model!AL138</f>
        <v/>
      </c>
      <c r="AP138" s="247">
        <f>_DATA_Assessment_Model!AM138</f>
        <v/>
      </c>
      <c r="AQ138" s="247">
        <f>_DATA_Assessment_Model!AN138</f>
        <v/>
      </c>
      <c r="AR138" s="247">
        <f>_DATA_Assessment_Model!AO138</f>
        <v/>
      </c>
      <c r="AS138" s="247">
        <f>_DATA_Assessment_Model!AP138</f>
        <v/>
      </c>
      <c r="AT138" s="247">
        <f>_DATA_Assessment_Model!AQ138</f>
        <v/>
      </c>
      <c r="AU138" s="247">
        <f>_DATA_Assessment_Model!AR138</f>
        <v/>
      </c>
      <c r="AV138" s="5">
        <f>_DATA_Assessment_Model!AS138</f>
        <v/>
      </c>
      <c r="AW138" s="5">
        <f>_DATA_Assessment_Model!AT138</f>
        <v/>
      </c>
      <c r="AY138">
        <f>_DATA_Assessment_Model!AV138</f>
        <v/>
      </c>
    </row>
    <row r="139" ht="82.8" customHeight="1" s="209">
      <c r="A139" t="inlineStr">
        <is>
          <t>Legal Risk</t>
        </is>
      </c>
      <c r="B139" t="inlineStr">
        <is>
          <t>Legal Risk</t>
        </is>
      </c>
      <c r="C139" t="n">
        <v>20</v>
      </c>
      <c r="D139" s="3" t="inlineStr">
        <is>
          <t>LEGA-016</t>
        </is>
      </c>
      <c r="E139" s="3" t="inlineStr">
        <is>
          <t>Data and IP</t>
        </is>
      </c>
      <c r="F139" s="3" t="inlineStr">
        <is>
          <t>How mature is the organization in managing intellectual property ownership for employees, contractors, suppliers, software, designs, data and AI models, including ownership, evidence, metrics, fallback procedures and crisis stress testing?</t>
        </is>
      </c>
      <c r="G139" s="3" t="inlineStr">
        <is>
          <t>This topic affects exposure to Regulatory/legal shock; Contractual exposure; Data breach. It helps identify how disruption may impact operations, people, revenue, systems, legal exposure or recovery time.</t>
        </is>
      </c>
      <c r="H139" s="3" t="inlineStr">
        <is>
          <t>ISO 37301; ISO 31000; ISO 37001; ISO/IEC 27701; GDPR; contract management best practices</t>
        </is>
      </c>
      <c r="I139" s="3" t="inlineStr">
        <is>
          <t>Policy/SOP; owner/RACI; system report; dashboard; contracts; test records; incident history; interview evidence related to intellectual property ownership for employees, contractors, suppliers, software, designs, data and AI models.</t>
        </is>
      </c>
      <c r="J139" s="3" t="n">
        <v>5</v>
      </c>
      <c r="K139" s="85">
        <f>_DATA_Assessment_Model!H139</f>
        <v/>
      </c>
      <c r="L139" s="4">
        <f>_DATA_Assessment_Model!I139</f>
        <v/>
      </c>
      <c r="M139" s="4">
        <f>_DATA_Assessment_Model!J139</f>
        <v/>
      </c>
      <c r="N139" s="4">
        <f>_DATA_Assessment_Model!K139</f>
        <v/>
      </c>
      <c r="O139" s="3">
        <f>_DATA_Assessment_Model!L139</f>
        <v/>
      </c>
      <c r="P139" s="3" t="inlineStr">
        <is>
          <t>Does not exist; no owner, no documentation, no practice.</t>
        </is>
      </c>
      <c r="Q139" s="3" t="inlineStr">
        <is>
          <t>Ad hoc; depends entirely on specific individuals.</t>
        </is>
      </c>
      <c r="R139" s="3" t="inlineStr">
        <is>
          <t>Partially documented or implemented; coverage inconsistent; never tested under stress.</t>
        </is>
      </c>
      <c r="S139" s="3" t="inlineStr">
        <is>
          <t>Documented, owned, executed consistently; basic evidence and metrics exist.</t>
        </is>
      </c>
      <c r="T139" s="3" t="inlineStr">
        <is>
          <t>Measured and periodically tested/audited; integrated with adjacent processes.</t>
        </is>
      </c>
      <c r="U139" s="3" t="inlineStr">
        <is>
          <t>Optimized and automated where practical; stress-tested; benchmarked externally.</t>
        </is>
      </c>
      <c r="V139" s="3" t="inlineStr">
        <is>
          <t>Regulatory/legal shock; Contractual exposure; Data breach</t>
        </is>
      </c>
      <c r="W139" s="3" t="n"/>
      <c r="X139" s="3" t="n"/>
      <c r="Y139" s="3" t="inlineStr">
        <is>
          <t>Use the recommended action generated by the model; validate with domain owner during real assessment.</t>
        </is>
      </c>
      <c r="Z139" s="7" t="n">
        <v>5</v>
      </c>
      <c r="AA139" s="7" t="n">
        <v>5</v>
      </c>
      <c r="AB139" s="7" t="n">
        <v>5</v>
      </c>
      <c r="AK139" s="46" t="n"/>
      <c r="AL139" s="46" t="n"/>
      <c r="AM139" s="247">
        <f>_DATA_Assessment_Model!AJ139</f>
        <v/>
      </c>
      <c r="AN139" s="247">
        <f>_DATA_Assessment_Model!AK139</f>
        <v/>
      </c>
      <c r="AO139" s="247">
        <f>_DATA_Assessment_Model!AL139</f>
        <v/>
      </c>
      <c r="AP139" s="247">
        <f>_DATA_Assessment_Model!AM139</f>
        <v/>
      </c>
      <c r="AQ139" s="247">
        <f>_DATA_Assessment_Model!AN139</f>
        <v/>
      </c>
      <c r="AR139" s="247">
        <f>_DATA_Assessment_Model!AO139</f>
        <v/>
      </c>
      <c r="AS139" s="247">
        <f>_DATA_Assessment_Model!AP139</f>
        <v/>
      </c>
      <c r="AT139" s="247">
        <f>_DATA_Assessment_Model!AQ139</f>
        <v/>
      </c>
      <c r="AU139" s="247">
        <f>_DATA_Assessment_Model!AR139</f>
        <v/>
      </c>
      <c r="AV139" s="5">
        <f>_DATA_Assessment_Model!AS139</f>
        <v/>
      </c>
      <c r="AW139" s="5">
        <f>_DATA_Assessment_Model!AT139</f>
        <v/>
      </c>
      <c r="AY139">
        <f>_DATA_Assessment_Model!AV139</f>
        <v/>
      </c>
    </row>
    <row r="140" ht="69" customHeight="1" s="209">
      <c r="A140" t="inlineStr">
        <is>
          <t>Legal Risk</t>
        </is>
      </c>
      <c r="B140" t="inlineStr">
        <is>
          <t>Legal Risk</t>
        </is>
      </c>
      <c r="C140" t="n">
        <v>21</v>
      </c>
      <c r="D140" s="3" t="inlineStr">
        <is>
          <t>LEGA-017</t>
        </is>
      </c>
      <c r="E140" s="3" t="inlineStr">
        <is>
          <t>Data and IP</t>
        </is>
      </c>
      <c r="F140" s="3" t="inlineStr">
        <is>
          <t>How mature is the organization in managing software license and open-source compliance for critical systems and products, including ownership, evidence, metrics, fallback procedures and crisis stress testing?</t>
        </is>
      </c>
      <c r="G140" s="3" t="inlineStr">
        <is>
          <t>This topic affects exposure to Regulatory/legal shock; Contractual exposure; Data breach. It helps identify how disruption may impact operations, people, revenue, systems, legal exposure or recovery time.</t>
        </is>
      </c>
      <c r="H140" s="3" t="inlineStr">
        <is>
          <t>ISO 37301; ISO 31000; ISO 37001; ISO/IEC 27701; GDPR; contract management best practices</t>
        </is>
      </c>
      <c r="I140" s="3" t="inlineStr">
        <is>
          <t>Policy/SOP; owner/RACI; system report; dashboard; contracts; test records; incident history; interview evidence related to software license and open-source compliance for critical systems and products.</t>
        </is>
      </c>
      <c r="J140" s="3" t="n">
        <v>5</v>
      </c>
      <c r="K140" s="85">
        <f>_DATA_Assessment_Model!H140</f>
        <v/>
      </c>
      <c r="L140" s="4">
        <f>_DATA_Assessment_Model!I140</f>
        <v/>
      </c>
      <c r="M140" s="4">
        <f>_DATA_Assessment_Model!J140</f>
        <v/>
      </c>
      <c r="N140" s="4">
        <f>_DATA_Assessment_Model!K140</f>
        <v/>
      </c>
      <c r="O140" s="3">
        <f>_DATA_Assessment_Model!L140</f>
        <v/>
      </c>
      <c r="P140" s="3" t="inlineStr">
        <is>
          <t>Does not exist; no owner, no documentation, no practice.</t>
        </is>
      </c>
      <c r="Q140" s="3" t="inlineStr">
        <is>
          <t>Ad hoc; depends entirely on specific individuals.</t>
        </is>
      </c>
      <c r="R140" s="3" t="inlineStr">
        <is>
          <t>Partially documented or implemented; coverage inconsistent; never tested under stress.</t>
        </is>
      </c>
      <c r="S140" s="3" t="inlineStr">
        <is>
          <t>Documented, owned, executed consistently; basic evidence and metrics exist.</t>
        </is>
      </c>
      <c r="T140" s="3" t="inlineStr">
        <is>
          <t>Measured and periodically tested/audited; integrated with adjacent processes.</t>
        </is>
      </c>
      <c r="U140" s="3" t="inlineStr">
        <is>
          <t>Optimized and automated where practical; stress-tested; benchmarked externally.</t>
        </is>
      </c>
      <c r="V140" s="3" t="inlineStr">
        <is>
          <t>Regulatory/legal shock; Contractual exposure; Data breach</t>
        </is>
      </c>
      <c r="W140" s="3" t="n"/>
      <c r="X140" s="3" t="n"/>
      <c r="Y140" s="3" t="inlineStr">
        <is>
          <t>Use the recommended action generated by the model; validate with domain owner during real assessment.</t>
        </is>
      </c>
      <c r="Z140" s="7" t="n">
        <v>5</v>
      </c>
      <c r="AA140" s="7" t="n">
        <v>5</v>
      </c>
      <c r="AB140" s="7" t="n">
        <v>5</v>
      </c>
      <c r="AK140" s="46" t="n"/>
      <c r="AL140" s="46" t="n"/>
      <c r="AM140" s="247">
        <f>_DATA_Assessment_Model!AJ140</f>
        <v/>
      </c>
      <c r="AN140" s="247">
        <f>_DATA_Assessment_Model!AK140</f>
        <v/>
      </c>
      <c r="AO140" s="247">
        <f>_DATA_Assessment_Model!AL140</f>
        <v/>
      </c>
      <c r="AP140" s="247">
        <f>_DATA_Assessment_Model!AM140</f>
        <v/>
      </c>
      <c r="AQ140" s="247">
        <f>_DATA_Assessment_Model!AN140</f>
        <v/>
      </c>
      <c r="AR140" s="247">
        <f>_DATA_Assessment_Model!AO140</f>
        <v/>
      </c>
      <c r="AS140" s="247">
        <f>_DATA_Assessment_Model!AP140</f>
        <v/>
      </c>
      <c r="AT140" s="247">
        <f>_DATA_Assessment_Model!AQ140</f>
        <v/>
      </c>
      <c r="AU140" s="247">
        <f>_DATA_Assessment_Model!AR140</f>
        <v/>
      </c>
      <c r="AV140" s="5">
        <f>_DATA_Assessment_Model!AS140</f>
        <v/>
      </c>
      <c r="AW140" s="5">
        <f>_DATA_Assessment_Model!AT140</f>
        <v/>
      </c>
      <c r="AY140">
        <f>_DATA_Assessment_Model!AV140</f>
        <v/>
      </c>
    </row>
    <row r="141" ht="82.8" customHeight="1" s="209">
      <c r="A141" t="inlineStr">
        <is>
          <t>Legal Risk</t>
        </is>
      </c>
      <c r="B141" t="inlineStr">
        <is>
          <t>Legal Risk</t>
        </is>
      </c>
      <c r="C141" t="n">
        <v>22</v>
      </c>
      <c r="D141" s="3" t="inlineStr">
        <is>
          <t>LEGA-018</t>
        </is>
      </c>
      <c r="E141" s="3" t="inlineStr">
        <is>
          <t>Data and IP</t>
        </is>
      </c>
      <c r="F141" s="3" t="inlineStr">
        <is>
          <t>How mature is the organization in managing records retention rules for legal, finance, HR, contracts, safety, customer and technical records, including ownership, evidence, metrics, fallback procedures and crisis stress testing?</t>
        </is>
      </c>
      <c r="G141" s="3" t="inlineStr">
        <is>
          <t>This topic affects exposure to Regulatory/legal shock; Contractual exposure; Data breach. It helps identify how disruption may impact operations, people, revenue, systems, legal exposure or recovery time.</t>
        </is>
      </c>
      <c r="H141" s="3" t="inlineStr">
        <is>
          <t>ISO 37301; ISO 31000; ISO 37001; ISO/IEC 27701; GDPR; contract management best practices</t>
        </is>
      </c>
      <c r="I141" s="3" t="inlineStr">
        <is>
          <t>Policy/SOP; owner/RACI; system report; dashboard; contracts; test records; incident history; interview evidence related to records retention rules for legal, finance, HR, contracts, safety, customer and technical records.</t>
        </is>
      </c>
      <c r="J141" s="3" t="n">
        <v>5</v>
      </c>
      <c r="K141" s="85">
        <f>_DATA_Assessment_Model!H141</f>
        <v/>
      </c>
      <c r="L141" s="4">
        <f>_DATA_Assessment_Model!I141</f>
        <v/>
      </c>
      <c r="M141" s="4">
        <f>_DATA_Assessment_Model!J141</f>
        <v/>
      </c>
      <c r="N141" s="4">
        <f>_DATA_Assessment_Model!K141</f>
        <v/>
      </c>
      <c r="O141" s="3">
        <f>_DATA_Assessment_Model!L141</f>
        <v/>
      </c>
      <c r="P141" s="3" t="inlineStr">
        <is>
          <t>Does not exist; no owner, no documentation, no practice.</t>
        </is>
      </c>
      <c r="Q141" s="3" t="inlineStr">
        <is>
          <t>Ad hoc; depends entirely on specific individuals.</t>
        </is>
      </c>
      <c r="R141" s="3" t="inlineStr">
        <is>
          <t>Partially documented or implemented; coverage inconsistent; never tested under stress.</t>
        </is>
      </c>
      <c r="S141" s="3" t="inlineStr">
        <is>
          <t>Documented, owned, executed consistently; basic evidence and metrics exist.</t>
        </is>
      </c>
      <c r="T141" s="3" t="inlineStr">
        <is>
          <t>Measured and periodically tested/audited; integrated with adjacent processes.</t>
        </is>
      </c>
      <c r="U141" s="3" t="inlineStr">
        <is>
          <t>Optimized and automated where practical; stress-tested; benchmarked externally.</t>
        </is>
      </c>
      <c r="V141" s="3" t="inlineStr">
        <is>
          <t>Regulatory/legal shock; Contractual exposure; Data breach</t>
        </is>
      </c>
      <c r="W141" s="3" t="n"/>
      <c r="X141" s="3" t="n"/>
      <c r="Y141" s="3" t="inlineStr">
        <is>
          <t>Use the recommended action generated by the model; validate with domain owner during real assessment.</t>
        </is>
      </c>
      <c r="Z141" s="7" t="n">
        <v>5</v>
      </c>
      <c r="AA141" s="7" t="n">
        <v>5</v>
      </c>
      <c r="AB141" s="7" t="n">
        <v>5</v>
      </c>
      <c r="AK141" s="46" t="n"/>
      <c r="AL141" s="46" t="n"/>
      <c r="AM141" s="247">
        <f>_DATA_Assessment_Model!AJ141</f>
        <v/>
      </c>
      <c r="AN141" s="247">
        <f>_DATA_Assessment_Model!AK141</f>
        <v/>
      </c>
      <c r="AO141" s="247">
        <f>_DATA_Assessment_Model!AL141</f>
        <v/>
      </c>
      <c r="AP141" s="247">
        <f>_DATA_Assessment_Model!AM141</f>
        <v/>
      </c>
      <c r="AQ141" s="247">
        <f>_DATA_Assessment_Model!AN141</f>
        <v/>
      </c>
      <c r="AR141" s="247">
        <f>_DATA_Assessment_Model!AO141</f>
        <v/>
      </c>
      <c r="AS141" s="247">
        <f>_DATA_Assessment_Model!AP141</f>
        <v/>
      </c>
      <c r="AT141" s="247">
        <f>_DATA_Assessment_Model!AQ141</f>
        <v/>
      </c>
      <c r="AU141" s="247">
        <f>_DATA_Assessment_Model!AR141</f>
        <v/>
      </c>
      <c r="AV141" s="5">
        <f>_DATA_Assessment_Model!AS141</f>
        <v/>
      </c>
      <c r="AW141" s="5">
        <f>_DATA_Assessment_Model!AT141</f>
        <v/>
      </c>
      <c r="AY141">
        <f>_DATA_Assessment_Model!AV141</f>
        <v/>
      </c>
    </row>
    <row r="142" ht="110.4" customHeight="1" s="209">
      <c r="A142" t="inlineStr">
        <is>
          <t>Legal Risk</t>
        </is>
      </c>
      <c r="B142" t="inlineStr">
        <is>
          <t>Legal Risk</t>
        </is>
      </c>
      <c r="C142" t="n">
        <v>23</v>
      </c>
      <c r="D142" s="3" t="inlineStr">
        <is>
          <t>LEGA-019</t>
        </is>
      </c>
      <c r="E142" s="3" t="inlineStr">
        <is>
          <t>Employment law</t>
        </is>
      </c>
      <c r="F142" s="3" t="inlineStr">
        <is>
          <t>How mature is the organization in managing legal options for relocation, evacuation, furlough, flexible work, terminations or hardship support by country, including ownership, evidence, metrics, fallback procedures and crisis stress testing?</t>
        </is>
      </c>
      <c r="G142" s="3" t="inlineStr">
        <is>
          <t>This topic affects exposure to Regulatory/legal shock; Contractual exposure; Data breach. It helps identify how disruption may impact operations, people, revenue, systems, legal exposure or recovery time.</t>
        </is>
      </c>
      <c r="H142" s="3" t="inlineStr">
        <is>
          <t>ISO 37301; ISO 31000; ISO 37001; ISO/IEC 27701; GDPR; contract management best practices</t>
        </is>
      </c>
      <c r="I142" s="3" t="inlineStr">
        <is>
          <t>Policy/SOP; owner/RACI; system report; dashboard; contracts; test records; incident history; interview evidence related to legal options for relocation, evacuation, furlough, flexible work, terminations or hardship support by country.</t>
        </is>
      </c>
      <c r="J142" s="3" t="n">
        <v>3</v>
      </c>
      <c r="K142" s="85">
        <f>_DATA_Assessment_Model!H142</f>
        <v/>
      </c>
      <c r="L142" s="4">
        <f>_DATA_Assessment_Model!I142</f>
        <v/>
      </c>
      <c r="M142" s="4">
        <f>_DATA_Assessment_Model!J142</f>
        <v/>
      </c>
      <c r="N142" s="4">
        <f>_DATA_Assessment_Model!K142</f>
        <v/>
      </c>
      <c r="O142" s="3">
        <f>_DATA_Assessment_Model!L142</f>
        <v/>
      </c>
      <c r="P142" s="3" t="inlineStr">
        <is>
          <t>No reliable evidence that legal options for relocation, evacuation, furlough, flexible work, terminations or hardship support by country is defined, owned or managed.</t>
        </is>
      </c>
      <c r="Q142" s="3" t="inlineStr">
        <is>
          <t>Legal options for relocation, evacuation, furlough, flexible work, terminations or hardship support by country is handled informally and depends on individual knowledge or heroic effort.</t>
        </is>
      </c>
      <c r="R142" s="3" t="inlineStr">
        <is>
          <t>Legal options for relocation, evacuation, furlough, flexible work, terminations or hardship support by country is partially documented or implemented, but coverage is inconsistent and not crisis-tested.</t>
        </is>
      </c>
      <c r="S142" s="3" t="inlineStr">
        <is>
          <t>Legal options for relocation, evacuation, furlough, flexible work, terminations or hardship support by country is documented, owned, used in normal operations and supported by basic evidence or metrics.</t>
        </is>
      </c>
      <c r="T142" s="3" t="inlineStr">
        <is>
          <t>Legal options for relocation, evacuation, furlough, flexible work, terminations or hardship support by country is measured, periodically reviewed, integrated with related processes and tested against relevant disruption scenarios.</t>
        </is>
      </c>
      <c r="U142" s="3" t="inlineStr">
        <is>
          <t>Legal options for relocation, evacuation, furlough, flexible work, terminations or hardship support by country is optimized, continuously improved, automated where practical and demonstrably supports crisis resilience.</t>
        </is>
      </c>
      <c r="V142" s="3" t="inlineStr">
        <is>
          <t>Regulatory/legal shock; Contractual exposure; Data breach</t>
        </is>
      </c>
      <c r="W142" s="3" t="n"/>
      <c r="X142" s="3" t="n"/>
      <c r="Y142" s="3" t="inlineStr">
        <is>
          <t>Use the recommended action generated by the model; validate with domain owner during real assessment.</t>
        </is>
      </c>
      <c r="Z142" s="7" t="n">
        <v>5</v>
      </c>
      <c r="AA142" s="7" t="n">
        <v>5</v>
      </c>
      <c r="AB142" s="7" t="n">
        <v>5</v>
      </c>
      <c r="AK142" s="46" t="n"/>
      <c r="AL142" s="46" t="n"/>
      <c r="AM142" s="247">
        <f>_DATA_Assessment_Model!AJ142</f>
        <v/>
      </c>
      <c r="AN142" s="247">
        <f>_DATA_Assessment_Model!AK142</f>
        <v/>
      </c>
      <c r="AO142" s="247">
        <f>_DATA_Assessment_Model!AL142</f>
        <v/>
      </c>
      <c r="AP142" s="247">
        <f>_DATA_Assessment_Model!AM142</f>
        <v/>
      </c>
      <c r="AQ142" s="247">
        <f>_DATA_Assessment_Model!AN142</f>
        <v/>
      </c>
      <c r="AR142" s="247">
        <f>_DATA_Assessment_Model!AO142</f>
        <v/>
      </c>
      <c r="AS142" s="247">
        <f>_DATA_Assessment_Model!AP142</f>
        <v/>
      </c>
      <c r="AT142" s="247">
        <f>_DATA_Assessment_Model!AQ142</f>
        <v/>
      </c>
      <c r="AU142" s="247">
        <f>_DATA_Assessment_Model!AR142</f>
        <v/>
      </c>
      <c r="AV142" s="5">
        <f>_DATA_Assessment_Model!AS142</f>
        <v/>
      </c>
      <c r="AW142" s="5">
        <f>_DATA_Assessment_Model!AT142</f>
        <v/>
      </c>
      <c r="AY142">
        <f>_DATA_Assessment_Model!AV142</f>
        <v/>
      </c>
    </row>
    <row r="143" ht="82.8" customHeight="1" s="209">
      <c r="A143" t="inlineStr">
        <is>
          <t>Legal Risk</t>
        </is>
      </c>
      <c r="B143" t="inlineStr">
        <is>
          <t>Legal Risk</t>
        </is>
      </c>
      <c r="C143" t="n">
        <v>24</v>
      </c>
      <c r="D143" s="3" t="inlineStr">
        <is>
          <t>LEGA-020</t>
        </is>
      </c>
      <c r="E143" s="3" t="inlineStr">
        <is>
          <t>Employment law</t>
        </is>
      </c>
      <c r="F143" s="3" t="inlineStr">
        <is>
          <t>How mature is the organization in managing labor relations, works council or union obligations during restructuring or crisis measures, including ownership, evidence, metrics, fallback procedures and crisis stress testing?</t>
        </is>
      </c>
      <c r="G143" s="3" t="inlineStr">
        <is>
          <t>This topic affects exposure to Regulatory/legal shock; Contractual exposure; Data breach. It helps identify how disruption may impact operations, people, revenue, systems, legal exposure or recovery time.</t>
        </is>
      </c>
      <c r="H143" s="3" t="inlineStr">
        <is>
          <t>ISO 37301; ISO 31000; ISO 37001; ISO/IEC 27701; GDPR; contract management best practices</t>
        </is>
      </c>
      <c r="I143" s="3" t="inlineStr">
        <is>
          <t>Policy/SOP; owner/RACI; system report; dashboard; contracts; test records; incident history; interview evidence related to labor relations, works council or union obligations during restructuring or crisis measures.</t>
        </is>
      </c>
      <c r="J143" s="3" t="n">
        <v>5</v>
      </c>
      <c r="K143" s="85">
        <f>_DATA_Assessment_Model!H143</f>
        <v/>
      </c>
      <c r="L143" s="4">
        <f>_DATA_Assessment_Model!I143</f>
        <v/>
      </c>
      <c r="M143" s="4">
        <f>_DATA_Assessment_Model!J143</f>
        <v/>
      </c>
      <c r="N143" s="4">
        <f>_DATA_Assessment_Model!K143</f>
        <v/>
      </c>
      <c r="O143" s="3">
        <f>_DATA_Assessment_Model!L143</f>
        <v/>
      </c>
      <c r="P143" s="3" t="inlineStr">
        <is>
          <t>Nothing is monitored or measured.</t>
        </is>
      </c>
      <c r="Q143" s="3" t="inlineStr">
        <is>
          <t>Occasional manual checks by individuals.</t>
        </is>
      </c>
      <c r="R143" s="3" t="inlineStr">
        <is>
          <t>Some metrics exist but are not reviewed regularly and trigger no action.</t>
        </is>
      </c>
      <c r="S143" s="3" t="inlineStr">
        <is>
          <t>Defined metrics with an owner, reviewed on a set cadence.</t>
        </is>
      </c>
      <c r="T143" s="3" t="inlineStr">
        <is>
          <t>Thresholds and alerts in place; deviations trigger documented action; trends analyzed.</t>
        </is>
      </c>
      <c r="U143" s="3" t="inlineStr">
        <is>
          <t>Automated monitoring with leading indicators, integrated into management decisions.</t>
        </is>
      </c>
      <c r="V143" s="3" t="inlineStr">
        <is>
          <t>Regulatory/legal shock; Contractual exposure; Data breach</t>
        </is>
      </c>
      <c r="W143" s="3" t="n"/>
      <c r="X143" s="3" t="n"/>
      <c r="Y143" s="3" t="inlineStr">
        <is>
          <t>Use the recommended action generated by the model; validate with domain owner during real assessment.</t>
        </is>
      </c>
      <c r="Z143" s="7" t="n">
        <v>5</v>
      </c>
      <c r="AA143" s="7" t="n">
        <v>5</v>
      </c>
      <c r="AB143" s="7" t="n">
        <v>5</v>
      </c>
      <c r="AK143" s="46" t="n"/>
      <c r="AL143" s="46" t="n"/>
      <c r="AM143" s="247">
        <f>_DATA_Assessment_Model!AJ143</f>
        <v/>
      </c>
      <c r="AN143" s="247">
        <f>_DATA_Assessment_Model!AK143</f>
        <v/>
      </c>
      <c r="AO143" s="247">
        <f>_DATA_Assessment_Model!AL143</f>
        <v/>
      </c>
      <c r="AP143" s="247">
        <f>_DATA_Assessment_Model!AM143</f>
        <v/>
      </c>
      <c r="AQ143" s="247">
        <f>_DATA_Assessment_Model!AN143</f>
        <v/>
      </c>
      <c r="AR143" s="247">
        <f>_DATA_Assessment_Model!AO143</f>
        <v/>
      </c>
      <c r="AS143" s="247">
        <f>_DATA_Assessment_Model!AP143</f>
        <v/>
      </c>
      <c r="AT143" s="247">
        <f>_DATA_Assessment_Model!AQ143</f>
        <v/>
      </c>
      <c r="AU143" s="247">
        <f>_DATA_Assessment_Model!AR143</f>
        <v/>
      </c>
      <c r="AV143" s="5">
        <f>_DATA_Assessment_Model!AS143</f>
        <v/>
      </c>
      <c r="AW143" s="5">
        <f>_DATA_Assessment_Model!AT143</f>
        <v/>
      </c>
      <c r="AY143">
        <f>_DATA_Assessment_Model!AV143</f>
        <v/>
      </c>
    </row>
    <row r="144">
      <c r="A144" t="inlineStr">
        <is>
          <t>Legal Risk</t>
        </is>
      </c>
      <c r="B144" t="inlineStr">
        <is>
          <t>Legal Risk</t>
        </is>
      </c>
      <c r="C144" t="n">
        <v>25</v>
      </c>
      <c r="D144" t="inlineStr">
        <is>
          <t>LEGA-021</t>
        </is>
      </c>
      <c r="E144" t="inlineStr">
        <is>
          <t>Compliance</t>
        </is>
      </c>
      <c r="F144" t="inlineStr">
        <is>
          <t>How mature is the organization in managing litigation and dispute portfolio management with a dispute register, external counsel panel and budget control, including ownership, evidence, metrics, fallback procedures and crisis stress testing?</t>
        </is>
      </c>
      <c r="G144" t="inlineStr">
        <is>
          <t>This topic affects exposure to Regulatory/legal shock; Financial/liquidity crisis. It helps identify how disruption may impact operations, people, revenue, systems, legal exposure or recovery time.</t>
        </is>
      </c>
      <c r="H144" t="inlineStr">
        <is>
          <t>legal operations practices; ISO 31000</t>
        </is>
      </c>
      <c r="I144" t="inlineStr">
        <is>
          <t>Policy/SOP; owner/RACI; system report; dashboard; contracts; test records; incident history; interview evidence</t>
        </is>
      </c>
      <c r="J144" t="n">
        <v>3</v>
      </c>
      <c r="K144">
        <f>_DATA_Assessment_Model!H144</f>
        <v/>
      </c>
      <c r="L144">
        <f>_DATA_Assessment_Model!I144</f>
        <v/>
      </c>
      <c r="M144">
        <f>_DATA_Assessment_Model!J144</f>
        <v/>
      </c>
      <c r="N144">
        <f>_DATA_Assessment_Model!K144</f>
        <v/>
      </c>
      <c r="O144">
        <f>_DATA_Assessment_Model!L144</f>
        <v/>
      </c>
      <c r="P144" t="inlineStr">
        <is>
          <t>No reliable evidence that litigation and dispute portfolio management with a dispute register, external counsel panel and budget control is defined, owned or managed.</t>
        </is>
      </c>
      <c r="Q144" t="inlineStr">
        <is>
          <t>Litigation and dispute portfolio management with a dispute register, external counsel panel and budget control is handled informally and depends on individual knowledge or heroic effort.</t>
        </is>
      </c>
      <c r="R144" t="inlineStr">
        <is>
          <t>Litigation and dispute portfolio management with a dispute register, external counsel panel and budget control is partially documented or implemented, but coverage is inconsistent and not crisis-tested.</t>
        </is>
      </c>
      <c r="S144" t="inlineStr">
        <is>
          <t>Litigation and dispute portfolio management with a dispute register, external counsel panel and budget control is documented, owned, used in normal operations and supported by basic evidence or metrics.</t>
        </is>
      </c>
      <c r="T144" t="inlineStr">
        <is>
          <t>Litigation and dispute portfolio management with a dispute register, external counsel panel and budget control is measured, periodically reviewed, integrated with related processes and tested against relevant disruption scenarios.</t>
        </is>
      </c>
      <c r="U144" t="inlineStr">
        <is>
          <t>Litigation and dispute portfolio management with a dispute register, external counsel panel and budget control is optimized, continuously improved, automated where practical and demonstrably supports crisis resilience.</t>
        </is>
      </c>
      <c r="V144" t="inlineStr">
        <is>
          <t>Regulatory/legal shock; Financial/liquidity crisis</t>
        </is>
      </c>
      <c r="Y144" t="inlineStr">
        <is>
          <t>Use the recommended action generated by the model; validate with domain owner during real assessment.</t>
        </is>
      </c>
      <c r="Z144" t="n">
        <v>3</v>
      </c>
      <c r="AA144" t="n">
        <v>3</v>
      </c>
      <c r="AB144" t="n">
        <v>4</v>
      </c>
      <c r="AM144">
        <f>_DATA_Assessment_Model!AJ144</f>
        <v/>
      </c>
      <c r="AN144">
        <f>_DATA_Assessment_Model!AK144</f>
        <v/>
      </c>
      <c r="AO144">
        <f>_DATA_Assessment_Model!AL144</f>
        <v/>
      </c>
      <c r="AP144">
        <f>_DATA_Assessment_Model!AM144</f>
        <v/>
      </c>
      <c r="AQ144">
        <f>_DATA_Assessment_Model!AN144</f>
        <v/>
      </c>
      <c r="AR144">
        <f>_DATA_Assessment_Model!AO144</f>
        <v/>
      </c>
      <c r="AS144">
        <f>_DATA_Assessment_Model!AP144</f>
        <v/>
      </c>
      <c r="AT144">
        <f>_DATA_Assessment_Model!AQ144</f>
        <v/>
      </c>
      <c r="AU144">
        <f>_DATA_Assessment_Model!AR144</f>
        <v/>
      </c>
      <c r="AV144">
        <f>_DATA_Assessment_Model!AS144</f>
        <v/>
      </c>
      <c r="AW144">
        <f>_DATA_Assessment_Model!AT144</f>
        <v/>
      </c>
      <c r="AY144">
        <f>_DATA_Assessment_Model!AV144</f>
        <v/>
      </c>
    </row>
    <row r="145" ht="82.8" customHeight="1" s="209">
      <c r="A145" t="inlineStr">
        <is>
          <t>Physical Safety</t>
        </is>
      </c>
      <c r="B145" t="inlineStr">
        <is>
          <t>Physical Safety</t>
        </is>
      </c>
      <c r="C145" t="n">
        <v>5</v>
      </c>
      <c r="D145" s="3" t="inlineStr">
        <is>
          <t>PHYS-001</t>
        </is>
      </c>
      <c r="E145" s="3" t="inlineStr">
        <is>
          <t>OH&amp;S governance</t>
        </is>
      </c>
      <c r="F145" s="3" t="inlineStr">
        <is>
          <t>How mature is the organization in managing occupational health and safety management system with owners, objectives, audits and management review, including ownership, evidence, metrics, fallback procedures and crisis stress testing?</t>
        </is>
      </c>
      <c r="G145" s="3" t="inlineStr">
        <is>
          <t>This topic affects exposure to Safety incident; Physical site loss; War/security crisis; Natural disaster. It helps identify how disruption may impact operations, people, revenue, systems, legal exposure or recovery time.</t>
        </is>
      </c>
      <c r="H145" s="3" t="inlineStr">
        <is>
          <t>ISO 45001; ISO 22320; ISO 31030; ISO 18788; ISO 22301; NFPA; local OH&amp;S rules</t>
        </is>
      </c>
      <c r="I145" s="3" t="inlineStr">
        <is>
          <t>Policy/SOP; owner/RACI; system report; dashboard; contracts; test records; incident history; interview evidence related to occupational health and safety management system with owners, objectives, audits and management review.</t>
        </is>
      </c>
      <c r="J145" s="3" t="n">
        <v>5</v>
      </c>
      <c r="K145" s="85">
        <f>_DATA_Assessment_Model!H145</f>
        <v/>
      </c>
      <c r="L145" s="4">
        <f>_DATA_Assessment_Model!I145</f>
        <v/>
      </c>
      <c r="M145" s="4">
        <f>_DATA_Assessment_Model!J145</f>
        <v/>
      </c>
      <c r="N145" s="4">
        <f>_DATA_Assessment_Model!K145</f>
        <v/>
      </c>
      <c r="O145" s="3">
        <f>_DATA_Assessment_Model!L145</f>
        <v/>
      </c>
      <c r="P145" s="3" t="inlineStr">
        <is>
          <t>Does not exist; no owner, no documentation, no practice.</t>
        </is>
      </c>
      <c r="Q145" s="3" t="inlineStr">
        <is>
          <t>Ad hoc; depends entirely on specific individuals.</t>
        </is>
      </c>
      <c r="R145" s="3" t="inlineStr">
        <is>
          <t>Partially documented or implemented; coverage inconsistent; never tested under stress.</t>
        </is>
      </c>
      <c r="S145" s="3" t="inlineStr">
        <is>
          <t>Documented, owned, executed consistently; basic evidence and metrics exist.</t>
        </is>
      </c>
      <c r="T145" s="3" t="inlineStr">
        <is>
          <t>Measured and periodically tested/audited; integrated with adjacent processes.</t>
        </is>
      </c>
      <c r="U145" s="3" t="inlineStr">
        <is>
          <t>Optimized and automated where practical; stress-tested; benchmarked externally.</t>
        </is>
      </c>
      <c r="V145" s="3" t="inlineStr">
        <is>
          <t>Safety incident; Physical site loss; War/security crisis; Natural disaster</t>
        </is>
      </c>
      <c r="W145" s="3" t="n"/>
      <c r="X145" s="3" t="n"/>
      <c r="Y145" s="3" t="inlineStr">
        <is>
          <t>Use the recommended action generated by the model; validate with domain owner during real assessment.</t>
        </is>
      </c>
      <c r="Z145" s="7" t="n">
        <v>4</v>
      </c>
      <c r="AA145" s="7" t="n">
        <v>5</v>
      </c>
      <c r="AB145" s="7" t="n">
        <v>5</v>
      </c>
      <c r="AD145" t="inlineStr">
        <is>
          <t>OH&amp;S governance</t>
        </is>
      </c>
      <c r="AE145" s="6">
        <f>_DATA_Assessment_Model!AB145</f>
        <v/>
      </c>
      <c r="AF145" s="8">
        <f>_DATA_Assessment_Model!AC145</f>
        <v/>
      </c>
      <c r="AG145" s="9">
        <f>_DATA_Assessment_Model!AD145</f>
        <v/>
      </c>
      <c r="AH145" s="6">
        <f>_DATA_Assessment_Model!AE145</f>
        <v/>
      </c>
      <c r="AI145" s="8">
        <f>_DATA_Assessment_Model!AF145</f>
        <v/>
      </c>
      <c r="AJ145" s="6">
        <f>_DATA_Assessment_Model!AG145</f>
        <v/>
      </c>
      <c r="AK145" s="46" t="n"/>
      <c r="AL145" s="46" t="n"/>
      <c r="AM145" s="247">
        <f>_DATA_Assessment_Model!AJ145</f>
        <v/>
      </c>
      <c r="AN145" s="247">
        <f>_DATA_Assessment_Model!AK145</f>
        <v/>
      </c>
      <c r="AO145" s="247">
        <f>_DATA_Assessment_Model!AL145</f>
        <v/>
      </c>
      <c r="AP145" s="247">
        <f>_DATA_Assessment_Model!AM145</f>
        <v/>
      </c>
      <c r="AQ145" s="247">
        <f>_DATA_Assessment_Model!AN145</f>
        <v/>
      </c>
      <c r="AR145" s="247">
        <f>_DATA_Assessment_Model!AO145</f>
        <v/>
      </c>
      <c r="AS145" s="247">
        <f>_DATA_Assessment_Model!AP145</f>
        <v/>
      </c>
      <c r="AT145" s="247">
        <f>_DATA_Assessment_Model!AQ145</f>
        <v/>
      </c>
      <c r="AU145" s="247">
        <f>_DATA_Assessment_Model!AR145</f>
        <v/>
      </c>
      <c r="AV145" s="5">
        <f>_DATA_Assessment_Model!AS145</f>
        <v/>
      </c>
      <c r="AW145" s="5">
        <f>_DATA_Assessment_Model!AT145</f>
        <v/>
      </c>
      <c r="AY145">
        <f>_DATA_Assessment_Model!AV145</f>
        <v/>
      </c>
    </row>
    <row r="146" ht="82.8" customHeight="1" s="209">
      <c r="A146" t="inlineStr">
        <is>
          <t>Physical Safety</t>
        </is>
      </c>
      <c r="B146" t="inlineStr">
        <is>
          <t>Physical Safety</t>
        </is>
      </c>
      <c r="C146" t="n">
        <v>6</v>
      </c>
      <c r="D146" s="3" t="inlineStr">
        <is>
          <t>PHYS-002</t>
        </is>
      </c>
      <c r="E146" s="3" t="inlineStr">
        <is>
          <t>OH&amp;S governance</t>
        </is>
      </c>
      <c r="F146" s="3" t="inlineStr">
        <is>
          <t>How mature is the organization in managing site risk assessments for fire, structure, utilities, hazardous materials, crime, weather, war/security and access, including ownership, evidence, metrics, fallback procedures and crisis stress testing?</t>
        </is>
      </c>
      <c r="G146" s="3" t="inlineStr">
        <is>
          <t>This topic affects exposure to Safety incident; Physical site loss; War/security crisis; Natural disaster. It helps identify how disruption may impact operations, people, revenue, systems, legal exposure or recovery time.</t>
        </is>
      </c>
      <c r="H146" s="3" t="inlineStr">
        <is>
          <t>ISO 45001; ISO 22320; ISO 31030; ISO 18788; ISO 22301; NFPA; local OH&amp;S rules</t>
        </is>
      </c>
      <c r="I146" s="3" t="inlineStr">
        <is>
          <t>Policy/SOP; owner/RACI; system report; dashboard; contracts; test records; incident history; interview evidence related to site risk assessments for fire, structure, utilities, hazardous materials, crime, weather, war/security and access.</t>
        </is>
      </c>
      <c r="J146" s="3" t="n">
        <v>5</v>
      </c>
      <c r="K146" s="85">
        <f>_DATA_Assessment_Model!H146</f>
        <v/>
      </c>
      <c r="L146" s="4">
        <f>_DATA_Assessment_Model!I146</f>
        <v/>
      </c>
      <c r="M146" s="4">
        <f>_DATA_Assessment_Model!J146</f>
        <v/>
      </c>
      <c r="N146" s="4">
        <f>_DATA_Assessment_Model!K146</f>
        <v/>
      </c>
      <c r="O146" s="3">
        <f>_DATA_Assessment_Model!L146</f>
        <v/>
      </c>
      <c r="P146" s="3" t="inlineStr">
        <is>
          <t>Does not exist; no owner, no documentation, no practice.</t>
        </is>
      </c>
      <c r="Q146" s="3" t="inlineStr">
        <is>
          <t>Ad hoc; depends entirely on specific individuals.</t>
        </is>
      </c>
      <c r="R146" s="3" t="inlineStr">
        <is>
          <t>Partially documented or implemented; coverage inconsistent; never tested under stress.</t>
        </is>
      </c>
      <c r="S146" s="3" t="inlineStr">
        <is>
          <t>Documented, owned, executed consistently; basic evidence and metrics exist.</t>
        </is>
      </c>
      <c r="T146" s="3" t="inlineStr">
        <is>
          <t>Measured and periodically tested/audited; integrated with adjacent processes.</t>
        </is>
      </c>
      <c r="U146" s="3" t="inlineStr">
        <is>
          <t>Optimized and automated where practical; stress-tested; benchmarked externally.</t>
        </is>
      </c>
      <c r="V146" s="3" t="inlineStr">
        <is>
          <t>Safety incident; Physical site loss; War/security crisis; Natural disaster</t>
        </is>
      </c>
      <c r="W146" s="3" t="n"/>
      <c r="X146" s="3" t="n"/>
      <c r="Y146" s="3" t="inlineStr">
        <is>
          <t>Use the recommended action generated by the model; validate with domain owner during real assessment.</t>
        </is>
      </c>
      <c r="Z146" s="7" t="n">
        <v>4</v>
      </c>
      <c r="AA146" s="7" t="n">
        <v>5</v>
      </c>
      <c r="AB146" s="7" t="n">
        <v>5</v>
      </c>
      <c r="AD146" t="inlineStr">
        <is>
          <t>Facilities and access</t>
        </is>
      </c>
      <c r="AE146" s="6">
        <f>_DATA_Assessment_Model!AB146</f>
        <v/>
      </c>
      <c r="AF146" s="8">
        <f>_DATA_Assessment_Model!AC146</f>
        <v/>
      </c>
      <c r="AG146" s="9">
        <f>_DATA_Assessment_Model!AD146</f>
        <v/>
      </c>
      <c r="AH146" s="6">
        <f>_DATA_Assessment_Model!AE146</f>
        <v/>
      </c>
      <c r="AI146" s="8">
        <f>_DATA_Assessment_Model!AF146</f>
        <v/>
      </c>
      <c r="AJ146" s="6">
        <f>_DATA_Assessment_Model!AG146</f>
        <v/>
      </c>
      <c r="AK146" s="46" t="n"/>
      <c r="AL146" s="46" t="n"/>
      <c r="AM146" s="247">
        <f>_DATA_Assessment_Model!AJ146</f>
        <v/>
      </c>
      <c r="AN146" s="247">
        <f>_DATA_Assessment_Model!AK146</f>
        <v/>
      </c>
      <c r="AO146" s="247">
        <f>_DATA_Assessment_Model!AL146</f>
        <v/>
      </c>
      <c r="AP146" s="247">
        <f>_DATA_Assessment_Model!AM146</f>
        <v/>
      </c>
      <c r="AQ146" s="247">
        <f>_DATA_Assessment_Model!AN146</f>
        <v/>
      </c>
      <c r="AR146" s="247">
        <f>_DATA_Assessment_Model!AO146</f>
        <v/>
      </c>
      <c r="AS146" s="247">
        <f>_DATA_Assessment_Model!AP146</f>
        <v/>
      </c>
      <c r="AT146" s="247">
        <f>_DATA_Assessment_Model!AQ146</f>
        <v/>
      </c>
      <c r="AU146" s="247">
        <f>_DATA_Assessment_Model!AR146</f>
        <v/>
      </c>
      <c r="AV146" s="5">
        <f>_DATA_Assessment_Model!AS146</f>
        <v/>
      </c>
      <c r="AW146" s="5">
        <f>_DATA_Assessment_Model!AT146</f>
        <v/>
      </c>
      <c r="AY146">
        <f>_DATA_Assessment_Model!AV146</f>
        <v/>
      </c>
    </row>
    <row r="147" ht="82.8" customHeight="1" s="209">
      <c r="A147" t="inlineStr">
        <is>
          <t>Physical Safety</t>
        </is>
      </c>
      <c r="B147" t="inlineStr">
        <is>
          <t>Physical Safety</t>
        </is>
      </c>
      <c r="C147" t="n">
        <v>7</v>
      </c>
      <c r="D147" s="3" t="inlineStr">
        <is>
          <t>PHYS-003</t>
        </is>
      </c>
      <c r="E147" s="3" t="inlineStr">
        <is>
          <t>OH&amp;S governance</t>
        </is>
      </c>
      <c r="F147" s="3" t="inlineStr">
        <is>
          <t>How mature is the organization in managing job hazard analysis for roles, tasks, production activities and field work, including ownership, evidence, metrics, fallback procedures and crisis stress testing?</t>
        </is>
      </c>
      <c r="G147" s="3" t="inlineStr">
        <is>
          <t>This topic affects exposure to Safety incident; Physical site loss; War/security crisis; Natural disaster. It helps identify how disruption may impact operations, people, revenue, systems, legal exposure or recovery time.</t>
        </is>
      </c>
      <c r="H147" s="3" t="inlineStr">
        <is>
          <t>ISO 45001; ISO 22320; ISO 31030; ISO 18788; ISO 22301; NFPA; local OH&amp;S rules</t>
        </is>
      </c>
      <c r="I147" s="3" t="inlineStr">
        <is>
          <t>Policy/SOP; owner/RACI; system report; dashboard; contracts; test records; incident history; interview evidence related to job hazard analysis for roles, tasks, production activities and field work.</t>
        </is>
      </c>
      <c r="J147" s="3" t="n">
        <v>5</v>
      </c>
      <c r="K147" s="85">
        <f>_DATA_Assessment_Model!H147</f>
        <v/>
      </c>
      <c r="L147" s="4">
        <f>_DATA_Assessment_Model!I147</f>
        <v/>
      </c>
      <c r="M147" s="4">
        <f>_DATA_Assessment_Model!J147</f>
        <v/>
      </c>
      <c r="N147" s="4">
        <f>_DATA_Assessment_Model!K147</f>
        <v/>
      </c>
      <c r="O147" s="3">
        <f>_DATA_Assessment_Model!L147</f>
        <v/>
      </c>
      <c r="P147" s="3" t="inlineStr">
        <is>
          <t>Does not exist; no owner, no documentation, no practice.</t>
        </is>
      </c>
      <c r="Q147" s="3" t="inlineStr">
        <is>
          <t>Ad hoc; depends entirely on specific individuals.</t>
        </is>
      </c>
      <c r="R147" s="3" t="inlineStr">
        <is>
          <t>Partially documented or implemented; coverage inconsistent; never tested under stress.</t>
        </is>
      </c>
      <c r="S147" s="3" t="inlineStr">
        <is>
          <t>Documented, owned, executed consistently; basic evidence and metrics exist.</t>
        </is>
      </c>
      <c r="T147" s="3" t="inlineStr">
        <is>
          <t>Measured and periodically tested/audited; integrated with adjacent processes.</t>
        </is>
      </c>
      <c r="U147" s="3" t="inlineStr">
        <is>
          <t>Optimized and automated where practical; stress-tested; benchmarked externally.</t>
        </is>
      </c>
      <c r="V147" s="3" t="inlineStr">
        <is>
          <t>Safety incident; Physical site loss; War/security crisis; Natural disaster</t>
        </is>
      </c>
      <c r="W147" s="3" t="n"/>
      <c r="X147" s="3" t="n"/>
      <c r="Y147" s="3" t="inlineStr">
        <is>
          <t>Use the recommended action generated by the model; validate with domain owner during real assessment.</t>
        </is>
      </c>
      <c r="Z147" s="7" t="n">
        <v>4</v>
      </c>
      <c r="AA147" s="7" t="n">
        <v>5</v>
      </c>
      <c r="AB147" s="7" t="n">
        <v>5</v>
      </c>
      <c r="AD147" t="inlineStr">
        <is>
          <t>Emergency response</t>
        </is>
      </c>
      <c r="AE147" s="6">
        <f>_DATA_Assessment_Model!AB147</f>
        <v/>
      </c>
      <c r="AF147" s="8">
        <f>_DATA_Assessment_Model!AC147</f>
        <v/>
      </c>
      <c r="AG147" s="9">
        <f>_DATA_Assessment_Model!AD147</f>
        <v/>
      </c>
      <c r="AH147" s="6">
        <f>_DATA_Assessment_Model!AE147</f>
        <v/>
      </c>
      <c r="AI147" s="8">
        <f>_DATA_Assessment_Model!AF147</f>
        <v/>
      </c>
      <c r="AJ147" s="6">
        <f>_DATA_Assessment_Model!AG147</f>
        <v/>
      </c>
      <c r="AK147" s="46" t="n"/>
      <c r="AL147" s="46" t="n"/>
      <c r="AM147" s="247">
        <f>_DATA_Assessment_Model!AJ147</f>
        <v/>
      </c>
      <c r="AN147" s="247">
        <f>_DATA_Assessment_Model!AK147</f>
        <v/>
      </c>
      <c r="AO147" s="247">
        <f>_DATA_Assessment_Model!AL147</f>
        <v/>
      </c>
      <c r="AP147" s="247">
        <f>_DATA_Assessment_Model!AM147</f>
        <v/>
      </c>
      <c r="AQ147" s="247">
        <f>_DATA_Assessment_Model!AN147</f>
        <v/>
      </c>
      <c r="AR147" s="247">
        <f>_DATA_Assessment_Model!AO147</f>
        <v/>
      </c>
      <c r="AS147" s="247">
        <f>_DATA_Assessment_Model!AP147</f>
        <v/>
      </c>
      <c r="AT147" s="247">
        <f>_DATA_Assessment_Model!AQ147</f>
        <v/>
      </c>
      <c r="AU147" s="247">
        <f>_DATA_Assessment_Model!AR147</f>
        <v/>
      </c>
      <c r="AV147" s="5">
        <f>_DATA_Assessment_Model!AS147</f>
        <v/>
      </c>
      <c r="AW147" s="5">
        <f>_DATA_Assessment_Model!AT147</f>
        <v/>
      </c>
      <c r="AY147">
        <f>_DATA_Assessment_Model!AV147</f>
        <v/>
      </c>
    </row>
    <row r="148" ht="82.8" customHeight="1" s="209">
      <c r="A148" t="inlineStr">
        <is>
          <t>Physical Safety</t>
        </is>
      </c>
      <c r="B148" t="inlineStr">
        <is>
          <t>Physical Safety</t>
        </is>
      </c>
      <c r="C148" t="n">
        <v>8</v>
      </c>
      <c r="D148" s="3" t="inlineStr">
        <is>
          <t>PHYS-004</t>
        </is>
      </c>
      <c r="E148" s="3" t="inlineStr">
        <is>
          <t>OH&amp;S governance</t>
        </is>
      </c>
      <c r="F148" s="3" t="inlineStr">
        <is>
          <t>How mature is the organization in managing contractor and visitor safety induction, permits-to-work, site rules and emergency procedures, including ownership, evidence, metrics, fallback procedures and crisis stress testing?</t>
        </is>
      </c>
      <c r="G148" s="3" t="inlineStr">
        <is>
          <t>This topic affects exposure to Safety incident; Physical site loss; War/security crisis; Natural disaster. It helps identify how disruption may impact operations, people, revenue, systems, legal exposure or recovery time.</t>
        </is>
      </c>
      <c r="H148" s="3" t="inlineStr">
        <is>
          <t>ISO 45001; ISO 22320; ISO 31030; ISO 18788; ISO 22301; NFPA; local OH&amp;S rules</t>
        </is>
      </c>
      <c r="I148" s="3" t="inlineStr">
        <is>
          <t>Policy/SOP; owner/RACI; system report; dashboard; contracts; test records; incident history; interview evidence related to contractor and visitor safety induction, permits-to-work, site rules and emergency procedures.</t>
        </is>
      </c>
      <c r="J148" s="3" t="n">
        <v>5</v>
      </c>
      <c r="K148" s="85">
        <f>_DATA_Assessment_Model!H148</f>
        <v/>
      </c>
      <c r="L148" s="4">
        <f>_DATA_Assessment_Model!I148</f>
        <v/>
      </c>
      <c r="M148" s="4">
        <f>_DATA_Assessment_Model!J148</f>
        <v/>
      </c>
      <c r="N148" s="4">
        <f>_DATA_Assessment_Model!K148</f>
        <v/>
      </c>
      <c r="O148" s="3">
        <f>_DATA_Assessment_Model!L148</f>
        <v/>
      </c>
      <c r="P148" s="3" t="inlineStr">
        <is>
          <t>No plan or procedure exists.</t>
        </is>
      </c>
      <c r="Q148" s="3" t="inlineStr">
        <is>
          <t>Knowledge lives with individuals; nothing usable is written down.</t>
        </is>
      </c>
      <c r="R148" s="3" t="inlineStr">
        <is>
          <t>Drafted but outdated, not approved, or unknown to the people who must use it.</t>
        </is>
      </c>
      <c r="S148" s="3" t="inlineStr">
        <is>
          <t>Approved and current; owners assigned; affected staff know it exists and where to find it.</t>
        </is>
      </c>
      <c r="T148" s="3" t="inlineStr">
        <is>
          <t>Tested against realistic scenarios; updated after each test or real incident.</t>
        </is>
      </c>
      <c r="U148" s="3" t="inlineStr">
        <is>
          <t>Exercised regularly including external parties; readiness measured; continuously improved.</t>
        </is>
      </c>
      <c r="V148" s="3" t="inlineStr">
        <is>
          <t>Safety incident; Physical site loss; War/security crisis; Natural disaster</t>
        </is>
      </c>
      <c r="W148" s="3" t="n"/>
      <c r="X148" s="3" t="n"/>
      <c r="Y148" s="3" t="inlineStr">
        <is>
          <t>Use the recommended action generated by the model; validate with domain owner during real assessment.</t>
        </is>
      </c>
      <c r="Z148" s="7" t="n">
        <v>4</v>
      </c>
      <c r="AA148" s="7" t="n">
        <v>5</v>
      </c>
      <c r="AB148" s="7" t="n">
        <v>5</v>
      </c>
      <c r="AD148" t="inlineStr">
        <is>
          <t>Security and travel</t>
        </is>
      </c>
      <c r="AE148" s="6">
        <f>_DATA_Assessment_Model!AB148</f>
        <v/>
      </c>
      <c r="AF148" s="8">
        <f>_DATA_Assessment_Model!AC148</f>
        <v/>
      </c>
      <c r="AG148" s="9">
        <f>_DATA_Assessment_Model!AD148</f>
        <v/>
      </c>
      <c r="AH148" s="6">
        <f>_DATA_Assessment_Model!AE148</f>
        <v/>
      </c>
      <c r="AI148" s="8">
        <f>_DATA_Assessment_Model!AF148</f>
        <v/>
      </c>
      <c r="AJ148" s="6">
        <f>_DATA_Assessment_Model!AG148</f>
        <v/>
      </c>
      <c r="AK148" s="46" t="n"/>
      <c r="AL148" s="46" t="n"/>
      <c r="AM148" s="247">
        <f>_DATA_Assessment_Model!AJ148</f>
        <v/>
      </c>
      <c r="AN148" s="247">
        <f>_DATA_Assessment_Model!AK148</f>
        <v/>
      </c>
      <c r="AO148" s="247">
        <f>_DATA_Assessment_Model!AL148</f>
        <v/>
      </c>
      <c r="AP148" s="247">
        <f>_DATA_Assessment_Model!AM148</f>
        <v/>
      </c>
      <c r="AQ148" s="247">
        <f>_DATA_Assessment_Model!AN148</f>
        <v/>
      </c>
      <c r="AR148" s="247">
        <f>_DATA_Assessment_Model!AO148</f>
        <v/>
      </c>
      <c r="AS148" s="247">
        <f>_DATA_Assessment_Model!AP148</f>
        <v/>
      </c>
      <c r="AT148" s="247">
        <f>_DATA_Assessment_Model!AQ148</f>
        <v/>
      </c>
      <c r="AU148" s="247">
        <f>_DATA_Assessment_Model!AR148</f>
        <v/>
      </c>
      <c r="AV148" s="5">
        <f>_DATA_Assessment_Model!AS148</f>
        <v/>
      </c>
      <c r="AW148" s="5">
        <f>_DATA_Assessment_Model!AT148</f>
        <v/>
      </c>
      <c r="AY148">
        <f>_DATA_Assessment_Model!AV148</f>
        <v/>
      </c>
    </row>
    <row r="149" ht="82.8" customHeight="1" s="209">
      <c r="A149" t="inlineStr">
        <is>
          <t>Physical Safety</t>
        </is>
      </c>
      <c r="B149" t="inlineStr">
        <is>
          <t>Physical Safety</t>
        </is>
      </c>
      <c r="C149" t="n">
        <v>9</v>
      </c>
      <c r="D149" s="3" t="inlineStr">
        <is>
          <t>PHYS-005</t>
        </is>
      </c>
      <c r="E149" s="3" t="inlineStr">
        <is>
          <t>OH&amp;S governance</t>
        </is>
      </c>
      <c r="F149" s="3" t="inlineStr">
        <is>
          <t>How mature is the organization in managing near-miss and safety incident reporting, investigation and corrective action, including ownership, evidence, metrics, fallback procedures and crisis stress testing?</t>
        </is>
      </c>
      <c r="G149" s="3" t="inlineStr">
        <is>
          <t>This topic affects exposure to Safety incident; Physical site loss; War/security crisis; Natural disaster. It helps identify how disruption may impact operations, people, revenue, systems, legal exposure or recovery time.</t>
        </is>
      </c>
      <c r="H149" s="3" t="inlineStr">
        <is>
          <t>ISO 45001; ISO 22320; ISO 31030; ISO 18788; ISO 22301; NFPA; local OH&amp;S rules</t>
        </is>
      </c>
      <c r="I149" s="3" t="inlineStr">
        <is>
          <t>Policy/SOP; owner/RACI; system report; dashboard; contracts; test records; incident history; interview evidence related to near-miss and safety incident reporting, investigation and corrective action.</t>
        </is>
      </c>
      <c r="J149" s="3" t="n">
        <v>5</v>
      </c>
      <c r="K149" s="85">
        <f>_DATA_Assessment_Model!H149</f>
        <v/>
      </c>
      <c r="L149" s="4">
        <f>_DATA_Assessment_Model!I149</f>
        <v/>
      </c>
      <c r="M149" s="4">
        <f>_DATA_Assessment_Model!J149</f>
        <v/>
      </c>
      <c r="N149" s="4">
        <f>_DATA_Assessment_Model!K149</f>
        <v/>
      </c>
      <c r="O149" s="3">
        <f>_DATA_Assessment_Model!L149</f>
        <v/>
      </c>
      <c r="P149" s="3" t="inlineStr">
        <is>
          <t>Does not exist; no owner, no documentation, no practice.</t>
        </is>
      </c>
      <c r="Q149" s="3" t="inlineStr">
        <is>
          <t>Ad hoc; depends entirely on specific individuals.</t>
        </is>
      </c>
      <c r="R149" s="3" t="inlineStr">
        <is>
          <t>Partially documented or implemented; coverage inconsistent; never tested under stress.</t>
        </is>
      </c>
      <c r="S149" s="3" t="inlineStr">
        <is>
          <t>Documented, owned, executed consistently; basic evidence and metrics exist.</t>
        </is>
      </c>
      <c r="T149" s="3" t="inlineStr">
        <is>
          <t>Measured and periodically tested/audited; integrated with adjacent processes.</t>
        </is>
      </c>
      <c r="U149" s="3" t="inlineStr">
        <is>
          <t>Optimized and automated where practical; stress-tested; benchmarked externally.</t>
        </is>
      </c>
      <c r="V149" s="3" t="inlineStr">
        <is>
          <t>Safety incident; Physical site loss; War/security crisis; Natural disaster</t>
        </is>
      </c>
      <c r="W149" s="3" t="n"/>
      <c r="X149" s="3" t="n"/>
      <c r="Y149" s="3" t="inlineStr">
        <is>
          <t>Use the recommended action generated by the model; validate with domain owner during real assessment.</t>
        </is>
      </c>
      <c r="Z149" s="7" t="n">
        <v>4</v>
      </c>
      <c r="AA149" s="7" t="n">
        <v>5</v>
      </c>
      <c r="AB149" s="7" t="n">
        <v>5</v>
      </c>
      <c r="AD149" t="inlineStr">
        <is>
          <t>Utilities and resilience</t>
        </is>
      </c>
      <c r="AE149" s="6">
        <f>_DATA_Assessment_Model!AB149</f>
        <v/>
      </c>
      <c r="AF149" s="8">
        <f>_DATA_Assessment_Model!AC149</f>
        <v/>
      </c>
      <c r="AG149" s="9">
        <f>_DATA_Assessment_Model!AD149</f>
        <v/>
      </c>
      <c r="AH149" s="6">
        <f>_DATA_Assessment_Model!AE149</f>
        <v/>
      </c>
      <c r="AI149" s="8">
        <f>_DATA_Assessment_Model!AF149</f>
        <v/>
      </c>
      <c r="AJ149" s="6">
        <f>_DATA_Assessment_Model!AG149</f>
        <v/>
      </c>
      <c r="AK149" s="46" t="n"/>
      <c r="AL149" s="46" t="n"/>
      <c r="AM149" s="247">
        <f>_DATA_Assessment_Model!AJ149</f>
        <v/>
      </c>
      <c r="AN149" s="247">
        <f>_DATA_Assessment_Model!AK149</f>
        <v/>
      </c>
      <c r="AO149" s="247">
        <f>_DATA_Assessment_Model!AL149</f>
        <v/>
      </c>
      <c r="AP149" s="247">
        <f>_DATA_Assessment_Model!AM149</f>
        <v/>
      </c>
      <c r="AQ149" s="247">
        <f>_DATA_Assessment_Model!AN149</f>
        <v/>
      </c>
      <c r="AR149" s="247">
        <f>_DATA_Assessment_Model!AO149</f>
        <v/>
      </c>
      <c r="AS149" s="247">
        <f>_DATA_Assessment_Model!AP149</f>
        <v/>
      </c>
      <c r="AT149" s="247">
        <f>_DATA_Assessment_Model!AQ149</f>
        <v/>
      </c>
      <c r="AU149" s="247">
        <f>_DATA_Assessment_Model!AR149</f>
        <v/>
      </c>
      <c r="AV149" s="5">
        <f>_DATA_Assessment_Model!AS149</f>
        <v/>
      </c>
      <c r="AW149" s="5">
        <f>_DATA_Assessment_Model!AT149</f>
        <v/>
      </c>
      <c r="AY149">
        <f>_DATA_Assessment_Model!AV149</f>
        <v/>
      </c>
    </row>
    <row r="150" ht="82.8" customHeight="1" s="209">
      <c r="A150" t="inlineStr">
        <is>
          <t>Physical Safety</t>
        </is>
      </c>
      <c r="B150" t="inlineStr">
        <is>
          <t>Physical Safety</t>
        </is>
      </c>
      <c r="C150" t="n">
        <v>10</v>
      </c>
      <c r="D150" s="3" t="inlineStr">
        <is>
          <t>PHYS-006</t>
        </is>
      </c>
      <c r="E150" s="3" t="inlineStr">
        <is>
          <t>OH&amp;S governance</t>
        </is>
      </c>
      <c r="F150" s="3" t="inlineStr">
        <is>
          <t>How mature is the organization in managing serious incident escalation to executives, legal, insurers and regulators, including ownership, evidence, metrics, fallback procedures and crisis stress testing?</t>
        </is>
      </c>
      <c r="G150" s="3" t="inlineStr">
        <is>
          <t>This topic affects exposure to Safety incident; Physical site loss; War/security crisis; Natural disaster. It helps identify how disruption may impact operations, people, revenue, systems, legal exposure or recovery time.</t>
        </is>
      </c>
      <c r="H150" s="3" t="inlineStr">
        <is>
          <t>ISO 45001; ISO 22320; ISO 31030; ISO 18788; ISO 22301; NFPA; local OH&amp;S rules</t>
        </is>
      </c>
      <c r="I150" s="3" t="inlineStr">
        <is>
          <t>Policy/SOP; owner/RACI; system report; dashboard; contracts; test records; incident history; interview evidence related to serious incident escalation to executives, legal, insurers and regulators.</t>
        </is>
      </c>
      <c r="J150" s="3" t="n">
        <v>5</v>
      </c>
      <c r="K150" s="85">
        <f>_DATA_Assessment_Model!H150</f>
        <v/>
      </c>
      <c r="L150" s="4">
        <f>_DATA_Assessment_Model!I150</f>
        <v/>
      </c>
      <c r="M150" s="4">
        <f>_DATA_Assessment_Model!J150</f>
        <v/>
      </c>
      <c r="N150" s="4">
        <f>_DATA_Assessment_Model!K150</f>
        <v/>
      </c>
      <c r="O150" s="3">
        <f>_DATA_Assessment_Model!L150</f>
        <v/>
      </c>
      <c r="P150" s="3" t="inlineStr">
        <is>
          <t>Does not exist; no owner, no documentation, no practice.</t>
        </is>
      </c>
      <c r="Q150" s="3" t="inlineStr">
        <is>
          <t>Ad hoc; depends entirely on specific individuals.</t>
        </is>
      </c>
      <c r="R150" s="3" t="inlineStr">
        <is>
          <t>Partially documented or implemented; coverage inconsistent; never tested under stress.</t>
        </is>
      </c>
      <c r="S150" s="3" t="inlineStr">
        <is>
          <t>Documented, owned, executed consistently; basic evidence and metrics exist.</t>
        </is>
      </c>
      <c r="T150" s="3" t="inlineStr">
        <is>
          <t>Measured and periodically tested/audited; integrated with adjacent processes.</t>
        </is>
      </c>
      <c r="U150" s="3" t="inlineStr">
        <is>
          <t>Optimized and automated where practical; stress-tested; benchmarked externally.</t>
        </is>
      </c>
      <c r="V150" s="3" t="inlineStr">
        <is>
          <t>Safety incident; Physical site loss; War/security crisis; Natural disaster</t>
        </is>
      </c>
      <c r="W150" s="3" t="n"/>
      <c r="X150" s="3" t="n"/>
      <c r="Y150" s="3" t="inlineStr">
        <is>
          <t>Use the recommended action generated by the model; validate with domain owner during real assessment.</t>
        </is>
      </c>
      <c r="Z150" s="7" t="n">
        <v>4</v>
      </c>
      <c r="AA150" s="7" t="n">
        <v>5</v>
      </c>
      <c r="AB150" s="7" t="n">
        <v>5</v>
      </c>
      <c r="AD150" t="inlineStr">
        <is>
          <t>Asset management</t>
        </is>
      </c>
      <c r="AE150">
        <f>_DATA_Assessment_Model!AB150</f>
        <v/>
      </c>
      <c r="AF150">
        <f>_DATA_Assessment_Model!AC150</f>
        <v/>
      </c>
      <c r="AG150">
        <f>_DATA_Assessment_Model!AD150</f>
        <v/>
      </c>
      <c r="AH150">
        <f>_DATA_Assessment_Model!AE150</f>
        <v/>
      </c>
      <c r="AI150">
        <f>_DATA_Assessment_Model!AF150</f>
        <v/>
      </c>
      <c r="AJ150">
        <f>_DATA_Assessment_Model!AG150</f>
        <v/>
      </c>
      <c r="AK150" s="46" t="n"/>
      <c r="AL150" s="46" t="n"/>
      <c r="AM150" s="247">
        <f>_DATA_Assessment_Model!AJ150</f>
        <v/>
      </c>
      <c r="AN150" s="247">
        <f>_DATA_Assessment_Model!AK150</f>
        <v/>
      </c>
      <c r="AO150" s="247">
        <f>_DATA_Assessment_Model!AL150</f>
        <v/>
      </c>
      <c r="AP150" s="247">
        <f>_DATA_Assessment_Model!AM150</f>
        <v/>
      </c>
      <c r="AQ150" s="247">
        <f>_DATA_Assessment_Model!AN150</f>
        <v/>
      </c>
      <c r="AR150" s="247">
        <f>_DATA_Assessment_Model!AO150</f>
        <v/>
      </c>
      <c r="AS150" s="247">
        <f>_DATA_Assessment_Model!AP150</f>
        <v/>
      </c>
      <c r="AT150" s="247">
        <f>_DATA_Assessment_Model!AQ150</f>
        <v/>
      </c>
      <c r="AU150" s="247">
        <f>_DATA_Assessment_Model!AR150</f>
        <v/>
      </c>
      <c r="AV150" s="5">
        <f>_DATA_Assessment_Model!AS150</f>
        <v/>
      </c>
      <c r="AW150" s="5">
        <f>_DATA_Assessment_Model!AT150</f>
        <v/>
      </c>
      <c r="AY150">
        <f>_DATA_Assessment_Model!AV150</f>
        <v/>
      </c>
    </row>
    <row r="151" ht="82.8" customHeight="1" s="209">
      <c r="A151" t="inlineStr">
        <is>
          <t>Physical Safety</t>
        </is>
      </c>
      <c r="B151" t="inlineStr">
        <is>
          <t>Physical Safety</t>
        </is>
      </c>
      <c r="C151" t="n">
        <v>11</v>
      </c>
      <c r="D151" s="3" t="inlineStr">
        <is>
          <t>PHYS-007</t>
        </is>
      </c>
      <c r="E151" s="3" t="inlineStr">
        <is>
          <t>Facilities and access</t>
        </is>
      </c>
      <c r="F151" s="3" t="inlineStr">
        <is>
          <t>How mature is the organization in managing critical facility register with occupancy, business processes, utilities, safety risks and recovery priority, including ownership, evidence, metrics, fallback procedures and crisis stress testing?</t>
        </is>
      </c>
      <c r="G151" s="3" t="inlineStr">
        <is>
          <t>This topic affects exposure to Safety incident; Physical site loss; War/security crisis; Natural disaster. It helps identify how disruption may impact operations, people, revenue, systems, legal exposure or recovery time.</t>
        </is>
      </c>
      <c r="H151" s="3" t="inlineStr">
        <is>
          <t>ISO 45001; ISO 22320; ISO 31030; ISO 18788; ISO 22301; NFPA; local OH&amp;S rules</t>
        </is>
      </c>
      <c r="I151" s="3" t="inlineStr">
        <is>
          <t>Policy/SOP; owner/RACI; system report; dashboard; contracts; test records; incident history; interview evidence related to critical facility register with occupancy, business processes, utilities, safety risks and recovery priority.</t>
        </is>
      </c>
      <c r="J151" s="3" t="n">
        <v>5</v>
      </c>
      <c r="K151" s="85">
        <f>_DATA_Assessment_Model!H151</f>
        <v/>
      </c>
      <c r="L151" s="4">
        <f>_DATA_Assessment_Model!I151</f>
        <v/>
      </c>
      <c r="M151" s="4">
        <f>_DATA_Assessment_Model!J151</f>
        <v/>
      </c>
      <c r="N151" s="4">
        <f>_DATA_Assessment_Model!K151</f>
        <v/>
      </c>
      <c r="O151" s="3">
        <f>_DATA_Assessment_Model!L151</f>
        <v/>
      </c>
      <c r="P151" s="3" t="inlineStr">
        <is>
          <t>No inventory/register exists.</t>
        </is>
      </c>
      <c r="Q151" s="3" t="inlineStr">
        <is>
          <t>Partial lists live in individuals' heads or personal files.</t>
        </is>
      </c>
      <c r="R151" s="3" t="inlineStr">
        <is>
          <t>A register exists but is incomplete or outdated (&gt;1 year) and has no owner.</t>
        </is>
      </c>
      <c r="S151" s="3" t="inlineStr">
        <is>
          <t>Owned, documented, updated on a defined schedule, covers the main scope.</t>
        </is>
      </c>
      <c r="T151" s="3" t="inlineStr">
        <is>
          <t>Complete and periodically reviewed; integrated with related processes; completeness measured.</t>
        </is>
      </c>
      <c r="U151" s="3" t="inlineStr">
        <is>
          <t>Maintained automatically or synced with systems; drives decisions; audited.</t>
        </is>
      </c>
      <c r="V151" s="3" t="inlineStr">
        <is>
          <t>Safety incident; Physical site loss; War/security crisis; Natural disaster</t>
        </is>
      </c>
      <c r="W151" s="3" t="n"/>
      <c r="X151" s="3" t="n"/>
      <c r="Y151" s="3" t="inlineStr">
        <is>
          <t>Use the recommended action generated by the model; validate with domain owner during real assessment.</t>
        </is>
      </c>
      <c r="Z151" s="7" t="n">
        <v>4</v>
      </c>
      <c r="AA151" s="7" t="n">
        <v>5</v>
      </c>
      <c r="AB151" s="7" t="n">
        <v>5</v>
      </c>
      <c r="AK151" s="46" t="n"/>
      <c r="AL151" s="46" t="n"/>
      <c r="AM151" s="247">
        <f>_DATA_Assessment_Model!AJ151</f>
        <v/>
      </c>
      <c r="AN151" s="247">
        <f>_DATA_Assessment_Model!AK151</f>
        <v/>
      </c>
      <c r="AO151" s="247">
        <f>_DATA_Assessment_Model!AL151</f>
        <v/>
      </c>
      <c r="AP151" s="247">
        <f>_DATA_Assessment_Model!AM151</f>
        <v/>
      </c>
      <c r="AQ151" s="247">
        <f>_DATA_Assessment_Model!AN151</f>
        <v/>
      </c>
      <c r="AR151" s="247">
        <f>_DATA_Assessment_Model!AO151</f>
        <v/>
      </c>
      <c r="AS151" s="247">
        <f>_DATA_Assessment_Model!AP151</f>
        <v/>
      </c>
      <c r="AT151" s="247">
        <f>_DATA_Assessment_Model!AQ151</f>
        <v/>
      </c>
      <c r="AU151" s="247">
        <f>_DATA_Assessment_Model!AR151</f>
        <v/>
      </c>
      <c r="AV151" s="5">
        <f>_DATA_Assessment_Model!AS151</f>
        <v/>
      </c>
      <c r="AW151" s="5">
        <f>_DATA_Assessment_Model!AT151</f>
        <v/>
      </c>
      <c r="AY151">
        <f>_DATA_Assessment_Model!AV151</f>
        <v/>
      </c>
    </row>
    <row r="152" ht="82.8" customHeight="1" s="209">
      <c r="A152" t="inlineStr">
        <is>
          <t>Physical Safety</t>
        </is>
      </c>
      <c r="B152" t="inlineStr">
        <is>
          <t>Physical Safety</t>
        </is>
      </c>
      <c r="C152" t="n">
        <v>12</v>
      </c>
      <c r="D152" s="3" t="inlineStr">
        <is>
          <t>PHYS-008</t>
        </is>
      </c>
      <c r="E152" s="3" t="inlineStr">
        <is>
          <t>Facilities and access</t>
        </is>
      </c>
      <c r="F152" s="3" t="inlineStr">
        <is>
          <t>How mature is the organization in managing building integrity, fire systems, emergency exits, shelters, alarms, lighting and backup power inspection, including ownership, evidence, metrics, fallback procedures and crisis stress testing?</t>
        </is>
      </c>
      <c r="G152" s="3" t="inlineStr">
        <is>
          <t>This topic affects exposure to Safety incident; Physical site loss; War/security crisis; Natural disaster. It helps identify how disruption may impact operations, people, revenue, systems, legal exposure or recovery time.</t>
        </is>
      </c>
      <c r="H152" s="3" t="inlineStr">
        <is>
          <t>ISO 45001; ISO 22320; ISO 31030; ISO 18788; ISO 22301; NFPA; local OH&amp;S rules</t>
        </is>
      </c>
      <c r="I152" s="3" t="inlineStr">
        <is>
          <t>Policy/SOP; owner/RACI; system report; dashboard; contracts; test records; incident history; interview evidence related to building integrity, fire systems, emergency exits, shelters, alarms, lighting and backup power inspection.</t>
        </is>
      </c>
      <c r="J152" s="3" t="n">
        <v>5</v>
      </c>
      <c r="K152" s="85">
        <f>_DATA_Assessment_Model!H152</f>
        <v/>
      </c>
      <c r="L152" s="4">
        <f>_DATA_Assessment_Model!I152</f>
        <v/>
      </c>
      <c r="M152" s="4">
        <f>_DATA_Assessment_Model!J152</f>
        <v/>
      </c>
      <c r="N152" s="4">
        <f>_DATA_Assessment_Model!K152</f>
        <v/>
      </c>
      <c r="O152" s="3">
        <f>_DATA_Assessment_Model!L152</f>
        <v/>
      </c>
      <c r="P152" s="3" t="inlineStr">
        <is>
          <t>Does not exist; no owner, no documentation, no practice.</t>
        </is>
      </c>
      <c r="Q152" s="3" t="inlineStr">
        <is>
          <t>Ad hoc; depends entirely on specific individuals.</t>
        </is>
      </c>
      <c r="R152" s="3" t="inlineStr">
        <is>
          <t>Partially documented or implemented; coverage inconsistent; never tested under stress.</t>
        </is>
      </c>
      <c r="S152" s="3" t="inlineStr">
        <is>
          <t>Documented, owned, executed consistently; basic evidence and metrics exist.</t>
        </is>
      </c>
      <c r="T152" s="3" t="inlineStr">
        <is>
          <t>Measured and periodically tested/audited; integrated with adjacent processes.</t>
        </is>
      </c>
      <c r="U152" s="3" t="inlineStr">
        <is>
          <t>Optimized and automated where practical; stress-tested; benchmarked externally.</t>
        </is>
      </c>
      <c r="V152" s="3" t="inlineStr">
        <is>
          <t>Safety incident; Physical site loss; War/security crisis; Natural disaster</t>
        </is>
      </c>
      <c r="W152" s="3" t="n"/>
      <c r="X152" s="3" t="n"/>
      <c r="Y152" s="3" t="inlineStr">
        <is>
          <t>Use the recommended action generated by the model; validate with domain owner during real assessment.</t>
        </is>
      </c>
      <c r="Z152" s="7" t="n">
        <v>5</v>
      </c>
      <c r="AA152" s="7" t="n">
        <v>5</v>
      </c>
      <c r="AB152" s="7" t="n">
        <v>5</v>
      </c>
      <c r="AK152" s="46" t="n"/>
      <c r="AL152" s="46" t="n"/>
      <c r="AM152" s="247">
        <f>_DATA_Assessment_Model!AJ152</f>
        <v/>
      </c>
      <c r="AN152" s="247">
        <f>_DATA_Assessment_Model!AK152</f>
        <v/>
      </c>
      <c r="AO152" s="247">
        <f>_DATA_Assessment_Model!AL152</f>
        <v/>
      </c>
      <c r="AP152" s="247">
        <f>_DATA_Assessment_Model!AM152</f>
        <v/>
      </c>
      <c r="AQ152" s="247">
        <f>_DATA_Assessment_Model!AN152</f>
        <v/>
      </c>
      <c r="AR152" s="247">
        <f>_DATA_Assessment_Model!AO152</f>
        <v/>
      </c>
      <c r="AS152" s="247">
        <f>_DATA_Assessment_Model!AP152</f>
        <v/>
      </c>
      <c r="AT152" s="247">
        <f>_DATA_Assessment_Model!AQ152</f>
        <v/>
      </c>
      <c r="AU152" s="247">
        <f>_DATA_Assessment_Model!AR152</f>
        <v/>
      </c>
      <c r="AV152" s="5">
        <f>_DATA_Assessment_Model!AS152</f>
        <v/>
      </c>
      <c r="AW152" s="5">
        <f>_DATA_Assessment_Model!AT152</f>
        <v/>
      </c>
      <c r="AY152">
        <f>_DATA_Assessment_Model!AV152</f>
        <v/>
      </c>
    </row>
    <row r="153" ht="96.59999999999999" customHeight="1" s="209">
      <c r="A153" t="inlineStr">
        <is>
          <t>Physical Safety</t>
        </is>
      </c>
      <c r="B153" t="inlineStr">
        <is>
          <t>Physical Safety</t>
        </is>
      </c>
      <c r="C153" t="n">
        <v>13</v>
      </c>
      <c r="D153" s="3" t="inlineStr">
        <is>
          <t>PHYS-009</t>
        </is>
      </c>
      <c r="E153" s="3" t="inlineStr">
        <is>
          <t>Facilities and access</t>
        </is>
      </c>
      <c r="F153" s="3" t="inlineStr">
        <is>
          <t>How mature is the organization in managing physical access control linked to HR onboarding, offboarding and periodic access review, including ownership, evidence, metrics, fallback procedures and crisis stress testing?</t>
        </is>
      </c>
      <c r="G153" s="3" t="inlineStr">
        <is>
          <t>This topic affects exposure to Safety incident; Physical site loss; War/security crisis; Natural disaster. It helps identify how disruption may impact operations, people, revenue, systems, legal exposure or recovery time.</t>
        </is>
      </c>
      <c r="H153" s="3" t="inlineStr">
        <is>
          <t>ISO 45001; ISO 22320; ISO 31030; ISO 18788; ISO 22301; NFPA; local OH&amp;S rules</t>
        </is>
      </c>
      <c r="I153" s="3" t="inlineStr">
        <is>
          <t>Policy/SOP; owner/RACI; system report; dashboard; contracts; test records; incident history; interview evidence related to physical access control linked to HR onboarding, offboarding and periodic access review.</t>
        </is>
      </c>
      <c r="J153" s="3" t="n">
        <v>4</v>
      </c>
      <c r="K153" s="85">
        <f>_DATA_Assessment_Model!H153</f>
        <v/>
      </c>
      <c r="L153" s="4">
        <f>_DATA_Assessment_Model!I153</f>
        <v/>
      </c>
      <c r="M153" s="4">
        <f>_DATA_Assessment_Model!J153</f>
        <v/>
      </c>
      <c r="N153" s="4">
        <f>_DATA_Assessment_Model!K153</f>
        <v/>
      </c>
      <c r="O153" s="3">
        <f>_DATA_Assessment_Model!L153</f>
        <v/>
      </c>
      <c r="P153" s="3" t="inlineStr">
        <is>
          <t>No reliable evidence that physical access control linked to hr onboarding, offboarding and periodic access review is defined, owned or managed.</t>
        </is>
      </c>
      <c r="Q153" s="3" t="inlineStr">
        <is>
          <t>Physical access control linked to HR onboarding, offboarding and periodic access review is handled informally and depends on individual knowledge or heroic effort.</t>
        </is>
      </c>
      <c r="R153" s="3" t="inlineStr">
        <is>
          <t>Physical access control linked to HR onboarding, offboarding and periodic access review is partially documented or implemented, but coverage is inconsistent and not crisis-tested.</t>
        </is>
      </c>
      <c r="S153" s="3" t="inlineStr">
        <is>
          <t>Physical access control linked to HR onboarding, offboarding and periodic access review is documented, owned, used in normal operations and supported by basic evidence or metrics.</t>
        </is>
      </c>
      <c r="T153" s="3" t="inlineStr">
        <is>
          <t>Physical access control linked to HR onboarding, offboarding and periodic access review is measured, periodically reviewed, integrated with related processes and tested against relevant disruption scenarios.</t>
        </is>
      </c>
      <c r="U153" s="3" t="inlineStr">
        <is>
          <t>Physical access control linked to HR onboarding, offboarding and periodic access review is optimized, continuously improved, automated where practical and demonstrably supports crisis resilience.</t>
        </is>
      </c>
      <c r="V153" s="3" t="inlineStr">
        <is>
          <t>Safety incident; Physical site loss; War/security crisis; Natural disaster</t>
        </is>
      </c>
      <c r="W153" s="3" t="n"/>
      <c r="X153" s="3" t="n"/>
      <c r="Y153" s="3" t="inlineStr">
        <is>
          <t>Use the recommended action generated by the model; validate with domain owner during real assessment.</t>
        </is>
      </c>
      <c r="Z153" s="7" t="n">
        <v>4</v>
      </c>
      <c r="AA153" s="7" t="n">
        <v>5</v>
      </c>
      <c r="AB153" s="7" t="n">
        <v>5</v>
      </c>
      <c r="AK153" s="46" t="n"/>
      <c r="AL153" s="46" t="n"/>
      <c r="AM153" s="247">
        <f>_DATA_Assessment_Model!AJ153</f>
        <v/>
      </c>
      <c r="AN153" s="247">
        <f>_DATA_Assessment_Model!AK153</f>
        <v/>
      </c>
      <c r="AO153" s="247">
        <f>_DATA_Assessment_Model!AL153</f>
        <v/>
      </c>
      <c r="AP153" s="247">
        <f>_DATA_Assessment_Model!AM153</f>
        <v/>
      </c>
      <c r="AQ153" s="247">
        <f>_DATA_Assessment_Model!AN153</f>
        <v/>
      </c>
      <c r="AR153" s="247">
        <f>_DATA_Assessment_Model!AO153</f>
        <v/>
      </c>
      <c r="AS153" s="247">
        <f>_DATA_Assessment_Model!AP153</f>
        <v/>
      </c>
      <c r="AT153" s="247">
        <f>_DATA_Assessment_Model!AQ153</f>
        <v/>
      </c>
      <c r="AU153" s="247">
        <f>_DATA_Assessment_Model!AR153</f>
        <v/>
      </c>
      <c r="AV153" s="5">
        <f>_DATA_Assessment_Model!AS153</f>
        <v/>
      </c>
      <c r="AW153" s="5">
        <f>_DATA_Assessment_Model!AT153</f>
        <v/>
      </c>
      <c r="AY153">
        <f>_DATA_Assessment_Model!AV153</f>
        <v/>
      </c>
    </row>
    <row r="154" ht="110.4" customHeight="1" s="209">
      <c r="A154" t="inlineStr">
        <is>
          <t>Physical Safety</t>
        </is>
      </c>
      <c r="B154" t="inlineStr">
        <is>
          <t>Physical Safety</t>
        </is>
      </c>
      <c r="C154" t="n">
        <v>14</v>
      </c>
      <c r="D154" s="3" t="inlineStr">
        <is>
          <t>PHYS-010</t>
        </is>
      </c>
      <c r="E154" s="3" t="inlineStr">
        <is>
          <t>Facilities and access</t>
        </is>
      </c>
      <c r="F154" s="3" t="inlineStr">
        <is>
          <t>How mature is the organization in managing visitor management covering identity checks, escorting, sensitive areas and evacuation accountability, including ownership, evidence, metrics, fallback procedures and crisis stress testing?</t>
        </is>
      </c>
      <c r="G154" s="3" t="inlineStr">
        <is>
          <t>This topic affects exposure to Safety incident; Physical site loss; War/security crisis; Natural disaster. It helps identify how disruption may impact operations, people, revenue, systems, legal exposure or recovery time.</t>
        </is>
      </c>
      <c r="H154" s="3" t="inlineStr">
        <is>
          <t>ISO 45001; ISO 22320; ISO 31030; ISO 18788; ISO 22301; NFPA; local OH&amp;S rules</t>
        </is>
      </c>
      <c r="I154" s="3" t="inlineStr">
        <is>
          <t>Policy/SOP; owner/RACI; system report; dashboard; contracts; test records; incident history; interview evidence related to visitor management covering identity checks, escorting, sensitive areas and evacuation accountability.</t>
        </is>
      </c>
      <c r="J154" s="3" t="n">
        <v>3</v>
      </c>
      <c r="K154" s="85">
        <f>_DATA_Assessment_Model!H154</f>
        <v/>
      </c>
      <c r="L154" s="4">
        <f>_DATA_Assessment_Model!I154</f>
        <v/>
      </c>
      <c r="M154" s="4">
        <f>_DATA_Assessment_Model!J154</f>
        <v/>
      </c>
      <c r="N154" s="4">
        <f>_DATA_Assessment_Model!K154</f>
        <v/>
      </c>
      <c r="O154" s="3">
        <f>_DATA_Assessment_Model!L154</f>
        <v/>
      </c>
      <c r="P154" s="3" t="inlineStr">
        <is>
          <t>No reliable evidence that visitor management covering identity checks, escorting, sensitive areas and evacuation accountability is defined, owned or managed.</t>
        </is>
      </c>
      <c r="Q154" s="3" t="inlineStr">
        <is>
          <t>Visitor management covering identity checks, escorting, sensitive areas and evacuation accountability is handled informally and depends on individual knowledge or heroic effort.</t>
        </is>
      </c>
      <c r="R154" s="3" t="inlineStr">
        <is>
          <t>Visitor management covering identity checks, escorting, sensitive areas and evacuation accountability is partially documented or implemented, but coverage is inconsistent and not crisis-tested.</t>
        </is>
      </c>
      <c r="S154" s="3" t="inlineStr">
        <is>
          <t>Visitor management covering identity checks, escorting, sensitive areas and evacuation accountability is documented, owned, used in normal operations and supported by basic evidence or metrics.</t>
        </is>
      </c>
      <c r="T154" s="3" t="inlineStr">
        <is>
          <t>Visitor management covering identity checks, escorting, sensitive areas and evacuation accountability is measured, periodically reviewed, integrated with related processes and tested against relevant disruption scenarios.</t>
        </is>
      </c>
      <c r="U154" s="3" t="inlineStr">
        <is>
          <t>Visitor management covering identity checks, escorting, sensitive areas and evacuation accountability is optimized, continuously improved, automated where practical and demonstrably supports crisis resilience.</t>
        </is>
      </c>
      <c r="V154" s="3" t="inlineStr">
        <is>
          <t>Safety incident; Physical site loss; War/security crisis; Natural disaster</t>
        </is>
      </c>
      <c r="W154" s="3" t="n"/>
      <c r="X154" s="3" t="n"/>
      <c r="Y154" s="3" t="inlineStr">
        <is>
          <t>Use the recommended action generated by the model; validate with domain owner during real assessment.</t>
        </is>
      </c>
      <c r="Z154" s="7" t="n">
        <v>4</v>
      </c>
      <c r="AA154" s="7" t="n">
        <v>5</v>
      </c>
      <c r="AB154" s="7" t="n">
        <v>5</v>
      </c>
      <c r="AK154" s="46" t="n"/>
      <c r="AL154" s="46" t="n"/>
      <c r="AM154" s="247">
        <f>_DATA_Assessment_Model!AJ154</f>
        <v/>
      </c>
      <c r="AN154" s="247">
        <f>_DATA_Assessment_Model!AK154</f>
        <v/>
      </c>
      <c r="AO154" s="247">
        <f>_DATA_Assessment_Model!AL154</f>
        <v/>
      </c>
      <c r="AP154" s="247">
        <f>_DATA_Assessment_Model!AM154</f>
        <v/>
      </c>
      <c r="AQ154" s="247">
        <f>_DATA_Assessment_Model!AN154</f>
        <v/>
      </c>
      <c r="AR154" s="247">
        <f>_DATA_Assessment_Model!AO154</f>
        <v/>
      </c>
      <c r="AS154" s="247">
        <f>_DATA_Assessment_Model!AP154</f>
        <v/>
      </c>
      <c r="AT154" s="247">
        <f>_DATA_Assessment_Model!AQ154</f>
        <v/>
      </c>
      <c r="AU154" s="247">
        <f>_DATA_Assessment_Model!AR154</f>
        <v/>
      </c>
      <c r="AV154" s="5">
        <f>_DATA_Assessment_Model!AS154</f>
        <v/>
      </c>
      <c r="AW154" s="5">
        <f>_DATA_Assessment_Model!AT154</f>
        <v/>
      </c>
      <c r="AY154">
        <f>_DATA_Assessment_Model!AV154</f>
        <v/>
      </c>
    </row>
    <row r="155" ht="96.59999999999999" customHeight="1" s="209">
      <c r="A155" t="inlineStr">
        <is>
          <t>Physical Safety</t>
        </is>
      </c>
      <c r="B155" t="inlineStr">
        <is>
          <t>Physical Safety</t>
        </is>
      </c>
      <c r="C155" t="n">
        <v>15</v>
      </c>
      <c r="D155" s="3" t="inlineStr">
        <is>
          <t>PHYS-011</t>
        </is>
      </c>
      <c r="E155" s="3" t="inlineStr">
        <is>
          <t>Facilities and access</t>
        </is>
      </c>
      <c r="F155" s="3" t="inlineStr">
        <is>
          <t>How mature is the organization in managing security guarding, CCTV, alarm monitoring and response procedures, including ownership, evidence, metrics, fallback procedures and crisis stress testing?</t>
        </is>
      </c>
      <c r="G155" s="3" t="inlineStr">
        <is>
          <t>This topic affects exposure to Safety incident; Physical site loss; War/security crisis; Natural disaster. It helps identify how disruption may impact operations, people, revenue, systems, legal exposure or recovery time.</t>
        </is>
      </c>
      <c r="H155" s="3" t="inlineStr">
        <is>
          <t>ISO 45001; ISO 22320; ISO 31030; ISO 18788; ISO 22301; NFPA; local OH&amp;S rules</t>
        </is>
      </c>
      <c r="I155" s="3" t="inlineStr">
        <is>
          <t>Policy/SOP; owner/RACI; system report; dashboard; contracts; test records; incident history; interview evidence related to security guarding, CCTV, alarm monitoring and response procedures.</t>
        </is>
      </c>
      <c r="J155" s="3" t="n">
        <v>3</v>
      </c>
      <c r="K155" s="85">
        <f>_DATA_Assessment_Model!H155</f>
        <v/>
      </c>
      <c r="L155" s="4">
        <f>_DATA_Assessment_Model!I155</f>
        <v/>
      </c>
      <c r="M155" s="4">
        <f>_DATA_Assessment_Model!J155</f>
        <v/>
      </c>
      <c r="N155" s="4">
        <f>_DATA_Assessment_Model!K155</f>
        <v/>
      </c>
      <c r="O155" s="3">
        <f>_DATA_Assessment_Model!L155</f>
        <v/>
      </c>
      <c r="P155" s="3" t="inlineStr">
        <is>
          <t>No reliable evidence that security guarding, cctv, alarm monitoring and response procedures is defined, owned or managed.</t>
        </is>
      </c>
      <c r="Q155" s="3" t="inlineStr">
        <is>
          <t>Security guarding, CCTV, alarm monitoring and response procedures is handled informally and depends on individual knowledge or heroic effort.</t>
        </is>
      </c>
      <c r="R155" s="3" t="inlineStr">
        <is>
          <t>Security guarding, CCTV, alarm monitoring and response procedures is partially documented or implemented, but coverage is inconsistent and not crisis-tested.</t>
        </is>
      </c>
      <c r="S155" s="3" t="inlineStr">
        <is>
          <t>Security guarding, CCTV, alarm monitoring and response procedures is documented, owned, used in normal operations and supported by basic evidence or metrics.</t>
        </is>
      </c>
      <c r="T155" s="3" t="inlineStr">
        <is>
          <t>Security guarding, CCTV, alarm monitoring and response procedures is measured, periodically reviewed, integrated with related processes and tested against relevant disruption scenarios.</t>
        </is>
      </c>
      <c r="U155" s="3" t="inlineStr">
        <is>
          <t>Security guarding, CCTV, alarm monitoring and response procedures is optimized, continuously improved, automated where practical and demonstrably supports crisis resilience.</t>
        </is>
      </c>
      <c r="V155" s="3" t="inlineStr">
        <is>
          <t>Safety incident; Physical site loss; War/security crisis; Natural disaster</t>
        </is>
      </c>
      <c r="W155" s="3" t="n"/>
      <c r="X155" s="3" t="n"/>
      <c r="Y155" s="3" t="inlineStr">
        <is>
          <t>Use the recommended action generated by the model; validate with domain owner during real assessment.</t>
        </is>
      </c>
      <c r="Z155" s="7" t="n">
        <v>4</v>
      </c>
      <c r="AA155" s="7" t="n">
        <v>5</v>
      </c>
      <c r="AB155" s="7" t="n">
        <v>5</v>
      </c>
      <c r="AK155" s="46" t="n"/>
      <c r="AL155" s="46" t="n"/>
      <c r="AM155" s="247">
        <f>_DATA_Assessment_Model!AJ155</f>
        <v/>
      </c>
      <c r="AN155" s="247">
        <f>_DATA_Assessment_Model!AK155</f>
        <v/>
      </c>
      <c r="AO155" s="247">
        <f>_DATA_Assessment_Model!AL155</f>
        <v/>
      </c>
      <c r="AP155" s="247">
        <f>_DATA_Assessment_Model!AM155</f>
        <v/>
      </c>
      <c r="AQ155" s="247">
        <f>_DATA_Assessment_Model!AN155</f>
        <v/>
      </c>
      <c r="AR155" s="247">
        <f>_DATA_Assessment_Model!AO155</f>
        <v/>
      </c>
      <c r="AS155" s="247">
        <f>_DATA_Assessment_Model!AP155</f>
        <v/>
      </c>
      <c r="AT155" s="247">
        <f>_DATA_Assessment_Model!AQ155</f>
        <v/>
      </c>
      <c r="AU155" s="247">
        <f>_DATA_Assessment_Model!AR155</f>
        <v/>
      </c>
      <c r="AV155" s="5">
        <f>_DATA_Assessment_Model!AS155</f>
        <v/>
      </c>
      <c r="AW155" s="5">
        <f>_DATA_Assessment_Model!AT155</f>
        <v/>
      </c>
      <c r="AY155">
        <f>_DATA_Assessment_Model!AV155</f>
        <v/>
      </c>
    </row>
    <row r="156" ht="96.59999999999999" customHeight="1" s="209">
      <c r="A156" t="inlineStr">
        <is>
          <t>Physical Safety</t>
        </is>
      </c>
      <c r="B156" t="inlineStr">
        <is>
          <t>Physical Safety</t>
        </is>
      </c>
      <c r="C156" t="n">
        <v>16</v>
      </c>
      <c r="D156" s="3" t="inlineStr">
        <is>
          <t>PHYS-012</t>
        </is>
      </c>
      <c r="E156" s="3" t="inlineStr">
        <is>
          <t>Facilities and access</t>
        </is>
      </c>
      <c r="F156" s="3" t="inlineStr">
        <is>
          <t>How mature is the organization in managing physical asset protection against theft, sabotage, environmental damage and unauthorized access, including ownership, evidence, metrics, fallback procedures and crisis stress testing?</t>
        </is>
      </c>
      <c r="G156" s="3" t="inlineStr">
        <is>
          <t>This topic affects exposure to Safety incident; Physical site loss; War/security crisis; Natural disaster. It helps identify how disruption may impact operations, people, revenue, systems, legal exposure or recovery time.</t>
        </is>
      </c>
      <c r="H156" s="3" t="inlineStr">
        <is>
          <t>ISO 45001; ISO 22320; ISO 31030; ISO 18788; ISO 22301; NFPA; local OH&amp;S rules</t>
        </is>
      </c>
      <c r="I156" s="3" t="inlineStr">
        <is>
          <t>Policy/SOP; owner/RACI; system report; dashboard; contracts; test records; incident history; interview evidence related to physical asset protection against theft, sabotage, environmental damage and unauthorized access.</t>
        </is>
      </c>
      <c r="J156" s="3" t="n">
        <v>4</v>
      </c>
      <c r="K156" s="85">
        <f>_DATA_Assessment_Model!H156</f>
        <v/>
      </c>
      <c r="L156" s="4">
        <f>_DATA_Assessment_Model!I156</f>
        <v/>
      </c>
      <c r="M156" s="4">
        <f>_DATA_Assessment_Model!J156</f>
        <v/>
      </c>
      <c r="N156" s="4">
        <f>_DATA_Assessment_Model!K156</f>
        <v/>
      </c>
      <c r="O156" s="3">
        <f>_DATA_Assessment_Model!L156</f>
        <v/>
      </c>
      <c r="P156" s="3" t="inlineStr">
        <is>
          <t>No reliable evidence that physical asset protection against theft, sabotage, environmental damage and unauthorized access is defined, owned or managed.</t>
        </is>
      </c>
      <c r="Q156" s="3" t="inlineStr">
        <is>
          <t>Physical asset protection against theft, sabotage, environmental damage and unauthorized access is handled informally and depends on individual knowledge or heroic effort.</t>
        </is>
      </c>
      <c r="R156" s="3" t="inlineStr">
        <is>
          <t>Physical asset protection against theft, sabotage, environmental damage and unauthorized access is partially documented or implemented, but coverage is inconsistent and not crisis-tested.</t>
        </is>
      </c>
      <c r="S156" s="3" t="inlineStr">
        <is>
          <t>Physical asset protection against theft, sabotage, environmental damage and unauthorized access is documented, owned, used in normal operations and supported by basic evidence or metrics.</t>
        </is>
      </c>
      <c r="T156" s="3" t="inlineStr">
        <is>
          <t>Physical asset protection against theft, sabotage, environmental damage and unauthorized access is measured, periodically reviewed, integrated with related processes and tested against relevant disruption scenarios.</t>
        </is>
      </c>
      <c r="U156" s="3" t="inlineStr">
        <is>
          <t>Physical asset protection against theft, sabotage, environmental damage and unauthorized access is optimized, continuously improved, automated where practical and demonstrably supports crisis resilience.</t>
        </is>
      </c>
      <c r="V156" s="3" t="inlineStr">
        <is>
          <t>Safety incident; Physical site loss; War/security crisis; Natural disaster</t>
        </is>
      </c>
      <c r="W156" s="3" t="n"/>
      <c r="X156" s="3" t="n"/>
      <c r="Y156" s="3" t="inlineStr">
        <is>
          <t>Use the recommended action generated by the model; validate with domain owner during real assessment.</t>
        </is>
      </c>
      <c r="Z156" s="7" t="n">
        <v>4</v>
      </c>
      <c r="AA156" s="7" t="n">
        <v>5</v>
      </c>
      <c r="AB156" s="7" t="n">
        <v>5</v>
      </c>
      <c r="AK156" s="46" t="n"/>
      <c r="AL156" s="46" t="n"/>
      <c r="AM156" s="247">
        <f>_DATA_Assessment_Model!AJ156</f>
        <v/>
      </c>
      <c r="AN156" s="247">
        <f>_DATA_Assessment_Model!AK156</f>
        <v/>
      </c>
      <c r="AO156" s="247">
        <f>_DATA_Assessment_Model!AL156</f>
        <v/>
      </c>
      <c r="AP156" s="247">
        <f>_DATA_Assessment_Model!AM156</f>
        <v/>
      </c>
      <c r="AQ156" s="247">
        <f>_DATA_Assessment_Model!AN156</f>
        <v/>
      </c>
      <c r="AR156" s="247">
        <f>_DATA_Assessment_Model!AO156</f>
        <v/>
      </c>
      <c r="AS156" s="247">
        <f>_DATA_Assessment_Model!AP156</f>
        <v/>
      </c>
      <c r="AT156" s="247">
        <f>_DATA_Assessment_Model!AQ156</f>
        <v/>
      </c>
      <c r="AU156" s="247">
        <f>_DATA_Assessment_Model!AR156</f>
        <v/>
      </c>
      <c r="AV156" s="5">
        <f>_DATA_Assessment_Model!AS156</f>
        <v/>
      </c>
      <c r="AW156" s="5">
        <f>_DATA_Assessment_Model!AT156</f>
        <v/>
      </c>
      <c r="AY156">
        <f>_DATA_Assessment_Model!AV156</f>
        <v/>
      </c>
    </row>
    <row r="157" ht="124.2" customHeight="1" s="209">
      <c r="A157" t="inlineStr">
        <is>
          <t>Physical Safety</t>
        </is>
      </c>
      <c r="B157" t="inlineStr">
        <is>
          <t>Physical Safety</t>
        </is>
      </c>
      <c r="C157" t="n">
        <v>17</v>
      </c>
      <c r="D157" s="3" t="inlineStr">
        <is>
          <t>PHYS-013</t>
        </is>
      </c>
      <c r="E157" s="3" t="inlineStr">
        <is>
          <t>Emergency response</t>
        </is>
      </c>
      <c r="F157" s="3" t="inlineStr">
        <is>
          <t>How mature is the organization in managing emergency response plans for fire, medical emergency, violence, bomb threat, shelling, evacuation, shelter-in-place and utility failure, including ownership, evidence, metrics, fallback procedures and crisis stress testing?</t>
        </is>
      </c>
      <c r="G157" s="3" t="inlineStr">
        <is>
          <t>This topic affects exposure to Safety incident; Physical site loss; War/security crisis; Natural disaster. It helps identify how disruption may impact operations, people, revenue, systems, legal exposure or recovery time.</t>
        </is>
      </c>
      <c r="H157" s="3" t="inlineStr">
        <is>
          <t>ISO 45001; ISO 22320; ISO 31030; ISO 18788; ISO 22301; NFPA; local OH&amp;S rules</t>
        </is>
      </c>
      <c r="I157" s="3" t="inlineStr">
        <is>
          <t>Policy/SOP; owner/RACI; system report; dashboard; contracts; test records; incident history; interview evidence related to emergency response plans for fire, medical emergency, violence, bomb threat, shelling, evacuation, shelter-in-place and utility failure.</t>
        </is>
      </c>
      <c r="J157" s="3" t="n">
        <v>3</v>
      </c>
      <c r="K157" s="85">
        <f>_DATA_Assessment_Model!H157</f>
        <v/>
      </c>
      <c r="L157" s="4">
        <f>_DATA_Assessment_Model!I157</f>
        <v/>
      </c>
      <c r="M157" s="4">
        <f>_DATA_Assessment_Model!J157</f>
        <v/>
      </c>
      <c r="N157" s="4">
        <f>_DATA_Assessment_Model!K157</f>
        <v/>
      </c>
      <c r="O157" s="3">
        <f>_DATA_Assessment_Model!L157</f>
        <v/>
      </c>
      <c r="P157" s="3" t="inlineStr">
        <is>
          <t>No reliable evidence that emergency response plans for fire, medical emergency, violence, bomb threat, shelling, evacuation, shelter-in-place and utility failure is defined, owned or managed.</t>
        </is>
      </c>
      <c r="Q157" s="3" t="inlineStr">
        <is>
          <t>Emergency response plans for fire, medical emergency, violence, bomb threat, shelling, evacuation, shelter-in-place and utility failure is handled informally and depends on individual knowledge or heroic effort.</t>
        </is>
      </c>
      <c r="R157" s="3" t="inlineStr">
        <is>
          <t>Emergency response plans for fire, medical emergency, violence, bomb threat, shelling, evacuation, shelter-in-place and utility failure is partially documented or implemented, but coverage is inconsistent and not crisis-tested.</t>
        </is>
      </c>
      <c r="S157" s="3" t="inlineStr">
        <is>
          <t>Emergency response plans for fire, medical emergency, violence, bomb threat, shelling, evacuation, shelter-in-place and utility failure is documented, owned, used in normal operations and supported by basic evidence or metrics.</t>
        </is>
      </c>
      <c r="T157" s="3" t="inlineStr">
        <is>
          <t>Emergency response plans for fire, medical emergency, violence, bomb threat, shelling, evacuation, shelter-in-place and utility failure is measured, periodically reviewed, integrated with related processes and tested against relevant disruption scenarios.</t>
        </is>
      </c>
      <c r="U157" s="3" t="inlineStr">
        <is>
          <t>Emergency response plans for fire, medical emergency, violence, bomb threat, shelling, evacuation, shelter-in-place and utility failure is optimized, continuously improved, automated where practical and demonstrably supports crisis resilience.</t>
        </is>
      </c>
      <c r="V157" s="3" t="inlineStr">
        <is>
          <t>Safety incident; Physical site loss; War/security crisis; Natural disaster</t>
        </is>
      </c>
      <c r="W157" s="3" t="n"/>
      <c r="X157" s="3" t="n"/>
      <c r="Y157" s="3" t="inlineStr">
        <is>
          <t>Use the recommended action generated by the model; validate with domain owner during real assessment.</t>
        </is>
      </c>
      <c r="Z157" s="7" t="n">
        <v>4</v>
      </c>
      <c r="AA157" s="7" t="n">
        <v>5</v>
      </c>
      <c r="AB157" s="7" t="n">
        <v>5</v>
      </c>
      <c r="AK157" s="46" t="n"/>
      <c r="AL157" s="46" t="n"/>
      <c r="AM157" s="247">
        <f>_DATA_Assessment_Model!AJ157</f>
        <v/>
      </c>
      <c r="AN157" s="247">
        <f>_DATA_Assessment_Model!AK157</f>
        <v/>
      </c>
      <c r="AO157" s="247">
        <f>_DATA_Assessment_Model!AL157</f>
        <v/>
      </c>
      <c r="AP157" s="247">
        <f>_DATA_Assessment_Model!AM157</f>
        <v/>
      </c>
      <c r="AQ157" s="247">
        <f>_DATA_Assessment_Model!AN157</f>
        <v/>
      </c>
      <c r="AR157" s="247">
        <f>_DATA_Assessment_Model!AO157</f>
        <v/>
      </c>
      <c r="AS157" s="247">
        <f>_DATA_Assessment_Model!AP157</f>
        <v/>
      </c>
      <c r="AT157" s="247">
        <f>_DATA_Assessment_Model!AQ157</f>
        <v/>
      </c>
      <c r="AU157" s="247">
        <f>_DATA_Assessment_Model!AR157</f>
        <v/>
      </c>
      <c r="AV157" s="5">
        <f>_DATA_Assessment_Model!AS157</f>
        <v/>
      </c>
      <c r="AW157" s="5">
        <f>_DATA_Assessment_Model!AT157</f>
        <v/>
      </c>
      <c r="AY157">
        <f>_DATA_Assessment_Model!AV157</f>
        <v/>
      </c>
    </row>
    <row r="158" ht="82.8" customHeight="1" s="209">
      <c r="A158" t="inlineStr">
        <is>
          <t>Physical Safety</t>
        </is>
      </c>
      <c r="B158" t="inlineStr">
        <is>
          <t>Physical Safety</t>
        </is>
      </c>
      <c r="C158" t="n">
        <v>18</v>
      </c>
      <c r="D158" s="3" t="inlineStr">
        <is>
          <t>PHYS-014</t>
        </is>
      </c>
      <c r="E158" s="3" t="inlineStr">
        <is>
          <t>Emergency response</t>
        </is>
      </c>
      <c r="F158" s="3" t="inlineStr">
        <is>
          <t>How mature is the organization in managing evacuation and shelter drills with attendance, outcomes and corrective actions, including ownership, evidence, metrics, fallback procedures and crisis stress testing?</t>
        </is>
      </c>
      <c r="G158" s="3" t="inlineStr">
        <is>
          <t>This topic affects exposure to Safety incident; Physical site loss; War/security crisis; Natural disaster. It helps identify how disruption may impact operations, people, revenue, systems, legal exposure or recovery time.</t>
        </is>
      </c>
      <c r="H158" s="3" t="inlineStr">
        <is>
          <t>ISO 45001; ISO 22320; ISO 31030; ISO 18788; ISO 22301; NFPA; local OH&amp;S rules</t>
        </is>
      </c>
      <c r="I158" s="3" t="inlineStr">
        <is>
          <t>Policy/SOP; owner/RACI; system report; dashboard; contracts; test records; incident history; interview evidence related to evacuation and shelter drills with attendance, outcomes and corrective actions.</t>
        </is>
      </c>
      <c r="J158" s="3" t="n">
        <v>5</v>
      </c>
      <c r="K158" s="85">
        <f>_DATA_Assessment_Model!H158</f>
        <v/>
      </c>
      <c r="L158" s="4">
        <f>_DATA_Assessment_Model!I158</f>
        <v/>
      </c>
      <c r="M158" s="4">
        <f>_DATA_Assessment_Model!J158</f>
        <v/>
      </c>
      <c r="N158" s="4">
        <f>_DATA_Assessment_Model!K158</f>
        <v/>
      </c>
      <c r="O158" s="3">
        <f>_DATA_Assessment_Model!L158</f>
        <v/>
      </c>
      <c r="P158" s="3" t="inlineStr">
        <is>
          <t>Never conducted.</t>
        </is>
      </c>
      <c r="Q158" s="3" t="inlineStr">
        <is>
          <t>Conducted once, long ago; no records.</t>
        </is>
      </c>
      <c r="R158" s="3" t="inlineStr">
        <is>
          <t>Conducted irregularly; attendance and outcomes not recorded.</t>
        </is>
      </c>
      <c r="S158" s="3" t="inlineStr">
        <is>
          <t>Conducted at least annually with recorded attendance and outcomes.</t>
        </is>
      </c>
      <c r="T158" s="3" t="inlineStr">
        <is>
          <t>Conducted per site at least semi-annually; corrective actions tracked to closure.</t>
        </is>
      </c>
      <c r="U158" s="3" t="inlineStr">
        <is>
          <t>Realistic scenario drills incl. out-of-hours; results measured and drive facility/procedure changes.</t>
        </is>
      </c>
      <c r="V158" s="3" t="inlineStr">
        <is>
          <t>Safety incident; Physical site loss; War/security crisis; Natural disaster</t>
        </is>
      </c>
      <c r="W158" s="3" t="n"/>
      <c r="X158" s="3" t="n"/>
      <c r="Y158" s="3" t="inlineStr">
        <is>
          <t>Use the recommended action generated by the model; validate with domain owner during real assessment.</t>
        </is>
      </c>
      <c r="Z158" s="7" t="n">
        <v>4</v>
      </c>
      <c r="AA158" s="7" t="n">
        <v>5</v>
      </c>
      <c r="AB158" s="7" t="n">
        <v>5</v>
      </c>
      <c r="AK158" s="46" t="n"/>
      <c r="AL158" s="46" t="n"/>
      <c r="AM158" s="247">
        <f>_DATA_Assessment_Model!AJ158</f>
        <v/>
      </c>
      <c r="AN158" s="247">
        <f>_DATA_Assessment_Model!AK158</f>
        <v/>
      </c>
      <c r="AO158" s="247">
        <f>_DATA_Assessment_Model!AL158</f>
        <v/>
      </c>
      <c r="AP158" s="247">
        <f>_DATA_Assessment_Model!AM158</f>
        <v/>
      </c>
      <c r="AQ158" s="247">
        <f>_DATA_Assessment_Model!AN158</f>
        <v/>
      </c>
      <c r="AR158" s="247">
        <f>_DATA_Assessment_Model!AO158</f>
        <v/>
      </c>
      <c r="AS158" s="247">
        <f>_DATA_Assessment_Model!AP158</f>
        <v/>
      </c>
      <c r="AT158" s="247">
        <f>_DATA_Assessment_Model!AQ158</f>
        <v/>
      </c>
      <c r="AU158" s="247">
        <f>_DATA_Assessment_Model!AR158</f>
        <v/>
      </c>
      <c r="AV158" s="5">
        <f>_DATA_Assessment_Model!AS158</f>
        <v/>
      </c>
      <c r="AW158" s="5">
        <f>_DATA_Assessment_Model!AT158</f>
        <v/>
      </c>
      <c r="AY158">
        <f>_DATA_Assessment_Model!AV158</f>
        <v/>
      </c>
    </row>
    <row r="159" ht="96.59999999999999" customHeight="1" s="209">
      <c r="A159" t="inlineStr">
        <is>
          <t>Physical Safety</t>
        </is>
      </c>
      <c r="B159" t="inlineStr">
        <is>
          <t>Physical Safety</t>
        </is>
      </c>
      <c r="C159" t="n">
        <v>19</v>
      </c>
      <c r="D159" s="3" t="inlineStr">
        <is>
          <t>PHYS-015</t>
        </is>
      </c>
      <c r="E159" s="3" t="inlineStr">
        <is>
          <t>Emergency response</t>
        </is>
      </c>
      <c r="F159" s="3" t="inlineStr">
        <is>
          <t>How mature is the organization in managing first aid readiness with trained responders, AEDs, medical contacts and first aid supplies, including ownership, evidence, metrics, fallback procedures and crisis stress testing?</t>
        </is>
      </c>
      <c r="G159" s="3" t="inlineStr">
        <is>
          <t>This topic affects exposure to Safety incident; Physical site loss; War/security crisis; Natural disaster. It helps identify how disruption may impact operations, people, revenue, systems, legal exposure or recovery time.</t>
        </is>
      </c>
      <c r="H159" s="3" t="inlineStr">
        <is>
          <t>ISO 45001; ISO 22320; ISO 31030; ISO 18788; ISO 22301; NFPA; local OH&amp;S rules</t>
        </is>
      </c>
      <c r="I159" s="3" t="inlineStr">
        <is>
          <t>Policy/SOP; owner/RACI; system report; dashboard; contracts; test records; incident history; interview evidence related to first aid readiness with trained responders, AEDs, medical contacts and first aid supplies.</t>
        </is>
      </c>
      <c r="J159" s="3" t="n">
        <v>3</v>
      </c>
      <c r="K159" s="85">
        <f>_DATA_Assessment_Model!H159</f>
        <v/>
      </c>
      <c r="L159" s="4">
        <f>_DATA_Assessment_Model!I159</f>
        <v/>
      </c>
      <c r="M159" s="4">
        <f>_DATA_Assessment_Model!J159</f>
        <v/>
      </c>
      <c r="N159" s="4">
        <f>_DATA_Assessment_Model!K159</f>
        <v/>
      </c>
      <c r="O159" s="3">
        <f>_DATA_Assessment_Model!L159</f>
        <v/>
      </c>
      <c r="P159" s="3" t="inlineStr">
        <is>
          <t>No reliable evidence that first aid readiness with trained responders, aeds, medical contacts and first aid supplies is defined, owned or managed.</t>
        </is>
      </c>
      <c r="Q159" s="3" t="inlineStr">
        <is>
          <t>First aid readiness with trained responders, AEDs, medical contacts and first aid supplies is handled informally and depends on individual knowledge or heroic effort.</t>
        </is>
      </c>
      <c r="R159" s="3" t="inlineStr">
        <is>
          <t>First aid readiness with trained responders, AEDs, medical contacts and first aid supplies is partially documented or implemented, but coverage is inconsistent and not crisis-tested.</t>
        </is>
      </c>
      <c r="S159" s="3" t="inlineStr">
        <is>
          <t>First aid readiness with trained responders, AEDs, medical contacts and first aid supplies is documented, owned, used in normal operations and supported by basic evidence or metrics.</t>
        </is>
      </c>
      <c r="T159" s="3" t="inlineStr">
        <is>
          <t>First aid readiness with trained responders, AEDs, medical contacts and first aid supplies is measured, periodically reviewed, integrated with related processes and tested against relevant disruption scenarios.</t>
        </is>
      </c>
      <c r="U159" s="3" t="inlineStr">
        <is>
          <t>First aid readiness with trained responders, AEDs, medical contacts and first aid supplies is optimized, continuously improved, automated where practical and demonstrably supports crisis resilience.</t>
        </is>
      </c>
      <c r="V159" s="3" t="inlineStr">
        <is>
          <t>Safety incident; Physical site loss; War/security crisis; Natural disaster</t>
        </is>
      </c>
      <c r="W159" s="3" t="n"/>
      <c r="X159" s="3" t="n"/>
      <c r="Y159" s="3" t="inlineStr">
        <is>
          <t>Use the recommended action generated by the model; validate with domain owner during real assessment.</t>
        </is>
      </c>
      <c r="Z159" s="7" t="n">
        <v>4</v>
      </c>
      <c r="AA159" s="7" t="n">
        <v>5</v>
      </c>
      <c r="AB159" s="7" t="n">
        <v>5</v>
      </c>
      <c r="AK159" s="46" t="n"/>
      <c r="AL159" s="46" t="n"/>
      <c r="AM159" s="247">
        <f>_DATA_Assessment_Model!AJ159</f>
        <v/>
      </c>
      <c r="AN159" s="247">
        <f>_DATA_Assessment_Model!AK159</f>
        <v/>
      </c>
      <c r="AO159" s="247">
        <f>_DATA_Assessment_Model!AL159</f>
        <v/>
      </c>
      <c r="AP159" s="247">
        <f>_DATA_Assessment_Model!AM159</f>
        <v/>
      </c>
      <c r="AQ159" s="247">
        <f>_DATA_Assessment_Model!AN159</f>
        <v/>
      </c>
      <c r="AR159" s="247">
        <f>_DATA_Assessment_Model!AO159</f>
        <v/>
      </c>
      <c r="AS159" s="247">
        <f>_DATA_Assessment_Model!AP159</f>
        <v/>
      </c>
      <c r="AT159" s="247">
        <f>_DATA_Assessment_Model!AQ159</f>
        <v/>
      </c>
      <c r="AU159" s="247">
        <f>_DATA_Assessment_Model!AR159</f>
        <v/>
      </c>
      <c r="AV159" s="5">
        <f>_DATA_Assessment_Model!AS159</f>
        <v/>
      </c>
      <c r="AW159" s="5">
        <f>_DATA_Assessment_Model!AT159</f>
        <v/>
      </c>
      <c r="AY159">
        <f>_DATA_Assessment_Model!AV159</f>
        <v/>
      </c>
    </row>
    <row r="160" ht="82.8" customHeight="1" s="209">
      <c r="A160" t="inlineStr">
        <is>
          <t>Physical Safety</t>
        </is>
      </c>
      <c r="B160" t="inlineStr">
        <is>
          <t>Physical Safety</t>
        </is>
      </c>
      <c r="C160" t="n">
        <v>20</v>
      </c>
      <c r="D160" s="3" t="inlineStr">
        <is>
          <t>PHYS-016</t>
        </is>
      </c>
      <c r="E160" s="3" t="inlineStr">
        <is>
          <t>Emergency response</t>
        </is>
      </c>
      <c r="F160" s="3" t="inlineStr">
        <is>
          <t>How mature is the organization in managing mass notification to employees, visitors and contractors during site emergencies, including ownership, evidence, metrics, fallback procedures and crisis stress testing?</t>
        </is>
      </c>
      <c r="G160" s="3" t="inlineStr">
        <is>
          <t>This topic affects exposure to Safety incident; Physical site loss; War/security crisis; Natural disaster. It helps identify how disruption may impact operations, people, revenue, systems, legal exposure or recovery time.</t>
        </is>
      </c>
      <c r="H160" s="3" t="inlineStr">
        <is>
          <t>ISO 45001; ISO 22320; ISO 31030; ISO 18788; ISO 22301; NFPA; local OH&amp;S rules</t>
        </is>
      </c>
      <c r="I160" s="3" t="inlineStr">
        <is>
          <t>Policy/SOP; owner/RACI; system report; dashboard; contracts; test records; incident history; interview evidence related to mass notification to employees, visitors and contractors during site emergencies.</t>
        </is>
      </c>
      <c r="J160" s="3" t="n">
        <v>5</v>
      </c>
      <c r="K160" s="85">
        <f>_DATA_Assessment_Model!H160</f>
        <v/>
      </c>
      <c r="L160" s="4">
        <f>_DATA_Assessment_Model!I160</f>
        <v/>
      </c>
      <c r="M160" s="4">
        <f>_DATA_Assessment_Model!J160</f>
        <v/>
      </c>
      <c r="N160" s="4">
        <f>_DATA_Assessment_Model!K160</f>
        <v/>
      </c>
      <c r="O160" s="3">
        <f>_DATA_Assessment_Model!L160</f>
        <v/>
      </c>
      <c r="P160" s="3" t="inlineStr">
        <is>
          <t>Does not exist; no owner, no documentation, no practice.</t>
        </is>
      </c>
      <c r="Q160" s="3" t="inlineStr">
        <is>
          <t>Ad hoc; depends entirely on specific individuals.</t>
        </is>
      </c>
      <c r="R160" s="3" t="inlineStr">
        <is>
          <t>Partially documented or implemented; coverage inconsistent; never tested under stress.</t>
        </is>
      </c>
      <c r="S160" s="3" t="inlineStr">
        <is>
          <t>Documented, owned, executed consistently; basic evidence and metrics exist.</t>
        </is>
      </c>
      <c r="T160" s="3" t="inlineStr">
        <is>
          <t>Measured and periodically tested/audited; integrated with adjacent processes.</t>
        </is>
      </c>
      <c r="U160" s="3" t="inlineStr">
        <is>
          <t>Optimized and automated where practical; stress-tested; benchmarked externally.</t>
        </is>
      </c>
      <c r="V160" s="3" t="inlineStr">
        <is>
          <t>Safety incident; Physical site loss; War/security crisis; Natural disaster</t>
        </is>
      </c>
      <c r="W160" s="3" t="n"/>
      <c r="X160" s="3" t="n"/>
      <c r="Y160" s="3" t="inlineStr">
        <is>
          <t>Use the recommended action generated by the model; validate with domain owner during real assessment.</t>
        </is>
      </c>
      <c r="Z160" s="7" t="n">
        <v>4</v>
      </c>
      <c r="AA160" s="7" t="n">
        <v>5</v>
      </c>
      <c r="AB160" s="7" t="n">
        <v>5</v>
      </c>
      <c r="AK160" s="46" t="n"/>
      <c r="AL160" s="46" t="n"/>
      <c r="AM160" s="247">
        <f>_DATA_Assessment_Model!AJ160</f>
        <v/>
      </c>
      <c r="AN160" s="247">
        <f>_DATA_Assessment_Model!AK160</f>
        <v/>
      </c>
      <c r="AO160" s="247">
        <f>_DATA_Assessment_Model!AL160</f>
        <v/>
      </c>
      <c r="AP160" s="247">
        <f>_DATA_Assessment_Model!AM160</f>
        <v/>
      </c>
      <c r="AQ160" s="247">
        <f>_DATA_Assessment_Model!AN160</f>
        <v/>
      </c>
      <c r="AR160" s="247">
        <f>_DATA_Assessment_Model!AO160</f>
        <v/>
      </c>
      <c r="AS160" s="247">
        <f>_DATA_Assessment_Model!AP160</f>
        <v/>
      </c>
      <c r="AT160" s="247">
        <f>_DATA_Assessment_Model!AQ160</f>
        <v/>
      </c>
      <c r="AU160" s="247">
        <f>_DATA_Assessment_Model!AR160</f>
        <v/>
      </c>
      <c r="AV160" s="5">
        <f>_DATA_Assessment_Model!AS160</f>
        <v/>
      </c>
      <c r="AW160" s="5">
        <f>_DATA_Assessment_Model!AT160</f>
        <v/>
      </c>
      <c r="AY160">
        <f>_DATA_Assessment_Model!AV160</f>
        <v/>
      </c>
    </row>
    <row r="161" ht="96.59999999999999" customHeight="1" s="209">
      <c r="A161" t="inlineStr">
        <is>
          <t>Physical Safety</t>
        </is>
      </c>
      <c r="B161" t="inlineStr">
        <is>
          <t>Physical Safety</t>
        </is>
      </c>
      <c r="C161" t="n">
        <v>21</v>
      </c>
      <c r="D161" s="3" t="inlineStr">
        <is>
          <t>PHYS-017</t>
        </is>
      </c>
      <c r="E161" s="3" t="inlineStr">
        <is>
          <t>Emergency response</t>
        </is>
      </c>
      <c r="F161" s="3" t="inlineStr">
        <is>
          <t>How mature is the organization in managing employee and visitor accountability after evacuation or sheltering, including ownership, evidence, metrics, fallback procedures and crisis stress testing?</t>
        </is>
      </c>
      <c r="G161" s="3" t="inlineStr">
        <is>
          <t>This topic affects exposure to Safety incident; Physical site loss; War/security crisis; Natural disaster. It helps identify how disruption may impact operations, people, revenue, systems, legal exposure or recovery time.</t>
        </is>
      </c>
      <c r="H161" s="3" t="inlineStr">
        <is>
          <t>ISO 45001; ISO 22320; ISO 31030; ISO 18788; ISO 22301; NFPA; local OH&amp;S rules</t>
        </is>
      </c>
      <c r="I161" s="3" t="inlineStr">
        <is>
          <t>Policy/SOP; owner/RACI; system report; dashboard; contracts; test records; incident history; interview evidence related to employee and visitor accountability after evacuation or sheltering.</t>
        </is>
      </c>
      <c r="J161" s="3" t="n">
        <v>3</v>
      </c>
      <c r="K161" s="85">
        <f>_DATA_Assessment_Model!H161</f>
        <v/>
      </c>
      <c r="L161" s="4">
        <f>_DATA_Assessment_Model!I161</f>
        <v/>
      </c>
      <c r="M161" s="4">
        <f>_DATA_Assessment_Model!J161</f>
        <v/>
      </c>
      <c r="N161" s="4">
        <f>_DATA_Assessment_Model!K161</f>
        <v/>
      </c>
      <c r="O161" s="3">
        <f>_DATA_Assessment_Model!L161</f>
        <v/>
      </c>
      <c r="P161" s="3" t="inlineStr">
        <is>
          <t>No reliable evidence that employee and visitor accountability after evacuation or sheltering is defined, owned or managed.</t>
        </is>
      </c>
      <c r="Q161" s="3" t="inlineStr">
        <is>
          <t>Employee and visitor accountability after evacuation or sheltering is handled informally and depends on individual knowledge or heroic effort.</t>
        </is>
      </c>
      <c r="R161" s="3" t="inlineStr">
        <is>
          <t>Employee and visitor accountability after evacuation or sheltering is partially documented or implemented, but coverage is inconsistent and not crisis-tested.</t>
        </is>
      </c>
      <c r="S161" s="3" t="inlineStr">
        <is>
          <t>Employee and visitor accountability after evacuation or sheltering is documented, owned, used in normal operations and supported by basic evidence or metrics.</t>
        </is>
      </c>
      <c r="T161" s="3" t="inlineStr">
        <is>
          <t>Employee and visitor accountability after evacuation or sheltering is measured, periodically reviewed, integrated with related processes and tested against relevant disruption scenarios.</t>
        </is>
      </c>
      <c r="U161" s="3" t="inlineStr">
        <is>
          <t>Employee and visitor accountability after evacuation or sheltering is optimized, continuously improved, automated where practical and demonstrably supports crisis resilience.</t>
        </is>
      </c>
      <c r="V161" s="3" t="inlineStr">
        <is>
          <t>Safety incident; Physical site loss; War/security crisis; Natural disaster</t>
        </is>
      </c>
      <c r="W161" s="3" t="n"/>
      <c r="X161" s="3" t="n"/>
      <c r="Y161" s="3" t="inlineStr">
        <is>
          <t>Use the recommended action generated by the model; validate with domain owner during real assessment.</t>
        </is>
      </c>
      <c r="Z161" s="7" t="n">
        <v>4</v>
      </c>
      <c r="AA161" s="7" t="n">
        <v>5</v>
      </c>
      <c r="AB161" s="7" t="n">
        <v>5</v>
      </c>
      <c r="AK161" s="46" t="n"/>
      <c r="AL161" s="46" t="n"/>
      <c r="AM161" s="247">
        <f>_DATA_Assessment_Model!AJ161</f>
        <v/>
      </c>
      <c r="AN161" s="247">
        <f>_DATA_Assessment_Model!AK161</f>
        <v/>
      </c>
      <c r="AO161" s="247">
        <f>_DATA_Assessment_Model!AL161</f>
        <v/>
      </c>
      <c r="AP161" s="247">
        <f>_DATA_Assessment_Model!AM161</f>
        <v/>
      </c>
      <c r="AQ161" s="247">
        <f>_DATA_Assessment_Model!AN161</f>
        <v/>
      </c>
      <c r="AR161" s="247">
        <f>_DATA_Assessment_Model!AO161</f>
        <v/>
      </c>
      <c r="AS161" s="247">
        <f>_DATA_Assessment_Model!AP161</f>
        <v/>
      </c>
      <c r="AT161" s="247">
        <f>_DATA_Assessment_Model!AQ161</f>
        <v/>
      </c>
      <c r="AU161" s="247">
        <f>_DATA_Assessment_Model!AR161</f>
        <v/>
      </c>
      <c r="AV161" s="5">
        <f>_DATA_Assessment_Model!AS161</f>
        <v/>
      </c>
      <c r="AW161" s="5">
        <f>_DATA_Assessment_Model!AT161</f>
        <v/>
      </c>
      <c r="AY161">
        <f>_DATA_Assessment_Model!AV161</f>
        <v/>
      </c>
    </row>
    <row r="162" ht="96.59999999999999" customHeight="1" s="209">
      <c r="A162" t="inlineStr">
        <is>
          <t>Physical Safety</t>
        </is>
      </c>
      <c r="B162" t="inlineStr">
        <is>
          <t>Physical Safety</t>
        </is>
      </c>
      <c r="C162" t="n">
        <v>22</v>
      </c>
      <c r="D162" s="3" t="inlineStr">
        <is>
          <t>PHYS-018</t>
        </is>
      </c>
      <c r="E162" s="3" t="inlineStr">
        <is>
          <t>Emergency response</t>
        </is>
      </c>
      <c r="F162" s="3" t="inlineStr">
        <is>
          <t>How mature is the organization in managing emergency supplies such as water, batteries, power banks, fuel, PPE, radios and flashlights, including ownership, evidence, metrics, fallback procedures and crisis stress testing?</t>
        </is>
      </c>
      <c r="G162" s="3" t="inlineStr">
        <is>
          <t>This topic affects exposure to Safety incident; Physical site loss; War/security crisis; Natural disaster. It helps identify how disruption may impact operations, people, revenue, systems, legal exposure or recovery time.</t>
        </is>
      </c>
      <c r="H162" s="3" t="inlineStr">
        <is>
          <t>ISO 45001; ISO 22320; ISO 31030; ISO 18788; ISO 22301; NFPA; local OH&amp;S rules</t>
        </is>
      </c>
      <c r="I162" s="3" t="inlineStr">
        <is>
          <t>Policy/SOP; owner/RACI; system report; dashboard; contracts; test records; incident history; interview evidence related to emergency supplies such as water, batteries, power banks, fuel, PPE, radios and flashlights.</t>
        </is>
      </c>
      <c r="J162" s="3" t="n">
        <v>3</v>
      </c>
      <c r="K162" s="85">
        <f>_DATA_Assessment_Model!H162</f>
        <v/>
      </c>
      <c r="L162" s="4">
        <f>_DATA_Assessment_Model!I162</f>
        <v/>
      </c>
      <c r="M162" s="4">
        <f>_DATA_Assessment_Model!J162</f>
        <v/>
      </c>
      <c r="N162" s="4">
        <f>_DATA_Assessment_Model!K162</f>
        <v/>
      </c>
      <c r="O162" s="3">
        <f>_DATA_Assessment_Model!L162</f>
        <v/>
      </c>
      <c r="P162" s="3" t="inlineStr">
        <is>
          <t>No reliable evidence that emergency supplies such as water, batteries, power banks, fuel, ppe, radios and flashlights is defined, owned or managed.</t>
        </is>
      </c>
      <c r="Q162" s="3" t="inlineStr">
        <is>
          <t>Emergency supplies such as water, batteries, power banks, fuel, PPE, radios and flashlights is handled informally and depends on individual knowledge or heroic effort.</t>
        </is>
      </c>
      <c r="R162" s="3" t="inlineStr">
        <is>
          <t>Emergency supplies such as water, batteries, power banks, fuel, PPE, radios and flashlights is partially documented or implemented, but coverage is inconsistent and not crisis-tested.</t>
        </is>
      </c>
      <c r="S162" s="3" t="inlineStr">
        <is>
          <t>Emergency supplies such as water, batteries, power banks, fuel, PPE, radios and flashlights is documented, owned, used in normal operations and supported by basic evidence or metrics.</t>
        </is>
      </c>
      <c r="T162" s="3" t="inlineStr">
        <is>
          <t>Emergency supplies such as water, batteries, power banks, fuel, PPE, radios and flashlights is measured, periodically reviewed, integrated with related processes and tested against relevant disruption scenarios.</t>
        </is>
      </c>
      <c r="U162" s="3" t="inlineStr">
        <is>
          <t>Emergency supplies such as water, batteries, power banks, fuel, PPE, radios and flashlights is optimized, continuously improved, automated where practical and demonstrably supports crisis resilience.</t>
        </is>
      </c>
      <c r="V162" s="3" t="inlineStr">
        <is>
          <t>Safety incident; Physical site loss; War/security crisis; Natural disaster</t>
        </is>
      </c>
      <c r="W162" s="3" t="n"/>
      <c r="X162" s="3" t="n"/>
      <c r="Y162" s="3" t="inlineStr">
        <is>
          <t>Use the recommended action generated by the model; validate with domain owner during real assessment.</t>
        </is>
      </c>
      <c r="Z162" s="7" t="n">
        <v>4</v>
      </c>
      <c r="AA162" s="7" t="n">
        <v>5</v>
      </c>
      <c r="AB162" s="7" t="n">
        <v>5</v>
      </c>
      <c r="AK162" s="46" t="n"/>
      <c r="AL162" s="46" t="n"/>
      <c r="AM162" s="247">
        <f>_DATA_Assessment_Model!AJ162</f>
        <v/>
      </c>
      <c r="AN162" s="247">
        <f>_DATA_Assessment_Model!AK162</f>
        <v/>
      </c>
      <c r="AO162" s="247">
        <f>_DATA_Assessment_Model!AL162</f>
        <v/>
      </c>
      <c r="AP162" s="247">
        <f>_DATA_Assessment_Model!AM162</f>
        <v/>
      </c>
      <c r="AQ162" s="247">
        <f>_DATA_Assessment_Model!AN162</f>
        <v/>
      </c>
      <c r="AR162" s="247">
        <f>_DATA_Assessment_Model!AO162</f>
        <v/>
      </c>
      <c r="AS162" s="247">
        <f>_DATA_Assessment_Model!AP162</f>
        <v/>
      </c>
      <c r="AT162" s="247">
        <f>_DATA_Assessment_Model!AQ162</f>
        <v/>
      </c>
      <c r="AU162" s="247">
        <f>_DATA_Assessment_Model!AR162</f>
        <v/>
      </c>
      <c r="AV162" s="5">
        <f>_DATA_Assessment_Model!AS162</f>
        <v/>
      </c>
      <c r="AW162" s="5">
        <f>_DATA_Assessment_Model!AT162</f>
        <v/>
      </c>
      <c r="AY162">
        <f>_DATA_Assessment_Model!AV162</f>
        <v/>
      </c>
    </row>
    <row r="163" ht="110.4" customHeight="1" s="209">
      <c r="A163" t="inlineStr">
        <is>
          <t>Physical Safety</t>
        </is>
      </c>
      <c r="B163" t="inlineStr">
        <is>
          <t>Physical Safety</t>
        </is>
      </c>
      <c r="C163" t="n">
        <v>23</v>
      </c>
      <c r="D163" s="3" t="inlineStr">
        <is>
          <t>PHYS-019</t>
        </is>
      </c>
      <c r="E163" s="3" t="inlineStr">
        <is>
          <t>Security and travel</t>
        </is>
      </c>
      <c r="F163" s="3" t="inlineStr">
        <is>
          <t>How mature is the organization in managing air raid, shelling, curfew, checkpoints, movement restriction and shelter procedures for high-risk geographies, including ownership, evidence, metrics, fallback procedures and crisis stress testing?</t>
        </is>
      </c>
      <c r="G163" s="3" t="inlineStr">
        <is>
          <t>This topic affects exposure to Safety incident; Physical site loss; War/security crisis; Natural disaster. It helps identify how disruption may impact operations, people, revenue, systems, legal exposure or recovery time.</t>
        </is>
      </c>
      <c r="H163" s="3" t="inlineStr">
        <is>
          <t>ISO 45001; ISO 22320; ISO 31030; ISO 18788; ISO 22301; NFPA; local OH&amp;S rules</t>
        </is>
      </c>
      <c r="I163" s="3" t="inlineStr">
        <is>
          <t>Policy/SOP; owner/RACI; system report; dashboard; contracts; test records; incident history; interview evidence related to air raid, shelling, curfew, checkpoints, movement restriction and shelter procedures for high-risk geographies.</t>
        </is>
      </c>
      <c r="J163" s="3" t="n">
        <v>4</v>
      </c>
      <c r="K163" s="85">
        <f>_DATA_Assessment_Model!H163</f>
        <v/>
      </c>
      <c r="L163" s="4">
        <f>_DATA_Assessment_Model!I163</f>
        <v/>
      </c>
      <c r="M163" s="4">
        <f>_DATA_Assessment_Model!J163</f>
        <v/>
      </c>
      <c r="N163" s="4">
        <f>_DATA_Assessment_Model!K163</f>
        <v/>
      </c>
      <c r="O163" s="3">
        <f>_DATA_Assessment_Model!L163</f>
        <v/>
      </c>
      <c r="P163" s="3" t="inlineStr">
        <is>
          <t>No reliable evidence that air raid, shelling, curfew, checkpoints, movement restriction and shelter procedures for high-risk geographies is defined, owned or managed.</t>
        </is>
      </c>
      <c r="Q163" s="3" t="inlineStr">
        <is>
          <t>Air raid, shelling, curfew, checkpoints, movement restriction and shelter procedures for high-risk geographies is handled informally and depends on individual knowledge or heroic effort.</t>
        </is>
      </c>
      <c r="R163" s="3" t="inlineStr">
        <is>
          <t>Air raid, shelling, curfew, checkpoints, movement restriction and shelter procedures for high-risk geographies is partially documented or implemented, but coverage is inconsistent and not crisis-tested.</t>
        </is>
      </c>
      <c r="S163" s="3" t="inlineStr">
        <is>
          <t>Air raid, shelling, curfew, checkpoints, movement restriction and shelter procedures for high-risk geographies is documented, owned, used in normal operations and supported by basic evidence or metrics.</t>
        </is>
      </c>
      <c r="T163" s="3" t="inlineStr">
        <is>
          <t>Air raid, shelling, curfew, checkpoints, movement restriction and shelter procedures for high-risk geographies is measured, periodically reviewed, integrated with related processes and tested against relevant disruption scenarios.</t>
        </is>
      </c>
      <c r="U163" s="3" t="inlineStr">
        <is>
          <t>Air raid, shelling, curfew, checkpoints, movement restriction and shelter procedures for high-risk geographies is optimized, continuously improved, automated where practical and demonstrably supports crisis resilience.</t>
        </is>
      </c>
      <c r="V163" s="3" t="inlineStr">
        <is>
          <t>Safety incident; Physical site loss; War/security crisis; Natural disaster</t>
        </is>
      </c>
      <c r="W163" s="3" t="n"/>
      <c r="X163" s="3" t="n"/>
      <c r="Y163" s="3" t="inlineStr">
        <is>
          <t>Use the recommended action generated by the model; validate with domain owner during real assessment.</t>
        </is>
      </c>
      <c r="Z163" s="7" t="n">
        <v>4</v>
      </c>
      <c r="AA163" s="7" t="n">
        <v>5</v>
      </c>
      <c r="AB163" s="7" t="n">
        <v>5</v>
      </c>
      <c r="AK163" s="46" t="n"/>
      <c r="AL163" s="46" t="n"/>
      <c r="AM163" s="247">
        <f>_DATA_Assessment_Model!AJ163</f>
        <v/>
      </c>
      <c r="AN163" s="247">
        <f>_DATA_Assessment_Model!AK163</f>
        <v/>
      </c>
      <c r="AO163" s="247">
        <f>_DATA_Assessment_Model!AL163</f>
        <v/>
      </c>
      <c r="AP163" s="247">
        <f>_DATA_Assessment_Model!AM163</f>
        <v/>
      </c>
      <c r="AQ163" s="247">
        <f>_DATA_Assessment_Model!AN163</f>
        <v/>
      </c>
      <c r="AR163" s="247">
        <f>_DATA_Assessment_Model!AO163</f>
        <v/>
      </c>
      <c r="AS163" s="247">
        <f>_DATA_Assessment_Model!AP163</f>
        <v/>
      </c>
      <c r="AT163" s="247">
        <f>_DATA_Assessment_Model!AQ163</f>
        <v/>
      </c>
      <c r="AU163" s="247">
        <f>_DATA_Assessment_Model!AR163</f>
        <v/>
      </c>
      <c r="AV163" s="5">
        <f>_DATA_Assessment_Model!AS163</f>
        <v/>
      </c>
      <c r="AW163" s="5">
        <f>_DATA_Assessment_Model!AT163</f>
        <v/>
      </c>
      <c r="AY163">
        <f>_DATA_Assessment_Model!AV163</f>
        <v/>
      </c>
    </row>
    <row r="164" ht="69" customHeight="1" s="209">
      <c r="A164" t="inlineStr">
        <is>
          <t>Physical Safety</t>
        </is>
      </c>
      <c r="B164" t="inlineStr">
        <is>
          <t>Physical Safety</t>
        </is>
      </c>
      <c r="C164" t="n">
        <v>24</v>
      </c>
      <c r="D164" s="3" t="inlineStr">
        <is>
          <t>PHYS-020</t>
        </is>
      </c>
      <c r="E164" s="3" t="inlineStr">
        <is>
          <t>Security and travel</t>
        </is>
      </c>
      <c r="F164" s="3" t="inlineStr">
        <is>
          <t>How mature is the organization in managing relocation and evacuation options for employees and critical teams, including ownership, evidence, metrics, fallback procedures and crisis stress testing?</t>
        </is>
      </c>
      <c r="G164" s="3" t="inlineStr">
        <is>
          <t>This topic affects exposure to Safety incident; Physical site loss; War/security crisis; Natural disaster. It helps identify how disruption may impact operations, people, revenue, systems, legal exposure or recovery time.</t>
        </is>
      </c>
      <c r="H164" s="3" t="inlineStr">
        <is>
          <t>ISO 45001; ISO 22320; ISO 31030; ISO 18788; ISO 22301; NFPA; local OH&amp;S rules</t>
        </is>
      </c>
      <c r="I164" s="3" t="inlineStr">
        <is>
          <t>Policy/SOP; owner/RACI; system report; dashboard; contracts; test records; incident history; interview evidence related to relocation and evacuation options for employees and critical teams.</t>
        </is>
      </c>
      <c r="J164" s="3" t="n">
        <v>5</v>
      </c>
      <c r="K164" s="85">
        <f>_DATA_Assessment_Model!H164</f>
        <v/>
      </c>
      <c r="L164" s="4">
        <f>_DATA_Assessment_Model!I164</f>
        <v/>
      </c>
      <c r="M164" s="4">
        <f>_DATA_Assessment_Model!J164</f>
        <v/>
      </c>
      <c r="N164" s="4">
        <f>_DATA_Assessment_Model!K164</f>
        <v/>
      </c>
      <c r="O164" s="3">
        <f>_DATA_Assessment_Model!L164</f>
        <v/>
      </c>
      <c r="P164" s="3" t="inlineStr">
        <is>
          <t>Does not exist; no owner, no documentation, no practice.</t>
        </is>
      </c>
      <c r="Q164" s="3" t="inlineStr">
        <is>
          <t>Ad hoc; depends entirely on specific individuals.</t>
        </is>
      </c>
      <c r="R164" s="3" t="inlineStr">
        <is>
          <t>Partially documented or implemented; coverage inconsistent; never tested under stress.</t>
        </is>
      </c>
      <c r="S164" s="3" t="inlineStr">
        <is>
          <t>Documented, owned, executed consistently; basic evidence and metrics exist.</t>
        </is>
      </c>
      <c r="T164" s="3" t="inlineStr">
        <is>
          <t>Measured and periodically tested/audited; integrated with adjacent processes.</t>
        </is>
      </c>
      <c r="U164" s="3" t="inlineStr">
        <is>
          <t>Optimized and automated where practical; stress-tested; benchmarked externally.</t>
        </is>
      </c>
      <c r="V164" s="3" t="inlineStr">
        <is>
          <t>Safety incident; Physical site loss; War/security crisis; Natural disaster</t>
        </is>
      </c>
      <c r="W164" s="3" t="n"/>
      <c r="X164" s="3" t="n"/>
      <c r="Y164" s="3" t="inlineStr">
        <is>
          <t>Use the recommended action generated by the model; validate with domain owner during real assessment.</t>
        </is>
      </c>
      <c r="Z164" s="7" t="n">
        <v>4</v>
      </c>
      <c r="AA164" s="7" t="n">
        <v>5</v>
      </c>
      <c r="AB164" s="7" t="n">
        <v>5</v>
      </c>
      <c r="AK164" s="46" t="n"/>
      <c r="AL164" s="46" t="n"/>
      <c r="AM164" s="247">
        <f>_DATA_Assessment_Model!AJ164</f>
        <v/>
      </c>
      <c r="AN164" s="247">
        <f>_DATA_Assessment_Model!AK164</f>
        <v/>
      </c>
      <c r="AO164" s="247">
        <f>_DATA_Assessment_Model!AL164</f>
        <v/>
      </c>
      <c r="AP164" s="247">
        <f>_DATA_Assessment_Model!AM164</f>
        <v/>
      </c>
      <c r="AQ164" s="247">
        <f>_DATA_Assessment_Model!AN164</f>
        <v/>
      </c>
      <c r="AR164" s="247">
        <f>_DATA_Assessment_Model!AO164</f>
        <v/>
      </c>
      <c r="AS164" s="247">
        <f>_DATA_Assessment_Model!AP164</f>
        <v/>
      </c>
      <c r="AT164" s="247">
        <f>_DATA_Assessment_Model!AQ164</f>
        <v/>
      </c>
      <c r="AU164" s="247">
        <f>_DATA_Assessment_Model!AR164</f>
        <v/>
      </c>
      <c r="AV164" s="5">
        <f>_DATA_Assessment_Model!AS164</f>
        <v/>
      </c>
      <c r="AW164" s="5">
        <f>_DATA_Assessment_Model!AT164</f>
        <v/>
      </c>
      <c r="AY164">
        <f>_DATA_Assessment_Model!AV164</f>
        <v/>
      </c>
    </row>
    <row r="165" ht="82.8" customHeight="1" s="209">
      <c r="A165" t="inlineStr">
        <is>
          <t>Physical Safety</t>
        </is>
      </c>
      <c r="B165" t="inlineStr">
        <is>
          <t>Physical Safety</t>
        </is>
      </c>
      <c r="C165" t="n">
        <v>25</v>
      </c>
      <c r="D165" s="3" t="inlineStr">
        <is>
          <t>PHYS-021</t>
        </is>
      </c>
      <c r="E165" s="3" t="inlineStr">
        <is>
          <t>Security and travel</t>
        </is>
      </c>
      <c r="F165" s="3" t="inlineStr">
        <is>
          <t>How mature is the organization in managing travel risk assessment by destination, route, purpose, employee profile and emergency support, including ownership, evidence, metrics, fallback procedures and crisis stress testing?</t>
        </is>
      </c>
      <c r="G165" s="3" t="inlineStr">
        <is>
          <t>This topic affects exposure to Safety incident; Physical site loss; War/security crisis; Natural disaster. It helps identify how disruption may impact operations, people, revenue, systems, legal exposure or recovery time.</t>
        </is>
      </c>
      <c r="H165" s="3" t="inlineStr">
        <is>
          <t>ISO 45001; ISO 22320; ISO 31030; ISO 18788; ISO 22301; NFPA; local OH&amp;S rules</t>
        </is>
      </c>
      <c r="I165" s="3" t="inlineStr">
        <is>
          <t>Policy/SOP; owner/RACI; system report; dashboard; contracts; test records; incident history; interview evidence related to travel risk assessment by destination, route, purpose, employee profile and emergency support.</t>
        </is>
      </c>
      <c r="J165" s="3" t="n">
        <v>5</v>
      </c>
      <c r="K165" s="85">
        <f>_DATA_Assessment_Model!H165</f>
        <v/>
      </c>
      <c r="L165" s="4">
        <f>_DATA_Assessment_Model!I165</f>
        <v/>
      </c>
      <c r="M165" s="4">
        <f>_DATA_Assessment_Model!J165</f>
        <v/>
      </c>
      <c r="N165" s="4">
        <f>_DATA_Assessment_Model!K165</f>
        <v/>
      </c>
      <c r="O165" s="3">
        <f>_DATA_Assessment_Model!L165</f>
        <v/>
      </c>
      <c r="P165" s="3" t="inlineStr">
        <is>
          <t>Does not exist; no owner, no documentation, no practice.</t>
        </is>
      </c>
      <c r="Q165" s="3" t="inlineStr">
        <is>
          <t>Ad hoc; depends entirely on specific individuals.</t>
        </is>
      </c>
      <c r="R165" s="3" t="inlineStr">
        <is>
          <t>Partially documented or implemented; coverage inconsistent; never tested under stress.</t>
        </is>
      </c>
      <c r="S165" s="3" t="inlineStr">
        <is>
          <t>Documented, owned, executed consistently; basic evidence and metrics exist.</t>
        </is>
      </c>
      <c r="T165" s="3" t="inlineStr">
        <is>
          <t>Measured and periodically tested/audited; integrated with adjacent processes.</t>
        </is>
      </c>
      <c r="U165" s="3" t="inlineStr">
        <is>
          <t>Optimized and automated where practical; stress-tested; benchmarked externally.</t>
        </is>
      </c>
      <c r="V165" s="3" t="inlineStr">
        <is>
          <t>Safety incident; Physical site loss; War/security crisis; Natural disaster</t>
        </is>
      </c>
      <c r="W165" s="3" t="n"/>
      <c r="X165" s="3" t="n"/>
      <c r="Y165" s="3" t="inlineStr">
        <is>
          <t>Use the recommended action generated by the model; validate with domain owner during real assessment.</t>
        </is>
      </c>
      <c r="Z165" s="7" t="n">
        <v>4</v>
      </c>
      <c r="AA165" s="7" t="n">
        <v>5</v>
      </c>
      <c r="AB165" s="7" t="n">
        <v>5</v>
      </c>
      <c r="AK165" s="46" t="n"/>
      <c r="AL165" s="46" t="n"/>
      <c r="AM165" s="247">
        <f>_DATA_Assessment_Model!AJ165</f>
        <v/>
      </c>
      <c r="AN165" s="247">
        <f>_DATA_Assessment_Model!AK165</f>
        <v/>
      </c>
      <c r="AO165" s="247">
        <f>_DATA_Assessment_Model!AL165</f>
        <v/>
      </c>
      <c r="AP165" s="247">
        <f>_DATA_Assessment_Model!AM165</f>
        <v/>
      </c>
      <c r="AQ165" s="247">
        <f>_DATA_Assessment_Model!AN165</f>
        <v/>
      </c>
      <c r="AR165" s="247">
        <f>_DATA_Assessment_Model!AO165</f>
        <v/>
      </c>
      <c r="AS165" s="247">
        <f>_DATA_Assessment_Model!AP165</f>
        <v/>
      </c>
      <c r="AT165" s="247">
        <f>_DATA_Assessment_Model!AQ165</f>
        <v/>
      </c>
      <c r="AU165" s="247">
        <f>_DATA_Assessment_Model!AR165</f>
        <v/>
      </c>
      <c r="AV165" s="5">
        <f>_DATA_Assessment_Model!AS165</f>
        <v/>
      </c>
      <c r="AW165" s="5">
        <f>_DATA_Assessment_Model!AT165</f>
        <v/>
      </c>
      <c r="AY165">
        <f>_DATA_Assessment_Model!AV165</f>
        <v/>
      </c>
    </row>
    <row r="166" ht="69" customHeight="1" s="209">
      <c r="A166" t="inlineStr">
        <is>
          <t>Physical Safety</t>
        </is>
      </c>
      <c r="B166" t="inlineStr">
        <is>
          <t>Physical Safety</t>
        </is>
      </c>
      <c r="C166" t="n">
        <v>26</v>
      </c>
      <c r="D166" s="3" t="inlineStr">
        <is>
          <t>PHYS-022</t>
        </is>
      </c>
      <c r="E166" s="3" t="inlineStr">
        <is>
          <t>Security and travel</t>
        </is>
      </c>
      <c r="F166" s="3" t="inlineStr">
        <is>
          <t>How mature is the organization in managing local threat monitoring for critical sites and geographies, including ownership, evidence, metrics, fallback procedures and crisis stress testing?</t>
        </is>
      </c>
      <c r="G166" s="3" t="inlineStr">
        <is>
          <t>This topic affects exposure to Safety incident; Physical site loss; War/security crisis; Natural disaster. It helps identify how disruption may impact operations, people, revenue, systems, legal exposure or recovery time.</t>
        </is>
      </c>
      <c r="H166" s="3" t="inlineStr">
        <is>
          <t>ISO 45001; ISO 22320; ISO 31030; ISO 18788; ISO 22301; NFPA; local OH&amp;S rules</t>
        </is>
      </c>
      <c r="I166" s="3" t="inlineStr">
        <is>
          <t>Policy/SOP; owner/RACI; system report; dashboard; contracts; test records; incident history; interview evidence related to local threat monitoring for critical sites and geographies.</t>
        </is>
      </c>
      <c r="J166" s="3" t="n">
        <v>5</v>
      </c>
      <c r="K166" s="85">
        <f>_DATA_Assessment_Model!H166</f>
        <v/>
      </c>
      <c r="L166" s="4">
        <f>_DATA_Assessment_Model!I166</f>
        <v/>
      </c>
      <c r="M166" s="4">
        <f>_DATA_Assessment_Model!J166</f>
        <v/>
      </c>
      <c r="N166" s="4">
        <f>_DATA_Assessment_Model!K166</f>
        <v/>
      </c>
      <c r="O166" s="3">
        <f>_DATA_Assessment_Model!L166</f>
        <v/>
      </c>
      <c r="P166" s="3" t="inlineStr">
        <is>
          <t>Nothing is monitored or measured.</t>
        </is>
      </c>
      <c r="Q166" s="3" t="inlineStr">
        <is>
          <t>Occasional manual checks by individuals.</t>
        </is>
      </c>
      <c r="R166" s="3" t="inlineStr">
        <is>
          <t>Some metrics exist but are not reviewed regularly and trigger no action.</t>
        </is>
      </c>
      <c r="S166" s="3" t="inlineStr">
        <is>
          <t>Defined metrics with an owner, reviewed on a set cadence.</t>
        </is>
      </c>
      <c r="T166" s="3" t="inlineStr">
        <is>
          <t>Thresholds and alerts in place; deviations trigger documented action; trends analyzed.</t>
        </is>
      </c>
      <c r="U166" s="3" t="inlineStr">
        <is>
          <t>Automated monitoring with leading indicators, integrated into management decisions.</t>
        </is>
      </c>
      <c r="V166" s="3" t="inlineStr">
        <is>
          <t>Safety incident; Physical site loss; War/security crisis; Natural disaster</t>
        </is>
      </c>
      <c r="W166" s="3" t="n"/>
      <c r="X166" s="3" t="n"/>
      <c r="Y166" s="3" t="inlineStr">
        <is>
          <t>Use the recommended action generated by the model; validate with domain owner during real assessment.</t>
        </is>
      </c>
      <c r="Z166" s="7" t="n">
        <v>4</v>
      </c>
      <c r="AA166" s="7" t="n">
        <v>5</v>
      </c>
      <c r="AB166" s="7" t="n">
        <v>5</v>
      </c>
      <c r="AK166" s="46" t="n"/>
      <c r="AL166" s="46" t="n"/>
      <c r="AM166" s="247">
        <f>_DATA_Assessment_Model!AJ166</f>
        <v/>
      </c>
      <c r="AN166" s="247">
        <f>_DATA_Assessment_Model!AK166</f>
        <v/>
      </c>
      <c r="AO166" s="247">
        <f>_DATA_Assessment_Model!AL166</f>
        <v/>
      </c>
      <c r="AP166" s="247">
        <f>_DATA_Assessment_Model!AM166</f>
        <v/>
      </c>
      <c r="AQ166" s="247">
        <f>_DATA_Assessment_Model!AN166</f>
        <v/>
      </c>
      <c r="AR166" s="247">
        <f>_DATA_Assessment_Model!AO166</f>
        <v/>
      </c>
      <c r="AS166" s="247">
        <f>_DATA_Assessment_Model!AP166</f>
        <v/>
      </c>
      <c r="AT166" s="247">
        <f>_DATA_Assessment_Model!AQ166</f>
        <v/>
      </c>
      <c r="AU166" s="247">
        <f>_DATA_Assessment_Model!AR166</f>
        <v/>
      </c>
      <c r="AV166" s="5">
        <f>_DATA_Assessment_Model!AS166</f>
        <v/>
      </c>
      <c r="AW166" s="5">
        <f>_DATA_Assessment_Model!AT166</f>
        <v/>
      </c>
      <c r="AY166">
        <f>_DATA_Assessment_Model!AV166</f>
        <v/>
      </c>
    </row>
    <row r="167" ht="96.59999999999999" customHeight="1" s="209">
      <c r="A167" t="inlineStr">
        <is>
          <t>Physical Safety</t>
        </is>
      </c>
      <c r="B167" t="inlineStr">
        <is>
          <t>Physical Safety</t>
        </is>
      </c>
      <c r="C167" t="n">
        <v>27</v>
      </c>
      <c r="D167" s="3" t="inlineStr">
        <is>
          <t>PHYS-023</t>
        </is>
      </c>
      <c r="E167" s="3" t="inlineStr">
        <is>
          <t>Security and travel</t>
        </is>
      </c>
      <c r="F167" s="3" t="inlineStr">
        <is>
          <t>How mature is the organization in managing coordination with fire, police, medical, local administration and utility providers, including ownership, evidence, metrics, fallback procedures and crisis stress testing?</t>
        </is>
      </c>
      <c r="G167" s="3" t="inlineStr">
        <is>
          <t>This topic affects exposure to Safety incident; Physical site loss; War/security crisis; Natural disaster. It helps identify how disruption may impact operations, people, revenue, systems, legal exposure or recovery time.</t>
        </is>
      </c>
      <c r="H167" s="3" t="inlineStr">
        <is>
          <t>ISO 45001; ISO 22320; ISO 31030; ISO 18788; ISO 22301; NFPA; local OH&amp;S rules</t>
        </is>
      </c>
      <c r="I167" s="3" t="inlineStr">
        <is>
          <t>Policy/SOP; owner/RACI; system report; dashboard; contracts; test records; incident history; interview evidence related to coordination with fire, police, medical, local administration and utility providers.</t>
        </is>
      </c>
      <c r="J167" s="3" t="n">
        <v>3</v>
      </c>
      <c r="K167" s="85">
        <f>_DATA_Assessment_Model!H167</f>
        <v/>
      </c>
      <c r="L167" s="4">
        <f>_DATA_Assessment_Model!I167</f>
        <v/>
      </c>
      <c r="M167" s="4">
        <f>_DATA_Assessment_Model!J167</f>
        <v/>
      </c>
      <c r="N167" s="4">
        <f>_DATA_Assessment_Model!K167</f>
        <v/>
      </c>
      <c r="O167" s="3">
        <f>_DATA_Assessment_Model!L167</f>
        <v/>
      </c>
      <c r="P167" s="3" t="inlineStr">
        <is>
          <t>No reliable evidence that coordination with fire, police, medical, local administration and utility providers is defined, owned or managed.</t>
        </is>
      </c>
      <c r="Q167" s="3" t="inlineStr">
        <is>
          <t>Coordination with fire, police, medical, local administration and utility providers is handled informally and depends on individual knowledge or heroic effort.</t>
        </is>
      </c>
      <c r="R167" s="3" t="inlineStr">
        <is>
          <t>Coordination with fire, police, medical, local administration and utility providers is partially documented or implemented, but coverage is inconsistent and not crisis-tested.</t>
        </is>
      </c>
      <c r="S167" s="3" t="inlineStr">
        <is>
          <t>Coordination with fire, police, medical, local administration and utility providers is documented, owned, used in normal operations and supported by basic evidence or metrics.</t>
        </is>
      </c>
      <c r="T167" s="3" t="inlineStr">
        <is>
          <t>Coordination with fire, police, medical, local administration and utility providers is measured, periodically reviewed, integrated with related processes and tested against relevant disruption scenarios.</t>
        </is>
      </c>
      <c r="U167" s="3" t="inlineStr">
        <is>
          <t>Coordination with fire, police, medical, local administration and utility providers is optimized, continuously improved, automated where practical and demonstrably supports crisis resilience.</t>
        </is>
      </c>
      <c r="V167" s="3" t="inlineStr">
        <is>
          <t>Safety incident; Physical site loss; War/security crisis; Natural disaster</t>
        </is>
      </c>
      <c r="W167" s="3" t="n"/>
      <c r="X167" s="3" t="n"/>
      <c r="Y167" s="3" t="inlineStr">
        <is>
          <t>Use the recommended action generated by the model; validate with domain owner during real assessment.</t>
        </is>
      </c>
      <c r="Z167" s="7" t="n">
        <v>4</v>
      </c>
      <c r="AA167" s="7" t="n">
        <v>5</v>
      </c>
      <c r="AB167" s="7" t="n">
        <v>5</v>
      </c>
      <c r="AK167" s="46" t="n"/>
      <c r="AL167" s="46" t="n"/>
      <c r="AM167" s="247">
        <f>_DATA_Assessment_Model!AJ167</f>
        <v/>
      </c>
      <c r="AN167" s="247">
        <f>_DATA_Assessment_Model!AK167</f>
        <v/>
      </c>
      <c r="AO167" s="247">
        <f>_DATA_Assessment_Model!AL167</f>
        <v/>
      </c>
      <c r="AP167" s="247">
        <f>_DATA_Assessment_Model!AM167</f>
        <v/>
      </c>
      <c r="AQ167" s="247">
        <f>_DATA_Assessment_Model!AN167</f>
        <v/>
      </c>
      <c r="AR167" s="247">
        <f>_DATA_Assessment_Model!AO167</f>
        <v/>
      </c>
      <c r="AS167" s="247">
        <f>_DATA_Assessment_Model!AP167</f>
        <v/>
      </c>
      <c r="AT167" s="247">
        <f>_DATA_Assessment_Model!AQ167</f>
        <v/>
      </c>
      <c r="AU167" s="247">
        <f>_DATA_Assessment_Model!AR167</f>
        <v/>
      </c>
      <c r="AV167" s="5">
        <f>_DATA_Assessment_Model!AS167</f>
        <v/>
      </c>
      <c r="AW167" s="5">
        <f>_DATA_Assessment_Model!AT167</f>
        <v/>
      </c>
      <c r="AY167">
        <f>_DATA_Assessment_Model!AV167</f>
        <v/>
      </c>
    </row>
    <row r="168" ht="82.8" customHeight="1" s="209">
      <c r="A168" t="inlineStr">
        <is>
          <t>Physical Safety</t>
        </is>
      </c>
      <c r="B168" t="inlineStr">
        <is>
          <t>Physical Safety</t>
        </is>
      </c>
      <c r="C168" t="n">
        <v>28</v>
      </c>
      <c r="D168" s="3" t="inlineStr">
        <is>
          <t>PHYS-024</t>
        </is>
      </c>
      <c r="E168" s="3" t="inlineStr">
        <is>
          <t>Utilities and resilience</t>
        </is>
      </c>
      <c r="F168" s="3" t="inlineStr">
        <is>
          <t>How mature is the organization in managing backup power for critical sites with capacity, maintenance, fuel and test records, including ownership, evidence, metrics, fallback procedures and crisis stress testing?</t>
        </is>
      </c>
      <c r="G168" s="3" t="inlineStr">
        <is>
          <t>This topic affects exposure to Safety incident; Physical site loss; War/security crisis; Natural disaster. It helps identify how disruption may impact operations, people, revenue, systems, legal exposure or recovery time.</t>
        </is>
      </c>
      <c r="H168" s="3" t="inlineStr">
        <is>
          <t>ISO 45001; ISO 22320; ISO 31030; ISO 18788; ISO 22301; NFPA; local OH&amp;S rules</t>
        </is>
      </c>
      <c r="I168" s="3" t="inlineStr">
        <is>
          <t>Policy/SOP; owner/RACI; system report; dashboard; contracts; test records; incident history; interview evidence related to backup power for critical sites with capacity, maintenance, fuel and test records.</t>
        </is>
      </c>
      <c r="J168" s="3" t="n">
        <v>5</v>
      </c>
      <c r="K168" s="85">
        <f>_DATA_Assessment_Model!H168</f>
        <v/>
      </c>
      <c r="L168" s="4">
        <f>_DATA_Assessment_Model!I168</f>
        <v/>
      </c>
      <c r="M168" s="4">
        <f>_DATA_Assessment_Model!J168</f>
        <v/>
      </c>
      <c r="N168" s="4">
        <f>_DATA_Assessment_Model!K168</f>
        <v/>
      </c>
      <c r="O168" s="3">
        <f>_DATA_Assessment_Model!L168</f>
        <v/>
      </c>
      <c r="P168" s="3" t="inlineStr">
        <is>
          <t>Never done; no records exist.</t>
        </is>
      </c>
      <c r="Q168" s="3" t="inlineStr">
        <is>
          <t>Done once long ago or only after an incident; no schedule, no records.</t>
        </is>
      </c>
      <c r="R168" s="3" t="inlineStr">
        <is>
          <t>Done irregularly; results are not documented and findings are not tracked.</t>
        </is>
      </c>
      <c r="S168" s="3" t="inlineStr">
        <is>
          <t>Done on a defined schedule (at least annually); results documented, owner assigned.</t>
        </is>
      </c>
      <c r="T168" s="3" t="inlineStr">
        <is>
          <t>Done quarterly/semi-annually; findings tracked to closure, effectiveness measured against targets.</t>
        </is>
      </c>
      <c r="U168" s="3" t="inlineStr">
        <is>
          <t>Continuous or automated where possible; results drive improvements and are validated externally (audit/customer).</t>
        </is>
      </c>
      <c r="V168" s="3" t="inlineStr">
        <is>
          <t>Safety incident; Physical site loss; War/security crisis; Natural disaster</t>
        </is>
      </c>
      <c r="W168" s="3" t="n"/>
      <c r="X168" s="3" t="n"/>
      <c r="Y168" s="3" t="inlineStr">
        <is>
          <t>Use the recommended action generated by the model; validate with domain owner during real assessment.</t>
        </is>
      </c>
      <c r="Z168" s="7" t="n">
        <v>5</v>
      </c>
      <c r="AA168" s="7" t="n">
        <v>5</v>
      </c>
      <c r="AB168" s="7" t="n">
        <v>5</v>
      </c>
      <c r="AK168" s="46" t="n"/>
      <c r="AL168" s="46" t="n"/>
      <c r="AM168" s="247">
        <f>_DATA_Assessment_Model!AJ168</f>
        <v/>
      </c>
      <c r="AN168" s="247">
        <f>_DATA_Assessment_Model!AK168</f>
        <v/>
      </c>
      <c r="AO168" s="247">
        <f>_DATA_Assessment_Model!AL168</f>
        <v/>
      </c>
      <c r="AP168" s="247">
        <f>_DATA_Assessment_Model!AM168</f>
        <v/>
      </c>
      <c r="AQ168" s="247">
        <f>_DATA_Assessment_Model!AN168</f>
        <v/>
      </c>
      <c r="AR168" s="247">
        <f>_DATA_Assessment_Model!AO168</f>
        <v/>
      </c>
      <c r="AS168" s="247">
        <f>_DATA_Assessment_Model!AP168</f>
        <v/>
      </c>
      <c r="AT168" s="247">
        <f>_DATA_Assessment_Model!AQ168</f>
        <v/>
      </c>
      <c r="AU168" s="247">
        <f>_DATA_Assessment_Model!AR168</f>
        <v/>
      </c>
      <c r="AV168" s="5">
        <f>_DATA_Assessment_Model!AS168</f>
        <v/>
      </c>
      <c r="AW168" s="5">
        <f>_DATA_Assessment_Model!AT168</f>
        <v/>
      </c>
      <c r="AY168">
        <f>_DATA_Assessment_Model!AV168</f>
        <v/>
      </c>
    </row>
    <row r="169" ht="82.8" customHeight="1" s="209">
      <c r="A169" t="inlineStr">
        <is>
          <t>Physical Safety</t>
        </is>
      </c>
      <c r="B169" t="inlineStr">
        <is>
          <t>Physical Safety</t>
        </is>
      </c>
      <c r="C169" t="n">
        <v>29</v>
      </c>
      <c r="D169" s="3" t="inlineStr">
        <is>
          <t>PHYS-025</t>
        </is>
      </c>
      <c r="E169" s="3" t="inlineStr">
        <is>
          <t>Utilities and resilience</t>
        </is>
      </c>
      <c r="F169" s="3" t="inlineStr">
        <is>
          <t>How mature is the organization in managing water, sanitation, HVAC and environmental controls in facility continuity plans, including ownership, evidence, metrics, fallback procedures and crisis stress testing?</t>
        </is>
      </c>
      <c r="G169" s="3" t="inlineStr">
        <is>
          <t>This topic affects exposure to Safety incident; Physical site loss; War/security crisis; Natural disaster. It helps identify how disruption may impact operations, people, revenue, systems, legal exposure or recovery time.</t>
        </is>
      </c>
      <c r="H169" s="3" t="inlineStr">
        <is>
          <t>ISO 45001; ISO 22320; ISO 31030; ISO 18788; ISO 22301; NFPA; local OH&amp;S rules</t>
        </is>
      </c>
      <c r="I169" s="3" t="inlineStr">
        <is>
          <t>Policy/SOP; owner/RACI; system report; dashboard; contracts; test records; incident history; interview evidence related to water, sanitation, HVAC and environmental controls in facility continuity plans.</t>
        </is>
      </c>
      <c r="J169" s="3" t="n">
        <v>5</v>
      </c>
      <c r="K169" s="85">
        <f>_DATA_Assessment_Model!H169</f>
        <v/>
      </c>
      <c r="L169" s="4">
        <f>_DATA_Assessment_Model!I169</f>
        <v/>
      </c>
      <c r="M169" s="4">
        <f>_DATA_Assessment_Model!J169</f>
        <v/>
      </c>
      <c r="N169" s="4">
        <f>_DATA_Assessment_Model!K169</f>
        <v/>
      </c>
      <c r="O169" s="3">
        <f>_DATA_Assessment_Model!L169</f>
        <v/>
      </c>
      <c r="P169" s="3" t="inlineStr">
        <is>
          <t>No plan or procedure exists.</t>
        </is>
      </c>
      <c r="Q169" s="3" t="inlineStr">
        <is>
          <t>Knowledge lives with individuals; nothing usable is written down.</t>
        </is>
      </c>
      <c r="R169" s="3" t="inlineStr">
        <is>
          <t>Drafted but outdated, not approved, or unknown to the people who must use it.</t>
        </is>
      </c>
      <c r="S169" s="3" t="inlineStr">
        <is>
          <t>Approved and current; owners assigned; affected staff know it exists and where to find it.</t>
        </is>
      </c>
      <c r="T169" s="3" t="inlineStr">
        <is>
          <t>Tested against realistic scenarios; updated after each test or real incident.</t>
        </is>
      </c>
      <c r="U169" s="3" t="inlineStr">
        <is>
          <t>Exercised regularly including external parties; readiness measured; continuously improved.</t>
        </is>
      </c>
      <c r="V169" s="3" t="inlineStr">
        <is>
          <t>Safety incident; Physical site loss; War/security crisis; Natural disaster</t>
        </is>
      </c>
      <c r="W169" s="3" t="n"/>
      <c r="X169" s="3" t="n"/>
      <c r="Y169" s="3" t="inlineStr">
        <is>
          <t>Use the recommended action generated by the model; validate with domain owner during real assessment.</t>
        </is>
      </c>
      <c r="Z169" s="7" t="n">
        <v>4</v>
      </c>
      <c r="AA169" s="7" t="n">
        <v>5</v>
      </c>
      <c r="AB169" s="7" t="n">
        <v>5</v>
      </c>
      <c r="AK169" s="46" t="n"/>
      <c r="AL169" s="46" t="n"/>
      <c r="AM169" s="247">
        <f>_DATA_Assessment_Model!AJ169</f>
        <v/>
      </c>
      <c r="AN169" s="247">
        <f>_DATA_Assessment_Model!AK169</f>
        <v/>
      </c>
      <c r="AO169" s="247">
        <f>_DATA_Assessment_Model!AL169</f>
        <v/>
      </c>
      <c r="AP169" s="247">
        <f>_DATA_Assessment_Model!AM169</f>
        <v/>
      </c>
      <c r="AQ169" s="247">
        <f>_DATA_Assessment_Model!AN169</f>
        <v/>
      </c>
      <c r="AR169" s="247">
        <f>_DATA_Assessment_Model!AO169</f>
        <v/>
      </c>
      <c r="AS169" s="247">
        <f>_DATA_Assessment_Model!AP169</f>
        <v/>
      </c>
      <c r="AT169" s="247">
        <f>_DATA_Assessment_Model!AQ169</f>
        <v/>
      </c>
      <c r="AU169" s="247">
        <f>_DATA_Assessment_Model!AR169</f>
        <v/>
      </c>
      <c r="AV169" s="5">
        <f>_DATA_Assessment_Model!AS169</f>
        <v/>
      </c>
      <c r="AW169" s="5">
        <f>_DATA_Assessment_Model!AT169</f>
        <v/>
      </c>
      <c r="AY169">
        <f>_DATA_Assessment_Model!AV169</f>
        <v/>
      </c>
    </row>
    <row r="170" ht="69" customHeight="1" s="209">
      <c r="A170" t="inlineStr">
        <is>
          <t>Physical Safety</t>
        </is>
      </c>
      <c r="B170" t="inlineStr">
        <is>
          <t>Physical Safety</t>
        </is>
      </c>
      <c r="C170" t="n">
        <v>30</v>
      </c>
      <c r="D170" s="3" t="inlineStr">
        <is>
          <t>PHYS-026</t>
        </is>
      </c>
      <c r="E170" s="3" t="inlineStr">
        <is>
          <t>Utilities and resilience</t>
        </is>
      </c>
      <c r="F170" s="3" t="inlineStr">
        <is>
          <t>How mature is the organization in managing backup internet and telecom connectivity at critical sites, including ownership, evidence, metrics, fallback procedures and crisis stress testing?</t>
        </is>
      </c>
      <c r="G170" s="3" t="inlineStr">
        <is>
          <t>This topic affects exposure to Safety incident; Physical site loss; War/security crisis; Natural disaster. It helps identify how disruption may impact operations, people, revenue, systems, legal exposure or recovery time.</t>
        </is>
      </c>
      <c r="H170" s="3" t="inlineStr">
        <is>
          <t>ISO 45001; ISO 22320; ISO 31030; ISO 18788; ISO 22301; NFPA; local OH&amp;S rules</t>
        </is>
      </c>
      <c r="I170" s="3" t="inlineStr">
        <is>
          <t>Policy/SOP; owner/RACI; system report; dashboard; contracts; test records; incident history; interview evidence related to backup internet and telecom connectivity at critical sites.</t>
        </is>
      </c>
      <c r="J170" s="3" t="n">
        <v>5</v>
      </c>
      <c r="K170" s="85">
        <f>_DATA_Assessment_Model!H170</f>
        <v/>
      </c>
      <c r="L170" s="4">
        <f>_DATA_Assessment_Model!I170</f>
        <v/>
      </c>
      <c r="M170" s="4">
        <f>_DATA_Assessment_Model!J170</f>
        <v/>
      </c>
      <c r="N170" s="4">
        <f>_DATA_Assessment_Model!K170</f>
        <v/>
      </c>
      <c r="O170" s="3">
        <f>_DATA_Assessment_Model!L170</f>
        <v/>
      </c>
      <c r="P170" s="3" t="inlineStr">
        <is>
          <t>Does not exist; no owner, no documentation, no practice.</t>
        </is>
      </c>
      <c r="Q170" s="3" t="inlineStr">
        <is>
          <t>Ad hoc; depends entirely on specific individuals.</t>
        </is>
      </c>
      <c r="R170" s="3" t="inlineStr">
        <is>
          <t>Partially documented or implemented; coverage inconsistent; never tested under stress.</t>
        </is>
      </c>
      <c r="S170" s="3" t="inlineStr">
        <is>
          <t>Documented, owned, executed consistently; basic evidence and metrics exist.</t>
        </is>
      </c>
      <c r="T170" s="3" t="inlineStr">
        <is>
          <t>Measured and periodically tested/audited; integrated with adjacent processes.</t>
        </is>
      </c>
      <c r="U170" s="3" t="inlineStr">
        <is>
          <t>Optimized and automated where practical; stress-tested; benchmarked externally.</t>
        </is>
      </c>
      <c r="V170" s="3" t="inlineStr">
        <is>
          <t>Safety incident; Physical site loss; War/security crisis; Natural disaster</t>
        </is>
      </c>
      <c r="W170" s="3" t="n"/>
      <c r="X170" s="3" t="n"/>
      <c r="Y170" s="3" t="inlineStr">
        <is>
          <t>Use the recommended action generated by the model; validate with domain owner during real assessment.</t>
        </is>
      </c>
      <c r="Z170" s="7" t="n">
        <v>5</v>
      </c>
      <c r="AA170" s="7" t="n">
        <v>5</v>
      </c>
      <c r="AB170" s="7" t="n">
        <v>5</v>
      </c>
      <c r="AK170" s="46" t="n"/>
      <c r="AL170" s="46" t="n"/>
      <c r="AM170" s="247">
        <f>_DATA_Assessment_Model!AJ170</f>
        <v/>
      </c>
      <c r="AN170" s="247">
        <f>_DATA_Assessment_Model!AK170</f>
        <v/>
      </c>
      <c r="AO170" s="247">
        <f>_DATA_Assessment_Model!AL170</f>
        <v/>
      </c>
      <c r="AP170" s="247">
        <f>_DATA_Assessment_Model!AM170</f>
        <v/>
      </c>
      <c r="AQ170" s="247">
        <f>_DATA_Assessment_Model!AN170</f>
        <v/>
      </c>
      <c r="AR170" s="247">
        <f>_DATA_Assessment_Model!AO170</f>
        <v/>
      </c>
      <c r="AS170" s="247">
        <f>_DATA_Assessment_Model!AP170</f>
        <v/>
      </c>
      <c r="AT170" s="247">
        <f>_DATA_Assessment_Model!AQ170</f>
        <v/>
      </c>
      <c r="AU170" s="247">
        <f>_DATA_Assessment_Model!AR170</f>
        <v/>
      </c>
      <c r="AV170" s="5">
        <f>_DATA_Assessment_Model!AS170</f>
        <v/>
      </c>
      <c r="AW170" s="5">
        <f>_DATA_Assessment_Model!AT170</f>
        <v/>
      </c>
      <c r="AY170">
        <f>_DATA_Assessment_Model!AV170</f>
        <v/>
      </c>
    </row>
    <row r="171" ht="69" customHeight="1" s="209">
      <c r="A171" t="inlineStr">
        <is>
          <t>Physical Safety</t>
        </is>
      </c>
      <c r="B171" t="inlineStr">
        <is>
          <t>Physical Safety</t>
        </is>
      </c>
      <c r="C171" t="n">
        <v>31</v>
      </c>
      <c r="D171" s="3" t="inlineStr">
        <is>
          <t>PHYS-027</t>
        </is>
      </c>
      <c r="E171" s="3" t="inlineStr">
        <is>
          <t>Utilities and resilience</t>
        </is>
      </c>
      <c r="F171" s="3" t="inlineStr">
        <is>
          <t>How mature is the organization in managing preventive maintenance for safety-critical facility systems, including ownership, evidence, metrics, fallback procedures and crisis stress testing?</t>
        </is>
      </c>
      <c r="G171" s="3" t="inlineStr">
        <is>
          <t>This topic affects exposure to Safety incident; Physical site loss; War/security crisis; Natural disaster. It helps identify how disruption may impact operations, people, revenue, systems, legal exposure or recovery time.</t>
        </is>
      </c>
      <c r="H171" s="3" t="inlineStr">
        <is>
          <t>ISO 45001; ISO 22320; ISO 31030; ISO 18788; ISO 22301; NFPA; local OH&amp;S rules</t>
        </is>
      </c>
      <c r="I171" s="3" t="inlineStr">
        <is>
          <t>Policy/SOP; owner/RACI; system report; dashboard; contracts; test records; incident history; interview evidence related to preventive maintenance for safety-critical facility systems.</t>
        </is>
      </c>
      <c r="J171" s="3" t="n">
        <v>5</v>
      </c>
      <c r="K171" s="85">
        <f>_DATA_Assessment_Model!H171</f>
        <v/>
      </c>
      <c r="L171" s="4">
        <f>_DATA_Assessment_Model!I171</f>
        <v/>
      </c>
      <c r="M171" s="4">
        <f>_DATA_Assessment_Model!J171</f>
        <v/>
      </c>
      <c r="N171" s="4">
        <f>_DATA_Assessment_Model!K171</f>
        <v/>
      </c>
      <c r="O171" s="3">
        <f>_DATA_Assessment_Model!L171</f>
        <v/>
      </c>
      <c r="P171" s="3" t="inlineStr">
        <is>
          <t>Does not exist; no owner, no documentation, no practice.</t>
        </is>
      </c>
      <c r="Q171" s="3" t="inlineStr">
        <is>
          <t>Ad hoc; depends entirely on specific individuals.</t>
        </is>
      </c>
      <c r="R171" s="3" t="inlineStr">
        <is>
          <t>Partially documented or implemented; coverage inconsistent; never tested under stress.</t>
        </is>
      </c>
      <c r="S171" s="3" t="inlineStr">
        <is>
          <t>Documented, owned, executed consistently; basic evidence and metrics exist.</t>
        </is>
      </c>
      <c r="T171" s="3" t="inlineStr">
        <is>
          <t>Measured and periodically tested/audited; integrated with adjacent processes.</t>
        </is>
      </c>
      <c r="U171" s="3" t="inlineStr">
        <is>
          <t>Optimized and automated where practical; stress-tested; benchmarked externally.</t>
        </is>
      </c>
      <c r="V171" s="3" t="inlineStr">
        <is>
          <t>Safety incident; Physical site loss; War/security crisis; Natural disaster</t>
        </is>
      </c>
      <c r="W171" s="3" t="n"/>
      <c r="X171" s="3" t="n"/>
      <c r="Y171" s="3" t="inlineStr">
        <is>
          <t>Use the recommended action generated by the model; validate with domain owner during real assessment.</t>
        </is>
      </c>
      <c r="Z171" s="7" t="n">
        <v>4</v>
      </c>
      <c r="AA171" s="7" t="n">
        <v>5</v>
      </c>
      <c r="AB171" s="7" t="n">
        <v>5</v>
      </c>
      <c r="AK171" s="46" t="n"/>
      <c r="AL171" s="46" t="n"/>
      <c r="AM171" s="247">
        <f>_DATA_Assessment_Model!AJ171</f>
        <v/>
      </c>
      <c r="AN171" s="247">
        <f>_DATA_Assessment_Model!AK171</f>
        <v/>
      </c>
      <c r="AO171" s="247">
        <f>_DATA_Assessment_Model!AL171</f>
        <v/>
      </c>
      <c r="AP171" s="247">
        <f>_DATA_Assessment_Model!AM171</f>
        <v/>
      </c>
      <c r="AQ171" s="247">
        <f>_DATA_Assessment_Model!AN171</f>
        <v/>
      </c>
      <c r="AR171" s="247">
        <f>_DATA_Assessment_Model!AO171</f>
        <v/>
      </c>
      <c r="AS171" s="247">
        <f>_DATA_Assessment_Model!AP171</f>
        <v/>
      </c>
      <c r="AT171" s="247">
        <f>_DATA_Assessment_Model!AQ171</f>
        <v/>
      </c>
      <c r="AU171" s="247">
        <f>_DATA_Assessment_Model!AR171</f>
        <v/>
      </c>
      <c r="AV171" s="5">
        <f>_DATA_Assessment_Model!AS171</f>
        <v/>
      </c>
      <c r="AW171" s="5">
        <f>_DATA_Assessment_Model!AT171</f>
        <v/>
      </c>
      <c r="AY171">
        <f>_DATA_Assessment_Model!AV171</f>
        <v/>
      </c>
    </row>
    <row r="172" ht="82.8" customHeight="1" s="209">
      <c r="A172" t="inlineStr">
        <is>
          <t>Physical Safety</t>
        </is>
      </c>
      <c r="B172" t="inlineStr">
        <is>
          <t>Physical Safety</t>
        </is>
      </c>
      <c r="C172" t="n">
        <v>32</v>
      </c>
      <c r="D172" s="3" t="inlineStr">
        <is>
          <t>PHYS-028</t>
        </is>
      </c>
      <c r="E172" s="3" t="inlineStr">
        <is>
          <t>Utilities and resilience</t>
        </is>
      </c>
      <c r="F172" s="3" t="inlineStr">
        <is>
          <t>How mature is the organization in managing alternative worksites, temporary facilities, coworking spaces or remote-work options if a site is lost, including ownership, evidence, metrics, fallback procedures and crisis stress testing?</t>
        </is>
      </c>
      <c r="G172" s="3" t="inlineStr">
        <is>
          <t>This topic affects exposure to Safety incident; Physical site loss; War/security crisis; Natural disaster. It helps identify how disruption may impact operations, people, revenue, systems, legal exposure or recovery time.</t>
        </is>
      </c>
      <c r="H172" s="3" t="inlineStr">
        <is>
          <t>ISO 45001; ISO 22320; ISO 31030; ISO 18788; ISO 22301; NFPA; local OH&amp;S rules</t>
        </is>
      </c>
      <c r="I172" s="3" t="inlineStr">
        <is>
          <t>Policy/SOP; owner/RACI; system report; dashboard; contracts; test records; incident history; interview evidence related to alternative worksites, temporary facilities, coworking spaces or remote-work options if a site is lost.</t>
        </is>
      </c>
      <c r="J172" s="3" t="n">
        <v>5</v>
      </c>
      <c r="K172" s="85">
        <f>_DATA_Assessment_Model!H172</f>
        <v/>
      </c>
      <c r="L172" s="4">
        <f>_DATA_Assessment_Model!I172</f>
        <v/>
      </c>
      <c r="M172" s="4">
        <f>_DATA_Assessment_Model!J172</f>
        <v/>
      </c>
      <c r="N172" s="4">
        <f>_DATA_Assessment_Model!K172</f>
        <v/>
      </c>
      <c r="O172" s="3">
        <f>_DATA_Assessment_Model!L172</f>
        <v/>
      </c>
      <c r="P172" s="3" t="inlineStr">
        <is>
          <t>Does not exist; no owner, no documentation, no practice.</t>
        </is>
      </c>
      <c r="Q172" s="3" t="inlineStr">
        <is>
          <t>Ad hoc; depends entirely on specific individuals.</t>
        </is>
      </c>
      <c r="R172" s="3" t="inlineStr">
        <is>
          <t>Partially documented or implemented; coverage inconsistent; never tested under stress.</t>
        </is>
      </c>
      <c r="S172" s="3" t="inlineStr">
        <is>
          <t>Documented, owned, executed consistently; basic evidence and metrics exist.</t>
        </is>
      </c>
      <c r="T172" s="3" t="inlineStr">
        <is>
          <t>Measured and periodically tested/audited; integrated with adjacent processes.</t>
        </is>
      </c>
      <c r="U172" s="3" t="inlineStr">
        <is>
          <t>Optimized and automated where practical; stress-tested; benchmarked externally.</t>
        </is>
      </c>
      <c r="V172" s="3" t="inlineStr">
        <is>
          <t>Safety incident; Physical site loss; War/security crisis; Natural disaster</t>
        </is>
      </c>
      <c r="W172" s="3" t="n"/>
      <c r="X172" s="3" t="n"/>
      <c r="Y172" s="3" t="inlineStr">
        <is>
          <t>Use the recommended action generated by the model; validate with domain owner during real assessment.</t>
        </is>
      </c>
      <c r="Z172" s="7" t="n">
        <v>4</v>
      </c>
      <c r="AA172" s="7" t="n">
        <v>5</v>
      </c>
      <c r="AB172" s="7" t="n">
        <v>5</v>
      </c>
      <c r="AK172" s="46" t="n"/>
      <c r="AL172" s="46" t="n"/>
      <c r="AM172" s="247">
        <f>_DATA_Assessment_Model!AJ172</f>
        <v/>
      </c>
      <c r="AN172" s="247">
        <f>_DATA_Assessment_Model!AK172</f>
        <v/>
      </c>
      <c r="AO172" s="247">
        <f>_DATA_Assessment_Model!AL172</f>
        <v/>
      </c>
      <c r="AP172" s="247">
        <f>_DATA_Assessment_Model!AM172</f>
        <v/>
      </c>
      <c r="AQ172" s="247">
        <f>_DATA_Assessment_Model!AN172</f>
        <v/>
      </c>
      <c r="AR172" s="247">
        <f>_DATA_Assessment_Model!AO172</f>
        <v/>
      </c>
      <c r="AS172" s="247">
        <f>_DATA_Assessment_Model!AP172</f>
        <v/>
      </c>
      <c r="AT172" s="247">
        <f>_DATA_Assessment_Model!AQ172</f>
        <v/>
      </c>
      <c r="AU172" s="247">
        <f>_DATA_Assessment_Model!AR172</f>
        <v/>
      </c>
      <c r="AV172" s="5">
        <f>_DATA_Assessment_Model!AS172</f>
        <v/>
      </c>
      <c r="AW172" s="5">
        <f>_DATA_Assessment_Model!AT172</f>
        <v/>
      </c>
      <c r="AY172">
        <f>_DATA_Assessment_Model!AV172</f>
        <v/>
      </c>
    </row>
    <row r="173">
      <c r="A173" t="inlineStr">
        <is>
          <t>Physical Safety</t>
        </is>
      </c>
      <c r="B173" t="inlineStr">
        <is>
          <t>Physical Safety</t>
        </is>
      </c>
      <c r="C173" t="n">
        <v>33</v>
      </c>
      <c r="D173" t="inlineStr">
        <is>
          <t>PHYS-029</t>
        </is>
      </c>
      <c r="E173" t="inlineStr">
        <is>
          <t>Asset management</t>
        </is>
      </c>
      <c r="F173" t="inlineStr">
        <is>
          <t>How mature is the organization in managing enterprise asset register covering ownership, location, condition, replacement value and insurance linkage, including ownership, evidence, metrics, fallback procedures and crisis stress testing?</t>
        </is>
      </c>
      <c r="G173" t="inlineStr">
        <is>
          <t>This topic affects exposure to Physical site loss; Natural disaster; War/security crisis. It helps identify how disruption may impact operations, people, revenue, systems, legal exposure or recovery time.</t>
        </is>
      </c>
      <c r="H173" t="inlineStr">
        <is>
          <t>APQC PCF 10.2; ISO 55000; ISO 22301</t>
        </is>
      </c>
      <c r="I173" t="inlineStr">
        <is>
          <t>Policy/SOP; owner/RACI; system report; dashboard; contracts; test records; incident history; interview evidence related to occupational health and safety management system with owners, objectives, audits and management review.</t>
        </is>
      </c>
      <c r="J173" t="n">
        <v>4</v>
      </c>
      <c r="K173">
        <f>_DATA_Assessment_Model!H173</f>
        <v/>
      </c>
      <c r="L173">
        <f>_DATA_Assessment_Model!I173</f>
        <v/>
      </c>
      <c r="M173">
        <f>_DATA_Assessment_Model!J173</f>
        <v/>
      </c>
      <c r="N173">
        <f>_DATA_Assessment_Model!K173</f>
        <v/>
      </c>
      <c r="O173">
        <f>_DATA_Assessment_Model!L173</f>
        <v/>
      </c>
      <c r="P173" t="inlineStr">
        <is>
          <t>No reliable evidence that enterprise asset register covering ownership, location, condition, replacement value and insurance linkage is defined, owned or managed.</t>
        </is>
      </c>
      <c r="Q173" t="inlineStr">
        <is>
          <t>Enterprise asset register covering ownership, location, condition, replacement value and insurance linkage is handled informally and depends on individual knowledge or heroic effort.</t>
        </is>
      </c>
      <c r="R173" t="inlineStr">
        <is>
          <t>Enterprise asset register covering ownership, location, condition, replacement value and insurance linkage is partially documented or implemented, but coverage is inconsistent and not crisis-tested.</t>
        </is>
      </c>
      <c r="S173" t="inlineStr">
        <is>
          <t>Enterprise asset register covering ownership, location, condition, replacement value and insurance linkage is documented, owned, used in normal operations and supported by basic evidence or metrics.</t>
        </is>
      </c>
      <c r="T173" t="inlineStr">
        <is>
          <t>Enterprise asset register covering ownership, location, condition, replacement value and insurance linkage is measured, periodically reviewed, integrated with related processes and tested against relevant disruption scenarios.</t>
        </is>
      </c>
      <c r="U173" t="inlineStr">
        <is>
          <t>Enterprise asset register covering ownership, location, condition, replacement value and insurance linkage is optimized, continuously improved, automated where practical and demonstrably supports crisis resilience.</t>
        </is>
      </c>
      <c r="V173" t="inlineStr">
        <is>
          <t>Physical site loss; Natural disaster; War/security crisis</t>
        </is>
      </c>
      <c r="Y173" t="inlineStr">
        <is>
          <t>Use the recommended action generated by the model; validate with domain owner during real assessment.</t>
        </is>
      </c>
      <c r="Z173" t="n">
        <v>4</v>
      </c>
      <c r="AA173" t="n">
        <v>4</v>
      </c>
      <c r="AB173" t="n">
        <v>5</v>
      </c>
      <c r="AM173">
        <f>_DATA_Assessment_Model!AJ173</f>
        <v/>
      </c>
      <c r="AN173">
        <f>_DATA_Assessment_Model!AK173</f>
        <v/>
      </c>
      <c r="AO173">
        <f>_DATA_Assessment_Model!AL173</f>
        <v/>
      </c>
      <c r="AP173">
        <f>_DATA_Assessment_Model!AM173</f>
        <v/>
      </c>
      <c r="AQ173">
        <f>_DATA_Assessment_Model!AN173</f>
        <v/>
      </c>
      <c r="AR173">
        <f>_DATA_Assessment_Model!AO173</f>
        <v/>
      </c>
      <c r="AS173">
        <f>_DATA_Assessment_Model!AP173</f>
        <v/>
      </c>
      <c r="AT173">
        <f>_DATA_Assessment_Model!AQ173</f>
        <v/>
      </c>
      <c r="AU173">
        <f>_DATA_Assessment_Model!AR173</f>
        <v/>
      </c>
      <c r="AV173">
        <f>_DATA_Assessment_Model!AS173</f>
        <v/>
      </c>
      <c r="AW173">
        <f>_DATA_Assessment_Model!AT173</f>
        <v/>
      </c>
      <c r="AY173">
        <f>_DATA_Assessment_Model!AV173</f>
        <v/>
      </c>
    </row>
    <row r="174">
      <c r="A174" t="inlineStr">
        <is>
          <t>Physical Safety</t>
        </is>
      </c>
      <c r="B174" t="inlineStr">
        <is>
          <t>Physical Safety</t>
        </is>
      </c>
      <c r="C174" t="n">
        <v>34</v>
      </c>
      <c r="D174" t="inlineStr">
        <is>
          <t>PHYS-030</t>
        </is>
      </c>
      <c r="E174" t="inlineStr">
        <is>
          <t>Asset management</t>
        </is>
      </c>
      <c r="F174" t="inlineStr">
        <is>
          <t>How mature is the organization in managing asset lifecycle planning for acquisition, maintenance, renewal and disposal of critical equipment and facilities, including ownership, evidence, metrics, fallback procedures and crisis stress testing?</t>
        </is>
      </c>
      <c r="G174" t="inlineStr">
        <is>
          <t>This topic affects exposure to Physical site loss; Energy/utilities outage; Financial/liquidity crisis. It helps identify how disruption may impact operations, people, revenue, systems, legal exposure or recovery time.</t>
        </is>
      </c>
      <c r="H174" t="inlineStr">
        <is>
          <t>APQC PCF 10.3; ISO 55000; TPM</t>
        </is>
      </c>
      <c r="I174" t="inlineStr">
        <is>
          <t>Policy/SOP; owner/RACI; system report; dashboard; contracts; test records; incident history; interview evidence related to occupational health and safety management system with owners, objectives, audits and management review.</t>
        </is>
      </c>
      <c r="J174" t="n">
        <v>3</v>
      </c>
      <c r="K174">
        <f>_DATA_Assessment_Model!H174</f>
        <v/>
      </c>
      <c r="L174">
        <f>_DATA_Assessment_Model!I174</f>
        <v/>
      </c>
      <c r="M174">
        <f>_DATA_Assessment_Model!J174</f>
        <v/>
      </c>
      <c r="N174">
        <f>_DATA_Assessment_Model!K174</f>
        <v/>
      </c>
      <c r="O174">
        <f>_DATA_Assessment_Model!L174</f>
        <v/>
      </c>
      <c r="P174" t="inlineStr">
        <is>
          <t>No reliable evidence that asset lifecycle planning for acquisition, maintenance, renewal and disposal of critical equipment and facilities is defined, owned or managed.</t>
        </is>
      </c>
      <c r="Q174" t="inlineStr">
        <is>
          <t>Asset lifecycle planning for acquisition, maintenance, renewal and disposal of critical equipment and facilities is handled informally and depends on individual knowledge or heroic effort.</t>
        </is>
      </c>
      <c r="R174" t="inlineStr">
        <is>
          <t>Asset lifecycle planning for acquisition, maintenance, renewal and disposal of critical equipment and facilities is partially documented or implemented, but coverage is inconsistent and not crisis-tested.</t>
        </is>
      </c>
      <c r="S174" t="inlineStr">
        <is>
          <t>Asset lifecycle planning for acquisition, maintenance, renewal and disposal of critical equipment and facilities is documented, owned, used in normal operations and supported by basic evidence or metrics.</t>
        </is>
      </c>
      <c r="T174" t="inlineStr">
        <is>
          <t>Asset lifecycle planning for acquisition, maintenance, renewal and disposal of critical equipment and facilities is measured, periodically reviewed, integrated with related processes and tested against relevant disruption scenarios.</t>
        </is>
      </c>
      <c r="U174" t="inlineStr">
        <is>
          <t>Asset lifecycle planning for acquisition, maintenance, renewal and disposal of critical equipment and facilities is optimized, continuously improved, automated where practical and demonstrably supports crisis resilience.</t>
        </is>
      </c>
      <c r="V174" t="inlineStr">
        <is>
          <t>Physical site loss; Energy/utilities outage; Financial/liquidity crisis</t>
        </is>
      </c>
      <c r="Y174" t="inlineStr">
        <is>
          <t>Use the recommended action generated by the model; validate with domain owner during real assessment.</t>
        </is>
      </c>
      <c r="Z174" t="n">
        <v>3</v>
      </c>
      <c r="AA174" t="n">
        <v>4</v>
      </c>
      <c r="AB174" t="n">
        <v>4</v>
      </c>
      <c r="AM174">
        <f>_DATA_Assessment_Model!AJ174</f>
        <v/>
      </c>
      <c r="AN174">
        <f>_DATA_Assessment_Model!AK174</f>
        <v/>
      </c>
      <c r="AO174">
        <f>_DATA_Assessment_Model!AL174</f>
        <v/>
      </c>
      <c r="AP174">
        <f>_DATA_Assessment_Model!AM174</f>
        <v/>
      </c>
      <c r="AQ174">
        <f>_DATA_Assessment_Model!AN174</f>
        <v/>
      </c>
      <c r="AR174">
        <f>_DATA_Assessment_Model!AO174</f>
        <v/>
      </c>
      <c r="AS174">
        <f>_DATA_Assessment_Model!AP174</f>
        <v/>
      </c>
      <c r="AT174">
        <f>_DATA_Assessment_Model!AQ174</f>
        <v/>
      </c>
      <c r="AU174">
        <f>_DATA_Assessment_Model!AR174</f>
        <v/>
      </c>
      <c r="AV174">
        <f>_DATA_Assessment_Model!AS174</f>
        <v/>
      </c>
      <c r="AW174">
        <f>_DATA_Assessment_Model!AT174</f>
        <v/>
      </c>
      <c r="AY174">
        <f>_DATA_Assessment_Model!AV174</f>
        <v/>
      </c>
    </row>
    <row r="175">
      <c r="A175" t="inlineStr">
        <is>
          <t>Physical Safety</t>
        </is>
      </c>
      <c r="B175" t="inlineStr">
        <is>
          <t>Physical Safety</t>
        </is>
      </c>
      <c r="C175" t="n">
        <v>35</v>
      </c>
      <c r="D175" t="inlineStr">
        <is>
          <t>PHYS-031</t>
        </is>
      </c>
      <c r="E175" t="inlineStr">
        <is>
          <t>Asset management</t>
        </is>
      </c>
      <c r="F175" t="inlineStr">
        <is>
          <t>How mature is the organization in managing property and lease portfolio management with obligations, expiry dates, exit options and flexibility, including ownership, evidence, metrics, fallback procedures and crisis stress testing?</t>
        </is>
      </c>
      <c r="G175" t="inlineStr">
        <is>
          <t>This topic affects exposure to Physical site loss; Financial/liquidity crisis; War/security crisis. It helps identify how disruption may impact operations, people, revenue, systems, legal exposure or recovery time.</t>
        </is>
      </c>
      <c r="H175" t="inlineStr">
        <is>
          <t>APQC PCF 10.1; IFRS 16; ISO 22301</t>
        </is>
      </c>
      <c r="I175" t="inlineStr">
        <is>
          <t>Policy/SOP; owner/RACI; system report; dashboard; contracts; test records; incident history; interview evidence related to occupational health and safety management system with owners, objectives, audits and management review.</t>
        </is>
      </c>
      <c r="J175" t="n">
        <v>3</v>
      </c>
      <c r="K175">
        <f>_DATA_Assessment_Model!H175</f>
        <v/>
      </c>
      <c r="L175">
        <f>_DATA_Assessment_Model!I175</f>
        <v/>
      </c>
      <c r="M175">
        <f>_DATA_Assessment_Model!J175</f>
        <v/>
      </c>
      <c r="N175">
        <f>_DATA_Assessment_Model!K175</f>
        <v/>
      </c>
      <c r="O175">
        <f>_DATA_Assessment_Model!L175</f>
        <v/>
      </c>
      <c r="P175" t="inlineStr">
        <is>
          <t>No reliable evidence that property and lease portfolio management with obligations, expiry dates, exit options and flexibility is defined, owned or managed.</t>
        </is>
      </c>
      <c r="Q175" t="inlineStr">
        <is>
          <t>Property and lease portfolio management with obligations, expiry dates, exit options and flexibility is handled informally and depends on individual knowledge or heroic effort.</t>
        </is>
      </c>
      <c r="R175" t="inlineStr">
        <is>
          <t>Property and lease portfolio management with obligations, expiry dates, exit options and flexibility is partially documented or implemented, but coverage is inconsistent and not crisis-tested.</t>
        </is>
      </c>
      <c r="S175" t="inlineStr">
        <is>
          <t>Property and lease portfolio management with obligations, expiry dates, exit options and flexibility is documented, owned, used in normal operations and supported by basic evidence or metrics.</t>
        </is>
      </c>
      <c r="T175" t="inlineStr">
        <is>
          <t>Property and lease portfolio management with obligations, expiry dates, exit options and flexibility is measured, periodically reviewed, integrated with related processes and tested against relevant disruption scenarios.</t>
        </is>
      </c>
      <c r="U175" t="inlineStr">
        <is>
          <t>Property and lease portfolio management with obligations, expiry dates, exit options and flexibility is optimized, continuously improved, automated where practical and demonstrably supports crisis resilience.</t>
        </is>
      </c>
      <c r="V175" t="inlineStr">
        <is>
          <t>Physical site loss; Financial/liquidity crisis; War/security crisis</t>
        </is>
      </c>
      <c r="Y175" t="inlineStr">
        <is>
          <t>Use the recommended action generated by the model; validate with domain owner during real assessment.</t>
        </is>
      </c>
      <c r="Z175" t="n">
        <v>3</v>
      </c>
      <c r="AA175" t="n">
        <v>3</v>
      </c>
      <c r="AB175" t="n">
        <v>4</v>
      </c>
      <c r="AM175">
        <f>_DATA_Assessment_Model!AJ175</f>
        <v/>
      </c>
      <c r="AN175">
        <f>_DATA_Assessment_Model!AK175</f>
        <v/>
      </c>
      <c r="AO175">
        <f>_DATA_Assessment_Model!AL175</f>
        <v/>
      </c>
      <c r="AP175">
        <f>_DATA_Assessment_Model!AM175</f>
        <v/>
      </c>
      <c r="AQ175">
        <f>_DATA_Assessment_Model!AN175</f>
        <v/>
      </c>
      <c r="AR175">
        <f>_DATA_Assessment_Model!AO175</f>
        <v/>
      </c>
      <c r="AS175">
        <f>_DATA_Assessment_Model!AP175</f>
        <v/>
      </c>
      <c r="AT175">
        <f>_DATA_Assessment_Model!AQ175</f>
        <v/>
      </c>
      <c r="AU175">
        <f>_DATA_Assessment_Model!AR175</f>
        <v/>
      </c>
      <c r="AV175">
        <f>_DATA_Assessment_Model!AS175</f>
        <v/>
      </c>
      <c r="AW175">
        <f>_DATA_Assessment_Model!AT175</f>
        <v/>
      </c>
      <c r="AY175">
        <f>_DATA_Assessment_Model!AV175</f>
        <v/>
      </c>
    </row>
    <row r="176" ht="82.8" customHeight="1" s="209">
      <c r="A176" t="inlineStr">
        <is>
          <t>Delivery Ops</t>
        </is>
      </c>
      <c r="B176" t="inlineStr">
        <is>
          <t>Delivery Ops</t>
        </is>
      </c>
      <c r="C176" t="n">
        <v>5</v>
      </c>
      <c r="D176" s="3" t="inlineStr">
        <is>
          <t>DELI-001</t>
        </is>
      </c>
      <c r="E176" s="3" t="inlineStr">
        <is>
          <t>Delivery governance</t>
        </is>
      </c>
      <c r="F176" s="3" t="inlineStr">
        <is>
          <t>How mature is the organization in managing documented delivery operating model across functions, teams, sites, vendors and customer interfaces, including ownership, evidence, metrics, fallback procedures and crisis stress testing?</t>
        </is>
      </c>
      <c r="G176" s="3" t="inlineStr">
        <is>
          <t>This topic affects exposure to Delivery disruption; Customer impact; Workforce disruption. It helps identify how disruption may impact operations, people, revenue, systems, legal exposure or recovery time.</t>
        </is>
      </c>
      <c r="H176" s="3" t="inlineStr">
        <is>
          <t>ISO 9001; ISO 22301; ITIL 4; Lean; Six Sigma; APQC; service management best practices</t>
        </is>
      </c>
      <c r="I176" s="3" t="inlineStr">
        <is>
          <t>Policy/SOP; owner/RACI; system report; dashboard; contracts; test records; incident history; interview evidence related to documented delivery operating model across functions, teams, sites, vendors and customer interfaces.</t>
        </is>
      </c>
      <c r="J176" s="3" t="n">
        <v>5</v>
      </c>
      <c r="K176" s="85">
        <f>_DATA_Assessment_Model!H176</f>
        <v/>
      </c>
      <c r="L176" s="4">
        <f>_DATA_Assessment_Model!I176</f>
        <v/>
      </c>
      <c r="M176" s="4">
        <f>_DATA_Assessment_Model!J176</f>
        <v/>
      </c>
      <c r="N176" s="4">
        <f>_DATA_Assessment_Model!K176</f>
        <v/>
      </c>
      <c r="O176" s="3">
        <f>_DATA_Assessment_Model!L176</f>
        <v/>
      </c>
      <c r="P176" s="3" t="inlineStr">
        <is>
          <t>Does not exist; no owner, no documentation, no practice.</t>
        </is>
      </c>
      <c r="Q176" s="3" t="inlineStr">
        <is>
          <t>Ad hoc; depends entirely on specific individuals.</t>
        </is>
      </c>
      <c r="R176" s="3" t="inlineStr">
        <is>
          <t>Partially documented or implemented; coverage inconsistent; never tested under stress.</t>
        </is>
      </c>
      <c r="S176" s="3" t="inlineStr">
        <is>
          <t>Documented, owned, executed consistently; basic evidence and metrics exist.</t>
        </is>
      </c>
      <c r="T176" s="3" t="inlineStr">
        <is>
          <t>Measured and periodically tested/audited; integrated with adjacent processes.</t>
        </is>
      </c>
      <c r="U176" s="3" t="inlineStr">
        <is>
          <t>Optimized and automated where practical; stress-tested; benchmarked externally.</t>
        </is>
      </c>
      <c r="V176" s="3" t="inlineStr">
        <is>
          <t>Delivery disruption; Customer impact; Workforce disruption</t>
        </is>
      </c>
      <c r="W176" s="3" t="n"/>
      <c r="X176" s="3" t="n"/>
      <c r="Y176" s="3" t="inlineStr">
        <is>
          <t>Use the recommended action generated by the model; validate with domain owner during real assessment.</t>
        </is>
      </c>
      <c r="Z176" s="7" t="n">
        <v>4</v>
      </c>
      <c r="AA176" s="7" t="n">
        <v>5</v>
      </c>
      <c r="AB176" s="7" t="n">
        <v>5</v>
      </c>
      <c r="AD176" t="inlineStr">
        <is>
          <t>Delivery governance</t>
        </is>
      </c>
      <c r="AE176" s="6">
        <f>_DATA_Assessment_Model!AB176</f>
        <v/>
      </c>
      <c r="AF176" s="8">
        <f>_DATA_Assessment_Model!AC176</f>
        <v/>
      </c>
      <c r="AG176" s="9">
        <f>_DATA_Assessment_Model!AD176</f>
        <v/>
      </c>
      <c r="AH176" s="6">
        <f>_DATA_Assessment_Model!AE176</f>
        <v/>
      </c>
      <c r="AI176" s="8">
        <f>_DATA_Assessment_Model!AF176</f>
        <v/>
      </c>
      <c r="AJ176" s="6">
        <f>_DATA_Assessment_Model!AG176</f>
        <v/>
      </c>
      <c r="AK176" s="46" t="n"/>
      <c r="AL176" s="46" t="n"/>
      <c r="AM176" s="247">
        <f>_DATA_Assessment_Model!AJ176</f>
        <v/>
      </c>
      <c r="AN176" s="247">
        <f>_DATA_Assessment_Model!AK176</f>
        <v/>
      </c>
      <c r="AO176" s="247">
        <f>_DATA_Assessment_Model!AL176</f>
        <v/>
      </c>
      <c r="AP176" s="247">
        <f>_DATA_Assessment_Model!AM176</f>
        <v/>
      </c>
      <c r="AQ176" s="247">
        <f>_DATA_Assessment_Model!AN176</f>
        <v/>
      </c>
      <c r="AR176" s="247">
        <f>_DATA_Assessment_Model!AO176</f>
        <v/>
      </c>
      <c r="AS176" s="247">
        <f>_DATA_Assessment_Model!AP176</f>
        <v/>
      </c>
      <c r="AT176" s="247">
        <f>_DATA_Assessment_Model!AQ176</f>
        <v/>
      </c>
      <c r="AU176" s="247">
        <f>_DATA_Assessment_Model!AR176</f>
        <v/>
      </c>
      <c r="AV176" s="5">
        <f>_DATA_Assessment_Model!AS176</f>
        <v/>
      </c>
      <c r="AW176" s="5">
        <f>_DATA_Assessment_Model!AT176</f>
        <v/>
      </c>
      <c r="AY176">
        <f>_DATA_Assessment_Model!AV176</f>
        <v/>
      </c>
    </row>
    <row r="177" ht="69" customHeight="1" s="209">
      <c r="A177" t="inlineStr">
        <is>
          <t>Delivery Ops</t>
        </is>
      </c>
      <c r="B177" t="inlineStr">
        <is>
          <t>Delivery Ops</t>
        </is>
      </c>
      <c r="C177" t="n">
        <v>6</v>
      </c>
      <c r="D177" s="3" t="inlineStr">
        <is>
          <t>DELI-002</t>
        </is>
      </c>
      <c r="E177" s="3" t="inlineStr">
        <is>
          <t>Delivery governance</t>
        </is>
      </c>
      <c r="F177" s="3" t="inlineStr">
        <is>
          <t>How mature is the organization in managing critical delivery processes ranked by customer, revenue, safety and contractual impact, including ownership, evidence, metrics, fallback procedures and crisis stress testing?</t>
        </is>
      </c>
      <c r="G177" s="3" t="inlineStr">
        <is>
          <t>This topic affects exposure to Delivery disruption; Customer impact; Workforce disruption. It helps identify how disruption may impact operations, people, revenue, systems, legal exposure or recovery time.</t>
        </is>
      </c>
      <c r="H177" s="3" t="inlineStr">
        <is>
          <t>ISO 9001; ISO 22301; ITIL 4; Lean; Six Sigma; APQC; service management best practices</t>
        </is>
      </c>
      <c r="I177" s="3" t="inlineStr">
        <is>
          <t>Policy/SOP; owner/RACI; system report; dashboard; contracts; test records; incident history; interview evidence related to critical delivery processes ranked by customer, revenue, safety and contractual impact.</t>
        </is>
      </c>
      <c r="J177" s="3" t="n">
        <v>5</v>
      </c>
      <c r="K177" s="85">
        <f>_DATA_Assessment_Model!H177</f>
        <v/>
      </c>
      <c r="L177" s="4">
        <f>_DATA_Assessment_Model!I177</f>
        <v/>
      </c>
      <c r="M177" s="4">
        <f>_DATA_Assessment_Model!J177</f>
        <v/>
      </c>
      <c r="N177" s="4">
        <f>_DATA_Assessment_Model!K177</f>
        <v/>
      </c>
      <c r="O177" s="3">
        <f>_DATA_Assessment_Model!L177</f>
        <v/>
      </c>
      <c r="P177" s="3" t="inlineStr">
        <is>
          <t>Does not exist; no owner, no documentation, no practice.</t>
        </is>
      </c>
      <c r="Q177" s="3" t="inlineStr">
        <is>
          <t>Ad hoc; depends entirely on specific individuals.</t>
        </is>
      </c>
      <c r="R177" s="3" t="inlineStr">
        <is>
          <t>Partially documented or implemented; coverage inconsistent; never tested under stress.</t>
        </is>
      </c>
      <c r="S177" s="3" t="inlineStr">
        <is>
          <t>Documented, owned, executed consistently; basic evidence and metrics exist.</t>
        </is>
      </c>
      <c r="T177" s="3" t="inlineStr">
        <is>
          <t>Measured and periodically tested/audited; integrated with adjacent processes.</t>
        </is>
      </c>
      <c r="U177" s="3" t="inlineStr">
        <is>
          <t>Optimized and automated where practical; stress-tested; benchmarked externally.</t>
        </is>
      </c>
      <c r="V177" s="3" t="inlineStr">
        <is>
          <t>Delivery disruption; Customer impact; Workforce disruption</t>
        </is>
      </c>
      <c r="W177" s="3" t="n"/>
      <c r="X177" s="3" t="n"/>
      <c r="Y177" s="3" t="inlineStr">
        <is>
          <t>Use the recommended action generated by the model; validate with domain owner during real assessment.</t>
        </is>
      </c>
      <c r="Z177" s="7" t="n">
        <v>4</v>
      </c>
      <c r="AA177" s="7" t="n">
        <v>5</v>
      </c>
      <c r="AB177" s="7" t="n">
        <v>5</v>
      </c>
      <c r="AD177" t="inlineStr">
        <is>
          <t>Capacity and continuity</t>
        </is>
      </c>
      <c r="AE177" s="6">
        <f>_DATA_Assessment_Model!AB177</f>
        <v/>
      </c>
      <c r="AF177" s="8">
        <f>_DATA_Assessment_Model!AC177</f>
        <v/>
      </c>
      <c r="AG177" s="9">
        <f>_DATA_Assessment_Model!AD177</f>
        <v/>
      </c>
      <c r="AH177" s="6">
        <f>_DATA_Assessment_Model!AE177</f>
        <v/>
      </c>
      <c r="AI177" s="8">
        <f>_DATA_Assessment_Model!AF177</f>
        <v/>
      </c>
      <c r="AJ177" s="6">
        <f>_DATA_Assessment_Model!AG177</f>
        <v/>
      </c>
      <c r="AK177" s="46" t="n"/>
      <c r="AL177" s="46" t="n"/>
      <c r="AM177" s="247">
        <f>_DATA_Assessment_Model!AJ177</f>
        <v/>
      </c>
      <c r="AN177" s="247">
        <f>_DATA_Assessment_Model!AK177</f>
        <v/>
      </c>
      <c r="AO177" s="247">
        <f>_DATA_Assessment_Model!AL177</f>
        <v/>
      </c>
      <c r="AP177" s="247">
        <f>_DATA_Assessment_Model!AM177</f>
        <v/>
      </c>
      <c r="AQ177" s="247">
        <f>_DATA_Assessment_Model!AN177</f>
        <v/>
      </c>
      <c r="AR177" s="247">
        <f>_DATA_Assessment_Model!AO177</f>
        <v/>
      </c>
      <c r="AS177" s="247">
        <f>_DATA_Assessment_Model!AP177</f>
        <v/>
      </c>
      <c r="AT177" s="247">
        <f>_DATA_Assessment_Model!AQ177</f>
        <v/>
      </c>
      <c r="AU177" s="247">
        <f>_DATA_Assessment_Model!AR177</f>
        <v/>
      </c>
      <c r="AV177" s="5">
        <f>_DATA_Assessment_Model!AS177</f>
        <v/>
      </c>
      <c r="AW177" s="5">
        <f>_DATA_Assessment_Model!AT177</f>
        <v/>
      </c>
      <c r="AY177">
        <f>_DATA_Assessment_Model!AV177</f>
        <v/>
      </c>
    </row>
    <row r="178" ht="96.59999999999999" customHeight="1" s="209">
      <c r="A178" t="inlineStr">
        <is>
          <t>Delivery Ops</t>
        </is>
      </c>
      <c r="B178" t="inlineStr">
        <is>
          <t>Delivery Ops</t>
        </is>
      </c>
      <c r="C178" t="n">
        <v>7</v>
      </c>
      <c r="D178" s="3" t="inlineStr">
        <is>
          <t>DELI-003</t>
        </is>
      </c>
      <c r="E178" s="3" t="inlineStr">
        <is>
          <t>Delivery governance</t>
        </is>
      </c>
      <c r="F178" s="3" t="inlineStr">
        <is>
          <t>How mature is the organization in managing SLA and OLA management with owners, escalation rules and customer communication, including ownership, evidence, metrics, fallback procedures and crisis stress testing?</t>
        </is>
      </c>
      <c r="G178" s="3" t="inlineStr">
        <is>
          <t>This topic affects exposure to Delivery disruption; Customer impact; Workforce disruption. It helps identify how disruption may impact operations, people, revenue, systems, legal exposure or recovery time.</t>
        </is>
      </c>
      <c r="H178" s="3" t="inlineStr">
        <is>
          <t>ISO 9001; ISO 22301; ITIL 4; Lean; Six Sigma; APQC; service management best practices</t>
        </is>
      </c>
      <c r="I178" s="3" t="inlineStr">
        <is>
          <t>Policy/SOP; owner/RACI; system report; dashboard; contracts; test records; incident history; interview evidence related to SLA and OLA management with owners, escalation rules and customer communication.</t>
        </is>
      </c>
      <c r="J178" s="3" t="n">
        <v>4</v>
      </c>
      <c r="K178" s="85">
        <f>_DATA_Assessment_Model!H178</f>
        <v/>
      </c>
      <c r="L178" s="4">
        <f>_DATA_Assessment_Model!I178</f>
        <v/>
      </c>
      <c r="M178" s="4">
        <f>_DATA_Assessment_Model!J178</f>
        <v/>
      </c>
      <c r="N178" s="4">
        <f>_DATA_Assessment_Model!K178</f>
        <v/>
      </c>
      <c r="O178" s="3">
        <f>_DATA_Assessment_Model!L178</f>
        <v/>
      </c>
      <c r="P178" s="3" t="inlineStr">
        <is>
          <t>No reliable evidence that sla and ola management with owners, escalation rules and customer communication is defined, owned or managed.</t>
        </is>
      </c>
      <c r="Q178" s="3" t="inlineStr">
        <is>
          <t>SLA and OLA management with owners, escalation rules and customer communication is handled informally and depends on individual knowledge or heroic effort.</t>
        </is>
      </c>
      <c r="R178" s="3" t="inlineStr">
        <is>
          <t>SLA and OLA management with owners, escalation rules and customer communication is partially documented or implemented, but coverage is inconsistent and not crisis-tested.</t>
        </is>
      </c>
      <c r="S178" s="3" t="inlineStr">
        <is>
          <t>SLA and OLA management with owners, escalation rules and customer communication is documented, owned, used in normal operations and supported by basic evidence or metrics.</t>
        </is>
      </c>
      <c r="T178" s="3" t="inlineStr">
        <is>
          <t>SLA and OLA management with owners, escalation rules and customer communication is measured, periodically reviewed, integrated with related processes and tested against relevant disruption scenarios.</t>
        </is>
      </c>
      <c r="U178" s="3" t="inlineStr">
        <is>
          <t>SLA and OLA management with owners, escalation rules and customer communication is optimized, continuously improved, automated where practical and demonstrably supports crisis resilience.</t>
        </is>
      </c>
      <c r="V178" s="3" t="inlineStr">
        <is>
          <t>Delivery disruption; Customer impact; Workforce disruption</t>
        </is>
      </c>
      <c r="W178" s="3" t="n"/>
      <c r="X178" s="3" t="n"/>
      <c r="Y178" s="3" t="inlineStr">
        <is>
          <t>Use the recommended action generated by the model; validate with domain owner during real assessment.</t>
        </is>
      </c>
      <c r="Z178" s="7" t="n">
        <v>4</v>
      </c>
      <c r="AA178" s="7" t="n">
        <v>5</v>
      </c>
      <c r="AB178" s="7" t="n">
        <v>5</v>
      </c>
      <c r="AD178" t="inlineStr">
        <is>
          <t>Process control</t>
        </is>
      </c>
      <c r="AE178" s="6">
        <f>_DATA_Assessment_Model!AB178</f>
        <v/>
      </c>
      <c r="AF178" s="8">
        <f>_DATA_Assessment_Model!AC178</f>
        <v/>
      </c>
      <c r="AG178" s="9">
        <f>_DATA_Assessment_Model!AD178</f>
        <v/>
      </c>
      <c r="AH178" s="6">
        <f>_DATA_Assessment_Model!AE178</f>
        <v/>
      </c>
      <c r="AI178" s="8">
        <f>_DATA_Assessment_Model!AF178</f>
        <v/>
      </c>
      <c r="AJ178" s="6">
        <f>_DATA_Assessment_Model!AG178</f>
        <v/>
      </c>
      <c r="AK178" s="46" t="n"/>
      <c r="AL178" s="46" t="n"/>
      <c r="AM178" s="247">
        <f>_DATA_Assessment_Model!AJ178</f>
        <v/>
      </c>
      <c r="AN178" s="247">
        <f>_DATA_Assessment_Model!AK178</f>
        <v/>
      </c>
      <c r="AO178" s="247">
        <f>_DATA_Assessment_Model!AL178</f>
        <v/>
      </c>
      <c r="AP178" s="247">
        <f>_DATA_Assessment_Model!AM178</f>
        <v/>
      </c>
      <c r="AQ178" s="247">
        <f>_DATA_Assessment_Model!AN178</f>
        <v/>
      </c>
      <c r="AR178" s="247">
        <f>_DATA_Assessment_Model!AO178</f>
        <v/>
      </c>
      <c r="AS178" s="247">
        <f>_DATA_Assessment_Model!AP178</f>
        <v/>
      </c>
      <c r="AT178" s="247">
        <f>_DATA_Assessment_Model!AQ178</f>
        <v/>
      </c>
      <c r="AU178" s="247">
        <f>_DATA_Assessment_Model!AR178</f>
        <v/>
      </c>
      <c r="AV178" s="5">
        <f>_DATA_Assessment_Model!AS178</f>
        <v/>
      </c>
      <c r="AW178" s="5">
        <f>_DATA_Assessment_Model!AT178</f>
        <v/>
      </c>
      <c r="AY178">
        <f>_DATA_Assessment_Model!AV178</f>
        <v/>
      </c>
    </row>
    <row r="179" ht="82.8" customHeight="1" s="209">
      <c r="A179" t="inlineStr">
        <is>
          <t>Delivery Ops</t>
        </is>
      </c>
      <c r="B179" t="inlineStr">
        <is>
          <t>Delivery Ops</t>
        </is>
      </c>
      <c r="C179" t="n">
        <v>8</v>
      </c>
      <c r="D179" s="3" t="inlineStr">
        <is>
          <t>DELI-004</t>
        </is>
      </c>
      <c r="E179" s="3" t="inlineStr">
        <is>
          <t>Delivery governance</t>
        </is>
      </c>
      <c r="F179" s="3" t="inlineStr">
        <is>
          <t>How mature is the organization in managing operational incident link to delivery impact, customer communication and corrective action, including ownership, evidence, metrics, fallback procedures and crisis stress testing?</t>
        </is>
      </c>
      <c r="G179" s="3" t="inlineStr">
        <is>
          <t>This topic affects exposure to Delivery disruption; Customer impact; Workforce disruption. It helps identify how disruption may impact operations, people, revenue, systems, legal exposure or recovery time.</t>
        </is>
      </c>
      <c r="H179" s="3" t="inlineStr">
        <is>
          <t>ISO 9001; ISO 22301; ITIL 4; Lean; Six Sigma; APQC; service management best practices</t>
        </is>
      </c>
      <c r="I179" s="3" t="inlineStr">
        <is>
          <t>Policy/SOP; owner/RACI; system report; dashboard; contracts; test records; incident history; interview evidence related to operational incident link to delivery impact, customer communication and corrective action.</t>
        </is>
      </c>
      <c r="J179" s="3" t="n">
        <v>5</v>
      </c>
      <c r="K179" s="85">
        <f>_DATA_Assessment_Model!H179</f>
        <v/>
      </c>
      <c r="L179" s="4">
        <f>_DATA_Assessment_Model!I179</f>
        <v/>
      </c>
      <c r="M179" s="4">
        <f>_DATA_Assessment_Model!J179</f>
        <v/>
      </c>
      <c r="N179" s="4">
        <f>_DATA_Assessment_Model!K179</f>
        <v/>
      </c>
      <c r="O179" s="3">
        <f>_DATA_Assessment_Model!L179</f>
        <v/>
      </c>
      <c r="P179" s="3" t="inlineStr">
        <is>
          <t>Does not exist; no owner, no documentation, no practice.</t>
        </is>
      </c>
      <c r="Q179" s="3" t="inlineStr">
        <is>
          <t>Ad hoc; depends entirely on specific individuals.</t>
        </is>
      </c>
      <c r="R179" s="3" t="inlineStr">
        <is>
          <t>Partially documented or implemented; coverage inconsistent; never tested under stress.</t>
        </is>
      </c>
      <c r="S179" s="3" t="inlineStr">
        <is>
          <t>Documented, owned, executed consistently; basic evidence and metrics exist.</t>
        </is>
      </c>
      <c r="T179" s="3" t="inlineStr">
        <is>
          <t>Measured and periodically tested/audited; integrated with adjacent processes.</t>
        </is>
      </c>
      <c r="U179" s="3" t="inlineStr">
        <is>
          <t>Optimized and automated where practical; stress-tested; benchmarked externally.</t>
        </is>
      </c>
      <c r="V179" s="3" t="inlineStr">
        <is>
          <t>Delivery disruption; Customer impact; Workforce disruption</t>
        </is>
      </c>
      <c r="W179" s="3" t="n"/>
      <c r="X179" s="3" t="n"/>
      <c r="Y179" s="3" t="inlineStr">
        <is>
          <t>Use the recommended action generated by the model; validate with domain owner during real assessment.</t>
        </is>
      </c>
      <c r="Z179" s="7" t="n">
        <v>4</v>
      </c>
      <c r="AA179" s="7" t="n">
        <v>5</v>
      </c>
      <c r="AB179" s="7" t="n">
        <v>5</v>
      </c>
      <c r="AD179" t="inlineStr">
        <is>
          <t>Operational visibility</t>
        </is>
      </c>
      <c r="AE179" s="6">
        <f>_DATA_Assessment_Model!AB179</f>
        <v/>
      </c>
      <c r="AF179" s="8">
        <f>_DATA_Assessment_Model!AC179</f>
        <v/>
      </c>
      <c r="AG179" s="9">
        <f>_DATA_Assessment_Model!AD179</f>
        <v/>
      </c>
      <c r="AH179" s="6">
        <f>_DATA_Assessment_Model!AE179</f>
        <v/>
      </c>
      <c r="AI179" s="8">
        <f>_DATA_Assessment_Model!AF179</f>
        <v/>
      </c>
      <c r="AJ179" s="6">
        <f>_DATA_Assessment_Model!AG179</f>
        <v/>
      </c>
      <c r="AK179" s="46" t="n"/>
      <c r="AL179" s="46" t="n"/>
      <c r="AM179" s="247">
        <f>_DATA_Assessment_Model!AJ179</f>
        <v/>
      </c>
      <c r="AN179" s="247">
        <f>_DATA_Assessment_Model!AK179</f>
        <v/>
      </c>
      <c r="AO179" s="247">
        <f>_DATA_Assessment_Model!AL179</f>
        <v/>
      </c>
      <c r="AP179" s="247">
        <f>_DATA_Assessment_Model!AM179</f>
        <v/>
      </c>
      <c r="AQ179" s="247">
        <f>_DATA_Assessment_Model!AN179</f>
        <v/>
      </c>
      <c r="AR179" s="247">
        <f>_DATA_Assessment_Model!AO179</f>
        <v/>
      </c>
      <c r="AS179" s="247">
        <f>_DATA_Assessment_Model!AP179</f>
        <v/>
      </c>
      <c r="AT179" s="247">
        <f>_DATA_Assessment_Model!AQ179</f>
        <v/>
      </c>
      <c r="AU179" s="247">
        <f>_DATA_Assessment_Model!AR179</f>
        <v/>
      </c>
      <c r="AV179" s="5">
        <f>_DATA_Assessment_Model!AS179</f>
        <v/>
      </c>
      <c r="AW179" s="5">
        <f>_DATA_Assessment_Model!AT179</f>
        <v/>
      </c>
      <c r="AY179">
        <f>_DATA_Assessment_Model!AV179</f>
        <v/>
      </c>
    </row>
    <row r="180" ht="82.8" customHeight="1" s="209">
      <c r="A180" t="inlineStr">
        <is>
          <t>Delivery Ops</t>
        </is>
      </c>
      <c r="B180" t="inlineStr">
        <is>
          <t>Delivery Ops</t>
        </is>
      </c>
      <c r="C180" t="n">
        <v>9</v>
      </c>
      <c r="D180" s="3" t="inlineStr">
        <is>
          <t>DELI-005</t>
        </is>
      </c>
      <c r="E180" s="3" t="inlineStr">
        <is>
          <t>Delivery governance</t>
        </is>
      </c>
      <c r="F180" s="3" t="inlineStr">
        <is>
          <t>How mature is the organization in managing customer prioritization rules during capacity constraints, including ownership, evidence, metrics, fallback procedures and crisis stress testing?</t>
        </is>
      </c>
      <c r="G180" s="3" t="inlineStr">
        <is>
          <t>This topic affects exposure to Delivery disruption; Customer impact; Workforce disruption. It helps identify how disruption may impact operations, people, revenue, systems, legal exposure or recovery time.</t>
        </is>
      </c>
      <c r="H180" s="3" t="inlineStr">
        <is>
          <t>ISO 9001; ISO 22301; ITIL 4; Lean; Six Sigma; APQC; service management best practices</t>
        </is>
      </c>
      <c r="I180" s="3" t="inlineStr">
        <is>
          <t>Policy/SOP; owner/RACI; system report; dashboard; contracts; test records; incident history; interview evidence related to customer prioritization rules during capacity constraints.</t>
        </is>
      </c>
      <c r="J180" s="3" t="n">
        <v>4</v>
      </c>
      <c r="K180" s="85">
        <f>_DATA_Assessment_Model!H180</f>
        <v/>
      </c>
      <c r="L180" s="4">
        <f>_DATA_Assessment_Model!I180</f>
        <v/>
      </c>
      <c r="M180" s="4">
        <f>_DATA_Assessment_Model!J180</f>
        <v/>
      </c>
      <c r="N180" s="4">
        <f>_DATA_Assessment_Model!K180</f>
        <v/>
      </c>
      <c r="O180" s="3">
        <f>_DATA_Assessment_Model!L180</f>
        <v/>
      </c>
      <c r="P180" s="3" t="inlineStr">
        <is>
          <t>No reliable evidence that customer prioritization rules during capacity constraints is defined, owned or managed.</t>
        </is>
      </c>
      <c r="Q180" s="3" t="inlineStr">
        <is>
          <t>Customer prioritization rules during capacity constraints is handled informally and depends on individual knowledge or heroic effort.</t>
        </is>
      </c>
      <c r="R180" s="3" t="inlineStr">
        <is>
          <t>Customer prioritization rules during capacity constraints is partially documented or implemented, but coverage is inconsistent and not crisis-tested.</t>
        </is>
      </c>
      <c r="S180" s="3" t="inlineStr">
        <is>
          <t>Customer prioritization rules during capacity constraints is documented, owned, used in normal operations and supported by basic evidence or metrics.</t>
        </is>
      </c>
      <c r="T180" s="3" t="inlineStr">
        <is>
          <t>Customer prioritization rules during capacity constraints is measured, periodically reviewed, integrated with related processes and tested against relevant disruption scenarios.</t>
        </is>
      </c>
      <c r="U180" s="3" t="inlineStr">
        <is>
          <t>Customer prioritization rules during capacity constraints is optimized, continuously improved, automated where practical and demonstrably supports crisis resilience.</t>
        </is>
      </c>
      <c r="V180" s="3" t="inlineStr">
        <is>
          <t>Delivery disruption; Customer impact; Workforce disruption</t>
        </is>
      </c>
      <c r="W180" s="3" t="n"/>
      <c r="X180" s="3" t="n"/>
      <c r="Y180" s="3" t="inlineStr">
        <is>
          <t>Use the recommended action generated by the model; validate with domain owner during real assessment.</t>
        </is>
      </c>
      <c r="Z180" s="7" t="n">
        <v>4</v>
      </c>
      <c r="AA180" s="7" t="n">
        <v>5</v>
      </c>
      <c r="AB180" s="7" t="n">
        <v>5</v>
      </c>
      <c r="AK180" s="46" t="n"/>
      <c r="AL180" s="46" t="n"/>
      <c r="AM180" s="247">
        <f>_DATA_Assessment_Model!AJ180</f>
        <v/>
      </c>
      <c r="AN180" s="247">
        <f>_DATA_Assessment_Model!AK180</f>
        <v/>
      </c>
      <c r="AO180" s="247">
        <f>_DATA_Assessment_Model!AL180</f>
        <v/>
      </c>
      <c r="AP180" s="247">
        <f>_DATA_Assessment_Model!AM180</f>
        <v/>
      </c>
      <c r="AQ180" s="247">
        <f>_DATA_Assessment_Model!AN180</f>
        <v/>
      </c>
      <c r="AR180" s="247">
        <f>_DATA_Assessment_Model!AO180</f>
        <v/>
      </c>
      <c r="AS180" s="247">
        <f>_DATA_Assessment_Model!AP180</f>
        <v/>
      </c>
      <c r="AT180" s="247">
        <f>_DATA_Assessment_Model!AQ180</f>
        <v/>
      </c>
      <c r="AU180" s="247">
        <f>_DATA_Assessment_Model!AR180</f>
        <v/>
      </c>
      <c r="AV180" s="5">
        <f>_DATA_Assessment_Model!AS180</f>
        <v/>
      </c>
      <c r="AW180" s="5">
        <f>_DATA_Assessment_Model!AT180</f>
        <v/>
      </c>
      <c r="AY180">
        <f>_DATA_Assessment_Model!AV180</f>
        <v/>
      </c>
    </row>
    <row r="181" ht="69" customHeight="1" s="209">
      <c r="A181" t="inlineStr">
        <is>
          <t>Delivery Ops</t>
        </is>
      </c>
      <c r="B181" t="inlineStr">
        <is>
          <t>Delivery Ops</t>
        </is>
      </c>
      <c r="C181" t="n">
        <v>10</v>
      </c>
      <c r="D181" s="3" t="inlineStr">
        <is>
          <t>DELI-006</t>
        </is>
      </c>
      <c r="E181" s="3" t="inlineStr">
        <is>
          <t>Delivery governance</t>
        </is>
      </c>
      <c r="F181" s="3" t="inlineStr">
        <is>
          <t>How mature is the organization in managing delivery transparency to customers during delays, incidents or disruption, including ownership, evidence, metrics, fallback procedures and crisis stress testing?</t>
        </is>
      </c>
      <c r="G181" s="3" t="inlineStr">
        <is>
          <t>This topic affects exposure to Delivery disruption; Customer impact; Workforce disruption. It helps identify how disruption may impact operations, people, revenue, systems, legal exposure or recovery time.</t>
        </is>
      </c>
      <c r="H181" s="3" t="inlineStr">
        <is>
          <t>ISO 9001; ISO 22301; ITIL 4; Lean; Six Sigma; APQC; service management best practices</t>
        </is>
      </c>
      <c r="I181" s="3" t="inlineStr">
        <is>
          <t>Policy/SOP; owner/RACI; system report; dashboard; contracts; test records; incident history; interview evidence related to delivery transparency to customers during delays, incidents or disruption.</t>
        </is>
      </c>
      <c r="J181" s="3" t="n">
        <v>5</v>
      </c>
      <c r="K181" s="85">
        <f>_DATA_Assessment_Model!H181</f>
        <v/>
      </c>
      <c r="L181" s="4">
        <f>_DATA_Assessment_Model!I181</f>
        <v/>
      </c>
      <c r="M181" s="4">
        <f>_DATA_Assessment_Model!J181</f>
        <v/>
      </c>
      <c r="N181" s="4">
        <f>_DATA_Assessment_Model!K181</f>
        <v/>
      </c>
      <c r="O181" s="3">
        <f>_DATA_Assessment_Model!L181</f>
        <v/>
      </c>
      <c r="P181" s="3" t="inlineStr">
        <is>
          <t>Does not exist; no owner, no documentation, no practice.</t>
        </is>
      </c>
      <c r="Q181" s="3" t="inlineStr">
        <is>
          <t>Ad hoc; depends entirely on specific individuals.</t>
        </is>
      </c>
      <c r="R181" s="3" t="inlineStr">
        <is>
          <t>Partially documented or implemented; coverage inconsistent; never tested under stress.</t>
        </is>
      </c>
      <c r="S181" s="3" t="inlineStr">
        <is>
          <t>Documented, owned, executed consistently; basic evidence and metrics exist.</t>
        </is>
      </c>
      <c r="T181" s="3" t="inlineStr">
        <is>
          <t>Measured and periodically tested/audited; integrated with adjacent processes.</t>
        </is>
      </c>
      <c r="U181" s="3" t="inlineStr">
        <is>
          <t>Optimized and automated where practical; stress-tested; benchmarked externally.</t>
        </is>
      </c>
      <c r="V181" s="3" t="inlineStr">
        <is>
          <t>Delivery disruption; Customer impact; Workforce disruption</t>
        </is>
      </c>
      <c r="W181" s="3" t="n"/>
      <c r="X181" s="3" t="n"/>
      <c r="Y181" s="3" t="inlineStr">
        <is>
          <t>Use the recommended action generated by the model; validate with domain owner during real assessment.</t>
        </is>
      </c>
      <c r="Z181" s="7" t="n">
        <v>4</v>
      </c>
      <c r="AA181" s="7" t="n">
        <v>5</v>
      </c>
      <c r="AB181" s="7" t="n">
        <v>5</v>
      </c>
      <c r="AK181" s="46" t="n"/>
      <c r="AL181" s="46" t="n"/>
      <c r="AM181" s="247">
        <f>_DATA_Assessment_Model!AJ181</f>
        <v/>
      </c>
      <c r="AN181" s="247">
        <f>_DATA_Assessment_Model!AK181</f>
        <v/>
      </c>
      <c r="AO181" s="247">
        <f>_DATA_Assessment_Model!AL181</f>
        <v/>
      </c>
      <c r="AP181" s="247">
        <f>_DATA_Assessment_Model!AM181</f>
        <v/>
      </c>
      <c r="AQ181" s="247">
        <f>_DATA_Assessment_Model!AN181</f>
        <v/>
      </c>
      <c r="AR181" s="247">
        <f>_DATA_Assessment_Model!AO181</f>
        <v/>
      </c>
      <c r="AS181" s="247">
        <f>_DATA_Assessment_Model!AP181</f>
        <v/>
      </c>
      <c r="AT181" s="247">
        <f>_DATA_Assessment_Model!AQ181</f>
        <v/>
      </c>
      <c r="AU181" s="247">
        <f>_DATA_Assessment_Model!AR181</f>
        <v/>
      </c>
      <c r="AV181" s="5">
        <f>_DATA_Assessment_Model!AS181</f>
        <v/>
      </c>
      <c r="AW181" s="5">
        <f>_DATA_Assessment_Model!AT181</f>
        <v/>
      </c>
      <c r="AY181">
        <f>_DATA_Assessment_Model!AV181</f>
        <v/>
      </c>
    </row>
    <row r="182" ht="82.8" customHeight="1" s="209">
      <c r="A182" t="inlineStr">
        <is>
          <t>Delivery Ops</t>
        </is>
      </c>
      <c r="B182" t="inlineStr">
        <is>
          <t>Delivery Ops</t>
        </is>
      </c>
      <c r="C182" t="n">
        <v>11</v>
      </c>
      <c r="D182" s="3" t="inlineStr">
        <is>
          <t>DELI-007</t>
        </is>
      </c>
      <c r="E182" s="3" t="inlineStr">
        <is>
          <t>Capacity and continuity</t>
        </is>
      </c>
      <c r="F182" s="3" t="inlineStr">
        <is>
          <t>How mature is the organization in managing capacity planning for people, equipment, production lines, cloud resources, warehouses and suppliers, including ownership, evidence, metrics, fallback procedures and crisis stress testing?</t>
        </is>
      </c>
      <c r="G182" s="3" t="inlineStr">
        <is>
          <t>This topic affects exposure to Delivery disruption; Customer impact; Workforce disruption. It helps identify how disruption may impact operations, people, revenue, systems, legal exposure or recovery time.</t>
        </is>
      </c>
      <c r="H182" s="3" t="inlineStr">
        <is>
          <t>ISO 9001; ISO 22301; ITIL 4; Lean; Six Sigma; APQC; service management best practices</t>
        </is>
      </c>
      <c r="I182" s="3" t="inlineStr">
        <is>
          <t>Policy/SOP; owner/RACI; system report; dashboard; contracts; test records; incident history; interview evidence related to capacity planning for people, equipment, production lines, cloud resources, warehouses and suppliers.</t>
        </is>
      </c>
      <c r="J182" s="3" t="n">
        <v>5</v>
      </c>
      <c r="K182" s="85">
        <f>_DATA_Assessment_Model!H182</f>
        <v/>
      </c>
      <c r="L182" s="4">
        <f>_DATA_Assessment_Model!I182</f>
        <v/>
      </c>
      <c r="M182" s="4">
        <f>_DATA_Assessment_Model!J182</f>
        <v/>
      </c>
      <c r="N182" s="4">
        <f>_DATA_Assessment_Model!K182</f>
        <v/>
      </c>
      <c r="O182" s="3">
        <f>_DATA_Assessment_Model!L182</f>
        <v/>
      </c>
      <c r="P182" s="3" t="inlineStr">
        <is>
          <t>No plan or procedure exists.</t>
        </is>
      </c>
      <c r="Q182" s="3" t="inlineStr">
        <is>
          <t>Knowledge lives with individuals; nothing usable is written down.</t>
        </is>
      </c>
      <c r="R182" s="3" t="inlineStr">
        <is>
          <t>Drafted but outdated, not approved, or unknown to the people who must use it.</t>
        </is>
      </c>
      <c r="S182" s="3" t="inlineStr">
        <is>
          <t>Approved and current; owners assigned; affected staff know it exists and where to find it.</t>
        </is>
      </c>
      <c r="T182" s="3" t="inlineStr">
        <is>
          <t>Tested against realistic scenarios; updated after each test or real incident.</t>
        </is>
      </c>
      <c r="U182" s="3" t="inlineStr">
        <is>
          <t>Exercised regularly including external parties; readiness measured; continuously improved.</t>
        </is>
      </c>
      <c r="V182" s="3" t="inlineStr">
        <is>
          <t>Delivery disruption; Customer impact; Workforce disruption</t>
        </is>
      </c>
      <c r="W182" s="3" t="n"/>
      <c r="X182" s="3" t="n"/>
      <c r="Y182" s="3" t="inlineStr">
        <is>
          <t>Use the recommended action generated by the model; validate with domain owner during real assessment.</t>
        </is>
      </c>
      <c r="Z182" s="7" t="n">
        <v>5</v>
      </c>
      <c r="AA182" s="7" t="n">
        <v>5</v>
      </c>
      <c r="AB182" s="7" t="n">
        <v>5</v>
      </c>
      <c r="AK182" s="46" t="n"/>
      <c r="AL182" s="46" t="n"/>
      <c r="AM182" s="247">
        <f>_DATA_Assessment_Model!AJ182</f>
        <v/>
      </c>
      <c r="AN182" s="247">
        <f>_DATA_Assessment_Model!AK182</f>
        <v/>
      </c>
      <c r="AO182" s="247">
        <f>_DATA_Assessment_Model!AL182</f>
        <v/>
      </c>
      <c r="AP182" s="247">
        <f>_DATA_Assessment_Model!AM182</f>
        <v/>
      </c>
      <c r="AQ182" s="247">
        <f>_DATA_Assessment_Model!AN182</f>
        <v/>
      </c>
      <c r="AR182" s="247">
        <f>_DATA_Assessment_Model!AO182</f>
        <v/>
      </c>
      <c r="AS182" s="247">
        <f>_DATA_Assessment_Model!AP182</f>
        <v/>
      </c>
      <c r="AT182" s="247">
        <f>_DATA_Assessment_Model!AQ182</f>
        <v/>
      </c>
      <c r="AU182" s="247">
        <f>_DATA_Assessment_Model!AR182</f>
        <v/>
      </c>
      <c r="AV182" s="5">
        <f>_DATA_Assessment_Model!AS182</f>
        <v/>
      </c>
      <c r="AW182" s="5">
        <f>_DATA_Assessment_Model!AT182</f>
        <v/>
      </c>
      <c r="AY182">
        <f>_DATA_Assessment_Model!AV182</f>
        <v/>
      </c>
    </row>
    <row r="183" ht="69" customHeight="1" s="209">
      <c r="A183" t="inlineStr">
        <is>
          <t>Delivery Ops</t>
        </is>
      </c>
      <c r="B183" t="inlineStr">
        <is>
          <t>Delivery Ops</t>
        </is>
      </c>
      <c r="C183" t="n">
        <v>12</v>
      </c>
      <c r="D183" s="3" t="inlineStr">
        <is>
          <t>DELI-008</t>
        </is>
      </c>
      <c r="E183" s="3" t="inlineStr">
        <is>
          <t>Capacity and continuity</t>
        </is>
      </c>
      <c r="F183" s="3" t="inlineStr">
        <is>
          <t>How mature is the organization in managing surge capacity for demand spikes, backlog recovery and emergency orders, including ownership, evidence, metrics, fallback procedures and crisis stress testing?</t>
        </is>
      </c>
      <c r="G183" s="3" t="inlineStr">
        <is>
          <t>This topic affects exposure to Delivery disruption; Customer impact; Workforce disruption. It helps identify how disruption may impact operations, people, revenue, systems, legal exposure or recovery time.</t>
        </is>
      </c>
      <c r="H183" s="3" t="inlineStr">
        <is>
          <t>ISO 9001; ISO 22301; ITIL 4; Lean; Six Sigma; APQC; service management best practices</t>
        </is>
      </c>
      <c r="I183" s="3" t="inlineStr">
        <is>
          <t>Policy/SOP; owner/RACI; system report; dashboard; contracts; test records; incident history; interview evidence related to surge capacity for demand spikes, backlog recovery and emergency orders.</t>
        </is>
      </c>
      <c r="J183" s="3" t="n">
        <v>5</v>
      </c>
      <c r="K183" s="85">
        <f>_DATA_Assessment_Model!H183</f>
        <v/>
      </c>
      <c r="L183" s="4">
        <f>_DATA_Assessment_Model!I183</f>
        <v/>
      </c>
      <c r="M183" s="4">
        <f>_DATA_Assessment_Model!J183</f>
        <v/>
      </c>
      <c r="N183" s="4">
        <f>_DATA_Assessment_Model!K183</f>
        <v/>
      </c>
      <c r="O183" s="3">
        <f>_DATA_Assessment_Model!L183</f>
        <v/>
      </c>
      <c r="P183" s="3" t="inlineStr">
        <is>
          <t>Does not exist; no owner, no documentation, no practice.</t>
        </is>
      </c>
      <c r="Q183" s="3" t="inlineStr">
        <is>
          <t>Ad hoc; depends entirely on specific individuals.</t>
        </is>
      </c>
      <c r="R183" s="3" t="inlineStr">
        <is>
          <t>Partially documented or implemented; coverage inconsistent; never tested under stress.</t>
        </is>
      </c>
      <c r="S183" s="3" t="inlineStr">
        <is>
          <t>Documented, owned, executed consistently; basic evidence and metrics exist.</t>
        </is>
      </c>
      <c r="T183" s="3" t="inlineStr">
        <is>
          <t>Measured and periodically tested/audited; integrated with adjacent processes.</t>
        </is>
      </c>
      <c r="U183" s="3" t="inlineStr">
        <is>
          <t>Optimized and automated where practical; stress-tested; benchmarked externally.</t>
        </is>
      </c>
      <c r="V183" s="3" t="inlineStr">
        <is>
          <t>Delivery disruption; Customer impact; Workforce disruption</t>
        </is>
      </c>
      <c r="W183" s="3" t="n"/>
      <c r="X183" s="3" t="n"/>
      <c r="Y183" s="3" t="inlineStr">
        <is>
          <t>Use the recommended action generated by the model; validate with domain owner during real assessment.</t>
        </is>
      </c>
      <c r="Z183" s="7" t="n">
        <v>4</v>
      </c>
      <c r="AA183" s="7" t="n">
        <v>5</v>
      </c>
      <c r="AB183" s="7" t="n">
        <v>5</v>
      </c>
      <c r="AK183" s="46" t="n"/>
      <c r="AL183" s="46" t="n"/>
      <c r="AM183" s="247">
        <f>_DATA_Assessment_Model!AJ183</f>
        <v/>
      </c>
      <c r="AN183" s="247">
        <f>_DATA_Assessment_Model!AK183</f>
        <v/>
      </c>
      <c r="AO183" s="247">
        <f>_DATA_Assessment_Model!AL183</f>
        <v/>
      </c>
      <c r="AP183" s="247">
        <f>_DATA_Assessment_Model!AM183</f>
        <v/>
      </c>
      <c r="AQ183" s="247">
        <f>_DATA_Assessment_Model!AN183</f>
        <v/>
      </c>
      <c r="AR183" s="247">
        <f>_DATA_Assessment_Model!AO183</f>
        <v/>
      </c>
      <c r="AS183" s="247">
        <f>_DATA_Assessment_Model!AP183</f>
        <v/>
      </c>
      <c r="AT183" s="247">
        <f>_DATA_Assessment_Model!AQ183</f>
        <v/>
      </c>
      <c r="AU183" s="247">
        <f>_DATA_Assessment_Model!AR183</f>
        <v/>
      </c>
      <c r="AV183" s="5">
        <f>_DATA_Assessment_Model!AS183</f>
        <v/>
      </c>
      <c r="AW183" s="5">
        <f>_DATA_Assessment_Model!AT183</f>
        <v/>
      </c>
      <c r="AY183">
        <f>_DATA_Assessment_Model!AV183</f>
        <v/>
      </c>
    </row>
    <row r="184" ht="82.8" customHeight="1" s="209">
      <c r="A184" t="inlineStr">
        <is>
          <t>Delivery Ops</t>
        </is>
      </c>
      <c r="B184" t="inlineStr">
        <is>
          <t>Delivery Ops</t>
        </is>
      </c>
      <c r="C184" t="n">
        <v>13</v>
      </c>
      <c r="D184" s="3" t="inlineStr">
        <is>
          <t>DELI-009</t>
        </is>
      </c>
      <c r="E184" s="3" t="inlineStr">
        <is>
          <t>Capacity and continuity</t>
        </is>
      </c>
      <c r="F184" s="3" t="inlineStr">
        <is>
          <t>How mature is the organization in managing minimum viable operating model for severe constraints, including ownership, evidence, metrics, fallback procedures and crisis stress testing?</t>
        </is>
      </c>
      <c r="G184" s="3" t="inlineStr">
        <is>
          <t>This topic affects exposure to Delivery disruption; Customer impact; Workforce disruption. It helps identify how disruption may impact operations, people, revenue, systems, legal exposure or recovery time.</t>
        </is>
      </c>
      <c r="H184" s="3" t="inlineStr">
        <is>
          <t>ISO 9001; ISO 22301; ITIL 4; Lean; Six Sigma; APQC; service management best practices</t>
        </is>
      </c>
      <c r="I184" s="3" t="inlineStr">
        <is>
          <t>Policy/SOP; owner/RACI; system report; dashboard; contracts; test records; incident history; interview evidence related to minimum viable operating model for severe constraints.</t>
        </is>
      </c>
      <c r="J184" s="3" t="n">
        <v>3</v>
      </c>
      <c r="K184" s="85">
        <f>_DATA_Assessment_Model!H184</f>
        <v/>
      </c>
      <c r="L184" s="4">
        <f>_DATA_Assessment_Model!I184</f>
        <v/>
      </c>
      <c r="M184" s="4">
        <f>_DATA_Assessment_Model!J184</f>
        <v/>
      </c>
      <c r="N184" s="4">
        <f>_DATA_Assessment_Model!K184</f>
        <v/>
      </c>
      <c r="O184" s="3">
        <f>_DATA_Assessment_Model!L184</f>
        <v/>
      </c>
      <c r="P184" s="3" t="inlineStr">
        <is>
          <t>No reliable evidence that minimum viable operating model for severe constraints is defined, owned or managed.</t>
        </is>
      </c>
      <c r="Q184" s="3" t="inlineStr">
        <is>
          <t>Minimum viable operating model for severe constraints is handled informally and depends on individual knowledge or heroic effort.</t>
        </is>
      </c>
      <c r="R184" s="3" t="inlineStr">
        <is>
          <t>Minimum viable operating model for severe constraints is partially documented or implemented, but coverage is inconsistent and not crisis-tested.</t>
        </is>
      </c>
      <c r="S184" s="3" t="inlineStr">
        <is>
          <t>Minimum viable operating model for severe constraints is documented, owned, used in normal operations and supported by basic evidence or metrics.</t>
        </is>
      </c>
      <c r="T184" s="3" t="inlineStr">
        <is>
          <t>Minimum viable operating model for severe constraints is measured, periodically reviewed, integrated with related processes and tested against relevant disruption scenarios.</t>
        </is>
      </c>
      <c r="U184" s="3" t="inlineStr">
        <is>
          <t>Minimum viable operating model for severe constraints is optimized, continuously improved, automated where practical and demonstrably supports crisis resilience.</t>
        </is>
      </c>
      <c r="V184" s="3" t="inlineStr">
        <is>
          <t>Delivery disruption; Customer impact; Workforce disruption</t>
        </is>
      </c>
      <c r="W184" s="3" t="n"/>
      <c r="X184" s="3" t="n"/>
      <c r="Y184" s="3" t="inlineStr">
        <is>
          <t>Use the recommended action generated by the model; validate with domain owner during real assessment.</t>
        </is>
      </c>
      <c r="Z184" s="7" t="n">
        <v>4</v>
      </c>
      <c r="AA184" s="7" t="n">
        <v>5</v>
      </c>
      <c r="AB184" s="7" t="n">
        <v>5</v>
      </c>
      <c r="AK184" s="46" t="n"/>
      <c r="AL184" s="46" t="n"/>
      <c r="AM184" s="247">
        <f>_DATA_Assessment_Model!AJ184</f>
        <v/>
      </c>
      <c r="AN184" s="247">
        <f>_DATA_Assessment_Model!AK184</f>
        <v/>
      </c>
      <c r="AO184" s="247">
        <f>_DATA_Assessment_Model!AL184</f>
        <v/>
      </c>
      <c r="AP184" s="247">
        <f>_DATA_Assessment_Model!AM184</f>
        <v/>
      </c>
      <c r="AQ184" s="247">
        <f>_DATA_Assessment_Model!AN184</f>
        <v/>
      </c>
      <c r="AR184" s="247">
        <f>_DATA_Assessment_Model!AO184</f>
        <v/>
      </c>
      <c r="AS184" s="247">
        <f>_DATA_Assessment_Model!AP184</f>
        <v/>
      </c>
      <c r="AT184" s="247">
        <f>_DATA_Assessment_Model!AQ184</f>
        <v/>
      </c>
      <c r="AU184" s="247">
        <f>_DATA_Assessment_Model!AR184</f>
        <v/>
      </c>
      <c r="AV184" s="5">
        <f>_DATA_Assessment_Model!AS184</f>
        <v/>
      </c>
      <c r="AW184" s="5">
        <f>_DATA_Assessment_Model!AT184</f>
        <v/>
      </c>
      <c r="AY184">
        <f>_DATA_Assessment_Model!AV184</f>
        <v/>
      </c>
    </row>
    <row r="185" ht="69" customHeight="1" s="209">
      <c r="A185" t="inlineStr">
        <is>
          <t>Delivery Ops</t>
        </is>
      </c>
      <c r="B185" t="inlineStr">
        <is>
          <t>Delivery Ops</t>
        </is>
      </c>
      <c r="C185" t="n">
        <v>14</v>
      </c>
      <c r="D185" s="3" t="inlineStr">
        <is>
          <t>DELI-010</t>
        </is>
      </c>
      <c r="E185" s="3" t="inlineStr">
        <is>
          <t>Capacity and continuity</t>
        </is>
      </c>
      <c r="F185" s="3" t="inlineStr">
        <is>
          <t>How mature is the organization in managing cross-site or cross-team work transfer if one location or team fails, including ownership, evidence, metrics, fallback procedures and crisis stress testing?</t>
        </is>
      </c>
      <c r="G185" s="3" t="inlineStr">
        <is>
          <t>This topic affects exposure to Delivery disruption; Customer impact; Workforce disruption. It helps identify how disruption may impact operations, people, revenue, systems, legal exposure or recovery time.</t>
        </is>
      </c>
      <c r="H185" s="3" t="inlineStr">
        <is>
          <t>ISO 9001; ISO 22301; ITIL 4; Lean; Six Sigma; APQC; service management best practices</t>
        </is>
      </c>
      <c r="I185" s="3" t="inlineStr">
        <is>
          <t>Policy/SOP; owner/RACI; system report; dashboard; contracts; test records; incident history; interview evidence related to cross-site or cross-team work transfer if one location or team fails.</t>
        </is>
      </c>
      <c r="J185" s="3" t="n">
        <v>5</v>
      </c>
      <c r="K185" s="85">
        <f>_DATA_Assessment_Model!H185</f>
        <v/>
      </c>
      <c r="L185" s="4">
        <f>_DATA_Assessment_Model!I185</f>
        <v/>
      </c>
      <c r="M185" s="4">
        <f>_DATA_Assessment_Model!J185</f>
        <v/>
      </c>
      <c r="N185" s="4">
        <f>_DATA_Assessment_Model!K185</f>
        <v/>
      </c>
      <c r="O185" s="3">
        <f>_DATA_Assessment_Model!L185</f>
        <v/>
      </c>
      <c r="P185" s="3" t="inlineStr">
        <is>
          <t>Does not exist; no owner, no documentation, no practice.</t>
        </is>
      </c>
      <c r="Q185" s="3" t="inlineStr">
        <is>
          <t>Ad hoc; depends entirely on specific individuals.</t>
        </is>
      </c>
      <c r="R185" s="3" t="inlineStr">
        <is>
          <t>Partially documented or implemented; coverage inconsistent; never tested under stress.</t>
        </is>
      </c>
      <c r="S185" s="3" t="inlineStr">
        <is>
          <t>Documented, owned, executed consistently; basic evidence and metrics exist.</t>
        </is>
      </c>
      <c r="T185" s="3" t="inlineStr">
        <is>
          <t>Measured and periodically tested/audited; integrated with adjacent processes.</t>
        </is>
      </c>
      <c r="U185" s="3" t="inlineStr">
        <is>
          <t>Optimized and automated where practical; stress-tested; benchmarked externally.</t>
        </is>
      </c>
      <c r="V185" s="3" t="inlineStr">
        <is>
          <t>Delivery disruption; Customer impact; Workforce disruption</t>
        </is>
      </c>
      <c r="W185" s="3" t="n"/>
      <c r="X185" s="3" t="n"/>
      <c r="Y185" s="3" t="inlineStr">
        <is>
          <t>Use the recommended action generated by the model; validate with domain owner during real assessment.</t>
        </is>
      </c>
      <c r="Z185" s="7" t="n">
        <v>4</v>
      </c>
      <c r="AA185" s="7" t="n">
        <v>5</v>
      </c>
      <c r="AB185" s="7" t="n">
        <v>5</v>
      </c>
      <c r="AK185" s="46" t="n"/>
      <c r="AL185" s="46" t="n"/>
      <c r="AM185" s="247">
        <f>_DATA_Assessment_Model!AJ185</f>
        <v/>
      </c>
      <c r="AN185" s="247">
        <f>_DATA_Assessment_Model!AK185</f>
        <v/>
      </c>
      <c r="AO185" s="247">
        <f>_DATA_Assessment_Model!AL185</f>
        <v/>
      </c>
      <c r="AP185" s="247">
        <f>_DATA_Assessment_Model!AM185</f>
        <v/>
      </c>
      <c r="AQ185" s="247">
        <f>_DATA_Assessment_Model!AN185</f>
        <v/>
      </c>
      <c r="AR185" s="247">
        <f>_DATA_Assessment_Model!AO185</f>
        <v/>
      </c>
      <c r="AS185" s="247">
        <f>_DATA_Assessment_Model!AP185</f>
        <v/>
      </c>
      <c r="AT185" s="247">
        <f>_DATA_Assessment_Model!AQ185</f>
        <v/>
      </c>
      <c r="AU185" s="247">
        <f>_DATA_Assessment_Model!AR185</f>
        <v/>
      </c>
      <c r="AV185" s="5">
        <f>_DATA_Assessment_Model!AS185</f>
        <v/>
      </c>
      <c r="AW185" s="5">
        <f>_DATA_Assessment_Model!AT185</f>
        <v/>
      </c>
      <c r="AY185">
        <f>_DATA_Assessment_Model!AV185</f>
        <v/>
      </c>
    </row>
    <row r="186" ht="69" customHeight="1" s="209">
      <c r="A186" t="inlineStr">
        <is>
          <t>Delivery Ops</t>
        </is>
      </c>
      <c r="B186" t="inlineStr">
        <is>
          <t>Delivery Ops</t>
        </is>
      </c>
      <c r="C186" t="n">
        <v>15</v>
      </c>
      <c r="D186" s="3" t="inlineStr">
        <is>
          <t>DELI-011</t>
        </is>
      </c>
      <c r="E186" s="3" t="inlineStr">
        <is>
          <t>Capacity and continuity</t>
        </is>
      </c>
      <c r="F186" s="3" t="inlineStr">
        <is>
          <t>How mature is the organization in managing recovery sequencing for processes, systems, teams, sites and customers, including ownership, evidence, metrics, fallback procedures and crisis stress testing?</t>
        </is>
      </c>
      <c r="G186" s="3" t="inlineStr">
        <is>
          <t>This topic affects exposure to Delivery disruption; Customer impact; Workforce disruption. It helps identify how disruption may impact operations, people, revenue, systems, legal exposure or recovery time.</t>
        </is>
      </c>
      <c r="H186" s="3" t="inlineStr">
        <is>
          <t>ISO 9001; ISO 22301; ITIL 4; Lean; Six Sigma; APQC; service management best practices</t>
        </is>
      </c>
      <c r="I186" s="3" t="inlineStr">
        <is>
          <t>Policy/SOP; owner/RACI; system report; dashboard; contracts; test records; incident history; interview evidence related to recovery sequencing for processes, systems, teams, sites and customers.</t>
        </is>
      </c>
      <c r="J186" s="3" t="n">
        <v>5</v>
      </c>
      <c r="K186" s="85">
        <f>_DATA_Assessment_Model!H186</f>
        <v/>
      </c>
      <c r="L186" s="4">
        <f>_DATA_Assessment_Model!I186</f>
        <v/>
      </c>
      <c r="M186" s="4">
        <f>_DATA_Assessment_Model!J186</f>
        <v/>
      </c>
      <c r="N186" s="4">
        <f>_DATA_Assessment_Model!K186</f>
        <v/>
      </c>
      <c r="O186" s="3">
        <f>_DATA_Assessment_Model!L186</f>
        <v/>
      </c>
      <c r="P186" s="3" t="inlineStr">
        <is>
          <t>Does not exist; no owner, no documentation, no practice.</t>
        </is>
      </c>
      <c r="Q186" s="3" t="inlineStr">
        <is>
          <t>Ad hoc; depends entirely on specific individuals.</t>
        </is>
      </c>
      <c r="R186" s="3" t="inlineStr">
        <is>
          <t>Partially documented or implemented; coverage inconsistent; never tested under stress.</t>
        </is>
      </c>
      <c r="S186" s="3" t="inlineStr">
        <is>
          <t>Documented, owned, executed consistently; basic evidence and metrics exist.</t>
        </is>
      </c>
      <c r="T186" s="3" t="inlineStr">
        <is>
          <t>Measured and periodically tested/audited; integrated with adjacent processes.</t>
        </is>
      </c>
      <c r="U186" s="3" t="inlineStr">
        <is>
          <t>Optimized and automated where practical; stress-tested; benchmarked externally.</t>
        </is>
      </c>
      <c r="V186" s="3" t="inlineStr">
        <is>
          <t>Delivery disruption; Customer impact; Workforce disruption</t>
        </is>
      </c>
      <c r="W186" s="3" t="n"/>
      <c r="X186" s="3" t="n"/>
      <c r="Y186" s="3" t="inlineStr">
        <is>
          <t>Use the recommended action generated by the model; validate with domain owner during real assessment.</t>
        </is>
      </c>
      <c r="Z186" s="7" t="n">
        <v>4</v>
      </c>
      <c r="AA186" s="7" t="n">
        <v>5</v>
      </c>
      <c r="AB186" s="7" t="n">
        <v>5</v>
      </c>
      <c r="AK186" s="46" t="n"/>
      <c r="AL186" s="46" t="n"/>
      <c r="AM186" s="247">
        <f>_DATA_Assessment_Model!AJ186</f>
        <v/>
      </c>
      <c r="AN186" s="247">
        <f>_DATA_Assessment_Model!AK186</f>
        <v/>
      </c>
      <c r="AO186" s="247">
        <f>_DATA_Assessment_Model!AL186</f>
        <v/>
      </c>
      <c r="AP186" s="247">
        <f>_DATA_Assessment_Model!AM186</f>
        <v/>
      </c>
      <c r="AQ186" s="247">
        <f>_DATA_Assessment_Model!AN186</f>
        <v/>
      </c>
      <c r="AR186" s="247">
        <f>_DATA_Assessment_Model!AO186</f>
        <v/>
      </c>
      <c r="AS186" s="247">
        <f>_DATA_Assessment_Model!AP186</f>
        <v/>
      </c>
      <c r="AT186" s="247">
        <f>_DATA_Assessment_Model!AQ186</f>
        <v/>
      </c>
      <c r="AU186" s="247">
        <f>_DATA_Assessment_Model!AR186</f>
        <v/>
      </c>
      <c r="AV186" s="5">
        <f>_DATA_Assessment_Model!AS186</f>
        <v/>
      </c>
      <c r="AW186" s="5">
        <f>_DATA_Assessment_Model!AT186</f>
        <v/>
      </c>
      <c r="AY186">
        <f>_DATA_Assessment_Model!AV186</f>
        <v/>
      </c>
    </row>
    <row r="187" ht="69" customHeight="1" s="209">
      <c r="A187" t="inlineStr">
        <is>
          <t>Delivery Ops</t>
        </is>
      </c>
      <c r="B187" t="inlineStr">
        <is>
          <t>Delivery Ops</t>
        </is>
      </c>
      <c r="C187" t="n">
        <v>16</v>
      </c>
      <c r="D187" s="3" t="inlineStr">
        <is>
          <t>DELI-012</t>
        </is>
      </c>
      <c r="E187" s="3" t="inlineStr">
        <is>
          <t>Capacity and continuity</t>
        </is>
      </c>
      <c r="F187" s="3" t="inlineStr">
        <is>
          <t>How mature is the organization in managing delivery tabletop exercises with absent people, unavailable systems or supplier failure, including ownership, evidence, metrics, fallback procedures and crisis stress testing?</t>
        </is>
      </c>
      <c r="G187" s="3" t="inlineStr">
        <is>
          <t>This topic affects exposure to Delivery disruption; Customer impact; Workforce disruption. It helps identify how disruption may impact operations, people, revenue, systems, legal exposure or recovery time.</t>
        </is>
      </c>
      <c r="H187" s="3" t="inlineStr">
        <is>
          <t>ISO 9001; ISO 22301; ITIL 4; Lean; Six Sigma; APQC; service management best practices</t>
        </is>
      </c>
      <c r="I187" s="3" t="inlineStr">
        <is>
          <t>Policy/SOP; owner/RACI; system report; dashboard; contracts; test records; incident history; interview evidence related to delivery tabletop exercises with absent people, unavailable systems or supplier failure.</t>
        </is>
      </c>
      <c r="J187" s="3" t="n">
        <v>5</v>
      </c>
      <c r="K187" s="85">
        <f>_DATA_Assessment_Model!H187</f>
        <v/>
      </c>
      <c r="L187" s="4">
        <f>_DATA_Assessment_Model!I187</f>
        <v/>
      </c>
      <c r="M187" s="4">
        <f>_DATA_Assessment_Model!J187</f>
        <v/>
      </c>
      <c r="N187" s="4">
        <f>_DATA_Assessment_Model!K187</f>
        <v/>
      </c>
      <c r="O187" s="3">
        <f>_DATA_Assessment_Model!L187</f>
        <v/>
      </c>
      <c r="P187" s="3" t="inlineStr">
        <is>
          <t>Never done; no records exist.</t>
        </is>
      </c>
      <c r="Q187" s="3" t="inlineStr">
        <is>
          <t>Done once long ago or only after an incident; no schedule, no records.</t>
        </is>
      </c>
      <c r="R187" s="3" t="inlineStr">
        <is>
          <t>Done irregularly; results are not documented and findings are not tracked.</t>
        </is>
      </c>
      <c r="S187" s="3" t="inlineStr">
        <is>
          <t>Done on a defined schedule (at least annually); results documented, owner assigned.</t>
        </is>
      </c>
      <c r="T187" s="3" t="inlineStr">
        <is>
          <t>Done quarterly/semi-annually; findings tracked to closure, effectiveness measured against targets.</t>
        </is>
      </c>
      <c r="U187" s="3" t="inlineStr">
        <is>
          <t>Continuous or automated where possible; results drive improvements and are validated externally (audit/customer).</t>
        </is>
      </c>
      <c r="V187" s="3" t="inlineStr">
        <is>
          <t>Delivery disruption; Customer impact; Workforce disruption</t>
        </is>
      </c>
      <c r="W187" s="3" t="n"/>
      <c r="X187" s="3" t="n"/>
      <c r="Y187" s="3" t="inlineStr">
        <is>
          <t>Use the recommended action generated by the model; validate with domain owner during real assessment.</t>
        </is>
      </c>
      <c r="Z187" s="7" t="n">
        <v>4</v>
      </c>
      <c r="AA187" s="7" t="n">
        <v>5</v>
      </c>
      <c r="AB187" s="7" t="n">
        <v>5</v>
      </c>
      <c r="AK187" s="46" t="n"/>
      <c r="AL187" s="46" t="n"/>
      <c r="AM187" s="247">
        <f>_DATA_Assessment_Model!AJ187</f>
        <v/>
      </c>
      <c r="AN187" s="247">
        <f>_DATA_Assessment_Model!AK187</f>
        <v/>
      </c>
      <c r="AO187" s="247">
        <f>_DATA_Assessment_Model!AL187</f>
        <v/>
      </c>
      <c r="AP187" s="247">
        <f>_DATA_Assessment_Model!AM187</f>
        <v/>
      </c>
      <c r="AQ187" s="247">
        <f>_DATA_Assessment_Model!AN187</f>
        <v/>
      </c>
      <c r="AR187" s="247">
        <f>_DATA_Assessment_Model!AO187</f>
        <v/>
      </c>
      <c r="AS187" s="247">
        <f>_DATA_Assessment_Model!AP187</f>
        <v/>
      </c>
      <c r="AT187" s="247">
        <f>_DATA_Assessment_Model!AQ187</f>
        <v/>
      </c>
      <c r="AU187" s="247">
        <f>_DATA_Assessment_Model!AR187</f>
        <v/>
      </c>
      <c r="AV187" s="5">
        <f>_DATA_Assessment_Model!AS187</f>
        <v/>
      </c>
      <c r="AW187" s="5">
        <f>_DATA_Assessment_Model!AT187</f>
        <v/>
      </c>
      <c r="AY187">
        <f>_DATA_Assessment_Model!AV187</f>
        <v/>
      </c>
    </row>
    <row r="188" ht="69" customHeight="1" s="209">
      <c r="A188" t="inlineStr">
        <is>
          <t>Delivery Ops</t>
        </is>
      </c>
      <c r="B188" t="inlineStr">
        <is>
          <t>Delivery Ops</t>
        </is>
      </c>
      <c r="C188" t="n">
        <v>17</v>
      </c>
      <c r="D188" s="3" t="inlineStr">
        <is>
          <t>DELI-013</t>
        </is>
      </c>
      <c r="E188" s="3" t="inlineStr">
        <is>
          <t>Process control</t>
        </is>
      </c>
      <c r="F188" s="3" t="inlineStr">
        <is>
          <t>How mature is the organization in managing SOP documentation for critical delivery activities, including ownership, evidence, metrics, fallback procedures and crisis stress testing?</t>
        </is>
      </c>
      <c r="G188" s="3" t="inlineStr">
        <is>
          <t>This topic affects exposure to Delivery disruption; Customer impact; Workforce disruption. It helps identify how disruption may impact operations, people, revenue, systems, legal exposure or recovery time.</t>
        </is>
      </c>
      <c r="H188" s="3" t="inlineStr">
        <is>
          <t>ISO 9001; ISO 22301; ITIL 4; Lean; Six Sigma; APQC; service management best practices</t>
        </is>
      </c>
      <c r="I188" s="3" t="inlineStr">
        <is>
          <t>Policy/SOP; owner/RACI; system report; dashboard; contracts; test records; incident history; interview evidence related to SOP documentation for critical delivery activities.</t>
        </is>
      </c>
      <c r="J188" s="3" t="n">
        <v>5</v>
      </c>
      <c r="K188" s="85">
        <f>_DATA_Assessment_Model!H188</f>
        <v/>
      </c>
      <c r="L188" s="4">
        <f>_DATA_Assessment_Model!I188</f>
        <v/>
      </c>
      <c r="M188" s="4">
        <f>_DATA_Assessment_Model!J188</f>
        <v/>
      </c>
      <c r="N188" s="4">
        <f>_DATA_Assessment_Model!K188</f>
        <v/>
      </c>
      <c r="O188" s="3">
        <f>_DATA_Assessment_Model!L188</f>
        <v/>
      </c>
      <c r="P188" s="3" t="inlineStr">
        <is>
          <t>Does not exist; no owner, no documentation, no practice.</t>
        </is>
      </c>
      <c r="Q188" s="3" t="inlineStr">
        <is>
          <t>Ad hoc; depends entirely on specific individuals.</t>
        </is>
      </c>
      <c r="R188" s="3" t="inlineStr">
        <is>
          <t>Partially documented or implemented; coverage inconsistent; never tested under stress.</t>
        </is>
      </c>
      <c r="S188" s="3" t="inlineStr">
        <is>
          <t>Documented, owned, executed consistently; basic evidence and metrics exist.</t>
        </is>
      </c>
      <c r="T188" s="3" t="inlineStr">
        <is>
          <t>Measured and periodically tested/audited; integrated with adjacent processes.</t>
        </is>
      </c>
      <c r="U188" s="3" t="inlineStr">
        <is>
          <t>Optimized and automated where practical; stress-tested; benchmarked externally.</t>
        </is>
      </c>
      <c r="V188" s="3" t="inlineStr">
        <is>
          <t>Delivery disruption; Customer impact; Workforce disruption</t>
        </is>
      </c>
      <c r="W188" s="3" t="n"/>
      <c r="X188" s="3" t="n"/>
      <c r="Y188" s="3" t="inlineStr">
        <is>
          <t>Use the recommended action generated by the model; validate with domain owner during real assessment.</t>
        </is>
      </c>
      <c r="Z188" s="7" t="n">
        <v>4</v>
      </c>
      <c r="AA188" s="7" t="n">
        <v>5</v>
      </c>
      <c r="AB188" s="7" t="n">
        <v>5</v>
      </c>
      <c r="AK188" s="46" t="n"/>
      <c r="AL188" s="46" t="n"/>
      <c r="AM188" s="247">
        <f>_DATA_Assessment_Model!AJ188</f>
        <v/>
      </c>
      <c r="AN188" s="247">
        <f>_DATA_Assessment_Model!AK188</f>
        <v/>
      </c>
      <c r="AO188" s="247">
        <f>_DATA_Assessment_Model!AL188</f>
        <v/>
      </c>
      <c r="AP188" s="247">
        <f>_DATA_Assessment_Model!AM188</f>
        <v/>
      </c>
      <c r="AQ188" s="247">
        <f>_DATA_Assessment_Model!AN188</f>
        <v/>
      </c>
      <c r="AR188" s="247">
        <f>_DATA_Assessment_Model!AO188</f>
        <v/>
      </c>
      <c r="AS188" s="247">
        <f>_DATA_Assessment_Model!AP188</f>
        <v/>
      </c>
      <c r="AT188" s="247">
        <f>_DATA_Assessment_Model!AQ188</f>
        <v/>
      </c>
      <c r="AU188" s="247">
        <f>_DATA_Assessment_Model!AR188</f>
        <v/>
      </c>
      <c r="AV188" s="5">
        <f>_DATA_Assessment_Model!AS188</f>
        <v/>
      </c>
      <c r="AW188" s="5">
        <f>_DATA_Assessment_Model!AT188</f>
        <v/>
      </c>
      <c r="AY188">
        <f>_DATA_Assessment_Model!AV188</f>
        <v/>
      </c>
    </row>
    <row r="189" ht="96.59999999999999" customHeight="1" s="209">
      <c r="A189" t="inlineStr">
        <is>
          <t>Delivery Ops</t>
        </is>
      </c>
      <c r="B189" t="inlineStr">
        <is>
          <t>Delivery Ops</t>
        </is>
      </c>
      <c r="C189" t="n">
        <v>18</v>
      </c>
      <c r="D189" s="3" t="inlineStr">
        <is>
          <t>DELI-014</t>
        </is>
      </c>
      <c r="E189" s="3" t="inlineStr">
        <is>
          <t>Process control</t>
        </is>
      </c>
      <c r="F189" s="3" t="inlineStr">
        <is>
          <t>How mature is the organization in managing handover procedures between shifts, teams, vendors and customers, including ownership, evidence, metrics, fallback procedures and crisis stress testing?</t>
        </is>
      </c>
      <c r="G189" s="3" t="inlineStr">
        <is>
          <t>This topic affects exposure to Delivery disruption; Customer impact; Workforce disruption. It helps identify how disruption may impact operations, people, revenue, systems, legal exposure or recovery time.</t>
        </is>
      </c>
      <c r="H189" s="3" t="inlineStr">
        <is>
          <t>ISO 9001; ISO 22301; ITIL 4; Lean; Six Sigma; APQC; service management best practices</t>
        </is>
      </c>
      <c r="I189" s="3" t="inlineStr">
        <is>
          <t>Policy/SOP; owner/RACI; system report; dashboard; contracts; test records; incident history; interview evidence related to handover procedures between shifts, teams, vendors and customers.</t>
        </is>
      </c>
      <c r="J189" s="3" t="n">
        <v>4</v>
      </c>
      <c r="K189" s="85">
        <f>_DATA_Assessment_Model!H189</f>
        <v/>
      </c>
      <c r="L189" s="4">
        <f>_DATA_Assessment_Model!I189</f>
        <v/>
      </c>
      <c r="M189" s="4">
        <f>_DATA_Assessment_Model!J189</f>
        <v/>
      </c>
      <c r="N189" s="4">
        <f>_DATA_Assessment_Model!K189</f>
        <v/>
      </c>
      <c r="O189" s="3">
        <f>_DATA_Assessment_Model!L189</f>
        <v/>
      </c>
      <c r="P189" s="3" t="inlineStr">
        <is>
          <t>No reliable evidence that handover procedures between shifts, teams, vendors and customers is defined, owned or managed.</t>
        </is>
      </c>
      <c r="Q189" s="3" t="inlineStr">
        <is>
          <t>Handover procedures between shifts, teams, vendors and customers is handled informally and depends on individual knowledge or heroic effort.</t>
        </is>
      </c>
      <c r="R189" s="3" t="inlineStr">
        <is>
          <t>Handover procedures between shifts, teams, vendors and customers is partially documented or implemented, but coverage is inconsistent and not crisis-tested.</t>
        </is>
      </c>
      <c r="S189" s="3" t="inlineStr">
        <is>
          <t>Handover procedures between shifts, teams, vendors and customers is documented, owned, used in normal operations and supported by basic evidence or metrics.</t>
        </is>
      </c>
      <c r="T189" s="3" t="inlineStr">
        <is>
          <t>Handover procedures between shifts, teams, vendors and customers is measured, periodically reviewed, integrated with related processes and tested against relevant disruption scenarios.</t>
        </is>
      </c>
      <c r="U189" s="3" t="inlineStr">
        <is>
          <t>Handover procedures between shifts, teams, vendors and customers is optimized, continuously improved, automated where practical and demonstrably supports crisis resilience.</t>
        </is>
      </c>
      <c r="V189" s="3" t="inlineStr">
        <is>
          <t>Delivery disruption; Customer impact; Workforce disruption</t>
        </is>
      </c>
      <c r="W189" s="3" t="n"/>
      <c r="X189" s="3" t="n"/>
      <c r="Y189" s="3" t="inlineStr">
        <is>
          <t>Use the recommended action generated by the model; validate with domain owner during real assessment.</t>
        </is>
      </c>
      <c r="Z189" s="7" t="n">
        <v>4</v>
      </c>
      <c r="AA189" s="7" t="n">
        <v>5</v>
      </c>
      <c r="AB189" s="7" t="n">
        <v>5</v>
      </c>
      <c r="AK189" s="46" t="n"/>
      <c r="AL189" s="46" t="n"/>
      <c r="AM189" s="247">
        <f>_DATA_Assessment_Model!AJ189</f>
        <v/>
      </c>
      <c r="AN189" s="247">
        <f>_DATA_Assessment_Model!AK189</f>
        <v/>
      </c>
      <c r="AO189" s="247">
        <f>_DATA_Assessment_Model!AL189</f>
        <v/>
      </c>
      <c r="AP189" s="247">
        <f>_DATA_Assessment_Model!AM189</f>
        <v/>
      </c>
      <c r="AQ189" s="247">
        <f>_DATA_Assessment_Model!AN189</f>
        <v/>
      </c>
      <c r="AR189" s="247">
        <f>_DATA_Assessment_Model!AO189</f>
        <v/>
      </c>
      <c r="AS189" s="247">
        <f>_DATA_Assessment_Model!AP189</f>
        <v/>
      </c>
      <c r="AT189" s="247">
        <f>_DATA_Assessment_Model!AQ189</f>
        <v/>
      </c>
      <c r="AU189" s="247">
        <f>_DATA_Assessment_Model!AR189</f>
        <v/>
      </c>
      <c r="AV189" s="5">
        <f>_DATA_Assessment_Model!AS189</f>
        <v/>
      </c>
      <c r="AW189" s="5">
        <f>_DATA_Assessment_Model!AT189</f>
        <v/>
      </c>
      <c r="AY189">
        <f>_DATA_Assessment_Model!AV189</f>
        <v/>
      </c>
    </row>
    <row r="190" ht="69" customHeight="1" s="209">
      <c r="A190" t="inlineStr">
        <is>
          <t>Delivery Ops</t>
        </is>
      </c>
      <c r="B190" t="inlineStr">
        <is>
          <t>Delivery Ops</t>
        </is>
      </c>
      <c r="C190" t="n">
        <v>19</v>
      </c>
      <c r="D190" s="3" t="inlineStr">
        <is>
          <t>DELI-015</t>
        </is>
      </c>
      <c r="E190" s="3" t="inlineStr">
        <is>
          <t>Process control</t>
        </is>
      </c>
      <c r="F190" s="3" t="inlineStr">
        <is>
          <t>How mature is the organization in managing quality gates across delivery, production, release or service lifecycle, including ownership, evidence, metrics, fallback procedures and crisis stress testing?</t>
        </is>
      </c>
      <c r="G190" s="3" t="inlineStr">
        <is>
          <t>This topic affects exposure to Delivery disruption; Customer impact; Workforce disruption. It helps identify how disruption may impact operations, people, revenue, systems, legal exposure or recovery time.</t>
        </is>
      </c>
      <c r="H190" s="3" t="inlineStr">
        <is>
          <t>ISO 9001; ISO 22301; ITIL 4; Lean; Six Sigma; APQC; service management best practices</t>
        </is>
      </c>
      <c r="I190" s="3" t="inlineStr">
        <is>
          <t>Policy/SOP; owner/RACI; system report; dashboard; contracts; test records; incident history; interview evidence related to quality gates across delivery, production, release or service lifecycle.</t>
        </is>
      </c>
      <c r="J190" s="3" t="n">
        <v>5</v>
      </c>
      <c r="K190" s="85">
        <f>_DATA_Assessment_Model!H190</f>
        <v/>
      </c>
      <c r="L190" s="4">
        <f>_DATA_Assessment_Model!I190</f>
        <v/>
      </c>
      <c r="M190" s="4">
        <f>_DATA_Assessment_Model!J190</f>
        <v/>
      </c>
      <c r="N190" s="4">
        <f>_DATA_Assessment_Model!K190</f>
        <v/>
      </c>
      <c r="O190" s="3">
        <f>_DATA_Assessment_Model!L190</f>
        <v/>
      </c>
      <c r="P190" s="3" t="inlineStr">
        <is>
          <t>Does not exist; no owner, no documentation, no practice.</t>
        </is>
      </c>
      <c r="Q190" s="3" t="inlineStr">
        <is>
          <t>Ad hoc; depends entirely on specific individuals.</t>
        </is>
      </c>
      <c r="R190" s="3" t="inlineStr">
        <is>
          <t>Partially documented or implemented; coverage inconsistent; never tested under stress.</t>
        </is>
      </c>
      <c r="S190" s="3" t="inlineStr">
        <is>
          <t>Documented, owned, executed consistently; basic evidence and metrics exist.</t>
        </is>
      </c>
      <c r="T190" s="3" t="inlineStr">
        <is>
          <t>Measured and periodically tested/audited; integrated with adjacent processes.</t>
        </is>
      </c>
      <c r="U190" s="3" t="inlineStr">
        <is>
          <t>Optimized and automated where practical; stress-tested; benchmarked externally.</t>
        </is>
      </c>
      <c r="V190" s="3" t="inlineStr">
        <is>
          <t>Delivery disruption; Customer impact; Workforce disruption</t>
        </is>
      </c>
      <c r="W190" s="3" t="n"/>
      <c r="X190" s="3" t="n"/>
      <c r="Y190" s="3" t="inlineStr">
        <is>
          <t>Use the recommended action generated by the model; validate with domain owner during real assessment.</t>
        </is>
      </c>
      <c r="Z190" s="7" t="n">
        <v>4</v>
      </c>
      <c r="AA190" s="7" t="n">
        <v>5</v>
      </c>
      <c r="AB190" s="7" t="n">
        <v>5</v>
      </c>
      <c r="AK190" s="46" t="n"/>
      <c r="AL190" s="46" t="n"/>
      <c r="AM190" s="247">
        <f>_DATA_Assessment_Model!AJ190</f>
        <v/>
      </c>
      <c r="AN190" s="247">
        <f>_DATA_Assessment_Model!AK190</f>
        <v/>
      </c>
      <c r="AO190" s="247">
        <f>_DATA_Assessment_Model!AL190</f>
        <v/>
      </c>
      <c r="AP190" s="247">
        <f>_DATA_Assessment_Model!AM190</f>
        <v/>
      </c>
      <c r="AQ190" s="247">
        <f>_DATA_Assessment_Model!AN190</f>
        <v/>
      </c>
      <c r="AR190" s="247">
        <f>_DATA_Assessment_Model!AO190</f>
        <v/>
      </c>
      <c r="AS190" s="247">
        <f>_DATA_Assessment_Model!AP190</f>
        <v/>
      </c>
      <c r="AT190" s="247">
        <f>_DATA_Assessment_Model!AQ190</f>
        <v/>
      </c>
      <c r="AU190" s="247">
        <f>_DATA_Assessment_Model!AR190</f>
        <v/>
      </c>
      <c r="AV190" s="5">
        <f>_DATA_Assessment_Model!AS190</f>
        <v/>
      </c>
      <c r="AW190" s="5">
        <f>_DATA_Assessment_Model!AT190</f>
        <v/>
      </c>
      <c r="AY190">
        <f>_DATA_Assessment_Model!AV190</f>
        <v/>
      </c>
    </row>
    <row r="191" ht="96.59999999999999" customHeight="1" s="209">
      <c r="A191" t="inlineStr">
        <is>
          <t>Delivery Ops</t>
        </is>
      </c>
      <c r="B191" t="inlineStr">
        <is>
          <t>Delivery Ops</t>
        </is>
      </c>
      <c r="C191" t="n">
        <v>20</v>
      </c>
      <c r="D191" s="3" t="inlineStr">
        <is>
          <t>DELI-016</t>
        </is>
      </c>
      <c r="E191" s="3" t="inlineStr">
        <is>
          <t>Process control</t>
        </is>
      </c>
      <c r="F191" s="3" t="inlineStr">
        <is>
          <t>How mature is the organization in managing change control with risk, customer impact, rollback and communication, including ownership, evidence, metrics, fallback procedures and crisis stress testing?</t>
        </is>
      </c>
      <c r="G191" s="3" t="inlineStr">
        <is>
          <t>This topic affects exposure to Delivery disruption; Customer impact; Workforce disruption. It helps identify how disruption may impact operations, people, revenue, systems, legal exposure or recovery time.</t>
        </is>
      </c>
      <c r="H191" s="3" t="inlineStr">
        <is>
          <t>ISO 9001; ISO 22301; ITIL 4; Lean; Six Sigma; APQC; service management best practices</t>
        </is>
      </c>
      <c r="I191" s="3" t="inlineStr">
        <is>
          <t>Policy/SOP; owner/RACI; system report; dashboard; contracts; test records; incident history; interview evidence related to change control with risk, customer impact, rollback and communication.</t>
        </is>
      </c>
      <c r="J191" s="3" t="n">
        <v>4</v>
      </c>
      <c r="K191" s="85">
        <f>_DATA_Assessment_Model!H191</f>
        <v/>
      </c>
      <c r="L191" s="4">
        <f>_DATA_Assessment_Model!I191</f>
        <v/>
      </c>
      <c r="M191" s="4">
        <f>_DATA_Assessment_Model!J191</f>
        <v/>
      </c>
      <c r="N191" s="4">
        <f>_DATA_Assessment_Model!K191</f>
        <v/>
      </c>
      <c r="O191" s="3">
        <f>_DATA_Assessment_Model!L191</f>
        <v/>
      </c>
      <c r="P191" s="3" t="inlineStr">
        <is>
          <t>No reliable evidence that change control with risk, customer impact, rollback and communication is defined, owned or managed.</t>
        </is>
      </c>
      <c r="Q191" s="3" t="inlineStr">
        <is>
          <t>Change control with risk, customer impact, rollback and communication is handled informally and depends on individual knowledge or heroic effort.</t>
        </is>
      </c>
      <c r="R191" s="3" t="inlineStr">
        <is>
          <t>Change control with risk, customer impact, rollback and communication is partially documented or implemented, but coverage is inconsistent and not crisis-tested.</t>
        </is>
      </c>
      <c r="S191" s="3" t="inlineStr">
        <is>
          <t>Change control with risk, customer impact, rollback and communication is documented, owned, used in normal operations and supported by basic evidence or metrics.</t>
        </is>
      </c>
      <c r="T191" s="3" t="inlineStr">
        <is>
          <t>Change control with risk, customer impact, rollback and communication is measured, periodically reviewed, integrated with related processes and tested against relevant disruption scenarios.</t>
        </is>
      </c>
      <c r="U191" s="3" t="inlineStr">
        <is>
          <t>Change control with risk, customer impact, rollback and communication is optimized, continuously improved, automated where practical and demonstrably supports crisis resilience.</t>
        </is>
      </c>
      <c r="V191" s="3" t="inlineStr">
        <is>
          <t>Delivery disruption; Customer impact; Workforce disruption</t>
        </is>
      </c>
      <c r="W191" s="3" t="n"/>
      <c r="X191" s="3" t="n"/>
      <c r="Y191" s="3" t="inlineStr">
        <is>
          <t>Use the recommended action generated by the model; validate with domain owner during real assessment.</t>
        </is>
      </c>
      <c r="Z191" s="7" t="n">
        <v>4</v>
      </c>
      <c r="AA191" s="7" t="n">
        <v>5</v>
      </c>
      <c r="AB191" s="7" t="n">
        <v>5</v>
      </c>
      <c r="AK191" s="46" t="n"/>
      <c r="AL191" s="46" t="n"/>
      <c r="AM191" s="247">
        <f>_DATA_Assessment_Model!AJ191</f>
        <v/>
      </c>
      <c r="AN191" s="247">
        <f>_DATA_Assessment_Model!AK191</f>
        <v/>
      </c>
      <c r="AO191" s="247">
        <f>_DATA_Assessment_Model!AL191</f>
        <v/>
      </c>
      <c r="AP191" s="247">
        <f>_DATA_Assessment_Model!AM191</f>
        <v/>
      </c>
      <c r="AQ191" s="247">
        <f>_DATA_Assessment_Model!AN191</f>
        <v/>
      </c>
      <c r="AR191" s="247">
        <f>_DATA_Assessment_Model!AO191</f>
        <v/>
      </c>
      <c r="AS191" s="247">
        <f>_DATA_Assessment_Model!AP191</f>
        <v/>
      </c>
      <c r="AT191" s="247">
        <f>_DATA_Assessment_Model!AQ191</f>
        <v/>
      </c>
      <c r="AU191" s="247">
        <f>_DATA_Assessment_Model!AR191</f>
        <v/>
      </c>
      <c r="AV191" s="5">
        <f>_DATA_Assessment_Model!AS191</f>
        <v/>
      </c>
      <c r="AW191" s="5">
        <f>_DATA_Assessment_Model!AT191</f>
        <v/>
      </c>
      <c r="AY191">
        <f>_DATA_Assessment_Model!AV191</f>
        <v/>
      </c>
    </row>
    <row r="192" ht="82.8" customHeight="1" s="209">
      <c r="A192" t="inlineStr">
        <is>
          <t>Delivery Ops</t>
        </is>
      </c>
      <c r="B192" t="inlineStr">
        <is>
          <t>Delivery Ops</t>
        </is>
      </c>
      <c r="C192" t="n">
        <v>21</v>
      </c>
      <c r="D192" s="3" t="inlineStr">
        <is>
          <t>DELI-017</t>
        </is>
      </c>
      <c r="E192" s="3" t="inlineStr">
        <is>
          <t>Process control</t>
        </is>
      </c>
      <c r="F192" s="3" t="inlineStr">
        <is>
          <t>How mature is the organization in managing manual workarounds if delivery systems are unavailable, including ownership, evidence, metrics, fallback procedures and crisis stress testing?</t>
        </is>
      </c>
      <c r="G192" s="3" t="inlineStr">
        <is>
          <t>This topic affects exposure to Delivery disruption; Customer impact; Workforce disruption. It helps identify how disruption may impact operations, people, revenue, systems, legal exposure or recovery time.</t>
        </is>
      </c>
      <c r="H192" s="3" t="inlineStr">
        <is>
          <t>ISO 9001; ISO 22301; ITIL 4; Lean; Six Sigma; APQC; service management best practices</t>
        </is>
      </c>
      <c r="I192" s="3" t="inlineStr">
        <is>
          <t>Policy/SOP; owner/RACI; system report; dashboard; contracts; test records; incident history; interview evidence related to manual workarounds if delivery systems are unavailable.</t>
        </is>
      </c>
      <c r="J192" s="3" t="n">
        <v>3</v>
      </c>
      <c r="K192" s="85">
        <f>_DATA_Assessment_Model!H192</f>
        <v/>
      </c>
      <c r="L192" s="4">
        <f>_DATA_Assessment_Model!I192</f>
        <v/>
      </c>
      <c r="M192" s="4">
        <f>_DATA_Assessment_Model!J192</f>
        <v/>
      </c>
      <c r="N192" s="4">
        <f>_DATA_Assessment_Model!K192</f>
        <v/>
      </c>
      <c r="O192" s="3">
        <f>_DATA_Assessment_Model!L192</f>
        <v/>
      </c>
      <c r="P192" s="3" t="inlineStr">
        <is>
          <t>No reliable evidence that manual workarounds if delivery systems are unavailable is defined, owned or managed.</t>
        </is>
      </c>
      <c r="Q192" s="3" t="inlineStr">
        <is>
          <t>Manual workarounds if delivery systems are unavailable is handled informally and depends on individual knowledge or heroic effort.</t>
        </is>
      </c>
      <c r="R192" s="3" t="inlineStr">
        <is>
          <t>Manual workarounds if delivery systems are unavailable is partially documented or implemented, but coverage is inconsistent and not crisis-tested.</t>
        </is>
      </c>
      <c r="S192" s="3" t="inlineStr">
        <is>
          <t>Manual workarounds if delivery systems are unavailable is documented, owned, used in normal operations and supported by basic evidence or metrics.</t>
        </is>
      </c>
      <c r="T192" s="3" t="inlineStr">
        <is>
          <t>Manual workarounds if delivery systems are unavailable is measured, periodically reviewed, integrated with related processes and tested against relevant disruption scenarios.</t>
        </is>
      </c>
      <c r="U192" s="3" t="inlineStr">
        <is>
          <t>Manual workarounds if delivery systems are unavailable is optimized, continuously improved, automated where practical and demonstrably supports crisis resilience.</t>
        </is>
      </c>
      <c r="V192" s="3" t="inlineStr">
        <is>
          <t>Delivery disruption; Customer impact; Workforce disruption</t>
        </is>
      </c>
      <c r="W192" s="3" t="n"/>
      <c r="X192" s="3" t="n"/>
      <c r="Y192" s="3" t="inlineStr">
        <is>
          <t>Use the recommended action generated by the model; validate with domain owner during real assessment.</t>
        </is>
      </c>
      <c r="Z192" s="7" t="n">
        <v>4</v>
      </c>
      <c r="AA192" s="7" t="n">
        <v>5</v>
      </c>
      <c r="AB192" s="7" t="n">
        <v>5</v>
      </c>
      <c r="AK192" s="46" t="n"/>
      <c r="AL192" s="46" t="n"/>
      <c r="AM192" s="247">
        <f>_DATA_Assessment_Model!AJ192</f>
        <v/>
      </c>
      <c r="AN192" s="247">
        <f>_DATA_Assessment_Model!AK192</f>
        <v/>
      </c>
      <c r="AO192" s="247">
        <f>_DATA_Assessment_Model!AL192</f>
        <v/>
      </c>
      <c r="AP192" s="247">
        <f>_DATA_Assessment_Model!AM192</f>
        <v/>
      </c>
      <c r="AQ192" s="247">
        <f>_DATA_Assessment_Model!AN192</f>
        <v/>
      </c>
      <c r="AR192" s="247">
        <f>_DATA_Assessment_Model!AO192</f>
        <v/>
      </c>
      <c r="AS192" s="247">
        <f>_DATA_Assessment_Model!AP192</f>
        <v/>
      </c>
      <c r="AT192" s="247">
        <f>_DATA_Assessment_Model!AQ192</f>
        <v/>
      </c>
      <c r="AU192" s="247">
        <f>_DATA_Assessment_Model!AR192</f>
        <v/>
      </c>
      <c r="AV192" s="5">
        <f>_DATA_Assessment_Model!AS192</f>
        <v/>
      </c>
      <c r="AW192" s="5">
        <f>_DATA_Assessment_Model!AT192</f>
        <v/>
      </c>
      <c r="AY192">
        <f>_DATA_Assessment_Model!AV192</f>
        <v/>
      </c>
    </row>
    <row r="193" ht="82.8" customHeight="1" s="209">
      <c r="A193" t="inlineStr">
        <is>
          <t>Delivery Ops</t>
        </is>
      </c>
      <c r="B193" t="inlineStr">
        <is>
          <t>Delivery Ops</t>
        </is>
      </c>
      <c r="C193" t="n">
        <v>22</v>
      </c>
      <c r="D193" s="3" t="inlineStr">
        <is>
          <t>DELI-018</t>
        </is>
      </c>
      <c r="E193" s="3" t="inlineStr">
        <is>
          <t>Process control</t>
        </is>
      </c>
      <c r="F193" s="3" t="inlineStr">
        <is>
          <t>How mature is the organization in managing root cause analysis for recurring delivery failures, including ownership, evidence, metrics, fallback procedures and crisis stress testing?</t>
        </is>
      </c>
      <c r="G193" s="3" t="inlineStr">
        <is>
          <t>This topic affects exposure to Delivery disruption; Customer impact; Workforce disruption. It helps identify how disruption may impact operations, people, revenue, systems, legal exposure or recovery time.</t>
        </is>
      </c>
      <c r="H193" s="3" t="inlineStr">
        <is>
          <t>ISO 9001; ISO 22301; ITIL 4; Lean; Six Sigma; APQC; service management best practices</t>
        </is>
      </c>
      <c r="I193" s="3" t="inlineStr">
        <is>
          <t>Policy/SOP; owner/RACI; system report; dashboard; contracts; test records; incident history; interview evidence related to root cause analysis for recurring delivery failures.</t>
        </is>
      </c>
      <c r="J193" s="3" t="n">
        <v>3</v>
      </c>
      <c r="K193" s="85">
        <f>_DATA_Assessment_Model!H193</f>
        <v/>
      </c>
      <c r="L193" s="4">
        <f>_DATA_Assessment_Model!I193</f>
        <v/>
      </c>
      <c r="M193" s="4">
        <f>_DATA_Assessment_Model!J193</f>
        <v/>
      </c>
      <c r="N193" s="4">
        <f>_DATA_Assessment_Model!K193</f>
        <v/>
      </c>
      <c r="O193" s="3">
        <f>_DATA_Assessment_Model!L193</f>
        <v/>
      </c>
      <c r="P193" s="3" t="inlineStr">
        <is>
          <t>No reliable evidence that root cause analysis for recurring delivery failures is defined, owned or managed.</t>
        </is>
      </c>
      <c r="Q193" s="3" t="inlineStr">
        <is>
          <t>Root cause analysis for recurring delivery failures is handled informally and depends on individual knowledge or heroic effort.</t>
        </is>
      </c>
      <c r="R193" s="3" t="inlineStr">
        <is>
          <t>Root cause analysis for recurring delivery failures is partially documented or implemented, but coverage is inconsistent and not crisis-tested.</t>
        </is>
      </c>
      <c r="S193" s="3" t="inlineStr">
        <is>
          <t>Root cause analysis for recurring delivery failures is documented, owned, used in normal operations and supported by basic evidence or metrics.</t>
        </is>
      </c>
      <c r="T193" s="3" t="inlineStr">
        <is>
          <t>Root cause analysis for recurring delivery failures is measured, periodically reviewed, integrated with related processes and tested against relevant disruption scenarios.</t>
        </is>
      </c>
      <c r="U193" s="3" t="inlineStr">
        <is>
          <t>Root cause analysis for recurring delivery failures is optimized, continuously improved, automated where practical and demonstrably supports crisis resilience.</t>
        </is>
      </c>
      <c r="V193" s="3" t="inlineStr">
        <is>
          <t>Delivery disruption; Customer impact; Workforce disruption</t>
        </is>
      </c>
      <c r="W193" s="3" t="n"/>
      <c r="X193" s="3" t="n"/>
      <c r="Y193" s="3" t="inlineStr">
        <is>
          <t>Use the recommended action generated by the model; validate with domain owner during real assessment.</t>
        </is>
      </c>
      <c r="Z193" s="7" t="n">
        <v>4</v>
      </c>
      <c r="AA193" s="7" t="n">
        <v>5</v>
      </c>
      <c r="AB193" s="7" t="n">
        <v>5</v>
      </c>
      <c r="AK193" s="46" t="n"/>
      <c r="AL193" s="46" t="n"/>
      <c r="AM193" s="247">
        <f>_DATA_Assessment_Model!AJ193</f>
        <v/>
      </c>
      <c r="AN193" s="247">
        <f>_DATA_Assessment_Model!AK193</f>
        <v/>
      </c>
      <c r="AO193" s="247">
        <f>_DATA_Assessment_Model!AL193</f>
        <v/>
      </c>
      <c r="AP193" s="247">
        <f>_DATA_Assessment_Model!AM193</f>
        <v/>
      </c>
      <c r="AQ193" s="247">
        <f>_DATA_Assessment_Model!AN193</f>
        <v/>
      </c>
      <c r="AR193" s="247">
        <f>_DATA_Assessment_Model!AO193</f>
        <v/>
      </c>
      <c r="AS193" s="247">
        <f>_DATA_Assessment_Model!AP193</f>
        <v/>
      </c>
      <c r="AT193" s="247">
        <f>_DATA_Assessment_Model!AQ193</f>
        <v/>
      </c>
      <c r="AU193" s="247">
        <f>_DATA_Assessment_Model!AR193</f>
        <v/>
      </c>
      <c r="AV193" s="5">
        <f>_DATA_Assessment_Model!AS193</f>
        <v/>
      </c>
      <c r="AW193" s="5">
        <f>_DATA_Assessment_Model!AT193</f>
        <v/>
      </c>
      <c r="AY193">
        <f>_DATA_Assessment_Model!AV193</f>
        <v/>
      </c>
    </row>
    <row r="194" ht="82.8" customHeight="1" s="209">
      <c r="A194" t="inlineStr">
        <is>
          <t>Delivery Ops</t>
        </is>
      </c>
      <c r="B194" t="inlineStr">
        <is>
          <t>Delivery Ops</t>
        </is>
      </c>
      <c r="C194" t="n">
        <v>23</v>
      </c>
      <c r="D194" s="3" t="inlineStr">
        <is>
          <t>DELI-019</t>
        </is>
      </c>
      <c r="E194" s="3" t="inlineStr">
        <is>
          <t>Operational visibility</t>
        </is>
      </c>
      <c r="F194" s="3" t="inlineStr">
        <is>
          <t>How mature is the organization in managing real-time visibility into orders, backlog, incidents, production, logistics and service performance, including ownership, evidence, metrics, fallback procedures and crisis stress testing?</t>
        </is>
      </c>
      <c r="G194" s="3" t="inlineStr">
        <is>
          <t>This topic affects exposure to Delivery disruption; Customer impact; Workforce disruption. It helps identify how disruption may impact operations, people, revenue, systems, legal exposure or recovery time.</t>
        </is>
      </c>
      <c r="H194" s="3" t="inlineStr">
        <is>
          <t>ISO 9001; ISO 22301; ITIL 4; Lean; Six Sigma; APQC; service management best practices</t>
        </is>
      </c>
      <c r="I194" s="3" t="inlineStr">
        <is>
          <t>Policy/SOP; owner/RACI; system report; dashboard; contracts; test records; incident history; interview evidence related to real-time visibility into orders, backlog, incidents, production, logistics and service performance.</t>
        </is>
      </c>
      <c r="J194" s="3" t="n">
        <v>5</v>
      </c>
      <c r="K194" s="85">
        <f>_DATA_Assessment_Model!H194</f>
        <v/>
      </c>
      <c r="L194" s="4">
        <f>_DATA_Assessment_Model!I194</f>
        <v/>
      </c>
      <c r="M194" s="4">
        <f>_DATA_Assessment_Model!J194</f>
        <v/>
      </c>
      <c r="N194" s="4">
        <f>_DATA_Assessment_Model!K194</f>
        <v/>
      </c>
      <c r="O194" s="3">
        <f>_DATA_Assessment_Model!L194</f>
        <v/>
      </c>
      <c r="P194" s="3" t="inlineStr">
        <is>
          <t>Nothing is monitored or measured.</t>
        </is>
      </c>
      <c r="Q194" s="3" t="inlineStr">
        <is>
          <t>Occasional manual checks by individuals.</t>
        </is>
      </c>
      <c r="R194" s="3" t="inlineStr">
        <is>
          <t>Some metrics exist but are not reviewed regularly and trigger no action.</t>
        </is>
      </c>
      <c r="S194" s="3" t="inlineStr">
        <is>
          <t>Defined metrics with an owner, reviewed on a set cadence.</t>
        </is>
      </c>
      <c r="T194" s="3" t="inlineStr">
        <is>
          <t>Thresholds and alerts in place; deviations trigger documented action; trends analyzed.</t>
        </is>
      </c>
      <c r="U194" s="3" t="inlineStr">
        <is>
          <t>Automated monitoring with leading indicators, integrated into management decisions.</t>
        </is>
      </c>
      <c r="V194" s="3" t="inlineStr">
        <is>
          <t>Delivery disruption; Customer impact; Workforce disruption</t>
        </is>
      </c>
      <c r="W194" s="3" t="n"/>
      <c r="X194" s="3" t="n"/>
      <c r="Y194" s="3" t="inlineStr">
        <is>
          <t>Use the recommended action generated by the model; validate with domain owner during real assessment.</t>
        </is>
      </c>
      <c r="Z194" s="7" t="n">
        <v>4</v>
      </c>
      <c r="AA194" s="7" t="n">
        <v>5</v>
      </c>
      <c r="AB194" s="7" t="n">
        <v>5</v>
      </c>
      <c r="AK194" s="46" t="n"/>
      <c r="AL194" s="46" t="n"/>
      <c r="AM194" s="247">
        <f>_DATA_Assessment_Model!AJ194</f>
        <v/>
      </c>
      <c r="AN194" s="247">
        <f>_DATA_Assessment_Model!AK194</f>
        <v/>
      </c>
      <c r="AO194" s="247">
        <f>_DATA_Assessment_Model!AL194</f>
        <v/>
      </c>
      <c r="AP194" s="247">
        <f>_DATA_Assessment_Model!AM194</f>
        <v/>
      </c>
      <c r="AQ194" s="247">
        <f>_DATA_Assessment_Model!AN194</f>
        <v/>
      </c>
      <c r="AR194" s="247">
        <f>_DATA_Assessment_Model!AO194</f>
        <v/>
      </c>
      <c r="AS194" s="247">
        <f>_DATA_Assessment_Model!AP194</f>
        <v/>
      </c>
      <c r="AT194" s="247">
        <f>_DATA_Assessment_Model!AQ194</f>
        <v/>
      </c>
      <c r="AU194" s="247">
        <f>_DATA_Assessment_Model!AR194</f>
        <v/>
      </c>
      <c r="AV194" s="5">
        <f>_DATA_Assessment_Model!AS194</f>
        <v/>
      </c>
      <c r="AW194" s="5">
        <f>_DATA_Assessment_Model!AT194</f>
        <v/>
      </c>
      <c r="AY194">
        <f>_DATA_Assessment_Model!AV194</f>
        <v/>
      </c>
    </row>
    <row r="195" ht="82.8" customHeight="1" s="209">
      <c r="A195" t="inlineStr">
        <is>
          <t>Delivery Ops</t>
        </is>
      </c>
      <c r="B195" t="inlineStr">
        <is>
          <t>Delivery Ops</t>
        </is>
      </c>
      <c r="C195" t="n">
        <v>24</v>
      </c>
      <c r="D195" s="3" t="inlineStr">
        <is>
          <t>DELI-020</t>
        </is>
      </c>
      <c r="E195" s="3" t="inlineStr">
        <is>
          <t>Operational visibility</t>
        </is>
      </c>
      <c r="F195" s="3" t="inlineStr">
        <is>
          <t>How mature is the organization in managing operational KPIs for delivery quality, timeliness, throughput, cost, incidents and customer impact, including ownership, evidence, metrics, fallback procedures and crisis stress testing?</t>
        </is>
      </c>
      <c r="G195" s="3" t="inlineStr">
        <is>
          <t>This topic affects exposure to Delivery disruption; Customer impact; Workforce disruption. It helps identify how disruption may impact operations, people, revenue, systems, legal exposure or recovery time.</t>
        </is>
      </c>
      <c r="H195" s="3" t="inlineStr">
        <is>
          <t>ISO 9001; ISO 22301; ITIL 4; Lean; Six Sigma; APQC; service management best practices</t>
        </is>
      </c>
      <c r="I195" s="3" t="inlineStr">
        <is>
          <t>Policy/SOP; owner/RACI; system report; dashboard; contracts; test records; incident history; interview evidence related to operational KPIs for delivery quality, timeliness, throughput, cost, incidents and customer impact.</t>
        </is>
      </c>
      <c r="J195" s="3" t="n">
        <v>5</v>
      </c>
      <c r="K195" s="85">
        <f>_DATA_Assessment_Model!H195</f>
        <v/>
      </c>
      <c r="L195" s="4">
        <f>_DATA_Assessment_Model!I195</f>
        <v/>
      </c>
      <c r="M195" s="4">
        <f>_DATA_Assessment_Model!J195</f>
        <v/>
      </c>
      <c r="N195" s="4">
        <f>_DATA_Assessment_Model!K195</f>
        <v/>
      </c>
      <c r="O195" s="3">
        <f>_DATA_Assessment_Model!L195</f>
        <v/>
      </c>
      <c r="P195" s="3" t="inlineStr">
        <is>
          <t>Nothing is monitored or measured.</t>
        </is>
      </c>
      <c r="Q195" s="3" t="inlineStr">
        <is>
          <t>Occasional manual checks by individuals.</t>
        </is>
      </c>
      <c r="R195" s="3" t="inlineStr">
        <is>
          <t>Some metrics exist but are not reviewed regularly and trigger no action.</t>
        </is>
      </c>
      <c r="S195" s="3" t="inlineStr">
        <is>
          <t>Defined metrics with an owner, reviewed on a set cadence.</t>
        </is>
      </c>
      <c r="T195" s="3" t="inlineStr">
        <is>
          <t>Thresholds and alerts in place; deviations trigger documented action; trends analyzed.</t>
        </is>
      </c>
      <c r="U195" s="3" t="inlineStr">
        <is>
          <t>Automated monitoring with leading indicators, integrated into management decisions.</t>
        </is>
      </c>
      <c r="V195" s="3" t="inlineStr">
        <is>
          <t>Delivery disruption; Customer impact; Workforce disruption</t>
        </is>
      </c>
      <c r="W195" s="3" t="n"/>
      <c r="X195" s="3" t="n"/>
      <c r="Y195" s="3" t="inlineStr">
        <is>
          <t>Use the recommended action generated by the model; validate with domain owner during real assessment.</t>
        </is>
      </c>
      <c r="Z195" s="7" t="n">
        <v>4</v>
      </c>
      <c r="AA195" s="7" t="n">
        <v>5</v>
      </c>
      <c r="AB195" s="7" t="n">
        <v>5</v>
      </c>
      <c r="AK195" s="46" t="n"/>
      <c r="AL195" s="46" t="n"/>
      <c r="AM195" s="247">
        <f>_DATA_Assessment_Model!AJ195</f>
        <v/>
      </c>
      <c r="AN195" s="247">
        <f>_DATA_Assessment_Model!AK195</f>
        <v/>
      </c>
      <c r="AO195" s="247">
        <f>_DATA_Assessment_Model!AL195</f>
        <v/>
      </c>
      <c r="AP195" s="247">
        <f>_DATA_Assessment_Model!AM195</f>
        <v/>
      </c>
      <c r="AQ195" s="247">
        <f>_DATA_Assessment_Model!AN195</f>
        <v/>
      </c>
      <c r="AR195" s="247">
        <f>_DATA_Assessment_Model!AO195</f>
        <v/>
      </c>
      <c r="AS195" s="247">
        <f>_DATA_Assessment_Model!AP195</f>
        <v/>
      </c>
      <c r="AT195" s="247">
        <f>_DATA_Assessment_Model!AQ195</f>
        <v/>
      </c>
      <c r="AU195" s="247">
        <f>_DATA_Assessment_Model!AR195</f>
        <v/>
      </c>
      <c r="AV195" s="5">
        <f>_DATA_Assessment_Model!AS195</f>
        <v/>
      </c>
      <c r="AW195" s="5">
        <f>_DATA_Assessment_Model!AT195</f>
        <v/>
      </c>
      <c r="AY195">
        <f>_DATA_Assessment_Model!AV195</f>
        <v/>
      </c>
    </row>
    <row r="196" ht="96.59999999999999" customHeight="1" s="209">
      <c r="A196" t="inlineStr">
        <is>
          <t>Delivery Ops</t>
        </is>
      </c>
      <c r="B196" t="inlineStr">
        <is>
          <t>Delivery Ops</t>
        </is>
      </c>
      <c r="C196" t="n">
        <v>25</v>
      </c>
      <c r="D196" s="3" t="inlineStr">
        <is>
          <t>DELI-021</t>
        </is>
      </c>
      <c r="E196" s="3" t="inlineStr">
        <is>
          <t>Operational visibility</t>
        </is>
      </c>
      <c r="F196" s="3" t="inlineStr">
        <is>
          <t>How mature is the organization in managing backlog aging analysis linked to customer risk, revenue risk and operational constraints, including ownership, evidence, metrics, fallback procedures and crisis stress testing?</t>
        </is>
      </c>
      <c r="G196" s="3" t="inlineStr">
        <is>
          <t>This topic affects exposure to Delivery disruption; Customer impact; Workforce disruption. It helps identify how disruption may impact operations, people, revenue, systems, legal exposure or recovery time.</t>
        </is>
      </c>
      <c r="H196" s="3" t="inlineStr">
        <is>
          <t>ISO 9001; ISO 22301; ITIL 4; Lean; Six Sigma; APQC; service management best practices</t>
        </is>
      </c>
      <c r="I196" s="3" t="inlineStr">
        <is>
          <t>Policy/SOP; owner/RACI; system report; dashboard; contracts; test records; incident history; interview evidence related to backlog aging analysis linked to customer risk, revenue risk and operational constraints.</t>
        </is>
      </c>
      <c r="J196" s="3" t="n">
        <v>4</v>
      </c>
      <c r="K196" s="85">
        <f>_DATA_Assessment_Model!H196</f>
        <v/>
      </c>
      <c r="L196" s="4">
        <f>_DATA_Assessment_Model!I196</f>
        <v/>
      </c>
      <c r="M196" s="4">
        <f>_DATA_Assessment_Model!J196</f>
        <v/>
      </c>
      <c r="N196" s="4">
        <f>_DATA_Assessment_Model!K196</f>
        <v/>
      </c>
      <c r="O196" s="3">
        <f>_DATA_Assessment_Model!L196</f>
        <v/>
      </c>
      <c r="P196" s="3" t="inlineStr">
        <is>
          <t>No reliable evidence that backlog aging analysis linked to customer risk, revenue risk and operational constraints is defined, owned or managed.</t>
        </is>
      </c>
      <c r="Q196" s="3" t="inlineStr">
        <is>
          <t>Backlog aging analysis linked to customer risk, revenue risk and operational constraints is handled informally and depends on individual knowledge or heroic effort.</t>
        </is>
      </c>
      <c r="R196" s="3" t="inlineStr">
        <is>
          <t>Backlog aging analysis linked to customer risk, revenue risk and operational constraints is partially documented or implemented, but coverage is inconsistent and not crisis-tested.</t>
        </is>
      </c>
      <c r="S196" s="3" t="inlineStr">
        <is>
          <t>Backlog aging analysis linked to customer risk, revenue risk and operational constraints is documented, owned, used in normal operations and supported by basic evidence or metrics.</t>
        </is>
      </c>
      <c r="T196" s="3" t="inlineStr">
        <is>
          <t>Backlog aging analysis linked to customer risk, revenue risk and operational constraints is measured, periodically reviewed, integrated with related processes and tested against relevant disruption scenarios.</t>
        </is>
      </c>
      <c r="U196" s="3" t="inlineStr">
        <is>
          <t>Backlog aging analysis linked to customer risk, revenue risk and operational constraints is optimized, continuously improved, automated where practical and demonstrably supports crisis resilience.</t>
        </is>
      </c>
      <c r="V196" s="3" t="inlineStr">
        <is>
          <t>Delivery disruption; Customer impact; Workforce disruption</t>
        </is>
      </c>
      <c r="W196" s="3" t="n"/>
      <c r="X196" s="3" t="n"/>
      <c r="Y196" s="3" t="inlineStr">
        <is>
          <t>Use the recommended action generated by the model; validate with domain owner during real assessment.</t>
        </is>
      </c>
      <c r="Z196" s="7" t="n">
        <v>4</v>
      </c>
      <c r="AA196" s="7" t="n">
        <v>5</v>
      </c>
      <c r="AB196" s="7" t="n">
        <v>5</v>
      </c>
      <c r="AK196" s="46" t="n"/>
      <c r="AL196" s="46" t="n"/>
      <c r="AM196" s="247">
        <f>_DATA_Assessment_Model!AJ196</f>
        <v/>
      </c>
      <c r="AN196" s="247">
        <f>_DATA_Assessment_Model!AK196</f>
        <v/>
      </c>
      <c r="AO196" s="247">
        <f>_DATA_Assessment_Model!AL196</f>
        <v/>
      </c>
      <c r="AP196" s="247">
        <f>_DATA_Assessment_Model!AM196</f>
        <v/>
      </c>
      <c r="AQ196" s="247">
        <f>_DATA_Assessment_Model!AN196</f>
        <v/>
      </c>
      <c r="AR196" s="247">
        <f>_DATA_Assessment_Model!AO196</f>
        <v/>
      </c>
      <c r="AS196" s="247">
        <f>_DATA_Assessment_Model!AP196</f>
        <v/>
      </c>
      <c r="AT196" s="247">
        <f>_DATA_Assessment_Model!AQ196</f>
        <v/>
      </c>
      <c r="AU196" s="247">
        <f>_DATA_Assessment_Model!AR196</f>
        <v/>
      </c>
      <c r="AV196" s="5">
        <f>_DATA_Assessment_Model!AS196</f>
        <v/>
      </c>
      <c r="AW196" s="5">
        <f>_DATA_Assessment_Model!AT196</f>
        <v/>
      </c>
      <c r="AY196">
        <f>_DATA_Assessment_Model!AV196</f>
        <v/>
      </c>
    </row>
    <row r="197" ht="69" customHeight="1" s="209">
      <c r="A197" t="inlineStr">
        <is>
          <t>Delivery Ops</t>
        </is>
      </c>
      <c r="B197" t="inlineStr">
        <is>
          <t>Delivery Ops</t>
        </is>
      </c>
      <c r="C197" t="n">
        <v>26</v>
      </c>
      <c r="D197" s="3" t="inlineStr">
        <is>
          <t>DELI-022</t>
        </is>
      </c>
      <c r="E197" s="3" t="inlineStr">
        <is>
          <t>Operational visibility</t>
        </is>
      </c>
      <c r="F197" s="3" t="inlineStr">
        <is>
          <t>How mature is the organization in managing customer-specific runbooks for critical accounts, including ownership, evidence, metrics, fallback procedures and crisis stress testing?</t>
        </is>
      </c>
      <c r="G197" s="3" t="inlineStr">
        <is>
          <t>This topic affects exposure to Delivery disruption; Customer impact; Workforce disruption. It helps identify how disruption may impact operations, people, revenue, systems, legal exposure or recovery time.</t>
        </is>
      </c>
      <c r="H197" s="3" t="inlineStr">
        <is>
          <t>ISO 9001; ISO 22301; ITIL 4; Lean; Six Sigma; APQC; service management best practices</t>
        </is>
      </c>
      <c r="I197" s="3" t="inlineStr">
        <is>
          <t>Policy/SOP; owner/RACI; system report; dashboard; contracts; test records; incident history; interview evidence related to customer-specific runbooks for critical accounts.</t>
        </is>
      </c>
      <c r="J197" s="3" t="n">
        <v>5</v>
      </c>
      <c r="K197" s="85">
        <f>_DATA_Assessment_Model!H197</f>
        <v/>
      </c>
      <c r="L197" s="4">
        <f>_DATA_Assessment_Model!I197</f>
        <v/>
      </c>
      <c r="M197" s="4">
        <f>_DATA_Assessment_Model!J197</f>
        <v/>
      </c>
      <c r="N197" s="4">
        <f>_DATA_Assessment_Model!K197</f>
        <v/>
      </c>
      <c r="O197" s="3">
        <f>_DATA_Assessment_Model!L197</f>
        <v/>
      </c>
      <c r="P197" s="3" t="inlineStr">
        <is>
          <t>No plan or procedure exists.</t>
        </is>
      </c>
      <c r="Q197" s="3" t="inlineStr">
        <is>
          <t>Knowledge lives with individuals; nothing usable is written down.</t>
        </is>
      </c>
      <c r="R197" s="3" t="inlineStr">
        <is>
          <t>Drafted but outdated, not approved, or unknown to the people who must use it.</t>
        </is>
      </c>
      <c r="S197" s="3" t="inlineStr">
        <is>
          <t>Approved and current; owners assigned; affected staff know it exists and where to find it.</t>
        </is>
      </c>
      <c r="T197" s="3" t="inlineStr">
        <is>
          <t>Tested against realistic scenarios; updated after each test or real incident.</t>
        </is>
      </c>
      <c r="U197" s="3" t="inlineStr">
        <is>
          <t>Exercised regularly including external parties; readiness measured; continuously improved.</t>
        </is>
      </c>
      <c r="V197" s="3" t="inlineStr">
        <is>
          <t>Delivery disruption; Customer impact; Workforce disruption</t>
        </is>
      </c>
      <c r="W197" s="3" t="n"/>
      <c r="X197" s="3" t="n"/>
      <c r="Y197" s="3" t="inlineStr">
        <is>
          <t>Use the recommended action generated by the model; validate with domain owner during real assessment.</t>
        </is>
      </c>
      <c r="Z197" s="7" t="n">
        <v>4</v>
      </c>
      <c r="AA197" s="7" t="n">
        <v>5</v>
      </c>
      <c r="AB197" s="7" t="n">
        <v>5</v>
      </c>
      <c r="AK197" s="46" t="n"/>
      <c r="AL197" s="46" t="n"/>
      <c r="AM197" s="247">
        <f>_DATA_Assessment_Model!AJ197</f>
        <v/>
      </c>
      <c r="AN197" s="247">
        <f>_DATA_Assessment_Model!AK197</f>
        <v/>
      </c>
      <c r="AO197" s="247">
        <f>_DATA_Assessment_Model!AL197</f>
        <v/>
      </c>
      <c r="AP197" s="247">
        <f>_DATA_Assessment_Model!AM197</f>
        <v/>
      </c>
      <c r="AQ197" s="247">
        <f>_DATA_Assessment_Model!AN197</f>
        <v/>
      </c>
      <c r="AR197" s="247">
        <f>_DATA_Assessment_Model!AO197</f>
        <v/>
      </c>
      <c r="AS197" s="247">
        <f>_DATA_Assessment_Model!AP197</f>
        <v/>
      </c>
      <c r="AT197" s="247">
        <f>_DATA_Assessment_Model!AQ197</f>
        <v/>
      </c>
      <c r="AU197" s="247">
        <f>_DATA_Assessment_Model!AR197</f>
        <v/>
      </c>
      <c r="AV197" s="5">
        <f>_DATA_Assessment_Model!AS197</f>
        <v/>
      </c>
      <c r="AW197" s="5">
        <f>_DATA_Assessment_Model!AT197</f>
        <v/>
      </c>
      <c r="AY197">
        <f>_DATA_Assessment_Model!AV197</f>
        <v/>
      </c>
    </row>
    <row r="198" ht="69" customHeight="1" s="209">
      <c r="A198" t="inlineStr">
        <is>
          <t>Delivery Ops</t>
        </is>
      </c>
      <c r="B198" t="inlineStr">
        <is>
          <t>Delivery Ops</t>
        </is>
      </c>
      <c r="C198" t="n">
        <v>27</v>
      </c>
      <c r="D198" s="3" t="inlineStr">
        <is>
          <t>DELI-023</t>
        </is>
      </c>
      <c r="E198" s="3" t="inlineStr">
        <is>
          <t>Operational visibility</t>
        </is>
      </c>
      <c r="F198" s="3" t="inlineStr">
        <is>
          <t>How mature is the organization in managing critical tools, equipment and licenses required for delivery, including ownership, evidence, metrics, fallback procedures and crisis stress testing?</t>
        </is>
      </c>
      <c r="G198" s="3" t="inlineStr">
        <is>
          <t>This topic affects exposure to Delivery disruption; Customer impact; Workforce disruption. It helps identify how disruption may impact operations, people, revenue, systems, legal exposure or recovery time.</t>
        </is>
      </c>
      <c r="H198" s="3" t="inlineStr">
        <is>
          <t>ISO 9001; ISO 22301; ITIL 4; Lean; Six Sigma; APQC; service management best practices</t>
        </is>
      </c>
      <c r="I198" s="3" t="inlineStr">
        <is>
          <t>Policy/SOP; owner/RACI; system report; dashboard; contracts; test records; incident history; interview evidence related to critical tools, equipment and licenses required for delivery.</t>
        </is>
      </c>
      <c r="J198" s="3" t="n">
        <v>5</v>
      </c>
      <c r="K198" s="85">
        <f>_DATA_Assessment_Model!H198</f>
        <v/>
      </c>
      <c r="L198" s="4">
        <f>_DATA_Assessment_Model!I198</f>
        <v/>
      </c>
      <c r="M198" s="4">
        <f>_DATA_Assessment_Model!J198</f>
        <v/>
      </c>
      <c r="N198" s="4">
        <f>_DATA_Assessment_Model!K198</f>
        <v/>
      </c>
      <c r="O198" s="3">
        <f>_DATA_Assessment_Model!L198</f>
        <v/>
      </c>
      <c r="P198" s="3" t="inlineStr">
        <is>
          <t>Does not exist; no owner, no documentation, no practice.</t>
        </is>
      </c>
      <c r="Q198" s="3" t="inlineStr">
        <is>
          <t>Ad hoc; depends entirely on specific individuals.</t>
        </is>
      </c>
      <c r="R198" s="3" t="inlineStr">
        <is>
          <t>Partially documented or implemented; coverage inconsistent; never tested under stress.</t>
        </is>
      </c>
      <c r="S198" s="3" t="inlineStr">
        <is>
          <t>Documented, owned, executed consistently; basic evidence and metrics exist.</t>
        </is>
      </c>
      <c r="T198" s="3" t="inlineStr">
        <is>
          <t>Measured and periodically tested/audited; integrated with adjacent processes.</t>
        </is>
      </c>
      <c r="U198" s="3" t="inlineStr">
        <is>
          <t>Optimized and automated where practical; stress-tested; benchmarked externally.</t>
        </is>
      </c>
      <c r="V198" s="3" t="inlineStr">
        <is>
          <t>Delivery disruption; Customer impact; Workforce disruption</t>
        </is>
      </c>
      <c r="W198" s="3" t="n"/>
      <c r="X198" s="3" t="n"/>
      <c r="Y198" s="3" t="inlineStr">
        <is>
          <t>Use the recommended action generated by the model; validate with domain owner during real assessment.</t>
        </is>
      </c>
      <c r="Z198" s="7" t="n">
        <v>4</v>
      </c>
      <c r="AA198" s="7" t="n">
        <v>5</v>
      </c>
      <c r="AB198" s="7" t="n">
        <v>5</v>
      </c>
      <c r="AK198" s="46" t="n"/>
      <c r="AL198" s="46" t="n"/>
      <c r="AM198" s="247">
        <f>_DATA_Assessment_Model!AJ198</f>
        <v/>
      </c>
      <c r="AN198" s="247">
        <f>_DATA_Assessment_Model!AK198</f>
        <v/>
      </c>
      <c r="AO198" s="247">
        <f>_DATA_Assessment_Model!AL198</f>
        <v/>
      </c>
      <c r="AP198" s="247">
        <f>_DATA_Assessment_Model!AM198</f>
        <v/>
      </c>
      <c r="AQ198" s="247">
        <f>_DATA_Assessment_Model!AN198</f>
        <v/>
      </c>
      <c r="AR198" s="247">
        <f>_DATA_Assessment_Model!AO198</f>
        <v/>
      </c>
      <c r="AS198" s="247">
        <f>_DATA_Assessment_Model!AP198</f>
        <v/>
      </c>
      <c r="AT198" s="247">
        <f>_DATA_Assessment_Model!AQ198</f>
        <v/>
      </c>
      <c r="AU198" s="247">
        <f>_DATA_Assessment_Model!AR198</f>
        <v/>
      </c>
      <c r="AV198" s="5">
        <f>_DATA_Assessment_Model!AS198</f>
        <v/>
      </c>
      <c r="AW198" s="5">
        <f>_DATA_Assessment_Model!AT198</f>
        <v/>
      </c>
      <c r="AY198">
        <f>_DATA_Assessment_Model!AV198</f>
        <v/>
      </c>
    </row>
    <row r="199" ht="69" customHeight="1" s="209">
      <c r="A199" t="inlineStr">
        <is>
          <t>Delivery Ops</t>
        </is>
      </c>
      <c r="B199" t="inlineStr">
        <is>
          <t>Delivery Ops</t>
        </is>
      </c>
      <c r="C199" t="n">
        <v>28</v>
      </c>
      <c r="D199" s="3" t="inlineStr">
        <is>
          <t>DELI-024</t>
        </is>
      </c>
      <c r="E199" s="3" t="inlineStr">
        <is>
          <t>Operational visibility</t>
        </is>
      </c>
      <c r="F199" s="3" t="inlineStr">
        <is>
          <t>How mature is the organization in managing geographic delivery exposure by customer, supplier, team and site location, including ownership, evidence, metrics, fallback procedures and crisis stress testing?</t>
        </is>
      </c>
      <c r="G199" s="3" t="inlineStr">
        <is>
          <t>This topic affects exposure to Delivery disruption; Customer impact; Workforce disruption. It helps identify how disruption may impact operations, people, revenue, systems, legal exposure or recovery time.</t>
        </is>
      </c>
      <c r="H199" s="3" t="inlineStr">
        <is>
          <t>ISO 9001; ISO 22301; ITIL 4; Lean; Six Sigma; APQC; service management best practices</t>
        </is>
      </c>
      <c r="I199" s="3" t="inlineStr">
        <is>
          <t>Policy/SOP; owner/RACI; system report; dashboard; contracts; test records; incident history; interview evidence related to geographic delivery exposure by customer, supplier, team and site location.</t>
        </is>
      </c>
      <c r="J199" s="3" t="n">
        <v>5</v>
      </c>
      <c r="K199" s="85">
        <f>_DATA_Assessment_Model!H199</f>
        <v/>
      </c>
      <c r="L199" s="4">
        <f>_DATA_Assessment_Model!I199</f>
        <v/>
      </c>
      <c r="M199" s="4">
        <f>_DATA_Assessment_Model!J199</f>
        <v/>
      </c>
      <c r="N199" s="4">
        <f>_DATA_Assessment_Model!K199</f>
        <v/>
      </c>
      <c r="O199" s="3">
        <f>_DATA_Assessment_Model!L199</f>
        <v/>
      </c>
      <c r="P199" s="3" t="inlineStr">
        <is>
          <t>Does not exist; no owner, no documentation, no practice.</t>
        </is>
      </c>
      <c r="Q199" s="3" t="inlineStr">
        <is>
          <t>Ad hoc; depends entirely on specific individuals.</t>
        </is>
      </c>
      <c r="R199" s="3" t="inlineStr">
        <is>
          <t>Partially documented or implemented; coverage inconsistent; never tested under stress.</t>
        </is>
      </c>
      <c r="S199" s="3" t="inlineStr">
        <is>
          <t>Documented, owned, executed consistently; basic evidence and metrics exist.</t>
        </is>
      </c>
      <c r="T199" s="3" t="inlineStr">
        <is>
          <t>Measured and periodically tested/audited; integrated with adjacent processes.</t>
        </is>
      </c>
      <c r="U199" s="3" t="inlineStr">
        <is>
          <t>Optimized and automated where practical; stress-tested; benchmarked externally.</t>
        </is>
      </c>
      <c r="V199" s="3" t="inlineStr">
        <is>
          <t>Delivery disruption; Customer impact; Workforce disruption</t>
        </is>
      </c>
      <c r="W199" s="3" t="n"/>
      <c r="X199" s="3" t="n"/>
      <c r="Y199" s="3" t="inlineStr">
        <is>
          <t>Use the recommended action generated by the model; validate with domain owner during real assessment.</t>
        </is>
      </c>
      <c r="Z199" s="7" t="n">
        <v>4</v>
      </c>
      <c r="AA199" s="7" t="n">
        <v>5</v>
      </c>
      <c r="AB199" s="7" t="n">
        <v>5</v>
      </c>
      <c r="AK199" s="46" t="n"/>
      <c r="AL199" s="46" t="n"/>
      <c r="AM199" s="247">
        <f>_DATA_Assessment_Model!AJ199</f>
        <v/>
      </c>
      <c r="AN199" s="247">
        <f>_DATA_Assessment_Model!AK199</f>
        <v/>
      </c>
      <c r="AO199" s="247">
        <f>_DATA_Assessment_Model!AL199</f>
        <v/>
      </c>
      <c r="AP199" s="247">
        <f>_DATA_Assessment_Model!AM199</f>
        <v/>
      </c>
      <c r="AQ199" s="247">
        <f>_DATA_Assessment_Model!AN199</f>
        <v/>
      </c>
      <c r="AR199" s="247">
        <f>_DATA_Assessment_Model!AO199</f>
        <v/>
      </c>
      <c r="AS199" s="247">
        <f>_DATA_Assessment_Model!AP199</f>
        <v/>
      </c>
      <c r="AT199" s="247">
        <f>_DATA_Assessment_Model!AQ199</f>
        <v/>
      </c>
      <c r="AU199" s="247">
        <f>_DATA_Assessment_Model!AR199</f>
        <v/>
      </c>
      <c r="AV199" s="5">
        <f>_DATA_Assessment_Model!AS199</f>
        <v/>
      </c>
      <c r="AW199" s="5">
        <f>_DATA_Assessment_Model!AT199</f>
        <v/>
      </c>
      <c r="AY199">
        <f>_DATA_Assessment_Model!AV199</f>
        <v/>
      </c>
    </row>
    <row r="200" ht="82.8" customHeight="1" s="209">
      <c r="A200" t="inlineStr">
        <is>
          <t>Supply Chain</t>
        </is>
      </c>
      <c r="B200" t="inlineStr">
        <is>
          <t>Supply Chain</t>
        </is>
      </c>
      <c r="C200" t="n">
        <v>5</v>
      </c>
      <c r="D200" s="3" t="inlineStr">
        <is>
          <t>SUPP-001</t>
        </is>
      </c>
      <c r="E200" s="3" t="inlineStr">
        <is>
          <t>Supply chain design</t>
        </is>
      </c>
      <c r="F200" s="3" t="inlineStr">
        <is>
          <t>How mature is the organization in managing end-to-end supply chain map from raw materials and suppliers to production, logistics, delivery and customers, including ownership, evidence, metrics, fallback procedures and crisis stress testing?</t>
        </is>
      </c>
      <c r="G200" s="3" t="inlineStr">
        <is>
          <t>This topic affects exposure to Supplier/logistics disruption; Manufacturing disruption; Demand shock. It helps identify how disruption may impact operations, people, revenue, systems, legal exposure or recovery time.</t>
        </is>
      </c>
      <c r="H200" s="3" t="inlineStr">
        <is>
          <t>ISO 22301; ISO 20400; ISO 28000; SCOR Digital Standard; S&amp;OP/IBP; APICS/ASCM</t>
        </is>
      </c>
      <c r="I200" s="3" t="inlineStr">
        <is>
          <t>Policy/SOP; owner/RACI; system report; dashboard; contracts; test records; incident history; interview evidence related to end-to-end supply chain map from raw materials and suppliers to production, logistics, delivery and customers.</t>
        </is>
      </c>
      <c r="J200" s="3" t="n">
        <v>5</v>
      </c>
      <c r="K200" s="85">
        <f>_DATA_Assessment_Model!H200</f>
        <v/>
      </c>
      <c r="L200" s="4">
        <f>_DATA_Assessment_Model!I200</f>
        <v/>
      </c>
      <c r="M200" s="4">
        <f>_DATA_Assessment_Model!J200</f>
        <v/>
      </c>
      <c r="N200" s="4">
        <f>_DATA_Assessment_Model!K200</f>
        <v/>
      </c>
      <c r="O200" s="3">
        <f>_DATA_Assessment_Model!L200</f>
        <v/>
      </c>
      <c r="P200" s="3" t="inlineStr">
        <is>
          <t>No inventory/register exists.</t>
        </is>
      </c>
      <c r="Q200" s="3" t="inlineStr">
        <is>
          <t>Partial lists live in individuals' heads or personal files.</t>
        </is>
      </c>
      <c r="R200" s="3" t="inlineStr">
        <is>
          <t>A register exists but is incomplete or outdated (&gt;1 year) and has no owner.</t>
        </is>
      </c>
      <c r="S200" s="3" t="inlineStr">
        <is>
          <t>Owned, documented, updated on a defined schedule, covers the main scope.</t>
        </is>
      </c>
      <c r="T200" s="3" t="inlineStr">
        <is>
          <t>Complete and periodically reviewed; integrated with related processes; completeness measured.</t>
        </is>
      </c>
      <c r="U200" s="3" t="inlineStr">
        <is>
          <t>Maintained automatically or synced with systems; drives decisions; audited.</t>
        </is>
      </c>
      <c r="V200" s="3" t="inlineStr">
        <is>
          <t>Supplier/logistics disruption; Manufacturing disruption; Demand shock</t>
        </is>
      </c>
      <c r="W200" s="3" t="n"/>
      <c r="X200" s="3" t="n"/>
      <c r="Y200" s="3" t="inlineStr">
        <is>
          <t>Use the recommended action generated by the model; validate with domain owner during real assessment.</t>
        </is>
      </c>
      <c r="Z200" s="7" t="n">
        <v>4</v>
      </c>
      <c r="AA200" s="7" t="n">
        <v>5</v>
      </c>
      <c r="AB200" s="7" t="n">
        <v>5</v>
      </c>
      <c r="AD200" t="inlineStr">
        <is>
          <t>Supply chain design</t>
        </is>
      </c>
      <c r="AE200" s="6">
        <f>_DATA_Assessment_Model!AB200</f>
        <v/>
      </c>
      <c r="AF200" s="8">
        <f>_DATA_Assessment_Model!AC200</f>
        <v/>
      </c>
      <c r="AG200" s="9">
        <f>_DATA_Assessment_Model!AD200</f>
        <v/>
      </c>
      <c r="AH200" s="6">
        <f>_DATA_Assessment_Model!AE200</f>
        <v/>
      </c>
      <c r="AI200" s="8">
        <f>_DATA_Assessment_Model!AF200</f>
        <v/>
      </c>
      <c r="AJ200" s="6">
        <f>_DATA_Assessment_Model!AG200</f>
        <v/>
      </c>
      <c r="AK200" s="46" t="n"/>
      <c r="AL200" s="46" t="n"/>
      <c r="AM200" s="247">
        <f>_DATA_Assessment_Model!AJ200</f>
        <v/>
      </c>
      <c r="AN200" s="247">
        <f>_DATA_Assessment_Model!AK200</f>
        <v/>
      </c>
      <c r="AO200" s="247">
        <f>_DATA_Assessment_Model!AL200</f>
        <v/>
      </c>
      <c r="AP200" s="247">
        <f>_DATA_Assessment_Model!AM200</f>
        <v/>
      </c>
      <c r="AQ200" s="247">
        <f>_DATA_Assessment_Model!AN200</f>
        <v/>
      </c>
      <c r="AR200" s="247">
        <f>_DATA_Assessment_Model!AO200</f>
        <v/>
      </c>
      <c r="AS200" s="247">
        <f>_DATA_Assessment_Model!AP200</f>
        <v/>
      </c>
      <c r="AT200" s="247">
        <f>_DATA_Assessment_Model!AQ200</f>
        <v/>
      </c>
      <c r="AU200" s="247">
        <f>_DATA_Assessment_Model!AR200</f>
        <v/>
      </c>
      <c r="AV200" s="5">
        <f>_DATA_Assessment_Model!AS200</f>
        <v/>
      </c>
      <c r="AW200" s="5">
        <f>_DATA_Assessment_Model!AT200</f>
        <v/>
      </c>
      <c r="AY200">
        <f>_DATA_Assessment_Model!AV200</f>
        <v/>
      </c>
    </row>
    <row r="201" ht="82.8" customHeight="1" s="209">
      <c r="A201" t="inlineStr">
        <is>
          <t>Supply Chain</t>
        </is>
      </c>
      <c r="B201" t="inlineStr">
        <is>
          <t>Supply Chain</t>
        </is>
      </c>
      <c r="C201" t="n">
        <v>6</v>
      </c>
      <c r="D201" s="3" t="inlineStr">
        <is>
          <t>SUPP-002</t>
        </is>
      </c>
      <c r="E201" s="3" t="inlineStr">
        <is>
          <t>Supply chain design</t>
        </is>
      </c>
      <c r="F201" s="3" t="inlineStr">
        <is>
          <t>How mature is the organization in managing visibility beyond tier-1 suppliers for critical materials, components and services, including ownership, evidence, metrics, fallback procedures and crisis stress testing?</t>
        </is>
      </c>
      <c r="G201" s="3" t="inlineStr">
        <is>
          <t>This topic affects exposure to Supplier/logistics disruption; Manufacturing disruption; Demand shock. It helps identify how disruption may impact operations, people, revenue, systems, legal exposure or recovery time.</t>
        </is>
      </c>
      <c r="H201" s="3" t="inlineStr">
        <is>
          <t>ISO 22301; ISO 20400; ISO 28000; SCOR Digital Standard; S&amp;OP/IBP; APICS/ASCM</t>
        </is>
      </c>
      <c r="I201" s="3" t="inlineStr">
        <is>
          <t>Policy/SOP; owner/RACI; system report; dashboard; contracts; test records; incident history; interview evidence related to visibility beyond tier-1 suppliers for critical materials, components and services.</t>
        </is>
      </c>
      <c r="J201" s="3" t="n">
        <v>5</v>
      </c>
      <c r="K201" s="85">
        <f>_DATA_Assessment_Model!H201</f>
        <v/>
      </c>
      <c r="L201" s="4">
        <f>_DATA_Assessment_Model!I201</f>
        <v/>
      </c>
      <c r="M201" s="4">
        <f>_DATA_Assessment_Model!J201</f>
        <v/>
      </c>
      <c r="N201" s="4">
        <f>_DATA_Assessment_Model!K201</f>
        <v/>
      </c>
      <c r="O201" s="3">
        <f>_DATA_Assessment_Model!L201</f>
        <v/>
      </c>
      <c r="P201" s="3" t="inlineStr">
        <is>
          <t>Nothing is monitored or measured.</t>
        </is>
      </c>
      <c r="Q201" s="3" t="inlineStr">
        <is>
          <t>Occasional manual checks by individuals.</t>
        </is>
      </c>
      <c r="R201" s="3" t="inlineStr">
        <is>
          <t>Some metrics exist but are not reviewed regularly and trigger no action.</t>
        </is>
      </c>
      <c r="S201" s="3" t="inlineStr">
        <is>
          <t>Defined metrics with an owner, reviewed on a set cadence.</t>
        </is>
      </c>
      <c r="T201" s="3" t="inlineStr">
        <is>
          <t>Thresholds and alerts in place; deviations trigger documented action; trends analyzed.</t>
        </is>
      </c>
      <c r="U201" s="3" t="inlineStr">
        <is>
          <t>Automated monitoring with leading indicators, integrated into management decisions.</t>
        </is>
      </c>
      <c r="V201" s="3" t="inlineStr">
        <is>
          <t>Supplier/logistics disruption; Manufacturing disruption; Demand shock</t>
        </is>
      </c>
      <c r="W201" s="3" t="n"/>
      <c r="X201" s="3" t="n"/>
      <c r="Y201" s="3" t="inlineStr">
        <is>
          <t>Use the recommended action generated by the model; validate with domain owner during real assessment.</t>
        </is>
      </c>
      <c r="Z201" s="7" t="n">
        <v>4</v>
      </c>
      <c r="AA201" s="7" t="n">
        <v>5</v>
      </c>
      <c r="AB201" s="7" t="n">
        <v>5</v>
      </c>
      <c r="AD201" t="inlineStr">
        <is>
          <t>Logistics</t>
        </is>
      </c>
      <c r="AE201" s="6">
        <f>_DATA_Assessment_Model!AB201</f>
        <v/>
      </c>
      <c r="AF201" s="8">
        <f>_DATA_Assessment_Model!AC201</f>
        <v/>
      </c>
      <c r="AG201" s="9">
        <f>_DATA_Assessment_Model!AD201</f>
        <v/>
      </c>
      <c r="AH201" s="6">
        <f>_DATA_Assessment_Model!AE201</f>
        <v/>
      </c>
      <c r="AI201" s="8">
        <f>_DATA_Assessment_Model!AF201</f>
        <v/>
      </c>
      <c r="AJ201" s="6">
        <f>_DATA_Assessment_Model!AG201</f>
        <v/>
      </c>
      <c r="AK201" s="46" t="n"/>
      <c r="AL201" s="46" t="n"/>
      <c r="AM201" s="247">
        <f>_DATA_Assessment_Model!AJ201</f>
        <v/>
      </c>
      <c r="AN201" s="247">
        <f>_DATA_Assessment_Model!AK201</f>
        <v/>
      </c>
      <c r="AO201" s="247">
        <f>_DATA_Assessment_Model!AL201</f>
        <v/>
      </c>
      <c r="AP201" s="247">
        <f>_DATA_Assessment_Model!AM201</f>
        <v/>
      </c>
      <c r="AQ201" s="247">
        <f>_DATA_Assessment_Model!AN201</f>
        <v/>
      </c>
      <c r="AR201" s="247">
        <f>_DATA_Assessment_Model!AO201</f>
        <v/>
      </c>
      <c r="AS201" s="247">
        <f>_DATA_Assessment_Model!AP201</f>
        <v/>
      </c>
      <c r="AT201" s="247">
        <f>_DATA_Assessment_Model!AQ201</f>
        <v/>
      </c>
      <c r="AU201" s="247">
        <f>_DATA_Assessment_Model!AR201</f>
        <v/>
      </c>
      <c r="AV201" s="5">
        <f>_DATA_Assessment_Model!AS201</f>
        <v/>
      </c>
      <c r="AW201" s="5">
        <f>_DATA_Assessment_Model!AT201</f>
        <v/>
      </c>
      <c r="AY201">
        <f>_DATA_Assessment_Model!AV201</f>
        <v/>
      </c>
    </row>
    <row r="202" ht="82.8" customHeight="1" s="209">
      <c r="A202" t="inlineStr">
        <is>
          <t>Supply Chain</t>
        </is>
      </c>
      <c r="B202" t="inlineStr">
        <is>
          <t>Supply Chain</t>
        </is>
      </c>
      <c r="C202" t="n">
        <v>7</v>
      </c>
      <c r="D202" s="3" t="inlineStr">
        <is>
          <t>SUPP-003</t>
        </is>
      </c>
      <c r="E202" s="3" t="inlineStr">
        <is>
          <t>Supply chain design</t>
        </is>
      </c>
      <c r="F202" s="3" t="inlineStr">
        <is>
          <t>How mature is the organization in managing supplier criticality scoring by business impact, availability, substitution, lead time and geography, including ownership, evidence, metrics, fallback procedures and crisis stress testing?</t>
        </is>
      </c>
      <c r="G202" s="3" t="inlineStr">
        <is>
          <t>This topic affects exposure to Supplier/logistics disruption; Manufacturing disruption; Demand shock. It helps identify how disruption may impact operations, people, revenue, systems, legal exposure or recovery time.</t>
        </is>
      </c>
      <c r="H202" s="3" t="inlineStr">
        <is>
          <t>ISO 22301; ISO 20400; ISO 28000; SCOR Digital Standard; S&amp;OP/IBP; APICS/ASCM</t>
        </is>
      </c>
      <c r="I202" s="3" t="inlineStr">
        <is>
          <t>Policy/SOP; owner/RACI; system report; dashboard; contracts; test records; incident history; interview evidence related to supplier criticality scoring by business impact, availability, substitution, lead time and geography.</t>
        </is>
      </c>
      <c r="J202" s="3" t="n">
        <v>5</v>
      </c>
      <c r="K202" s="85">
        <f>_DATA_Assessment_Model!H202</f>
        <v/>
      </c>
      <c r="L202" s="4">
        <f>_DATA_Assessment_Model!I202</f>
        <v/>
      </c>
      <c r="M202" s="4">
        <f>_DATA_Assessment_Model!J202</f>
        <v/>
      </c>
      <c r="N202" s="4">
        <f>_DATA_Assessment_Model!K202</f>
        <v/>
      </c>
      <c r="O202" s="3">
        <f>_DATA_Assessment_Model!L202</f>
        <v/>
      </c>
      <c r="P202" s="3" t="inlineStr">
        <is>
          <t>Nothing is monitored or measured.</t>
        </is>
      </c>
      <c r="Q202" s="3" t="inlineStr">
        <is>
          <t>Occasional manual checks by individuals.</t>
        </is>
      </c>
      <c r="R202" s="3" t="inlineStr">
        <is>
          <t>Some metrics exist but are not reviewed regularly and trigger no action.</t>
        </is>
      </c>
      <c r="S202" s="3" t="inlineStr">
        <is>
          <t>Defined metrics with an owner, reviewed on a set cadence.</t>
        </is>
      </c>
      <c r="T202" s="3" t="inlineStr">
        <is>
          <t>Thresholds and alerts in place; deviations trigger documented action; trends analyzed.</t>
        </is>
      </c>
      <c r="U202" s="3" t="inlineStr">
        <is>
          <t>Automated monitoring with leading indicators, integrated into management decisions.</t>
        </is>
      </c>
      <c r="V202" s="3" t="inlineStr">
        <is>
          <t>Supplier/logistics disruption; Manufacturing disruption; Demand shock</t>
        </is>
      </c>
      <c r="W202" s="3" t="n"/>
      <c r="X202" s="3" t="n"/>
      <c r="Y202" s="3" t="inlineStr">
        <is>
          <t>Use the recommended action generated by the model; validate with domain owner during real assessment.</t>
        </is>
      </c>
      <c r="Z202" s="7" t="n">
        <v>4</v>
      </c>
      <c r="AA202" s="7" t="n">
        <v>5</v>
      </c>
      <c r="AB202" s="7" t="n">
        <v>5</v>
      </c>
      <c r="AD202" t="inlineStr">
        <is>
          <t>Inventory and planning</t>
        </is>
      </c>
      <c r="AE202" s="6">
        <f>_DATA_Assessment_Model!AB202</f>
        <v/>
      </c>
      <c r="AF202" s="8">
        <f>_DATA_Assessment_Model!AC202</f>
        <v/>
      </c>
      <c r="AG202" s="9">
        <f>_DATA_Assessment_Model!AD202</f>
        <v/>
      </c>
      <c r="AH202" s="6">
        <f>_DATA_Assessment_Model!AE202</f>
        <v/>
      </c>
      <c r="AI202" s="8">
        <f>_DATA_Assessment_Model!AF202</f>
        <v/>
      </c>
      <c r="AJ202" s="6">
        <f>_DATA_Assessment_Model!AG202</f>
        <v/>
      </c>
      <c r="AK202" s="46" t="n"/>
      <c r="AL202" s="46" t="n"/>
      <c r="AM202" s="247">
        <f>_DATA_Assessment_Model!AJ202</f>
        <v/>
      </c>
      <c r="AN202" s="247">
        <f>_DATA_Assessment_Model!AK202</f>
        <v/>
      </c>
      <c r="AO202" s="247">
        <f>_DATA_Assessment_Model!AL202</f>
        <v/>
      </c>
      <c r="AP202" s="247">
        <f>_DATA_Assessment_Model!AM202</f>
        <v/>
      </c>
      <c r="AQ202" s="247">
        <f>_DATA_Assessment_Model!AN202</f>
        <v/>
      </c>
      <c r="AR202" s="247">
        <f>_DATA_Assessment_Model!AO202</f>
        <v/>
      </c>
      <c r="AS202" s="247">
        <f>_DATA_Assessment_Model!AP202</f>
        <v/>
      </c>
      <c r="AT202" s="247">
        <f>_DATA_Assessment_Model!AQ202</f>
        <v/>
      </c>
      <c r="AU202" s="247">
        <f>_DATA_Assessment_Model!AR202</f>
        <v/>
      </c>
      <c r="AV202" s="5">
        <f>_DATA_Assessment_Model!AS202</f>
        <v/>
      </c>
      <c r="AW202" s="5">
        <f>_DATA_Assessment_Model!AT202</f>
        <v/>
      </c>
      <c r="AY202">
        <f>_DATA_Assessment_Model!AV202</f>
        <v/>
      </c>
    </row>
    <row r="203" ht="82.8" customHeight="1" s="209">
      <c r="A203" t="inlineStr">
        <is>
          <t>Supply Chain</t>
        </is>
      </c>
      <c r="B203" t="inlineStr">
        <is>
          <t>Supply Chain</t>
        </is>
      </c>
      <c r="C203" t="n">
        <v>8</v>
      </c>
      <c r="D203" s="3" t="inlineStr">
        <is>
          <t>SUPP-004</t>
        </is>
      </c>
      <c r="E203" s="3" t="inlineStr">
        <is>
          <t>Supply chain design</t>
        </is>
      </c>
      <c r="F203" s="3" t="inlineStr">
        <is>
          <t>How mature is the organization in managing supplier concentration by spend, dependency, category, geography and product line, including ownership, evidence, metrics, fallback procedures and crisis stress testing?</t>
        </is>
      </c>
      <c r="G203" s="3" t="inlineStr">
        <is>
          <t>This topic affects exposure to Supplier/logistics disruption; Manufacturing disruption; Demand shock. It helps identify how disruption may impact operations, people, revenue, systems, legal exposure or recovery time.</t>
        </is>
      </c>
      <c r="H203" s="3" t="inlineStr">
        <is>
          <t>ISO 22301; ISO 20400; ISO 28000; SCOR Digital Standard; S&amp;OP/IBP; APICS/ASCM</t>
        </is>
      </c>
      <c r="I203" s="3" t="inlineStr">
        <is>
          <t>Policy/SOP; owner/RACI; system report; dashboard; contracts; test records; incident history; interview evidence related to supplier concentration by spend, dependency, category, geography and product line.</t>
        </is>
      </c>
      <c r="J203" s="3" t="n">
        <v>5</v>
      </c>
      <c r="K203" s="85">
        <f>_DATA_Assessment_Model!H203</f>
        <v/>
      </c>
      <c r="L203" s="4">
        <f>_DATA_Assessment_Model!I203</f>
        <v/>
      </c>
      <c r="M203" s="4">
        <f>_DATA_Assessment_Model!J203</f>
        <v/>
      </c>
      <c r="N203" s="4">
        <f>_DATA_Assessment_Model!K203</f>
        <v/>
      </c>
      <c r="O203" s="3">
        <f>_DATA_Assessment_Model!L203</f>
        <v/>
      </c>
      <c r="P203" s="3" t="inlineStr">
        <is>
          <t>Does not exist; no owner, no documentation, no practice.</t>
        </is>
      </c>
      <c r="Q203" s="3" t="inlineStr">
        <is>
          <t>Ad hoc; depends entirely on specific individuals.</t>
        </is>
      </c>
      <c r="R203" s="3" t="inlineStr">
        <is>
          <t>Partially documented or implemented; coverage inconsistent; never tested under stress.</t>
        </is>
      </c>
      <c r="S203" s="3" t="inlineStr">
        <is>
          <t>Documented, owned, executed consistently; basic evidence and metrics exist.</t>
        </is>
      </c>
      <c r="T203" s="3" t="inlineStr">
        <is>
          <t>Measured and periodically tested/audited; integrated with adjacent processes.</t>
        </is>
      </c>
      <c r="U203" s="3" t="inlineStr">
        <is>
          <t>Optimized and automated where practical; stress-tested; benchmarked externally.</t>
        </is>
      </c>
      <c r="V203" s="3" t="inlineStr">
        <is>
          <t>Supplier/logistics disruption; Manufacturing disruption; Demand shock</t>
        </is>
      </c>
      <c r="W203" s="3" t="n"/>
      <c r="X203" s="3" t="n"/>
      <c r="Y203" s="3" t="inlineStr">
        <is>
          <t>Use the recommended action generated by the model; validate with domain owner during real assessment.</t>
        </is>
      </c>
      <c r="Z203" s="7" t="n">
        <v>4</v>
      </c>
      <c r="AA203" s="7" t="n">
        <v>5</v>
      </c>
      <c r="AB203" s="7" t="n">
        <v>5</v>
      </c>
      <c r="AD203" t="inlineStr">
        <is>
          <t>Technology and risk</t>
        </is>
      </c>
      <c r="AE203" s="6">
        <f>_DATA_Assessment_Model!AB203</f>
        <v/>
      </c>
      <c r="AF203" s="8">
        <f>_DATA_Assessment_Model!AC203</f>
        <v/>
      </c>
      <c r="AG203" s="9">
        <f>_DATA_Assessment_Model!AD203</f>
        <v/>
      </c>
      <c r="AH203" s="6">
        <f>_DATA_Assessment_Model!AE203</f>
        <v/>
      </c>
      <c r="AI203" s="8">
        <f>_DATA_Assessment_Model!AF203</f>
        <v/>
      </c>
      <c r="AJ203" s="6">
        <f>_DATA_Assessment_Model!AG203</f>
        <v/>
      </c>
      <c r="AK203" s="46" t="n"/>
      <c r="AL203" s="46" t="n"/>
      <c r="AM203" s="247">
        <f>_DATA_Assessment_Model!AJ203</f>
        <v/>
      </c>
      <c r="AN203" s="247">
        <f>_DATA_Assessment_Model!AK203</f>
        <v/>
      </c>
      <c r="AO203" s="247">
        <f>_DATA_Assessment_Model!AL203</f>
        <v/>
      </c>
      <c r="AP203" s="247">
        <f>_DATA_Assessment_Model!AM203</f>
        <v/>
      </c>
      <c r="AQ203" s="247">
        <f>_DATA_Assessment_Model!AN203</f>
        <v/>
      </c>
      <c r="AR203" s="247">
        <f>_DATA_Assessment_Model!AO203</f>
        <v/>
      </c>
      <c r="AS203" s="247">
        <f>_DATA_Assessment_Model!AP203</f>
        <v/>
      </c>
      <c r="AT203" s="247">
        <f>_DATA_Assessment_Model!AQ203</f>
        <v/>
      </c>
      <c r="AU203" s="247">
        <f>_DATA_Assessment_Model!AR203</f>
        <v/>
      </c>
      <c r="AV203" s="5">
        <f>_DATA_Assessment_Model!AS203</f>
        <v/>
      </c>
      <c r="AW203" s="5">
        <f>_DATA_Assessment_Model!AT203</f>
        <v/>
      </c>
      <c r="AY203">
        <f>_DATA_Assessment_Model!AV203</f>
        <v/>
      </c>
    </row>
    <row r="204" ht="82.8" customHeight="1" s="209">
      <c r="A204" t="inlineStr">
        <is>
          <t>Supply Chain</t>
        </is>
      </c>
      <c r="B204" t="inlineStr">
        <is>
          <t>Supply Chain</t>
        </is>
      </c>
      <c r="C204" t="n">
        <v>9</v>
      </c>
      <c r="D204" s="3" t="inlineStr">
        <is>
          <t>SUPP-005</t>
        </is>
      </c>
      <c r="E204" s="3" t="inlineStr">
        <is>
          <t>Supply chain design</t>
        </is>
      </c>
      <c r="F204" s="3" t="inlineStr">
        <is>
          <t>How mature is the organization in managing critical supplier continuity plans, recovery times and incident notification commitments, including ownership, evidence, metrics, fallback procedures and crisis stress testing?</t>
        </is>
      </c>
      <c r="G204" s="3" t="inlineStr">
        <is>
          <t>This topic affects exposure to Supplier/logistics disruption; Manufacturing disruption; Demand shock. It helps identify how disruption may impact operations, people, revenue, systems, legal exposure or recovery time.</t>
        </is>
      </c>
      <c r="H204" s="3" t="inlineStr">
        <is>
          <t>ISO 22301; ISO 20400; ISO 28000; SCOR Digital Standard; S&amp;OP/IBP; APICS/ASCM</t>
        </is>
      </c>
      <c r="I204" s="3" t="inlineStr">
        <is>
          <t>Policy/SOP; owner/RACI; system report; dashboard; contracts; test records; incident history; interview evidence related to critical supplier continuity plans, recovery times and incident notification commitments.</t>
        </is>
      </c>
      <c r="J204" s="3" t="n">
        <v>5</v>
      </c>
      <c r="K204" s="85">
        <f>_DATA_Assessment_Model!H204</f>
        <v/>
      </c>
      <c r="L204" s="4">
        <f>_DATA_Assessment_Model!I204</f>
        <v/>
      </c>
      <c r="M204" s="4">
        <f>_DATA_Assessment_Model!J204</f>
        <v/>
      </c>
      <c r="N204" s="4">
        <f>_DATA_Assessment_Model!K204</f>
        <v/>
      </c>
      <c r="O204" s="3">
        <f>_DATA_Assessment_Model!L204</f>
        <v/>
      </c>
      <c r="P204" s="3" t="inlineStr">
        <is>
          <t>No plan or procedure exists.</t>
        </is>
      </c>
      <c r="Q204" s="3" t="inlineStr">
        <is>
          <t>Knowledge lives with individuals; nothing usable is written down.</t>
        </is>
      </c>
      <c r="R204" s="3" t="inlineStr">
        <is>
          <t>Drafted but outdated, not approved, or unknown to the people who must use it.</t>
        </is>
      </c>
      <c r="S204" s="3" t="inlineStr">
        <is>
          <t>Approved and current; owners assigned; affected staff know it exists and where to find it.</t>
        </is>
      </c>
      <c r="T204" s="3" t="inlineStr">
        <is>
          <t>Tested against realistic scenarios; updated after each test or real incident.</t>
        </is>
      </c>
      <c r="U204" s="3" t="inlineStr">
        <is>
          <t>Exercised regularly including external parties; readiness measured; continuously improved.</t>
        </is>
      </c>
      <c r="V204" s="3" t="inlineStr">
        <is>
          <t>Supplier/logistics disruption; Manufacturing disruption; Demand shock</t>
        </is>
      </c>
      <c r="W204" s="3" t="n"/>
      <c r="X204" s="3" t="n"/>
      <c r="Y204" s="3" t="inlineStr">
        <is>
          <t>Use the recommended action generated by the model; validate with domain owner during real assessment.</t>
        </is>
      </c>
      <c r="Z204" s="7" t="n">
        <v>4</v>
      </c>
      <c r="AA204" s="7" t="n">
        <v>5</v>
      </c>
      <c r="AB204" s="7" t="n">
        <v>5</v>
      </c>
      <c r="AD204" t="inlineStr">
        <is>
          <t>Orchestration and resilience</t>
        </is>
      </c>
      <c r="AE204">
        <f>_DATA_Assessment_Model!AB204</f>
        <v/>
      </c>
      <c r="AF204">
        <f>_DATA_Assessment_Model!AC204</f>
        <v/>
      </c>
      <c r="AG204">
        <f>_DATA_Assessment_Model!AD204</f>
        <v/>
      </c>
      <c r="AH204">
        <f>_DATA_Assessment_Model!AE204</f>
        <v/>
      </c>
      <c r="AI204">
        <f>_DATA_Assessment_Model!AF204</f>
        <v/>
      </c>
      <c r="AJ204">
        <f>_DATA_Assessment_Model!AG204</f>
        <v/>
      </c>
      <c r="AK204" s="46" t="n"/>
      <c r="AL204" s="46" t="n"/>
      <c r="AM204" s="247">
        <f>_DATA_Assessment_Model!AJ204</f>
        <v/>
      </c>
      <c r="AN204" s="247">
        <f>_DATA_Assessment_Model!AK204</f>
        <v/>
      </c>
      <c r="AO204" s="247">
        <f>_DATA_Assessment_Model!AL204</f>
        <v/>
      </c>
      <c r="AP204" s="247">
        <f>_DATA_Assessment_Model!AM204</f>
        <v/>
      </c>
      <c r="AQ204" s="247">
        <f>_DATA_Assessment_Model!AN204</f>
        <v/>
      </c>
      <c r="AR204" s="247">
        <f>_DATA_Assessment_Model!AO204</f>
        <v/>
      </c>
      <c r="AS204" s="247">
        <f>_DATA_Assessment_Model!AP204</f>
        <v/>
      </c>
      <c r="AT204" s="247">
        <f>_DATA_Assessment_Model!AQ204</f>
        <v/>
      </c>
      <c r="AU204" s="247">
        <f>_DATA_Assessment_Model!AR204</f>
        <v/>
      </c>
      <c r="AV204" s="5">
        <f>_DATA_Assessment_Model!AS204</f>
        <v/>
      </c>
      <c r="AW204" s="5">
        <f>_DATA_Assessment_Model!AT204</f>
        <v/>
      </c>
      <c r="AY204">
        <f>_DATA_Assessment_Model!AV204</f>
        <v/>
      </c>
    </row>
    <row r="205" ht="69" customHeight="1" s="209">
      <c r="A205" t="inlineStr">
        <is>
          <t>Supply Chain</t>
        </is>
      </c>
      <c r="B205" t="inlineStr">
        <is>
          <t>Supply Chain</t>
        </is>
      </c>
      <c r="C205" t="n">
        <v>10</v>
      </c>
      <c r="D205" s="3" t="inlineStr">
        <is>
          <t>SUPP-006</t>
        </is>
      </c>
      <c r="E205" s="3" t="inlineStr">
        <is>
          <t>Supply chain design</t>
        </is>
      </c>
      <c r="F205" s="3" t="inlineStr">
        <is>
          <t>How mature is the organization in managing pre-qualified alternative suppliers for critical categories, including ownership, evidence, metrics, fallback procedures and crisis stress testing?</t>
        </is>
      </c>
      <c r="G205" s="3" t="inlineStr">
        <is>
          <t>This topic affects exposure to Supplier/logistics disruption; Manufacturing disruption; Demand shock. It helps identify how disruption may impact operations, people, revenue, systems, legal exposure or recovery time.</t>
        </is>
      </c>
      <c r="H205" s="3" t="inlineStr">
        <is>
          <t>ISO 22301; ISO 20400; ISO 28000; SCOR Digital Standard; S&amp;OP/IBP; APICS/ASCM</t>
        </is>
      </c>
      <c r="I205" s="3" t="inlineStr">
        <is>
          <t>Policy/SOP; owner/RACI; system report; dashboard; contracts; test records; incident history; interview evidence related to pre-qualified alternative suppliers for critical categories.</t>
        </is>
      </c>
      <c r="J205" s="3" t="n">
        <v>5</v>
      </c>
      <c r="K205" s="85">
        <f>_DATA_Assessment_Model!H205</f>
        <v/>
      </c>
      <c r="L205" s="4">
        <f>_DATA_Assessment_Model!I205</f>
        <v/>
      </c>
      <c r="M205" s="4">
        <f>_DATA_Assessment_Model!J205</f>
        <v/>
      </c>
      <c r="N205" s="4">
        <f>_DATA_Assessment_Model!K205</f>
        <v/>
      </c>
      <c r="O205" s="3">
        <f>_DATA_Assessment_Model!L205</f>
        <v/>
      </c>
      <c r="P205" s="3" t="inlineStr">
        <is>
          <t>Does not exist; no owner, no documentation, no practice.</t>
        </is>
      </c>
      <c r="Q205" s="3" t="inlineStr">
        <is>
          <t>Ad hoc; depends entirely on specific individuals.</t>
        </is>
      </c>
      <c r="R205" s="3" t="inlineStr">
        <is>
          <t>Partially documented or implemented; coverage inconsistent; never tested under stress.</t>
        </is>
      </c>
      <c r="S205" s="3" t="inlineStr">
        <is>
          <t>Documented, owned, executed consistently; basic evidence and metrics exist.</t>
        </is>
      </c>
      <c r="T205" s="3" t="inlineStr">
        <is>
          <t>Measured and periodically tested/audited; integrated with adjacent processes.</t>
        </is>
      </c>
      <c r="U205" s="3" t="inlineStr">
        <is>
          <t>Optimized and automated where practical; stress-tested; benchmarked externally.</t>
        </is>
      </c>
      <c r="V205" s="3" t="inlineStr">
        <is>
          <t>Supplier/logistics disruption; Manufacturing disruption; Demand shock</t>
        </is>
      </c>
      <c r="W205" s="3" t="n"/>
      <c r="X205" s="3" t="n"/>
      <c r="Y205" s="3" t="inlineStr">
        <is>
          <t>Use the recommended action generated by the model; validate with domain owner during real assessment.</t>
        </is>
      </c>
      <c r="Z205" s="7" t="n">
        <v>4</v>
      </c>
      <c r="AA205" s="7" t="n">
        <v>5</v>
      </c>
      <c r="AB205" s="7" t="n">
        <v>5</v>
      </c>
      <c r="AK205" s="46" t="n"/>
      <c r="AL205" s="46" t="n"/>
      <c r="AM205" s="247">
        <f>_DATA_Assessment_Model!AJ205</f>
        <v/>
      </c>
      <c r="AN205" s="247">
        <f>_DATA_Assessment_Model!AK205</f>
        <v/>
      </c>
      <c r="AO205" s="247">
        <f>_DATA_Assessment_Model!AL205</f>
        <v/>
      </c>
      <c r="AP205" s="247">
        <f>_DATA_Assessment_Model!AM205</f>
        <v/>
      </c>
      <c r="AQ205" s="247">
        <f>_DATA_Assessment_Model!AN205</f>
        <v/>
      </c>
      <c r="AR205" s="247">
        <f>_DATA_Assessment_Model!AO205</f>
        <v/>
      </c>
      <c r="AS205" s="247">
        <f>_DATA_Assessment_Model!AP205</f>
        <v/>
      </c>
      <c r="AT205" s="247">
        <f>_DATA_Assessment_Model!AQ205</f>
        <v/>
      </c>
      <c r="AU205" s="247">
        <f>_DATA_Assessment_Model!AR205</f>
        <v/>
      </c>
      <c r="AV205" s="5">
        <f>_DATA_Assessment_Model!AS205</f>
        <v/>
      </c>
      <c r="AW205" s="5">
        <f>_DATA_Assessment_Model!AT205</f>
        <v/>
      </c>
      <c r="AY205">
        <f>_DATA_Assessment_Model!AV205</f>
        <v/>
      </c>
    </row>
    <row r="206" ht="82.8" customHeight="1" s="209">
      <c r="A206" t="inlineStr">
        <is>
          <t>Supply Chain</t>
        </is>
      </c>
      <c r="B206" t="inlineStr">
        <is>
          <t>Supply Chain</t>
        </is>
      </c>
      <c r="C206" t="n">
        <v>11</v>
      </c>
      <c r="D206" s="3" t="inlineStr">
        <is>
          <t>SUPP-007</t>
        </is>
      </c>
      <c r="E206" s="3" t="inlineStr">
        <is>
          <t>Logistics</t>
        </is>
      </c>
      <c r="F206" s="3" t="inlineStr">
        <is>
          <t>How mature is the organization in managing critical logistics routes, carriers, ports, borders, warehouses and transit risks, including ownership, evidence, metrics, fallback procedures and crisis stress testing?</t>
        </is>
      </c>
      <c r="G206" s="3" t="inlineStr">
        <is>
          <t>This topic affects exposure to Supplier/logistics disruption; Manufacturing disruption; Demand shock. It helps identify how disruption may impact operations, people, revenue, systems, legal exposure or recovery time.</t>
        </is>
      </c>
      <c r="H206" s="3" t="inlineStr">
        <is>
          <t>ISO 22301; ISO 20400; ISO 28000; SCOR Digital Standard; S&amp;OP/IBP; APICS/ASCM</t>
        </is>
      </c>
      <c r="I206" s="3" t="inlineStr">
        <is>
          <t>Policy/SOP; owner/RACI; system report; dashboard; contracts; test records; incident history; interview evidence related to critical logistics routes, carriers, ports, borders, warehouses and transit risks.</t>
        </is>
      </c>
      <c r="J206" s="3" t="n">
        <v>5</v>
      </c>
      <c r="K206" s="85">
        <f>_DATA_Assessment_Model!H206</f>
        <v/>
      </c>
      <c r="L206" s="4">
        <f>_DATA_Assessment_Model!I206</f>
        <v/>
      </c>
      <c r="M206" s="4">
        <f>_DATA_Assessment_Model!J206</f>
        <v/>
      </c>
      <c r="N206" s="4">
        <f>_DATA_Assessment_Model!K206</f>
        <v/>
      </c>
      <c r="O206" s="3">
        <f>_DATA_Assessment_Model!L206</f>
        <v/>
      </c>
      <c r="P206" s="3" t="inlineStr">
        <is>
          <t>Does not exist; no owner, no documentation, no practice.</t>
        </is>
      </c>
      <c r="Q206" s="3" t="inlineStr">
        <is>
          <t>Ad hoc; depends entirely on specific individuals.</t>
        </is>
      </c>
      <c r="R206" s="3" t="inlineStr">
        <is>
          <t>Partially documented or implemented; coverage inconsistent; never tested under stress.</t>
        </is>
      </c>
      <c r="S206" s="3" t="inlineStr">
        <is>
          <t>Documented, owned, executed consistently; basic evidence and metrics exist.</t>
        </is>
      </c>
      <c r="T206" s="3" t="inlineStr">
        <is>
          <t>Measured and periodically tested/audited; integrated with adjacent processes.</t>
        </is>
      </c>
      <c r="U206" s="3" t="inlineStr">
        <is>
          <t>Optimized and automated where practical; stress-tested; benchmarked externally.</t>
        </is>
      </c>
      <c r="V206" s="3" t="inlineStr">
        <is>
          <t>Supplier/logistics disruption; Manufacturing disruption; Demand shock</t>
        </is>
      </c>
      <c r="W206" s="3" t="n"/>
      <c r="X206" s="3" t="n"/>
      <c r="Y206" s="3" t="inlineStr">
        <is>
          <t>Use the recommended action generated by the model; validate with domain owner during real assessment.</t>
        </is>
      </c>
      <c r="Z206" s="7" t="n">
        <v>4</v>
      </c>
      <c r="AA206" s="7" t="n">
        <v>5</v>
      </c>
      <c r="AB206" s="7" t="n">
        <v>5</v>
      </c>
      <c r="AK206" s="46" t="n"/>
      <c r="AL206" s="46" t="n"/>
      <c r="AM206" s="247">
        <f>_DATA_Assessment_Model!AJ206</f>
        <v/>
      </c>
      <c r="AN206" s="247">
        <f>_DATA_Assessment_Model!AK206</f>
        <v/>
      </c>
      <c r="AO206" s="247">
        <f>_DATA_Assessment_Model!AL206</f>
        <v/>
      </c>
      <c r="AP206" s="247">
        <f>_DATA_Assessment_Model!AM206</f>
        <v/>
      </c>
      <c r="AQ206" s="247">
        <f>_DATA_Assessment_Model!AN206</f>
        <v/>
      </c>
      <c r="AR206" s="247">
        <f>_DATA_Assessment_Model!AO206</f>
        <v/>
      </c>
      <c r="AS206" s="247">
        <f>_DATA_Assessment_Model!AP206</f>
        <v/>
      </c>
      <c r="AT206" s="247">
        <f>_DATA_Assessment_Model!AQ206</f>
        <v/>
      </c>
      <c r="AU206" s="247">
        <f>_DATA_Assessment_Model!AR206</f>
        <v/>
      </c>
      <c r="AV206" s="5">
        <f>_DATA_Assessment_Model!AS206</f>
        <v/>
      </c>
      <c r="AW206" s="5">
        <f>_DATA_Assessment_Model!AT206</f>
        <v/>
      </c>
      <c r="AY206">
        <f>_DATA_Assessment_Model!AV206</f>
        <v/>
      </c>
    </row>
    <row r="207" ht="96.59999999999999" customHeight="1" s="209">
      <c r="A207" t="inlineStr">
        <is>
          <t>Supply Chain</t>
        </is>
      </c>
      <c r="B207" t="inlineStr">
        <is>
          <t>Supply Chain</t>
        </is>
      </c>
      <c r="C207" t="n">
        <v>12</v>
      </c>
      <c r="D207" s="3" t="inlineStr">
        <is>
          <t>SUPP-008</t>
        </is>
      </c>
      <c r="E207" s="3" t="inlineStr">
        <is>
          <t>Logistics</t>
        </is>
      </c>
      <c r="F207" s="3" t="inlineStr">
        <is>
          <t>How mature is the organization in managing alternative carriers, routes and warehouses for disruption scenarios, including ownership, evidence, metrics, fallback procedures and crisis stress testing?</t>
        </is>
      </c>
      <c r="G207" s="3" t="inlineStr">
        <is>
          <t>This topic affects exposure to Supplier/logistics disruption; Manufacturing disruption; Demand shock. It helps identify how disruption may impact operations, people, revenue, systems, legal exposure or recovery time.</t>
        </is>
      </c>
      <c r="H207" s="3" t="inlineStr">
        <is>
          <t>ISO 22301; ISO 20400; ISO 28000; SCOR Digital Standard; S&amp;OP/IBP; APICS/ASCM</t>
        </is>
      </c>
      <c r="I207" s="3" t="inlineStr">
        <is>
          <t>Policy/SOP; owner/RACI; system report; dashboard; contracts; test records; incident history; interview evidence related to alternative carriers, routes and warehouses for disruption scenarios.</t>
        </is>
      </c>
      <c r="J207" s="3" t="n">
        <v>3</v>
      </c>
      <c r="K207" s="85">
        <f>_DATA_Assessment_Model!H207</f>
        <v/>
      </c>
      <c r="L207" s="4">
        <f>_DATA_Assessment_Model!I207</f>
        <v/>
      </c>
      <c r="M207" s="4">
        <f>_DATA_Assessment_Model!J207</f>
        <v/>
      </c>
      <c r="N207" s="4">
        <f>_DATA_Assessment_Model!K207</f>
        <v/>
      </c>
      <c r="O207" s="3">
        <f>_DATA_Assessment_Model!L207</f>
        <v/>
      </c>
      <c r="P207" s="3" t="inlineStr">
        <is>
          <t>No reliable evidence that alternative carriers, routes and warehouses for disruption scenarios is defined, owned or managed.</t>
        </is>
      </c>
      <c r="Q207" s="3" t="inlineStr">
        <is>
          <t>Alternative carriers, routes and warehouses for disruption scenarios is handled informally and depends on individual knowledge or heroic effort.</t>
        </is>
      </c>
      <c r="R207" s="3" t="inlineStr">
        <is>
          <t>Alternative carriers, routes and warehouses for disruption scenarios is partially documented or implemented, but coverage is inconsistent and not crisis-tested.</t>
        </is>
      </c>
      <c r="S207" s="3" t="inlineStr">
        <is>
          <t>Alternative carriers, routes and warehouses for disruption scenarios is documented, owned, used in normal operations and supported by basic evidence or metrics.</t>
        </is>
      </c>
      <c r="T207" s="3" t="inlineStr">
        <is>
          <t>Alternative carriers, routes and warehouses for disruption scenarios is measured, periodically reviewed, integrated with related processes and tested against relevant disruption scenarios.</t>
        </is>
      </c>
      <c r="U207" s="3" t="inlineStr">
        <is>
          <t>Alternative carriers, routes and warehouses for disruption scenarios is optimized, continuously improved, automated where practical and demonstrably supports crisis resilience.</t>
        </is>
      </c>
      <c r="V207" s="3" t="inlineStr">
        <is>
          <t>Supplier/logistics disruption; Manufacturing disruption; Demand shock</t>
        </is>
      </c>
      <c r="W207" s="3" t="n"/>
      <c r="X207" s="3" t="n"/>
      <c r="Y207" s="3" t="inlineStr">
        <is>
          <t>Use the recommended action generated by the model; validate with domain owner during real assessment.</t>
        </is>
      </c>
      <c r="Z207" s="7" t="n">
        <v>4</v>
      </c>
      <c r="AA207" s="7" t="n">
        <v>5</v>
      </c>
      <c r="AB207" s="7" t="n">
        <v>5</v>
      </c>
      <c r="AK207" s="46" t="n"/>
      <c r="AL207" s="46" t="n"/>
      <c r="AM207" s="247">
        <f>_DATA_Assessment_Model!AJ207</f>
        <v/>
      </c>
      <c r="AN207" s="247">
        <f>_DATA_Assessment_Model!AK207</f>
        <v/>
      </c>
      <c r="AO207" s="247">
        <f>_DATA_Assessment_Model!AL207</f>
        <v/>
      </c>
      <c r="AP207" s="247">
        <f>_DATA_Assessment_Model!AM207</f>
        <v/>
      </c>
      <c r="AQ207" s="247">
        <f>_DATA_Assessment_Model!AN207</f>
        <v/>
      </c>
      <c r="AR207" s="247">
        <f>_DATA_Assessment_Model!AO207</f>
        <v/>
      </c>
      <c r="AS207" s="247">
        <f>_DATA_Assessment_Model!AP207</f>
        <v/>
      </c>
      <c r="AT207" s="247">
        <f>_DATA_Assessment_Model!AQ207</f>
        <v/>
      </c>
      <c r="AU207" s="247">
        <f>_DATA_Assessment_Model!AR207</f>
        <v/>
      </c>
      <c r="AV207" s="5">
        <f>_DATA_Assessment_Model!AS207</f>
        <v/>
      </c>
      <c r="AW207" s="5">
        <f>_DATA_Assessment_Model!AT207</f>
        <v/>
      </c>
      <c r="AY207">
        <f>_DATA_Assessment_Model!AV207</f>
        <v/>
      </c>
    </row>
    <row r="208" ht="82.8" customHeight="1" s="209">
      <c r="A208" t="inlineStr">
        <is>
          <t>Supply Chain</t>
        </is>
      </c>
      <c r="B208" t="inlineStr">
        <is>
          <t>Supply Chain</t>
        </is>
      </c>
      <c r="C208" t="n">
        <v>13</v>
      </c>
      <c r="D208" s="3" t="inlineStr">
        <is>
          <t>SUPP-009</t>
        </is>
      </c>
      <c r="E208" s="3" t="inlineStr">
        <is>
          <t>Logistics</t>
        </is>
      </c>
      <c r="F208" s="3" t="inlineStr">
        <is>
          <t>How mature is the organization in managing transport capacity for peak demand or disruption periods, including ownership, evidence, metrics, fallback procedures and crisis stress testing?</t>
        </is>
      </c>
      <c r="G208" s="3" t="inlineStr">
        <is>
          <t>This topic affects exposure to Supplier/logistics disruption; Manufacturing disruption; Demand shock. It helps identify how disruption may impact operations, people, revenue, systems, legal exposure or recovery time.</t>
        </is>
      </c>
      <c r="H208" s="3" t="inlineStr">
        <is>
          <t>ISO 22301; ISO 20400; ISO 28000; SCOR Digital Standard; S&amp;OP/IBP; APICS/ASCM</t>
        </is>
      </c>
      <c r="I208" s="3" t="inlineStr">
        <is>
          <t>Policy/SOP; owner/RACI; system report; dashboard; contracts; test records; incident history; interview evidence related to transport capacity for peak demand or disruption periods.</t>
        </is>
      </c>
      <c r="J208" s="3" t="n">
        <v>3</v>
      </c>
      <c r="K208" s="85">
        <f>_DATA_Assessment_Model!H208</f>
        <v/>
      </c>
      <c r="L208" s="4">
        <f>_DATA_Assessment_Model!I208</f>
        <v/>
      </c>
      <c r="M208" s="4">
        <f>_DATA_Assessment_Model!J208</f>
        <v/>
      </c>
      <c r="N208" s="4">
        <f>_DATA_Assessment_Model!K208</f>
        <v/>
      </c>
      <c r="O208" s="3">
        <f>_DATA_Assessment_Model!L208</f>
        <v/>
      </c>
      <c r="P208" s="3" t="inlineStr">
        <is>
          <t>No reliable evidence that transport capacity for peak demand or disruption periods is defined, owned or managed.</t>
        </is>
      </c>
      <c r="Q208" s="3" t="inlineStr">
        <is>
          <t>Transport capacity for peak demand or disruption periods is handled informally and depends on individual knowledge or heroic effort.</t>
        </is>
      </c>
      <c r="R208" s="3" t="inlineStr">
        <is>
          <t>Transport capacity for peak demand or disruption periods is partially documented or implemented, but coverage is inconsistent and not crisis-tested.</t>
        </is>
      </c>
      <c r="S208" s="3" t="inlineStr">
        <is>
          <t>Transport capacity for peak demand or disruption periods is documented, owned, used in normal operations and supported by basic evidence or metrics.</t>
        </is>
      </c>
      <c r="T208" s="3" t="inlineStr">
        <is>
          <t>Transport capacity for peak demand or disruption periods is measured, periodically reviewed, integrated with related processes and tested against relevant disruption scenarios.</t>
        </is>
      </c>
      <c r="U208" s="3" t="inlineStr">
        <is>
          <t>Transport capacity for peak demand or disruption periods is optimized, continuously improved, automated where practical and demonstrably supports crisis resilience.</t>
        </is>
      </c>
      <c r="V208" s="3" t="inlineStr">
        <is>
          <t>Supplier/logistics disruption; Manufacturing disruption; Demand shock</t>
        </is>
      </c>
      <c r="W208" s="3" t="n"/>
      <c r="X208" s="3" t="n"/>
      <c r="Y208" s="3" t="inlineStr">
        <is>
          <t>Use the recommended action generated by the model; validate with domain owner during real assessment.</t>
        </is>
      </c>
      <c r="Z208" s="7" t="n">
        <v>4</v>
      </c>
      <c r="AA208" s="7" t="n">
        <v>5</v>
      </c>
      <c r="AB208" s="7" t="n">
        <v>5</v>
      </c>
      <c r="AK208" s="46" t="n"/>
      <c r="AL208" s="46" t="n"/>
      <c r="AM208" s="247">
        <f>_DATA_Assessment_Model!AJ208</f>
        <v/>
      </c>
      <c r="AN208" s="247">
        <f>_DATA_Assessment_Model!AK208</f>
        <v/>
      </c>
      <c r="AO208" s="247">
        <f>_DATA_Assessment_Model!AL208</f>
        <v/>
      </c>
      <c r="AP208" s="247">
        <f>_DATA_Assessment_Model!AM208</f>
        <v/>
      </c>
      <c r="AQ208" s="247">
        <f>_DATA_Assessment_Model!AN208</f>
        <v/>
      </c>
      <c r="AR208" s="247">
        <f>_DATA_Assessment_Model!AO208</f>
        <v/>
      </c>
      <c r="AS208" s="247">
        <f>_DATA_Assessment_Model!AP208</f>
        <v/>
      </c>
      <c r="AT208" s="247">
        <f>_DATA_Assessment_Model!AQ208</f>
        <v/>
      </c>
      <c r="AU208" s="247">
        <f>_DATA_Assessment_Model!AR208</f>
        <v/>
      </c>
      <c r="AV208" s="5">
        <f>_DATA_Assessment_Model!AS208</f>
        <v/>
      </c>
      <c r="AW208" s="5">
        <f>_DATA_Assessment_Model!AT208</f>
        <v/>
      </c>
      <c r="AY208">
        <f>_DATA_Assessment_Model!AV208</f>
        <v/>
      </c>
    </row>
    <row r="209" ht="82.8" customHeight="1" s="209">
      <c r="A209" t="inlineStr">
        <is>
          <t>Supply Chain</t>
        </is>
      </c>
      <c r="B209" t="inlineStr">
        <is>
          <t>Supply Chain</t>
        </is>
      </c>
      <c r="C209" t="n">
        <v>14</v>
      </c>
      <c r="D209" s="3" t="inlineStr">
        <is>
          <t>SUPP-010</t>
        </is>
      </c>
      <c r="E209" s="3" t="inlineStr">
        <is>
          <t>Logistics</t>
        </is>
      </c>
      <c r="F209" s="3" t="inlineStr">
        <is>
          <t>How mature is the organization in managing shipment tracking and reliable ETA communication for critical shipments, including ownership, evidence, metrics, fallback procedures and crisis stress testing?</t>
        </is>
      </c>
      <c r="G209" s="3" t="inlineStr">
        <is>
          <t>This topic affects exposure to Supplier/logistics disruption; Manufacturing disruption; Demand shock. It helps identify how disruption may impact operations, people, revenue, systems, legal exposure or recovery time.</t>
        </is>
      </c>
      <c r="H209" s="3" t="inlineStr">
        <is>
          <t>ISO 22301; ISO 20400; ISO 28000; SCOR Digital Standard; S&amp;OP/IBP; APICS/ASCM</t>
        </is>
      </c>
      <c r="I209" s="3" t="inlineStr">
        <is>
          <t>Policy/SOP; owner/RACI; system report; dashboard; contracts; test records; incident history; interview evidence related to shipment tracking and reliable ETA communication for critical shipments.</t>
        </is>
      </c>
      <c r="J209" s="3" t="n">
        <v>5</v>
      </c>
      <c r="K209" s="85">
        <f>_DATA_Assessment_Model!H209</f>
        <v/>
      </c>
      <c r="L209" s="4">
        <f>_DATA_Assessment_Model!I209</f>
        <v/>
      </c>
      <c r="M209" s="4">
        <f>_DATA_Assessment_Model!J209</f>
        <v/>
      </c>
      <c r="N209" s="4">
        <f>_DATA_Assessment_Model!K209</f>
        <v/>
      </c>
      <c r="O209" s="3">
        <f>_DATA_Assessment_Model!L209</f>
        <v/>
      </c>
      <c r="P209" s="3" t="inlineStr">
        <is>
          <t>Nothing is monitored or measured.</t>
        </is>
      </c>
      <c r="Q209" s="3" t="inlineStr">
        <is>
          <t>Occasional manual checks by individuals.</t>
        </is>
      </c>
      <c r="R209" s="3" t="inlineStr">
        <is>
          <t>Some metrics exist but are not reviewed regularly and trigger no action.</t>
        </is>
      </c>
      <c r="S209" s="3" t="inlineStr">
        <is>
          <t>Defined metrics with an owner, reviewed on a set cadence.</t>
        </is>
      </c>
      <c r="T209" s="3" t="inlineStr">
        <is>
          <t>Thresholds and alerts in place; deviations trigger documented action; trends analyzed.</t>
        </is>
      </c>
      <c r="U209" s="3" t="inlineStr">
        <is>
          <t>Automated monitoring with leading indicators, integrated into management decisions.</t>
        </is>
      </c>
      <c r="V209" s="3" t="inlineStr">
        <is>
          <t>Supplier/logistics disruption; Manufacturing disruption; Demand shock</t>
        </is>
      </c>
      <c r="W209" s="3" t="n"/>
      <c r="X209" s="3" t="n"/>
      <c r="Y209" s="3" t="inlineStr">
        <is>
          <t>Use the recommended action generated by the model; validate with domain owner during real assessment.</t>
        </is>
      </c>
      <c r="Z209" s="7" t="n">
        <v>4</v>
      </c>
      <c r="AA209" s="7" t="n">
        <v>5</v>
      </c>
      <c r="AB209" s="7" t="n">
        <v>5</v>
      </c>
      <c r="AK209" s="46" t="n"/>
      <c r="AL209" s="46" t="n"/>
      <c r="AM209" s="247">
        <f>_DATA_Assessment_Model!AJ209</f>
        <v/>
      </c>
      <c r="AN209" s="247">
        <f>_DATA_Assessment_Model!AK209</f>
        <v/>
      </c>
      <c r="AO209" s="247">
        <f>_DATA_Assessment_Model!AL209</f>
        <v/>
      </c>
      <c r="AP209" s="247">
        <f>_DATA_Assessment_Model!AM209</f>
        <v/>
      </c>
      <c r="AQ209" s="247">
        <f>_DATA_Assessment_Model!AN209</f>
        <v/>
      </c>
      <c r="AR209" s="247">
        <f>_DATA_Assessment_Model!AO209</f>
        <v/>
      </c>
      <c r="AS209" s="247">
        <f>_DATA_Assessment_Model!AP209</f>
        <v/>
      </c>
      <c r="AT209" s="247">
        <f>_DATA_Assessment_Model!AQ209</f>
        <v/>
      </c>
      <c r="AU209" s="247">
        <f>_DATA_Assessment_Model!AR209</f>
        <v/>
      </c>
      <c r="AV209" s="5">
        <f>_DATA_Assessment_Model!AS209</f>
        <v/>
      </c>
      <c r="AW209" s="5">
        <f>_DATA_Assessment_Model!AT209</f>
        <v/>
      </c>
      <c r="AY209">
        <f>_DATA_Assessment_Model!AV209</f>
        <v/>
      </c>
    </row>
    <row r="210" ht="96.59999999999999" customHeight="1" s="209">
      <c r="A210" t="inlineStr">
        <is>
          <t>Supply Chain</t>
        </is>
      </c>
      <c r="B210" t="inlineStr">
        <is>
          <t>Supply Chain</t>
        </is>
      </c>
      <c r="C210" t="n">
        <v>15</v>
      </c>
      <c r="D210" s="3" t="inlineStr">
        <is>
          <t>SUPP-011</t>
        </is>
      </c>
      <c r="E210" s="3" t="inlineStr">
        <is>
          <t>Logistics</t>
        </is>
      </c>
      <c r="F210" s="3" t="inlineStr">
        <is>
          <t>How mature is the organization in managing customs, import/export, sanctions and trade documentation controls, including ownership, evidence, metrics, fallback procedures and crisis stress testing?</t>
        </is>
      </c>
      <c r="G210" s="3" t="inlineStr">
        <is>
          <t>This topic affects exposure to Supplier/logistics disruption; Manufacturing disruption; Demand shock. It helps identify how disruption may impact operations, people, revenue, systems, legal exposure or recovery time.</t>
        </is>
      </c>
      <c r="H210" s="3" t="inlineStr">
        <is>
          <t>ISO 22301; ISO 20400; ISO 28000; SCOR Digital Standard; S&amp;OP/IBP; APICS/ASCM</t>
        </is>
      </c>
      <c r="I210" s="3" t="inlineStr">
        <is>
          <t>Policy/SOP; owner/RACI; system report; dashboard; contracts; test records; incident history; interview evidence related to customs, import/export, sanctions and trade documentation controls.</t>
        </is>
      </c>
      <c r="J210" s="3" t="n">
        <v>3</v>
      </c>
      <c r="K210" s="85">
        <f>_DATA_Assessment_Model!H210</f>
        <v/>
      </c>
      <c r="L210" s="4">
        <f>_DATA_Assessment_Model!I210</f>
        <v/>
      </c>
      <c r="M210" s="4">
        <f>_DATA_Assessment_Model!J210</f>
        <v/>
      </c>
      <c r="N210" s="4">
        <f>_DATA_Assessment_Model!K210</f>
        <v/>
      </c>
      <c r="O210" s="3">
        <f>_DATA_Assessment_Model!L210</f>
        <v/>
      </c>
      <c r="P210" s="3" t="inlineStr">
        <is>
          <t>No reliable evidence that customs, import/export, sanctions and trade documentation controls is defined, owned or managed.</t>
        </is>
      </c>
      <c r="Q210" s="3" t="inlineStr">
        <is>
          <t>Customs, import/export, sanctions and trade documentation controls is handled informally and depends on individual knowledge or heroic effort.</t>
        </is>
      </c>
      <c r="R210" s="3" t="inlineStr">
        <is>
          <t>Customs, import/export, sanctions and trade documentation controls is partially documented or implemented, but coverage is inconsistent and not crisis-tested.</t>
        </is>
      </c>
      <c r="S210" s="3" t="inlineStr">
        <is>
          <t>Customs, import/export, sanctions and trade documentation controls is documented, owned, used in normal operations and supported by basic evidence or metrics.</t>
        </is>
      </c>
      <c r="T210" s="3" t="inlineStr">
        <is>
          <t>Customs, import/export, sanctions and trade documentation controls is measured, periodically reviewed, integrated with related processes and tested against relevant disruption scenarios.</t>
        </is>
      </c>
      <c r="U210" s="3" t="inlineStr">
        <is>
          <t>Customs, import/export, sanctions and trade documentation controls is optimized, continuously improved, automated where practical and demonstrably supports crisis resilience.</t>
        </is>
      </c>
      <c r="V210" s="3" t="inlineStr">
        <is>
          <t>Supplier/logistics disruption; Manufacturing disruption; Demand shock</t>
        </is>
      </c>
      <c r="W210" s="3" t="n"/>
      <c r="X210" s="3" t="n"/>
      <c r="Y210" s="3" t="inlineStr">
        <is>
          <t>Use the recommended action generated by the model; validate with domain owner during real assessment.</t>
        </is>
      </c>
      <c r="Z210" s="7" t="n">
        <v>4</v>
      </c>
      <c r="AA210" s="7" t="n">
        <v>5</v>
      </c>
      <c r="AB210" s="7" t="n">
        <v>5</v>
      </c>
      <c r="AK210" s="46" t="n"/>
      <c r="AL210" s="46" t="n"/>
      <c r="AM210" s="247">
        <f>_DATA_Assessment_Model!AJ210</f>
        <v/>
      </c>
      <c r="AN210" s="247">
        <f>_DATA_Assessment_Model!AK210</f>
        <v/>
      </c>
      <c r="AO210" s="247">
        <f>_DATA_Assessment_Model!AL210</f>
        <v/>
      </c>
      <c r="AP210" s="247">
        <f>_DATA_Assessment_Model!AM210</f>
        <v/>
      </c>
      <c r="AQ210" s="247">
        <f>_DATA_Assessment_Model!AN210</f>
        <v/>
      </c>
      <c r="AR210" s="247">
        <f>_DATA_Assessment_Model!AO210</f>
        <v/>
      </c>
      <c r="AS210" s="247">
        <f>_DATA_Assessment_Model!AP210</f>
        <v/>
      </c>
      <c r="AT210" s="247">
        <f>_DATA_Assessment_Model!AQ210</f>
        <v/>
      </c>
      <c r="AU210" s="247">
        <f>_DATA_Assessment_Model!AR210</f>
        <v/>
      </c>
      <c r="AV210" s="5">
        <f>_DATA_Assessment_Model!AS210</f>
        <v/>
      </c>
      <c r="AW210" s="5">
        <f>_DATA_Assessment_Model!AT210</f>
        <v/>
      </c>
      <c r="AY210">
        <f>_DATA_Assessment_Model!AV210</f>
        <v/>
      </c>
    </row>
    <row r="211" ht="82.8" customHeight="1" s="209">
      <c r="A211" t="inlineStr">
        <is>
          <t>Supply Chain</t>
        </is>
      </c>
      <c r="B211" t="inlineStr">
        <is>
          <t>Supply Chain</t>
        </is>
      </c>
      <c r="C211" t="n">
        <v>16</v>
      </c>
      <c r="D211" s="3" t="inlineStr">
        <is>
          <t>SUPP-012</t>
        </is>
      </c>
      <c r="E211" s="3" t="inlineStr">
        <is>
          <t>Logistics</t>
        </is>
      </c>
      <c r="F211" s="3" t="inlineStr">
        <is>
          <t>How mature is the organization in managing Incoterms, insurance, liability and delivery obligations for critical flows, including ownership, evidence, metrics, fallback procedures and crisis stress testing?</t>
        </is>
      </c>
      <c r="G211" s="3" t="inlineStr">
        <is>
          <t>This topic affects exposure to Supplier/logistics disruption; Manufacturing disruption; Demand shock. It helps identify how disruption may impact operations, people, revenue, systems, legal exposure or recovery time.</t>
        </is>
      </c>
      <c r="H211" s="3" t="inlineStr">
        <is>
          <t>ISO 22301; ISO 20400; ISO 28000; SCOR Digital Standard; S&amp;OP/IBP; APICS/ASCM</t>
        </is>
      </c>
      <c r="I211" s="3" t="inlineStr">
        <is>
          <t>Policy/SOP; owner/RACI; system report; dashboard; contracts; test records; incident history; interview evidence related to Incoterms, insurance, liability and delivery obligations for critical flows.</t>
        </is>
      </c>
      <c r="J211" s="3" t="n">
        <v>5</v>
      </c>
      <c r="K211" s="85">
        <f>_DATA_Assessment_Model!H211</f>
        <v/>
      </c>
      <c r="L211" s="4">
        <f>_DATA_Assessment_Model!I211</f>
        <v/>
      </c>
      <c r="M211" s="4">
        <f>_DATA_Assessment_Model!J211</f>
        <v/>
      </c>
      <c r="N211" s="4">
        <f>_DATA_Assessment_Model!K211</f>
        <v/>
      </c>
      <c r="O211" s="3">
        <f>_DATA_Assessment_Model!L211</f>
        <v/>
      </c>
      <c r="P211" s="3" t="inlineStr">
        <is>
          <t>Does not exist; no owner, no documentation, no practice.</t>
        </is>
      </c>
      <c r="Q211" s="3" t="inlineStr">
        <is>
          <t>Ad hoc; depends entirely on specific individuals.</t>
        </is>
      </c>
      <c r="R211" s="3" t="inlineStr">
        <is>
          <t>Partially documented or implemented; coverage inconsistent; never tested under stress.</t>
        </is>
      </c>
      <c r="S211" s="3" t="inlineStr">
        <is>
          <t>Documented, owned, executed consistently; basic evidence and metrics exist.</t>
        </is>
      </c>
      <c r="T211" s="3" t="inlineStr">
        <is>
          <t>Measured and periodically tested/audited; integrated with adjacent processes.</t>
        </is>
      </c>
      <c r="U211" s="3" t="inlineStr">
        <is>
          <t>Optimized and automated where practical; stress-tested; benchmarked externally.</t>
        </is>
      </c>
      <c r="V211" s="3" t="inlineStr">
        <is>
          <t>Supplier/logistics disruption; Manufacturing disruption; Demand shock</t>
        </is>
      </c>
      <c r="W211" s="3" t="n"/>
      <c r="X211" s="3" t="n"/>
      <c r="Y211" s="3" t="inlineStr">
        <is>
          <t>Use the recommended action generated by the model; validate with domain owner during real assessment.</t>
        </is>
      </c>
      <c r="Z211" s="7" t="n">
        <v>4</v>
      </c>
      <c r="AA211" s="7" t="n">
        <v>5</v>
      </c>
      <c r="AB211" s="7" t="n">
        <v>5</v>
      </c>
      <c r="AK211" s="46" t="n"/>
      <c r="AL211" s="46" t="n"/>
      <c r="AM211" s="247">
        <f>_DATA_Assessment_Model!AJ211</f>
        <v/>
      </c>
      <c r="AN211" s="247">
        <f>_DATA_Assessment_Model!AK211</f>
        <v/>
      </c>
      <c r="AO211" s="247">
        <f>_DATA_Assessment_Model!AL211</f>
        <v/>
      </c>
      <c r="AP211" s="247">
        <f>_DATA_Assessment_Model!AM211</f>
        <v/>
      </c>
      <c r="AQ211" s="247">
        <f>_DATA_Assessment_Model!AN211</f>
        <v/>
      </c>
      <c r="AR211" s="247">
        <f>_DATA_Assessment_Model!AO211</f>
        <v/>
      </c>
      <c r="AS211" s="247">
        <f>_DATA_Assessment_Model!AP211</f>
        <v/>
      </c>
      <c r="AT211" s="247">
        <f>_DATA_Assessment_Model!AQ211</f>
        <v/>
      </c>
      <c r="AU211" s="247">
        <f>_DATA_Assessment_Model!AR211</f>
        <v/>
      </c>
      <c r="AV211" s="5">
        <f>_DATA_Assessment_Model!AS211</f>
        <v/>
      </c>
      <c r="AW211" s="5">
        <f>_DATA_Assessment_Model!AT211</f>
        <v/>
      </c>
      <c r="AY211">
        <f>_DATA_Assessment_Model!AV211</f>
        <v/>
      </c>
    </row>
    <row r="212" ht="82.8" customHeight="1" s="209">
      <c r="A212" t="inlineStr">
        <is>
          <t>Supply Chain</t>
        </is>
      </c>
      <c r="B212" t="inlineStr">
        <is>
          <t>Supply Chain</t>
        </is>
      </c>
      <c r="C212" t="n">
        <v>17</v>
      </c>
      <c r="D212" s="3" t="inlineStr">
        <is>
          <t>SUPP-013</t>
        </is>
      </c>
      <c r="E212" s="3" t="inlineStr">
        <is>
          <t>Inventory and planning</t>
        </is>
      </c>
      <c r="F212" s="3" t="inlineStr">
        <is>
          <t>How mature is the organization in managing safety stock, reorder points, min/max levels and buffer rules by criticality and lead time, including ownership, evidence, metrics, fallback procedures and crisis stress testing?</t>
        </is>
      </c>
      <c r="G212" s="3" t="inlineStr">
        <is>
          <t>This topic affects exposure to Supplier/logistics disruption; Manufacturing disruption; Demand shock. It helps identify how disruption may impact operations, people, revenue, systems, legal exposure or recovery time.</t>
        </is>
      </c>
      <c r="H212" s="3" t="inlineStr">
        <is>
          <t>ISO 22301; ISO 20400; ISO 28000; SCOR Digital Standard; S&amp;OP/IBP; APICS/ASCM</t>
        </is>
      </c>
      <c r="I212" s="3" t="inlineStr">
        <is>
          <t>Policy/SOP; owner/RACI; system report; dashboard; contracts; test records; incident history; interview evidence related to safety stock, reorder points, min/max levels and buffer rules by criticality and lead time.</t>
        </is>
      </c>
      <c r="J212" s="3" t="n">
        <v>5</v>
      </c>
      <c r="K212" s="85">
        <f>_DATA_Assessment_Model!H212</f>
        <v/>
      </c>
      <c r="L212" s="4">
        <f>_DATA_Assessment_Model!I212</f>
        <v/>
      </c>
      <c r="M212" s="4">
        <f>_DATA_Assessment_Model!J212</f>
        <v/>
      </c>
      <c r="N212" s="4">
        <f>_DATA_Assessment_Model!K212</f>
        <v/>
      </c>
      <c r="O212" s="3">
        <f>_DATA_Assessment_Model!L212</f>
        <v/>
      </c>
      <c r="P212" s="3" t="inlineStr">
        <is>
          <t>Does not exist; no owner, no documentation, no practice.</t>
        </is>
      </c>
      <c r="Q212" s="3" t="inlineStr">
        <is>
          <t>Ad hoc; depends entirely on specific individuals.</t>
        </is>
      </c>
      <c r="R212" s="3" t="inlineStr">
        <is>
          <t>Partially documented or implemented; coverage inconsistent; never tested under stress.</t>
        </is>
      </c>
      <c r="S212" s="3" t="inlineStr">
        <is>
          <t>Documented, owned, executed consistently; basic evidence and metrics exist.</t>
        </is>
      </c>
      <c r="T212" s="3" t="inlineStr">
        <is>
          <t>Measured and periodically tested/audited; integrated with adjacent processes.</t>
        </is>
      </c>
      <c r="U212" s="3" t="inlineStr">
        <is>
          <t>Optimized and automated where practical; stress-tested; benchmarked externally.</t>
        </is>
      </c>
      <c r="V212" s="3" t="inlineStr">
        <is>
          <t>Supplier/logistics disruption; Manufacturing disruption; Demand shock</t>
        </is>
      </c>
      <c r="W212" s="3" t="n"/>
      <c r="X212" s="3" t="n"/>
      <c r="Y212" s="3" t="inlineStr">
        <is>
          <t>Use the recommended action generated by the model; validate with domain owner during real assessment.</t>
        </is>
      </c>
      <c r="Z212" s="7" t="n">
        <v>4</v>
      </c>
      <c r="AA212" s="7" t="n">
        <v>5</v>
      </c>
      <c r="AB212" s="7" t="n">
        <v>5</v>
      </c>
      <c r="AK212" s="46" t="n"/>
      <c r="AL212" s="46" t="n"/>
      <c r="AM212" s="247">
        <f>_DATA_Assessment_Model!AJ212</f>
        <v/>
      </c>
      <c r="AN212" s="247">
        <f>_DATA_Assessment_Model!AK212</f>
        <v/>
      </c>
      <c r="AO212" s="247">
        <f>_DATA_Assessment_Model!AL212</f>
        <v/>
      </c>
      <c r="AP212" s="247">
        <f>_DATA_Assessment_Model!AM212</f>
        <v/>
      </c>
      <c r="AQ212" s="247">
        <f>_DATA_Assessment_Model!AN212</f>
        <v/>
      </c>
      <c r="AR212" s="247">
        <f>_DATA_Assessment_Model!AO212</f>
        <v/>
      </c>
      <c r="AS212" s="247">
        <f>_DATA_Assessment_Model!AP212</f>
        <v/>
      </c>
      <c r="AT212" s="247">
        <f>_DATA_Assessment_Model!AQ212</f>
        <v/>
      </c>
      <c r="AU212" s="247">
        <f>_DATA_Assessment_Model!AR212</f>
        <v/>
      </c>
      <c r="AV212" s="5">
        <f>_DATA_Assessment_Model!AS212</f>
        <v/>
      </c>
      <c r="AW212" s="5">
        <f>_DATA_Assessment_Model!AT212</f>
        <v/>
      </c>
      <c r="AY212">
        <f>_DATA_Assessment_Model!AV212</f>
        <v/>
      </c>
    </row>
    <row r="213" ht="96.59999999999999" customHeight="1" s="209">
      <c r="A213" t="inlineStr">
        <is>
          <t>Supply Chain</t>
        </is>
      </c>
      <c r="B213" t="inlineStr">
        <is>
          <t>Supply Chain</t>
        </is>
      </c>
      <c r="C213" t="n">
        <v>18</v>
      </c>
      <c r="D213" s="3" t="inlineStr">
        <is>
          <t>SUPP-014</t>
        </is>
      </c>
      <c r="E213" s="3" t="inlineStr">
        <is>
          <t>Inventory and planning</t>
        </is>
      </c>
      <c r="F213" s="3" t="inlineStr">
        <is>
          <t>How mature is the organization in managing inventory visibility by SKU, location, status, shelf life, batch and ownership, including ownership, evidence, metrics, fallback procedures and crisis stress testing?</t>
        </is>
      </c>
      <c r="G213" s="3" t="inlineStr">
        <is>
          <t>This topic affects exposure to Supplier/logistics disruption; Manufacturing disruption; Demand shock. It helps identify how disruption may impact operations, people, revenue, systems, legal exposure or recovery time.</t>
        </is>
      </c>
      <c r="H213" s="3" t="inlineStr">
        <is>
          <t>ISO 22301; ISO 20400; ISO 28000; SCOR Digital Standard; S&amp;OP/IBP; APICS/ASCM</t>
        </is>
      </c>
      <c r="I213" s="3" t="inlineStr">
        <is>
          <t>Policy/SOP; owner/RACI; system report; dashboard; contracts; test records; incident history; interview evidence related to inventory visibility by SKU, location, status, shelf life, batch and ownership.</t>
        </is>
      </c>
      <c r="J213" s="3" t="n">
        <v>4</v>
      </c>
      <c r="K213" s="85">
        <f>_DATA_Assessment_Model!H213</f>
        <v/>
      </c>
      <c r="L213" s="4">
        <f>_DATA_Assessment_Model!I213</f>
        <v/>
      </c>
      <c r="M213" s="4">
        <f>_DATA_Assessment_Model!J213</f>
        <v/>
      </c>
      <c r="N213" s="4">
        <f>_DATA_Assessment_Model!K213</f>
        <v/>
      </c>
      <c r="O213" s="3">
        <f>_DATA_Assessment_Model!L213</f>
        <v/>
      </c>
      <c r="P213" s="3" t="inlineStr">
        <is>
          <t>No reliable evidence that inventory visibility by sku, location, status, shelf life, batch and ownership is defined, owned or managed.</t>
        </is>
      </c>
      <c r="Q213" s="3" t="inlineStr">
        <is>
          <t>Inventory visibility by SKU, location, status, shelf life, batch and ownership is handled informally and depends on individual knowledge or heroic effort.</t>
        </is>
      </c>
      <c r="R213" s="3" t="inlineStr">
        <is>
          <t>Inventory visibility by SKU, location, status, shelf life, batch and ownership is partially documented or implemented, but coverage is inconsistent and not crisis-tested.</t>
        </is>
      </c>
      <c r="S213" s="3" t="inlineStr">
        <is>
          <t>Inventory visibility by SKU, location, status, shelf life, batch and ownership is documented, owned, used in normal operations and supported by basic evidence or metrics.</t>
        </is>
      </c>
      <c r="T213" s="3" t="inlineStr">
        <is>
          <t>Inventory visibility by SKU, location, status, shelf life, batch and ownership is measured, periodically reviewed, integrated with related processes and tested against relevant disruption scenarios.</t>
        </is>
      </c>
      <c r="U213" s="3" t="inlineStr">
        <is>
          <t>Inventory visibility by SKU, location, status, shelf life, batch and ownership is optimized, continuously improved, automated where practical and demonstrably supports crisis resilience.</t>
        </is>
      </c>
      <c r="V213" s="3" t="inlineStr">
        <is>
          <t>Supplier/logistics disruption; Manufacturing disruption; Demand shock</t>
        </is>
      </c>
      <c r="W213" s="3" t="n"/>
      <c r="X213" s="3" t="n"/>
      <c r="Y213" s="3" t="inlineStr">
        <is>
          <t>Use the recommended action generated by the model; validate with domain owner during real assessment.</t>
        </is>
      </c>
      <c r="Z213" s="7" t="n">
        <v>4</v>
      </c>
      <c r="AA213" s="7" t="n">
        <v>5</v>
      </c>
      <c r="AB213" s="7" t="n">
        <v>5</v>
      </c>
      <c r="AK213" s="46" t="n"/>
      <c r="AL213" s="46" t="n"/>
      <c r="AM213" s="247">
        <f>_DATA_Assessment_Model!AJ213</f>
        <v/>
      </c>
      <c r="AN213" s="247">
        <f>_DATA_Assessment_Model!AK213</f>
        <v/>
      </c>
      <c r="AO213" s="247">
        <f>_DATA_Assessment_Model!AL213</f>
        <v/>
      </c>
      <c r="AP213" s="247">
        <f>_DATA_Assessment_Model!AM213</f>
        <v/>
      </c>
      <c r="AQ213" s="247">
        <f>_DATA_Assessment_Model!AN213</f>
        <v/>
      </c>
      <c r="AR213" s="247">
        <f>_DATA_Assessment_Model!AO213</f>
        <v/>
      </c>
      <c r="AS213" s="247">
        <f>_DATA_Assessment_Model!AP213</f>
        <v/>
      </c>
      <c r="AT213" s="247">
        <f>_DATA_Assessment_Model!AQ213</f>
        <v/>
      </c>
      <c r="AU213" s="247">
        <f>_DATA_Assessment_Model!AR213</f>
        <v/>
      </c>
      <c r="AV213" s="5">
        <f>_DATA_Assessment_Model!AS213</f>
        <v/>
      </c>
      <c r="AW213" s="5">
        <f>_DATA_Assessment_Model!AT213</f>
        <v/>
      </c>
      <c r="AY213">
        <f>_DATA_Assessment_Model!AV213</f>
        <v/>
      </c>
    </row>
    <row r="214" ht="110.4" customHeight="1" s="209">
      <c r="A214" t="inlineStr">
        <is>
          <t>Supply Chain</t>
        </is>
      </c>
      <c r="B214" t="inlineStr">
        <is>
          <t>Supply Chain</t>
        </is>
      </c>
      <c r="C214" t="n">
        <v>19</v>
      </c>
      <c r="D214" s="3" t="inlineStr">
        <is>
          <t>SUPP-015</t>
        </is>
      </c>
      <c r="E214" s="3" t="inlineStr">
        <is>
          <t>Inventory and planning</t>
        </is>
      </c>
      <c r="F214" s="3" t="inlineStr">
        <is>
          <t>How mature is the organization in managing slow-moving, obsolete or stagnant inventory analysis linked to sales and procurement decisions, including ownership, evidence, metrics, fallback procedures and crisis stress testing?</t>
        </is>
      </c>
      <c r="G214" s="3" t="inlineStr">
        <is>
          <t>This topic affects exposure to Supplier/logistics disruption; Manufacturing disruption; Demand shock. It helps identify how disruption may impact operations, people, revenue, systems, legal exposure or recovery time.</t>
        </is>
      </c>
      <c r="H214" s="3" t="inlineStr">
        <is>
          <t>ISO 22301; ISO 20400; ISO 28000; SCOR Digital Standard; S&amp;OP/IBP; APICS/ASCM</t>
        </is>
      </c>
      <c r="I214" s="3" t="inlineStr">
        <is>
          <t>Policy/SOP; owner/RACI; system report; dashboard; contracts; test records; incident history; interview evidence related to slow-moving, obsolete or stagnant inventory analysis linked to sales and procurement decisions.</t>
        </is>
      </c>
      <c r="J214" s="3" t="n">
        <v>4</v>
      </c>
      <c r="K214" s="85">
        <f>_DATA_Assessment_Model!H214</f>
        <v/>
      </c>
      <c r="L214" s="4">
        <f>_DATA_Assessment_Model!I214</f>
        <v/>
      </c>
      <c r="M214" s="4">
        <f>_DATA_Assessment_Model!J214</f>
        <v/>
      </c>
      <c r="N214" s="4">
        <f>_DATA_Assessment_Model!K214</f>
        <v/>
      </c>
      <c r="O214" s="3">
        <f>_DATA_Assessment_Model!L214</f>
        <v/>
      </c>
      <c r="P214" s="3" t="inlineStr">
        <is>
          <t>No reliable evidence that slow-moving, obsolete or stagnant inventory analysis linked to sales and procurement decisions is defined, owned or managed.</t>
        </is>
      </c>
      <c r="Q214" s="3" t="inlineStr">
        <is>
          <t>Slow-moving, obsolete or stagnant inventory analysis linked to sales and procurement decisions is handled informally and depends on individual knowledge or heroic effort.</t>
        </is>
      </c>
      <c r="R214" s="3" t="inlineStr">
        <is>
          <t>Slow-moving, obsolete or stagnant inventory analysis linked to sales and procurement decisions is partially documented or implemented, but coverage is inconsistent and not crisis-tested.</t>
        </is>
      </c>
      <c r="S214" s="3" t="inlineStr">
        <is>
          <t>Slow-moving, obsolete or stagnant inventory analysis linked to sales and procurement decisions is documented, owned, used in normal operations and supported by basic evidence or metrics.</t>
        </is>
      </c>
      <c r="T214" s="3" t="inlineStr">
        <is>
          <t>Slow-moving, obsolete or stagnant inventory analysis linked to sales and procurement decisions is measured, periodically reviewed, integrated with related processes and tested against relevant disruption scenarios.</t>
        </is>
      </c>
      <c r="U214" s="3" t="inlineStr">
        <is>
          <t>Slow-moving, obsolete or stagnant inventory analysis linked to sales and procurement decisions is optimized, continuously improved, automated where practical and demonstrably supports crisis resilience.</t>
        </is>
      </c>
      <c r="V214" s="3" t="inlineStr">
        <is>
          <t>Supplier/logistics disruption; Manufacturing disruption; Demand shock</t>
        </is>
      </c>
      <c r="W214" s="3" t="n"/>
      <c r="X214" s="3" t="n"/>
      <c r="Y214" s="3" t="inlineStr">
        <is>
          <t>Use the recommended action generated by the model; validate with domain owner during real assessment.</t>
        </is>
      </c>
      <c r="Z214" s="7" t="n">
        <v>4</v>
      </c>
      <c r="AA214" s="7" t="n">
        <v>5</v>
      </c>
      <c r="AB214" s="7" t="n">
        <v>5</v>
      </c>
      <c r="AK214" s="46" t="n"/>
      <c r="AL214" s="46" t="n"/>
      <c r="AM214" s="247">
        <f>_DATA_Assessment_Model!AJ214</f>
        <v/>
      </c>
      <c r="AN214" s="247">
        <f>_DATA_Assessment_Model!AK214</f>
        <v/>
      </c>
      <c r="AO214" s="247">
        <f>_DATA_Assessment_Model!AL214</f>
        <v/>
      </c>
      <c r="AP214" s="247">
        <f>_DATA_Assessment_Model!AM214</f>
        <v/>
      </c>
      <c r="AQ214" s="247">
        <f>_DATA_Assessment_Model!AN214</f>
        <v/>
      </c>
      <c r="AR214" s="247">
        <f>_DATA_Assessment_Model!AO214</f>
        <v/>
      </c>
      <c r="AS214" s="247">
        <f>_DATA_Assessment_Model!AP214</f>
        <v/>
      </c>
      <c r="AT214" s="247">
        <f>_DATA_Assessment_Model!AQ214</f>
        <v/>
      </c>
      <c r="AU214" s="247">
        <f>_DATA_Assessment_Model!AR214</f>
        <v/>
      </c>
      <c r="AV214" s="5">
        <f>_DATA_Assessment_Model!AS214</f>
        <v/>
      </c>
      <c r="AW214" s="5">
        <f>_DATA_Assessment_Model!AT214</f>
        <v/>
      </c>
      <c r="AY214">
        <f>_DATA_Assessment_Model!AV214</f>
        <v/>
      </c>
    </row>
    <row r="215" ht="82.8" customHeight="1" s="209">
      <c r="A215" t="inlineStr">
        <is>
          <t>Supply Chain</t>
        </is>
      </c>
      <c r="B215" t="inlineStr">
        <is>
          <t>Supply Chain</t>
        </is>
      </c>
      <c r="C215" t="n">
        <v>20</v>
      </c>
      <c r="D215" s="3" t="inlineStr">
        <is>
          <t>SUPP-016</t>
        </is>
      </c>
      <c r="E215" s="3" t="inlineStr">
        <is>
          <t>Inventory and planning</t>
        </is>
      </c>
      <c r="F215" s="3" t="inlineStr">
        <is>
          <t>How mature is the organization in managing critical materials and spare parts buffers sized using risk, demand variability and supplier lead time, including ownership, evidence, metrics, fallback procedures and crisis stress testing?</t>
        </is>
      </c>
      <c r="G215" s="3" t="inlineStr">
        <is>
          <t>This topic affects exposure to Supplier/logistics disruption; Manufacturing disruption; Demand shock. It helps identify how disruption may impact operations, people, revenue, systems, legal exposure or recovery time.</t>
        </is>
      </c>
      <c r="H215" s="3" t="inlineStr">
        <is>
          <t>ISO 22301; ISO 20400; ISO 28000; SCOR Digital Standard; S&amp;OP/IBP; APICS/ASCM</t>
        </is>
      </c>
      <c r="I215" s="3" t="inlineStr">
        <is>
          <t>Policy/SOP; owner/RACI; system report; dashboard; contracts; test records; incident history; interview evidence related to critical materials and spare parts buffers sized using risk, demand variability and supplier lead time.</t>
        </is>
      </c>
      <c r="J215" s="3" t="n">
        <v>5</v>
      </c>
      <c r="K215" s="85">
        <f>_DATA_Assessment_Model!H215</f>
        <v/>
      </c>
      <c r="L215" s="4">
        <f>_DATA_Assessment_Model!I215</f>
        <v/>
      </c>
      <c r="M215" s="4">
        <f>_DATA_Assessment_Model!J215</f>
        <v/>
      </c>
      <c r="N215" s="4">
        <f>_DATA_Assessment_Model!K215</f>
        <v/>
      </c>
      <c r="O215" s="3">
        <f>_DATA_Assessment_Model!L215</f>
        <v/>
      </c>
      <c r="P215" s="3" t="inlineStr">
        <is>
          <t>Does not exist; no owner, no documentation, no practice.</t>
        </is>
      </c>
      <c r="Q215" s="3" t="inlineStr">
        <is>
          <t>Ad hoc; depends entirely on specific individuals.</t>
        </is>
      </c>
      <c r="R215" s="3" t="inlineStr">
        <is>
          <t>Partially documented or implemented; coverage inconsistent; never tested under stress.</t>
        </is>
      </c>
      <c r="S215" s="3" t="inlineStr">
        <is>
          <t>Documented, owned, executed consistently; basic evidence and metrics exist.</t>
        </is>
      </c>
      <c r="T215" s="3" t="inlineStr">
        <is>
          <t>Measured and periodically tested/audited; integrated with adjacent processes.</t>
        </is>
      </c>
      <c r="U215" s="3" t="inlineStr">
        <is>
          <t>Optimized and automated where practical; stress-tested; benchmarked externally.</t>
        </is>
      </c>
      <c r="V215" s="3" t="inlineStr">
        <is>
          <t>Supplier/logistics disruption; Manufacturing disruption; Demand shock</t>
        </is>
      </c>
      <c r="W215" s="3" t="n"/>
      <c r="X215" s="3" t="n"/>
      <c r="Y215" s="3" t="inlineStr">
        <is>
          <t>Use the recommended action generated by the model; validate with domain owner during real assessment.</t>
        </is>
      </c>
      <c r="Z215" s="7" t="n">
        <v>4</v>
      </c>
      <c r="AA215" s="7" t="n">
        <v>5</v>
      </c>
      <c r="AB215" s="7" t="n">
        <v>5</v>
      </c>
      <c r="AK215" s="46" t="n"/>
      <c r="AL215" s="46" t="n"/>
      <c r="AM215" s="247">
        <f>_DATA_Assessment_Model!AJ215</f>
        <v/>
      </c>
      <c r="AN215" s="247">
        <f>_DATA_Assessment_Model!AK215</f>
        <v/>
      </c>
      <c r="AO215" s="247">
        <f>_DATA_Assessment_Model!AL215</f>
        <v/>
      </c>
      <c r="AP215" s="247">
        <f>_DATA_Assessment_Model!AM215</f>
        <v/>
      </c>
      <c r="AQ215" s="247">
        <f>_DATA_Assessment_Model!AN215</f>
        <v/>
      </c>
      <c r="AR215" s="247">
        <f>_DATA_Assessment_Model!AO215</f>
        <v/>
      </c>
      <c r="AS215" s="247">
        <f>_DATA_Assessment_Model!AP215</f>
        <v/>
      </c>
      <c r="AT215" s="247">
        <f>_DATA_Assessment_Model!AQ215</f>
        <v/>
      </c>
      <c r="AU215" s="247">
        <f>_DATA_Assessment_Model!AR215</f>
        <v/>
      </c>
      <c r="AV215" s="5">
        <f>_DATA_Assessment_Model!AS215</f>
        <v/>
      </c>
      <c r="AW215" s="5">
        <f>_DATA_Assessment_Model!AT215</f>
        <v/>
      </c>
      <c r="AY215">
        <f>_DATA_Assessment_Model!AV215</f>
        <v/>
      </c>
    </row>
    <row r="216" ht="82.8" customHeight="1" s="209">
      <c r="A216" t="inlineStr">
        <is>
          <t>Supply Chain</t>
        </is>
      </c>
      <c r="B216" t="inlineStr">
        <is>
          <t>Supply Chain</t>
        </is>
      </c>
      <c r="C216" t="n">
        <v>21</v>
      </c>
      <c r="D216" s="3" t="inlineStr">
        <is>
          <t>SUPP-017</t>
        </is>
      </c>
      <c r="E216" s="3" t="inlineStr">
        <is>
          <t>Inventory and planning</t>
        </is>
      </c>
      <c r="F216" s="3" t="inlineStr">
        <is>
          <t>How mature is the organization in managing demand forecast integrated with sales pipeline, history, seasonality and crisis scenarios, including ownership, evidence, metrics, fallback procedures and crisis stress testing?</t>
        </is>
      </c>
      <c r="G216" s="3" t="inlineStr">
        <is>
          <t>This topic affects exposure to Supplier/logistics disruption; Manufacturing disruption; Demand shock. It helps identify how disruption may impact operations, people, revenue, systems, legal exposure or recovery time.</t>
        </is>
      </c>
      <c r="H216" s="3" t="inlineStr">
        <is>
          <t>ISO 22301; ISO 20400; ISO 28000; SCOR Digital Standard; S&amp;OP/IBP; APICS/ASCM</t>
        </is>
      </c>
      <c r="I216" s="3" t="inlineStr">
        <is>
          <t>Policy/SOP; owner/RACI; system report; dashboard; contracts; test records; incident history; interview evidence related to demand forecast integrated with sales pipeline, history, seasonality and crisis scenarios.</t>
        </is>
      </c>
      <c r="J216" s="3" t="n">
        <v>5</v>
      </c>
      <c r="K216" s="85">
        <f>_DATA_Assessment_Model!H216</f>
        <v/>
      </c>
      <c r="L216" s="4">
        <f>_DATA_Assessment_Model!I216</f>
        <v/>
      </c>
      <c r="M216" s="4">
        <f>_DATA_Assessment_Model!J216</f>
        <v/>
      </c>
      <c r="N216" s="4">
        <f>_DATA_Assessment_Model!K216</f>
        <v/>
      </c>
      <c r="O216" s="3">
        <f>_DATA_Assessment_Model!L216</f>
        <v/>
      </c>
      <c r="P216" s="3" t="inlineStr">
        <is>
          <t>Does not exist; no owner, no documentation, no practice.</t>
        </is>
      </c>
      <c r="Q216" s="3" t="inlineStr">
        <is>
          <t>Ad hoc; depends entirely on specific individuals.</t>
        </is>
      </c>
      <c r="R216" s="3" t="inlineStr">
        <is>
          <t>Partially documented or implemented; coverage inconsistent; never tested under stress.</t>
        </is>
      </c>
      <c r="S216" s="3" t="inlineStr">
        <is>
          <t>Documented, owned, executed consistently; basic evidence and metrics exist.</t>
        </is>
      </c>
      <c r="T216" s="3" t="inlineStr">
        <is>
          <t>Measured and periodically tested/audited; integrated with adjacent processes.</t>
        </is>
      </c>
      <c r="U216" s="3" t="inlineStr">
        <is>
          <t>Optimized and automated where practical; stress-tested; benchmarked externally.</t>
        </is>
      </c>
      <c r="V216" s="3" t="inlineStr">
        <is>
          <t>Supplier/logistics disruption; Manufacturing disruption; Demand shock</t>
        </is>
      </c>
      <c r="W216" s="3" t="n"/>
      <c r="X216" s="3" t="n"/>
      <c r="Y216" s="3" t="inlineStr">
        <is>
          <t>Use the recommended action generated by the model; validate with domain owner during real assessment.</t>
        </is>
      </c>
      <c r="Z216" s="7" t="n">
        <v>4</v>
      </c>
      <c r="AA216" s="7" t="n">
        <v>5</v>
      </c>
      <c r="AB216" s="7" t="n">
        <v>5</v>
      </c>
      <c r="AK216" s="46" t="n"/>
      <c r="AL216" s="46" t="n"/>
      <c r="AM216" s="247">
        <f>_DATA_Assessment_Model!AJ216</f>
        <v/>
      </c>
      <c r="AN216" s="247">
        <f>_DATA_Assessment_Model!AK216</f>
        <v/>
      </c>
      <c r="AO216" s="247">
        <f>_DATA_Assessment_Model!AL216</f>
        <v/>
      </c>
      <c r="AP216" s="247">
        <f>_DATA_Assessment_Model!AM216</f>
        <v/>
      </c>
      <c r="AQ216" s="247">
        <f>_DATA_Assessment_Model!AN216</f>
        <v/>
      </c>
      <c r="AR216" s="247">
        <f>_DATA_Assessment_Model!AO216</f>
        <v/>
      </c>
      <c r="AS216" s="247">
        <f>_DATA_Assessment_Model!AP216</f>
        <v/>
      </c>
      <c r="AT216" s="247">
        <f>_DATA_Assessment_Model!AQ216</f>
        <v/>
      </c>
      <c r="AU216" s="247">
        <f>_DATA_Assessment_Model!AR216</f>
        <v/>
      </c>
      <c r="AV216" s="5">
        <f>_DATA_Assessment_Model!AS216</f>
        <v/>
      </c>
      <c r="AW216" s="5">
        <f>_DATA_Assessment_Model!AT216</f>
        <v/>
      </c>
      <c r="AY216">
        <f>_DATA_Assessment_Model!AV216</f>
        <v/>
      </c>
    </row>
    <row r="217" ht="82.8" customHeight="1" s="209">
      <c r="A217" t="inlineStr">
        <is>
          <t>Supply Chain</t>
        </is>
      </c>
      <c r="B217" t="inlineStr">
        <is>
          <t>Supply Chain</t>
        </is>
      </c>
      <c r="C217" t="n">
        <v>22</v>
      </c>
      <c r="D217" s="3" t="inlineStr">
        <is>
          <t>SUPP-018</t>
        </is>
      </c>
      <c r="E217" s="3" t="inlineStr">
        <is>
          <t>Inventory and planning</t>
        </is>
      </c>
      <c r="F217" s="3" t="inlineStr">
        <is>
          <t>How mature is the organization in managing S&amp;OP or IBP process connecting sales, finance, production, procurement and logistics, including ownership, evidence, metrics, fallback procedures and crisis stress testing?</t>
        </is>
      </c>
      <c r="G217" s="3" t="inlineStr">
        <is>
          <t>This topic affects exposure to Supplier/logistics disruption; Manufacturing disruption; Demand shock. It helps identify how disruption may impact operations, people, revenue, systems, legal exposure or recovery time.</t>
        </is>
      </c>
      <c r="H217" s="3" t="inlineStr">
        <is>
          <t>ISO 22301; ISO 20400; ISO 28000; SCOR Digital Standard; S&amp;OP/IBP; APICS/ASCM</t>
        </is>
      </c>
      <c r="I217" s="3" t="inlineStr">
        <is>
          <t>Policy/SOP; owner/RACI; system report; dashboard; contracts; test records; incident history; interview evidence related to S&amp;OP or IBP process connecting sales, finance, production, procurement and logistics.</t>
        </is>
      </c>
      <c r="J217" s="3" t="n">
        <v>5</v>
      </c>
      <c r="K217" s="85">
        <f>_DATA_Assessment_Model!H217</f>
        <v/>
      </c>
      <c r="L217" s="4">
        <f>_DATA_Assessment_Model!I217</f>
        <v/>
      </c>
      <c r="M217" s="4">
        <f>_DATA_Assessment_Model!J217</f>
        <v/>
      </c>
      <c r="N217" s="4">
        <f>_DATA_Assessment_Model!K217</f>
        <v/>
      </c>
      <c r="O217" s="3">
        <f>_DATA_Assessment_Model!L217</f>
        <v/>
      </c>
      <c r="P217" s="3" t="inlineStr">
        <is>
          <t>Does not exist; no owner, no documentation, no practice.</t>
        </is>
      </c>
      <c r="Q217" s="3" t="inlineStr">
        <is>
          <t>Ad hoc; depends entirely on specific individuals.</t>
        </is>
      </c>
      <c r="R217" s="3" t="inlineStr">
        <is>
          <t>Partially documented or implemented; coverage inconsistent; never tested under stress.</t>
        </is>
      </c>
      <c r="S217" s="3" t="inlineStr">
        <is>
          <t>Documented, owned, executed consistently; basic evidence and metrics exist.</t>
        </is>
      </c>
      <c r="T217" s="3" t="inlineStr">
        <is>
          <t>Measured and periodically tested/audited; integrated with adjacent processes.</t>
        </is>
      </c>
      <c r="U217" s="3" t="inlineStr">
        <is>
          <t>Optimized and automated where practical; stress-tested; benchmarked externally.</t>
        </is>
      </c>
      <c r="V217" s="3" t="inlineStr">
        <is>
          <t>Supplier/logistics disruption; Manufacturing disruption; Demand shock</t>
        </is>
      </c>
      <c r="W217" s="3" t="n"/>
      <c r="X217" s="3" t="n"/>
      <c r="Y217" s="3" t="inlineStr">
        <is>
          <t>Use the recommended action generated by the model; validate with domain owner during real assessment.</t>
        </is>
      </c>
      <c r="Z217" s="7" t="n">
        <v>4</v>
      </c>
      <c r="AA217" s="7" t="n">
        <v>5</v>
      </c>
      <c r="AB217" s="7" t="n">
        <v>5</v>
      </c>
      <c r="AK217" s="46" t="n"/>
      <c r="AL217" s="46" t="n"/>
      <c r="AM217" s="247">
        <f>_DATA_Assessment_Model!AJ217</f>
        <v/>
      </c>
      <c r="AN217" s="247">
        <f>_DATA_Assessment_Model!AK217</f>
        <v/>
      </c>
      <c r="AO217" s="247">
        <f>_DATA_Assessment_Model!AL217</f>
        <v/>
      </c>
      <c r="AP217" s="247">
        <f>_DATA_Assessment_Model!AM217</f>
        <v/>
      </c>
      <c r="AQ217" s="247">
        <f>_DATA_Assessment_Model!AN217</f>
        <v/>
      </c>
      <c r="AR217" s="247">
        <f>_DATA_Assessment_Model!AO217</f>
        <v/>
      </c>
      <c r="AS217" s="247">
        <f>_DATA_Assessment_Model!AP217</f>
        <v/>
      </c>
      <c r="AT217" s="247">
        <f>_DATA_Assessment_Model!AQ217</f>
        <v/>
      </c>
      <c r="AU217" s="247">
        <f>_DATA_Assessment_Model!AR217</f>
        <v/>
      </c>
      <c r="AV217" s="5">
        <f>_DATA_Assessment_Model!AS217</f>
        <v/>
      </c>
      <c r="AW217" s="5">
        <f>_DATA_Assessment_Model!AT217</f>
        <v/>
      </c>
      <c r="AY217">
        <f>_DATA_Assessment_Model!AV217</f>
        <v/>
      </c>
    </row>
    <row r="218" ht="82.8" customHeight="1" s="209">
      <c r="A218" t="inlineStr">
        <is>
          <t>Supply Chain</t>
        </is>
      </c>
      <c r="B218" t="inlineStr">
        <is>
          <t>Supply Chain</t>
        </is>
      </c>
      <c r="C218" t="n">
        <v>23</v>
      </c>
      <c r="D218" s="3" t="inlineStr">
        <is>
          <t>SUPP-019</t>
        </is>
      </c>
      <c r="E218" s="3" t="inlineStr">
        <is>
          <t>Inventory and planning</t>
        </is>
      </c>
      <c r="F218" s="3" t="inlineStr">
        <is>
          <t>How mature is the organization in managing planning cycle acceleration during crisis without losing data quality, including ownership, evidence, metrics, fallback procedures and crisis stress testing?</t>
        </is>
      </c>
      <c r="G218" s="3" t="inlineStr">
        <is>
          <t>This topic affects exposure to Supplier/logistics disruption; Manufacturing disruption; Demand shock. It helps identify how disruption may impact operations, people, revenue, systems, legal exposure or recovery time.</t>
        </is>
      </c>
      <c r="H218" s="3" t="inlineStr">
        <is>
          <t>ISO 22301; ISO 20400; ISO 28000; SCOR Digital Standard; S&amp;OP/IBP; APICS/ASCM</t>
        </is>
      </c>
      <c r="I218" s="3" t="inlineStr">
        <is>
          <t>Policy/SOP; owner/RACI; system report; dashboard; contracts; test records; incident history; interview evidence related to planning cycle acceleration during crisis without losing data quality.</t>
        </is>
      </c>
      <c r="J218" s="3" t="n">
        <v>5</v>
      </c>
      <c r="K218" s="85">
        <f>_DATA_Assessment_Model!H218</f>
        <v/>
      </c>
      <c r="L218" s="4">
        <f>_DATA_Assessment_Model!I218</f>
        <v/>
      </c>
      <c r="M218" s="4">
        <f>_DATA_Assessment_Model!J218</f>
        <v/>
      </c>
      <c r="N218" s="4">
        <f>_DATA_Assessment_Model!K218</f>
        <v/>
      </c>
      <c r="O218" s="3">
        <f>_DATA_Assessment_Model!L218</f>
        <v/>
      </c>
      <c r="P218" s="3" t="inlineStr">
        <is>
          <t>No plan or procedure exists.</t>
        </is>
      </c>
      <c r="Q218" s="3" t="inlineStr">
        <is>
          <t>Knowledge lives with individuals; nothing usable is written down.</t>
        </is>
      </c>
      <c r="R218" s="3" t="inlineStr">
        <is>
          <t>Drafted but outdated, not approved, or unknown to the people who must use it.</t>
        </is>
      </c>
      <c r="S218" s="3" t="inlineStr">
        <is>
          <t>Approved and current; owners assigned; affected staff know it exists and where to find it.</t>
        </is>
      </c>
      <c r="T218" s="3" t="inlineStr">
        <is>
          <t>Tested against realistic scenarios; updated after each test or real incident.</t>
        </is>
      </c>
      <c r="U218" s="3" t="inlineStr">
        <is>
          <t>Exercised regularly including external parties; readiness measured; continuously improved.</t>
        </is>
      </c>
      <c r="V218" s="3" t="inlineStr">
        <is>
          <t>Supplier/logistics disruption; Manufacturing disruption; Demand shock</t>
        </is>
      </c>
      <c r="W218" s="3" t="n"/>
      <c r="X218" s="3" t="n"/>
      <c r="Y218" s="3" t="inlineStr">
        <is>
          <t>Use the recommended action generated by the model; validate with domain owner during real assessment.</t>
        </is>
      </c>
      <c r="Z218" s="7" t="n">
        <v>5</v>
      </c>
      <c r="AA218" s="7" t="n">
        <v>5</v>
      </c>
      <c r="AB218" s="7" t="n">
        <v>5</v>
      </c>
      <c r="AK218" s="46" t="n"/>
      <c r="AL218" s="46" t="n"/>
      <c r="AM218" s="247">
        <f>_DATA_Assessment_Model!AJ218</f>
        <v/>
      </c>
      <c r="AN218" s="247">
        <f>_DATA_Assessment_Model!AK218</f>
        <v/>
      </c>
      <c r="AO218" s="247">
        <f>_DATA_Assessment_Model!AL218</f>
        <v/>
      </c>
      <c r="AP218" s="247">
        <f>_DATA_Assessment_Model!AM218</f>
        <v/>
      </c>
      <c r="AQ218" s="247">
        <f>_DATA_Assessment_Model!AN218</f>
        <v/>
      </c>
      <c r="AR218" s="247">
        <f>_DATA_Assessment_Model!AO218</f>
        <v/>
      </c>
      <c r="AS218" s="247">
        <f>_DATA_Assessment_Model!AP218</f>
        <v/>
      </c>
      <c r="AT218" s="247">
        <f>_DATA_Assessment_Model!AQ218</f>
        <v/>
      </c>
      <c r="AU218" s="247">
        <f>_DATA_Assessment_Model!AR218</f>
        <v/>
      </c>
      <c r="AV218" s="5">
        <f>_DATA_Assessment_Model!AS218</f>
        <v/>
      </c>
      <c r="AW218" s="5">
        <f>_DATA_Assessment_Model!AT218</f>
        <v/>
      </c>
      <c r="AY218">
        <f>_DATA_Assessment_Model!AV218</f>
        <v/>
      </c>
    </row>
    <row r="219" ht="82.8" customHeight="1" s="209">
      <c r="A219" t="inlineStr">
        <is>
          <t>Supply Chain</t>
        </is>
      </c>
      <c r="B219" t="inlineStr">
        <is>
          <t>Supply Chain</t>
        </is>
      </c>
      <c r="C219" t="n">
        <v>24</v>
      </c>
      <c r="D219" s="3" t="inlineStr">
        <is>
          <t>SUPP-020</t>
        </is>
      </c>
      <c r="E219" s="3" t="inlineStr">
        <is>
          <t>Technology and risk</t>
        </is>
      </c>
      <c r="F219" s="3" t="inlineStr">
        <is>
          <t>How mature is the organization in managing ERP, MRP, WMS, TMS and supplier portal integration and resilience, including ownership, evidence, metrics, fallback procedures and crisis stress testing?</t>
        </is>
      </c>
      <c r="G219" s="3" t="inlineStr">
        <is>
          <t>This topic affects exposure to Supplier/logistics disruption; Manufacturing disruption; Demand shock. It helps identify how disruption may impact operations, people, revenue, systems, legal exposure or recovery time.</t>
        </is>
      </c>
      <c r="H219" s="3" t="inlineStr">
        <is>
          <t>ISO 22301; ISO 20400; ISO 28000; SCOR Digital Standard; S&amp;OP/IBP; APICS/ASCM</t>
        </is>
      </c>
      <c r="I219" s="3" t="inlineStr">
        <is>
          <t>Policy/SOP; owner/RACI; system report; dashboard; contracts; test records; incident history; interview evidence related to ERP, MRP, WMS, TMS and supplier portal integration and resilience.</t>
        </is>
      </c>
      <c r="J219" s="3" t="n">
        <v>5</v>
      </c>
      <c r="K219" s="85">
        <f>_DATA_Assessment_Model!H219</f>
        <v/>
      </c>
      <c r="L219" s="4">
        <f>_DATA_Assessment_Model!I219</f>
        <v/>
      </c>
      <c r="M219" s="4">
        <f>_DATA_Assessment_Model!J219</f>
        <v/>
      </c>
      <c r="N219" s="4">
        <f>_DATA_Assessment_Model!K219</f>
        <v/>
      </c>
      <c r="O219" s="3">
        <f>_DATA_Assessment_Model!L219</f>
        <v/>
      </c>
      <c r="P219" s="3" t="inlineStr">
        <is>
          <t>Does not exist; no owner, no documentation, no practice.</t>
        </is>
      </c>
      <c r="Q219" s="3" t="inlineStr">
        <is>
          <t>Ad hoc; depends entirely on specific individuals.</t>
        </is>
      </c>
      <c r="R219" s="3" t="inlineStr">
        <is>
          <t>Partially documented or implemented; coverage inconsistent; never tested under stress.</t>
        </is>
      </c>
      <c r="S219" s="3" t="inlineStr">
        <is>
          <t>Documented, owned, executed consistently; basic evidence and metrics exist.</t>
        </is>
      </c>
      <c r="T219" s="3" t="inlineStr">
        <is>
          <t>Measured and periodically tested/audited; integrated with adjacent processes.</t>
        </is>
      </c>
      <c r="U219" s="3" t="inlineStr">
        <is>
          <t>Optimized and automated where practical; stress-tested; benchmarked externally.</t>
        </is>
      </c>
      <c r="V219" s="3" t="inlineStr">
        <is>
          <t>Supplier/logistics disruption; Manufacturing disruption; Demand shock</t>
        </is>
      </c>
      <c r="W219" s="3" t="n"/>
      <c r="X219" s="3" t="n"/>
      <c r="Y219" s="3" t="inlineStr">
        <is>
          <t>Use the recommended action generated by the model; validate with domain owner during real assessment.</t>
        </is>
      </c>
      <c r="Z219" s="7" t="n">
        <v>5</v>
      </c>
      <c r="AA219" s="7" t="n">
        <v>5</v>
      </c>
      <c r="AB219" s="7" t="n">
        <v>5</v>
      </c>
      <c r="AK219" s="46" t="n"/>
      <c r="AL219" s="46" t="n"/>
      <c r="AM219" s="247">
        <f>_DATA_Assessment_Model!AJ219</f>
        <v/>
      </c>
      <c r="AN219" s="247">
        <f>_DATA_Assessment_Model!AK219</f>
        <v/>
      </c>
      <c r="AO219" s="247">
        <f>_DATA_Assessment_Model!AL219</f>
        <v/>
      </c>
      <c r="AP219" s="247">
        <f>_DATA_Assessment_Model!AM219</f>
        <v/>
      </c>
      <c r="AQ219" s="247">
        <f>_DATA_Assessment_Model!AN219</f>
        <v/>
      </c>
      <c r="AR219" s="247">
        <f>_DATA_Assessment_Model!AO219</f>
        <v/>
      </c>
      <c r="AS219" s="247">
        <f>_DATA_Assessment_Model!AP219</f>
        <v/>
      </c>
      <c r="AT219" s="247">
        <f>_DATA_Assessment_Model!AQ219</f>
        <v/>
      </c>
      <c r="AU219" s="247">
        <f>_DATA_Assessment_Model!AR219</f>
        <v/>
      </c>
      <c r="AV219" s="5">
        <f>_DATA_Assessment_Model!AS219</f>
        <v/>
      </c>
      <c r="AW219" s="5">
        <f>_DATA_Assessment_Model!AT219</f>
        <v/>
      </c>
      <c r="AY219">
        <f>_DATA_Assessment_Model!AV219</f>
        <v/>
      </c>
    </row>
    <row r="220" ht="82.8" customHeight="1" s="209">
      <c r="A220" t="inlineStr">
        <is>
          <t>Supply Chain</t>
        </is>
      </c>
      <c r="B220" t="inlineStr">
        <is>
          <t>Supply Chain</t>
        </is>
      </c>
      <c r="C220" t="n">
        <v>25</v>
      </c>
      <c r="D220" s="3" t="inlineStr">
        <is>
          <t>SUPP-021</t>
        </is>
      </c>
      <c r="E220" s="3" t="inlineStr">
        <is>
          <t>Technology and risk</t>
        </is>
      </c>
      <c r="F220" s="3" t="inlineStr">
        <is>
          <t>How mature is the organization in managing supply chain early warning monitoring for supplier, geopolitical, weather, port, customs and price risks, including ownership, evidence, metrics, fallback procedures and crisis stress testing?</t>
        </is>
      </c>
      <c r="G220" s="3" t="inlineStr">
        <is>
          <t>This topic affects exposure to Supplier/logistics disruption; Manufacturing disruption; Demand shock. It helps identify how disruption may impact operations, people, revenue, systems, legal exposure or recovery time.</t>
        </is>
      </c>
      <c r="H220" s="3" t="inlineStr">
        <is>
          <t>ISO 22301; ISO 20400; ISO 28000; SCOR Digital Standard; S&amp;OP/IBP; APICS/ASCM</t>
        </is>
      </c>
      <c r="I220" s="3" t="inlineStr">
        <is>
          <t>Policy/SOP; owner/RACI; system report; dashboard; contracts; test records; incident history; interview evidence related to supply chain early warning monitoring for supplier, geopolitical, weather, port, customs and price risks.</t>
        </is>
      </c>
      <c r="J220" s="3" t="n">
        <v>5</v>
      </c>
      <c r="K220" s="85">
        <f>_DATA_Assessment_Model!H220</f>
        <v/>
      </c>
      <c r="L220" s="4">
        <f>_DATA_Assessment_Model!I220</f>
        <v/>
      </c>
      <c r="M220" s="4">
        <f>_DATA_Assessment_Model!J220</f>
        <v/>
      </c>
      <c r="N220" s="4">
        <f>_DATA_Assessment_Model!K220</f>
        <v/>
      </c>
      <c r="O220" s="3">
        <f>_DATA_Assessment_Model!L220</f>
        <v/>
      </c>
      <c r="P220" s="3" t="inlineStr">
        <is>
          <t>Nothing is monitored or measured.</t>
        </is>
      </c>
      <c r="Q220" s="3" t="inlineStr">
        <is>
          <t>Occasional manual checks by individuals.</t>
        </is>
      </c>
      <c r="R220" s="3" t="inlineStr">
        <is>
          <t>Some metrics exist but are not reviewed regularly and trigger no action.</t>
        </is>
      </c>
      <c r="S220" s="3" t="inlineStr">
        <is>
          <t>Defined metrics with an owner, reviewed on a set cadence.</t>
        </is>
      </c>
      <c r="T220" s="3" t="inlineStr">
        <is>
          <t>Thresholds and alerts in place; deviations trigger documented action; trends analyzed.</t>
        </is>
      </c>
      <c r="U220" s="3" t="inlineStr">
        <is>
          <t>Automated monitoring with leading indicators, integrated into management decisions.</t>
        </is>
      </c>
      <c r="V220" s="3" t="inlineStr">
        <is>
          <t>Supplier/logistics disruption; Manufacturing disruption; Demand shock</t>
        </is>
      </c>
      <c r="W220" s="3" t="n"/>
      <c r="X220" s="3" t="n"/>
      <c r="Y220" s="3" t="inlineStr">
        <is>
          <t>Use the recommended action generated by the model; validate with domain owner during real assessment.</t>
        </is>
      </c>
      <c r="Z220" s="7" t="n">
        <v>4</v>
      </c>
      <c r="AA220" s="7" t="n">
        <v>5</v>
      </c>
      <c r="AB220" s="7" t="n">
        <v>5</v>
      </c>
      <c r="AK220" s="46" t="n"/>
      <c r="AL220" s="46" t="n"/>
      <c r="AM220" s="247">
        <f>_DATA_Assessment_Model!AJ220</f>
        <v/>
      </c>
      <c r="AN220" s="247">
        <f>_DATA_Assessment_Model!AK220</f>
        <v/>
      </c>
      <c r="AO220" s="247">
        <f>_DATA_Assessment_Model!AL220</f>
        <v/>
      </c>
      <c r="AP220" s="247">
        <f>_DATA_Assessment_Model!AM220</f>
        <v/>
      </c>
      <c r="AQ220" s="247">
        <f>_DATA_Assessment_Model!AN220</f>
        <v/>
      </c>
      <c r="AR220" s="247">
        <f>_DATA_Assessment_Model!AO220</f>
        <v/>
      </c>
      <c r="AS220" s="247">
        <f>_DATA_Assessment_Model!AP220</f>
        <v/>
      </c>
      <c r="AT220" s="247">
        <f>_DATA_Assessment_Model!AQ220</f>
        <v/>
      </c>
      <c r="AU220" s="247">
        <f>_DATA_Assessment_Model!AR220</f>
        <v/>
      </c>
      <c r="AV220" s="5">
        <f>_DATA_Assessment_Model!AS220</f>
        <v/>
      </c>
      <c r="AW220" s="5">
        <f>_DATA_Assessment_Model!AT220</f>
        <v/>
      </c>
      <c r="AY220">
        <f>_DATA_Assessment_Model!AV220</f>
        <v/>
      </c>
    </row>
    <row r="221" ht="96.59999999999999" customHeight="1" s="209">
      <c r="A221" t="inlineStr">
        <is>
          <t>Supply Chain</t>
        </is>
      </c>
      <c r="B221" t="inlineStr">
        <is>
          <t>Supply Chain</t>
        </is>
      </c>
      <c r="C221" t="n">
        <v>26</v>
      </c>
      <c r="D221" s="3" t="inlineStr">
        <is>
          <t>SUPP-022</t>
        </is>
      </c>
      <c r="E221" s="3" t="inlineStr">
        <is>
          <t>Technology and risk</t>
        </is>
      </c>
      <c r="F221" s="3" t="inlineStr">
        <is>
          <t>How mature is the organization in managing supply cost volatility monitoring for freight, energy, commodities and currency, including ownership, evidence, metrics, fallback procedures and crisis stress testing?</t>
        </is>
      </c>
      <c r="G221" s="3" t="inlineStr">
        <is>
          <t>This topic affects exposure to Supplier/logistics disruption; Manufacturing disruption; Demand shock. It helps identify how disruption may impact operations, people, revenue, systems, legal exposure or recovery time.</t>
        </is>
      </c>
      <c r="H221" s="3" t="inlineStr">
        <is>
          <t>ISO 22301; ISO 20400; ISO 28000; SCOR Digital Standard; S&amp;OP/IBP; APICS/ASCM</t>
        </is>
      </c>
      <c r="I221" s="3" t="inlineStr">
        <is>
          <t>Policy/SOP; owner/RACI; system report; dashboard; contracts; test records; incident history; interview evidence related to supply cost volatility monitoring for freight, energy, commodities and currency.</t>
        </is>
      </c>
      <c r="J221" s="3" t="n">
        <v>3</v>
      </c>
      <c r="K221" s="85">
        <f>_DATA_Assessment_Model!H221</f>
        <v/>
      </c>
      <c r="L221" s="4">
        <f>_DATA_Assessment_Model!I221</f>
        <v/>
      </c>
      <c r="M221" s="4">
        <f>_DATA_Assessment_Model!J221</f>
        <v/>
      </c>
      <c r="N221" s="4">
        <f>_DATA_Assessment_Model!K221</f>
        <v/>
      </c>
      <c r="O221" s="3">
        <f>_DATA_Assessment_Model!L221</f>
        <v/>
      </c>
      <c r="P221" s="3" t="inlineStr">
        <is>
          <t>No reliable evidence that supply cost volatility monitoring for freight, energy, commodities and currency is defined, owned or managed.</t>
        </is>
      </c>
      <c r="Q221" s="3" t="inlineStr">
        <is>
          <t>Supply cost volatility monitoring for freight, energy, commodities and currency is handled informally and depends on individual knowledge or heroic effort.</t>
        </is>
      </c>
      <c r="R221" s="3" t="inlineStr">
        <is>
          <t>Supply cost volatility monitoring for freight, energy, commodities and currency is partially documented or implemented, but coverage is inconsistent and not crisis-tested.</t>
        </is>
      </c>
      <c r="S221" s="3" t="inlineStr">
        <is>
          <t>Supply cost volatility monitoring for freight, energy, commodities and currency is documented, owned, used in normal operations and supported by basic evidence or metrics.</t>
        </is>
      </c>
      <c r="T221" s="3" t="inlineStr">
        <is>
          <t>Supply cost volatility monitoring for freight, energy, commodities and currency is measured, periodically reviewed, integrated with related processes and tested against relevant disruption scenarios.</t>
        </is>
      </c>
      <c r="U221" s="3" t="inlineStr">
        <is>
          <t>Supply cost volatility monitoring for freight, energy, commodities and currency is optimized, continuously improved, automated where practical and demonstrably supports crisis resilience.</t>
        </is>
      </c>
      <c r="V221" s="3" t="inlineStr">
        <is>
          <t>Supplier/logistics disruption; Manufacturing disruption; Demand shock</t>
        </is>
      </c>
      <c r="W221" s="3" t="n"/>
      <c r="X221" s="3" t="n"/>
      <c r="Y221" s="3" t="inlineStr">
        <is>
          <t>Use the recommended action generated by the model; validate with domain owner during real assessment.</t>
        </is>
      </c>
      <c r="Z221" s="7" t="n">
        <v>4</v>
      </c>
      <c r="AA221" s="7" t="n">
        <v>5</v>
      </c>
      <c r="AB221" s="7" t="n">
        <v>5</v>
      </c>
      <c r="AK221" s="46" t="n"/>
      <c r="AL221" s="46" t="n"/>
      <c r="AM221" s="247">
        <f>_DATA_Assessment_Model!AJ221</f>
        <v/>
      </c>
      <c r="AN221" s="247">
        <f>_DATA_Assessment_Model!AK221</f>
        <v/>
      </c>
      <c r="AO221" s="247">
        <f>_DATA_Assessment_Model!AL221</f>
        <v/>
      </c>
      <c r="AP221" s="247">
        <f>_DATA_Assessment_Model!AM221</f>
        <v/>
      </c>
      <c r="AQ221" s="247">
        <f>_DATA_Assessment_Model!AN221</f>
        <v/>
      </c>
      <c r="AR221" s="247">
        <f>_DATA_Assessment_Model!AO221</f>
        <v/>
      </c>
      <c r="AS221" s="247">
        <f>_DATA_Assessment_Model!AP221</f>
        <v/>
      </c>
      <c r="AT221" s="247">
        <f>_DATA_Assessment_Model!AQ221</f>
        <v/>
      </c>
      <c r="AU221" s="247">
        <f>_DATA_Assessment_Model!AR221</f>
        <v/>
      </c>
      <c r="AV221" s="5">
        <f>_DATA_Assessment_Model!AS221</f>
        <v/>
      </c>
      <c r="AW221" s="5">
        <f>_DATA_Assessment_Model!AT221</f>
        <v/>
      </c>
      <c r="AY221">
        <f>_DATA_Assessment_Model!AV221</f>
        <v/>
      </c>
    </row>
    <row r="222" ht="82.8" customHeight="1" s="209">
      <c r="A222" t="inlineStr">
        <is>
          <t>Supply Chain</t>
        </is>
      </c>
      <c r="B222" t="inlineStr">
        <is>
          <t>Supply Chain</t>
        </is>
      </c>
      <c r="C222" t="n">
        <v>27</v>
      </c>
      <c r="D222" s="3" t="inlineStr">
        <is>
          <t>SUPP-023</t>
        </is>
      </c>
      <c r="E222" s="3" t="inlineStr">
        <is>
          <t>Technology and risk</t>
        </is>
      </c>
      <c r="F222" s="3" t="inlineStr">
        <is>
          <t>How mature is the organization in managing allocation rules when supply is insufficient to serve all customers, including ownership, evidence, metrics, fallback procedures and crisis stress testing?</t>
        </is>
      </c>
      <c r="G222" s="3" t="inlineStr">
        <is>
          <t>This topic affects exposure to Supplier/logistics disruption; Manufacturing disruption; Demand shock. It helps identify how disruption may impact operations, people, revenue, systems, legal exposure or recovery time.</t>
        </is>
      </c>
      <c r="H222" s="3" t="inlineStr">
        <is>
          <t>ISO 22301; ISO 20400; ISO 28000; SCOR Digital Standard; S&amp;OP/IBP; APICS/ASCM</t>
        </is>
      </c>
      <c r="I222" s="3" t="inlineStr">
        <is>
          <t>Policy/SOP; owner/RACI; system report; dashboard; contracts; test records; incident history; interview evidence related to allocation rules when supply is insufficient to serve all customers.</t>
        </is>
      </c>
      <c r="J222" s="3" t="n">
        <v>4</v>
      </c>
      <c r="K222" s="85">
        <f>_DATA_Assessment_Model!H222</f>
        <v/>
      </c>
      <c r="L222" s="4">
        <f>_DATA_Assessment_Model!I222</f>
        <v/>
      </c>
      <c r="M222" s="4">
        <f>_DATA_Assessment_Model!J222</f>
        <v/>
      </c>
      <c r="N222" s="4">
        <f>_DATA_Assessment_Model!K222</f>
        <v/>
      </c>
      <c r="O222" s="3">
        <f>_DATA_Assessment_Model!L222</f>
        <v/>
      </c>
      <c r="P222" s="3" t="inlineStr">
        <is>
          <t>No reliable evidence that allocation rules when supply is insufficient to serve all customers is defined, owned or managed.</t>
        </is>
      </c>
      <c r="Q222" s="3" t="inlineStr">
        <is>
          <t>Allocation rules when supply is insufficient to serve all customers is handled informally and depends on individual knowledge or heroic effort.</t>
        </is>
      </c>
      <c r="R222" s="3" t="inlineStr">
        <is>
          <t>Allocation rules when supply is insufficient to serve all customers is partially documented or implemented, but coverage is inconsistent and not crisis-tested.</t>
        </is>
      </c>
      <c r="S222" s="3" t="inlineStr">
        <is>
          <t>Allocation rules when supply is insufficient to serve all customers is documented, owned, used in normal operations and supported by basic evidence or metrics.</t>
        </is>
      </c>
      <c r="T222" s="3" t="inlineStr">
        <is>
          <t>Allocation rules when supply is insufficient to serve all customers is measured, periodically reviewed, integrated with related processes and tested against relevant disruption scenarios.</t>
        </is>
      </c>
      <c r="U222" s="3" t="inlineStr">
        <is>
          <t>Allocation rules when supply is insufficient to serve all customers is optimized, continuously improved, automated where practical and demonstrably supports crisis resilience.</t>
        </is>
      </c>
      <c r="V222" s="3" t="inlineStr">
        <is>
          <t>Supplier/logistics disruption; Manufacturing disruption; Demand shock</t>
        </is>
      </c>
      <c r="W222" s="3" t="n"/>
      <c r="X222" s="3" t="n"/>
      <c r="Y222" s="3" t="inlineStr">
        <is>
          <t>Use the recommended action generated by the model; validate with domain owner during real assessment.</t>
        </is>
      </c>
      <c r="Z222" s="7" t="n">
        <v>4</v>
      </c>
      <c r="AA222" s="7" t="n">
        <v>5</v>
      </c>
      <c r="AB222" s="7" t="n">
        <v>5</v>
      </c>
      <c r="AK222" s="46" t="n"/>
      <c r="AL222" s="46" t="n"/>
      <c r="AM222" s="247">
        <f>_DATA_Assessment_Model!AJ222</f>
        <v/>
      </c>
      <c r="AN222" s="247">
        <f>_DATA_Assessment_Model!AK222</f>
        <v/>
      </c>
      <c r="AO222" s="247">
        <f>_DATA_Assessment_Model!AL222</f>
        <v/>
      </c>
      <c r="AP222" s="247">
        <f>_DATA_Assessment_Model!AM222</f>
        <v/>
      </c>
      <c r="AQ222" s="247">
        <f>_DATA_Assessment_Model!AN222</f>
        <v/>
      </c>
      <c r="AR222" s="247">
        <f>_DATA_Assessment_Model!AO222</f>
        <v/>
      </c>
      <c r="AS222" s="247">
        <f>_DATA_Assessment_Model!AP222</f>
        <v/>
      </c>
      <c r="AT222" s="247">
        <f>_DATA_Assessment_Model!AQ222</f>
        <v/>
      </c>
      <c r="AU222" s="247">
        <f>_DATA_Assessment_Model!AR222</f>
        <v/>
      </c>
      <c r="AV222" s="5">
        <f>_DATA_Assessment_Model!AS222</f>
        <v/>
      </c>
      <c r="AW222" s="5">
        <f>_DATA_Assessment_Model!AT222</f>
        <v/>
      </c>
      <c r="AY222">
        <f>_DATA_Assessment_Model!AV222</f>
        <v/>
      </c>
    </row>
    <row r="223" ht="82.8" customHeight="1" s="209">
      <c r="A223" t="inlineStr">
        <is>
          <t>Supply Chain</t>
        </is>
      </c>
      <c r="B223" t="inlineStr">
        <is>
          <t>Supply Chain</t>
        </is>
      </c>
      <c r="C223" t="n">
        <v>28</v>
      </c>
      <c r="D223" s="3" t="inlineStr">
        <is>
          <t>SUPP-024</t>
        </is>
      </c>
      <c r="E223" s="3" t="inlineStr">
        <is>
          <t>Technology and risk</t>
        </is>
      </c>
      <c r="F223" s="3" t="inlineStr">
        <is>
          <t>How mature is the organization in managing SKU, supplier, BOM, lead-time and replenishment master data quality, including ownership, evidence, metrics, fallback procedures and crisis stress testing?</t>
        </is>
      </c>
      <c r="G223" s="3" t="inlineStr">
        <is>
          <t>This topic affects exposure to Supplier/logistics disruption; Manufacturing disruption; Demand shock. It helps identify how disruption may impact operations, people, revenue, systems, legal exposure or recovery time.</t>
        </is>
      </c>
      <c r="H223" s="3" t="inlineStr">
        <is>
          <t>ISO 22301; ISO 20400; ISO 28000; SCOR Digital Standard; S&amp;OP/IBP; APICS/ASCM</t>
        </is>
      </c>
      <c r="I223" s="3" t="inlineStr">
        <is>
          <t>Policy/SOP; owner/RACI; system report; dashboard; contracts; test records; incident history; interview evidence related to SKU, supplier, BOM, lead-time and replenishment master data quality.</t>
        </is>
      </c>
      <c r="J223" s="3" t="n">
        <v>5</v>
      </c>
      <c r="K223" s="85">
        <f>_DATA_Assessment_Model!H223</f>
        <v/>
      </c>
      <c r="L223" s="4">
        <f>_DATA_Assessment_Model!I223</f>
        <v/>
      </c>
      <c r="M223" s="4">
        <f>_DATA_Assessment_Model!J223</f>
        <v/>
      </c>
      <c r="N223" s="4">
        <f>_DATA_Assessment_Model!K223</f>
        <v/>
      </c>
      <c r="O223" s="3">
        <f>_DATA_Assessment_Model!L223</f>
        <v/>
      </c>
      <c r="P223" s="3" t="inlineStr">
        <is>
          <t>Does not exist; no owner, no documentation, no practice.</t>
        </is>
      </c>
      <c r="Q223" s="3" t="inlineStr">
        <is>
          <t>Ad hoc; depends entirely on specific individuals.</t>
        </is>
      </c>
      <c r="R223" s="3" t="inlineStr">
        <is>
          <t>Partially documented or implemented; coverage inconsistent; never tested under stress.</t>
        </is>
      </c>
      <c r="S223" s="3" t="inlineStr">
        <is>
          <t>Documented, owned, executed consistently; basic evidence and metrics exist.</t>
        </is>
      </c>
      <c r="T223" s="3" t="inlineStr">
        <is>
          <t>Measured and periodically tested/audited; integrated with adjacent processes.</t>
        </is>
      </c>
      <c r="U223" s="3" t="inlineStr">
        <is>
          <t>Optimized and automated where practical; stress-tested; benchmarked externally.</t>
        </is>
      </c>
      <c r="V223" s="3" t="inlineStr">
        <is>
          <t>Supplier/logistics disruption; Manufacturing disruption; Demand shock</t>
        </is>
      </c>
      <c r="W223" s="3" t="n"/>
      <c r="X223" s="3" t="n"/>
      <c r="Y223" s="3" t="inlineStr">
        <is>
          <t>Use the recommended action generated by the model; validate with domain owner during real assessment.</t>
        </is>
      </c>
      <c r="Z223" s="7" t="n">
        <v>5</v>
      </c>
      <c r="AA223" s="7" t="n">
        <v>5</v>
      </c>
      <c r="AB223" s="7" t="n">
        <v>5</v>
      </c>
      <c r="AK223" s="46" t="n"/>
      <c r="AL223" s="46" t="n"/>
      <c r="AM223" s="247">
        <f>_DATA_Assessment_Model!AJ223</f>
        <v/>
      </c>
      <c r="AN223" s="247">
        <f>_DATA_Assessment_Model!AK223</f>
        <v/>
      </c>
      <c r="AO223" s="247">
        <f>_DATA_Assessment_Model!AL223</f>
        <v/>
      </c>
      <c r="AP223" s="247">
        <f>_DATA_Assessment_Model!AM223</f>
        <v/>
      </c>
      <c r="AQ223" s="247">
        <f>_DATA_Assessment_Model!AN223</f>
        <v/>
      </c>
      <c r="AR223" s="247">
        <f>_DATA_Assessment_Model!AO223</f>
        <v/>
      </c>
      <c r="AS223" s="247">
        <f>_DATA_Assessment_Model!AP223</f>
        <v/>
      </c>
      <c r="AT223" s="247">
        <f>_DATA_Assessment_Model!AQ223</f>
        <v/>
      </c>
      <c r="AU223" s="247">
        <f>_DATA_Assessment_Model!AR223</f>
        <v/>
      </c>
      <c r="AV223" s="5">
        <f>_DATA_Assessment_Model!AS223</f>
        <v/>
      </c>
      <c r="AW223" s="5">
        <f>_DATA_Assessment_Model!AT223</f>
        <v/>
      </c>
      <c r="AY223">
        <f>_DATA_Assessment_Model!AV223</f>
        <v/>
      </c>
    </row>
    <row r="224" ht="82.8" customHeight="1" s="209">
      <c r="A224" t="inlineStr">
        <is>
          <t>Supply Chain</t>
        </is>
      </c>
      <c r="B224" t="inlineStr">
        <is>
          <t>Supply Chain</t>
        </is>
      </c>
      <c r="C224" t="n">
        <v>29</v>
      </c>
      <c r="D224" s="3" t="inlineStr">
        <is>
          <t>SUPP-025</t>
        </is>
      </c>
      <c r="E224" s="3" t="inlineStr">
        <is>
          <t>Technology and risk</t>
        </is>
      </c>
      <c r="F224" s="3" t="inlineStr">
        <is>
          <t>How mature is the organization in managing approved substitution rules for materials, components and suppliers, including ownership, evidence, metrics, fallback procedures and crisis stress testing?</t>
        </is>
      </c>
      <c r="G224" s="3" t="inlineStr">
        <is>
          <t>This topic affects exposure to Supplier/logistics disruption; Manufacturing disruption; Demand shock. It helps identify how disruption may impact operations, people, revenue, systems, legal exposure or recovery time.</t>
        </is>
      </c>
      <c r="H224" s="3" t="inlineStr">
        <is>
          <t>ISO 22301; ISO 20400; ISO 28000; SCOR Digital Standard; S&amp;OP/IBP; APICS/ASCM</t>
        </is>
      </c>
      <c r="I224" s="3" t="inlineStr">
        <is>
          <t>Policy/SOP; owner/RACI; system report; dashboard; contracts; test records; incident history; interview evidence related to approved substitution rules for materials, components and suppliers.</t>
        </is>
      </c>
      <c r="J224" s="3" t="n">
        <v>5</v>
      </c>
      <c r="K224" s="85">
        <f>_DATA_Assessment_Model!H224</f>
        <v/>
      </c>
      <c r="L224" s="4">
        <f>_DATA_Assessment_Model!I224</f>
        <v/>
      </c>
      <c r="M224" s="4">
        <f>_DATA_Assessment_Model!J224</f>
        <v/>
      </c>
      <c r="N224" s="4">
        <f>_DATA_Assessment_Model!K224</f>
        <v/>
      </c>
      <c r="O224" s="3">
        <f>_DATA_Assessment_Model!L224</f>
        <v/>
      </c>
      <c r="P224" s="3" t="inlineStr">
        <is>
          <t>Does not exist; no owner, no documentation, no practice.</t>
        </is>
      </c>
      <c r="Q224" s="3" t="inlineStr">
        <is>
          <t>Ad hoc; depends entirely on specific individuals.</t>
        </is>
      </c>
      <c r="R224" s="3" t="inlineStr">
        <is>
          <t>Partially documented or implemented; coverage inconsistent; never tested under stress.</t>
        </is>
      </c>
      <c r="S224" s="3" t="inlineStr">
        <is>
          <t>Documented, owned, executed consistently; basic evidence and metrics exist.</t>
        </is>
      </c>
      <c r="T224" s="3" t="inlineStr">
        <is>
          <t>Measured and periodically tested/audited; integrated with adjacent processes.</t>
        </is>
      </c>
      <c r="U224" s="3" t="inlineStr">
        <is>
          <t>Optimized and automated where practical; stress-tested; benchmarked externally.</t>
        </is>
      </c>
      <c r="V224" s="3" t="inlineStr">
        <is>
          <t>Supplier/logistics disruption; Manufacturing disruption; Demand shock</t>
        </is>
      </c>
      <c r="W224" s="3" t="n"/>
      <c r="X224" s="3" t="n"/>
      <c r="Y224" s="3" t="inlineStr">
        <is>
          <t>Use the recommended action generated by the model; validate with domain owner during real assessment.</t>
        </is>
      </c>
      <c r="Z224" s="7" t="n">
        <v>4</v>
      </c>
      <c r="AA224" s="7" t="n">
        <v>5</v>
      </c>
      <c r="AB224" s="7" t="n">
        <v>5</v>
      </c>
      <c r="AK224" s="46" t="n"/>
      <c r="AL224" s="46" t="n"/>
      <c r="AM224" s="247">
        <f>_DATA_Assessment_Model!AJ224</f>
        <v/>
      </c>
      <c r="AN224" s="247">
        <f>_DATA_Assessment_Model!AK224</f>
        <v/>
      </c>
      <c r="AO224" s="247">
        <f>_DATA_Assessment_Model!AL224</f>
        <v/>
      </c>
      <c r="AP224" s="247">
        <f>_DATA_Assessment_Model!AM224</f>
        <v/>
      </c>
      <c r="AQ224" s="247">
        <f>_DATA_Assessment_Model!AN224</f>
        <v/>
      </c>
      <c r="AR224" s="247">
        <f>_DATA_Assessment_Model!AO224</f>
        <v/>
      </c>
      <c r="AS224" s="247">
        <f>_DATA_Assessment_Model!AP224</f>
        <v/>
      </c>
      <c r="AT224" s="247">
        <f>_DATA_Assessment_Model!AQ224</f>
        <v/>
      </c>
      <c r="AU224" s="247">
        <f>_DATA_Assessment_Model!AR224</f>
        <v/>
      </c>
      <c r="AV224" s="5">
        <f>_DATA_Assessment_Model!AS224</f>
        <v/>
      </c>
      <c r="AW224" s="5">
        <f>_DATA_Assessment_Model!AT224</f>
        <v/>
      </c>
      <c r="AY224">
        <f>_DATA_Assessment_Model!AV224</f>
        <v/>
      </c>
    </row>
    <row r="225">
      <c r="A225" t="inlineStr">
        <is>
          <t>Supply Chain</t>
        </is>
      </c>
      <c r="B225" t="inlineStr">
        <is>
          <t>Supply Chain</t>
        </is>
      </c>
      <c r="C225" t="n">
        <v>30</v>
      </c>
      <c r="D225" t="inlineStr">
        <is>
          <t>SUPP-026</t>
        </is>
      </c>
      <c r="E225" t="inlineStr">
        <is>
          <t>Orchestration and resilience</t>
        </is>
      </c>
      <c r="F225" t="inlineStr">
        <is>
          <t>How mature is the organization in managing supply chain strategy aligned with business strategy and reviewed against scenarios and market shifts, including ownership, evidence, metrics, fallback procedures and crisis stress testing?</t>
        </is>
      </c>
      <c r="G225" t="inlineStr">
        <is>
          <t>This topic affects exposure to Supplier/logistics disruption; Demand shock; Geopolitical risk. It helps identify how disruption may impact operations, people, revenue, systems, legal exposure or recovery time.</t>
        </is>
      </c>
      <c r="H225" t="inlineStr">
        <is>
          <t>SCOR DS OE1; APQC PCF 4.0</t>
        </is>
      </c>
      <c r="I225" t="inlineStr">
        <is>
          <t>Policy/SOP; owner/RACI; system report; dashboard; contracts; test records; incident history; interview evidence related to end-to-end supply chain map from raw materials and suppliers to production, logistics, delivery and customers.</t>
        </is>
      </c>
      <c r="J225" t="n">
        <v>4</v>
      </c>
      <c r="K225">
        <f>_DATA_Assessment_Model!H225</f>
        <v/>
      </c>
      <c r="L225">
        <f>_DATA_Assessment_Model!I225</f>
        <v/>
      </c>
      <c r="M225">
        <f>_DATA_Assessment_Model!J225</f>
        <v/>
      </c>
      <c r="N225">
        <f>_DATA_Assessment_Model!K225</f>
        <v/>
      </c>
      <c r="O225">
        <f>_DATA_Assessment_Model!L225</f>
        <v/>
      </c>
      <c r="P225" t="inlineStr">
        <is>
          <t>No reliable evidence that supply chain strategy aligned with business strategy and reviewed against scenarios and market shifts is defined, owned or managed.</t>
        </is>
      </c>
      <c r="Q225" t="inlineStr">
        <is>
          <t>Supply chain strategy aligned with business strategy and reviewed against scenarios and market shifts is handled informally and depends on individual knowledge or heroic effort.</t>
        </is>
      </c>
      <c r="R225" t="inlineStr">
        <is>
          <t>Supply chain strategy aligned with business strategy and reviewed against scenarios and market shifts is partially documented or implemented, but coverage is inconsistent and not crisis-tested.</t>
        </is>
      </c>
      <c r="S225" t="inlineStr">
        <is>
          <t>Supply chain strategy aligned with business strategy and reviewed against scenarios and market shifts is documented, owned, used in normal operations and supported by basic evidence or metrics.</t>
        </is>
      </c>
      <c r="T225" t="inlineStr">
        <is>
          <t>Supply chain strategy aligned with business strategy and reviewed against scenarios and market shifts is measured, periodically reviewed, integrated with related processes and tested against relevant disruption scenarios.</t>
        </is>
      </c>
      <c r="U225" t="inlineStr">
        <is>
          <t>Supply chain strategy aligned with business strategy and reviewed against scenarios and market shifts is optimized, continuously improved, automated where practical and demonstrably supports crisis resilience.</t>
        </is>
      </c>
      <c r="V225" t="inlineStr">
        <is>
          <t>Supplier/logistics disruption; Demand shock; Geopolitical risk</t>
        </is>
      </c>
      <c r="Y225" t="inlineStr">
        <is>
          <t>Use the recommended action generated by the model; validate with domain owner during real assessment.</t>
        </is>
      </c>
      <c r="Z225" t="n">
        <v>3</v>
      </c>
      <c r="AA225" t="n">
        <v>4</v>
      </c>
      <c r="AB225" t="n">
        <v>5</v>
      </c>
      <c r="AM225">
        <f>_DATA_Assessment_Model!AJ225</f>
        <v/>
      </c>
      <c r="AN225">
        <f>_DATA_Assessment_Model!AK225</f>
        <v/>
      </c>
      <c r="AO225">
        <f>_DATA_Assessment_Model!AL225</f>
        <v/>
      </c>
      <c r="AP225">
        <f>_DATA_Assessment_Model!AM225</f>
        <v/>
      </c>
      <c r="AQ225">
        <f>_DATA_Assessment_Model!AN225</f>
        <v/>
      </c>
      <c r="AR225">
        <f>_DATA_Assessment_Model!AO225</f>
        <v/>
      </c>
      <c r="AS225">
        <f>_DATA_Assessment_Model!AP225</f>
        <v/>
      </c>
      <c r="AT225">
        <f>_DATA_Assessment_Model!AQ225</f>
        <v/>
      </c>
      <c r="AU225">
        <f>_DATA_Assessment_Model!AR225</f>
        <v/>
      </c>
      <c r="AV225">
        <f>_DATA_Assessment_Model!AS225</f>
        <v/>
      </c>
      <c r="AW225">
        <f>_DATA_Assessment_Model!AT225</f>
        <v/>
      </c>
      <c r="AY225">
        <f>_DATA_Assessment_Model!AV225</f>
        <v/>
      </c>
    </row>
    <row r="226">
      <c r="A226" t="inlineStr">
        <is>
          <t>Supply Chain</t>
        </is>
      </c>
      <c r="B226" t="inlineStr">
        <is>
          <t>Supply Chain</t>
        </is>
      </c>
      <c r="C226" t="n">
        <v>31</v>
      </c>
      <c r="D226" t="inlineStr">
        <is>
          <t>SUPP-027</t>
        </is>
      </c>
      <c r="E226" t="inlineStr">
        <is>
          <t>Orchestration and resilience</t>
        </is>
      </c>
      <c r="F226" t="inlineStr">
        <is>
          <t>How mature is the organization in managing supply chain risk and resilience management with time-to-recovery and time-to-survive analysis for critical nodes, including ownership, evidence, metrics, fallback procedures and crisis stress testing?</t>
        </is>
      </c>
      <c r="G226" t="inlineStr">
        <is>
          <t>This topic affects exposure to Supplier/logistics disruption; War/security crisis; Natural disaster. It helps identify how disruption may impact operations, people, revenue, systems, legal exposure or recovery time.</t>
        </is>
      </c>
      <c r="H226" t="inlineStr">
        <is>
          <t>SCOR DS OE10; ISO 28000; ISO 22301</t>
        </is>
      </c>
      <c r="I226" t="inlineStr">
        <is>
          <t>Policy/SOP; owner/RACI; system report; dashboard; contracts; test records; incident history; interview evidence related to end-to-end supply chain map from raw materials and suppliers to production, logistics, delivery and customers.</t>
        </is>
      </c>
      <c r="J226" t="n">
        <v>5</v>
      </c>
      <c r="K226">
        <f>_DATA_Assessment_Model!H226</f>
        <v/>
      </c>
      <c r="L226">
        <f>_DATA_Assessment_Model!I226</f>
        <v/>
      </c>
      <c r="M226">
        <f>_DATA_Assessment_Model!J226</f>
        <v/>
      </c>
      <c r="N226">
        <f>_DATA_Assessment_Model!K226</f>
        <v/>
      </c>
      <c r="O226">
        <f>_DATA_Assessment_Model!L226</f>
        <v/>
      </c>
      <c r="P226" t="inlineStr">
        <is>
          <t>Does not exist; no owner, no documentation, no practice.</t>
        </is>
      </c>
      <c r="Q226" t="inlineStr">
        <is>
          <t>Ad hoc; depends entirely on specific individuals.</t>
        </is>
      </c>
      <c r="R226" t="inlineStr">
        <is>
          <t>Partially documented or implemented; coverage inconsistent; never tested under stress.</t>
        </is>
      </c>
      <c r="S226" t="inlineStr">
        <is>
          <t>Documented, owned, executed consistently; basic evidence and metrics exist.</t>
        </is>
      </c>
      <c r="T226" t="inlineStr">
        <is>
          <t>Measured and periodically tested/audited; integrated with adjacent processes.</t>
        </is>
      </c>
      <c r="U226" t="inlineStr">
        <is>
          <t>Optimized and automated where practical; stress-tested; benchmarked externally.</t>
        </is>
      </c>
      <c r="V226" t="inlineStr">
        <is>
          <t>Supplier/logistics disruption; War/security crisis; Natural disaster</t>
        </is>
      </c>
      <c r="Y226" t="inlineStr">
        <is>
          <t>Use the recommended action generated by the model; validate with domain owner during real assessment.</t>
        </is>
      </c>
      <c r="Z226" t="n">
        <v>4</v>
      </c>
      <c r="AA226" t="n">
        <v>5</v>
      </c>
      <c r="AB226" t="n">
        <v>4</v>
      </c>
      <c r="AM226">
        <f>_DATA_Assessment_Model!AJ226</f>
        <v/>
      </c>
      <c r="AN226">
        <f>_DATA_Assessment_Model!AK226</f>
        <v/>
      </c>
      <c r="AO226">
        <f>_DATA_Assessment_Model!AL226</f>
        <v/>
      </c>
      <c r="AP226">
        <f>_DATA_Assessment_Model!AM226</f>
        <v/>
      </c>
      <c r="AQ226">
        <f>_DATA_Assessment_Model!AN226</f>
        <v/>
      </c>
      <c r="AR226">
        <f>_DATA_Assessment_Model!AO226</f>
        <v/>
      </c>
      <c r="AS226">
        <f>_DATA_Assessment_Model!AP226</f>
        <v/>
      </c>
      <c r="AT226">
        <f>_DATA_Assessment_Model!AQ226</f>
        <v/>
      </c>
      <c r="AU226">
        <f>_DATA_Assessment_Model!AR226</f>
        <v/>
      </c>
      <c r="AV226">
        <f>_DATA_Assessment_Model!AS226</f>
        <v/>
      </c>
      <c r="AW226">
        <f>_DATA_Assessment_Model!AT226</f>
        <v/>
      </c>
      <c r="AY226">
        <f>_DATA_Assessment_Model!AV226</f>
        <v/>
      </c>
    </row>
    <row r="227">
      <c r="A227" t="inlineStr">
        <is>
          <t>Supply Chain</t>
        </is>
      </c>
      <c r="B227" t="inlineStr">
        <is>
          <t>Supply Chain</t>
        </is>
      </c>
      <c r="C227" t="n">
        <v>32</v>
      </c>
      <c r="D227" t="inlineStr">
        <is>
          <t>SUPP-028</t>
        </is>
      </c>
      <c r="E227" t="inlineStr">
        <is>
          <t>Orchestration and resilience</t>
        </is>
      </c>
      <c r="F227" t="inlineStr">
        <is>
          <t>How mature is the organization in managing supply chain agility measurement covering upside and downside flexibility and adaptability metrics, including ownership, evidence, metrics, fallback procedures and crisis stress testing?</t>
        </is>
      </c>
      <c r="G227" t="inlineStr">
        <is>
          <t>This topic affects exposure to Demand shock; Supplier/logistics disruption. It helps identify how disruption may impact operations, people, revenue, systems, legal exposure or recovery time.</t>
        </is>
      </c>
      <c r="H227" t="inlineStr">
        <is>
          <t>SCOR DS Agility (AG) metrics; APQC PCF 4.0</t>
        </is>
      </c>
      <c r="I227" t="inlineStr">
        <is>
          <t>Policy/SOP; owner/RACI; system report; dashboard; contracts; test records; incident history; interview evidence related to end-to-end supply chain map from raw materials and suppliers to production, logistics, delivery and customers.</t>
        </is>
      </c>
      <c r="J227" t="n">
        <v>3</v>
      </c>
      <c r="K227">
        <f>_DATA_Assessment_Model!H227</f>
        <v/>
      </c>
      <c r="L227">
        <f>_DATA_Assessment_Model!I227</f>
        <v/>
      </c>
      <c r="M227">
        <f>_DATA_Assessment_Model!J227</f>
        <v/>
      </c>
      <c r="N227">
        <f>_DATA_Assessment_Model!K227</f>
        <v/>
      </c>
      <c r="O227">
        <f>_DATA_Assessment_Model!L227</f>
        <v/>
      </c>
      <c r="P227" t="inlineStr">
        <is>
          <t>No reliable evidence that supply chain agility measurement covering upside and downside flexibility and adaptability metrics is defined, owned or managed.</t>
        </is>
      </c>
      <c r="Q227" t="inlineStr">
        <is>
          <t>Supply chain agility measurement covering upside and downside flexibility and adaptability metrics is handled informally and depends on individual knowledge or heroic effort.</t>
        </is>
      </c>
      <c r="R227" t="inlineStr">
        <is>
          <t>Supply chain agility measurement covering upside and downside flexibility and adaptability metrics is partially documented or implemented, but coverage is inconsistent and not crisis-tested.</t>
        </is>
      </c>
      <c r="S227" t="inlineStr">
        <is>
          <t>Supply chain agility measurement covering upside and downside flexibility and adaptability metrics is documented, owned, used in normal operations and supported by basic evidence or metrics.</t>
        </is>
      </c>
      <c r="T227" t="inlineStr">
        <is>
          <t>Supply chain agility measurement covering upside and downside flexibility and adaptability metrics is measured, periodically reviewed, integrated with related processes and tested against relevant disruption scenarios.</t>
        </is>
      </c>
      <c r="U227" t="inlineStr">
        <is>
          <t>Supply chain agility measurement covering upside and downside flexibility and adaptability metrics is optimized, continuously improved, automated where practical and demonstrably supports crisis resilience.</t>
        </is>
      </c>
      <c r="V227" t="inlineStr">
        <is>
          <t>Demand shock; Supplier/logistics disruption</t>
        </is>
      </c>
      <c r="Y227" t="inlineStr">
        <is>
          <t>Use the recommended action generated by the model; validate with domain owner during real assessment.</t>
        </is>
      </c>
      <c r="Z227" t="n">
        <v>4</v>
      </c>
      <c r="AA227" t="n">
        <v>4</v>
      </c>
      <c r="AB227" t="n">
        <v>4</v>
      </c>
      <c r="AM227">
        <f>_DATA_Assessment_Model!AJ227</f>
        <v/>
      </c>
      <c r="AN227">
        <f>_DATA_Assessment_Model!AK227</f>
        <v/>
      </c>
      <c r="AO227">
        <f>_DATA_Assessment_Model!AL227</f>
        <v/>
      </c>
      <c r="AP227">
        <f>_DATA_Assessment_Model!AM227</f>
        <v/>
      </c>
      <c r="AQ227">
        <f>_DATA_Assessment_Model!AN227</f>
        <v/>
      </c>
      <c r="AR227">
        <f>_DATA_Assessment_Model!AO227</f>
        <v/>
      </c>
      <c r="AS227">
        <f>_DATA_Assessment_Model!AP227</f>
        <v/>
      </c>
      <c r="AT227">
        <f>_DATA_Assessment_Model!AQ227</f>
        <v/>
      </c>
      <c r="AU227">
        <f>_DATA_Assessment_Model!AR227</f>
        <v/>
      </c>
      <c r="AV227">
        <f>_DATA_Assessment_Model!AS227</f>
        <v/>
      </c>
      <c r="AW227">
        <f>_DATA_Assessment_Model!AT227</f>
        <v/>
      </c>
      <c r="AY227">
        <f>_DATA_Assessment_Model!AV227</f>
        <v/>
      </c>
    </row>
    <row r="228">
      <c r="A228" t="inlineStr">
        <is>
          <t>Supply Chain</t>
        </is>
      </c>
      <c r="B228" t="inlineStr">
        <is>
          <t>Supply Chain</t>
        </is>
      </c>
      <c r="C228" t="n">
        <v>33</v>
      </c>
      <c r="D228" t="inlineStr">
        <is>
          <t>SUPP-029</t>
        </is>
      </c>
      <c r="E228" t="inlineStr">
        <is>
          <t>Orchestration and resilience</t>
        </is>
      </c>
      <c r="F228" t="inlineStr">
        <is>
          <t>How mature is the organization in managing periodic supply network design review stress-testing nodes, routes and capacity against crisis scenarios, including ownership, evidence, metrics, fallback procedures and crisis stress testing?</t>
        </is>
      </c>
      <c r="G228" t="inlineStr">
        <is>
          <t>This topic affects exposure to Supplier/logistics disruption; Geopolitical risk; Natural disaster. It helps identify how disruption may impact operations, people, revenue, systems, legal exposure or recovery time.</t>
        </is>
      </c>
      <c r="H228" t="inlineStr">
        <is>
          <t>SCOR DS network design practices; ISO 22301</t>
        </is>
      </c>
      <c r="I228" t="inlineStr">
        <is>
          <t>Policy/SOP; owner/RACI; system report; dashboard; contracts; test records; incident history; interview evidence related to end-to-end supply chain map from raw materials and suppliers to production, logistics, delivery and customers.</t>
        </is>
      </c>
      <c r="J228" t="n">
        <v>4</v>
      </c>
      <c r="K228">
        <f>_DATA_Assessment_Model!H228</f>
        <v/>
      </c>
      <c r="L228">
        <f>_DATA_Assessment_Model!I228</f>
        <v/>
      </c>
      <c r="M228">
        <f>_DATA_Assessment_Model!J228</f>
        <v/>
      </c>
      <c r="N228">
        <f>_DATA_Assessment_Model!K228</f>
        <v/>
      </c>
      <c r="O228">
        <f>_DATA_Assessment_Model!L228</f>
        <v/>
      </c>
      <c r="P228" t="inlineStr">
        <is>
          <t>Never done; no records exist.</t>
        </is>
      </c>
      <c r="Q228" t="inlineStr">
        <is>
          <t>Done once long ago or only after an incident; no schedule, no records.</t>
        </is>
      </c>
      <c r="R228" t="inlineStr">
        <is>
          <t>Done irregularly; results are not documented and findings are not tracked.</t>
        </is>
      </c>
      <c r="S228" t="inlineStr">
        <is>
          <t>Done on a defined schedule (at least annually); results documented, owner assigned.</t>
        </is>
      </c>
      <c r="T228" t="inlineStr">
        <is>
          <t>Done quarterly/semi-annually; findings tracked to closure, effectiveness measured against targets.</t>
        </is>
      </c>
      <c r="U228" t="inlineStr">
        <is>
          <t>Continuous or automated where possible; results drive improvements and are validated externally (audit/customer).</t>
        </is>
      </c>
      <c r="V228" t="inlineStr">
        <is>
          <t>Supplier/logistics disruption; Geopolitical risk; Natural disaster</t>
        </is>
      </c>
      <c r="Y228" t="inlineStr">
        <is>
          <t>Use the recommended action generated by the model; validate with domain owner during real assessment.</t>
        </is>
      </c>
      <c r="Z228" t="n">
        <v>3</v>
      </c>
      <c r="AA228" t="n">
        <v>5</v>
      </c>
      <c r="AB228" t="n">
        <v>4</v>
      </c>
      <c r="AM228">
        <f>_DATA_Assessment_Model!AJ228</f>
        <v/>
      </c>
      <c r="AN228">
        <f>_DATA_Assessment_Model!AK228</f>
        <v/>
      </c>
      <c r="AO228">
        <f>_DATA_Assessment_Model!AL228</f>
        <v/>
      </c>
      <c r="AP228">
        <f>_DATA_Assessment_Model!AM228</f>
        <v/>
      </c>
      <c r="AQ228">
        <f>_DATA_Assessment_Model!AN228</f>
        <v/>
      </c>
      <c r="AR228">
        <f>_DATA_Assessment_Model!AO228</f>
        <v/>
      </c>
      <c r="AS228">
        <f>_DATA_Assessment_Model!AP228</f>
        <v/>
      </c>
      <c r="AT228">
        <f>_DATA_Assessment_Model!AQ228</f>
        <v/>
      </c>
      <c r="AU228">
        <f>_DATA_Assessment_Model!AR228</f>
        <v/>
      </c>
      <c r="AV228">
        <f>_DATA_Assessment_Model!AS228</f>
        <v/>
      </c>
      <c r="AW228">
        <f>_DATA_Assessment_Model!AT228</f>
        <v/>
      </c>
      <c r="AY228">
        <f>_DATA_Assessment_Model!AV228</f>
        <v/>
      </c>
    </row>
    <row r="229" ht="82.8" customHeight="1" s="209">
      <c r="A229" t="inlineStr">
        <is>
          <t>Manufacturing MES</t>
        </is>
      </c>
      <c r="B229" t="inlineStr">
        <is>
          <t>Manufacturing MES</t>
        </is>
      </c>
      <c r="C229" t="n">
        <v>5</v>
      </c>
      <c r="D229" s="3" t="inlineStr">
        <is>
          <t>MANU-001</t>
        </is>
      </c>
      <c r="E229" s="3" t="inlineStr">
        <is>
          <t>Production footprint</t>
        </is>
      </c>
      <c r="F229" s="3" t="inlineStr">
        <is>
          <t>How mature is the organization in managing production footprint by plant, line, product family, capacity, workforce and crisis exposure, including ownership, evidence, metrics, fallback procedures and crisis stress testing?</t>
        </is>
      </c>
      <c r="G229" s="3" t="inlineStr">
        <is>
          <t>This topic affects exposure to Manufacturing disruption; Safety incident; Energy outage; Cyberattack. It helps identify how disruption may impact operations, people, revenue, systems, legal exposure or recovery time.</t>
        </is>
      </c>
      <c r="H229" s="3" t="inlineStr">
        <is>
          <t>ISO 9001; ISO 45001; ISA-95; IEC 62443; ISO 55001; Lean; Six Sigma; TPM; MES/MOM practices</t>
        </is>
      </c>
      <c r="I229" s="3" t="inlineStr">
        <is>
          <t>Policy/SOP; owner/RACI; system report; dashboard; contracts; test records; incident history; interview evidence related to production footprint by plant, line, product family, capacity, workforce and crisis exposure.</t>
        </is>
      </c>
      <c r="J229" s="3" t="n">
        <v>5</v>
      </c>
      <c r="K229" s="85">
        <f>_DATA_Assessment_Model!H229</f>
        <v/>
      </c>
      <c r="L229" s="4">
        <f>_DATA_Assessment_Model!I229</f>
        <v/>
      </c>
      <c r="M229" s="4">
        <f>_DATA_Assessment_Model!J229</f>
        <v/>
      </c>
      <c r="N229" s="4">
        <f>_DATA_Assessment_Model!K229</f>
        <v/>
      </c>
      <c r="O229" s="3">
        <f>_DATA_Assessment_Model!L229</f>
        <v/>
      </c>
      <c r="P229" s="3" t="inlineStr">
        <is>
          <t>No plan or procedure exists.</t>
        </is>
      </c>
      <c r="Q229" s="3" t="inlineStr">
        <is>
          <t>Knowledge lives with individuals; nothing usable is written down.</t>
        </is>
      </c>
      <c r="R229" s="3" t="inlineStr">
        <is>
          <t>Drafted but outdated, not approved, or unknown to the people who must use it.</t>
        </is>
      </c>
      <c r="S229" s="3" t="inlineStr">
        <is>
          <t>Approved and current; owners assigned; affected staff know it exists and where to find it.</t>
        </is>
      </c>
      <c r="T229" s="3" t="inlineStr">
        <is>
          <t>Tested against realistic scenarios; updated after each test or real incident.</t>
        </is>
      </c>
      <c r="U229" s="3" t="inlineStr">
        <is>
          <t>Exercised regularly including external parties; readiness measured; continuously improved.</t>
        </is>
      </c>
      <c r="V229" s="3" t="inlineStr">
        <is>
          <t>Manufacturing disruption; Safety incident; Energy outage; Cyberattack</t>
        </is>
      </c>
      <c r="W229" s="3" t="n"/>
      <c r="X229" s="3" t="n"/>
      <c r="Y229" s="3" t="inlineStr">
        <is>
          <t>Use the recommended action generated by the model; validate with domain owner during real assessment.</t>
        </is>
      </c>
      <c r="Z229" s="7" t="n">
        <v>5</v>
      </c>
      <c r="AA229" s="7" t="n">
        <v>5</v>
      </c>
      <c r="AB229" s="7" t="n">
        <v>5</v>
      </c>
      <c r="AD229" t="inlineStr">
        <is>
          <t>Production footprint</t>
        </is>
      </c>
      <c r="AE229" s="6">
        <f>_DATA_Assessment_Model!AB229</f>
        <v/>
      </c>
      <c r="AF229" s="8">
        <f>_DATA_Assessment_Model!AC229</f>
        <v/>
      </c>
      <c r="AG229" s="9">
        <f>_DATA_Assessment_Model!AD229</f>
        <v/>
      </c>
      <c r="AH229" s="6">
        <f>_DATA_Assessment_Model!AE229</f>
        <v/>
      </c>
      <c r="AI229" s="8">
        <f>_DATA_Assessment_Model!AF229</f>
        <v/>
      </c>
      <c r="AJ229" s="6">
        <f>_DATA_Assessment_Model!AG229</f>
        <v/>
      </c>
      <c r="AK229" s="46" t="n"/>
      <c r="AL229" s="46" t="n"/>
      <c r="AM229" s="247">
        <f>_DATA_Assessment_Model!AJ229</f>
        <v/>
      </c>
      <c r="AN229" s="247">
        <f>_DATA_Assessment_Model!AK229</f>
        <v/>
      </c>
      <c r="AO229" s="247">
        <f>_DATA_Assessment_Model!AL229</f>
        <v/>
      </c>
      <c r="AP229" s="247">
        <f>_DATA_Assessment_Model!AM229</f>
        <v/>
      </c>
      <c r="AQ229" s="247">
        <f>_DATA_Assessment_Model!AN229</f>
        <v/>
      </c>
      <c r="AR229" s="247">
        <f>_DATA_Assessment_Model!AO229</f>
        <v/>
      </c>
      <c r="AS229" s="247">
        <f>_DATA_Assessment_Model!AP229</f>
        <v/>
      </c>
      <c r="AT229" s="247">
        <f>_DATA_Assessment_Model!AQ229</f>
        <v/>
      </c>
      <c r="AU229" s="247">
        <f>_DATA_Assessment_Model!AR229</f>
        <v/>
      </c>
      <c r="AV229" s="5">
        <f>_DATA_Assessment_Model!AS229</f>
        <v/>
      </c>
      <c r="AW229" s="5">
        <f>_DATA_Assessment_Model!AT229</f>
        <v/>
      </c>
      <c r="AY229">
        <f>_DATA_Assessment_Model!AV229</f>
        <v/>
      </c>
    </row>
    <row r="230" ht="82.8" customHeight="1" s="209">
      <c r="A230" t="inlineStr">
        <is>
          <t>Manufacturing MES</t>
        </is>
      </c>
      <c r="B230" t="inlineStr">
        <is>
          <t>Manufacturing MES</t>
        </is>
      </c>
      <c r="C230" t="n">
        <v>6</v>
      </c>
      <c r="D230" s="3" t="inlineStr">
        <is>
          <t>MANU-002</t>
        </is>
      </c>
      <c r="E230" s="3" t="inlineStr">
        <is>
          <t>Production footprint</t>
        </is>
      </c>
      <c r="F230" s="3" t="inlineStr">
        <is>
          <t>How mature is the organization in managing production planning integrated with demand, supply, inventory, workforce and maintenance constraints, including ownership, evidence, metrics, fallback procedures and crisis stress testing?</t>
        </is>
      </c>
      <c r="G230" s="3" t="inlineStr">
        <is>
          <t>This topic affects exposure to Manufacturing disruption; Safety incident; Energy outage; Cyberattack. It helps identify how disruption may impact operations, people, revenue, systems, legal exposure or recovery time.</t>
        </is>
      </c>
      <c r="H230" s="3" t="inlineStr">
        <is>
          <t>ISO 9001; ISO 45001; ISA-95; IEC 62443; ISO 55001; Lean; Six Sigma; TPM; MES/MOM practices</t>
        </is>
      </c>
      <c r="I230" s="3" t="inlineStr">
        <is>
          <t>Policy/SOP; owner/RACI; system report; dashboard; contracts; test records; incident history; interview evidence related to production planning integrated with demand, supply, inventory, workforce and maintenance constraints.</t>
        </is>
      </c>
      <c r="J230" s="3" t="n">
        <v>5</v>
      </c>
      <c r="K230" s="85">
        <f>_DATA_Assessment_Model!H230</f>
        <v/>
      </c>
      <c r="L230" s="4">
        <f>_DATA_Assessment_Model!I230</f>
        <v/>
      </c>
      <c r="M230" s="4">
        <f>_DATA_Assessment_Model!J230</f>
        <v/>
      </c>
      <c r="N230" s="4">
        <f>_DATA_Assessment_Model!K230</f>
        <v/>
      </c>
      <c r="O230" s="3">
        <f>_DATA_Assessment_Model!L230</f>
        <v/>
      </c>
      <c r="P230" s="3" t="inlineStr">
        <is>
          <t>No inventory/register exists.</t>
        </is>
      </c>
      <c r="Q230" s="3" t="inlineStr">
        <is>
          <t>Partial lists live in individuals' heads or personal files.</t>
        </is>
      </c>
      <c r="R230" s="3" t="inlineStr">
        <is>
          <t>A register exists but is incomplete or outdated (&gt;1 year) and has no owner.</t>
        </is>
      </c>
      <c r="S230" s="3" t="inlineStr">
        <is>
          <t>Owned, documented, updated on a defined schedule, covers the main scope.</t>
        </is>
      </c>
      <c r="T230" s="3" t="inlineStr">
        <is>
          <t>Complete and periodically reviewed; integrated with related processes; completeness measured.</t>
        </is>
      </c>
      <c r="U230" s="3" t="inlineStr">
        <is>
          <t>Maintained automatically or synced with systems; drives decisions; audited.</t>
        </is>
      </c>
      <c r="V230" s="3" t="inlineStr">
        <is>
          <t>Manufacturing disruption; Safety incident; Energy outage; Cyberattack</t>
        </is>
      </c>
      <c r="W230" s="3" t="n"/>
      <c r="X230" s="3" t="n"/>
      <c r="Y230" s="3" t="inlineStr">
        <is>
          <t>Use the recommended action generated by the model; validate with domain owner during real assessment.</t>
        </is>
      </c>
      <c r="Z230" s="7" t="n">
        <v>5</v>
      </c>
      <c r="AA230" s="7" t="n">
        <v>5</v>
      </c>
      <c r="AB230" s="7" t="n">
        <v>5</v>
      </c>
      <c r="AD230" t="inlineStr">
        <is>
          <t>MES and shop floor</t>
        </is>
      </c>
      <c r="AE230" s="6">
        <f>_DATA_Assessment_Model!AB230</f>
        <v/>
      </c>
      <c r="AF230" s="8">
        <f>_DATA_Assessment_Model!AC230</f>
        <v/>
      </c>
      <c r="AG230" s="9">
        <f>_DATA_Assessment_Model!AD230</f>
        <v/>
      </c>
      <c r="AH230" s="6">
        <f>_DATA_Assessment_Model!AE230</f>
        <v/>
      </c>
      <c r="AI230" s="8">
        <f>_DATA_Assessment_Model!AF230</f>
        <v/>
      </c>
      <c r="AJ230" s="6">
        <f>_DATA_Assessment_Model!AG230</f>
        <v/>
      </c>
      <c r="AK230" s="46" t="n"/>
      <c r="AL230" s="46" t="n"/>
      <c r="AM230" s="247">
        <f>_DATA_Assessment_Model!AJ230</f>
        <v/>
      </c>
      <c r="AN230" s="247">
        <f>_DATA_Assessment_Model!AK230</f>
        <v/>
      </c>
      <c r="AO230" s="247">
        <f>_DATA_Assessment_Model!AL230</f>
        <v/>
      </c>
      <c r="AP230" s="247">
        <f>_DATA_Assessment_Model!AM230</f>
        <v/>
      </c>
      <c r="AQ230" s="247">
        <f>_DATA_Assessment_Model!AN230</f>
        <v/>
      </c>
      <c r="AR230" s="247">
        <f>_DATA_Assessment_Model!AO230</f>
        <v/>
      </c>
      <c r="AS230" s="247">
        <f>_DATA_Assessment_Model!AP230</f>
        <v/>
      </c>
      <c r="AT230" s="247">
        <f>_DATA_Assessment_Model!AQ230</f>
        <v/>
      </c>
      <c r="AU230" s="247">
        <f>_DATA_Assessment_Model!AR230</f>
        <v/>
      </c>
      <c r="AV230" s="5">
        <f>_DATA_Assessment_Model!AS230</f>
        <v/>
      </c>
      <c r="AW230" s="5">
        <f>_DATA_Assessment_Model!AT230</f>
        <v/>
      </c>
      <c r="AY230">
        <f>_DATA_Assessment_Model!AV230</f>
        <v/>
      </c>
    </row>
    <row r="231" ht="82.8" customHeight="1" s="209">
      <c r="A231" t="inlineStr">
        <is>
          <t>Manufacturing MES</t>
        </is>
      </c>
      <c r="B231" t="inlineStr">
        <is>
          <t>Manufacturing MES</t>
        </is>
      </c>
      <c r="C231" t="n">
        <v>7</v>
      </c>
      <c r="D231" s="3" t="inlineStr">
        <is>
          <t>MANU-003</t>
        </is>
      </c>
      <c r="E231" s="3" t="inlineStr">
        <is>
          <t>Production footprint</t>
        </is>
      </c>
      <c r="F231" s="3" t="inlineStr">
        <is>
          <t>How mature is the organization in managing finite capacity planning for bottlenecks, machines, shifts and labor, including ownership, evidence, metrics, fallback procedures and crisis stress testing?</t>
        </is>
      </c>
      <c r="G231" s="3" t="inlineStr">
        <is>
          <t>This topic affects exposure to Manufacturing disruption; Safety incident; Energy outage; Cyberattack. It helps identify how disruption may impact operations, people, revenue, systems, legal exposure or recovery time.</t>
        </is>
      </c>
      <c r="H231" s="3" t="inlineStr">
        <is>
          <t>ISO 9001; ISO 45001; ISA-95; IEC 62443; ISO 55001; Lean; Six Sigma; TPM; MES/MOM practices</t>
        </is>
      </c>
      <c r="I231" s="3" t="inlineStr">
        <is>
          <t>Policy/SOP; owner/RACI; system report; dashboard; contracts; test records; incident history; interview evidence related to finite capacity planning for bottlenecks, machines, shifts and labor.</t>
        </is>
      </c>
      <c r="J231" s="3" t="n">
        <v>3</v>
      </c>
      <c r="K231" s="85">
        <f>_DATA_Assessment_Model!H231</f>
        <v/>
      </c>
      <c r="L231" s="4">
        <f>_DATA_Assessment_Model!I231</f>
        <v/>
      </c>
      <c r="M231" s="4">
        <f>_DATA_Assessment_Model!J231</f>
        <v/>
      </c>
      <c r="N231" s="4">
        <f>_DATA_Assessment_Model!K231</f>
        <v/>
      </c>
      <c r="O231" s="3">
        <f>_DATA_Assessment_Model!L231</f>
        <v/>
      </c>
      <c r="P231" s="3" t="inlineStr">
        <is>
          <t>No reliable evidence that finite capacity planning for bottlenecks, machines, shifts and labor is defined, owned or managed.</t>
        </is>
      </c>
      <c r="Q231" s="3" t="inlineStr">
        <is>
          <t>Finite capacity planning for bottlenecks, machines, shifts and labor is handled informally and depends on individual knowledge or heroic effort.</t>
        </is>
      </c>
      <c r="R231" s="3" t="inlineStr">
        <is>
          <t>Finite capacity planning for bottlenecks, machines, shifts and labor is partially documented or implemented, but coverage is inconsistent and not crisis-tested.</t>
        </is>
      </c>
      <c r="S231" s="3" t="inlineStr">
        <is>
          <t>Finite capacity planning for bottlenecks, machines, shifts and labor is documented, owned, used in normal operations and supported by basic evidence or metrics.</t>
        </is>
      </c>
      <c r="T231" s="3" t="inlineStr">
        <is>
          <t>Finite capacity planning for bottlenecks, machines, shifts and labor is measured, periodically reviewed, integrated with related processes and tested against relevant disruption scenarios.</t>
        </is>
      </c>
      <c r="U231" s="3" t="inlineStr">
        <is>
          <t>Finite capacity planning for bottlenecks, machines, shifts and labor is optimized, continuously improved, automated where practical and demonstrably supports crisis resilience.</t>
        </is>
      </c>
      <c r="V231" s="3" t="inlineStr">
        <is>
          <t>Manufacturing disruption; Safety incident; Energy outage; Cyberattack</t>
        </is>
      </c>
      <c r="W231" s="3" t="n"/>
      <c r="X231" s="3" t="n"/>
      <c r="Y231" s="3" t="inlineStr">
        <is>
          <t>Use the recommended action generated by the model; validate with domain owner during real assessment.</t>
        </is>
      </c>
      <c r="Z231" s="7" t="n">
        <v>5</v>
      </c>
      <c r="AA231" s="7" t="n">
        <v>5</v>
      </c>
      <c r="AB231" s="7" t="n">
        <v>5</v>
      </c>
      <c r="AD231" t="inlineStr">
        <is>
          <t>Maintenance and assets</t>
        </is>
      </c>
      <c r="AE231" s="6">
        <f>_DATA_Assessment_Model!AB231</f>
        <v/>
      </c>
      <c r="AF231" s="8">
        <f>_DATA_Assessment_Model!AC231</f>
        <v/>
      </c>
      <c r="AG231" s="9">
        <f>_DATA_Assessment_Model!AD231</f>
        <v/>
      </c>
      <c r="AH231" s="6">
        <f>_DATA_Assessment_Model!AE231</f>
        <v/>
      </c>
      <c r="AI231" s="8">
        <f>_DATA_Assessment_Model!AF231</f>
        <v/>
      </c>
      <c r="AJ231" s="6">
        <f>_DATA_Assessment_Model!AG231</f>
        <v/>
      </c>
      <c r="AK231" s="46" t="n"/>
      <c r="AL231" s="46" t="n"/>
      <c r="AM231" s="247">
        <f>_DATA_Assessment_Model!AJ231</f>
        <v/>
      </c>
      <c r="AN231" s="247">
        <f>_DATA_Assessment_Model!AK231</f>
        <v/>
      </c>
      <c r="AO231" s="247">
        <f>_DATA_Assessment_Model!AL231</f>
        <v/>
      </c>
      <c r="AP231" s="247">
        <f>_DATA_Assessment_Model!AM231</f>
        <v/>
      </c>
      <c r="AQ231" s="247">
        <f>_DATA_Assessment_Model!AN231</f>
        <v/>
      </c>
      <c r="AR231" s="247">
        <f>_DATA_Assessment_Model!AO231</f>
        <v/>
      </c>
      <c r="AS231" s="247">
        <f>_DATA_Assessment_Model!AP231</f>
        <v/>
      </c>
      <c r="AT231" s="247">
        <f>_DATA_Assessment_Model!AQ231</f>
        <v/>
      </c>
      <c r="AU231" s="247">
        <f>_DATA_Assessment_Model!AR231</f>
        <v/>
      </c>
      <c r="AV231" s="5">
        <f>_DATA_Assessment_Model!AS231</f>
        <v/>
      </c>
      <c r="AW231" s="5">
        <f>_DATA_Assessment_Model!AT231</f>
        <v/>
      </c>
      <c r="AY231">
        <f>_DATA_Assessment_Model!AV231</f>
        <v/>
      </c>
    </row>
    <row r="232" ht="82.8" customHeight="1" s="209">
      <c r="A232" t="inlineStr">
        <is>
          <t>Manufacturing MES</t>
        </is>
      </c>
      <c r="B232" t="inlineStr">
        <is>
          <t>Manufacturing MES</t>
        </is>
      </c>
      <c r="C232" t="n">
        <v>8</v>
      </c>
      <c r="D232" s="3" t="inlineStr">
        <is>
          <t>MANU-004</t>
        </is>
      </c>
      <c r="E232" s="3" t="inlineStr">
        <is>
          <t>Production footprint</t>
        </is>
      </c>
      <c r="F232" s="3" t="inlineStr">
        <is>
          <t>How mature is the organization in managing minimum viable production under staff absence, utility outage, supplier delay or site risk, including ownership, evidence, metrics, fallback procedures and crisis stress testing?</t>
        </is>
      </c>
      <c r="G232" s="3" t="inlineStr">
        <is>
          <t>This topic affects exposure to Manufacturing disruption; Safety incident; Energy outage; Cyberattack. It helps identify how disruption may impact operations, people, revenue, systems, legal exposure or recovery time.</t>
        </is>
      </c>
      <c r="H232" s="3" t="inlineStr">
        <is>
          <t>ISO 9001; ISO 45001; ISA-95; IEC 62443; ISO 55001; Lean; Six Sigma; TPM; MES/MOM practices</t>
        </is>
      </c>
      <c r="I232" s="3" t="inlineStr">
        <is>
          <t>Policy/SOP; owner/RACI; system report; dashboard; contracts; test records; incident history; interview evidence related to minimum viable production under staff absence, utility outage, supplier delay or site risk.</t>
        </is>
      </c>
      <c r="J232" s="3" t="n">
        <v>5</v>
      </c>
      <c r="K232" s="85">
        <f>_DATA_Assessment_Model!H232</f>
        <v/>
      </c>
      <c r="L232" s="4">
        <f>_DATA_Assessment_Model!I232</f>
        <v/>
      </c>
      <c r="M232" s="4">
        <f>_DATA_Assessment_Model!J232</f>
        <v/>
      </c>
      <c r="N232" s="4">
        <f>_DATA_Assessment_Model!K232</f>
        <v/>
      </c>
      <c r="O232" s="3">
        <f>_DATA_Assessment_Model!L232</f>
        <v/>
      </c>
      <c r="P232" s="3" t="inlineStr">
        <is>
          <t>Does not exist; no owner, no documentation, no practice.</t>
        </is>
      </c>
      <c r="Q232" s="3" t="inlineStr">
        <is>
          <t>Ad hoc; depends entirely on specific individuals.</t>
        </is>
      </c>
      <c r="R232" s="3" t="inlineStr">
        <is>
          <t>Partially documented or implemented; coverage inconsistent; never tested under stress.</t>
        </is>
      </c>
      <c r="S232" s="3" t="inlineStr">
        <is>
          <t>Documented, owned, executed consistently; basic evidence and metrics exist.</t>
        </is>
      </c>
      <c r="T232" s="3" t="inlineStr">
        <is>
          <t>Measured and periodically tested/audited; integrated with adjacent processes.</t>
        </is>
      </c>
      <c r="U232" s="3" t="inlineStr">
        <is>
          <t>Optimized and automated where practical; stress-tested; benchmarked externally.</t>
        </is>
      </c>
      <c r="V232" s="3" t="inlineStr">
        <is>
          <t>Manufacturing disruption; Safety incident; Energy outage; Cyberattack</t>
        </is>
      </c>
      <c r="W232" s="3" t="n"/>
      <c r="X232" s="3" t="n"/>
      <c r="Y232" s="3" t="inlineStr">
        <is>
          <t>Use the recommended action generated by the model; validate with domain owner during real assessment.</t>
        </is>
      </c>
      <c r="Z232" s="7" t="n">
        <v>5</v>
      </c>
      <c r="AA232" s="7" t="n">
        <v>5</v>
      </c>
      <c r="AB232" s="7" t="n">
        <v>5</v>
      </c>
      <c r="AD232" t="inlineStr">
        <is>
          <t>Quality and safety</t>
        </is>
      </c>
      <c r="AE232" s="6">
        <f>_DATA_Assessment_Model!AB232</f>
        <v/>
      </c>
      <c r="AF232" s="8">
        <f>_DATA_Assessment_Model!AC232</f>
        <v/>
      </c>
      <c r="AG232" s="9">
        <f>_DATA_Assessment_Model!AD232</f>
        <v/>
      </c>
      <c r="AH232" s="6">
        <f>_DATA_Assessment_Model!AE232</f>
        <v/>
      </c>
      <c r="AI232" s="8">
        <f>_DATA_Assessment_Model!AF232</f>
        <v/>
      </c>
      <c r="AJ232" s="6">
        <f>_DATA_Assessment_Model!AG232</f>
        <v/>
      </c>
      <c r="AK232" s="46" t="n"/>
      <c r="AL232" s="46" t="n"/>
      <c r="AM232" s="247">
        <f>_DATA_Assessment_Model!AJ232</f>
        <v/>
      </c>
      <c r="AN232" s="247">
        <f>_DATA_Assessment_Model!AK232</f>
        <v/>
      </c>
      <c r="AO232" s="247">
        <f>_DATA_Assessment_Model!AL232</f>
        <v/>
      </c>
      <c r="AP232" s="247">
        <f>_DATA_Assessment_Model!AM232</f>
        <v/>
      </c>
      <c r="AQ232" s="247">
        <f>_DATA_Assessment_Model!AN232</f>
        <v/>
      </c>
      <c r="AR232" s="247">
        <f>_DATA_Assessment_Model!AO232</f>
        <v/>
      </c>
      <c r="AS232" s="247">
        <f>_DATA_Assessment_Model!AP232</f>
        <v/>
      </c>
      <c r="AT232" s="247">
        <f>_DATA_Assessment_Model!AQ232</f>
        <v/>
      </c>
      <c r="AU232" s="247">
        <f>_DATA_Assessment_Model!AR232</f>
        <v/>
      </c>
      <c r="AV232" s="5">
        <f>_DATA_Assessment_Model!AS232</f>
        <v/>
      </c>
      <c r="AW232" s="5">
        <f>_DATA_Assessment_Model!AT232</f>
        <v/>
      </c>
      <c r="AY232">
        <f>_DATA_Assessment_Model!AV232</f>
        <v/>
      </c>
    </row>
    <row r="233" ht="69" customHeight="1" s="209">
      <c r="A233" t="inlineStr">
        <is>
          <t>Manufacturing MES</t>
        </is>
      </c>
      <c r="B233" t="inlineStr">
        <is>
          <t>Manufacturing MES</t>
        </is>
      </c>
      <c r="C233" t="n">
        <v>9</v>
      </c>
      <c r="D233" s="3" t="inlineStr">
        <is>
          <t>MANU-005</t>
        </is>
      </c>
      <c r="E233" s="3" t="inlineStr">
        <is>
          <t>Production footprint</t>
        </is>
      </c>
      <c r="F233" s="3" t="inlineStr">
        <is>
          <t>How mature is the organization in managing line or site transferability if a facility fails, including ownership, evidence, metrics, fallback procedures and crisis stress testing?</t>
        </is>
      </c>
      <c r="G233" s="3" t="inlineStr">
        <is>
          <t>This topic affects exposure to Manufacturing disruption; Safety incident; Energy outage; Cyberattack. It helps identify how disruption may impact operations, people, revenue, systems, legal exposure or recovery time.</t>
        </is>
      </c>
      <c r="H233" s="3" t="inlineStr">
        <is>
          <t>ISO 9001; ISO 45001; ISA-95; IEC 62443; ISO 55001; Lean; Six Sigma; TPM; MES/MOM practices</t>
        </is>
      </c>
      <c r="I233" s="3" t="inlineStr">
        <is>
          <t>Policy/SOP; owner/RACI; system report; dashboard; contracts; test records; incident history; interview evidence related to line or site transferability if a facility fails.</t>
        </is>
      </c>
      <c r="J233" s="3" t="n">
        <v>5</v>
      </c>
      <c r="K233" s="85">
        <f>_DATA_Assessment_Model!H233</f>
        <v/>
      </c>
      <c r="L233" s="4">
        <f>_DATA_Assessment_Model!I233</f>
        <v/>
      </c>
      <c r="M233" s="4">
        <f>_DATA_Assessment_Model!J233</f>
        <v/>
      </c>
      <c r="N233" s="4">
        <f>_DATA_Assessment_Model!K233</f>
        <v/>
      </c>
      <c r="O233" s="3">
        <f>_DATA_Assessment_Model!L233</f>
        <v/>
      </c>
      <c r="P233" s="3" t="inlineStr">
        <is>
          <t>Does not exist; no owner, no documentation, no practice.</t>
        </is>
      </c>
      <c r="Q233" s="3" t="inlineStr">
        <is>
          <t>Ad hoc; depends entirely on specific individuals.</t>
        </is>
      </c>
      <c r="R233" s="3" t="inlineStr">
        <is>
          <t>Partially documented or implemented; coverage inconsistent; never tested under stress.</t>
        </is>
      </c>
      <c r="S233" s="3" t="inlineStr">
        <is>
          <t>Documented, owned, executed consistently; basic evidence and metrics exist.</t>
        </is>
      </c>
      <c r="T233" s="3" t="inlineStr">
        <is>
          <t>Measured and periodically tested/audited; integrated with adjacent processes.</t>
        </is>
      </c>
      <c r="U233" s="3" t="inlineStr">
        <is>
          <t>Optimized and automated where practical; stress-tested; benchmarked externally.</t>
        </is>
      </c>
      <c r="V233" s="3" t="inlineStr">
        <is>
          <t>Manufacturing disruption; Safety incident; Energy outage; Cyberattack</t>
        </is>
      </c>
      <c r="W233" s="3" t="n"/>
      <c r="X233" s="3" t="n"/>
      <c r="Y233" s="3" t="inlineStr">
        <is>
          <t>Use the recommended action generated by the model; validate with domain owner during real assessment.</t>
        </is>
      </c>
      <c r="Z233" s="7" t="n">
        <v>5</v>
      </c>
      <c r="AA233" s="7" t="n">
        <v>5</v>
      </c>
      <c r="AB233" s="7" t="n">
        <v>5</v>
      </c>
      <c r="AD233" t="inlineStr">
        <is>
          <t>OT security</t>
        </is>
      </c>
      <c r="AE233" s="6">
        <f>_DATA_Assessment_Model!AB233</f>
        <v/>
      </c>
      <c r="AF233" s="8">
        <f>_DATA_Assessment_Model!AC233</f>
        <v/>
      </c>
      <c r="AG233" s="9">
        <f>_DATA_Assessment_Model!AD233</f>
        <v/>
      </c>
      <c r="AH233" s="6">
        <f>_DATA_Assessment_Model!AE233</f>
        <v/>
      </c>
      <c r="AI233" s="8">
        <f>_DATA_Assessment_Model!AF233</f>
        <v/>
      </c>
      <c r="AJ233" s="6">
        <f>_DATA_Assessment_Model!AG233</f>
        <v/>
      </c>
      <c r="AK233" s="46" t="n"/>
      <c r="AL233" s="46" t="n"/>
      <c r="AM233" s="247">
        <f>_DATA_Assessment_Model!AJ233</f>
        <v/>
      </c>
      <c r="AN233" s="247">
        <f>_DATA_Assessment_Model!AK233</f>
        <v/>
      </c>
      <c r="AO233" s="247">
        <f>_DATA_Assessment_Model!AL233</f>
        <v/>
      </c>
      <c r="AP233" s="247">
        <f>_DATA_Assessment_Model!AM233</f>
        <v/>
      </c>
      <c r="AQ233" s="247">
        <f>_DATA_Assessment_Model!AN233</f>
        <v/>
      </c>
      <c r="AR233" s="247">
        <f>_DATA_Assessment_Model!AO233</f>
        <v/>
      </c>
      <c r="AS233" s="247">
        <f>_DATA_Assessment_Model!AP233</f>
        <v/>
      </c>
      <c r="AT233" s="247">
        <f>_DATA_Assessment_Model!AQ233</f>
        <v/>
      </c>
      <c r="AU233" s="247">
        <f>_DATA_Assessment_Model!AR233</f>
        <v/>
      </c>
      <c r="AV233" s="5">
        <f>_DATA_Assessment_Model!AS233</f>
        <v/>
      </c>
      <c r="AW233" s="5">
        <f>_DATA_Assessment_Model!AT233</f>
        <v/>
      </c>
      <c r="AY233">
        <f>_DATA_Assessment_Model!AV233</f>
        <v/>
      </c>
    </row>
    <row r="234" ht="82.8" customHeight="1" s="209">
      <c r="A234" t="inlineStr">
        <is>
          <t>Manufacturing MES</t>
        </is>
      </c>
      <c r="B234" t="inlineStr">
        <is>
          <t>Manufacturing MES</t>
        </is>
      </c>
      <c r="C234" t="n">
        <v>10</v>
      </c>
      <c r="D234" s="3" t="inlineStr">
        <is>
          <t>MANU-006</t>
        </is>
      </c>
      <c r="E234" s="3" t="inlineStr">
        <is>
          <t>Production footprint</t>
        </is>
      </c>
      <c r="F234" s="3" t="inlineStr">
        <is>
          <t>How mature is the organization in managing contract manufacturing capacity, quality, continuity, security and compliance, including ownership, evidence, metrics, fallback procedures and crisis stress testing?</t>
        </is>
      </c>
      <c r="G234" s="3" t="inlineStr">
        <is>
          <t>This topic affects exposure to Manufacturing disruption; Safety incident; Energy outage; Cyberattack. It helps identify how disruption may impact operations, people, revenue, systems, legal exposure or recovery time.</t>
        </is>
      </c>
      <c r="H234" s="3" t="inlineStr">
        <is>
          <t>ISO 9001; ISO 45001; ISA-95; IEC 62443; ISO 55001; Lean; Six Sigma; TPM; MES/MOM practices</t>
        </is>
      </c>
      <c r="I234" s="3" t="inlineStr">
        <is>
          <t>Policy/SOP; owner/RACI; system report; dashboard; contracts; test records; incident history; interview evidence related to contract manufacturing capacity, quality, continuity, security and compliance.</t>
        </is>
      </c>
      <c r="J234" s="3" t="n">
        <v>5</v>
      </c>
      <c r="K234" s="85">
        <f>_DATA_Assessment_Model!H234</f>
        <v/>
      </c>
      <c r="L234" s="4">
        <f>_DATA_Assessment_Model!I234</f>
        <v/>
      </c>
      <c r="M234" s="4">
        <f>_DATA_Assessment_Model!J234</f>
        <v/>
      </c>
      <c r="N234" s="4">
        <f>_DATA_Assessment_Model!K234</f>
        <v/>
      </c>
      <c r="O234" s="3">
        <f>_DATA_Assessment_Model!L234</f>
        <v/>
      </c>
      <c r="P234" s="3" t="inlineStr">
        <is>
          <t>Does not exist; no owner, no documentation, no practice.</t>
        </is>
      </c>
      <c r="Q234" s="3" t="inlineStr">
        <is>
          <t>Ad hoc; depends entirely on specific individuals.</t>
        </is>
      </c>
      <c r="R234" s="3" t="inlineStr">
        <is>
          <t>Partially documented or implemented; coverage inconsistent; never tested under stress.</t>
        </is>
      </c>
      <c r="S234" s="3" t="inlineStr">
        <is>
          <t>Documented, owned, executed consistently; basic evidence and metrics exist.</t>
        </is>
      </c>
      <c r="T234" s="3" t="inlineStr">
        <is>
          <t>Measured and periodically tested/audited; integrated with adjacent processes.</t>
        </is>
      </c>
      <c r="U234" s="3" t="inlineStr">
        <is>
          <t>Optimized and automated where practical; stress-tested; benchmarked externally.</t>
        </is>
      </c>
      <c r="V234" s="3" t="inlineStr">
        <is>
          <t>Manufacturing disruption; Safety incident; Energy outage; Cyberattack</t>
        </is>
      </c>
      <c r="W234" s="3" t="n"/>
      <c r="X234" s="3" t="n"/>
      <c r="Y234" s="3" t="inlineStr">
        <is>
          <t>Use the recommended action generated by the model; validate with domain owner during real assessment.</t>
        </is>
      </c>
      <c r="Z234" s="7" t="n">
        <v>5</v>
      </c>
      <c r="AA234" s="7" t="n">
        <v>5</v>
      </c>
      <c r="AB234" s="7" t="n">
        <v>5</v>
      </c>
      <c r="AK234" s="46" t="n"/>
      <c r="AL234" s="46" t="n"/>
      <c r="AM234" s="247">
        <f>_DATA_Assessment_Model!AJ234</f>
        <v/>
      </c>
      <c r="AN234" s="247">
        <f>_DATA_Assessment_Model!AK234</f>
        <v/>
      </c>
      <c r="AO234" s="247">
        <f>_DATA_Assessment_Model!AL234</f>
        <v/>
      </c>
      <c r="AP234" s="247">
        <f>_DATA_Assessment_Model!AM234</f>
        <v/>
      </c>
      <c r="AQ234" s="247">
        <f>_DATA_Assessment_Model!AN234</f>
        <v/>
      </c>
      <c r="AR234" s="247">
        <f>_DATA_Assessment_Model!AO234</f>
        <v/>
      </c>
      <c r="AS234" s="247">
        <f>_DATA_Assessment_Model!AP234</f>
        <v/>
      </c>
      <c r="AT234" s="247">
        <f>_DATA_Assessment_Model!AQ234</f>
        <v/>
      </c>
      <c r="AU234" s="247">
        <f>_DATA_Assessment_Model!AR234</f>
        <v/>
      </c>
      <c r="AV234" s="5">
        <f>_DATA_Assessment_Model!AS234</f>
        <v/>
      </c>
      <c r="AW234" s="5">
        <f>_DATA_Assessment_Model!AT234</f>
        <v/>
      </c>
      <c r="AY234">
        <f>_DATA_Assessment_Model!AV234</f>
        <v/>
      </c>
    </row>
    <row r="235" ht="82.8" customHeight="1" s="209">
      <c r="A235" t="inlineStr">
        <is>
          <t>Manufacturing MES</t>
        </is>
      </c>
      <c r="B235" t="inlineStr">
        <is>
          <t>Manufacturing MES</t>
        </is>
      </c>
      <c r="C235" t="n">
        <v>11</v>
      </c>
      <c r="D235" s="3" t="inlineStr">
        <is>
          <t>MANU-007</t>
        </is>
      </c>
      <c r="E235" s="3" t="inlineStr">
        <is>
          <t>MES and shop floor</t>
        </is>
      </c>
      <c r="F235" s="3" t="inlineStr">
        <is>
          <t>How mature is the organization in managing MES or equivalent shop-floor control for orders, operations, traceability, downtime and quality, including ownership, evidence, metrics, fallback procedures and crisis stress testing?</t>
        </is>
      </c>
      <c r="G235" s="3" t="inlineStr">
        <is>
          <t>This topic affects exposure to Manufacturing disruption; Safety incident; Energy outage; Cyberattack. It helps identify how disruption may impact operations, people, revenue, systems, legal exposure or recovery time.</t>
        </is>
      </c>
      <c r="H235" s="3" t="inlineStr">
        <is>
          <t>ISO 9001; ISO 45001; ISA-95; IEC 62443; ISO 55001; Lean; Six Sigma; TPM; MES/MOM practices</t>
        </is>
      </c>
      <c r="I235" s="3" t="inlineStr">
        <is>
          <t>Policy/SOP; owner/RACI; system report; dashboard; contracts; test records; incident history; interview evidence related to MES or equivalent shop-floor control for orders, operations, traceability, downtime and quality.</t>
        </is>
      </c>
      <c r="J235" s="3" t="n">
        <v>5</v>
      </c>
      <c r="K235" s="85">
        <f>_DATA_Assessment_Model!H235</f>
        <v/>
      </c>
      <c r="L235" s="4">
        <f>_DATA_Assessment_Model!I235</f>
        <v/>
      </c>
      <c r="M235" s="4">
        <f>_DATA_Assessment_Model!J235</f>
        <v/>
      </c>
      <c r="N235" s="4">
        <f>_DATA_Assessment_Model!K235</f>
        <v/>
      </c>
      <c r="O235" s="3">
        <f>_DATA_Assessment_Model!L235</f>
        <v/>
      </c>
      <c r="P235" s="3" t="inlineStr">
        <is>
          <t>Does not exist; no owner, no documentation, no practice.</t>
        </is>
      </c>
      <c r="Q235" s="3" t="inlineStr">
        <is>
          <t>Ad hoc; depends entirely on specific individuals.</t>
        </is>
      </c>
      <c r="R235" s="3" t="inlineStr">
        <is>
          <t>Partially documented or implemented; coverage inconsistent; never tested under stress.</t>
        </is>
      </c>
      <c r="S235" s="3" t="inlineStr">
        <is>
          <t>Documented, owned, executed consistently; basic evidence and metrics exist.</t>
        </is>
      </c>
      <c r="T235" s="3" t="inlineStr">
        <is>
          <t>Measured and periodically tested/audited; integrated with adjacent processes.</t>
        </is>
      </c>
      <c r="U235" s="3" t="inlineStr">
        <is>
          <t>Optimized and automated where practical; stress-tested; benchmarked externally.</t>
        </is>
      </c>
      <c r="V235" s="3" t="inlineStr">
        <is>
          <t>Manufacturing disruption; Safety incident; Energy outage; Cyberattack</t>
        </is>
      </c>
      <c r="W235" s="3" t="n"/>
      <c r="X235" s="3" t="n"/>
      <c r="Y235" s="3" t="inlineStr">
        <is>
          <t>Use the recommended action generated by the model; validate with domain owner during real assessment.</t>
        </is>
      </c>
      <c r="Z235" s="7" t="n">
        <v>5</v>
      </c>
      <c r="AA235" s="7" t="n">
        <v>5</v>
      </c>
      <c r="AB235" s="7" t="n">
        <v>5</v>
      </c>
      <c r="AK235" s="46" t="n"/>
      <c r="AL235" s="46" t="n"/>
      <c r="AM235" s="247">
        <f>_DATA_Assessment_Model!AJ235</f>
        <v/>
      </c>
      <c r="AN235" s="247">
        <f>_DATA_Assessment_Model!AK235</f>
        <v/>
      </c>
      <c r="AO235" s="247">
        <f>_DATA_Assessment_Model!AL235</f>
        <v/>
      </c>
      <c r="AP235" s="247">
        <f>_DATA_Assessment_Model!AM235</f>
        <v/>
      </c>
      <c r="AQ235" s="247">
        <f>_DATA_Assessment_Model!AN235</f>
        <v/>
      </c>
      <c r="AR235" s="247">
        <f>_DATA_Assessment_Model!AO235</f>
        <v/>
      </c>
      <c r="AS235" s="247">
        <f>_DATA_Assessment_Model!AP235</f>
        <v/>
      </c>
      <c r="AT235" s="247">
        <f>_DATA_Assessment_Model!AQ235</f>
        <v/>
      </c>
      <c r="AU235" s="247">
        <f>_DATA_Assessment_Model!AR235</f>
        <v/>
      </c>
      <c r="AV235" s="5">
        <f>_DATA_Assessment_Model!AS235</f>
        <v/>
      </c>
      <c r="AW235" s="5">
        <f>_DATA_Assessment_Model!AT235</f>
        <v/>
      </c>
      <c r="AY235">
        <f>_DATA_Assessment_Model!AV235</f>
        <v/>
      </c>
    </row>
    <row r="236" ht="69" customHeight="1" s="209">
      <c r="A236" t="inlineStr">
        <is>
          <t>Manufacturing MES</t>
        </is>
      </c>
      <c r="B236" t="inlineStr">
        <is>
          <t>Manufacturing MES</t>
        </is>
      </c>
      <c r="C236" t="n">
        <v>12</v>
      </c>
      <c r="D236" s="3" t="inlineStr">
        <is>
          <t>MANU-008</t>
        </is>
      </c>
      <c r="E236" s="3" t="inlineStr">
        <is>
          <t>MES and shop floor</t>
        </is>
      </c>
      <c r="F236" s="3" t="inlineStr">
        <is>
          <t>How mature is the organization in managing MES manual or offline fallback procedures, including ownership, evidence, metrics, fallback procedures and crisis stress testing?</t>
        </is>
      </c>
      <c r="G236" s="3" t="inlineStr">
        <is>
          <t>This topic affects exposure to Manufacturing disruption; Safety incident; Energy outage; Cyberattack. It helps identify how disruption may impact operations, people, revenue, systems, legal exposure or recovery time.</t>
        </is>
      </c>
      <c r="H236" s="3" t="inlineStr">
        <is>
          <t>ISO 9001; ISO 45001; ISA-95; IEC 62443; ISO 55001; Lean; Six Sigma; TPM; MES/MOM practices</t>
        </is>
      </c>
      <c r="I236" s="3" t="inlineStr">
        <is>
          <t>Policy/SOP; owner/RACI; system report; dashboard; contracts; test records; incident history; interview evidence related to MES manual or offline fallback procedures.</t>
        </is>
      </c>
      <c r="J236" s="3" t="n">
        <v>5</v>
      </c>
      <c r="K236" s="85">
        <f>_DATA_Assessment_Model!H236</f>
        <v/>
      </c>
      <c r="L236" s="4">
        <f>_DATA_Assessment_Model!I236</f>
        <v/>
      </c>
      <c r="M236" s="4">
        <f>_DATA_Assessment_Model!J236</f>
        <v/>
      </c>
      <c r="N236" s="4">
        <f>_DATA_Assessment_Model!K236</f>
        <v/>
      </c>
      <c r="O236" s="3">
        <f>_DATA_Assessment_Model!L236</f>
        <v/>
      </c>
      <c r="P236" s="3" t="inlineStr">
        <is>
          <t>No plan or procedure exists.</t>
        </is>
      </c>
      <c r="Q236" s="3" t="inlineStr">
        <is>
          <t>Knowledge lives with individuals; nothing usable is written down.</t>
        </is>
      </c>
      <c r="R236" s="3" t="inlineStr">
        <is>
          <t>Drafted but outdated, not approved, or unknown to the people who must use it.</t>
        </is>
      </c>
      <c r="S236" s="3" t="inlineStr">
        <is>
          <t>Approved and current; owners assigned; affected staff know it exists and where to find it.</t>
        </is>
      </c>
      <c r="T236" s="3" t="inlineStr">
        <is>
          <t>Tested against realistic scenarios; updated after each test or real incident.</t>
        </is>
      </c>
      <c r="U236" s="3" t="inlineStr">
        <is>
          <t>Exercised regularly including external parties; readiness measured; continuously improved.</t>
        </is>
      </c>
      <c r="V236" s="3" t="inlineStr">
        <is>
          <t>Manufacturing disruption; Safety incident; Energy outage; Cyberattack</t>
        </is>
      </c>
      <c r="W236" s="3" t="n"/>
      <c r="X236" s="3" t="n"/>
      <c r="Y236" s="3" t="inlineStr">
        <is>
          <t>Use the recommended action generated by the model; validate with domain owner during real assessment.</t>
        </is>
      </c>
      <c r="Z236" s="7" t="n">
        <v>5</v>
      </c>
      <c r="AA236" s="7" t="n">
        <v>5</v>
      </c>
      <c r="AB236" s="7" t="n">
        <v>5</v>
      </c>
      <c r="AK236" s="46" t="n"/>
      <c r="AL236" s="46" t="n"/>
      <c r="AM236" s="247">
        <f>_DATA_Assessment_Model!AJ236</f>
        <v/>
      </c>
      <c r="AN236" s="247">
        <f>_DATA_Assessment_Model!AK236</f>
        <v/>
      </c>
      <c r="AO236" s="247">
        <f>_DATA_Assessment_Model!AL236</f>
        <v/>
      </c>
      <c r="AP236" s="247">
        <f>_DATA_Assessment_Model!AM236</f>
        <v/>
      </c>
      <c r="AQ236" s="247">
        <f>_DATA_Assessment_Model!AN236</f>
        <v/>
      </c>
      <c r="AR236" s="247">
        <f>_DATA_Assessment_Model!AO236</f>
        <v/>
      </c>
      <c r="AS236" s="247">
        <f>_DATA_Assessment_Model!AP236</f>
        <v/>
      </c>
      <c r="AT236" s="247">
        <f>_DATA_Assessment_Model!AQ236</f>
        <v/>
      </c>
      <c r="AU236" s="247">
        <f>_DATA_Assessment_Model!AR236</f>
        <v/>
      </c>
      <c r="AV236" s="5">
        <f>_DATA_Assessment_Model!AS236</f>
        <v/>
      </c>
      <c r="AW236" s="5">
        <f>_DATA_Assessment_Model!AT236</f>
        <v/>
      </c>
      <c r="AY236">
        <f>_DATA_Assessment_Model!AV236</f>
        <v/>
      </c>
    </row>
    <row r="237" ht="82.8" customHeight="1" s="209">
      <c r="A237" t="inlineStr">
        <is>
          <t>Manufacturing MES</t>
        </is>
      </c>
      <c r="B237" t="inlineStr">
        <is>
          <t>Manufacturing MES</t>
        </is>
      </c>
      <c r="C237" t="n">
        <v>13</v>
      </c>
      <c r="D237" s="3" t="inlineStr">
        <is>
          <t>MANU-009</t>
        </is>
      </c>
      <c r="E237" s="3" t="inlineStr">
        <is>
          <t>MES and shop floor</t>
        </is>
      </c>
      <c r="F237" s="3" t="inlineStr">
        <is>
          <t>How mature is the organization in managing ERP-MES-MRP-WMS-quality-maintenance integration and reconciliation, including ownership, evidence, metrics, fallback procedures and crisis stress testing?</t>
        </is>
      </c>
      <c r="G237" s="3" t="inlineStr">
        <is>
          <t>This topic affects exposure to Manufacturing disruption; Safety incident; Energy outage; Cyberattack. It helps identify how disruption may impact operations, people, revenue, systems, legal exposure or recovery time.</t>
        </is>
      </c>
      <c r="H237" s="3" t="inlineStr">
        <is>
          <t>ISO 9001; ISO 45001; ISA-95; IEC 62443; ISO 55001; Lean; Six Sigma; TPM; MES/MOM practices</t>
        </is>
      </c>
      <c r="I237" s="3" t="inlineStr">
        <is>
          <t>Policy/SOP; owner/RACI; system report; dashboard; contracts; test records; incident history; interview evidence related to ERP-MES-MRP-WMS-quality-maintenance integration and reconciliation.</t>
        </is>
      </c>
      <c r="J237" s="3" t="n">
        <v>5</v>
      </c>
      <c r="K237" s="85">
        <f>_DATA_Assessment_Model!H237</f>
        <v/>
      </c>
      <c r="L237" s="4">
        <f>_DATA_Assessment_Model!I237</f>
        <v/>
      </c>
      <c r="M237" s="4">
        <f>_DATA_Assessment_Model!J237</f>
        <v/>
      </c>
      <c r="N237" s="4">
        <f>_DATA_Assessment_Model!K237</f>
        <v/>
      </c>
      <c r="O237" s="3">
        <f>_DATA_Assessment_Model!L237</f>
        <v/>
      </c>
      <c r="P237" s="3" t="inlineStr">
        <is>
          <t>Does not exist; no owner, no documentation, no practice.</t>
        </is>
      </c>
      <c r="Q237" s="3" t="inlineStr">
        <is>
          <t>Ad hoc; depends entirely on specific individuals.</t>
        </is>
      </c>
      <c r="R237" s="3" t="inlineStr">
        <is>
          <t>Partially documented or implemented; coverage inconsistent; never tested under stress.</t>
        </is>
      </c>
      <c r="S237" s="3" t="inlineStr">
        <is>
          <t>Documented, owned, executed consistently; basic evidence and metrics exist.</t>
        </is>
      </c>
      <c r="T237" s="3" t="inlineStr">
        <is>
          <t>Measured and periodically tested/audited; integrated with adjacent processes.</t>
        </is>
      </c>
      <c r="U237" s="3" t="inlineStr">
        <is>
          <t>Optimized and automated where practical; stress-tested; benchmarked externally.</t>
        </is>
      </c>
      <c r="V237" s="3" t="inlineStr">
        <is>
          <t>Manufacturing disruption; Safety incident; Energy outage; Cyberattack</t>
        </is>
      </c>
      <c r="W237" s="3" t="n"/>
      <c r="X237" s="3" t="n"/>
      <c r="Y237" s="3" t="inlineStr">
        <is>
          <t>Use the recommended action generated by the model; validate with domain owner during real assessment.</t>
        </is>
      </c>
      <c r="Z237" s="7" t="n">
        <v>5</v>
      </c>
      <c r="AA237" s="7" t="n">
        <v>5</v>
      </c>
      <c r="AB237" s="7" t="n">
        <v>5</v>
      </c>
      <c r="AK237" s="46" t="n"/>
      <c r="AL237" s="46" t="n"/>
      <c r="AM237" s="247">
        <f>_DATA_Assessment_Model!AJ237</f>
        <v/>
      </c>
      <c r="AN237" s="247">
        <f>_DATA_Assessment_Model!AK237</f>
        <v/>
      </c>
      <c r="AO237" s="247">
        <f>_DATA_Assessment_Model!AL237</f>
        <v/>
      </c>
      <c r="AP237" s="247">
        <f>_DATA_Assessment_Model!AM237</f>
        <v/>
      </c>
      <c r="AQ237" s="247">
        <f>_DATA_Assessment_Model!AN237</f>
        <v/>
      </c>
      <c r="AR237" s="247">
        <f>_DATA_Assessment_Model!AO237</f>
        <v/>
      </c>
      <c r="AS237" s="247">
        <f>_DATA_Assessment_Model!AP237</f>
        <v/>
      </c>
      <c r="AT237" s="247">
        <f>_DATA_Assessment_Model!AQ237</f>
        <v/>
      </c>
      <c r="AU237" s="247">
        <f>_DATA_Assessment_Model!AR237</f>
        <v/>
      </c>
      <c r="AV237" s="5">
        <f>_DATA_Assessment_Model!AS237</f>
        <v/>
      </c>
      <c r="AW237" s="5">
        <f>_DATA_Assessment_Model!AT237</f>
        <v/>
      </c>
      <c r="AY237">
        <f>_DATA_Assessment_Model!AV237</f>
        <v/>
      </c>
    </row>
    <row r="238" ht="96.59999999999999" customHeight="1" s="209">
      <c r="A238" t="inlineStr">
        <is>
          <t>Manufacturing MES</t>
        </is>
      </c>
      <c r="B238" t="inlineStr">
        <is>
          <t>Manufacturing MES</t>
        </is>
      </c>
      <c r="C238" t="n">
        <v>14</v>
      </c>
      <c r="D238" s="3" t="inlineStr">
        <is>
          <t>MANU-010</t>
        </is>
      </c>
      <c r="E238" s="3" t="inlineStr">
        <is>
          <t>MES and shop floor</t>
        </is>
      </c>
      <c r="F238" s="3" t="inlineStr">
        <is>
          <t>How mature is the organization in managing machine data collection for states, output, downtime, cycle time, defects and energy, including ownership, evidence, metrics, fallback procedures and crisis stress testing?</t>
        </is>
      </c>
      <c r="G238" s="3" t="inlineStr">
        <is>
          <t>This topic affects exposure to Manufacturing disruption; Safety incident; Energy outage; Cyberattack. It helps identify how disruption may impact operations, people, revenue, systems, legal exposure or recovery time.</t>
        </is>
      </c>
      <c r="H238" s="3" t="inlineStr">
        <is>
          <t>ISO 9001; ISO 45001; ISA-95; IEC 62443; ISO 55001; Lean; Six Sigma; TPM; MES/MOM practices</t>
        </is>
      </c>
      <c r="I238" s="3" t="inlineStr">
        <is>
          <t>Policy/SOP; owner/RACI; system report; dashboard; contracts; test records; incident history; interview evidence related to machine data collection for states, output, downtime, cycle time, defects and energy.</t>
        </is>
      </c>
      <c r="J238" s="3" t="n">
        <v>4</v>
      </c>
      <c r="K238" s="85">
        <f>_DATA_Assessment_Model!H238</f>
        <v/>
      </c>
      <c r="L238" s="4">
        <f>_DATA_Assessment_Model!I238</f>
        <v/>
      </c>
      <c r="M238" s="4">
        <f>_DATA_Assessment_Model!J238</f>
        <v/>
      </c>
      <c r="N238" s="4">
        <f>_DATA_Assessment_Model!K238</f>
        <v/>
      </c>
      <c r="O238" s="3">
        <f>_DATA_Assessment_Model!L238</f>
        <v/>
      </c>
      <c r="P238" s="3" t="inlineStr">
        <is>
          <t>No reliable evidence that machine data collection for states, output, downtime, cycle time, defects and energy is defined, owned or managed.</t>
        </is>
      </c>
      <c r="Q238" s="3" t="inlineStr">
        <is>
          <t>Machine data collection for states, output, downtime, cycle time, defects and energy is handled informally and depends on individual knowledge or heroic effort.</t>
        </is>
      </c>
      <c r="R238" s="3" t="inlineStr">
        <is>
          <t>Machine data collection for states, output, downtime, cycle time, defects and energy is partially documented or implemented, but coverage is inconsistent and not crisis-tested.</t>
        </is>
      </c>
      <c r="S238" s="3" t="inlineStr">
        <is>
          <t>Machine data collection for states, output, downtime, cycle time, defects and energy is documented, owned, used in normal operations and supported by basic evidence or metrics.</t>
        </is>
      </c>
      <c r="T238" s="3" t="inlineStr">
        <is>
          <t>Machine data collection for states, output, downtime, cycle time, defects and energy is measured, periodically reviewed, integrated with related processes and tested against relevant disruption scenarios.</t>
        </is>
      </c>
      <c r="U238" s="3" t="inlineStr">
        <is>
          <t>Machine data collection for states, output, downtime, cycle time, defects and energy is optimized, continuously improved, automated where practical and demonstrably supports crisis resilience.</t>
        </is>
      </c>
      <c r="V238" s="3" t="inlineStr">
        <is>
          <t>Manufacturing disruption; Safety incident; Energy outage; Cyberattack</t>
        </is>
      </c>
      <c r="W238" s="3" t="n"/>
      <c r="X238" s="3" t="n"/>
      <c r="Y238" s="3" t="inlineStr">
        <is>
          <t>Use the recommended action generated by the model; validate with domain owner during real assessment.</t>
        </is>
      </c>
      <c r="Z238" s="7" t="n">
        <v>5</v>
      </c>
      <c r="AA238" s="7" t="n">
        <v>5</v>
      </c>
      <c r="AB238" s="7" t="n">
        <v>5</v>
      </c>
      <c r="AK238" s="46" t="n"/>
      <c r="AL238" s="46" t="n"/>
      <c r="AM238" s="247">
        <f>_DATA_Assessment_Model!AJ238</f>
        <v/>
      </c>
      <c r="AN238" s="247">
        <f>_DATA_Assessment_Model!AK238</f>
        <v/>
      </c>
      <c r="AO238" s="247">
        <f>_DATA_Assessment_Model!AL238</f>
        <v/>
      </c>
      <c r="AP238" s="247">
        <f>_DATA_Assessment_Model!AM238</f>
        <v/>
      </c>
      <c r="AQ238" s="247">
        <f>_DATA_Assessment_Model!AN238</f>
        <v/>
      </c>
      <c r="AR238" s="247">
        <f>_DATA_Assessment_Model!AO238</f>
        <v/>
      </c>
      <c r="AS238" s="247">
        <f>_DATA_Assessment_Model!AP238</f>
        <v/>
      </c>
      <c r="AT238" s="247">
        <f>_DATA_Assessment_Model!AQ238</f>
        <v/>
      </c>
      <c r="AU238" s="247">
        <f>_DATA_Assessment_Model!AR238</f>
        <v/>
      </c>
      <c r="AV238" s="5">
        <f>_DATA_Assessment_Model!AS238</f>
        <v/>
      </c>
      <c r="AW238" s="5">
        <f>_DATA_Assessment_Model!AT238</f>
        <v/>
      </c>
      <c r="AY238">
        <f>_DATA_Assessment_Model!AV238</f>
        <v/>
      </c>
    </row>
    <row r="239" ht="96.59999999999999" customHeight="1" s="209">
      <c r="A239" t="inlineStr">
        <is>
          <t>Manufacturing MES</t>
        </is>
      </c>
      <c r="B239" t="inlineStr">
        <is>
          <t>Manufacturing MES</t>
        </is>
      </c>
      <c r="C239" t="n">
        <v>15</v>
      </c>
      <c r="D239" s="3" t="inlineStr">
        <is>
          <t>MANU-011</t>
        </is>
      </c>
      <c r="E239" s="3" t="inlineStr">
        <is>
          <t>MES and shop floor</t>
        </is>
      </c>
      <c r="F239" s="3" t="inlineStr">
        <is>
          <t>How mature is the organization in managing OEE, downtime reasons, microstops, rejects and performance loss analysis, including ownership, evidence, metrics, fallback procedures and crisis stress testing?</t>
        </is>
      </c>
      <c r="G239" s="3" t="inlineStr">
        <is>
          <t>This topic affects exposure to Manufacturing disruption; Safety incident; Energy outage; Cyberattack. It helps identify how disruption may impact operations, people, revenue, systems, legal exposure or recovery time.</t>
        </is>
      </c>
      <c r="H239" s="3" t="inlineStr">
        <is>
          <t>ISO 9001; ISO 45001; ISA-95; IEC 62443; ISO 55001; Lean; Six Sigma; TPM; MES/MOM practices</t>
        </is>
      </c>
      <c r="I239" s="3" t="inlineStr">
        <is>
          <t>Policy/SOP; owner/RACI; system report; dashboard; contracts; test records; incident history; interview evidence related to OEE, downtime reasons, microstops, rejects and performance loss analysis.</t>
        </is>
      </c>
      <c r="J239" s="3" t="n">
        <v>3</v>
      </c>
      <c r="K239" s="85">
        <f>_DATA_Assessment_Model!H239</f>
        <v/>
      </c>
      <c r="L239" s="4">
        <f>_DATA_Assessment_Model!I239</f>
        <v/>
      </c>
      <c r="M239" s="4">
        <f>_DATA_Assessment_Model!J239</f>
        <v/>
      </c>
      <c r="N239" s="4">
        <f>_DATA_Assessment_Model!K239</f>
        <v/>
      </c>
      <c r="O239" s="3">
        <f>_DATA_Assessment_Model!L239</f>
        <v/>
      </c>
      <c r="P239" s="3" t="inlineStr">
        <is>
          <t>No reliable evidence that oee, downtime reasons, microstops, rejects and performance loss analysis is defined, owned or managed.</t>
        </is>
      </c>
      <c r="Q239" s="3" t="inlineStr">
        <is>
          <t>OEE, downtime reasons, microstops, rejects and performance loss analysis is handled informally and depends on individual knowledge or heroic effort.</t>
        </is>
      </c>
      <c r="R239" s="3" t="inlineStr">
        <is>
          <t>OEE, downtime reasons, microstops, rejects and performance loss analysis is partially documented or implemented, but coverage is inconsistent and not crisis-tested.</t>
        </is>
      </c>
      <c r="S239" s="3" t="inlineStr">
        <is>
          <t>OEE, downtime reasons, microstops, rejects and performance loss analysis is documented, owned, used in normal operations and supported by basic evidence or metrics.</t>
        </is>
      </c>
      <c r="T239" s="3" t="inlineStr">
        <is>
          <t>OEE, downtime reasons, microstops, rejects and performance loss analysis is measured, periodically reviewed, integrated with related processes and tested against relevant disruption scenarios.</t>
        </is>
      </c>
      <c r="U239" s="3" t="inlineStr">
        <is>
          <t>OEE, downtime reasons, microstops, rejects and performance loss analysis is optimized, continuously improved, automated where practical and demonstrably supports crisis resilience.</t>
        </is>
      </c>
      <c r="V239" s="3" t="inlineStr">
        <is>
          <t>Manufacturing disruption; Safety incident; Energy outage; Cyberattack</t>
        </is>
      </c>
      <c r="W239" s="3" t="n"/>
      <c r="X239" s="3" t="n"/>
      <c r="Y239" s="3" t="inlineStr">
        <is>
          <t>Use the recommended action generated by the model; validate with domain owner during real assessment.</t>
        </is>
      </c>
      <c r="Z239" s="7" t="n">
        <v>5</v>
      </c>
      <c r="AA239" s="7" t="n">
        <v>5</v>
      </c>
      <c r="AB239" s="7" t="n">
        <v>5</v>
      </c>
      <c r="AK239" s="46" t="n"/>
      <c r="AL239" s="46" t="n"/>
      <c r="AM239" s="247">
        <f>_DATA_Assessment_Model!AJ239</f>
        <v/>
      </c>
      <c r="AN239" s="247">
        <f>_DATA_Assessment_Model!AK239</f>
        <v/>
      </c>
      <c r="AO239" s="247">
        <f>_DATA_Assessment_Model!AL239</f>
        <v/>
      </c>
      <c r="AP239" s="247">
        <f>_DATA_Assessment_Model!AM239</f>
        <v/>
      </c>
      <c r="AQ239" s="247">
        <f>_DATA_Assessment_Model!AN239</f>
        <v/>
      </c>
      <c r="AR239" s="247">
        <f>_DATA_Assessment_Model!AO239</f>
        <v/>
      </c>
      <c r="AS239" s="247">
        <f>_DATA_Assessment_Model!AP239</f>
        <v/>
      </c>
      <c r="AT239" s="247">
        <f>_DATA_Assessment_Model!AQ239</f>
        <v/>
      </c>
      <c r="AU239" s="247">
        <f>_DATA_Assessment_Model!AR239</f>
        <v/>
      </c>
      <c r="AV239" s="5">
        <f>_DATA_Assessment_Model!AS239</f>
        <v/>
      </c>
      <c r="AW239" s="5">
        <f>_DATA_Assessment_Model!AT239</f>
        <v/>
      </c>
      <c r="AY239">
        <f>_DATA_Assessment_Model!AV239</f>
        <v/>
      </c>
    </row>
    <row r="240" ht="82.8" customHeight="1" s="209">
      <c r="A240" t="inlineStr">
        <is>
          <t>Manufacturing MES</t>
        </is>
      </c>
      <c r="B240" t="inlineStr">
        <is>
          <t>Manufacturing MES</t>
        </is>
      </c>
      <c r="C240" t="n">
        <v>16</v>
      </c>
      <c r="D240" s="3" t="inlineStr">
        <is>
          <t>MANU-012</t>
        </is>
      </c>
      <c r="E240" s="3" t="inlineStr">
        <is>
          <t>MES and shop floor</t>
        </is>
      </c>
      <c r="F240" s="3" t="inlineStr">
        <is>
          <t>How mature is the organization in managing production data standards, reason codes and master data across lines and sites, including ownership, evidence, metrics, fallback procedures and crisis stress testing?</t>
        </is>
      </c>
      <c r="G240" s="3" t="inlineStr">
        <is>
          <t>This topic affects exposure to Manufacturing disruption; Safety incident; Energy outage; Cyberattack. It helps identify how disruption may impact operations, people, revenue, systems, legal exposure or recovery time.</t>
        </is>
      </c>
      <c r="H240" s="3" t="inlineStr">
        <is>
          <t>ISO 9001; ISO 45001; ISA-95; IEC 62443; ISO 55001; Lean; Six Sigma; TPM; MES/MOM practices</t>
        </is>
      </c>
      <c r="I240" s="3" t="inlineStr">
        <is>
          <t>Policy/SOP; owner/RACI; system report; dashboard; contracts; test records; incident history; interview evidence related to production data standards, reason codes and master data across lines and sites.</t>
        </is>
      </c>
      <c r="J240" s="3" t="n">
        <v>5</v>
      </c>
      <c r="K240" s="85">
        <f>_DATA_Assessment_Model!H240</f>
        <v/>
      </c>
      <c r="L240" s="4">
        <f>_DATA_Assessment_Model!I240</f>
        <v/>
      </c>
      <c r="M240" s="4">
        <f>_DATA_Assessment_Model!J240</f>
        <v/>
      </c>
      <c r="N240" s="4">
        <f>_DATA_Assessment_Model!K240</f>
        <v/>
      </c>
      <c r="O240" s="3">
        <f>_DATA_Assessment_Model!L240</f>
        <v/>
      </c>
      <c r="P240" s="3" t="inlineStr">
        <is>
          <t>Does not exist; no owner, no documentation, no practice.</t>
        </is>
      </c>
      <c r="Q240" s="3" t="inlineStr">
        <is>
          <t>Ad hoc; depends entirely on specific individuals.</t>
        </is>
      </c>
      <c r="R240" s="3" t="inlineStr">
        <is>
          <t>Partially documented or implemented; coverage inconsistent; never tested under stress.</t>
        </is>
      </c>
      <c r="S240" s="3" t="inlineStr">
        <is>
          <t>Documented, owned, executed consistently; basic evidence and metrics exist.</t>
        </is>
      </c>
      <c r="T240" s="3" t="inlineStr">
        <is>
          <t>Measured and periodically tested/audited; integrated with adjacent processes.</t>
        </is>
      </c>
      <c r="U240" s="3" t="inlineStr">
        <is>
          <t>Optimized and automated where practical; stress-tested; benchmarked externally.</t>
        </is>
      </c>
      <c r="V240" s="3" t="inlineStr">
        <is>
          <t>Manufacturing disruption; Safety incident; Energy outage; Cyberattack</t>
        </is>
      </c>
      <c r="W240" s="3" t="n"/>
      <c r="X240" s="3" t="n"/>
      <c r="Y240" s="3" t="inlineStr">
        <is>
          <t>Use the recommended action generated by the model; validate with domain owner during real assessment.</t>
        </is>
      </c>
      <c r="Z240" s="7" t="n">
        <v>5</v>
      </c>
      <c r="AA240" s="7" t="n">
        <v>5</v>
      </c>
      <c r="AB240" s="7" t="n">
        <v>5</v>
      </c>
      <c r="AK240" s="46" t="n"/>
      <c r="AL240" s="46" t="n"/>
      <c r="AM240" s="247">
        <f>_DATA_Assessment_Model!AJ240</f>
        <v/>
      </c>
      <c r="AN240" s="247">
        <f>_DATA_Assessment_Model!AK240</f>
        <v/>
      </c>
      <c r="AO240" s="247">
        <f>_DATA_Assessment_Model!AL240</f>
        <v/>
      </c>
      <c r="AP240" s="247">
        <f>_DATA_Assessment_Model!AM240</f>
        <v/>
      </c>
      <c r="AQ240" s="247">
        <f>_DATA_Assessment_Model!AN240</f>
        <v/>
      </c>
      <c r="AR240" s="247">
        <f>_DATA_Assessment_Model!AO240</f>
        <v/>
      </c>
      <c r="AS240" s="247">
        <f>_DATA_Assessment_Model!AP240</f>
        <v/>
      </c>
      <c r="AT240" s="247">
        <f>_DATA_Assessment_Model!AQ240</f>
        <v/>
      </c>
      <c r="AU240" s="247">
        <f>_DATA_Assessment_Model!AR240</f>
        <v/>
      </c>
      <c r="AV240" s="5">
        <f>_DATA_Assessment_Model!AS240</f>
        <v/>
      </c>
      <c r="AW240" s="5">
        <f>_DATA_Assessment_Model!AT240</f>
        <v/>
      </c>
      <c r="AY240">
        <f>_DATA_Assessment_Model!AV240</f>
        <v/>
      </c>
    </row>
    <row r="241" ht="82.8" customHeight="1" s="209">
      <c r="A241" t="inlineStr">
        <is>
          <t>Manufacturing MES</t>
        </is>
      </c>
      <c r="B241" t="inlineStr">
        <is>
          <t>Manufacturing MES</t>
        </is>
      </c>
      <c r="C241" t="n">
        <v>17</v>
      </c>
      <c r="D241" s="3" t="inlineStr">
        <is>
          <t>MANU-013</t>
        </is>
      </c>
      <c r="E241" s="3" t="inlineStr">
        <is>
          <t>Maintenance and assets</t>
        </is>
      </c>
      <c r="F241" s="3" t="inlineStr">
        <is>
          <t>How mature is the organization in managing preventive maintenance based on criticality, manufacturer requirements and failure history, including ownership, evidence, metrics, fallback procedures and crisis stress testing?</t>
        </is>
      </c>
      <c r="G241" s="3" t="inlineStr">
        <is>
          <t>This topic affects exposure to Manufacturing disruption; Safety incident; Energy outage; Cyberattack. It helps identify how disruption may impact operations, people, revenue, systems, legal exposure or recovery time.</t>
        </is>
      </c>
      <c r="H241" s="3" t="inlineStr">
        <is>
          <t>ISO 9001; ISO 45001; ISA-95; IEC 62443; ISO 55001; Lean; Six Sigma; TPM; MES/MOM practices</t>
        </is>
      </c>
      <c r="I241" s="3" t="inlineStr">
        <is>
          <t>Policy/SOP; owner/RACI; system report; dashboard; contracts; test records; incident history; interview evidence related to preventive maintenance based on criticality, manufacturer requirements and failure history.</t>
        </is>
      </c>
      <c r="J241" s="3" t="n">
        <v>5</v>
      </c>
      <c r="K241" s="85">
        <f>_DATA_Assessment_Model!H241</f>
        <v/>
      </c>
      <c r="L241" s="4">
        <f>_DATA_Assessment_Model!I241</f>
        <v/>
      </c>
      <c r="M241" s="4">
        <f>_DATA_Assessment_Model!J241</f>
        <v/>
      </c>
      <c r="N241" s="4">
        <f>_DATA_Assessment_Model!K241</f>
        <v/>
      </c>
      <c r="O241" s="3">
        <f>_DATA_Assessment_Model!L241</f>
        <v/>
      </c>
      <c r="P241" s="3" t="inlineStr">
        <is>
          <t>Does not exist; no owner, no documentation, no practice.</t>
        </is>
      </c>
      <c r="Q241" s="3" t="inlineStr">
        <is>
          <t>Ad hoc; depends entirely on specific individuals.</t>
        </is>
      </c>
      <c r="R241" s="3" t="inlineStr">
        <is>
          <t>Partially documented or implemented; coverage inconsistent; never tested under stress.</t>
        </is>
      </c>
      <c r="S241" s="3" t="inlineStr">
        <is>
          <t>Documented, owned, executed consistently; basic evidence and metrics exist.</t>
        </is>
      </c>
      <c r="T241" s="3" t="inlineStr">
        <is>
          <t>Measured and periodically tested/audited; integrated with adjacent processes.</t>
        </is>
      </c>
      <c r="U241" s="3" t="inlineStr">
        <is>
          <t>Optimized and automated where practical; stress-tested; benchmarked externally.</t>
        </is>
      </c>
      <c r="V241" s="3" t="inlineStr">
        <is>
          <t>Manufacturing disruption; Safety incident; Energy outage; Cyberattack</t>
        </is>
      </c>
      <c r="W241" s="3" t="n"/>
      <c r="X241" s="3" t="n"/>
      <c r="Y241" s="3" t="inlineStr">
        <is>
          <t>Use the recommended action generated by the model; validate with domain owner during real assessment.</t>
        </is>
      </c>
      <c r="Z241" s="7" t="n">
        <v>5</v>
      </c>
      <c r="AA241" s="7" t="n">
        <v>5</v>
      </c>
      <c r="AB241" s="7" t="n">
        <v>5</v>
      </c>
      <c r="AK241" s="46" t="n"/>
      <c r="AL241" s="46" t="n"/>
      <c r="AM241" s="247">
        <f>_DATA_Assessment_Model!AJ241</f>
        <v/>
      </c>
      <c r="AN241" s="247">
        <f>_DATA_Assessment_Model!AK241</f>
        <v/>
      </c>
      <c r="AO241" s="247">
        <f>_DATA_Assessment_Model!AL241</f>
        <v/>
      </c>
      <c r="AP241" s="247">
        <f>_DATA_Assessment_Model!AM241</f>
        <v/>
      </c>
      <c r="AQ241" s="247">
        <f>_DATA_Assessment_Model!AN241</f>
        <v/>
      </c>
      <c r="AR241" s="247">
        <f>_DATA_Assessment_Model!AO241</f>
        <v/>
      </c>
      <c r="AS241" s="247">
        <f>_DATA_Assessment_Model!AP241</f>
        <v/>
      </c>
      <c r="AT241" s="247">
        <f>_DATA_Assessment_Model!AQ241</f>
        <v/>
      </c>
      <c r="AU241" s="247">
        <f>_DATA_Assessment_Model!AR241</f>
        <v/>
      </c>
      <c r="AV241" s="5">
        <f>_DATA_Assessment_Model!AS241</f>
        <v/>
      </c>
      <c r="AW241" s="5">
        <f>_DATA_Assessment_Model!AT241</f>
        <v/>
      </c>
      <c r="AY241">
        <f>_DATA_Assessment_Model!AV241</f>
        <v/>
      </c>
    </row>
    <row r="242" ht="82.8" customHeight="1" s="209">
      <c r="A242" t="inlineStr">
        <is>
          <t>Manufacturing MES</t>
        </is>
      </c>
      <c r="B242" t="inlineStr">
        <is>
          <t>Manufacturing MES</t>
        </is>
      </c>
      <c r="C242" t="n">
        <v>18</v>
      </c>
      <c r="D242" s="3" t="inlineStr">
        <is>
          <t>MANU-014</t>
        </is>
      </c>
      <c r="E242" s="3" t="inlineStr">
        <is>
          <t>Maintenance and assets</t>
        </is>
      </c>
      <c r="F242" s="3" t="inlineStr">
        <is>
          <t>How mature is the organization in managing critical spare parts identification, stocking or sourcing with acceptable lead times, including ownership, evidence, metrics, fallback procedures and crisis stress testing?</t>
        </is>
      </c>
      <c r="G242" s="3" t="inlineStr">
        <is>
          <t>This topic affects exposure to Manufacturing disruption; Safety incident; Energy outage; Cyberattack. It helps identify how disruption may impact operations, people, revenue, systems, legal exposure or recovery time.</t>
        </is>
      </c>
      <c r="H242" s="3" t="inlineStr">
        <is>
          <t>ISO 9001; ISO 45001; ISA-95; IEC 62443; ISO 55001; Lean; Six Sigma; TPM; MES/MOM practices</t>
        </is>
      </c>
      <c r="I242" s="3" t="inlineStr">
        <is>
          <t>Policy/SOP; owner/RACI; system report; dashboard; contracts; test records; incident history; interview evidence related to critical spare parts identification, stocking or sourcing with acceptable lead times.</t>
        </is>
      </c>
      <c r="J242" s="3" t="n">
        <v>5</v>
      </c>
      <c r="K242" s="85">
        <f>_DATA_Assessment_Model!H242</f>
        <v/>
      </c>
      <c r="L242" s="4">
        <f>_DATA_Assessment_Model!I242</f>
        <v/>
      </c>
      <c r="M242" s="4">
        <f>_DATA_Assessment_Model!J242</f>
        <v/>
      </c>
      <c r="N242" s="4">
        <f>_DATA_Assessment_Model!K242</f>
        <v/>
      </c>
      <c r="O242" s="3">
        <f>_DATA_Assessment_Model!L242</f>
        <v/>
      </c>
      <c r="P242" s="3" t="inlineStr">
        <is>
          <t>Does not exist; no owner, no documentation, no practice.</t>
        </is>
      </c>
      <c r="Q242" s="3" t="inlineStr">
        <is>
          <t>Ad hoc; depends entirely on specific individuals.</t>
        </is>
      </c>
      <c r="R242" s="3" t="inlineStr">
        <is>
          <t>Partially documented or implemented; coverage inconsistent; never tested under stress.</t>
        </is>
      </c>
      <c r="S242" s="3" t="inlineStr">
        <is>
          <t>Documented, owned, executed consistently; basic evidence and metrics exist.</t>
        </is>
      </c>
      <c r="T242" s="3" t="inlineStr">
        <is>
          <t>Measured and periodically tested/audited; integrated with adjacent processes.</t>
        </is>
      </c>
      <c r="U242" s="3" t="inlineStr">
        <is>
          <t>Optimized and automated where practical; stress-tested; benchmarked externally.</t>
        </is>
      </c>
      <c r="V242" s="3" t="inlineStr">
        <is>
          <t>Manufacturing disruption; Safety incident; Energy outage; Cyberattack</t>
        </is>
      </c>
      <c r="W242" s="3" t="n"/>
      <c r="X242" s="3" t="n"/>
      <c r="Y242" s="3" t="inlineStr">
        <is>
          <t>Use the recommended action generated by the model; validate with domain owner during real assessment.</t>
        </is>
      </c>
      <c r="Z242" s="7" t="n">
        <v>5</v>
      </c>
      <c r="AA242" s="7" t="n">
        <v>5</v>
      </c>
      <c r="AB242" s="7" t="n">
        <v>5</v>
      </c>
      <c r="AK242" s="46" t="n"/>
      <c r="AL242" s="46" t="n"/>
      <c r="AM242" s="247">
        <f>_DATA_Assessment_Model!AJ242</f>
        <v/>
      </c>
      <c r="AN242" s="247">
        <f>_DATA_Assessment_Model!AK242</f>
        <v/>
      </c>
      <c r="AO242" s="247">
        <f>_DATA_Assessment_Model!AL242</f>
        <v/>
      </c>
      <c r="AP242" s="247">
        <f>_DATA_Assessment_Model!AM242</f>
        <v/>
      </c>
      <c r="AQ242" s="247">
        <f>_DATA_Assessment_Model!AN242</f>
        <v/>
      </c>
      <c r="AR242" s="247">
        <f>_DATA_Assessment_Model!AO242</f>
        <v/>
      </c>
      <c r="AS242" s="247">
        <f>_DATA_Assessment_Model!AP242</f>
        <v/>
      </c>
      <c r="AT242" s="247">
        <f>_DATA_Assessment_Model!AQ242</f>
        <v/>
      </c>
      <c r="AU242" s="247">
        <f>_DATA_Assessment_Model!AR242</f>
        <v/>
      </c>
      <c r="AV242" s="5">
        <f>_DATA_Assessment_Model!AS242</f>
        <v/>
      </c>
      <c r="AW242" s="5">
        <f>_DATA_Assessment_Model!AT242</f>
        <v/>
      </c>
      <c r="AY242">
        <f>_DATA_Assessment_Model!AV242</f>
        <v/>
      </c>
    </row>
    <row r="243" ht="82.8" customHeight="1" s="209">
      <c r="A243" t="inlineStr">
        <is>
          <t>Manufacturing MES</t>
        </is>
      </c>
      <c r="B243" t="inlineStr">
        <is>
          <t>Manufacturing MES</t>
        </is>
      </c>
      <c r="C243" t="n">
        <v>19</v>
      </c>
      <c r="D243" s="3" t="inlineStr">
        <is>
          <t>MANU-015</t>
        </is>
      </c>
      <c r="E243" s="3" t="inlineStr">
        <is>
          <t>Maintenance and assets</t>
        </is>
      </c>
      <c r="F243" s="3" t="inlineStr">
        <is>
          <t>How mature is the organization in managing predictive or condition-based maintenance for critical assets where economically justified, including ownership, evidence, metrics, fallback procedures and crisis stress testing?</t>
        </is>
      </c>
      <c r="G243" s="3" t="inlineStr">
        <is>
          <t>This topic affects exposure to Manufacturing disruption; Safety incident; Energy outage; Cyberattack. It helps identify how disruption may impact operations, people, revenue, systems, legal exposure or recovery time.</t>
        </is>
      </c>
      <c r="H243" s="3" t="inlineStr">
        <is>
          <t>ISO 9001; ISO 45001; ISA-95; IEC 62443; ISO 55001; Lean; Six Sigma; TPM; MES/MOM practices</t>
        </is>
      </c>
      <c r="I243" s="3" t="inlineStr">
        <is>
          <t>Policy/SOP; owner/RACI; system report; dashboard; contracts; test records; incident history; interview evidence related to predictive or condition-based maintenance for critical assets where economically justified.</t>
        </is>
      </c>
      <c r="J243" s="3" t="n">
        <v>5</v>
      </c>
      <c r="K243" s="85">
        <f>_DATA_Assessment_Model!H243</f>
        <v/>
      </c>
      <c r="L243" s="4">
        <f>_DATA_Assessment_Model!I243</f>
        <v/>
      </c>
      <c r="M243" s="4">
        <f>_DATA_Assessment_Model!J243</f>
        <v/>
      </c>
      <c r="N243" s="4">
        <f>_DATA_Assessment_Model!K243</f>
        <v/>
      </c>
      <c r="O243" s="3">
        <f>_DATA_Assessment_Model!L243</f>
        <v/>
      </c>
      <c r="P243" s="3" t="inlineStr">
        <is>
          <t>Does not exist; no owner, no documentation, no practice.</t>
        </is>
      </c>
      <c r="Q243" s="3" t="inlineStr">
        <is>
          <t>Ad hoc; depends entirely on specific individuals.</t>
        </is>
      </c>
      <c r="R243" s="3" t="inlineStr">
        <is>
          <t>Partially documented or implemented; coverage inconsistent; never tested under stress.</t>
        </is>
      </c>
      <c r="S243" s="3" t="inlineStr">
        <is>
          <t>Documented, owned, executed consistently; basic evidence and metrics exist.</t>
        </is>
      </c>
      <c r="T243" s="3" t="inlineStr">
        <is>
          <t>Measured and periodically tested/audited; integrated with adjacent processes.</t>
        </is>
      </c>
      <c r="U243" s="3" t="inlineStr">
        <is>
          <t>Optimized and automated where practical; stress-tested; benchmarked externally.</t>
        </is>
      </c>
      <c r="V243" s="3" t="inlineStr">
        <is>
          <t>Manufacturing disruption; Safety incident; Energy outage; Cyberattack</t>
        </is>
      </c>
      <c r="W243" s="3" t="n"/>
      <c r="X243" s="3" t="n"/>
      <c r="Y243" s="3" t="inlineStr">
        <is>
          <t>Use the recommended action generated by the model; validate with domain owner during real assessment.</t>
        </is>
      </c>
      <c r="Z243" s="7" t="n">
        <v>5</v>
      </c>
      <c r="AA243" s="7" t="n">
        <v>5</v>
      </c>
      <c r="AB243" s="7" t="n">
        <v>5</v>
      </c>
      <c r="AK243" s="46" t="n"/>
      <c r="AL243" s="46" t="n"/>
      <c r="AM243" s="247">
        <f>_DATA_Assessment_Model!AJ243</f>
        <v/>
      </c>
      <c r="AN243" s="247">
        <f>_DATA_Assessment_Model!AK243</f>
        <v/>
      </c>
      <c r="AO243" s="247">
        <f>_DATA_Assessment_Model!AL243</f>
        <v/>
      </c>
      <c r="AP243" s="247">
        <f>_DATA_Assessment_Model!AM243</f>
        <v/>
      </c>
      <c r="AQ243" s="247">
        <f>_DATA_Assessment_Model!AN243</f>
        <v/>
      </c>
      <c r="AR243" s="247">
        <f>_DATA_Assessment_Model!AO243</f>
        <v/>
      </c>
      <c r="AS243" s="247">
        <f>_DATA_Assessment_Model!AP243</f>
        <v/>
      </c>
      <c r="AT243" s="247">
        <f>_DATA_Assessment_Model!AQ243</f>
        <v/>
      </c>
      <c r="AU243" s="247">
        <f>_DATA_Assessment_Model!AR243</f>
        <v/>
      </c>
      <c r="AV243" s="5">
        <f>_DATA_Assessment_Model!AS243</f>
        <v/>
      </c>
      <c r="AW243" s="5">
        <f>_DATA_Assessment_Model!AT243</f>
        <v/>
      </c>
      <c r="AY243">
        <f>_DATA_Assessment_Model!AV243</f>
        <v/>
      </c>
    </row>
    <row r="244" ht="96.59999999999999" customHeight="1" s="209">
      <c r="A244" t="inlineStr">
        <is>
          <t>Manufacturing MES</t>
        </is>
      </c>
      <c r="B244" t="inlineStr">
        <is>
          <t>Manufacturing MES</t>
        </is>
      </c>
      <c r="C244" t="n">
        <v>20</v>
      </c>
      <c r="D244" s="3" t="inlineStr">
        <is>
          <t>MANU-016</t>
        </is>
      </c>
      <c r="E244" s="3" t="inlineStr">
        <is>
          <t>Maintenance and assets</t>
        </is>
      </c>
      <c r="F244" s="3" t="inlineStr">
        <is>
          <t>How mature is the organization in managing utility dependency map for electricity, gas, water, compressed air, HVAC and other utilities, including ownership, evidence, metrics, fallback procedures and crisis stress testing?</t>
        </is>
      </c>
      <c r="G244" s="3" t="inlineStr">
        <is>
          <t>This topic affects exposure to Manufacturing disruption; Safety incident; Energy outage; Cyberattack. It helps identify how disruption may impact operations, people, revenue, systems, legal exposure or recovery time.</t>
        </is>
      </c>
      <c r="H244" s="3" t="inlineStr">
        <is>
          <t>ISO 9001; ISO 45001; ISA-95; IEC 62443; ISO 55001; Lean; Six Sigma; TPM; MES/MOM practices</t>
        </is>
      </c>
      <c r="I244" s="3" t="inlineStr">
        <is>
          <t>Policy/SOP; owner/RACI; system report; dashboard; contracts; test records; incident history; interview evidence related to utility dependency map for electricity, gas, water, compressed air, HVAC and other utilities.</t>
        </is>
      </c>
      <c r="J244" s="3" t="n">
        <v>3</v>
      </c>
      <c r="K244" s="85">
        <f>_DATA_Assessment_Model!H244</f>
        <v/>
      </c>
      <c r="L244" s="4">
        <f>_DATA_Assessment_Model!I244</f>
        <v/>
      </c>
      <c r="M244" s="4">
        <f>_DATA_Assessment_Model!J244</f>
        <v/>
      </c>
      <c r="N244" s="4">
        <f>_DATA_Assessment_Model!K244</f>
        <v/>
      </c>
      <c r="O244" s="3">
        <f>_DATA_Assessment_Model!L244</f>
        <v/>
      </c>
      <c r="P244" s="3" t="inlineStr">
        <is>
          <t>No reliable evidence that utility dependency map for electricity, gas, water, compressed air, hvac and other utilities is defined, owned or managed.</t>
        </is>
      </c>
      <c r="Q244" s="3" t="inlineStr">
        <is>
          <t>Utility dependency map for electricity, gas, water, compressed air, HVAC and other utilities is handled informally and depends on individual knowledge or heroic effort.</t>
        </is>
      </c>
      <c r="R244" s="3" t="inlineStr">
        <is>
          <t>Utility dependency map for electricity, gas, water, compressed air, HVAC and other utilities is partially documented or implemented, but coverage is inconsistent and not crisis-tested.</t>
        </is>
      </c>
      <c r="S244" s="3" t="inlineStr">
        <is>
          <t>Utility dependency map for electricity, gas, water, compressed air, HVAC and other utilities is documented, owned, used in normal operations and supported by basic evidence or metrics.</t>
        </is>
      </c>
      <c r="T244" s="3" t="inlineStr">
        <is>
          <t>Utility dependency map for electricity, gas, water, compressed air, HVAC and other utilities is measured, periodically reviewed, integrated with related processes and tested against relevant disruption scenarios.</t>
        </is>
      </c>
      <c r="U244" s="3" t="inlineStr">
        <is>
          <t>Utility dependency map for electricity, gas, water, compressed air, HVAC and other utilities is optimized, continuously improved, automated where practical and demonstrably supports crisis resilience.</t>
        </is>
      </c>
      <c r="V244" s="3" t="inlineStr">
        <is>
          <t>Manufacturing disruption; Safety incident; Energy outage; Cyberattack</t>
        </is>
      </c>
      <c r="W244" s="3" t="n"/>
      <c r="X244" s="3" t="n"/>
      <c r="Y244" s="3" t="inlineStr">
        <is>
          <t>Use the recommended action generated by the model; validate with domain owner during real assessment.</t>
        </is>
      </c>
      <c r="Z244" s="7" t="n">
        <v>5</v>
      </c>
      <c r="AA244" s="7" t="n">
        <v>5</v>
      </c>
      <c r="AB244" s="7" t="n">
        <v>5</v>
      </c>
      <c r="AK244" s="46" t="n"/>
      <c r="AL244" s="46" t="n"/>
      <c r="AM244" s="247">
        <f>_DATA_Assessment_Model!AJ244</f>
        <v/>
      </c>
      <c r="AN244" s="247">
        <f>_DATA_Assessment_Model!AK244</f>
        <v/>
      </c>
      <c r="AO244" s="247">
        <f>_DATA_Assessment_Model!AL244</f>
        <v/>
      </c>
      <c r="AP244" s="247">
        <f>_DATA_Assessment_Model!AM244</f>
        <v/>
      </c>
      <c r="AQ244" s="247">
        <f>_DATA_Assessment_Model!AN244</f>
        <v/>
      </c>
      <c r="AR244" s="247">
        <f>_DATA_Assessment_Model!AO244</f>
        <v/>
      </c>
      <c r="AS244" s="247">
        <f>_DATA_Assessment_Model!AP244</f>
        <v/>
      </c>
      <c r="AT244" s="247">
        <f>_DATA_Assessment_Model!AQ244</f>
        <v/>
      </c>
      <c r="AU244" s="247">
        <f>_DATA_Assessment_Model!AR244</f>
        <v/>
      </c>
      <c r="AV244" s="5">
        <f>_DATA_Assessment_Model!AS244</f>
        <v/>
      </c>
      <c r="AW244" s="5">
        <f>_DATA_Assessment_Model!AT244</f>
        <v/>
      </c>
      <c r="AY244">
        <f>_DATA_Assessment_Model!AV244</f>
        <v/>
      </c>
    </row>
    <row r="245" ht="69" customHeight="1" s="209">
      <c r="A245" t="inlineStr">
        <is>
          <t>Manufacturing MES</t>
        </is>
      </c>
      <c r="B245" t="inlineStr">
        <is>
          <t>Manufacturing MES</t>
        </is>
      </c>
      <c r="C245" t="n">
        <v>21</v>
      </c>
      <c r="D245" s="3" t="inlineStr">
        <is>
          <t>MANU-017</t>
        </is>
      </c>
      <c r="E245" s="3" t="inlineStr">
        <is>
          <t>Maintenance and assets</t>
        </is>
      </c>
      <c r="F245" s="3" t="inlineStr">
        <is>
          <t>How mature is the organization in managing backup utility options for critical production processes, including ownership, evidence, metrics, fallback procedures and crisis stress testing?</t>
        </is>
      </c>
      <c r="G245" s="3" t="inlineStr">
        <is>
          <t>This topic affects exposure to Manufacturing disruption; Safety incident; Energy outage; Cyberattack. It helps identify how disruption may impact operations, people, revenue, systems, legal exposure or recovery time.</t>
        </is>
      </c>
      <c r="H245" s="3" t="inlineStr">
        <is>
          <t>ISO 9001; ISO 45001; ISA-95; IEC 62443; ISO 55001; Lean; Six Sigma; TPM; MES/MOM practices</t>
        </is>
      </c>
      <c r="I245" s="3" t="inlineStr">
        <is>
          <t>Policy/SOP; owner/RACI; system report; dashboard; contracts; test records; incident history; interview evidence related to backup utility options for critical production processes.</t>
        </is>
      </c>
      <c r="J245" s="3" t="n">
        <v>5</v>
      </c>
      <c r="K245" s="85">
        <f>_DATA_Assessment_Model!H245</f>
        <v/>
      </c>
      <c r="L245" s="4">
        <f>_DATA_Assessment_Model!I245</f>
        <v/>
      </c>
      <c r="M245" s="4">
        <f>_DATA_Assessment_Model!J245</f>
        <v/>
      </c>
      <c r="N245" s="4">
        <f>_DATA_Assessment_Model!K245</f>
        <v/>
      </c>
      <c r="O245" s="3">
        <f>_DATA_Assessment_Model!L245</f>
        <v/>
      </c>
      <c r="P245" s="3" t="inlineStr">
        <is>
          <t>Does not exist; no owner, no documentation, no practice.</t>
        </is>
      </c>
      <c r="Q245" s="3" t="inlineStr">
        <is>
          <t>Ad hoc; depends entirely on specific individuals.</t>
        </is>
      </c>
      <c r="R245" s="3" t="inlineStr">
        <is>
          <t>Partially documented or implemented; coverage inconsistent; never tested under stress.</t>
        </is>
      </c>
      <c r="S245" s="3" t="inlineStr">
        <is>
          <t>Documented, owned, executed consistently; basic evidence and metrics exist.</t>
        </is>
      </c>
      <c r="T245" s="3" t="inlineStr">
        <is>
          <t>Measured and periodically tested/audited; integrated with adjacent processes.</t>
        </is>
      </c>
      <c r="U245" s="3" t="inlineStr">
        <is>
          <t>Optimized and automated where practical; stress-tested; benchmarked externally.</t>
        </is>
      </c>
      <c r="V245" s="3" t="inlineStr">
        <is>
          <t>Manufacturing disruption; Safety incident; Energy outage; Cyberattack</t>
        </is>
      </c>
      <c r="W245" s="3" t="n"/>
      <c r="X245" s="3" t="n"/>
      <c r="Y245" s="3" t="inlineStr">
        <is>
          <t>Use the recommended action generated by the model; validate with domain owner during real assessment.</t>
        </is>
      </c>
      <c r="Z245" s="7" t="n">
        <v>5</v>
      </c>
      <c r="AA245" s="7" t="n">
        <v>5</v>
      </c>
      <c r="AB245" s="7" t="n">
        <v>5</v>
      </c>
      <c r="AK245" s="46" t="n"/>
      <c r="AL245" s="46" t="n"/>
      <c r="AM245" s="247">
        <f>_DATA_Assessment_Model!AJ245</f>
        <v/>
      </c>
      <c r="AN245" s="247">
        <f>_DATA_Assessment_Model!AK245</f>
        <v/>
      </c>
      <c r="AO245" s="247">
        <f>_DATA_Assessment_Model!AL245</f>
        <v/>
      </c>
      <c r="AP245" s="247">
        <f>_DATA_Assessment_Model!AM245</f>
        <v/>
      </c>
      <c r="AQ245" s="247">
        <f>_DATA_Assessment_Model!AN245</f>
        <v/>
      </c>
      <c r="AR245" s="247">
        <f>_DATA_Assessment_Model!AO245</f>
        <v/>
      </c>
      <c r="AS245" s="247">
        <f>_DATA_Assessment_Model!AP245</f>
        <v/>
      </c>
      <c r="AT245" s="247">
        <f>_DATA_Assessment_Model!AQ245</f>
        <v/>
      </c>
      <c r="AU245" s="247">
        <f>_DATA_Assessment_Model!AR245</f>
        <v/>
      </c>
      <c r="AV245" s="5">
        <f>_DATA_Assessment_Model!AS245</f>
        <v/>
      </c>
      <c r="AW245" s="5">
        <f>_DATA_Assessment_Model!AT245</f>
        <v/>
      </c>
      <c r="AY245">
        <f>_DATA_Assessment_Model!AV245</f>
        <v/>
      </c>
    </row>
    <row r="246" ht="82.8" customHeight="1" s="209">
      <c r="A246" t="inlineStr">
        <is>
          <t>Manufacturing MES</t>
        </is>
      </c>
      <c r="B246" t="inlineStr">
        <is>
          <t>Manufacturing MES</t>
        </is>
      </c>
      <c r="C246" t="n">
        <v>22</v>
      </c>
      <c r="D246" s="3" t="inlineStr">
        <is>
          <t>MANU-018</t>
        </is>
      </c>
      <c r="E246" s="3" t="inlineStr">
        <is>
          <t>Maintenance and assets</t>
        </is>
      </c>
      <c r="F246" s="3" t="inlineStr">
        <is>
          <t>How mature is the organization in managing asset management for critical production equipment, tooling and calibration, including ownership, evidence, metrics, fallback procedures and crisis stress testing?</t>
        </is>
      </c>
      <c r="G246" s="3" t="inlineStr">
        <is>
          <t>This topic affects exposure to Manufacturing disruption; Safety incident; Energy outage; Cyberattack. It helps identify how disruption may impact operations, people, revenue, systems, legal exposure or recovery time.</t>
        </is>
      </c>
      <c r="H246" s="3" t="inlineStr">
        <is>
          <t>ISO 9001; ISO 45001; ISA-95; IEC 62443; ISO 55001; Lean; Six Sigma; TPM; MES/MOM practices</t>
        </is>
      </c>
      <c r="I246" s="3" t="inlineStr">
        <is>
          <t>Policy/SOP; owner/RACI; system report; dashboard; contracts; test records; incident history; interview evidence related to asset management for critical production equipment, tooling and calibration.</t>
        </is>
      </c>
      <c r="J246" s="3" t="n">
        <v>5</v>
      </c>
      <c r="K246" s="85">
        <f>_DATA_Assessment_Model!H246</f>
        <v/>
      </c>
      <c r="L246" s="4">
        <f>_DATA_Assessment_Model!I246</f>
        <v/>
      </c>
      <c r="M246" s="4">
        <f>_DATA_Assessment_Model!J246</f>
        <v/>
      </c>
      <c r="N246" s="4">
        <f>_DATA_Assessment_Model!K246</f>
        <v/>
      </c>
      <c r="O246" s="3">
        <f>_DATA_Assessment_Model!L246</f>
        <v/>
      </c>
      <c r="P246" s="3" t="inlineStr">
        <is>
          <t>Does not exist; no owner, no documentation, no practice.</t>
        </is>
      </c>
      <c r="Q246" s="3" t="inlineStr">
        <is>
          <t>Ad hoc; depends entirely on specific individuals.</t>
        </is>
      </c>
      <c r="R246" s="3" t="inlineStr">
        <is>
          <t>Partially documented or implemented; coverage inconsistent; never tested under stress.</t>
        </is>
      </c>
      <c r="S246" s="3" t="inlineStr">
        <is>
          <t>Documented, owned, executed consistently; basic evidence and metrics exist.</t>
        </is>
      </c>
      <c r="T246" s="3" t="inlineStr">
        <is>
          <t>Measured and periodically tested/audited; integrated with adjacent processes.</t>
        </is>
      </c>
      <c r="U246" s="3" t="inlineStr">
        <is>
          <t>Optimized and automated where practical; stress-tested; benchmarked externally.</t>
        </is>
      </c>
      <c r="V246" s="3" t="inlineStr">
        <is>
          <t>Manufacturing disruption; Safety incident; Energy outage; Cyberattack</t>
        </is>
      </c>
      <c r="W246" s="3" t="n"/>
      <c r="X246" s="3" t="n"/>
      <c r="Y246" s="3" t="inlineStr">
        <is>
          <t>Use the recommended action generated by the model; validate with domain owner during real assessment.</t>
        </is>
      </c>
      <c r="Z246" s="7" t="n">
        <v>5</v>
      </c>
      <c r="AA246" s="7" t="n">
        <v>5</v>
      </c>
      <c r="AB246" s="7" t="n">
        <v>5</v>
      </c>
      <c r="AK246" s="46" t="n"/>
      <c r="AL246" s="46" t="n"/>
      <c r="AM246" s="247">
        <f>_DATA_Assessment_Model!AJ246</f>
        <v/>
      </c>
      <c r="AN246" s="247">
        <f>_DATA_Assessment_Model!AK246</f>
        <v/>
      </c>
      <c r="AO246" s="247">
        <f>_DATA_Assessment_Model!AL246</f>
        <v/>
      </c>
      <c r="AP246" s="247">
        <f>_DATA_Assessment_Model!AM246</f>
        <v/>
      </c>
      <c r="AQ246" s="247">
        <f>_DATA_Assessment_Model!AN246</f>
        <v/>
      </c>
      <c r="AR246" s="247">
        <f>_DATA_Assessment_Model!AO246</f>
        <v/>
      </c>
      <c r="AS246" s="247">
        <f>_DATA_Assessment_Model!AP246</f>
        <v/>
      </c>
      <c r="AT246" s="247">
        <f>_DATA_Assessment_Model!AQ246</f>
        <v/>
      </c>
      <c r="AU246" s="247">
        <f>_DATA_Assessment_Model!AR246</f>
        <v/>
      </c>
      <c r="AV246" s="5">
        <f>_DATA_Assessment_Model!AS246</f>
        <v/>
      </c>
      <c r="AW246" s="5">
        <f>_DATA_Assessment_Model!AT246</f>
        <v/>
      </c>
      <c r="AY246">
        <f>_DATA_Assessment_Model!AV246</f>
        <v/>
      </c>
    </row>
    <row r="247" ht="82.8" customHeight="1" s="209">
      <c r="A247" t="inlineStr">
        <is>
          <t>Manufacturing MES</t>
        </is>
      </c>
      <c r="B247" t="inlineStr">
        <is>
          <t>Manufacturing MES</t>
        </is>
      </c>
      <c r="C247" t="n">
        <v>23</v>
      </c>
      <c r="D247" s="3" t="inlineStr">
        <is>
          <t>MANU-019</t>
        </is>
      </c>
      <c r="E247" s="3" t="inlineStr">
        <is>
          <t>Quality and safety</t>
        </is>
      </c>
      <c r="F247" s="3" t="inlineStr">
        <is>
          <t>How mature is the organization in managing quality controls, inspections, sampling, nonconformance and corrective actions integrated into production, including ownership, evidence, metrics, fallback procedures and crisis stress testing?</t>
        </is>
      </c>
      <c r="G247" s="3" t="inlineStr">
        <is>
          <t>This topic affects exposure to Manufacturing disruption; Safety incident; Energy outage; Cyberattack. It helps identify how disruption may impact operations, people, revenue, systems, legal exposure or recovery time.</t>
        </is>
      </c>
      <c r="H247" s="3" t="inlineStr">
        <is>
          <t>ISO 9001; ISO 45001; ISA-95; IEC 62443; ISO 55001; Lean; Six Sigma; TPM; MES/MOM practices</t>
        </is>
      </c>
      <c r="I247" s="3" t="inlineStr">
        <is>
          <t>Policy/SOP; owner/RACI; system report; dashboard; contracts; test records; incident history; interview evidence related to quality controls, inspections, sampling, nonconformance and corrective actions integrated into production.</t>
        </is>
      </c>
      <c r="J247" s="3" t="n">
        <v>5</v>
      </c>
      <c r="K247" s="85">
        <f>_DATA_Assessment_Model!H247</f>
        <v/>
      </c>
      <c r="L247" s="4">
        <f>_DATA_Assessment_Model!I247</f>
        <v/>
      </c>
      <c r="M247" s="4">
        <f>_DATA_Assessment_Model!J247</f>
        <v/>
      </c>
      <c r="N247" s="4">
        <f>_DATA_Assessment_Model!K247</f>
        <v/>
      </c>
      <c r="O247" s="3">
        <f>_DATA_Assessment_Model!L247</f>
        <v/>
      </c>
      <c r="P247" s="3" t="inlineStr">
        <is>
          <t>Does not exist; no owner, no documentation, no practice.</t>
        </is>
      </c>
      <c r="Q247" s="3" t="inlineStr">
        <is>
          <t>Ad hoc; depends entirely on specific individuals.</t>
        </is>
      </c>
      <c r="R247" s="3" t="inlineStr">
        <is>
          <t>Partially documented or implemented; coverage inconsistent; never tested under stress.</t>
        </is>
      </c>
      <c r="S247" s="3" t="inlineStr">
        <is>
          <t>Documented, owned, executed consistently; basic evidence and metrics exist.</t>
        </is>
      </c>
      <c r="T247" s="3" t="inlineStr">
        <is>
          <t>Measured and periodically tested/audited; integrated with adjacent processes.</t>
        </is>
      </c>
      <c r="U247" s="3" t="inlineStr">
        <is>
          <t>Optimized and automated where practical; stress-tested; benchmarked externally.</t>
        </is>
      </c>
      <c r="V247" s="3" t="inlineStr">
        <is>
          <t>Manufacturing disruption; Safety incident; Energy outage; Cyberattack</t>
        </is>
      </c>
      <c r="W247" s="3" t="n"/>
      <c r="X247" s="3" t="n"/>
      <c r="Y247" s="3" t="inlineStr">
        <is>
          <t>Use the recommended action generated by the model; validate with domain owner during real assessment.</t>
        </is>
      </c>
      <c r="Z247" s="7" t="n">
        <v>5</v>
      </c>
      <c r="AA247" s="7" t="n">
        <v>5</v>
      </c>
      <c r="AB247" s="7" t="n">
        <v>5</v>
      </c>
      <c r="AK247" s="46" t="n"/>
      <c r="AL247" s="46" t="n"/>
      <c r="AM247" s="247">
        <f>_DATA_Assessment_Model!AJ247</f>
        <v/>
      </c>
      <c r="AN247" s="247">
        <f>_DATA_Assessment_Model!AK247</f>
        <v/>
      </c>
      <c r="AO247" s="247">
        <f>_DATA_Assessment_Model!AL247</f>
        <v/>
      </c>
      <c r="AP247" s="247">
        <f>_DATA_Assessment_Model!AM247</f>
        <v/>
      </c>
      <c r="AQ247" s="247">
        <f>_DATA_Assessment_Model!AN247</f>
        <v/>
      </c>
      <c r="AR247" s="247">
        <f>_DATA_Assessment_Model!AO247</f>
        <v/>
      </c>
      <c r="AS247" s="247">
        <f>_DATA_Assessment_Model!AP247</f>
        <v/>
      </c>
      <c r="AT247" s="247">
        <f>_DATA_Assessment_Model!AQ247</f>
        <v/>
      </c>
      <c r="AU247" s="247">
        <f>_DATA_Assessment_Model!AR247</f>
        <v/>
      </c>
      <c r="AV247" s="5">
        <f>_DATA_Assessment_Model!AS247</f>
        <v/>
      </c>
      <c r="AW247" s="5">
        <f>_DATA_Assessment_Model!AT247</f>
        <v/>
      </c>
      <c r="AY247">
        <f>_DATA_Assessment_Model!AV247</f>
        <v/>
      </c>
    </row>
    <row r="248" ht="96.59999999999999" customHeight="1" s="209">
      <c r="A248" t="inlineStr">
        <is>
          <t>Manufacturing MES</t>
        </is>
      </c>
      <c r="B248" t="inlineStr">
        <is>
          <t>Manufacturing MES</t>
        </is>
      </c>
      <c r="C248" t="n">
        <v>24</v>
      </c>
      <c r="D248" s="3" t="inlineStr">
        <is>
          <t>MANU-020</t>
        </is>
      </c>
      <c r="E248" s="3" t="inlineStr">
        <is>
          <t>Quality and safety</t>
        </is>
      </c>
      <c r="F248" s="3" t="inlineStr">
        <is>
          <t>How mature is the organization in managing traceability of products, batches, materials, operators and process parameters, including ownership, evidence, metrics, fallback procedures and crisis stress testing?</t>
        </is>
      </c>
      <c r="G248" s="3" t="inlineStr">
        <is>
          <t>This topic affects exposure to Manufacturing disruption; Safety incident; Energy outage; Cyberattack. It helps identify how disruption may impact operations, people, revenue, systems, legal exposure or recovery time.</t>
        </is>
      </c>
      <c r="H248" s="3" t="inlineStr">
        <is>
          <t>ISO 9001; ISO 45001; ISA-95; IEC 62443; ISO 55001; Lean; Six Sigma; TPM; MES/MOM practices</t>
        </is>
      </c>
      <c r="I248" s="3" t="inlineStr">
        <is>
          <t>Policy/SOP; owner/RACI; system report; dashboard; contracts; test records; incident history; interview evidence related to traceability of products, batches, materials, operators and process parameters.</t>
        </is>
      </c>
      <c r="J248" s="3" t="n">
        <v>3</v>
      </c>
      <c r="K248" s="85">
        <f>_DATA_Assessment_Model!H248</f>
        <v/>
      </c>
      <c r="L248" s="4">
        <f>_DATA_Assessment_Model!I248</f>
        <v/>
      </c>
      <c r="M248" s="4">
        <f>_DATA_Assessment_Model!J248</f>
        <v/>
      </c>
      <c r="N248" s="4">
        <f>_DATA_Assessment_Model!K248</f>
        <v/>
      </c>
      <c r="O248" s="3">
        <f>_DATA_Assessment_Model!L248</f>
        <v/>
      </c>
      <c r="P248" s="3" t="inlineStr">
        <is>
          <t>No reliable evidence that traceability of products, batches, materials, operators and process parameters is defined, owned or managed.</t>
        </is>
      </c>
      <c r="Q248" s="3" t="inlineStr">
        <is>
          <t>Traceability of products, batches, materials, operators and process parameters is handled informally and depends on individual knowledge or heroic effort.</t>
        </is>
      </c>
      <c r="R248" s="3" t="inlineStr">
        <is>
          <t>Traceability of products, batches, materials, operators and process parameters is partially documented or implemented, but coverage is inconsistent and not crisis-tested.</t>
        </is>
      </c>
      <c r="S248" s="3" t="inlineStr">
        <is>
          <t>Traceability of products, batches, materials, operators and process parameters is documented, owned, used in normal operations and supported by basic evidence or metrics.</t>
        </is>
      </c>
      <c r="T248" s="3" t="inlineStr">
        <is>
          <t>Traceability of products, batches, materials, operators and process parameters is measured, periodically reviewed, integrated with related processes and tested against relevant disruption scenarios.</t>
        </is>
      </c>
      <c r="U248" s="3" t="inlineStr">
        <is>
          <t>Traceability of products, batches, materials, operators and process parameters is optimized, continuously improved, automated where practical and demonstrably supports crisis resilience.</t>
        </is>
      </c>
      <c r="V248" s="3" t="inlineStr">
        <is>
          <t>Manufacturing disruption; Safety incident; Energy outage; Cyberattack</t>
        </is>
      </c>
      <c r="W248" s="3" t="n"/>
      <c r="X248" s="3" t="n"/>
      <c r="Y248" s="3" t="inlineStr">
        <is>
          <t>Use the recommended action generated by the model; validate with domain owner during real assessment.</t>
        </is>
      </c>
      <c r="Z248" s="7" t="n">
        <v>5</v>
      </c>
      <c r="AA248" s="7" t="n">
        <v>5</v>
      </c>
      <c r="AB248" s="7" t="n">
        <v>5</v>
      </c>
      <c r="AK248" s="46" t="n"/>
      <c r="AL248" s="46" t="n"/>
      <c r="AM248" s="247">
        <f>_DATA_Assessment_Model!AJ248</f>
        <v/>
      </c>
      <c r="AN248" s="247">
        <f>_DATA_Assessment_Model!AK248</f>
        <v/>
      </c>
      <c r="AO248" s="247">
        <f>_DATA_Assessment_Model!AL248</f>
        <v/>
      </c>
      <c r="AP248" s="247">
        <f>_DATA_Assessment_Model!AM248</f>
        <v/>
      </c>
      <c r="AQ248" s="247">
        <f>_DATA_Assessment_Model!AN248</f>
        <v/>
      </c>
      <c r="AR248" s="247">
        <f>_DATA_Assessment_Model!AO248</f>
        <v/>
      </c>
      <c r="AS248" s="247">
        <f>_DATA_Assessment_Model!AP248</f>
        <v/>
      </c>
      <c r="AT248" s="247">
        <f>_DATA_Assessment_Model!AQ248</f>
        <v/>
      </c>
      <c r="AU248" s="247">
        <f>_DATA_Assessment_Model!AR248</f>
        <v/>
      </c>
      <c r="AV248" s="5">
        <f>_DATA_Assessment_Model!AS248</f>
        <v/>
      </c>
      <c r="AW248" s="5">
        <f>_DATA_Assessment_Model!AT248</f>
        <v/>
      </c>
      <c r="AY248">
        <f>_DATA_Assessment_Model!AV248</f>
        <v/>
      </c>
    </row>
    <row r="249" ht="82.8" customHeight="1" s="209">
      <c r="A249" t="inlineStr">
        <is>
          <t>Manufacturing MES</t>
        </is>
      </c>
      <c r="B249" t="inlineStr">
        <is>
          <t>Manufacturing MES</t>
        </is>
      </c>
      <c r="C249" t="n">
        <v>25</v>
      </c>
      <c r="D249" s="3" t="inlineStr">
        <is>
          <t>MANU-021</t>
        </is>
      </c>
      <c r="E249" s="3" t="inlineStr">
        <is>
          <t>Quality and safety</t>
        </is>
      </c>
      <c r="F249" s="3" t="inlineStr">
        <is>
          <t>How mature is the organization in managing BOM, routing, recipe and engineering change control synchronized with ERP/MES, including ownership, evidence, metrics, fallback procedures and crisis stress testing?</t>
        </is>
      </c>
      <c r="G249" s="3" t="inlineStr">
        <is>
          <t>This topic affects exposure to Manufacturing disruption; Safety incident; Energy outage; Cyberattack. It helps identify how disruption may impact operations, people, revenue, systems, legal exposure or recovery time.</t>
        </is>
      </c>
      <c r="H249" s="3" t="inlineStr">
        <is>
          <t>ISO 9001; ISO 45001; ISA-95; IEC 62443; ISO 55001; Lean; Six Sigma; TPM; MES/MOM practices</t>
        </is>
      </c>
      <c r="I249" s="3" t="inlineStr">
        <is>
          <t>Policy/SOP; owner/RACI; system report; dashboard; contracts; test records; incident history; interview evidence related to BOM, routing, recipe and engineering change control synchronized with ERP/MES.</t>
        </is>
      </c>
      <c r="J249" s="3" t="n">
        <v>5</v>
      </c>
      <c r="K249" s="85">
        <f>_DATA_Assessment_Model!H249</f>
        <v/>
      </c>
      <c r="L249" s="4">
        <f>_DATA_Assessment_Model!I249</f>
        <v/>
      </c>
      <c r="M249" s="4">
        <f>_DATA_Assessment_Model!J249</f>
        <v/>
      </c>
      <c r="N249" s="4">
        <f>_DATA_Assessment_Model!K249</f>
        <v/>
      </c>
      <c r="O249" s="3">
        <f>_DATA_Assessment_Model!L249</f>
        <v/>
      </c>
      <c r="P249" s="3" t="inlineStr">
        <is>
          <t>Does not exist; no owner, no documentation, no practice.</t>
        </is>
      </c>
      <c r="Q249" s="3" t="inlineStr">
        <is>
          <t>Ad hoc; depends entirely on specific individuals.</t>
        </is>
      </c>
      <c r="R249" s="3" t="inlineStr">
        <is>
          <t>Partially documented or implemented; coverage inconsistent; never tested under stress.</t>
        </is>
      </c>
      <c r="S249" s="3" t="inlineStr">
        <is>
          <t>Documented, owned, executed consistently; basic evidence and metrics exist.</t>
        </is>
      </c>
      <c r="T249" s="3" t="inlineStr">
        <is>
          <t>Measured and periodically tested/audited; integrated with adjacent processes.</t>
        </is>
      </c>
      <c r="U249" s="3" t="inlineStr">
        <is>
          <t>Optimized and automated where practical; stress-tested; benchmarked externally.</t>
        </is>
      </c>
      <c r="V249" s="3" t="inlineStr">
        <is>
          <t>Manufacturing disruption; Safety incident; Energy outage; Cyberattack</t>
        </is>
      </c>
      <c r="W249" s="3" t="n"/>
      <c r="X249" s="3" t="n"/>
      <c r="Y249" s="3" t="inlineStr">
        <is>
          <t>Use the recommended action generated by the model; validate with domain owner during real assessment.</t>
        </is>
      </c>
      <c r="Z249" s="7" t="n">
        <v>5</v>
      </c>
      <c r="AA249" s="7" t="n">
        <v>5</v>
      </c>
      <c r="AB249" s="7" t="n">
        <v>5</v>
      </c>
      <c r="AK249" s="46" t="n"/>
      <c r="AL249" s="46" t="n"/>
      <c r="AM249" s="247">
        <f>_DATA_Assessment_Model!AJ249</f>
        <v/>
      </c>
      <c r="AN249" s="247">
        <f>_DATA_Assessment_Model!AK249</f>
        <v/>
      </c>
      <c r="AO249" s="247">
        <f>_DATA_Assessment_Model!AL249</f>
        <v/>
      </c>
      <c r="AP249" s="247">
        <f>_DATA_Assessment_Model!AM249</f>
        <v/>
      </c>
      <c r="AQ249" s="247">
        <f>_DATA_Assessment_Model!AN249</f>
        <v/>
      </c>
      <c r="AR249" s="247">
        <f>_DATA_Assessment_Model!AO249</f>
        <v/>
      </c>
      <c r="AS249" s="247">
        <f>_DATA_Assessment_Model!AP249</f>
        <v/>
      </c>
      <c r="AT249" s="247">
        <f>_DATA_Assessment_Model!AQ249</f>
        <v/>
      </c>
      <c r="AU249" s="247">
        <f>_DATA_Assessment_Model!AR249</f>
        <v/>
      </c>
      <c r="AV249" s="5">
        <f>_DATA_Assessment_Model!AS249</f>
        <v/>
      </c>
      <c r="AW249" s="5">
        <f>_DATA_Assessment_Model!AT249</f>
        <v/>
      </c>
      <c r="AY249">
        <f>_DATA_Assessment_Model!AV249</f>
        <v/>
      </c>
    </row>
    <row r="250" ht="82.8" customHeight="1" s="209">
      <c r="A250" t="inlineStr">
        <is>
          <t>Manufacturing MES</t>
        </is>
      </c>
      <c r="B250" t="inlineStr">
        <is>
          <t>Manufacturing MES</t>
        </is>
      </c>
      <c r="C250" t="n">
        <v>26</v>
      </c>
      <c r="D250" s="3" t="inlineStr">
        <is>
          <t>MANU-022</t>
        </is>
      </c>
      <c r="E250" s="3" t="inlineStr">
        <is>
          <t>Quality and safety</t>
        </is>
      </c>
      <c r="F250" s="3" t="inlineStr">
        <is>
          <t>How mature is the organization in managing operator training and certification for equipment, safety, quality and emergency procedures, including ownership, evidence, metrics, fallback procedures and crisis stress testing?</t>
        </is>
      </c>
      <c r="G250" s="3" t="inlineStr">
        <is>
          <t>This topic affects exposure to Manufacturing disruption; Safety incident; Energy outage; Cyberattack. It helps identify how disruption may impact operations, people, revenue, systems, legal exposure or recovery time.</t>
        </is>
      </c>
      <c r="H250" s="3" t="inlineStr">
        <is>
          <t>ISO 9001; ISO 45001; ISA-95; IEC 62443; ISO 55001; Lean; Six Sigma; TPM; MES/MOM practices</t>
        </is>
      </c>
      <c r="I250" s="3" t="inlineStr">
        <is>
          <t>Policy/SOP; owner/RACI; system report; dashboard; contracts; test records; incident history; interview evidence related to operator training and certification for equipment, safety, quality and emergency procedures.</t>
        </is>
      </c>
      <c r="J250" s="3" t="n">
        <v>5</v>
      </c>
      <c r="K250" s="85">
        <f>_DATA_Assessment_Model!H250</f>
        <v/>
      </c>
      <c r="L250" s="4">
        <f>_DATA_Assessment_Model!I250</f>
        <v/>
      </c>
      <c r="M250" s="4">
        <f>_DATA_Assessment_Model!J250</f>
        <v/>
      </c>
      <c r="N250" s="4">
        <f>_DATA_Assessment_Model!K250</f>
        <v/>
      </c>
      <c r="O250" s="3">
        <f>_DATA_Assessment_Model!L250</f>
        <v/>
      </c>
      <c r="P250" s="3" t="inlineStr">
        <is>
          <t>Never done; no records exist.</t>
        </is>
      </c>
      <c r="Q250" s="3" t="inlineStr">
        <is>
          <t>Done once long ago or only after an incident; no schedule, no records.</t>
        </is>
      </c>
      <c r="R250" s="3" t="inlineStr">
        <is>
          <t>Done irregularly; results are not documented and findings are not tracked.</t>
        </is>
      </c>
      <c r="S250" s="3" t="inlineStr">
        <is>
          <t>Done on a defined schedule (at least annually); results documented, owner assigned.</t>
        </is>
      </c>
      <c r="T250" s="3" t="inlineStr">
        <is>
          <t>Done quarterly/semi-annually; findings tracked to closure, effectiveness measured against targets.</t>
        </is>
      </c>
      <c r="U250" s="3" t="inlineStr">
        <is>
          <t>Continuous or automated where possible; results drive improvements and are validated externally (audit/customer).</t>
        </is>
      </c>
      <c r="V250" s="3" t="inlineStr">
        <is>
          <t>Manufacturing disruption; Safety incident; Energy outage; Cyberattack</t>
        </is>
      </c>
      <c r="W250" s="3" t="n"/>
      <c r="X250" s="3" t="n"/>
      <c r="Y250" s="3" t="inlineStr">
        <is>
          <t>Use the recommended action generated by the model; validate with domain owner during real assessment.</t>
        </is>
      </c>
      <c r="Z250" s="7" t="n">
        <v>5</v>
      </c>
      <c r="AA250" s="7" t="n">
        <v>5</v>
      </c>
      <c r="AB250" s="7" t="n">
        <v>5</v>
      </c>
      <c r="AK250" s="46" t="n"/>
      <c r="AL250" s="46" t="n"/>
      <c r="AM250" s="247">
        <f>_DATA_Assessment_Model!AJ250</f>
        <v/>
      </c>
      <c r="AN250" s="247">
        <f>_DATA_Assessment_Model!AK250</f>
        <v/>
      </c>
      <c r="AO250" s="247">
        <f>_DATA_Assessment_Model!AL250</f>
        <v/>
      </c>
      <c r="AP250" s="247">
        <f>_DATA_Assessment_Model!AM250</f>
        <v/>
      </c>
      <c r="AQ250" s="247">
        <f>_DATA_Assessment_Model!AN250</f>
        <v/>
      </c>
      <c r="AR250" s="247">
        <f>_DATA_Assessment_Model!AO250</f>
        <v/>
      </c>
      <c r="AS250" s="247">
        <f>_DATA_Assessment_Model!AP250</f>
        <v/>
      </c>
      <c r="AT250" s="247">
        <f>_DATA_Assessment_Model!AQ250</f>
        <v/>
      </c>
      <c r="AU250" s="247">
        <f>_DATA_Assessment_Model!AR250</f>
        <v/>
      </c>
      <c r="AV250" s="5">
        <f>_DATA_Assessment_Model!AS250</f>
        <v/>
      </c>
      <c r="AW250" s="5">
        <f>_DATA_Assessment_Model!AT250</f>
        <v/>
      </c>
      <c r="AY250">
        <f>_DATA_Assessment_Model!AV250</f>
        <v/>
      </c>
    </row>
    <row r="251" ht="82.8" customHeight="1" s="209">
      <c r="A251" t="inlineStr">
        <is>
          <t>Manufacturing MES</t>
        </is>
      </c>
      <c r="B251" t="inlineStr">
        <is>
          <t>Manufacturing MES</t>
        </is>
      </c>
      <c r="C251" t="n">
        <v>27</v>
      </c>
      <c r="D251" s="3" t="inlineStr">
        <is>
          <t>MANU-023</t>
        </is>
      </c>
      <c r="E251" s="3" t="inlineStr">
        <is>
          <t>Quality and safety</t>
        </is>
      </c>
      <c r="F251" s="3" t="inlineStr">
        <is>
          <t>How mature is the organization in managing machine safety controls, guarding, emergency stops and lockout/tagout, including ownership, evidence, metrics, fallback procedures and crisis stress testing?</t>
        </is>
      </c>
      <c r="G251" s="3" t="inlineStr">
        <is>
          <t>This topic affects exposure to Manufacturing disruption; Safety incident; Energy outage; Cyberattack. It helps identify how disruption may impact operations, people, revenue, systems, legal exposure or recovery time.</t>
        </is>
      </c>
      <c r="H251" s="3" t="inlineStr">
        <is>
          <t>ISO 9001; ISO 45001; ISA-95; IEC 62443; ISO 55001; Lean; Six Sigma; TPM; MES/MOM practices</t>
        </is>
      </c>
      <c r="I251" s="3" t="inlineStr">
        <is>
          <t>Policy/SOP; owner/RACI; system report; dashboard; contracts; test records; incident history; interview evidence related to machine safety controls, guarding, emergency stops and lockout/tagout.</t>
        </is>
      </c>
      <c r="J251" s="3" t="n">
        <v>5</v>
      </c>
      <c r="K251" s="85">
        <f>_DATA_Assessment_Model!H251</f>
        <v/>
      </c>
      <c r="L251" s="4">
        <f>_DATA_Assessment_Model!I251</f>
        <v/>
      </c>
      <c r="M251" s="4">
        <f>_DATA_Assessment_Model!J251</f>
        <v/>
      </c>
      <c r="N251" s="4">
        <f>_DATA_Assessment_Model!K251</f>
        <v/>
      </c>
      <c r="O251" s="3">
        <f>_DATA_Assessment_Model!L251</f>
        <v/>
      </c>
      <c r="P251" s="3" t="inlineStr">
        <is>
          <t>Does not exist; no owner, no documentation, no practice.</t>
        </is>
      </c>
      <c r="Q251" s="3" t="inlineStr">
        <is>
          <t>Ad hoc; depends entirely on specific individuals.</t>
        </is>
      </c>
      <c r="R251" s="3" t="inlineStr">
        <is>
          <t>Partially documented or implemented; coverage inconsistent; never tested under stress.</t>
        </is>
      </c>
      <c r="S251" s="3" t="inlineStr">
        <is>
          <t>Documented, owned, executed consistently; basic evidence and metrics exist.</t>
        </is>
      </c>
      <c r="T251" s="3" t="inlineStr">
        <is>
          <t>Measured and periodically tested/audited; integrated with adjacent processes.</t>
        </is>
      </c>
      <c r="U251" s="3" t="inlineStr">
        <is>
          <t>Optimized and automated where practical; stress-tested; benchmarked externally.</t>
        </is>
      </c>
      <c r="V251" s="3" t="inlineStr">
        <is>
          <t>Manufacturing disruption; Safety incident; Energy outage; Cyberattack</t>
        </is>
      </c>
      <c r="W251" s="3" t="n"/>
      <c r="X251" s="3" t="n"/>
      <c r="Y251" s="3" t="inlineStr">
        <is>
          <t>Use the recommended action generated by the model; validate with domain owner during real assessment.</t>
        </is>
      </c>
      <c r="Z251" s="7" t="n">
        <v>5</v>
      </c>
      <c r="AA251" s="7" t="n">
        <v>5</v>
      </c>
      <c r="AB251" s="7" t="n">
        <v>5</v>
      </c>
      <c r="AK251" s="46" t="n"/>
      <c r="AL251" s="46" t="n"/>
      <c r="AM251" s="247">
        <f>_DATA_Assessment_Model!AJ251</f>
        <v/>
      </c>
      <c r="AN251" s="247">
        <f>_DATA_Assessment_Model!AK251</f>
        <v/>
      </c>
      <c r="AO251" s="247">
        <f>_DATA_Assessment_Model!AL251</f>
        <v/>
      </c>
      <c r="AP251" s="247">
        <f>_DATA_Assessment_Model!AM251</f>
        <v/>
      </c>
      <c r="AQ251" s="247">
        <f>_DATA_Assessment_Model!AN251</f>
        <v/>
      </c>
      <c r="AR251" s="247">
        <f>_DATA_Assessment_Model!AO251</f>
        <v/>
      </c>
      <c r="AS251" s="247">
        <f>_DATA_Assessment_Model!AP251</f>
        <v/>
      </c>
      <c r="AT251" s="247">
        <f>_DATA_Assessment_Model!AQ251</f>
        <v/>
      </c>
      <c r="AU251" s="247">
        <f>_DATA_Assessment_Model!AR251</f>
        <v/>
      </c>
      <c r="AV251" s="5">
        <f>_DATA_Assessment_Model!AS251</f>
        <v/>
      </c>
      <c r="AW251" s="5">
        <f>_DATA_Assessment_Model!AT251</f>
        <v/>
      </c>
      <c r="AY251">
        <f>_DATA_Assessment_Model!AV251</f>
        <v/>
      </c>
    </row>
    <row r="252" ht="82.8" customHeight="1" s="209">
      <c r="A252" t="inlineStr">
        <is>
          <t>Manufacturing MES</t>
        </is>
      </c>
      <c r="B252" t="inlineStr">
        <is>
          <t>Manufacturing MES</t>
        </is>
      </c>
      <c r="C252" t="n">
        <v>28</v>
      </c>
      <c r="D252" s="3" t="inlineStr">
        <is>
          <t>MANU-024</t>
        </is>
      </c>
      <c r="E252" s="3" t="inlineStr">
        <is>
          <t>Quality and safety</t>
        </is>
      </c>
      <c r="F252" s="3" t="inlineStr">
        <is>
          <t>How mature is the organization in managing rework, scrap, yield loss and defect cost analysis, including ownership, evidence, metrics, fallback procedures and crisis stress testing?</t>
        </is>
      </c>
      <c r="G252" s="3" t="inlineStr">
        <is>
          <t>This topic affects exposure to Manufacturing disruption; Safety incident; Energy outage; Cyberattack. It helps identify how disruption may impact operations, people, revenue, systems, legal exposure or recovery time.</t>
        </is>
      </c>
      <c r="H252" s="3" t="inlineStr">
        <is>
          <t>ISO 9001; ISO 45001; ISA-95; IEC 62443; ISO 55001; Lean; Six Sigma; TPM; MES/MOM practices</t>
        </is>
      </c>
      <c r="I252" s="3" t="inlineStr">
        <is>
          <t>Policy/SOP; owner/RACI; system report; dashboard; contracts; test records; incident history; interview evidence related to rework, scrap, yield loss and defect cost analysis.</t>
        </is>
      </c>
      <c r="J252" s="3" t="n">
        <v>3</v>
      </c>
      <c r="K252" s="85">
        <f>_DATA_Assessment_Model!H252</f>
        <v/>
      </c>
      <c r="L252" s="4">
        <f>_DATA_Assessment_Model!I252</f>
        <v/>
      </c>
      <c r="M252" s="4">
        <f>_DATA_Assessment_Model!J252</f>
        <v/>
      </c>
      <c r="N252" s="4">
        <f>_DATA_Assessment_Model!K252</f>
        <v/>
      </c>
      <c r="O252" s="3">
        <f>_DATA_Assessment_Model!L252</f>
        <v/>
      </c>
      <c r="P252" s="3" t="inlineStr">
        <is>
          <t>No reliable evidence that rework, scrap, yield loss and defect cost analysis is defined, owned or managed.</t>
        </is>
      </c>
      <c r="Q252" s="3" t="inlineStr">
        <is>
          <t>Rework, scrap, yield loss and defect cost analysis is handled informally and depends on individual knowledge or heroic effort.</t>
        </is>
      </c>
      <c r="R252" s="3" t="inlineStr">
        <is>
          <t>Rework, scrap, yield loss and defect cost analysis is partially documented or implemented, but coverage is inconsistent and not crisis-tested.</t>
        </is>
      </c>
      <c r="S252" s="3" t="inlineStr">
        <is>
          <t>Rework, scrap, yield loss and defect cost analysis is documented, owned, used in normal operations and supported by basic evidence or metrics.</t>
        </is>
      </c>
      <c r="T252" s="3" t="inlineStr">
        <is>
          <t>Rework, scrap, yield loss and defect cost analysis is measured, periodically reviewed, integrated with related processes and tested against relevant disruption scenarios.</t>
        </is>
      </c>
      <c r="U252" s="3" t="inlineStr">
        <is>
          <t>Rework, scrap, yield loss and defect cost analysis is optimized, continuously improved, automated where practical and demonstrably supports crisis resilience.</t>
        </is>
      </c>
      <c r="V252" s="3" t="inlineStr">
        <is>
          <t>Manufacturing disruption; Safety incident; Energy outage; Cyberattack</t>
        </is>
      </c>
      <c r="W252" s="3" t="n"/>
      <c r="X252" s="3" t="n"/>
      <c r="Y252" s="3" t="inlineStr">
        <is>
          <t>Use the recommended action generated by the model; validate with domain owner during real assessment.</t>
        </is>
      </c>
      <c r="Z252" s="7" t="n">
        <v>5</v>
      </c>
      <c r="AA252" s="7" t="n">
        <v>5</v>
      </c>
      <c r="AB252" s="7" t="n">
        <v>5</v>
      </c>
      <c r="AK252" s="46" t="n"/>
      <c r="AL252" s="46" t="n"/>
      <c r="AM252" s="247">
        <f>_DATA_Assessment_Model!AJ252</f>
        <v/>
      </c>
      <c r="AN252" s="247">
        <f>_DATA_Assessment_Model!AK252</f>
        <v/>
      </c>
      <c r="AO252" s="247">
        <f>_DATA_Assessment_Model!AL252</f>
        <v/>
      </c>
      <c r="AP252" s="247">
        <f>_DATA_Assessment_Model!AM252</f>
        <v/>
      </c>
      <c r="AQ252" s="247">
        <f>_DATA_Assessment_Model!AN252</f>
        <v/>
      </c>
      <c r="AR252" s="247">
        <f>_DATA_Assessment_Model!AO252</f>
        <v/>
      </c>
      <c r="AS252" s="247">
        <f>_DATA_Assessment_Model!AP252</f>
        <v/>
      </c>
      <c r="AT252" s="247">
        <f>_DATA_Assessment_Model!AQ252</f>
        <v/>
      </c>
      <c r="AU252" s="247">
        <f>_DATA_Assessment_Model!AR252</f>
        <v/>
      </c>
      <c r="AV252" s="5">
        <f>_DATA_Assessment_Model!AS252</f>
        <v/>
      </c>
      <c r="AW252" s="5">
        <f>_DATA_Assessment_Model!AT252</f>
        <v/>
      </c>
      <c r="AY252">
        <f>_DATA_Assessment_Model!AV252</f>
        <v/>
      </c>
    </row>
    <row r="253" ht="110.4" customHeight="1" s="209">
      <c r="A253" t="inlineStr">
        <is>
          <t>Manufacturing MES</t>
        </is>
      </c>
      <c r="B253" t="inlineStr">
        <is>
          <t>Manufacturing MES</t>
        </is>
      </c>
      <c r="C253" t="n">
        <v>29</v>
      </c>
      <c r="D253" s="3" t="inlineStr">
        <is>
          <t>MANU-025</t>
        </is>
      </c>
      <c r="E253" s="3" t="inlineStr">
        <is>
          <t>OT security</t>
        </is>
      </c>
      <c r="F253" s="3" t="inlineStr">
        <is>
          <t>How mature is the organization in managing OT asset inventory for PLCs, SCADA, HMIs, industrial networks and engineering workstations, including ownership, evidence, metrics, fallback procedures and crisis stress testing?</t>
        </is>
      </c>
      <c r="G253" s="3" t="inlineStr">
        <is>
          <t>This topic affects exposure to Manufacturing disruption; Safety incident; Energy outage; Cyberattack. It helps identify how disruption may impact operations, people, revenue, systems, legal exposure or recovery time.</t>
        </is>
      </c>
      <c r="H253" s="3" t="inlineStr">
        <is>
          <t>ISO 9001; ISO 45001; ISA-95; IEC 62443; ISO 55001; Lean; Six Sigma; TPM; MES/MOM practices</t>
        </is>
      </c>
      <c r="I253" s="3" t="inlineStr">
        <is>
          <t>Policy/SOP; owner/RACI; system report; dashboard; contracts; test records; incident history; interview evidence related to OT asset inventory for PLCs, SCADA, HMIs, industrial networks and engineering workstations.</t>
        </is>
      </c>
      <c r="J253" s="3" t="n">
        <v>4</v>
      </c>
      <c r="K253" s="85">
        <f>_DATA_Assessment_Model!H253</f>
        <v/>
      </c>
      <c r="L253" s="4">
        <f>_DATA_Assessment_Model!I253</f>
        <v/>
      </c>
      <c r="M253" s="4">
        <f>_DATA_Assessment_Model!J253</f>
        <v/>
      </c>
      <c r="N253" s="4">
        <f>_DATA_Assessment_Model!K253</f>
        <v/>
      </c>
      <c r="O253" s="3">
        <f>_DATA_Assessment_Model!L253</f>
        <v/>
      </c>
      <c r="P253" s="3" t="inlineStr">
        <is>
          <t>No reliable evidence that ot asset inventory for plcs, scada, hmis, industrial networks and engineering workstations is defined, owned or managed.</t>
        </is>
      </c>
      <c r="Q253" s="3" t="inlineStr">
        <is>
          <t>OT asset inventory for PLCs, SCADA, HMIs, industrial networks and engineering workstations is handled informally and depends on individual knowledge or heroic effort.</t>
        </is>
      </c>
      <c r="R253" s="3" t="inlineStr">
        <is>
          <t>OT asset inventory for PLCs, SCADA, HMIs, industrial networks and engineering workstations is partially documented or implemented, but coverage is inconsistent and not crisis-tested.</t>
        </is>
      </c>
      <c r="S253" s="3" t="inlineStr">
        <is>
          <t>OT asset inventory for PLCs, SCADA, HMIs, industrial networks and engineering workstations is documented, owned, used in normal operations and supported by basic evidence or metrics.</t>
        </is>
      </c>
      <c r="T253" s="3" t="inlineStr">
        <is>
          <t>OT asset inventory for PLCs, SCADA, HMIs, industrial networks and engineering workstations is measured, periodically reviewed, integrated with related processes and tested against relevant disruption scenarios.</t>
        </is>
      </c>
      <c r="U253" s="3" t="inlineStr">
        <is>
          <t>OT asset inventory for PLCs, SCADA, HMIs, industrial networks and engineering workstations is optimized, continuously improved, automated where practical and demonstrably supports crisis resilience.</t>
        </is>
      </c>
      <c r="V253" s="3" t="inlineStr">
        <is>
          <t>Manufacturing disruption; Safety incident; Energy outage; Cyberattack</t>
        </is>
      </c>
      <c r="W253" s="3" t="n"/>
      <c r="X253" s="3" t="n"/>
      <c r="Y253" s="3" t="inlineStr">
        <is>
          <t>Use the recommended action generated by the model; validate with domain owner during real assessment.</t>
        </is>
      </c>
      <c r="Z253" s="7" t="n">
        <v>5</v>
      </c>
      <c r="AA253" s="7" t="n">
        <v>5</v>
      </c>
      <c r="AB253" s="7" t="n">
        <v>5</v>
      </c>
      <c r="AK253" s="46" t="n"/>
      <c r="AL253" s="46" t="n"/>
      <c r="AM253" s="247">
        <f>_DATA_Assessment_Model!AJ253</f>
        <v/>
      </c>
      <c r="AN253" s="247">
        <f>_DATA_Assessment_Model!AK253</f>
        <v/>
      </c>
      <c r="AO253" s="247">
        <f>_DATA_Assessment_Model!AL253</f>
        <v/>
      </c>
      <c r="AP253" s="247">
        <f>_DATA_Assessment_Model!AM253</f>
        <v/>
      </c>
      <c r="AQ253" s="247">
        <f>_DATA_Assessment_Model!AN253</f>
        <v/>
      </c>
      <c r="AR253" s="247">
        <f>_DATA_Assessment_Model!AO253</f>
        <v/>
      </c>
      <c r="AS253" s="247">
        <f>_DATA_Assessment_Model!AP253</f>
        <v/>
      </c>
      <c r="AT253" s="247">
        <f>_DATA_Assessment_Model!AQ253</f>
        <v/>
      </c>
      <c r="AU253" s="247">
        <f>_DATA_Assessment_Model!AR253</f>
        <v/>
      </c>
      <c r="AV253" s="5">
        <f>_DATA_Assessment_Model!AS253</f>
        <v/>
      </c>
      <c r="AW253" s="5">
        <f>_DATA_Assessment_Model!AT253</f>
        <v/>
      </c>
      <c r="AY253">
        <f>_DATA_Assessment_Model!AV253</f>
        <v/>
      </c>
    </row>
    <row r="254" ht="96.59999999999999" customHeight="1" s="209">
      <c r="A254" t="inlineStr">
        <is>
          <t>Manufacturing MES</t>
        </is>
      </c>
      <c r="B254" t="inlineStr">
        <is>
          <t>Manufacturing MES</t>
        </is>
      </c>
      <c r="C254" t="n">
        <v>30</v>
      </c>
      <c r="D254" s="3" t="inlineStr">
        <is>
          <t>MANU-026</t>
        </is>
      </c>
      <c r="E254" s="3" t="inlineStr">
        <is>
          <t>OT security</t>
        </is>
      </c>
      <c r="F254" s="3" t="inlineStr">
        <is>
          <t>How mature is the organization in managing OT network segmentation and secure remote access for vendors and maintenance, including ownership, evidence, metrics, fallback procedures and crisis stress testing?</t>
        </is>
      </c>
      <c r="G254" s="3" t="inlineStr">
        <is>
          <t>This topic affects exposure to Manufacturing disruption; Safety incident; Energy outage; Cyberattack. It helps identify how disruption may impact operations, people, revenue, systems, legal exposure or recovery time.</t>
        </is>
      </c>
      <c r="H254" s="3" t="inlineStr">
        <is>
          <t>ISO 9001; ISO 45001; ISA-95; IEC 62443; ISO 55001; Lean; Six Sigma; TPM; MES/MOM practices</t>
        </is>
      </c>
      <c r="I254" s="3" t="inlineStr">
        <is>
          <t>Policy/SOP; owner/RACI; system report; dashboard; contracts; test records; incident history; interview evidence related to OT network segmentation and secure remote access for vendors and maintenance.</t>
        </is>
      </c>
      <c r="J254" s="3" t="n">
        <v>4</v>
      </c>
      <c r="K254" s="85">
        <f>_DATA_Assessment_Model!H254</f>
        <v/>
      </c>
      <c r="L254" s="4">
        <f>_DATA_Assessment_Model!I254</f>
        <v/>
      </c>
      <c r="M254" s="4">
        <f>_DATA_Assessment_Model!J254</f>
        <v/>
      </c>
      <c r="N254" s="4">
        <f>_DATA_Assessment_Model!K254</f>
        <v/>
      </c>
      <c r="O254" s="3">
        <f>_DATA_Assessment_Model!L254</f>
        <v/>
      </c>
      <c r="P254" s="3" t="inlineStr">
        <is>
          <t>No reliable evidence that ot network segmentation and secure remote access for vendors and maintenance is defined, owned or managed.</t>
        </is>
      </c>
      <c r="Q254" s="3" t="inlineStr">
        <is>
          <t>OT network segmentation and secure remote access for vendors and maintenance is handled informally and depends on individual knowledge or heroic effort.</t>
        </is>
      </c>
      <c r="R254" s="3" t="inlineStr">
        <is>
          <t>OT network segmentation and secure remote access for vendors and maintenance is partially documented or implemented, but coverage is inconsistent and not crisis-tested.</t>
        </is>
      </c>
      <c r="S254" s="3" t="inlineStr">
        <is>
          <t>OT network segmentation and secure remote access for vendors and maintenance is documented, owned, used in normal operations and supported by basic evidence or metrics.</t>
        </is>
      </c>
      <c r="T254" s="3" t="inlineStr">
        <is>
          <t>OT network segmentation and secure remote access for vendors and maintenance is measured, periodically reviewed, integrated with related processes and tested against relevant disruption scenarios.</t>
        </is>
      </c>
      <c r="U254" s="3" t="inlineStr">
        <is>
          <t>OT network segmentation and secure remote access for vendors and maintenance is optimized, continuously improved, automated where practical and demonstrably supports crisis resilience.</t>
        </is>
      </c>
      <c r="V254" s="3" t="inlineStr">
        <is>
          <t>Manufacturing disruption; Safety incident; Energy outage; Cyberattack</t>
        </is>
      </c>
      <c r="W254" s="3" t="n"/>
      <c r="X254" s="3" t="n"/>
      <c r="Y254" s="3" t="inlineStr">
        <is>
          <t>Use the recommended action generated by the model; validate with domain owner during real assessment.</t>
        </is>
      </c>
      <c r="Z254" s="7" t="n">
        <v>5</v>
      </c>
      <c r="AA254" s="7" t="n">
        <v>5</v>
      </c>
      <c r="AB254" s="7" t="n">
        <v>5</v>
      </c>
      <c r="AK254" s="46" t="n"/>
      <c r="AL254" s="46" t="n"/>
      <c r="AM254" s="247">
        <f>_DATA_Assessment_Model!AJ254</f>
        <v/>
      </c>
      <c r="AN254" s="247">
        <f>_DATA_Assessment_Model!AK254</f>
        <v/>
      </c>
      <c r="AO254" s="247">
        <f>_DATA_Assessment_Model!AL254</f>
        <v/>
      </c>
      <c r="AP254" s="247">
        <f>_DATA_Assessment_Model!AM254</f>
        <v/>
      </c>
      <c r="AQ254" s="247">
        <f>_DATA_Assessment_Model!AN254</f>
        <v/>
      </c>
      <c r="AR254" s="247">
        <f>_DATA_Assessment_Model!AO254</f>
        <v/>
      </c>
      <c r="AS254" s="247">
        <f>_DATA_Assessment_Model!AP254</f>
        <v/>
      </c>
      <c r="AT254" s="247">
        <f>_DATA_Assessment_Model!AQ254</f>
        <v/>
      </c>
      <c r="AU254" s="247">
        <f>_DATA_Assessment_Model!AR254</f>
        <v/>
      </c>
      <c r="AV254" s="5">
        <f>_DATA_Assessment_Model!AS254</f>
        <v/>
      </c>
      <c r="AW254" s="5">
        <f>_DATA_Assessment_Model!AT254</f>
        <v/>
      </c>
      <c r="AY254">
        <f>_DATA_Assessment_Model!AV254</f>
        <v/>
      </c>
    </row>
    <row r="255" ht="82.8" customHeight="1" s="209">
      <c r="A255" t="inlineStr">
        <is>
          <t>Manufacturing MES</t>
        </is>
      </c>
      <c r="B255" t="inlineStr">
        <is>
          <t>Manufacturing MES</t>
        </is>
      </c>
      <c r="C255" t="n">
        <v>31</v>
      </c>
      <c r="D255" s="3" t="inlineStr">
        <is>
          <t>MANU-027</t>
        </is>
      </c>
      <c r="E255" s="3" t="inlineStr">
        <is>
          <t>OT security</t>
        </is>
      </c>
      <c r="F255" s="3" t="inlineStr">
        <is>
          <t>How mature is the organization in managing PLC, HMI, SCADA and recipe configuration backup and restore testing, including ownership, evidence, metrics, fallback procedures and crisis stress testing?</t>
        </is>
      </c>
      <c r="G255" s="3" t="inlineStr">
        <is>
          <t>This topic affects exposure to Manufacturing disruption; Safety incident; Energy outage; Cyberattack. It helps identify how disruption may impact operations, people, revenue, systems, legal exposure or recovery time.</t>
        </is>
      </c>
      <c r="H255" s="3" t="inlineStr">
        <is>
          <t>ISO 9001; ISO 45001; ISA-95; IEC 62443; ISO 55001; Lean; Six Sigma; TPM; MES/MOM practices</t>
        </is>
      </c>
      <c r="I255" s="3" t="inlineStr">
        <is>
          <t>Policy/SOP; owner/RACI; system report; dashboard; contracts; test records; incident history; interview evidence related to PLC, HMI, SCADA and recipe configuration backup and restore testing.</t>
        </is>
      </c>
      <c r="J255" s="3" t="n">
        <v>5</v>
      </c>
      <c r="K255" s="85">
        <f>_DATA_Assessment_Model!H255</f>
        <v/>
      </c>
      <c r="L255" s="4">
        <f>_DATA_Assessment_Model!I255</f>
        <v/>
      </c>
      <c r="M255" s="4">
        <f>_DATA_Assessment_Model!J255</f>
        <v/>
      </c>
      <c r="N255" s="4">
        <f>_DATA_Assessment_Model!K255</f>
        <v/>
      </c>
      <c r="O255" s="3">
        <f>_DATA_Assessment_Model!L255</f>
        <v/>
      </c>
      <c r="P255" s="3" t="inlineStr">
        <is>
          <t>Never done; no records exist.</t>
        </is>
      </c>
      <c r="Q255" s="3" t="inlineStr">
        <is>
          <t>Done once long ago or only after an incident; no schedule, no records.</t>
        </is>
      </c>
      <c r="R255" s="3" t="inlineStr">
        <is>
          <t>Done irregularly; results are not documented and findings are not tracked.</t>
        </is>
      </c>
      <c r="S255" s="3" t="inlineStr">
        <is>
          <t>Done on a defined schedule (at least annually); results documented, owner assigned.</t>
        </is>
      </c>
      <c r="T255" s="3" t="inlineStr">
        <is>
          <t>Done quarterly/semi-annually; findings tracked to closure, effectiveness measured against targets.</t>
        </is>
      </c>
      <c r="U255" s="3" t="inlineStr">
        <is>
          <t>Continuous or automated where possible; results drive improvements and are validated externally (audit/customer).</t>
        </is>
      </c>
      <c r="V255" s="3" t="inlineStr">
        <is>
          <t>Manufacturing disruption; Safety incident; Energy outage; Cyberattack</t>
        </is>
      </c>
      <c r="W255" s="3" t="n"/>
      <c r="X255" s="3" t="n"/>
      <c r="Y255" s="3" t="inlineStr">
        <is>
          <t>Use the recommended action generated by the model; validate with domain owner during real assessment.</t>
        </is>
      </c>
      <c r="Z255" s="7" t="n">
        <v>5</v>
      </c>
      <c r="AA255" s="7" t="n">
        <v>5</v>
      </c>
      <c r="AB255" s="7" t="n">
        <v>5</v>
      </c>
      <c r="AK255" s="46" t="n"/>
      <c r="AL255" s="46" t="n"/>
      <c r="AM255" s="247">
        <f>_DATA_Assessment_Model!AJ255</f>
        <v/>
      </c>
      <c r="AN255" s="247">
        <f>_DATA_Assessment_Model!AK255</f>
        <v/>
      </c>
      <c r="AO255" s="247">
        <f>_DATA_Assessment_Model!AL255</f>
        <v/>
      </c>
      <c r="AP255" s="247">
        <f>_DATA_Assessment_Model!AM255</f>
        <v/>
      </c>
      <c r="AQ255" s="247">
        <f>_DATA_Assessment_Model!AN255</f>
        <v/>
      </c>
      <c r="AR255" s="247">
        <f>_DATA_Assessment_Model!AO255</f>
        <v/>
      </c>
      <c r="AS255" s="247">
        <f>_DATA_Assessment_Model!AP255</f>
        <v/>
      </c>
      <c r="AT255" s="247">
        <f>_DATA_Assessment_Model!AQ255</f>
        <v/>
      </c>
      <c r="AU255" s="247">
        <f>_DATA_Assessment_Model!AR255</f>
        <v/>
      </c>
      <c r="AV255" s="5">
        <f>_DATA_Assessment_Model!AS255</f>
        <v/>
      </c>
      <c r="AW255" s="5">
        <f>_DATA_Assessment_Model!AT255</f>
        <v/>
      </c>
      <c r="AY255">
        <f>_DATA_Assessment_Model!AV255</f>
        <v/>
      </c>
    </row>
    <row r="256" ht="69" customHeight="1" s="209">
      <c r="A256" t="inlineStr">
        <is>
          <t>Manufacturing MES</t>
        </is>
      </c>
      <c r="B256" t="inlineStr">
        <is>
          <t>Manufacturing MES</t>
        </is>
      </c>
      <c r="C256" t="n">
        <v>32</v>
      </c>
      <c r="D256" s="3" t="inlineStr">
        <is>
          <t>MANU-028</t>
        </is>
      </c>
      <c r="E256" s="3" t="inlineStr">
        <is>
          <t>OT security</t>
        </is>
      </c>
      <c r="F256" s="3" t="inlineStr">
        <is>
          <t>How mature is the organization in managing cyber incident response procedures specific to production and OT, including ownership, evidence, metrics, fallback procedures and crisis stress testing?</t>
        </is>
      </c>
      <c r="G256" s="3" t="inlineStr">
        <is>
          <t>This topic affects exposure to Manufacturing disruption; Safety incident; Energy outage; Cyberattack. It helps identify how disruption may impact operations, people, revenue, systems, legal exposure or recovery time.</t>
        </is>
      </c>
      <c r="H256" s="3" t="inlineStr">
        <is>
          <t>ISO 9001; ISO 45001; ISA-95; IEC 62443; ISO 55001; Lean; Six Sigma; TPM; MES/MOM practices</t>
        </is>
      </c>
      <c r="I256" s="3" t="inlineStr">
        <is>
          <t>Policy/SOP; owner/RACI; system report; dashboard; contracts; test records; incident history; interview evidence related to cyber incident response procedures specific to production and OT.</t>
        </is>
      </c>
      <c r="J256" s="3" t="n">
        <v>5</v>
      </c>
      <c r="K256" s="85">
        <f>_DATA_Assessment_Model!H256</f>
        <v/>
      </c>
      <c r="L256" s="4">
        <f>_DATA_Assessment_Model!I256</f>
        <v/>
      </c>
      <c r="M256" s="4">
        <f>_DATA_Assessment_Model!J256</f>
        <v/>
      </c>
      <c r="N256" s="4">
        <f>_DATA_Assessment_Model!K256</f>
        <v/>
      </c>
      <c r="O256" s="3">
        <f>_DATA_Assessment_Model!L256</f>
        <v/>
      </c>
      <c r="P256" s="3" t="inlineStr">
        <is>
          <t>No plan or procedure exists.</t>
        </is>
      </c>
      <c r="Q256" s="3" t="inlineStr">
        <is>
          <t>Knowledge lives with individuals; nothing usable is written down.</t>
        </is>
      </c>
      <c r="R256" s="3" t="inlineStr">
        <is>
          <t>Drafted but outdated, not approved, or unknown to the people who must use it.</t>
        </is>
      </c>
      <c r="S256" s="3" t="inlineStr">
        <is>
          <t>Approved and current; owners assigned; affected staff know it exists and where to find it.</t>
        </is>
      </c>
      <c r="T256" s="3" t="inlineStr">
        <is>
          <t>Tested against realistic scenarios; updated after each test or real incident.</t>
        </is>
      </c>
      <c r="U256" s="3" t="inlineStr">
        <is>
          <t>Exercised regularly including external parties; readiness measured; continuously improved.</t>
        </is>
      </c>
      <c r="V256" s="3" t="inlineStr">
        <is>
          <t>Manufacturing disruption; Safety incident; Energy outage; Cyberattack</t>
        </is>
      </c>
      <c r="W256" s="3" t="n"/>
      <c r="X256" s="3" t="n"/>
      <c r="Y256" s="3" t="inlineStr">
        <is>
          <t>Use the recommended action generated by the model; validate with domain owner during real assessment.</t>
        </is>
      </c>
      <c r="Z256" s="7" t="n">
        <v>5</v>
      </c>
      <c r="AA256" s="7" t="n">
        <v>5</v>
      </c>
      <c r="AB256" s="7" t="n">
        <v>5</v>
      </c>
      <c r="AK256" s="46" t="n"/>
      <c r="AL256" s="46" t="n"/>
      <c r="AM256" s="247">
        <f>_DATA_Assessment_Model!AJ256</f>
        <v/>
      </c>
      <c r="AN256" s="247">
        <f>_DATA_Assessment_Model!AK256</f>
        <v/>
      </c>
      <c r="AO256" s="247">
        <f>_DATA_Assessment_Model!AL256</f>
        <v/>
      </c>
      <c r="AP256" s="247">
        <f>_DATA_Assessment_Model!AM256</f>
        <v/>
      </c>
      <c r="AQ256" s="247">
        <f>_DATA_Assessment_Model!AN256</f>
        <v/>
      </c>
      <c r="AR256" s="247">
        <f>_DATA_Assessment_Model!AO256</f>
        <v/>
      </c>
      <c r="AS256" s="247">
        <f>_DATA_Assessment_Model!AP256</f>
        <v/>
      </c>
      <c r="AT256" s="247">
        <f>_DATA_Assessment_Model!AQ256</f>
        <v/>
      </c>
      <c r="AU256" s="247">
        <f>_DATA_Assessment_Model!AR256</f>
        <v/>
      </c>
      <c r="AV256" s="5">
        <f>_DATA_Assessment_Model!AS256</f>
        <v/>
      </c>
      <c r="AW256" s="5">
        <f>_DATA_Assessment_Model!AT256</f>
        <v/>
      </c>
      <c r="AY256">
        <f>_DATA_Assessment_Model!AV256</f>
        <v/>
      </c>
    </row>
    <row r="257" ht="96.59999999999999" customHeight="1" s="209">
      <c r="A257" t="inlineStr">
        <is>
          <t>Sales CRM</t>
        </is>
      </c>
      <c r="B257" t="inlineStr">
        <is>
          <t>Sales CRM</t>
        </is>
      </c>
      <c r="C257" t="n">
        <v>5</v>
      </c>
      <c r="D257" s="3" t="inlineStr">
        <is>
          <t>SALE-001</t>
        </is>
      </c>
      <c r="E257" s="3" t="inlineStr">
        <is>
          <t>CRM foundation</t>
        </is>
      </c>
      <c r="F257" s="3" t="inlineStr">
        <is>
          <t>How mature is the organization in managing CRM as single source of truth for accounts, contacts, opportunities, activities and forecasts, including ownership, evidence, metrics, fallback procedures and crisis stress testing?</t>
        </is>
      </c>
      <c r="G257" s="3" t="inlineStr">
        <is>
          <t>This topic affects exposure to Demand shock; Revenue loss; Reputation crisis. It helps identify how disruption may impact operations, people, revenue, systems, legal exposure or recovery time.</t>
        </is>
      </c>
      <c r="H257" s="3" t="inlineStr">
        <is>
          <t>ISO 9001; ISO 10002; ISO 10004; RevOps; MEDDICC; customer success best practices</t>
        </is>
      </c>
      <c r="I257" s="3" t="inlineStr">
        <is>
          <t>Policy/SOP; owner/RACI; system report; dashboard; contracts; test records; incident history; interview evidence related to CRM as single source of truth for accounts, contacts, opportunities, activities and forecasts.</t>
        </is>
      </c>
      <c r="J257" s="3" t="n">
        <v>4</v>
      </c>
      <c r="K257" s="85">
        <f>_DATA_Assessment_Model!H257</f>
        <v/>
      </c>
      <c r="L257" s="4">
        <f>_DATA_Assessment_Model!I257</f>
        <v/>
      </c>
      <c r="M257" s="4">
        <f>_DATA_Assessment_Model!J257</f>
        <v/>
      </c>
      <c r="N257" s="4">
        <f>_DATA_Assessment_Model!K257</f>
        <v/>
      </c>
      <c r="O257" s="3">
        <f>_DATA_Assessment_Model!L257</f>
        <v/>
      </c>
      <c r="P257" s="3" t="inlineStr">
        <is>
          <t>No reliable evidence that crm as single source of truth for accounts, contacts, opportunities, activities and forecasts is defined, owned or managed.</t>
        </is>
      </c>
      <c r="Q257" s="3" t="inlineStr">
        <is>
          <t>CRM as single source of truth for accounts, contacts, opportunities, activities and forecasts is handled informally and depends on individual knowledge or heroic effort.</t>
        </is>
      </c>
      <c r="R257" s="3" t="inlineStr">
        <is>
          <t>CRM as single source of truth for accounts, contacts, opportunities, activities and forecasts is partially documented or implemented, but coverage is inconsistent and not crisis-tested.</t>
        </is>
      </c>
      <c r="S257" s="3" t="inlineStr">
        <is>
          <t>CRM as single source of truth for accounts, contacts, opportunities, activities and forecasts is documented, owned, used in normal operations and supported by basic evidence or metrics.</t>
        </is>
      </c>
      <c r="T257" s="3" t="inlineStr">
        <is>
          <t>CRM as single source of truth for accounts, contacts, opportunities, activities and forecasts is measured, periodically reviewed, integrated with related processes and tested against relevant disruption scenarios.</t>
        </is>
      </c>
      <c r="U257" s="3" t="inlineStr">
        <is>
          <t>CRM as single source of truth for accounts, contacts, opportunities, activities and forecasts is optimized, continuously improved, automated where practical and demonstrably supports crisis resilience.</t>
        </is>
      </c>
      <c r="V257" s="3" t="inlineStr">
        <is>
          <t>Demand shock; Revenue loss; Reputation crisis</t>
        </is>
      </c>
      <c r="W257" s="3" t="n"/>
      <c r="X257" s="3" t="n"/>
      <c r="Y257" s="3" t="inlineStr">
        <is>
          <t>Use the recommended action generated by the model; validate with domain owner during real assessment.</t>
        </is>
      </c>
      <c r="Z257" s="7" t="n">
        <v>5</v>
      </c>
      <c r="AA257" s="7" t="n">
        <v>5</v>
      </c>
      <c r="AB257" s="7" t="n">
        <v>5</v>
      </c>
      <c r="AD257" t="inlineStr">
        <is>
          <t>CRM foundation</t>
        </is>
      </c>
      <c r="AE257" s="6">
        <f>_DATA_Assessment_Model!AB257</f>
        <v/>
      </c>
      <c r="AF257" s="8">
        <f>_DATA_Assessment_Model!AC257</f>
        <v/>
      </c>
      <c r="AG257" s="9">
        <f>_DATA_Assessment_Model!AD257</f>
        <v/>
      </c>
      <c r="AH257" s="6">
        <f>_DATA_Assessment_Model!AE257</f>
        <v/>
      </c>
      <c r="AI257" s="8">
        <f>_DATA_Assessment_Model!AF257</f>
        <v/>
      </c>
      <c r="AJ257" s="6">
        <f>_DATA_Assessment_Model!AG257</f>
        <v/>
      </c>
      <c r="AK257" s="46" t="n"/>
      <c r="AL257" s="46" t="n"/>
      <c r="AM257" s="247">
        <f>_DATA_Assessment_Model!AJ257</f>
        <v/>
      </c>
      <c r="AN257" s="247">
        <f>_DATA_Assessment_Model!AK257</f>
        <v/>
      </c>
      <c r="AO257" s="247">
        <f>_DATA_Assessment_Model!AL257</f>
        <v/>
      </c>
      <c r="AP257" s="247">
        <f>_DATA_Assessment_Model!AM257</f>
        <v/>
      </c>
      <c r="AQ257" s="247">
        <f>_DATA_Assessment_Model!AN257</f>
        <v/>
      </c>
      <c r="AR257" s="247">
        <f>_DATA_Assessment_Model!AO257</f>
        <v/>
      </c>
      <c r="AS257" s="247">
        <f>_DATA_Assessment_Model!AP257</f>
        <v/>
      </c>
      <c r="AT257" s="247">
        <f>_DATA_Assessment_Model!AQ257</f>
        <v/>
      </c>
      <c r="AU257" s="247">
        <f>_DATA_Assessment_Model!AR257</f>
        <v/>
      </c>
      <c r="AV257" s="5">
        <f>_DATA_Assessment_Model!AS257</f>
        <v/>
      </c>
      <c r="AW257" s="5">
        <f>_DATA_Assessment_Model!AT257</f>
        <v/>
      </c>
      <c r="AY257">
        <f>_DATA_Assessment_Model!AV257</f>
        <v/>
      </c>
    </row>
    <row r="258" ht="110.4" customHeight="1" s="209">
      <c r="A258" t="inlineStr">
        <is>
          <t>Sales CRM</t>
        </is>
      </c>
      <c r="B258" t="inlineStr">
        <is>
          <t>Sales CRM</t>
        </is>
      </c>
      <c r="C258" t="n">
        <v>6</v>
      </c>
      <c r="D258" s="3" t="inlineStr">
        <is>
          <t>SALE-002</t>
        </is>
      </c>
      <c r="E258" s="3" t="inlineStr">
        <is>
          <t>CRM foundation</t>
        </is>
      </c>
      <c r="F258" s="3" t="inlineStr">
        <is>
          <t>How mature is the organization in managing CRM data quality for segmentation, pipeline, ICP, offerings, win/loss reasons and customer health, including ownership, evidence, metrics, fallback procedures and crisis stress testing?</t>
        </is>
      </c>
      <c r="G258" s="3" t="inlineStr">
        <is>
          <t>This topic affects exposure to Demand shock; Revenue loss; Reputation crisis. It helps identify how disruption may impact operations, people, revenue, systems, legal exposure or recovery time.</t>
        </is>
      </c>
      <c r="H258" s="3" t="inlineStr">
        <is>
          <t>ISO 9001; ISO 10002; ISO 10004; RevOps; MEDDICC; customer success best practices</t>
        </is>
      </c>
      <c r="I258" s="3" t="inlineStr">
        <is>
          <t>Policy/SOP; owner/RACI; system report; dashboard; contracts; test records; incident history; interview evidence related to CRM data quality for segmentation, pipeline, ICP, offerings, win/loss reasons and customer health.</t>
        </is>
      </c>
      <c r="J258" s="3" t="n">
        <v>4</v>
      </c>
      <c r="K258" s="85">
        <f>_DATA_Assessment_Model!H258</f>
        <v/>
      </c>
      <c r="L258" s="4">
        <f>_DATA_Assessment_Model!I258</f>
        <v/>
      </c>
      <c r="M258" s="4">
        <f>_DATA_Assessment_Model!J258</f>
        <v/>
      </c>
      <c r="N258" s="4">
        <f>_DATA_Assessment_Model!K258</f>
        <v/>
      </c>
      <c r="O258" s="3">
        <f>_DATA_Assessment_Model!L258</f>
        <v/>
      </c>
      <c r="P258" s="3" t="inlineStr">
        <is>
          <t>No reliable evidence that crm data quality for segmentation, pipeline, icp, offerings, win/loss reasons and customer health is defined, owned or managed.</t>
        </is>
      </c>
      <c r="Q258" s="3" t="inlineStr">
        <is>
          <t>CRM data quality for segmentation, pipeline, ICP, offerings, win/loss reasons and customer health is handled informally and depends on individual knowledge or heroic effort.</t>
        </is>
      </c>
      <c r="R258" s="3" t="inlineStr">
        <is>
          <t>CRM data quality for segmentation, pipeline, ICP, offerings, win/loss reasons and customer health is partially documented or implemented, but coverage is inconsistent and not crisis-tested.</t>
        </is>
      </c>
      <c r="S258" s="3" t="inlineStr">
        <is>
          <t>CRM data quality for segmentation, pipeline, ICP, offerings, win/loss reasons and customer health is documented, owned, used in normal operations and supported by basic evidence or metrics.</t>
        </is>
      </c>
      <c r="T258" s="3" t="inlineStr">
        <is>
          <t>CRM data quality for segmentation, pipeline, ICP, offerings, win/loss reasons and customer health is measured, periodically reviewed, integrated with related processes and tested against relevant disruption scenarios.</t>
        </is>
      </c>
      <c r="U258" s="3" t="inlineStr">
        <is>
          <t>CRM data quality for segmentation, pipeline, ICP, offerings, win/loss reasons and customer health is optimized, continuously improved, automated where practical and demonstrably supports crisis resilience.</t>
        </is>
      </c>
      <c r="V258" s="3" t="inlineStr">
        <is>
          <t>Demand shock; Revenue loss; Reputation crisis</t>
        </is>
      </c>
      <c r="W258" s="3" t="n"/>
      <c r="X258" s="3" t="n"/>
      <c r="Y258" s="3" t="inlineStr">
        <is>
          <t>Use the recommended action generated by the model; validate with domain owner during real assessment.</t>
        </is>
      </c>
      <c r="Z258" s="7" t="n">
        <v>5</v>
      </c>
      <c r="AA258" s="7" t="n">
        <v>5</v>
      </c>
      <c r="AB258" s="7" t="n">
        <v>5</v>
      </c>
      <c r="AD258" t="inlineStr">
        <is>
          <t>Pipeline and forecast</t>
        </is>
      </c>
      <c r="AE258" s="6">
        <f>_DATA_Assessment_Model!AB258</f>
        <v/>
      </c>
      <c r="AF258" s="8">
        <f>_DATA_Assessment_Model!AC258</f>
        <v/>
      </c>
      <c r="AG258" s="9">
        <f>_DATA_Assessment_Model!AD258</f>
        <v/>
      </c>
      <c r="AH258" s="6">
        <f>_DATA_Assessment_Model!AE258</f>
        <v/>
      </c>
      <c r="AI258" s="8">
        <f>_DATA_Assessment_Model!AF258</f>
        <v/>
      </c>
      <c r="AJ258" s="6">
        <f>_DATA_Assessment_Model!AG258</f>
        <v/>
      </c>
      <c r="AK258" s="46" t="n"/>
      <c r="AL258" s="46" t="n"/>
      <c r="AM258" s="247">
        <f>_DATA_Assessment_Model!AJ258</f>
        <v/>
      </c>
      <c r="AN258" s="247">
        <f>_DATA_Assessment_Model!AK258</f>
        <v/>
      </c>
      <c r="AO258" s="247">
        <f>_DATA_Assessment_Model!AL258</f>
        <v/>
      </c>
      <c r="AP258" s="247">
        <f>_DATA_Assessment_Model!AM258</f>
        <v/>
      </c>
      <c r="AQ258" s="247">
        <f>_DATA_Assessment_Model!AN258</f>
        <v/>
      </c>
      <c r="AR258" s="247">
        <f>_DATA_Assessment_Model!AO258</f>
        <v/>
      </c>
      <c r="AS258" s="247">
        <f>_DATA_Assessment_Model!AP258</f>
        <v/>
      </c>
      <c r="AT258" s="247">
        <f>_DATA_Assessment_Model!AQ258</f>
        <v/>
      </c>
      <c r="AU258" s="247">
        <f>_DATA_Assessment_Model!AR258</f>
        <v/>
      </c>
      <c r="AV258" s="5">
        <f>_DATA_Assessment_Model!AS258</f>
        <v/>
      </c>
      <c r="AW258" s="5">
        <f>_DATA_Assessment_Model!AT258</f>
        <v/>
      </c>
      <c r="AY258">
        <f>_DATA_Assessment_Model!AV258</f>
        <v/>
      </c>
    </row>
    <row r="259" ht="96.59999999999999" customHeight="1" s="209">
      <c r="A259" t="inlineStr">
        <is>
          <t>Sales CRM</t>
        </is>
      </c>
      <c r="B259" t="inlineStr">
        <is>
          <t>Sales CRM</t>
        </is>
      </c>
      <c r="C259" t="n">
        <v>7</v>
      </c>
      <c r="D259" s="3" t="inlineStr">
        <is>
          <t>SALE-004</t>
        </is>
      </c>
      <c r="E259" s="3" t="inlineStr">
        <is>
          <t>CRM foundation</t>
        </is>
      </c>
      <c r="F259" s="3" t="inlineStr">
        <is>
          <t>How mature is the organization in managing sales process governance from lead to opportunity to contract to handover, including ownership, evidence, metrics, fallback procedures and crisis stress testing?</t>
        </is>
      </c>
      <c r="G259" s="3" t="inlineStr">
        <is>
          <t>This topic affects exposure to Demand shock; Revenue loss; Reputation crisis. It helps identify how disruption may impact operations, people, revenue, systems, legal exposure or recovery time.</t>
        </is>
      </c>
      <c r="H259" s="3" t="inlineStr">
        <is>
          <t>ISO 9001; ISO 10002; ISO 10004; RevOps; MEDDICC; customer success best practices</t>
        </is>
      </c>
      <c r="I259" s="3" t="inlineStr">
        <is>
          <t>Policy/SOP; owner/RACI; system report; dashboard; contracts; test records; incident history; interview evidence related to sales process governance from lead to opportunity to contract to handover.</t>
        </is>
      </c>
      <c r="J259" s="3" t="n">
        <v>4</v>
      </c>
      <c r="K259" s="85">
        <f>_DATA_Assessment_Model!H259</f>
        <v/>
      </c>
      <c r="L259" s="4">
        <f>_DATA_Assessment_Model!I259</f>
        <v/>
      </c>
      <c r="M259" s="4">
        <f>_DATA_Assessment_Model!J259</f>
        <v/>
      </c>
      <c r="N259" s="4">
        <f>_DATA_Assessment_Model!K259</f>
        <v/>
      </c>
      <c r="O259" s="3">
        <f>_DATA_Assessment_Model!L259</f>
        <v/>
      </c>
      <c r="P259" s="3" t="inlineStr">
        <is>
          <t>No reliable evidence that sales process governance from lead to opportunity to contract to handover is defined, owned or managed.</t>
        </is>
      </c>
      <c r="Q259" s="3" t="inlineStr">
        <is>
          <t>Sales process governance from lead to opportunity to contract to handover is handled informally and depends on individual knowledge or heroic effort.</t>
        </is>
      </c>
      <c r="R259" s="3" t="inlineStr">
        <is>
          <t>Sales process governance from lead to opportunity to contract to handover is partially documented or implemented, but coverage is inconsistent and not crisis-tested.</t>
        </is>
      </c>
      <c r="S259" s="3" t="inlineStr">
        <is>
          <t>Sales process governance from lead to opportunity to contract to handover is documented, owned, used in normal operations and supported by basic evidence or metrics.</t>
        </is>
      </c>
      <c r="T259" s="3" t="inlineStr">
        <is>
          <t>Sales process governance from lead to opportunity to contract to handover is measured, periodically reviewed, integrated with related processes and tested against relevant disruption scenarios.</t>
        </is>
      </c>
      <c r="U259" s="3" t="inlineStr">
        <is>
          <t>Sales process governance from lead to opportunity to contract to handover is optimized, continuously improved, automated where practical and demonstrably supports crisis resilience.</t>
        </is>
      </c>
      <c r="V259" s="3" t="inlineStr">
        <is>
          <t>Demand shock; Revenue loss; Reputation crisis</t>
        </is>
      </c>
      <c r="W259" s="3" t="n"/>
      <c r="X259" s="3" t="n"/>
      <c r="Y259" s="3" t="inlineStr">
        <is>
          <t>Use the recommended action generated by the model; validate with domain owner during real assessment.</t>
        </is>
      </c>
      <c r="Z259" s="7" t="n">
        <v>5</v>
      </c>
      <c r="AA259" s="7" t="n">
        <v>5</v>
      </c>
      <c r="AB259" s="7" t="n">
        <v>5</v>
      </c>
      <c r="AD259" t="inlineStr">
        <is>
          <t>Customer continuity</t>
        </is>
      </c>
      <c r="AE259" s="6">
        <f>_DATA_Assessment_Model!AB259</f>
        <v/>
      </c>
      <c r="AF259" s="8">
        <f>_DATA_Assessment_Model!AC259</f>
        <v/>
      </c>
      <c r="AG259" s="9">
        <f>_DATA_Assessment_Model!AD259</f>
        <v/>
      </c>
      <c r="AH259" s="6">
        <f>_DATA_Assessment_Model!AE259</f>
        <v/>
      </c>
      <c r="AI259" s="8">
        <f>_DATA_Assessment_Model!AF259</f>
        <v/>
      </c>
      <c r="AJ259" s="6">
        <f>_DATA_Assessment_Model!AG259</f>
        <v/>
      </c>
      <c r="AK259" s="46" t="n"/>
      <c r="AL259" s="46" t="n"/>
      <c r="AM259" s="247">
        <f>_DATA_Assessment_Model!AJ259</f>
        <v/>
      </c>
      <c r="AN259" s="247">
        <f>_DATA_Assessment_Model!AK259</f>
        <v/>
      </c>
      <c r="AO259" s="247">
        <f>_DATA_Assessment_Model!AL259</f>
        <v/>
      </c>
      <c r="AP259" s="247">
        <f>_DATA_Assessment_Model!AM259</f>
        <v/>
      </c>
      <c r="AQ259" s="247">
        <f>_DATA_Assessment_Model!AN259</f>
        <v/>
      </c>
      <c r="AR259" s="247">
        <f>_DATA_Assessment_Model!AO259</f>
        <v/>
      </c>
      <c r="AS259" s="247">
        <f>_DATA_Assessment_Model!AP259</f>
        <v/>
      </c>
      <c r="AT259" s="247">
        <f>_DATA_Assessment_Model!AQ259</f>
        <v/>
      </c>
      <c r="AU259" s="247">
        <f>_DATA_Assessment_Model!AR259</f>
        <v/>
      </c>
      <c r="AV259" s="5">
        <f>_DATA_Assessment_Model!AS259</f>
        <v/>
      </c>
      <c r="AW259" s="5">
        <f>_DATA_Assessment_Model!AT259</f>
        <v/>
      </c>
      <c r="AY259">
        <f>_DATA_Assessment_Model!AV259</f>
        <v/>
      </c>
    </row>
    <row r="260" ht="96.59999999999999" customHeight="1" s="209">
      <c r="A260" t="inlineStr">
        <is>
          <t>Sales CRM</t>
        </is>
      </c>
      <c r="B260" t="inlineStr">
        <is>
          <t>Sales CRM</t>
        </is>
      </c>
      <c r="C260" t="n">
        <v>8</v>
      </c>
      <c r="D260" s="3" t="inlineStr">
        <is>
          <t>SALE-005</t>
        </is>
      </c>
      <c r="E260" s="3" t="inlineStr">
        <is>
          <t>CRM foundation</t>
        </is>
      </c>
      <c r="F260" s="3" t="inlineStr">
        <is>
          <t>How mature is the organization in managing customer and contract data linked to renewal, SLA and revenue risk, including ownership, evidence, metrics, fallback procedures and crisis stress testing?</t>
        </is>
      </c>
      <c r="G260" s="3" t="inlineStr">
        <is>
          <t>This topic affects exposure to Demand shock; Revenue loss; Reputation crisis. It helps identify how disruption may impact operations, people, revenue, systems, legal exposure or recovery time.</t>
        </is>
      </c>
      <c r="H260" s="3" t="inlineStr">
        <is>
          <t>ISO 9001; ISO 10002; ISO 10004; RevOps; MEDDICC; customer success best practices</t>
        </is>
      </c>
      <c r="I260" s="3" t="inlineStr">
        <is>
          <t>Policy/SOP; owner/RACI; system report; dashboard; contracts; test records; incident history; interview evidence related to customer and contract data linked to renewal, SLA and revenue risk.</t>
        </is>
      </c>
      <c r="J260" s="3" t="n">
        <v>4</v>
      </c>
      <c r="K260" s="85">
        <f>_DATA_Assessment_Model!H260</f>
        <v/>
      </c>
      <c r="L260" s="4">
        <f>_DATA_Assessment_Model!I260</f>
        <v/>
      </c>
      <c r="M260" s="4">
        <f>_DATA_Assessment_Model!J260</f>
        <v/>
      </c>
      <c r="N260" s="4">
        <f>_DATA_Assessment_Model!K260</f>
        <v/>
      </c>
      <c r="O260" s="3">
        <f>_DATA_Assessment_Model!L260</f>
        <v/>
      </c>
      <c r="P260" s="3" t="inlineStr">
        <is>
          <t>No reliable evidence that customer and contract data linked to renewal, sla and revenue risk is defined, owned or managed.</t>
        </is>
      </c>
      <c r="Q260" s="3" t="inlineStr">
        <is>
          <t>Customer and contract data linked to renewal, SLA and revenue risk is handled informally and depends on individual knowledge or heroic effort.</t>
        </is>
      </c>
      <c r="R260" s="3" t="inlineStr">
        <is>
          <t>Customer and contract data linked to renewal, SLA and revenue risk is partially documented or implemented, but coverage is inconsistent and not crisis-tested.</t>
        </is>
      </c>
      <c r="S260" s="3" t="inlineStr">
        <is>
          <t>Customer and contract data linked to renewal, SLA and revenue risk is documented, owned, used in normal operations and supported by basic evidence or metrics.</t>
        </is>
      </c>
      <c r="T260" s="3" t="inlineStr">
        <is>
          <t>Customer and contract data linked to renewal, SLA and revenue risk is measured, periodically reviewed, integrated with related processes and tested against relevant disruption scenarios.</t>
        </is>
      </c>
      <c r="U260" s="3" t="inlineStr">
        <is>
          <t>Customer and contract data linked to renewal, SLA and revenue risk is optimized, continuously improved, automated where practical and demonstrably supports crisis resilience.</t>
        </is>
      </c>
      <c r="V260" s="3" t="inlineStr">
        <is>
          <t>Demand shock; Revenue loss; Reputation crisis</t>
        </is>
      </c>
      <c r="W260" s="3" t="n"/>
      <c r="X260" s="3" t="n"/>
      <c r="Y260" s="3" t="inlineStr">
        <is>
          <t>Use the recommended action generated by the model; validate with domain owner during real assessment.</t>
        </is>
      </c>
      <c r="Z260" s="7" t="n">
        <v>5</v>
      </c>
      <c r="AA260" s="7" t="n">
        <v>5</v>
      </c>
      <c r="AB260" s="7" t="n">
        <v>5</v>
      </c>
      <c r="AD260" t="inlineStr">
        <is>
          <t>Revenue controls</t>
        </is>
      </c>
      <c r="AE260" s="6">
        <f>_DATA_Assessment_Model!AB260</f>
        <v/>
      </c>
      <c r="AF260" s="8">
        <f>_DATA_Assessment_Model!AC260</f>
        <v/>
      </c>
      <c r="AG260" s="9">
        <f>_DATA_Assessment_Model!AD260</f>
        <v/>
      </c>
      <c r="AH260" s="6">
        <f>_DATA_Assessment_Model!AE260</f>
        <v/>
      </c>
      <c r="AI260" s="8">
        <f>_DATA_Assessment_Model!AF260</f>
        <v/>
      </c>
      <c r="AJ260" s="6">
        <f>_DATA_Assessment_Model!AG260</f>
        <v/>
      </c>
      <c r="AK260" s="46" t="n"/>
      <c r="AL260" s="46" t="n"/>
      <c r="AM260" s="247">
        <f>_DATA_Assessment_Model!AJ260</f>
        <v/>
      </c>
      <c r="AN260" s="247">
        <f>_DATA_Assessment_Model!AK260</f>
        <v/>
      </c>
      <c r="AO260" s="247">
        <f>_DATA_Assessment_Model!AL260</f>
        <v/>
      </c>
      <c r="AP260" s="247">
        <f>_DATA_Assessment_Model!AM260</f>
        <v/>
      </c>
      <c r="AQ260" s="247">
        <f>_DATA_Assessment_Model!AN260</f>
        <v/>
      </c>
      <c r="AR260" s="247">
        <f>_DATA_Assessment_Model!AO260</f>
        <v/>
      </c>
      <c r="AS260" s="247">
        <f>_DATA_Assessment_Model!AP260</f>
        <v/>
      </c>
      <c r="AT260" s="247">
        <f>_DATA_Assessment_Model!AQ260</f>
        <v/>
      </c>
      <c r="AU260" s="247">
        <f>_DATA_Assessment_Model!AR260</f>
        <v/>
      </c>
      <c r="AV260" s="5">
        <f>_DATA_Assessment_Model!AS260</f>
        <v/>
      </c>
      <c r="AW260" s="5">
        <f>_DATA_Assessment_Model!AT260</f>
        <v/>
      </c>
      <c r="AY260">
        <f>_DATA_Assessment_Model!AV260</f>
        <v/>
      </c>
    </row>
    <row r="261" ht="82.8" customHeight="1" s="209">
      <c r="A261" t="inlineStr">
        <is>
          <t>Sales CRM</t>
        </is>
      </c>
      <c r="B261" t="inlineStr">
        <is>
          <t>Sales CRM</t>
        </is>
      </c>
      <c r="C261" t="n">
        <v>9</v>
      </c>
      <c r="D261" s="3" t="inlineStr">
        <is>
          <t>SALE-006</t>
        </is>
      </c>
      <c r="E261" s="3" t="inlineStr">
        <is>
          <t>Pipeline and forecast</t>
        </is>
      </c>
      <c r="F261" s="3" t="inlineStr">
        <is>
          <t>How mature is the organization in managing pipeline qualification criteria and stage exit rules, including ownership, evidence, metrics, fallback procedures and crisis stress testing?</t>
        </is>
      </c>
      <c r="G261" s="3" t="inlineStr">
        <is>
          <t>This topic affects exposure to Demand shock; Revenue loss; Reputation crisis. It helps identify how disruption may impact operations, people, revenue, systems, legal exposure or recovery time.</t>
        </is>
      </c>
      <c r="H261" s="3" t="inlineStr">
        <is>
          <t>ISO 9001; ISO 10002; ISO 10004; RevOps; MEDDICC; customer success best practices</t>
        </is>
      </c>
      <c r="I261" s="3" t="inlineStr">
        <is>
          <t>Policy/SOP; owner/RACI; system report; dashboard; contracts; test records; incident history; interview evidence related to pipeline qualification criteria and stage exit rules.</t>
        </is>
      </c>
      <c r="J261" s="3" t="n">
        <v>4</v>
      </c>
      <c r="K261" s="85">
        <f>_DATA_Assessment_Model!H261</f>
        <v/>
      </c>
      <c r="L261" s="4">
        <f>_DATA_Assessment_Model!I261</f>
        <v/>
      </c>
      <c r="M261" s="4">
        <f>_DATA_Assessment_Model!J261</f>
        <v/>
      </c>
      <c r="N261" s="4">
        <f>_DATA_Assessment_Model!K261</f>
        <v/>
      </c>
      <c r="O261" s="3">
        <f>_DATA_Assessment_Model!L261</f>
        <v/>
      </c>
      <c r="P261" s="3" t="inlineStr">
        <is>
          <t>No reliable evidence that pipeline qualification criteria and stage exit rules is defined, owned or managed.</t>
        </is>
      </c>
      <c r="Q261" s="3" t="inlineStr">
        <is>
          <t>Pipeline qualification criteria and stage exit rules is handled informally and depends on individual knowledge or heroic effort.</t>
        </is>
      </c>
      <c r="R261" s="3" t="inlineStr">
        <is>
          <t>Pipeline qualification criteria and stage exit rules is partially documented or implemented, but coverage is inconsistent and not crisis-tested.</t>
        </is>
      </c>
      <c r="S261" s="3" t="inlineStr">
        <is>
          <t>Pipeline qualification criteria and stage exit rules is documented, owned, used in normal operations and supported by basic evidence or metrics.</t>
        </is>
      </c>
      <c r="T261" s="3" t="inlineStr">
        <is>
          <t>Pipeline qualification criteria and stage exit rules is measured, periodically reviewed, integrated with related processes and tested against relevant disruption scenarios.</t>
        </is>
      </c>
      <c r="U261" s="3" t="inlineStr">
        <is>
          <t>Pipeline qualification criteria and stage exit rules is optimized, continuously improved, automated where practical and demonstrably supports crisis resilience.</t>
        </is>
      </c>
      <c r="V261" s="3" t="inlineStr">
        <is>
          <t>Demand shock; Revenue loss; Reputation crisis</t>
        </is>
      </c>
      <c r="W261" s="3" t="n"/>
      <c r="X261" s="3" t="n"/>
      <c r="Y261" s="3" t="inlineStr">
        <is>
          <t>Use the recommended action generated by the model; validate with domain owner during real assessment.</t>
        </is>
      </c>
      <c r="Z261" s="7" t="n">
        <v>4</v>
      </c>
      <c r="AA261" s="7" t="n">
        <v>5</v>
      </c>
      <c r="AB261" s="7" t="n">
        <v>5</v>
      </c>
      <c r="AD261" t="inlineStr">
        <is>
          <t>Customer service</t>
        </is>
      </c>
      <c r="AE261">
        <f>_DATA_Assessment_Model!AB261</f>
        <v/>
      </c>
      <c r="AF261">
        <f>_DATA_Assessment_Model!AC261</f>
        <v/>
      </c>
      <c r="AG261">
        <f>_DATA_Assessment_Model!AD261</f>
        <v/>
      </c>
      <c r="AH261">
        <f>_DATA_Assessment_Model!AE261</f>
        <v/>
      </c>
      <c r="AI261">
        <f>_DATA_Assessment_Model!AF261</f>
        <v/>
      </c>
      <c r="AJ261">
        <f>_DATA_Assessment_Model!AG261</f>
        <v/>
      </c>
      <c r="AK261" s="46" t="n"/>
      <c r="AL261" s="46" t="n"/>
      <c r="AM261" s="247">
        <f>_DATA_Assessment_Model!AJ261</f>
        <v/>
      </c>
      <c r="AN261" s="247">
        <f>_DATA_Assessment_Model!AK261</f>
        <v/>
      </c>
      <c r="AO261" s="247">
        <f>_DATA_Assessment_Model!AL261</f>
        <v/>
      </c>
      <c r="AP261" s="247">
        <f>_DATA_Assessment_Model!AM261</f>
        <v/>
      </c>
      <c r="AQ261" s="247">
        <f>_DATA_Assessment_Model!AN261</f>
        <v/>
      </c>
      <c r="AR261" s="247">
        <f>_DATA_Assessment_Model!AO261</f>
        <v/>
      </c>
      <c r="AS261" s="247">
        <f>_DATA_Assessment_Model!AP261</f>
        <v/>
      </c>
      <c r="AT261" s="247">
        <f>_DATA_Assessment_Model!AQ261</f>
        <v/>
      </c>
      <c r="AU261" s="247">
        <f>_DATA_Assessment_Model!AR261</f>
        <v/>
      </c>
      <c r="AV261" s="5">
        <f>_DATA_Assessment_Model!AS261</f>
        <v/>
      </c>
      <c r="AW261" s="5">
        <f>_DATA_Assessment_Model!AT261</f>
        <v/>
      </c>
      <c r="AY261">
        <f>_DATA_Assessment_Model!AV261</f>
        <v/>
      </c>
    </row>
    <row r="262" ht="69" customHeight="1" s="209">
      <c r="A262" t="inlineStr">
        <is>
          <t>Sales CRM</t>
        </is>
      </c>
      <c r="B262" t="inlineStr">
        <is>
          <t>Sales CRM</t>
        </is>
      </c>
      <c r="C262" t="n">
        <v>10</v>
      </c>
      <c r="D262" s="3" t="inlineStr">
        <is>
          <t>SALE-007</t>
        </is>
      </c>
      <c r="E262" s="3" t="inlineStr">
        <is>
          <t>Pipeline and forecast</t>
        </is>
      </c>
      <c r="F262" s="3" t="inlineStr">
        <is>
          <t>How mature is the organization in managing pipeline coverage relative to targets, sales cycle, win rate and crisis scenarios, including ownership, evidence, metrics, fallback procedures and crisis stress testing?</t>
        </is>
      </c>
      <c r="G262" s="3" t="inlineStr">
        <is>
          <t>This topic affects exposure to Demand shock; Revenue loss; Reputation crisis. It helps identify how disruption may impact operations, people, revenue, systems, legal exposure or recovery time.</t>
        </is>
      </c>
      <c r="H262" s="3" t="inlineStr">
        <is>
          <t>ISO 9001; ISO 10002; ISO 10004; RevOps; MEDDICC; customer success best practices</t>
        </is>
      </c>
      <c r="I262" s="3" t="inlineStr">
        <is>
          <t>Policy/SOP; owner/RACI; system report; dashboard; contracts; test records; incident history; interview evidence related to pipeline coverage relative to targets, sales cycle, win rate and crisis scenarios.</t>
        </is>
      </c>
      <c r="J262" s="3" t="n">
        <v>5</v>
      </c>
      <c r="K262" s="85">
        <f>_DATA_Assessment_Model!H262</f>
        <v/>
      </c>
      <c r="L262" s="4">
        <f>_DATA_Assessment_Model!I262</f>
        <v/>
      </c>
      <c r="M262" s="4">
        <f>_DATA_Assessment_Model!J262</f>
        <v/>
      </c>
      <c r="N262" s="4">
        <f>_DATA_Assessment_Model!K262</f>
        <v/>
      </c>
      <c r="O262" s="3">
        <f>_DATA_Assessment_Model!L262</f>
        <v/>
      </c>
      <c r="P262" s="3" t="inlineStr">
        <is>
          <t>Does not exist; no owner, no documentation, no practice.</t>
        </is>
      </c>
      <c r="Q262" s="3" t="inlineStr">
        <is>
          <t>Ad hoc; depends entirely on specific individuals.</t>
        </is>
      </c>
      <c r="R262" s="3" t="inlineStr">
        <is>
          <t>Partially documented or implemented; coverage inconsistent; never tested under stress.</t>
        </is>
      </c>
      <c r="S262" s="3" t="inlineStr">
        <is>
          <t>Documented, owned, executed consistently; basic evidence and metrics exist.</t>
        </is>
      </c>
      <c r="T262" s="3" t="inlineStr">
        <is>
          <t>Measured and periodically tested/audited; integrated with adjacent processes.</t>
        </is>
      </c>
      <c r="U262" s="3" t="inlineStr">
        <is>
          <t>Optimized and automated where practical; stress-tested; benchmarked externally.</t>
        </is>
      </c>
      <c r="V262" s="3" t="inlineStr">
        <is>
          <t>Demand shock; Revenue loss; Reputation crisis</t>
        </is>
      </c>
      <c r="W262" s="3" t="n"/>
      <c r="X262" s="3" t="n"/>
      <c r="Y262" s="3" t="inlineStr">
        <is>
          <t>Use the recommended action generated by the model; validate with domain owner during real assessment.</t>
        </is>
      </c>
      <c r="Z262" s="7" t="n">
        <v>4</v>
      </c>
      <c r="AA262" s="7" t="n">
        <v>5</v>
      </c>
      <c r="AB262" s="7" t="n">
        <v>5</v>
      </c>
      <c r="AK262" s="46" t="n"/>
      <c r="AL262" s="46" t="n"/>
      <c r="AM262" s="247">
        <f>_DATA_Assessment_Model!AJ262</f>
        <v/>
      </c>
      <c r="AN262" s="247">
        <f>_DATA_Assessment_Model!AK262</f>
        <v/>
      </c>
      <c r="AO262" s="247">
        <f>_DATA_Assessment_Model!AL262</f>
        <v/>
      </c>
      <c r="AP262" s="247">
        <f>_DATA_Assessment_Model!AM262</f>
        <v/>
      </c>
      <c r="AQ262" s="247">
        <f>_DATA_Assessment_Model!AN262</f>
        <v/>
      </c>
      <c r="AR262" s="247">
        <f>_DATA_Assessment_Model!AO262</f>
        <v/>
      </c>
      <c r="AS262" s="247">
        <f>_DATA_Assessment_Model!AP262</f>
        <v/>
      </c>
      <c r="AT262" s="247">
        <f>_DATA_Assessment_Model!AQ262</f>
        <v/>
      </c>
      <c r="AU262" s="247">
        <f>_DATA_Assessment_Model!AR262</f>
        <v/>
      </c>
      <c r="AV262" s="5">
        <f>_DATA_Assessment_Model!AS262</f>
        <v/>
      </c>
      <c r="AW262" s="5">
        <f>_DATA_Assessment_Model!AT262</f>
        <v/>
      </c>
      <c r="AY262">
        <f>_DATA_Assessment_Model!AV262</f>
        <v/>
      </c>
    </row>
    <row r="263" ht="96.59999999999999" customHeight="1" s="209">
      <c r="A263" t="inlineStr">
        <is>
          <t>Sales CRM</t>
        </is>
      </c>
      <c r="B263" t="inlineStr">
        <is>
          <t>Sales CRM</t>
        </is>
      </c>
      <c r="C263" t="n">
        <v>11</v>
      </c>
      <c r="D263" s="3" t="inlineStr">
        <is>
          <t>SALE-008</t>
        </is>
      </c>
      <c r="E263" s="3" t="inlineStr">
        <is>
          <t>Pipeline and forecast</t>
        </is>
      </c>
      <c r="F263" s="3" t="inlineStr">
        <is>
          <t>How mature is the organization in managing sales forecast cadence connected to finance, delivery and supply planning, including ownership, evidence, metrics, fallback procedures and crisis stress testing?</t>
        </is>
      </c>
      <c r="G263" s="3" t="inlineStr">
        <is>
          <t>This topic affects exposure to Demand shock; Revenue loss; Reputation crisis. It helps identify how disruption may impact operations, people, revenue, systems, legal exposure or recovery time.</t>
        </is>
      </c>
      <c r="H263" s="3" t="inlineStr">
        <is>
          <t>ISO 9001; ISO 10002; ISO 10004; RevOps; MEDDICC; customer success best practices</t>
        </is>
      </c>
      <c r="I263" s="3" t="inlineStr">
        <is>
          <t>Policy/SOP; owner/RACI; system report; dashboard; contracts; test records; incident history; interview evidence related to sales forecast cadence connected to finance, delivery and supply planning.</t>
        </is>
      </c>
      <c r="J263" s="3" t="n">
        <v>4</v>
      </c>
      <c r="K263" s="85">
        <f>_DATA_Assessment_Model!H263</f>
        <v/>
      </c>
      <c r="L263" s="4">
        <f>_DATA_Assessment_Model!I263</f>
        <v/>
      </c>
      <c r="M263" s="4">
        <f>_DATA_Assessment_Model!J263</f>
        <v/>
      </c>
      <c r="N263" s="4">
        <f>_DATA_Assessment_Model!K263</f>
        <v/>
      </c>
      <c r="O263" s="3">
        <f>_DATA_Assessment_Model!L263</f>
        <v/>
      </c>
      <c r="P263" s="3" t="inlineStr">
        <is>
          <t>No reliable evidence that sales forecast cadence connected to finance, delivery and supply planning is defined, owned or managed.</t>
        </is>
      </c>
      <c r="Q263" s="3" t="inlineStr">
        <is>
          <t>Sales forecast cadence connected to finance, delivery and supply planning is handled informally and depends on individual knowledge or heroic effort.</t>
        </is>
      </c>
      <c r="R263" s="3" t="inlineStr">
        <is>
          <t>Sales forecast cadence connected to finance, delivery and supply planning is partially documented or implemented, but coverage is inconsistent and not crisis-tested.</t>
        </is>
      </c>
      <c r="S263" s="3" t="inlineStr">
        <is>
          <t>Sales forecast cadence connected to finance, delivery and supply planning is documented, owned, used in normal operations and supported by basic evidence or metrics.</t>
        </is>
      </c>
      <c r="T263" s="3" t="inlineStr">
        <is>
          <t>Sales forecast cadence connected to finance, delivery and supply planning is measured, periodically reviewed, integrated with related processes and tested against relevant disruption scenarios.</t>
        </is>
      </c>
      <c r="U263" s="3" t="inlineStr">
        <is>
          <t>Sales forecast cadence connected to finance, delivery and supply planning is optimized, continuously improved, automated where practical and demonstrably supports crisis resilience.</t>
        </is>
      </c>
      <c r="V263" s="3" t="inlineStr">
        <is>
          <t>Demand shock; Revenue loss; Reputation crisis</t>
        </is>
      </c>
      <c r="W263" s="3" t="n"/>
      <c r="X263" s="3" t="n"/>
      <c r="Y263" s="3" t="inlineStr">
        <is>
          <t>Use the recommended action generated by the model; validate with domain owner during real assessment.</t>
        </is>
      </c>
      <c r="Z263" s="7" t="n">
        <v>4</v>
      </c>
      <c r="AA263" s="7" t="n">
        <v>5</v>
      </c>
      <c r="AB263" s="7" t="n">
        <v>5</v>
      </c>
      <c r="AK263" s="46" t="n"/>
      <c r="AL263" s="46" t="n"/>
      <c r="AM263" s="247">
        <f>_DATA_Assessment_Model!AJ263</f>
        <v/>
      </c>
      <c r="AN263" s="247">
        <f>_DATA_Assessment_Model!AK263</f>
        <v/>
      </c>
      <c r="AO263" s="247">
        <f>_DATA_Assessment_Model!AL263</f>
        <v/>
      </c>
      <c r="AP263" s="247">
        <f>_DATA_Assessment_Model!AM263</f>
        <v/>
      </c>
      <c r="AQ263" s="247">
        <f>_DATA_Assessment_Model!AN263</f>
        <v/>
      </c>
      <c r="AR263" s="247">
        <f>_DATA_Assessment_Model!AO263</f>
        <v/>
      </c>
      <c r="AS263" s="247">
        <f>_DATA_Assessment_Model!AP263</f>
        <v/>
      </c>
      <c r="AT263" s="247">
        <f>_DATA_Assessment_Model!AQ263</f>
        <v/>
      </c>
      <c r="AU263" s="247">
        <f>_DATA_Assessment_Model!AR263</f>
        <v/>
      </c>
      <c r="AV263" s="5">
        <f>_DATA_Assessment_Model!AS263</f>
        <v/>
      </c>
      <c r="AW263" s="5">
        <f>_DATA_Assessment_Model!AT263</f>
        <v/>
      </c>
      <c r="AY263">
        <f>_DATA_Assessment_Model!AV263</f>
        <v/>
      </c>
    </row>
    <row r="264" ht="69" customHeight="1" s="209">
      <c r="A264" t="inlineStr">
        <is>
          <t>Sales CRM</t>
        </is>
      </c>
      <c r="B264" t="inlineStr">
        <is>
          <t>Sales CRM</t>
        </is>
      </c>
      <c r="C264" t="n">
        <v>12</v>
      </c>
      <c r="D264" s="3" t="inlineStr">
        <is>
          <t>SALE-009</t>
        </is>
      </c>
      <c r="E264" s="3" t="inlineStr">
        <is>
          <t>Pipeline and forecast</t>
        </is>
      </c>
      <c r="F264" s="3" t="inlineStr">
        <is>
          <t>How mature is the organization in managing sales forecast stress tests for delayed decisions, budget cuts and customer churn, including ownership, evidence, metrics, fallback procedures and crisis stress testing?</t>
        </is>
      </c>
      <c r="G264" s="3" t="inlineStr">
        <is>
          <t>This topic affects exposure to Demand shock; Revenue loss; Reputation crisis. It helps identify how disruption may impact operations, people, revenue, systems, legal exposure or recovery time.</t>
        </is>
      </c>
      <c r="H264" s="3" t="inlineStr">
        <is>
          <t>ISO 9001; ISO 10002; ISO 10004; RevOps; MEDDICC; customer success best practices</t>
        </is>
      </c>
      <c r="I264" s="3" t="inlineStr">
        <is>
          <t>Policy/SOP; owner/RACI; system report; dashboard; contracts; test records; incident history; interview evidence related to sales forecast stress tests for delayed decisions, budget cuts and customer churn.</t>
        </is>
      </c>
      <c r="J264" s="3" t="n">
        <v>4</v>
      </c>
      <c r="K264" s="85">
        <f>_DATA_Assessment_Model!H264</f>
        <v/>
      </c>
      <c r="L264" s="4">
        <f>_DATA_Assessment_Model!I264</f>
        <v/>
      </c>
      <c r="M264" s="4">
        <f>_DATA_Assessment_Model!J264</f>
        <v/>
      </c>
      <c r="N264" s="4">
        <f>_DATA_Assessment_Model!K264</f>
        <v/>
      </c>
      <c r="O264" s="3">
        <f>_DATA_Assessment_Model!L264</f>
        <v/>
      </c>
      <c r="P264" s="3" t="inlineStr">
        <is>
          <t>Never done; no records exist.</t>
        </is>
      </c>
      <c r="Q264" s="3" t="inlineStr">
        <is>
          <t>Done once long ago or only after an incident; no schedule, no records.</t>
        </is>
      </c>
      <c r="R264" s="3" t="inlineStr">
        <is>
          <t>Done irregularly; results are not documented and findings are not tracked.</t>
        </is>
      </c>
      <c r="S264" s="3" t="inlineStr">
        <is>
          <t>Done on a defined schedule (at least annually); results documented, owner assigned.</t>
        </is>
      </c>
      <c r="T264" s="3" t="inlineStr">
        <is>
          <t>Done quarterly/semi-annually; findings tracked to closure, effectiveness measured against targets.</t>
        </is>
      </c>
      <c r="U264" s="3" t="inlineStr">
        <is>
          <t>Continuous or automated where possible; results drive improvements and are validated externally (audit/customer).</t>
        </is>
      </c>
      <c r="V264" s="3" t="inlineStr">
        <is>
          <t>Demand shock; Revenue loss; Reputation crisis</t>
        </is>
      </c>
      <c r="W264" s="3" t="n"/>
      <c r="X264" s="3" t="n"/>
      <c r="Y264" s="3" t="inlineStr">
        <is>
          <t>Use the recommended action generated by the model; validate with domain owner during real assessment.</t>
        </is>
      </c>
      <c r="Z264" s="7" t="n">
        <v>4</v>
      </c>
      <c r="AA264" s="7" t="n">
        <v>5</v>
      </c>
      <c r="AB264" s="7" t="n">
        <v>5</v>
      </c>
      <c r="AK264" s="46" t="n"/>
      <c r="AL264" s="46" t="n"/>
      <c r="AM264" s="247">
        <f>_DATA_Assessment_Model!AJ264</f>
        <v/>
      </c>
      <c r="AN264" s="247">
        <f>_DATA_Assessment_Model!AK264</f>
        <v/>
      </c>
      <c r="AO264" s="247">
        <f>_DATA_Assessment_Model!AL264</f>
        <v/>
      </c>
      <c r="AP264" s="247">
        <f>_DATA_Assessment_Model!AM264</f>
        <v/>
      </c>
      <c r="AQ264" s="247">
        <f>_DATA_Assessment_Model!AN264</f>
        <v/>
      </c>
      <c r="AR264" s="247">
        <f>_DATA_Assessment_Model!AO264</f>
        <v/>
      </c>
      <c r="AS264" s="247">
        <f>_DATA_Assessment_Model!AP264</f>
        <v/>
      </c>
      <c r="AT264" s="247">
        <f>_DATA_Assessment_Model!AQ264</f>
        <v/>
      </c>
      <c r="AU264" s="247">
        <f>_DATA_Assessment_Model!AR264</f>
        <v/>
      </c>
      <c r="AV264" s="5">
        <f>_DATA_Assessment_Model!AS264</f>
        <v/>
      </c>
      <c r="AW264" s="5">
        <f>_DATA_Assessment_Model!AT264</f>
        <v/>
      </c>
      <c r="AY264">
        <f>_DATA_Assessment_Model!AV264</f>
        <v/>
      </c>
    </row>
    <row r="265" ht="96.59999999999999" customHeight="1" s="209">
      <c r="A265" t="inlineStr">
        <is>
          <t>Sales CRM</t>
        </is>
      </c>
      <c r="B265" t="inlineStr">
        <is>
          <t>Sales CRM</t>
        </is>
      </c>
      <c r="C265" t="n">
        <v>13</v>
      </c>
      <c r="D265" s="3" t="inlineStr">
        <is>
          <t>SALE-010</t>
        </is>
      </c>
      <c r="E265" s="3" t="inlineStr">
        <is>
          <t>Pipeline and forecast</t>
        </is>
      </c>
      <c r="F265" s="3" t="inlineStr">
        <is>
          <t>How mature is the organization in managing sales analytics by conversion, cycle time, win rate, deal size, margin and loss reason, including ownership, evidence, metrics, fallback procedures and crisis stress testing?</t>
        </is>
      </c>
      <c r="G265" s="3" t="inlineStr">
        <is>
          <t>This topic affects exposure to Demand shock; Revenue loss; Reputation crisis. It helps identify how disruption may impact operations, people, revenue, systems, legal exposure or recovery time.</t>
        </is>
      </c>
      <c r="H265" s="3" t="inlineStr">
        <is>
          <t>ISO 9001; ISO 10002; ISO 10004; RevOps; MEDDICC; customer success best practices</t>
        </is>
      </c>
      <c r="I265" s="3" t="inlineStr">
        <is>
          <t>Policy/SOP; owner/RACI; system report; dashboard; contracts; test records; incident history; interview evidence related to sales analytics by conversion, cycle time, win rate, deal size, margin and loss reason.</t>
        </is>
      </c>
      <c r="J265" s="3" t="n">
        <v>3</v>
      </c>
      <c r="K265" s="85">
        <f>_DATA_Assessment_Model!H265</f>
        <v/>
      </c>
      <c r="L265" s="4">
        <f>_DATA_Assessment_Model!I265</f>
        <v/>
      </c>
      <c r="M265" s="4">
        <f>_DATA_Assessment_Model!J265</f>
        <v/>
      </c>
      <c r="N265" s="4">
        <f>_DATA_Assessment_Model!K265</f>
        <v/>
      </c>
      <c r="O265" s="3">
        <f>_DATA_Assessment_Model!L265</f>
        <v/>
      </c>
      <c r="P265" s="3" t="inlineStr">
        <is>
          <t>No reliable evidence that sales analytics by conversion, cycle time, win rate, deal size, margin and loss reason is defined, owned or managed.</t>
        </is>
      </c>
      <c r="Q265" s="3" t="inlineStr">
        <is>
          <t>Sales analytics by conversion, cycle time, win rate, deal size, margin and loss reason is handled informally and depends on individual knowledge or heroic effort.</t>
        </is>
      </c>
      <c r="R265" s="3" t="inlineStr">
        <is>
          <t>Sales analytics by conversion, cycle time, win rate, deal size, margin and loss reason is partially documented or implemented, but coverage is inconsistent and not crisis-tested.</t>
        </is>
      </c>
      <c r="S265" s="3" t="inlineStr">
        <is>
          <t>Sales analytics by conversion, cycle time, win rate, deal size, margin and loss reason is documented, owned, used in normal operations and supported by basic evidence or metrics.</t>
        </is>
      </c>
      <c r="T265" s="3" t="inlineStr">
        <is>
          <t>Sales analytics by conversion, cycle time, win rate, deal size, margin and loss reason is measured, periodically reviewed, integrated with related processes and tested against relevant disruption scenarios.</t>
        </is>
      </c>
      <c r="U265" s="3" t="inlineStr">
        <is>
          <t>Sales analytics by conversion, cycle time, win rate, deal size, margin and loss reason is optimized, continuously improved, automated where practical and demonstrably supports crisis resilience.</t>
        </is>
      </c>
      <c r="V265" s="3" t="inlineStr">
        <is>
          <t>Demand shock; Revenue loss; Reputation crisis</t>
        </is>
      </c>
      <c r="W265" s="3" t="n"/>
      <c r="X265" s="3" t="n"/>
      <c r="Y265" s="3" t="inlineStr">
        <is>
          <t>Use the recommended action generated by the model; validate with domain owner during real assessment.</t>
        </is>
      </c>
      <c r="Z265" s="7" t="n">
        <v>5</v>
      </c>
      <c r="AA265" s="7" t="n">
        <v>5</v>
      </c>
      <c r="AB265" s="7" t="n">
        <v>5</v>
      </c>
      <c r="AK265" s="46" t="n"/>
      <c r="AL265" s="46" t="n"/>
      <c r="AM265" s="247">
        <f>_DATA_Assessment_Model!AJ265</f>
        <v/>
      </c>
      <c r="AN265" s="247">
        <f>_DATA_Assessment_Model!AK265</f>
        <v/>
      </c>
      <c r="AO265" s="247">
        <f>_DATA_Assessment_Model!AL265</f>
        <v/>
      </c>
      <c r="AP265" s="247">
        <f>_DATA_Assessment_Model!AM265</f>
        <v/>
      </c>
      <c r="AQ265" s="247">
        <f>_DATA_Assessment_Model!AN265</f>
        <v/>
      </c>
      <c r="AR265" s="247">
        <f>_DATA_Assessment_Model!AO265</f>
        <v/>
      </c>
      <c r="AS265" s="247">
        <f>_DATA_Assessment_Model!AP265</f>
        <v/>
      </c>
      <c r="AT265" s="247">
        <f>_DATA_Assessment_Model!AQ265</f>
        <v/>
      </c>
      <c r="AU265" s="247">
        <f>_DATA_Assessment_Model!AR265</f>
        <v/>
      </c>
      <c r="AV265" s="5">
        <f>_DATA_Assessment_Model!AS265</f>
        <v/>
      </c>
      <c r="AW265" s="5">
        <f>_DATA_Assessment_Model!AT265</f>
        <v/>
      </c>
      <c r="AY265">
        <f>_DATA_Assessment_Model!AV265</f>
        <v/>
      </c>
    </row>
    <row r="266" ht="110.4" customHeight="1" s="209">
      <c r="A266" t="inlineStr">
        <is>
          <t>Sales CRM</t>
        </is>
      </c>
      <c r="B266" t="inlineStr">
        <is>
          <t>Sales CRM</t>
        </is>
      </c>
      <c r="C266" t="n">
        <v>14</v>
      </c>
      <c r="D266" s="3" t="inlineStr">
        <is>
          <t>SALE-011</t>
        </is>
      </c>
      <c r="E266" s="3" t="inlineStr">
        <is>
          <t>Customer continuity</t>
        </is>
      </c>
      <c r="F266" s="3" t="inlineStr">
        <is>
          <t>How mature is the organization in managing customer health scoring using usage, satisfaction, payment behavior, delivery issues and engagement, including ownership, evidence, metrics, fallback procedures and crisis stress testing?</t>
        </is>
      </c>
      <c r="G266" s="3" t="inlineStr">
        <is>
          <t>This topic affects exposure to Demand shock; Revenue loss; Reputation crisis. It helps identify how disruption may impact operations, people, revenue, systems, legal exposure or recovery time.</t>
        </is>
      </c>
      <c r="H266" s="3" t="inlineStr">
        <is>
          <t>ISO 9001; ISO 10002; ISO 10004; RevOps; MEDDICC; customer success best practices</t>
        </is>
      </c>
      <c r="I266" s="3" t="inlineStr">
        <is>
          <t>Policy/SOP; owner/RACI; system report; dashboard; contracts; test records; incident history; interview evidence related to customer health scoring using usage, satisfaction, payment behavior, delivery issues and engagement.</t>
        </is>
      </c>
      <c r="J266" s="3" t="n">
        <v>4</v>
      </c>
      <c r="K266" s="85">
        <f>_DATA_Assessment_Model!H266</f>
        <v/>
      </c>
      <c r="L266" s="4">
        <f>_DATA_Assessment_Model!I266</f>
        <v/>
      </c>
      <c r="M266" s="4">
        <f>_DATA_Assessment_Model!J266</f>
        <v/>
      </c>
      <c r="N266" s="4">
        <f>_DATA_Assessment_Model!K266</f>
        <v/>
      </c>
      <c r="O266" s="3">
        <f>_DATA_Assessment_Model!L266</f>
        <v/>
      </c>
      <c r="P266" s="3" t="inlineStr">
        <is>
          <t>No reliable evidence that customer health scoring using usage, satisfaction, payment behavior, delivery issues and engagement is defined, owned or managed.</t>
        </is>
      </c>
      <c r="Q266" s="3" t="inlineStr">
        <is>
          <t>Customer health scoring using usage, satisfaction, payment behavior, delivery issues and engagement is handled informally and depends on individual knowledge or heroic effort.</t>
        </is>
      </c>
      <c r="R266" s="3" t="inlineStr">
        <is>
          <t>Customer health scoring using usage, satisfaction, payment behavior, delivery issues and engagement is partially documented or implemented, but coverage is inconsistent and not crisis-tested.</t>
        </is>
      </c>
      <c r="S266" s="3" t="inlineStr">
        <is>
          <t>Customer health scoring using usage, satisfaction, payment behavior, delivery issues and engagement is documented, owned, used in normal operations and supported by basic evidence or metrics.</t>
        </is>
      </c>
      <c r="T266" s="3" t="inlineStr">
        <is>
          <t>Customer health scoring using usage, satisfaction, payment behavior, delivery issues and engagement is measured, periodically reviewed, integrated with related processes and tested against relevant disruption scenarios.</t>
        </is>
      </c>
      <c r="U266" s="3" t="inlineStr">
        <is>
          <t>Customer health scoring using usage, satisfaction, payment behavior, delivery issues and engagement is optimized, continuously improved, automated where practical and demonstrably supports crisis resilience.</t>
        </is>
      </c>
      <c r="V266" s="3" t="inlineStr">
        <is>
          <t>Demand shock; Revenue loss; Reputation crisis</t>
        </is>
      </c>
      <c r="W266" s="3" t="n"/>
      <c r="X266" s="3" t="n"/>
      <c r="Y266" s="3" t="inlineStr">
        <is>
          <t>Use the recommended action generated by the model; validate with domain owner during real assessment.</t>
        </is>
      </c>
      <c r="Z266" s="7" t="n">
        <v>4</v>
      </c>
      <c r="AA266" s="7" t="n">
        <v>5</v>
      </c>
      <c r="AB266" s="7" t="n">
        <v>5</v>
      </c>
      <c r="AK266" s="46" t="n"/>
      <c r="AL266" s="46" t="n"/>
      <c r="AM266" s="247">
        <f>_DATA_Assessment_Model!AJ266</f>
        <v/>
      </c>
      <c r="AN266" s="247">
        <f>_DATA_Assessment_Model!AK266</f>
        <v/>
      </c>
      <c r="AO266" s="247">
        <f>_DATA_Assessment_Model!AL266</f>
        <v/>
      </c>
      <c r="AP266" s="247">
        <f>_DATA_Assessment_Model!AM266</f>
        <v/>
      </c>
      <c r="AQ266" s="247">
        <f>_DATA_Assessment_Model!AN266</f>
        <v/>
      </c>
      <c r="AR266" s="247">
        <f>_DATA_Assessment_Model!AO266</f>
        <v/>
      </c>
      <c r="AS266" s="247">
        <f>_DATA_Assessment_Model!AP266</f>
        <v/>
      </c>
      <c r="AT266" s="247">
        <f>_DATA_Assessment_Model!AQ266</f>
        <v/>
      </c>
      <c r="AU266" s="247">
        <f>_DATA_Assessment_Model!AR266</f>
        <v/>
      </c>
      <c r="AV266" s="5">
        <f>_DATA_Assessment_Model!AS266</f>
        <v/>
      </c>
      <c r="AW266" s="5">
        <f>_DATA_Assessment_Model!AT266</f>
        <v/>
      </c>
      <c r="AY266">
        <f>_DATA_Assessment_Model!AV266</f>
        <v/>
      </c>
    </row>
    <row r="267" ht="82.8" customHeight="1" s="209">
      <c r="A267" t="inlineStr">
        <is>
          <t>Sales CRM</t>
        </is>
      </c>
      <c r="B267" t="inlineStr">
        <is>
          <t>Sales CRM</t>
        </is>
      </c>
      <c r="C267" t="n">
        <v>15</v>
      </c>
      <c r="D267" s="3" t="inlineStr">
        <is>
          <t>SALE-012</t>
        </is>
      </c>
      <c r="E267" s="3" t="inlineStr">
        <is>
          <t>Customer continuity</t>
        </is>
      </c>
      <c r="F267" s="3" t="inlineStr">
        <is>
          <t>How mature is the organization in managing churn risk identification, prioritization and mitigation actions, including ownership, evidence, metrics, fallback procedures and crisis stress testing?</t>
        </is>
      </c>
      <c r="G267" s="3" t="inlineStr">
        <is>
          <t>This topic affects exposure to Demand shock; Revenue loss; Reputation crisis. It helps identify how disruption may impact operations, people, revenue, systems, legal exposure or recovery time.</t>
        </is>
      </c>
      <c r="H267" s="3" t="inlineStr">
        <is>
          <t>ISO 9001; ISO 10002; ISO 10004; RevOps; MEDDICC; customer success best practices</t>
        </is>
      </c>
      <c r="I267" s="3" t="inlineStr">
        <is>
          <t>Policy/SOP; owner/RACI; system report; dashboard; contracts; test records; incident history; interview evidence related to churn risk identification, prioritization and mitigation actions.</t>
        </is>
      </c>
      <c r="J267" s="3" t="n">
        <v>4</v>
      </c>
      <c r="K267" s="85">
        <f>_DATA_Assessment_Model!H267</f>
        <v/>
      </c>
      <c r="L267" s="4">
        <f>_DATA_Assessment_Model!I267</f>
        <v/>
      </c>
      <c r="M267" s="4">
        <f>_DATA_Assessment_Model!J267</f>
        <v/>
      </c>
      <c r="N267" s="4">
        <f>_DATA_Assessment_Model!K267</f>
        <v/>
      </c>
      <c r="O267" s="3">
        <f>_DATA_Assessment_Model!L267</f>
        <v/>
      </c>
      <c r="P267" s="3" t="inlineStr">
        <is>
          <t>No reliable evidence that churn risk identification, prioritization and mitigation actions is defined, owned or managed.</t>
        </is>
      </c>
      <c r="Q267" s="3" t="inlineStr">
        <is>
          <t>Churn risk identification, prioritization and mitigation actions is handled informally and depends on individual knowledge or heroic effort.</t>
        </is>
      </c>
      <c r="R267" s="3" t="inlineStr">
        <is>
          <t>Churn risk identification, prioritization and mitigation actions is partially documented or implemented, but coverage is inconsistent and not crisis-tested.</t>
        </is>
      </c>
      <c r="S267" s="3" t="inlineStr">
        <is>
          <t>Churn risk identification, prioritization and mitigation actions is documented, owned, used in normal operations and supported by basic evidence or metrics.</t>
        </is>
      </c>
      <c r="T267" s="3" t="inlineStr">
        <is>
          <t>Churn risk identification, prioritization and mitigation actions is measured, periodically reviewed, integrated with related processes and tested against relevant disruption scenarios.</t>
        </is>
      </c>
      <c r="U267" s="3" t="inlineStr">
        <is>
          <t>Churn risk identification, prioritization and mitigation actions is optimized, continuously improved, automated where practical and demonstrably supports crisis resilience.</t>
        </is>
      </c>
      <c r="V267" s="3" t="inlineStr">
        <is>
          <t>Demand shock; Revenue loss; Reputation crisis</t>
        </is>
      </c>
      <c r="W267" s="3" t="n"/>
      <c r="X267" s="3" t="n"/>
      <c r="Y267" s="3" t="inlineStr">
        <is>
          <t>Use the recommended action generated by the model; validate with domain owner during real assessment.</t>
        </is>
      </c>
      <c r="Z267" s="7" t="n">
        <v>4</v>
      </c>
      <c r="AA267" s="7" t="n">
        <v>5</v>
      </c>
      <c r="AB267" s="7" t="n">
        <v>5</v>
      </c>
      <c r="AK267" s="46" t="n"/>
      <c r="AL267" s="46" t="n"/>
      <c r="AM267" s="247">
        <f>_DATA_Assessment_Model!AJ267</f>
        <v/>
      </c>
      <c r="AN267" s="247">
        <f>_DATA_Assessment_Model!AK267</f>
        <v/>
      </c>
      <c r="AO267" s="247">
        <f>_DATA_Assessment_Model!AL267</f>
        <v/>
      </c>
      <c r="AP267" s="247">
        <f>_DATA_Assessment_Model!AM267</f>
        <v/>
      </c>
      <c r="AQ267" s="247">
        <f>_DATA_Assessment_Model!AN267</f>
        <v/>
      </c>
      <c r="AR267" s="247">
        <f>_DATA_Assessment_Model!AO267</f>
        <v/>
      </c>
      <c r="AS267" s="247">
        <f>_DATA_Assessment_Model!AP267</f>
        <v/>
      </c>
      <c r="AT267" s="247">
        <f>_DATA_Assessment_Model!AQ267</f>
        <v/>
      </c>
      <c r="AU267" s="247">
        <f>_DATA_Assessment_Model!AR267</f>
        <v/>
      </c>
      <c r="AV267" s="5">
        <f>_DATA_Assessment_Model!AS267</f>
        <v/>
      </c>
      <c r="AW267" s="5">
        <f>_DATA_Assessment_Model!AT267</f>
        <v/>
      </c>
      <c r="AY267">
        <f>_DATA_Assessment_Model!AV267</f>
        <v/>
      </c>
    </row>
    <row r="268" ht="82.8" customHeight="1" s="209">
      <c r="A268" t="inlineStr">
        <is>
          <t>Sales CRM</t>
        </is>
      </c>
      <c r="B268" t="inlineStr">
        <is>
          <t>Sales CRM</t>
        </is>
      </c>
      <c r="C268" t="n">
        <v>16</v>
      </c>
      <c r="D268" s="3" t="inlineStr">
        <is>
          <t>SALE-013</t>
        </is>
      </c>
      <c r="E268" s="3" t="inlineStr">
        <is>
          <t>Customer continuity</t>
        </is>
      </c>
      <c r="F268" s="3" t="inlineStr">
        <is>
          <t>How mature is the organization in managing renewal calendar and proactive renewal process, including ownership, evidence, metrics, fallback procedures and crisis stress testing?</t>
        </is>
      </c>
      <c r="G268" s="3" t="inlineStr">
        <is>
          <t>This topic affects exposure to Demand shock; Revenue loss; Reputation crisis. It helps identify how disruption may impact operations, people, revenue, systems, legal exposure or recovery time.</t>
        </is>
      </c>
      <c r="H268" s="3" t="inlineStr">
        <is>
          <t>ISO 9001; ISO 10002; ISO 10004; RevOps; MEDDICC; customer success best practices</t>
        </is>
      </c>
      <c r="I268" s="3" t="inlineStr">
        <is>
          <t>Policy/SOP; owner/RACI; system report; dashboard; contracts; test records; incident history; interview evidence related to renewal calendar and proactive renewal process.</t>
        </is>
      </c>
      <c r="J268" s="3" t="n">
        <v>3</v>
      </c>
      <c r="K268" s="85">
        <f>_DATA_Assessment_Model!H268</f>
        <v/>
      </c>
      <c r="L268" s="4">
        <f>_DATA_Assessment_Model!I268</f>
        <v/>
      </c>
      <c r="M268" s="4">
        <f>_DATA_Assessment_Model!J268</f>
        <v/>
      </c>
      <c r="N268" s="4">
        <f>_DATA_Assessment_Model!K268</f>
        <v/>
      </c>
      <c r="O268" s="3">
        <f>_DATA_Assessment_Model!L268</f>
        <v/>
      </c>
      <c r="P268" s="3" t="inlineStr">
        <is>
          <t>No reliable evidence that renewal calendar and proactive renewal process is defined, owned or managed.</t>
        </is>
      </c>
      <c r="Q268" s="3" t="inlineStr">
        <is>
          <t>Renewal calendar and proactive renewal process is handled informally and depends on individual knowledge or heroic effort.</t>
        </is>
      </c>
      <c r="R268" s="3" t="inlineStr">
        <is>
          <t>Renewal calendar and proactive renewal process is partially documented or implemented, but coverage is inconsistent and not crisis-tested.</t>
        </is>
      </c>
      <c r="S268" s="3" t="inlineStr">
        <is>
          <t>Renewal calendar and proactive renewal process is documented, owned, used in normal operations and supported by basic evidence or metrics.</t>
        </is>
      </c>
      <c r="T268" s="3" t="inlineStr">
        <is>
          <t>Renewal calendar and proactive renewal process is measured, periodically reviewed, integrated with related processes and tested against relevant disruption scenarios.</t>
        </is>
      </c>
      <c r="U268" s="3" t="inlineStr">
        <is>
          <t>Renewal calendar and proactive renewal process is optimized, continuously improved, automated where practical and demonstrably supports crisis resilience.</t>
        </is>
      </c>
      <c r="V268" s="3" t="inlineStr">
        <is>
          <t>Demand shock; Revenue loss; Reputation crisis</t>
        </is>
      </c>
      <c r="W268" s="3" t="n"/>
      <c r="X268" s="3" t="n"/>
      <c r="Y268" s="3" t="inlineStr">
        <is>
          <t>Use the recommended action generated by the model; validate with domain owner during real assessment.</t>
        </is>
      </c>
      <c r="Z268" s="7" t="n">
        <v>4</v>
      </c>
      <c r="AA268" s="7" t="n">
        <v>5</v>
      </c>
      <c r="AB268" s="7" t="n">
        <v>5</v>
      </c>
      <c r="AK268" s="46" t="n"/>
      <c r="AL268" s="46" t="n"/>
      <c r="AM268" s="247">
        <f>_DATA_Assessment_Model!AJ268</f>
        <v/>
      </c>
      <c r="AN268" s="247">
        <f>_DATA_Assessment_Model!AK268</f>
        <v/>
      </c>
      <c r="AO268" s="247">
        <f>_DATA_Assessment_Model!AL268</f>
        <v/>
      </c>
      <c r="AP268" s="247">
        <f>_DATA_Assessment_Model!AM268</f>
        <v/>
      </c>
      <c r="AQ268" s="247">
        <f>_DATA_Assessment_Model!AN268</f>
        <v/>
      </c>
      <c r="AR268" s="247">
        <f>_DATA_Assessment_Model!AO268</f>
        <v/>
      </c>
      <c r="AS268" s="247">
        <f>_DATA_Assessment_Model!AP268</f>
        <v/>
      </c>
      <c r="AT268" s="247">
        <f>_DATA_Assessment_Model!AQ268</f>
        <v/>
      </c>
      <c r="AU268" s="247">
        <f>_DATA_Assessment_Model!AR268</f>
        <v/>
      </c>
      <c r="AV268" s="5">
        <f>_DATA_Assessment_Model!AS268</f>
        <v/>
      </c>
      <c r="AW268" s="5">
        <f>_DATA_Assessment_Model!AT268</f>
        <v/>
      </c>
      <c r="AY268">
        <f>_DATA_Assessment_Model!AV268</f>
        <v/>
      </c>
    </row>
    <row r="269" ht="82.8" customHeight="1" s="209">
      <c r="A269" t="inlineStr">
        <is>
          <t>Sales CRM</t>
        </is>
      </c>
      <c r="B269" t="inlineStr">
        <is>
          <t>Sales CRM</t>
        </is>
      </c>
      <c r="C269" t="n">
        <v>17</v>
      </c>
      <c r="D269" s="3" t="inlineStr">
        <is>
          <t>SALE-014</t>
        </is>
      </c>
      <c r="E269" s="3" t="inlineStr">
        <is>
          <t>Customer continuity</t>
        </is>
      </c>
      <c r="F269" s="3" t="inlineStr">
        <is>
          <t>How mature is the organization in managing critical account plans covering stakeholders, risks, contracts, renewals and crisis communication, including ownership, evidence, metrics, fallback procedures and crisis stress testing?</t>
        </is>
      </c>
      <c r="G269" s="3" t="inlineStr">
        <is>
          <t>This topic affects exposure to Demand shock; Revenue loss; Reputation crisis. It helps identify how disruption may impact operations, people, revenue, systems, legal exposure or recovery time.</t>
        </is>
      </c>
      <c r="H269" s="3" t="inlineStr">
        <is>
          <t>ISO 9001; ISO 10002; ISO 10004; RevOps; MEDDICC; customer success best practices</t>
        </is>
      </c>
      <c r="I269" s="3" t="inlineStr">
        <is>
          <t>Policy/SOP; owner/RACI; system report; dashboard; contracts; test records; incident history; interview evidence related to critical account plans covering stakeholders, risks, contracts, renewals and crisis communication.</t>
        </is>
      </c>
      <c r="J269" s="3" t="n">
        <v>5</v>
      </c>
      <c r="K269" s="85">
        <f>_DATA_Assessment_Model!H269</f>
        <v/>
      </c>
      <c r="L269" s="4">
        <f>_DATA_Assessment_Model!I269</f>
        <v/>
      </c>
      <c r="M269" s="4">
        <f>_DATA_Assessment_Model!J269</f>
        <v/>
      </c>
      <c r="N269" s="4">
        <f>_DATA_Assessment_Model!K269</f>
        <v/>
      </c>
      <c r="O269" s="3">
        <f>_DATA_Assessment_Model!L269</f>
        <v/>
      </c>
      <c r="P269" s="3" t="inlineStr">
        <is>
          <t>No plan or procedure exists.</t>
        </is>
      </c>
      <c r="Q269" s="3" t="inlineStr">
        <is>
          <t>Knowledge lives with individuals; nothing usable is written down.</t>
        </is>
      </c>
      <c r="R269" s="3" t="inlineStr">
        <is>
          <t>Drafted but outdated, not approved, or unknown to the people who must use it.</t>
        </is>
      </c>
      <c r="S269" s="3" t="inlineStr">
        <is>
          <t>Approved and current; owners assigned; affected staff know it exists and where to find it.</t>
        </is>
      </c>
      <c r="T269" s="3" t="inlineStr">
        <is>
          <t>Tested against realistic scenarios; updated after each test or real incident.</t>
        </is>
      </c>
      <c r="U269" s="3" t="inlineStr">
        <is>
          <t>Exercised regularly including external parties; readiness measured; continuously improved.</t>
        </is>
      </c>
      <c r="V269" s="3" t="inlineStr">
        <is>
          <t>Demand shock; Revenue loss; Reputation crisis</t>
        </is>
      </c>
      <c r="W269" s="3" t="n"/>
      <c r="X269" s="3" t="n"/>
      <c r="Y269" s="3" t="inlineStr">
        <is>
          <t>Use the recommended action generated by the model; validate with domain owner during real assessment.</t>
        </is>
      </c>
      <c r="Z269" s="7" t="n">
        <v>4</v>
      </c>
      <c r="AA269" s="7" t="n">
        <v>5</v>
      </c>
      <c r="AB269" s="7" t="n">
        <v>5</v>
      </c>
      <c r="AK269" s="46" t="n"/>
      <c r="AL269" s="46" t="n"/>
      <c r="AM269" s="247">
        <f>_DATA_Assessment_Model!AJ269</f>
        <v/>
      </c>
      <c r="AN269" s="247">
        <f>_DATA_Assessment_Model!AK269</f>
        <v/>
      </c>
      <c r="AO269" s="247">
        <f>_DATA_Assessment_Model!AL269</f>
        <v/>
      </c>
      <c r="AP269" s="247">
        <f>_DATA_Assessment_Model!AM269</f>
        <v/>
      </c>
      <c r="AQ269" s="247">
        <f>_DATA_Assessment_Model!AN269</f>
        <v/>
      </c>
      <c r="AR269" s="247">
        <f>_DATA_Assessment_Model!AO269</f>
        <v/>
      </c>
      <c r="AS269" s="247">
        <f>_DATA_Assessment_Model!AP269</f>
        <v/>
      </c>
      <c r="AT269" s="247">
        <f>_DATA_Assessment_Model!AQ269</f>
        <v/>
      </c>
      <c r="AU269" s="247">
        <f>_DATA_Assessment_Model!AR269</f>
        <v/>
      </c>
      <c r="AV269" s="5">
        <f>_DATA_Assessment_Model!AS269</f>
        <v/>
      </c>
      <c r="AW269" s="5">
        <f>_DATA_Assessment_Model!AT269</f>
        <v/>
      </c>
      <c r="AY269">
        <f>_DATA_Assessment_Model!AV269</f>
        <v/>
      </c>
    </row>
    <row r="270" ht="69" customHeight="1" s="209">
      <c r="A270" t="inlineStr">
        <is>
          <t>Sales CRM</t>
        </is>
      </c>
      <c r="B270" t="inlineStr">
        <is>
          <t>Sales CRM</t>
        </is>
      </c>
      <c r="C270" t="n">
        <v>18</v>
      </c>
      <c r="D270" s="3" t="inlineStr">
        <is>
          <t>SALE-015</t>
        </is>
      </c>
      <c r="E270" s="3" t="inlineStr">
        <is>
          <t>Customer continuity</t>
        </is>
      </c>
      <c r="F270" s="3" t="inlineStr">
        <is>
          <t>How mature is the organization in managing customer notification rules for incidents, delays, cyber events and service disruption, including ownership, evidence, metrics, fallback procedures and crisis stress testing?</t>
        </is>
      </c>
      <c r="G270" s="3" t="inlineStr">
        <is>
          <t>This topic affects exposure to Demand shock; Revenue loss; Reputation crisis. It helps identify how disruption may impact operations, people, revenue, systems, legal exposure or recovery time.</t>
        </is>
      </c>
      <c r="H270" s="3" t="inlineStr">
        <is>
          <t>ISO 9001; ISO 10002; ISO 10004; RevOps; MEDDICC; customer success best practices</t>
        </is>
      </c>
      <c r="I270" s="3" t="inlineStr">
        <is>
          <t>Policy/SOP; owner/RACI; system report; dashboard; contracts; test records; incident history; interview evidence related to customer notification rules for incidents, delays, cyber events and service disruption.</t>
        </is>
      </c>
      <c r="J270" s="3" t="n">
        <v>5</v>
      </c>
      <c r="K270" s="85">
        <f>_DATA_Assessment_Model!H270</f>
        <v/>
      </c>
      <c r="L270" s="4">
        <f>_DATA_Assessment_Model!I270</f>
        <v/>
      </c>
      <c r="M270" s="4">
        <f>_DATA_Assessment_Model!J270</f>
        <v/>
      </c>
      <c r="N270" s="4">
        <f>_DATA_Assessment_Model!K270</f>
        <v/>
      </c>
      <c r="O270" s="3">
        <f>_DATA_Assessment_Model!L270</f>
        <v/>
      </c>
      <c r="P270" s="3" t="inlineStr">
        <is>
          <t>Does not exist; no owner, no documentation, no practice.</t>
        </is>
      </c>
      <c r="Q270" s="3" t="inlineStr">
        <is>
          <t>Ad hoc; depends entirely on specific individuals.</t>
        </is>
      </c>
      <c r="R270" s="3" t="inlineStr">
        <is>
          <t>Partially documented or implemented; coverage inconsistent; never tested under stress.</t>
        </is>
      </c>
      <c r="S270" s="3" t="inlineStr">
        <is>
          <t>Documented, owned, executed consistently; basic evidence and metrics exist.</t>
        </is>
      </c>
      <c r="T270" s="3" t="inlineStr">
        <is>
          <t>Measured and periodically tested/audited; integrated with adjacent processes.</t>
        </is>
      </c>
      <c r="U270" s="3" t="inlineStr">
        <is>
          <t>Optimized and automated where practical; stress-tested; benchmarked externally.</t>
        </is>
      </c>
      <c r="V270" s="3" t="inlineStr">
        <is>
          <t>Demand shock; Revenue loss; Reputation crisis</t>
        </is>
      </c>
      <c r="W270" s="3" t="n"/>
      <c r="X270" s="3" t="n"/>
      <c r="Y270" s="3" t="inlineStr">
        <is>
          <t>Use the recommended action generated by the model; validate with domain owner during real assessment.</t>
        </is>
      </c>
      <c r="Z270" s="7" t="n">
        <v>5</v>
      </c>
      <c r="AA270" s="7" t="n">
        <v>5</v>
      </c>
      <c r="AB270" s="7" t="n">
        <v>5</v>
      </c>
      <c r="AK270" s="46" t="n"/>
      <c r="AL270" s="46" t="n"/>
      <c r="AM270" s="247">
        <f>_DATA_Assessment_Model!AJ270</f>
        <v/>
      </c>
      <c r="AN270" s="247">
        <f>_DATA_Assessment_Model!AK270</f>
        <v/>
      </c>
      <c r="AO270" s="247">
        <f>_DATA_Assessment_Model!AL270</f>
        <v/>
      </c>
      <c r="AP270" s="247">
        <f>_DATA_Assessment_Model!AM270</f>
        <v/>
      </c>
      <c r="AQ270" s="247">
        <f>_DATA_Assessment_Model!AN270</f>
        <v/>
      </c>
      <c r="AR270" s="247">
        <f>_DATA_Assessment_Model!AO270</f>
        <v/>
      </c>
      <c r="AS270" s="247">
        <f>_DATA_Assessment_Model!AP270</f>
        <v/>
      </c>
      <c r="AT270" s="247">
        <f>_DATA_Assessment_Model!AQ270</f>
        <v/>
      </c>
      <c r="AU270" s="247">
        <f>_DATA_Assessment_Model!AR270</f>
        <v/>
      </c>
      <c r="AV270" s="5">
        <f>_DATA_Assessment_Model!AS270</f>
        <v/>
      </c>
      <c r="AW270" s="5">
        <f>_DATA_Assessment_Model!AT270</f>
        <v/>
      </c>
      <c r="AY270">
        <f>_DATA_Assessment_Model!AV270</f>
        <v/>
      </c>
    </row>
    <row r="271" ht="96.59999999999999" customHeight="1" s="209">
      <c r="A271" t="inlineStr">
        <is>
          <t>Sales CRM</t>
        </is>
      </c>
      <c r="B271" t="inlineStr">
        <is>
          <t>Sales CRM</t>
        </is>
      </c>
      <c r="C271" t="n">
        <v>19</v>
      </c>
      <c r="D271" s="3" t="inlineStr">
        <is>
          <t>SALE-016</t>
        </is>
      </c>
      <c r="E271" s="3" t="inlineStr">
        <is>
          <t>Customer continuity</t>
        </is>
      </c>
      <c r="F271" s="3" t="inlineStr">
        <is>
          <t>How mature is the organization in managing support knowledge base and agent fallback if experienced people are unavailable, including ownership, evidence, metrics, fallback procedures and crisis stress testing?</t>
        </is>
      </c>
      <c r="G271" s="3" t="inlineStr">
        <is>
          <t>This topic affects exposure to Demand shock; Revenue loss; Reputation crisis. It helps identify how disruption may impact operations, people, revenue, systems, legal exposure or recovery time.</t>
        </is>
      </c>
      <c r="H271" s="3" t="inlineStr">
        <is>
          <t>ISO 9001; ISO 10002; ISO 10004; RevOps; MEDDICC; customer success best practices</t>
        </is>
      </c>
      <c r="I271" s="3" t="inlineStr">
        <is>
          <t>Policy/SOP; owner/RACI; system report; dashboard; contracts; test records; incident history; interview evidence related to support knowledge base and agent fallback if experienced people are unavailable.</t>
        </is>
      </c>
      <c r="J271" s="3" t="n">
        <v>3</v>
      </c>
      <c r="K271" s="85">
        <f>_DATA_Assessment_Model!H271</f>
        <v/>
      </c>
      <c r="L271" s="4">
        <f>_DATA_Assessment_Model!I271</f>
        <v/>
      </c>
      <c r="M271" s="4">
        <f>_DATA_Assessment_Model!J271</f>
        <v/>
      </c>
      <c r="N271" s="4">
        <f>_DATA_Assessment_Model!K271</f>
        <v/>
      </c>
      <c r="O271" s="3">
        <f>_DATA_Assessment_Model!L271</f>
        <v/>
      </c>
      <c r="P271" s="3" t="inlineStr">
        <is>
          <t>No reliable evidence that support knowledge base and agent fallback if experienced people are unavailable is defined, owned or managed.</t>
        </is>
      </c>
      <c r="Q271" s="3" t="inlineStr">
        <is>
          <t>Support knowledge base and agent fallback if experienced people are unavailable is handled informally and depends on individual knowledge or heroic effort.</t>
        </is>
      </c>
      <c r="R271" s="3" t="inlineStr">
        <is>
          <t>Support knowledge base and agent fallback if experienced people are unavailable is partially documented or implemented, but coverage is inconsistent and not crisis-tested.</t>
        </is>
      </c>
      <c r="S271" s="3" t="inlineStr">
        <is>
          <t>Support knowledge base and agent fallback if experienced people are unavailable is documented, owned, used in normal operations and supported by basic evidence or metrics.</t>
        </is>
      </c>
      <c r="T271" s="3" t="inlineStr">
        <is>
          <t>Support knowledge base and agent fallback if experienced people are unavailable is measured, periodically reviewed, integrated with related processes and tested against relevant disruption scenarios.</t>
        </is>
      </c>
      <c r="U271" s="3" t="inlineStr">
        <is>
          <t>Support knowledge base and agent fallback if experienced people are unavailable is optimized, continuously improved, automated where practical and demonstrably supports crisis resilience.</t>
        </is>
      </c>
      <c r="V271" s="3" t="inlineStr">
        <is>
          <t>Demand shock; Revenue loss; Reputation crisis</t>
        </is>
      </c>
      <c r="W271" s="3" t="n"/>
      <c r="X271" s="3" t="n"/>
      <c r="Y271" s="3" t="inlineStr">
        <is>
          <t>Use the recommended action generated by the model; validate with domain owner during real assessment.</t>
        </is>
      </c>
      <c r="Z271" s="7" t="n">
        <v>4</v>
      </c>
      <c r="AA271" s="7" t="n">
        <v>5</v>
      </c>
      <c r="AB271" s="7" t="n">
        <v>5</v>
      </c>
      <c r="AK271" s="46" t="n"/>
      <c r="AL271" s="46" t="n"/>
      <c r="AM271" s="247">
        <f>_DATA_Assessment_Model!AJ271</f>
        <v/>
      </c>
      <c r="AN271" s="247">
        <f>_DATA_Assessment_Model!AK271</f>
        <v/>
      </c>
      <c r="AO271" s="247">
        <f>_DATA_Assessment_Model!AL271</f>
        <v/>
      </c>
      <c r="AP271" s="247">
        <f>_DATA_Assessment_Model!AM271</f>
        <v/>
      </c>
      <c r="AQ271" s="247">
        <f>_DATA_Assessment_Model!AN271</f>
        <v/>
      </c>
      <c r="AR271" s="247">
        <f>_DATA_Assessment_Model!AO271</f>
        <v/>
      </c>
      <c r="AS271" s="247">
        <f>_DATA_Assessment_Model!AP271</f>
        <v/>
      </c>
      <c r="AT271" s="247">
        <f>_DATA_Assessment_Model!AQ271</f>
        <v/>
      </c>
      <c r="AU271" s="247">
        <f>_DATA_Assessment_Model!AR271</f>
        <v/>
      </c>
      <c r="AV271" s="5">
        <f>_DATA_Assessment_Model!AS271</f>
        <v/>
      </c>
      <c r="AW271" s="5">
        <f>_DATA_Assessment_Model!AT271</f>
        <v/>
      </c>
      <c r="AY271">
        <f>_DATA_Assessment_Model!AV271</f>
        <v/>
      </c>
    </row>
    <row r="272" ht="96.59999999999999" customHeight="1" s="209">
      <c r="A272" t="inlineStr">
        <is>
          <t>Sales CRM</t>
        </is>
      </c>
      <c r="B272" t="inlineStr">
        <is>
          <t>Sales CRM</t>
        </is>
      </c>
      <c r="C272" t="n">
        <v>20</v>
      </c>
      <c r="D272" s="3" t="inlineStr">
        <is>
          <t>SALE-017</t>
        </is>
      </c>
      <c r="E272" s="3" t="inlineStr">
        <is>
          <t>Revenue controls</t>
        </is>
      </c>
      <c r="F272" s="3" t="inlineStr">
        <is>
          <t>How mature is the organization in managing discount governance, pricing exceptions, payment terms and margin protection, including ownership, evidence, metrics, fallback procedures and crisis stress testing?</t>
        </is>
      </c>
      <c r="G272" s="3" t="inlineStr">
        <is>
          <t>This topic affects exposure to Demand shock; Revenue loss; Reputation crisis. It helps identify how disruption may impact operations, people, revenue, systems, legal exposure or recovery time.</t>
        </is>
      </c>
      <c r="H272" s="3" t="inlineStr">
        <is>
          <t>ISO 9001; ISO 10002; ISO 10004; RevOps; MEDDICC; customer success best practices</t>
        </is>
      </c>
      <c r="I272" s="3" t="inlineStr">
        <is>
          <t>Policy/SOP; owner/RACI; system report; dashboard; contracts; test records; incident history; interview evidence related to discount governance, pricing exceptions, payment terms and margin protection.</t>
        </is>
      </c>
      <c r="J272" s="3" t="n">
        <v>4</v>
      </c>
      <c r="K272" s="85">
        <f>_DATA_Assessment_Model!H272</f>
        <v/>
      </c>
      <c r="L272" s="4">
        <f>_DATA_Assessment_Model!I272</f>
        <v/>
      </c>
      <c r="M272" s="4">
        <f>_DATA_Assessment_Model!J272</f>
        <v/>
      </c>
      <c r="N272" s="4">
        <f>_DATA_Assessment_Model!K272</f>
        <v/>
      </c>
      <c r="O272" s="3">
        <f>_DATA_Assessment_Model!L272</f>
        <v/>
      </c>
      <c r="P272" s="3" t="inlineStr">
        <is>
          <t>No reliable evidence that discount governance, pricing exceptions, payment terms and margin protection is defined, owned or managed.</t>
        </is>
      </c>
      <c r="Q272" s="3" t="inlineStr">
        <is>
          <t>Discount governance, pricing exceptions, payment terms and margin protection is handled informally and depends on individual knowledge or heroic effort.</t>
        </is>
      </c>
      <c r="R272" s="3" t="inlineStr">
        <is>
          <t>Discount governance, pricing exceptions, payment terms and margin protection is partially documented or implemented, but coverage is inconsistent and not crisis-tested.</t>
        </is>
      </c>
      <c r="S272" s="3" t="inlineStr">
        <is>
          <t>Discount governance, pricing exceptions, payment terms and margin protection is documented, owned, used in normal operations and supported by basic evidence or metrics.</t>
        </is>
      </c>
      <c r="T272" s="3" t="inlineStr">
        <is>
          <t>Discount governance, pricing exceptions, payment terms and margin protection is measured, periodically reviewed, integrated with related processes and tested against relevant disruption scenarios.</t>
        </is>
      </c>
      <c r="U272" s="3" t="inlineStr">
        <is>
          <t>Discount governance, pricing exceptions, payment terms and margin protection is optimized, continuously improved, automated where practical and demonstrably supports crisis resilience.</t>
        </is>
      </c>
      <c r="V272" s="3" t="inlineStr">
        <is>
          <t>Demand shock; Revenue loss; Reputation crisis</t>
        </is>
      </c>
      <c r="W272" s="3" t="n"/>
      <c r="X272" s="3" t="n"/>
      <c r="Y272" s="3" t="inlineStr">
        <is>
          <t>Use the recommended action generated by the model; validate with domain owner during real assessment.</t>
        </is>
      </c>
      <c r="Z272" s="7" t="n">
        <v>4</v>
      </c>
      <c r="AA272" s="7" t="n">
        <v>5</v>
      </c>
      <c r="AB272" s="7" t="n">
        <v>5</v>
      </c>
      <c r="AK272" s="46" t="n"/>
      <c r="AL272" s="46" t="n"/>
      <c r="AM272" s="247">
        <f>_DATA_Assessment_Model!AJ272</f>
        <v/>
      </c>
      <c r="AN272" s="247">
        <f>_DATA_Assessment_Model!AK272</f>
        <v/>
      </c>
      <c r="AO272" s="247">
        <f>_DATA_Assessment_Model!AL272</f>
        <v/>
      </c>
      <c r="AP272" s="247">
        <f>_DATA_Assessment_Model!AM272</f>
        <v/>
      </c>
      <c r="AQ272" s="247">
        <f>_DATA_Assessment_Model!AN272</f>
        <v/>
      </c>
      <c r="AR272" s="247">
        <f>_DATA_Assessment_Model!AO272</f>
        <v/>
      </c>
      <c r="AS272" s="247">
        <f>_DATA_Assessment_Model!AP272</f>
        <v/>
      </c>
      <c r="AT272" s="247">
        <f>_DATA_Assessment_Model!AQ272</f>
        <v/>
      </c>
      <c r="AU272" s="247">
        <f>_DATA_Assessment_Model!AR272</f>
        <v/>
      </c>
      <c r="AV272" s="5">
        <f>_DATA_Assessment_Model!AS272</f>
        <v/>
      </c>
      <c r="AW272" s="5">
        <f>_DATA_Assessment_Model!AT272</f>
        <v/>
      </c>
      <c r="AY272">
        <f>_DATA_Assessment_Model!AV272</f>
        <v/>
      </c>
    </row>
    <row r="273" ht="69" customHeight="1" s="209">
      <c r="A273" t="inlineStr">
        <is>
          <t>Sales CRM</t>
        </is>
      </c>
      <c r="B273" t="inlineStr">
        <is>
          <t>Sales CRM</t>
        </is>
      </c>
      <c r="C273" t="n">
        <v>21</v>
      </c>
      <c r="D273" s="3" t="inlineStr">
        <is>
          <t>SALE-018</t>
        </is>
      </c>
      <c r="E273" s="3" t="inlineStr">
        <is>
          <t>Revenue controls</t>
        </is>
      </c>
      <c r="F273" s="3" t="inlineStr">
        <is>
          <t>How mature is the organization in managing deal review for margin, delivery feasibility, legal obligations, security and crisis risk, including ownership, evidence, metrics, fallback procedures and crisis stress testing?</t>
        </is>
      </c>
      <c r="G273" s="3" t="inlineStr">
        <is>
          <t>This topic affects exposure to Demand shock; Revenue loss; Reputation crisis. It helps identify how disruption may impact operations, people, revenue, systems, legal exposure or recovery time.</t>
        </is>
      </c>
      <c r="H273" s="3" t="inlineStr">
        <is>
          <t>ISO 9001; ISO 10002; ISO 10004; RevOps; MEDDICC; customer success best practices</t>
        </is>
      </c>
      <c r="I273" s="3" t="inlineStr">
        <is>
          <t>Policy/SOP; owner/RACI; system report; dashboard; contracts; test records; incident history; interview evidence related to deal review for margin, delivery feasibility, legal obligations, security and crisis risk.</t>
        </is>
      </c>
      <c r="J273" s="3" t="n">
        <v>5</v>
      </c>
      <c r="K273" s="85">
        <f>_DATA_Assessment_Model!H273</f>
        <v/>
      </c>
      <c r="L273" s="4">
        <f>_DATA_Assessment_Model!I273</f>
        <v/>
      </c>
      <c r="M273" s="4">
        <f>_DATA_Assessment_Model!J273</f>
        <v/>
      </c>
      <c r="N273" s="4">
        <f>_DATA_Assessment_Model!K273</f>
        <v/>
      </c>
      <c r="O273" s="3">
        <f>_DATA_Assessment_Model!L273</f>
        <v/>
      </c>
      <c r="P273" s="3" t="inlineStr">
        <is>
          <t>Does not exist; no owner, no documentation, no practice.</t>
        </is>
      </c>
      <c r="Q273" s="3" t="inlineStr">
        <is>
          <t>Ad hoc; depends entirely on specific individuals.</t>
        </is>
      </c>
      <c r="R273" s="3" t="inlineStr">
        <is>
          <t>Partially documented or implemented; coverage inconsistent; never tested under stress.</t>
        </is>
      </c>
      <c r="S273" s="3" t="inlineStr">
        <is>
          <t>Documented, owned, executed consistently; basic evidence and metrics exist.</t>
        </is>
      </c>
      <c r="T273" s="3" t="inlineStr">
        <is>
          <t>Measured and periodically tested/audited; integrated with adjacent processes.</t>
        </is>
      </c>
      <c r="U273" s="3" t="inlineStr">
        <is>
          <t>Optimized and automated where practical; stress-tested; benchmarked externally.</t>
        </is>
      </c>
      <c r="V273" s="3" t="inlineStr">
        <is>
          <t>Demand shock; Revenue loss; Reputation crisis</t>
        </is>
      </c>
      <c r="W273" s="3" t="n"/>
      <c r="X273" s="3" t="n"/>
      <c r="Y273" s="3" t="inlineStr">
        <is>
          <t>Use the recommended action generated by the model; validate with domain owner during real assessment.</t>
        </is>
      </c>
      <c r="Z273" s="7" t="n">
        <v>4</v>
      </c>
      <c r="AA273" s="7" t="n">
        <v>5</v>
      </c>
      <c r="AB273" s="7" t="n">
        <v>5</v>
      </c>
      <c r="AK273" s="46" t="n"/>
      <c r="AL273" s="46" t="n"/>
      <c r="AM273" s="247">
        <f>_DATA_Assessment_Model!AJ273</f>
        <v/>
      </c>
      <c r="AN273" s="247">
        <f>_DATA_Assessment_Model!AK273</f>
        <v/>
      </c>
      <c r="AO273" s="247">
        <f>_DATA_Assessment_Model!AL273</f>
        <v/>
      </c>
      <c r="AP273" s="247">
        <f>_DATA_Assessment_Model!AM273</f>
        <v/>
      </c>
      <c r="AQ273" s="247">
        <f>_DATA_Assessment_Model!AN273</f>
        <v/>
      </c>
      <c r="AR273" s="247">
        <f>_DATA_Assessment_Model!AO273</f>
        <v/>
      </c>
      <c r="AS273" s="247">
        <f>_DATA_Assessment_Model!AP273</f>
        <v/>
      </c>
      <c r="AT273" s="247">
        <f>_DATA_Assessment_Model!AQ273</f>
        <v/>
      </c>
      <c r="AU273" s="247">
        <f>_DATA_Assessment_Model!AR273</f>
        <v/>
      </c>
      <c r="AV273" s="5">
        <f>_DATA_Assessment_Model!AS273</f>
        <v/>
      </c>
      <c r="AW273" s="5">
        <f>_DATA_Assessment_Model!AT273</f>
        <v/>
      </c>
      <c r="AY273">
        <f>_DATA_Assessment_Model!AV273</f>
        <v/>
      </c>
    </row>
    <row r="274" ht="69" customHeight="1" s="209">
      <c r="A274" t="inlineStr">
        <is>
          <t>Sales CRM</t>
        </is>
      </c>
      <c r="B274" t="inlineStr">
        <is>
          <t>Sales CRM</t>
        </is>
      </c>
      <c r="C274" t="n">
        <v>22</v>
      </c>
      <c r="D274" s="3" t="inlineStr">
        <is>
          <t>SALE-020</t>
        </is>
      </c>
      <c r="E274" s="3" t="inlineStr">
        <is>
          <t>Revenue controls</t>
        </is>
      </c>
      <c r="F274" s="3" t="inlineStr">
        <is>
          <t>How mature is the organization in managing sales channel continuity if offices close, travel stops, events cancel or one channel fails, including ownership, evidence, metrics, fallback procedures and crisis stress testing?</t>
        </is>
      </c>
      <c r="G274" s="3" t="inlineStr">
        <is>
          <t>This topic affects exposure to Demand shock; Revenue loss; Reputation crisis. It helps identify how disruption may impact operations, people, revenue, systems, legal exposure or recovery time.</t>
        </is>
      </c>
      <c r="H274" s="3" t="inlineStr">
        <is>
          <t>ISO 9001; ISO 10002; ISO 10004; RevOps; MEDDICC; customer success best practices</t>
        </is>
      </c>
      <c r="I274" s="3" t="inlineStr">
        <is>
          <t>Policy/SOP; owner/RACI; system report; dashboard; contracts; test records; incident history; interview evidence related to sales channel continuity if offices close, travel stops, events cancel or one channel fails.</t>
        </is>
      </c>
      <c r="J274" s="3" t="n">
        <v>5</v>
      </c>
      <c r="K274" s="85">
        <f>_DATA_Assessment_Model!H274</f>
        <v/>
      </c>
      <c r="L274" s="4">
        <f>_DATA_Assessment_Model!I274</f>
        <v/>
      </c>
      <c r="M274" s="4">
        <f>_DATA_Assessment_Model!J274</f>
        <v/>
      </c>
      <c r="N274" s="4">
        <f>_DATA_Assessment_Model!K274</f>
        <v/>
      </c>
      <c r="O274" s="3">
        <f>_DATA_Assessment_Model!L274</f>
        <v/>
      </c>
      <c r="P274" s="3" t="inlineStr">
        <is>
          <t>Does not exist; no owner, no documentation, no practice.</t>
        </is>
      </c>
      <c r="Q274" s="3" t="inlineStr">
        <is>
          <t>Ad hoc; depends entirely on specific individuals.</t>
        </is>
      </c>
      <c r="R274" s="3" t="inlineStr">
        <is>
          <t>Partially documented or implemented; coverage inconsistent; never tested under stress.</t>
        </is>
      </c>
      <c r="S274" s="3" t="inlineStr">
        <is>
          <t>Documented, owned, executed consistently; basic evidence and metrics exist.</t>
        </is>
      </c>
      <c r="T274" s="3" t="inlineStr">
        <is>
          <t>Measured and periodically tested/audited; integrated with adjacent processes.</t>
        </is>
      </c>
      <c r="U274" s="3" t="inlineStr">
        <is>
          <t>Optimized and automated where practical; stress-tested; benchmarked externally.</t>
        </is>
      </c>
      <c r="V274" s="3" t="inlineStr">
        <is>
          <t>Demand shock; Revenue loss; Reputation crisis</t>
        </is>
      </c>
      <c r="W274" s="3" t="n"/>
      <c r="X274" s="3" t="n"/>
      <c r="Y274" s="3" t="inlineStr">
        <is>
          <t>Use the recommended action generated by the model; validate with domain owner during real assessment.</t>
        </is>
      </c>
      <c r="Z274" s="7" t="n">
        <v>4</v>
      </c>
      <c r="AA274" s="7" t="n">
        <v>5</v>
      </c>
      <c r="AB274" s="7" t="n">
        <v>5</v>
      </c>
      <c r="AK274" s="46" t="n"/>
      <c r="AL274" s="46" t="n"/>
      <c r="AM274" s="247">
        <f>_DATA_Assessment_Model!AJ274</f>
        <v/>
      </c>
      <c r="AN274" s="247">
        <f>_DATA_Assessment_Model!AK274</f>
        <v/>
      </c>
      <c r="AO274" s="247">
        <f>_DATA_Assessment_Model!AL274</f>
        <v/>
      </c>
      <c r="AP274" s="247">
        <f>_DATA_Assessment_Model!AM274</f>
        <v/>
      </c>
      <c r="AQ274" s="247">
        <f>_DATA_Assessment_Model!AN274</f>
        <v/>
      </c>
      <c r="AR274" s="247">
        <f>_DATA_Assessment_Model!AO274</f>
        <v/>
      </c>
      <c r="AS274" s="247">
        <f>_DATA_Assessment_Model!AP274</f>
        <v/>
      </c>
      <c r="AT274" s="247">
        <f>_DATA_Assessment_Model!AQ274</f>
        <v/>
      </c>
      <c r="AU274" s="247">
        <f>_DATA_Assessment_Model!AR274</f>
        <v/>
      </c>
      <c r="AV274" s="5">
        <f>_DATA_Assessment_Model!AS274</f>
        <v/>
      </c>
      <c r="AW274" s="5">
        <f>_DATA_Assessment_Model!AT274</f>
        <v/>
      </c>
      <c r="AY274">
        <f>_DATA_Assessment_Model!AV274</f>
        <v/>
      </c>
    </row>
    <row r="275" ht="82.8" customHeight="1" s="209">
      <c r="A275" t="inlineStr">
        <is>
          <t>Sales CRM</t>
        </is>
      </c>
      <c r="B275" t="inlineStr">
        <is>
          <t>Sales CRM</t>
        </is>
      </c>
      <c r="C275" t="n">
        <v>23</v>
      </c>
      <c r="D275" s="3" t="inlineStr">
        <is>
          <t>SALE-021</t>
        </is>
      </c>
      <c r="E275" s="3" t="inlineStr">
        <is>
          <t>Revenue controls</t>
        </is>
      </c>
      <c r="F275" s="3" t="inlineStr">
        <is>
          <t>How mature is the organization in managing ecommerce continuity for payments, logistics, website, stock and customer support where relevant, including ownership, evidence, metrics, fallback procedures and crisis stress testing?</t>
        </is>
      </c>
      <c r="G275" s="3" t="inlineStr">
        <is>
          <t>This topic affects exposure to Demand shock; Revenue loss; Reputation crisis. It helps identify how disruption may impact operations, people, revenue, systems, legal exposure or recovery time.</t>
        </is>
      </c>
      <c r="H275" s="3" t="inlineStr">
        <is>
          <t>ISO 9001; ISO 10002; ISO 10004; RevOps; MEDDICC; customer success best practices</t>
        </is>
      </c>
      <c r="I275" s="3" t="inlineStr">
        <is>
          <t>Policy/SOP; owner/RACI; system report; dashboard; contracts; test records; incident history; interview evidence related to ecommerce continuity for payments, logistics, website, stock and customer support where relevant.</t>
        </is>
      </c>
      <c r="J275" s="3" t="n">
        <v>5</v>
      </c>
      <c r="K275" s="85">
        <f>_DATA_Assessment_Model!H275</f>
        <v/>
      </c>
      <c r="L275" s="4">
        <f>_DATA_Assessment_Model!I275</f>
        <v/>
      </c>
      <c r="M275" s="4">
        <f>_DATA_Assessment_Model!J275</f>
        <v/>
      </c>
      <c r="N275" s="4">
        <f>_DATA_Assessment_Model!K275</f>
        <v/>
      </c>
      <c r="O275" s="3">
        <f>_DATA_Assessment_Model!L275</f>
        <v/>
      </c>
      <c r="P275" s="3" t="inlineStr">
        <is>
          <t>Does not exist; no owner, no documentation, no practice.</t>
        </is>
      </c>
      <c r="Q275" s="3" t="inlineStr">
        <is>
          <t>Ad hoc; depends entirely on specific individuals.</t>
        </is>
      </c>
      <c r="R275" s="3" t="inlineStr">
        <is>
          <t>Partially documented or implemented; coverage inconsistent; never tested under stress.</t>
        </is>
      </c>
      <c r="S275" s="3" t="inlineStr">
        <is>
          <t>Documented, owned, executed consistently; basic evidence and metrics exist.</t>
        </is>
      </c>
      <c r="T275" s="3" t="inlineStr">
        <is>
          <t>Measured and periodically tested/audited; integrated with adjacent processes.</t>
        </is>
      </c>
      <c r="U275" s="3" t="inlineStr">
        <is>
          <t>Optimized and automated where practical; stress-tested; benchmarked externally.</t>
        </is>
      </c>
      <c r="V275" s="3" t="inlineStr">
        <is>
          <t>Demand shock; Revenue loss; Reputation crisis</t>
        </is>
      </c>
      <c r="W275" s="3" t="n"/>
      <c r="X275" s="3" t="n"/>
      <c r="Y275" s="3" t="inlineStr">
        <is>
          <t>Use the recommended action generated by the model; validate with domain owner during real assessment.</t>
        </is>
      </c>
      <c r="Z275" s="7" t="n">
        <v>4</v>
      </c>
      <c r="AA275" s="7" t="n">
        <v>5</v>
      </c>
      <c r="AB275" s="7" t="n">
        <v>5</v>
      </c>
      <c r="AK275" s="46" t="n"/>
      <c r="AL275" s="46" t="n"/>
      <c r="AM275" s="247">
        <f>_DATA_Assessment_Model!AJ275</f>
        <v/>
      </c>
      <c r="AN275" s="247">
        <f>_DATA_Assessment_Model!AK275</f>
        <v/>
      </c>
      <c r="AO275" s="247">
        <f>_DATA_Assessment_Model!AL275</f>
        <v/>
      </c>
      <c r="AP275" s="247">
        <f>_DATA_Assessment_Model!AM275</f>
        <v/>
      </c>
      <c r="AQ275" s="247">
        <f>_DATA_Assessment_Model!AN275</f>
        <v/>
      </c>
      <c r="AR275" s="247">
        <f>_DATA_Assessment_Model!AO275</f>
        <v/>
      </c>
      <c r="AS275" s="247">
        <f>_DATA_Assessment_Model!AP275</f>
        <v/>
      </c>
      <c r="AT275" s="247">
        <f>_DATA_Assessment_Model!AQ275</f>
        <v/>
      </c>
      <c r="AU275" s="247">
        <f>_DATA_Assessment_Model!AR275</f>
        <v/>
      </c>
      <c r="AV275" s="5">
        <f>_DATA_Assessment_Model!AS275</f>
        <v/>
      </c>
      <c r="AW275" s="5">
        <f>_DATA_Assessment_Model!AT275</f>
        <v/>
      </c>
      <c r="AY275">
        <f>_DATA_Assessment_Model!AV275</f>
        <v/>
      </c>
    </row>
    <row r="276" ht="96.59999999999999" customHeight="1" s="209">
      <c r="A276" t="inlineStr">
        <is>
          <t>Sales CRM</t>
        </is>
      </c>
      <c r="B276" t="inlineStr">
        <is>
          <t>Sales CRM</t>
        </is>
      </c>
      <c r="C276" t="n">
        <v>24</v>
      </c>
      <c r="D276" s="3" t="inlineStr">
        <is>
          <t>SALE-022</t>
        </is>
      </c>
      <c r="E276" s="3" t="inlineStr">
        <is>
          <t>Customer service</t>
        </is>
      </c>
      <c r="F276" s="3" t="inlineStr">
        <is>
          <t>How mature is the organization in managing customer service operating model with channels, coverage hours, tiers and service levels, including ownership, evidence, metrics, fallback procedures and crisis stress testing?</t>
        </is>
      </c>
      <c r="G276" s="3" t="inlineStr">
        <is>
          <t>This topic affects exposure to Demand shock; Reputation crisis; Workforce disruption. It helps identify how disruption may impact operations, people, revenue, systems, legal exposure or recovery time.</t>
        </is>
      </c>
      <c r="H276" s="3" t="inlineStr">
        <is>
          <t>APQC PCF 6.0; ITIL; ISO 10002; ISO 22301</t>
        </is>
      </c>
      <c r="I276" s="3" t="inlineStr">
        <is>
          <t>Policy/SOP; owner/RACI; system report; dashboard; contracts; test records; incident history; interview evidence related to CRM as single source of truth for accounts, contacts, opportunities, activities and forecasts.</t>
        </is>
      </c>
      <c r="J276" s="3" t="n">
        <v>4</v>
      </c>
      <c r="K276" s="85">
        <f>_DATA_Assessment_Model!H276</f>
        <v/>
      </c>
      <c r="L276" s="4">
        <f>_DATA_Assessment_Model!I276</f>
        <v/>
      </c>
      <c r="M276" s="4">
        <f>_DATA_Assessment_Model!J276</f>
        <v/>
      </c>
      <c r="N276" s="4">
        <f>_DATA_Assessment_Model!K276</f>
        <v/>
      </c>
      <c r="O276" s="3">
        <f>_DATA_Assessment_Model!L276</f>
        <v/>
      </c>
      <c r="P276" s="3" t="inlineStr">
        <is>
          <t>No reliable evidence that customer service operating model with channels, coverage hours, tiers and service levels is defined, owned or managed.</t>
        </is>
      </c>
      <c r="Q276" s="3" t="inlineStr">
        <is>
          <t>Customer service operating model with channels, coverage hours, tiers and service levels is handled informally and depends on individual knowledge or heroic effort.</t>
        </is>
      </c>
      <c r="R276" s="3" t="inlineStr">
        <is>
          <t>Customer service operating model with channels, coverage hours, tiers and service levels is partially documented or implemented, but coverage is inconsistent and not crisis-tested.</t>
        </is>
      </c>
      <c r="S276" s="3" t="inlineStr">
        <is>
          <t>Customer service operating model with channels, coverage hours, tiers and service levels is documented, owned, used in normal operations and supported by basic evidence or metrics.</t>
        </is>
      </c>
      <c r="T276" s="3" t="inlineStr">
        <is>
          <t>Customer service operating model with channels, coverage hours, tiers and service levels is measured, periodically reviewed, integrated with related processes and tested against relevant disruption scenarios.</t>
        </is>
      </c>
      <c r="U276" s="3" t="inlineStr">
        <is>
          <t>Customer service operating model with channels, coverage hours, tiers and service levels is optimized, continuously improved, automated where practical and demonstrably supports crisis resilience.</t>
        </is>
      </c>
      <c r="V276" s="3" t="inlineStr">
        <is>
          <t>Demand shock; Reputation crisis; Workforce disruption</t>
        </is>
      </c>
      <c r="W276" s="3" t="n"/>
      <c r="X276" s="3" t="n"/>
      <c r="Y276" s="3" t="inlineStr">
        <is>
          <t>Use the recommended action generated by the model; validate with domain owner during real assessment.</t>
        </is>
      </c>
      <c r="Z276" s="7" t="n">
        <v>4</v>
      </c>
      <c r="AA276" s="7" t="n">
        <v>4</v>
      </c>
      <c r="AB276" s="7" t="n">
        <v>5</v>
      </c>
      <c r="AK276" s="46" t="n"/>
      <c r="AL276" s="46" t="n"/>
      <c r="AM276" s="247">
        <f>_DATA_Assessment_Model!AJ276</f>
        <v/>
      </c>
      <c r="AN276" s="247">
        <f>_DATA_Assessment_Model!AK276</f>
        <v/>
      </c>
      <c r="AO276" s="247">
        <f>_DATA_Assessment_Model!AL276</f>
        <v/>
      </c>
      <c r="AP276" s="247">
        <f>_DATA_Assessment_Model!AM276</f>
        <v/>
      </c>
      <c r="AQ276" s="247">
        <f>_DATA_Assessment_Model!AN276</f>
        <v/>
      </c>
      <c r="AR276" s="247">
        <f>_DATA_Assessment_Model!AO276</f>
        <v/>
      </c>
      <c r="AS276" s="247">
        <f>_DATA_Assessment_Model!AP276</f>
        <v/>
      </c>
      <c r="AT276" s="247">
        <f>_DATA_Assessment_Model!AQ276</f>
        <v/>
      </c>
      <c r="AU276" s="247">
        <f>_DATA_Assessment_Model!AR276</f>
        <v/>
      </c>
      <c r="AV276" s="5">
        <f>_DATA_Assessment_Model!AS276</f>
        <v/>
      </c>
      <c r="AW276" s="5">
        <f>_DATA_Assessment_Model!AT276</f>
        <v/>
      </c>
      <c r="AY276">
        <f>_DATA_Assessment_Model!AV276</f>
        <v/>
      </c>
    </row>
    <row r="277" ht="110.4" customHeight="1" s="209">
      <c r="A277" t="inlineStr">
        <is>
          <t>Sales CRM</t>
        </is>
      </c>
      <c r="B277" t="inlineStr">
        <is>
          <t>Sales CRM</t>
        </is>
      </c>
      <c r="C277" t="n">
        <v>25</v>
      </c>
      <c r="D277" s="3" t="inlineStr">
        <is>
          <t>SALE-023</t>
        </is>
      </c>
      <c r="E277" s="3" t="inlineStr">
        <is>
          <t>Customer service</t>
        </is>
      </c>
      <c r="F277" s="3" t="inlineStr">
        <is>
          <t>How mature is the organization in managing case and ticket management with logging, categorization, prioritization, escalation and backlog control, including ownership, evidence, metrics, fallback procedures and crisis stress testing?</t>
        </is>
      </c>
      <c r="G277" s="3" t="inlineStr">
        <is>
          <t>This topic affects exposure to Demand shock; Reputation crisis; Cyberattack/ransomware. It helps identify how disruption may impact operations, people, revenue, systems, legal exposure or recovery time.</t>
        </is>
      </c>
      <c r="H277" s="3" t="inlineStr">
        <is>
          <t>APQC PCF 6.2; ITIL; ISO 10002</t>
        </is>
      </c>
      <c r="I277" s="3" t="inlineStr">
        <is>
          <t>Policy/SOP; owner/RACI; system report; dashboard; contracts; test records; incident history; interview evidence related to CRM as single source of truth for accounts, contacts, opportunities, activities and forecasts.</t>
        </is>
      </c>
      <c r="J277" s="3" t="n">
        <v>4</v>
      </c>
      <c r="K277" s="85">
        <f>_DATA_Assessment_Model!H277</f>
        <v/>
      </c>
      <c r="L277" s="4">
        <f>_DATA_Assessment_Model!I277</f>
        <v/>
      </c>
      <c r="M277" s="4">
        <f>_DATA_Assessment_Model!J277</f>
        <v/>
      </c>
      <c r="N277" s="4">
        <f>_DATA_Assessment_Model!K277</f>
        <v/>
      </c>
      <c r="O277" s="3">
        <f>_DATA_Assessment_Model!L277</f>
        <v/>
      </c>
      <c r="P277" s="3" t="inlineStr">
        <is>
          <t>No reliable evidence that case and ticket management with logging, categorization, prioritization, escalation and backlog control is defined, owned or managed.</t>
        </is>
      </c>
      <c r="Q277" s="3" t="inlineStr">
        <is>
          <t>Case and ticket management with logging, categorization, prioritization, escalation and backlog control is handled informally and depends on individual knowledge or heroic effort.</t>
        </is>
      </c>
      <c r="R277" s="3" t="inlineStr">
        <is>
          <t>Case and ticket management with logging, categorization, prioritization, escalation and backlog control is partially documented or implemented, but coverage is inconsistent and not crisis-tested.</t>
        </is>
      </c>
      <c r="S277" s="3" t="inlineStr">
        <is>
          <t>Case and ticket management with logging, categorization, prioritization, escalation and backlog control is documented, owned, used in normal operations and supported by basic evidence or metrics.</t>
        </is>
      </c>
      <c r="T277" s="3" t="inlineStr">
        <is>
          <t>Case and ticket management with logging, categorization, prioritization, escalation and backlog control is measured, periodically reviewed, integrated with related processes and tested against relevant disruption scenarios.</t>
        </is>
      </c>
      <c r="U277" s="3" t="inlineStr">
        <is>
          <t>Case and ticket management with logging, categorization, prioritization, escalation and backlog control is optimized, continuously improved, automated where practical and demonstrably supports crisis resilience.</t>
        </is>
      </c>
      <c r="V277" s="3" t="inlineStr">
        <is>
          <t>Demand shock; Reputation crisis; Cyberattack/ransomware</t>
        </is>
      </c>
      <c r="W277" s="3" t="n"/>
      <c r="X277" s="3" t="n"/>
      <c r="Y277" s="3" t="inlineStr">
        <is>
          <t>Use the recommended action generated by the model; validate with domain owner during real assessment.</t>
        </is>
      </c>
      <c r="Z277" s="7" t="n">
        <v>5</v>
      </c>
      <c r="AA277" s="7" t="n">
        <v>4</v>
      </c>
      <c r="AB277" s="7" t="n">
        <v>5</v>
      </c>
      <c r="AK277" s="46" t="n"/>
      <c r="AL277" s="46" t="n"/>
      <c r="AM277" s="247">
        <f>_DATA_Assessment_Model!AJ277</f>
        <v/>
      </c>
      <c r="AN277" s="247">
        <f>_DATA_Assessment_Model!AK277</f>
        <v/>
      </c>
      <c r="AO277" s="247">
        <f>_DATA_Assessment_Model!AL277</f>
        <v/>
      </c>
      <c r="AP277" s="247">
        <f>_DATA_Assessment_Model!AM277</f>
        <v/>
      </c>
      <c r="AQ277" s="247">
        <f>_DATA_Assessment_Model!AN277</f>
        <v/>
      </c>
      <c r="AR277" s="247">
        <f>_DATA_Assessment_Model!AO277</f>
        <v/>
      </c>
      <c r="AS277" s="247">
        <f>_DATA_Assessment_Model!AP277</f>
        <v/>
      </c>
      <c r="AT277" s="247">
        <f>_DATA_Assessment_Model!AQ277</f>
        <v/>
      </c>
      <c r="AU277" s="247">
        <f>_DATA_Assessment_Model!AR277</f>
        <v/>
      </c>
      <c r="AV277" s="5">
        <f>_DATA_Assessment_Model!AS277</f>
        <v/>
      </c>
      <c r="AW277" s="5">
        <f>_DATA_Assessment_Model!AT277</f>
        <v/>
      </c>
      <c r="AY277">
        <f>_DATA_Assessment_Model!AV277</f>
        <v/>
      </c>
    </row>
    <row r="278">
      <c r="A278" t="inlineStr">
        <is>
          <t>Sales CRM</t>
        </is>
      </c>
      <c r="B278" t="inlineStr">
        <is>
          <t>Sales CRM</t>
        </is>
      </c>
      <c r="C278" t="n">
        <v>26</v>
      </c>
      <c r="D278" t="inlineStr">
        <is>
          <t>SALE-024</t>
        </is>
      </c>
      <c r="E278" t="inlineStr">
        <is>
          <t>Customer service</t>
        </is>
      </c>
      <c r="F278" t="inlineStr">
        <is>
          <t>How mature is the organization in managing customer service continuity with surge handling, channel failover and after-hours emergency coverage, including ownership, evidence, metrics, fallback procedures and crisis stress testing?</t>
        </is>
      </c>
      <c r="G278" t="inlineStr">
        <is>
          <t>This topic affects exposure to Demand shock; Workforce disruption; Cloud/SaaS outage. It helps identify how disruption may impact operations, people, revenue, systems, legal exposure or recovery time.</t>
        </is>
      </c>
      <c r="H278" t="inlineStr">
        <is>
          <t>ISO 22301; ITIL; APQC PCF 6.0</t>
        </is>
      </c>
      <c r="I278" t="inlineStr">
        <is>
          <t>Policy/SOP; owner/RACI; system report; dashboard; contracts; test records; incident history; interview evidence related to CRM as single source of truth for accounts, contacts, opportunities, activities and forecasts.</t>
        </is>
      </c>
      <c r="J278" t="n">
        <v>5</v>
      </c>
      <c r="K278">
        <f>_DATA_Assessment_Model!H278</f>
        <v/>
      </c>
      <c r="L278">
        <f>_DATA_Assessment_Model!I278</f>
        <v/>
      </c>
      <c r="M278">
        <f>_DATA_Assessment_Model!J278</f>
        <v/>
      </c>
      <c r="N278">
        <f>_DATA_Assessment_Model!K278</f>
        <v/>
      </c>
      <c r="O278">
        <f>_DATA_Assessment_Model!L278</f>
        <v/>
      </c>
      <c r="P278" t="inlineStr">
        <is>
          <t>Does not exist; no owner, no documentation, no practice.</t>
        </is>
      </c>
      <c r="Q278" t="inlineStr">
        <is>
          <t>Ad hoc; depends entirely on specific individuals.</t>
        </is>
      </c>
      <c r="R278" t="inlineStr">
        <is>
          <t>Partially documented or implemented; coverage inconsistent; never tested under stress.</t>
        </is>
      </c>
      <c r="S278" t="inlineStr">
        <is>
          <t>Documented, owned, executed consistently; basic evidence and metrics exist.</t>
        </is>
      </c>
      <c r="T278" t="inlineStr">
        <is>
          <t>Measured and periodically tested/audited; integrated with adjacent processes.</t>
        </is>
      </c>
      <c r="U278" t="inlineStr">
        <is>
          <t>Optimized and automated where practical; stress-tested; benchmarked externally.</t>
        </is>
      </c>
      <c r="V278" t="inlineStr">
        <is>
          <t>Demand shock; Workforce disruption; Cloud/SaaS outage</t>
        </is>
      </c>
      <c r="Y278" t="inlineStr">
        <is>
          <t>Use the recommended action generated by the model; validate with domain owner during real assessment.</t>
        </is>
      </c>
      <c r="Z278" t="n">
        <v>4</v>
      </c>
      <c r="AA278" t="n">
        <v>5</v>
      </c>
      <c r="AB278" t="n">
        <v>4</v>
      </c>
      <c r="AM278">
        <f>_DATA_Assessment_Model!AJ278</f>
        <v/>
      </c>
      <c r="AN278">
        <f>_DATA_Assessment_Model!AK278</f>
        <v/>
      </c>
      <c r="AO278">
        <f>_DATA_Assessment_Model!AL278</f>
        <v/>
      </c>
      <c r="AP278">
        <f>_DATA_Assessment_Model!AM278</f>
        <v/>
      </c>
      <c r="AQ278">
        <f>_DATA_Assessment_Model!AN278</f>
        <v/>
      </c>
      <c r="AR278">
        <f>_DATA_Assessment_Model!AO278</f>
        <v/>
      </c>
      <c r="AS278">
        <f>_DATA_Assessment_Model!AP278</f>
        <v/>
      </c>
      <c r="AT278">
        <f>_DATA_Assessment_Model!AQ278</f>
        <v/>
      </c>
      <c r="AU278">
        <f>_DATA_Assessment_Model!AR278</f>
        <v/>
      </c>
      <c r="AV278">
        <f>_DATA_Assessment_Model!AS278</f>
        <v/>
      </c>
      <c r="AW278">
        <f>_DATA_Assessment_Model!AT278</f>
        <v/>
      </c>
      <c r="AY278">
        <f>_DATA_Assessment_Model!AV278</f>
        <v/>
      </c>
    </row>
    <row r="279">
      <c r="A279" t="inlineStr">
        <is>
          <t>Sales CRM</t>
        </is>
      </c>
      <c r="B279" t="inlineStr">
        <is>
          <t>Sales CRM</t>
        </is>
      </c>
      <c r="C279" t="n">
        <v>27</v>
      </c>
      <c r="D279" t="inlineStr">
        <is>
          <t>SALE-025</t>
        </is>
      </c>
      <c r="E279" t="inlineStr">
        <is>
          <t>Customer service</t>
        </is>
      </c>
      <c r="F279" t="inlineStr">
        <is>
          <t>How mature is the organization in managing voice-of-customer loop converting complaints and feedback into product and process improvements, including ownership, evidence, metrics, fallback procedures and crisis stress testing?</t>
        </is>
      </c>
      <c r="G279" t="inlineStr">
        <is>
          <t>This topic affects exposure to Reputation crisis; Demand shock. It helps identify how disruption may impact operations, people, revenue, systems, legal exposure or recovery time.</t>
        </is>
      </c>
      <c r="H279" t="inlineStr">
        <is>
          <t>ISO 10002; ISO 10004; APQC PCF 6.3</t>
        </is>
      </c>
      <c r="I279" t="inlineStr">
        <is>
          <t>Policy/SOP; owner/RACI; system report; dashboard; contracts; test records; incident history; interview evidence related to CRM as single source of truth for accounts, contacts, opportunities, activities and forecasts.</t>
        </is>
      </c>
      <c r="J279" t="n">
        <v>3</v>
      </c>
      <c r="K279">
        <f>_DATA_Assessment_Model!H279</f>
        <v/>
      </c>
      <c r="L279">
        <f>_DATA_Assessment_Model!I279</f>
        <v/>
      </c>
      <c r="M279">
        <f>_DATA_Assessment_Model!J279</f>
        <v/>
      </c>
      <c r="N279">
        <f>_DATA_Assessment_Model!K279</f>
        <v/>
      </c>
      <c r="O279">
        <f>_DATA_Assessment_Model!L279</f>
        <v/>
      </c>
      <c r="P279" t="inlineStr">
        <is>
          <t>No reliable evidence that voice-of-customer loop converting complaints and feedback into product and process improvements is defined, owned or managed.</t>
        </is>
      </c>
      <c r="Q279" t="inlineStr">
        <is>
          <t>Voice-of-customer loop converting complaints and feedback into product and process improvements is handled informally and depends on individual knowledge or heroic effort.</t>
        </is>
      </c>
      <c r="R279" t="inlineStr">
        <is>
          <t>Voice-of-customer loop converting complaints and feedback into product and process improvements is partially documented or implemented, but coverage is inconsistent and not crisis-tested.</t>
        </is>
      </c>
      <c r="S279" t="inlineStr">
        <is>
          <t>Voice-of-customer loop converting complaints and feedback into product and process improvements is documented, owned, used in normal operations and supported by basic evidence or metrics.</t>
        </is>
      </c>
      <c r="T279" t="inlineStr">
        <is>
          <t>Voice-of-customer loop converting complaints and feedback into product and process improvements is measured, periodically reviewed, integrated with related processes and tested against relevant disruption scenarios.</t>
        </is>
      </c>
      <c r="U279" t="inlineStr">
        <is>
          <t>Voice-of-customer loop converting complaints and feedback into product and process improvements is optimized, continuously improved, automated where practical and demonstrably supports crisis resilience.</t>
        </is>
      </c>
      <c r="V279" t="inlineStr">
        <is>
          <t>Reputation crisis; Demand shock</t>
        </is>
      </c>
      <c r="Y279" t="inlineStr">
        <is>
          <t>Use the recommended action generated by the model; validate with domain owner during real assessment.</t>
        </is>
      </c>
      <c r="Z279" t="n">
        <v>3</v>
      </c>
      <c r="AA279" t="n">
        <v>3</v>
      </c>
      <c r="AB279" t="n">
        <v>5</v>
      </c>
      <c r="AM279">
        <f>_DATA_Assessment_Model!AJ279</f>
        <v/>
      </c>
      <c r="AN279">
        <f>_DATA_Assessment_Model!AK279</f>
        <v/>
      </c>
      <c r="AO279">
        <f>_DATA_Assessment_Model!AL279</f>
        <v/>
      </c>
      <c r="AP279">
        <f>_DATA_Assessment_Model!AM279</f>
        <v/>
      </c>
      <c r="AQ279">
        <f>_DATA_Assessment_Model!AN279</f>
        <v/>
      </c>
      <c r="AR279">
        <f>_DATA_Assessment_Model!AO279</f>
        <v/>
      </c>
      <c r="AS279">
        <f>_DATA_Assessment_Model!AP279</f>
        <v/>
      </c>
      <c r="AT279">
        <f>_DATA_Assessment_Model!AQ279</f>
        <v/>
      </c>
      <c r="AU279">
        <f>_DATA_Assessment_Model!AR279</f>
        <v/>
      </c>
      <c r="AV279">
        <f>_DATA_Assessment_Model!AS279</f>
        <v/>
      </c>
      <c r="AW279">
        <f>_DATA_Assessment_Model!AT279</f>
        <v/>
      </c>
      <c r="AY279">
        <f>_DATA_Assessment_Model!AV279</f>
        <v/>
      </c>
    </row>
    <row r="280">
      <c r="A280" t="inlineStr">
        <is>
          <t>Sales CRM</t>
        </is>
      </c>
      <c r="B280" t="inlineStr">
        <is>
          <t>Sales CRM</t>
        </is>
      </c>
      <c r="C280" t="n">
        <v>28</v>
      </c>
      <c r="D280" t="inlineStr">
        <is>
          <t>SALE-026</t>
        </is>
      </c>
      <c r="E280" t="inlineStr">
        <is>
          <t>Customer service</t>
        </is>
      </c>
      <c r="F280" t="inlineStr">
        <is>
          <t>How mature is the organization in managing systematic customer perception measurement with NPS or CSAT trends, segmentation and follow-up actions, including ownership, evidence, metrics, fallback procedures and crisis stress testing?</t>
        </is>
      </c>
      <c r="G280" t="inlineStr">
        <is>
          <t>This topic affects exposure to Reputation crisis; Demand shock; Key customer loss. It helps identify how disruption may impact operations, people, revenue, systems, legal exposure or recovery time.</t>
        </is>
      </c>
      <c r="H280" t="inlineStr">
        <is>
          <t>ISO 10004; EFQM 2025 Results; APQC PCF 3.0</t>
        </is>
      </c>
      <c r="I280" t="inlineStr">
        <is>
          <t>Policy/SOP; owner/RACI; system report; dashboard; contracts; test records; incident history; interview evidence related to CRM as single source of truth for accounts, contacts, opportunities, activities and forecasts.</t>
        </is>
      </c>
      <c r="J280" t="n">
        <v>4</v>
      </c>
      <c r="K280">
        <f>_DATA_Assessment_Model!H280</f>
        <v/>
      </c>
      <c r="L280">
        <f>_DATA_Assessment_Model!I280</f>
        <v/>
      </c>
      <c r="M280">
        <f>_DATA_Assessment_Model!J280</f>
        <v/>
      </c>
      <c r="N280">
        <f>_DATA_Assessment_Model!K280</f>
        <v/>
      </c>
      <c r="O280">
        <f>_DATA_Assessment_Model!L280</f>
        <v/>
      </c>
      <c r="P280" t="inlineStr">
        <is>
          <t>No reliable evidence that systematic customer perception measurement with NPS or CSAT trends, segmentation and follow-up actions is defined, owned or managed.</t>
        </is>
      </c>
      <c r="Q280" t="inlineStr">
        <is>
          <t>Systematic customer perception measurement with NPS or CSAT trends, segmentation and follow-up actions is handled informally and depends on individual knowledge or heroic effort.</t>
        </is>
      </c>
      <c r="R280" t="inlineStr">
        <is>
          <t>Systematic customer perception measurement with NPS or CSAT trends, segmentation and follow-up actions is partially documented or implemented, but coverage is inconsistent and not crisis-tested.</t>
        </is>
      </c>
      <c r="S280" t="inlineStr">
        <is>
          <t>Systematic customer perception measurement with NPS or CSAT trends, segmentation and follow-up actions is documented, owned, used in normal operations and supported by basic evidence or metrics.</t>
        </is>
      </c>
      <c r="T280" t="inlineStr">
        <is>
          <t>Systematic customer perception measurement with NPS or CSAT trends, segmentation and follow-up actions is measured, periodically reviewed, integrated with related processes and tested against relevant disruption scenarios.</t>
        </is>
      </c>
      <c r="U280" t="inlineStr">
        <is>
          <t>Systematic customer perception measurement with NPS or CSAT trends, segmentation and follow-up actions is optimized, continuously improved, automated where practical and demonstrably supports crisis resilience.</t>
        </is>
      </c>
      <c r="V280" t="inlineStr">
        <is>
          <t>Reputation crisis; Demand shock; Key customer loss</t>
        </is>
      </c>
      <c r="Y280" t="inlineStr">
        <is>
          <t>Use the recommended action generated by the model; validate with domain owner during real assessment.</t>
        </is>
      </c>
      <c r="Z280" t="n">
        <v>4</v>
      </c>
      <c r="AA280" t="n">
        <v>3</v>
      </c>
      <c r="AB280" t="n">
        <v>4</v>
      </c>
      <c r="AM280">
        <f>_DATA_Assessment_Model!AJ280</f>
        <v/>
      </c>
      <c r="AN280">
        <f>_DATA_Assessment_Model!AK280</f>
        <v/>
      </c>
      <c r="AO280">
        <f>_DATA_Assessment_Model!AL280</f>
        <v/>
      </c>
      <c r="AP280">
        <f>_DATA_Assessment_Model!AM280</f>
        <v/>
      </c>
      <c r="AQ280">
        <f>_DATA_Assessment_Model!AN280</f>
        <v/>
      </c>
      <c r="AR280">
        <f>_DATA_Assessment_Model!AO280</f>
        <v/>
      </c>
      <c r="AS280">
        <f>_DATA_Assessment_Model!AP280</f>
        <v/>
      </c>
      <c r="AT280">
        <f>_DATA_Assessment_Model!AQ280</f>
        <v/>
      </c>
      <c r="AU280">
        <f>_DATA_Assessment_Model!AR280</f>
        <v/>
      </c>
      <c r="AV280">
        <f>_DATA_Assessment_Model!AS280</f>
        <v/>
      </c>
      <c r="AW280">
        <f>_DATA_Assessment_Model!AT280</f>
        <v/>
      </c>
      <c r="AY280">
        <f>_DATA_Assessment_Model!AV280</f>
        <v/>
      </c>
    </row>
    <row r="281" ht="96.59999999999999" customHeight="1" s="209">
      <c r="A281" t="inlineStr">
        <is>
          <t>Marketing Comms</t>
        </is>
      </c>
      <c r="B281" t="inlineStr">
        <is>
          <t>Marketing Comms</t>
        </is>
      </c>
      <c r="C281" t="n">
        <v>5</v>
      </c>
      <c r="D281" s="3" t="inlineStr">
        <is>
          <t>MARK-001</t>
        </is>
      </c>
      <c r="E281" s="3" t="inlineStr">
        <is>
          <t>Brand and market presence</t>
        </is>
      </c>
      <c r="F281" s="3" t="inlineStr">
        <is>
          <t>How mature is the organization in managing brand positioning aligned with ICP, offering, differentiation and proof points, including ownership, evidence, metrics, fallback procedures and crisis stress testing?</t>
        </is>
      </c>
      <c r="G281" s="3" t="inlineStr">
        <is>
          <t>This topic affects exposure to Reputation crisis; Demand shock; IT outage. It helps identify how disruption may impact operations, people, revenue, systems, legal exposure or recovery time.</t>
        </is>
      </c>
      <c r="H281" s="3" t="inlineStr">
        <is>
          <t>ISO 10002; ISO 10004; ISO 20671-1; ISO 22301; AMEC; crisis communication best practices</t>
        </is>
      </c>
      <c r="I281" s="3" t="inlineStr">
        <is>
          <t>Policy/SOP; owner/RACI; system report; dashboard; contracts; test records; incident history; interview evidence related to brand positioning aligned with ICP, offering, differentiation and proof points.</t>
        </is>
      </c>
      <c r="J281" s="3" t="n">
        <v>3</v>
      </c>
      <c r="K281" s="85">
        <f>_DATA_Assessment_Model!H281</f>
        <v/>
      </c>
      <c r="L281" s="4">
        <f>_DATA_Assessment_Model!I281</f>
        <v/>
      </c>
      <c r="M281" s="4">
        <f>_DATA_Assessment_Model!J281</f>
        <v/>
      </c>
      <c r="N281" s="4">
        <f>_DATA_Assessment_Model!K281</f>
        <v/>
      </c>
      <c r="O281" s="3">
        <f>_DATA_Assessment_Model!L281</f>
        <v/>
      </c>
      <c r="P281" s="3" t="inlineStr">
        <is>
          <t>No reliable evidence that brand positioning aligned with icp, offering, differentiation and proof points is defined, owned or managed.</t>
        </is>
      </c>
      <c r="Q281" s="3" t="inlineStr">
        <is>
          <t>Brand positioning aligned with ICP, offering, differentiation and proof points is handled informally and depends on individual knowledge or heroic effort.</t>
        </is>
      </c>
      <c r="R281" s="3" t="inlineStr">
        <is>
          <t>Brand positioning aligned with ICP, offering, differentiation and proof points is partially documented or implemented, but coverage is inconsistent and not crisis-tested.</t>
        </is>
      </c>
      <c r="S281" s="3" t="inlineStr">
        <is>
          <t>Brand positioning aligned with ICP, offering, differentiation and proof points is documented, owned, used in normal operations and supported by basic evidence or metrics.</t>
        </is>
      </c>
      <c r="T281" s="3" t="inlineStr">
        <is>
          <t>Brand positioning aligned with ICP, offering, differentiation and proof points is measured, periodically reviewed, integrated with related processes and tested against relevant disruption scenarios.</t>
        </is>
      </c>
      <c r="U281" s="3" t="inlineStr">
        <is>
          <t>Brand positioning aligned with ICP, offering, differentiation and proof points is optimized, continuously improved, automated where practical and demonstrably supports crisis resilience.</t>
        </is>
      </c>
      <c r="V281" s="3" t="inlineStr">
        <is>
          <t>Reputation crisis; Demand shock; IT outage</t>
        </is>
      </c>
      <c r="W281" s="3" t="n"/>
      <c r="X281" s="3" t="n"/>
      <c r="Y281" s="3" t="inlineStr">
        <is>
          <t>Use the recommended action generated by the model; validate with domain owner during real assessment.</t>
        </is>
      </c>
      <c r="Z281" s="7" t="n">
        <v>4</v>
      </c>
      <c r="AA281" s="7" t="n">
        <v>5</v>
      </c>
      <c r="AB281" s="7" t="n">
        <v>5</v>
      </c>
      <c r="AD281" t="inlineStr">
        <is>
          <t>Brand and market presence</t>
        </is>
      </c>
      <c r="AE281" s="6">
        <f>_DATA_Assessment_Model!AB281</f>
        <v/>
      </c>
      <c r="AF281" s="8">
        <f>_DATA_Assessment_Model!AC281</f>
        <v/>
      </c>
      <c r="AG281" s="9">
        <f>_DATA_Assessment_Model!AD281</f>
        <v/>
      </c>
      <c r="AH281" s="6">
        <f>_DATA_Assessment_Model!AE281</f>
        <v/>
      </c>
      <c r="AI281" s="8">
        <f>_DATA_Assessment_Model!AF281</f>
        <v/>
      </c>
      <c r="AJ281" s="6">
        <f>_DATA_Assessment_Model!AG281</f>
        <v/>
      </c>
      <c r="AK281" s="46" t="n"/>
      <c r="AL281" s="46" t="n"/>
      <c r="AM281" s="247">
        <f>_DATA_Assessment_Model!AJ281</f>
        <v/>
      </c>
      <c r="AN281" s="247">
        <f>_DATA_Assessment_Model!AK281</f>
        <v/>
      </c>
      <c r="AO281" s="247">
        <f>_DATA_Assessment_Model!AL281</f>
        <v/>
      </c>
      <c r="AP281" s="247">
        <f>_DATA_Assessment_Model!AM281</f>
        <v/>
      </c>
      <c r="AQ281" s="247">
        <f>_DATA_Assessment_Model!AN281</f>
        <v/>
      </c>
      <c r="AR281" s="247">
        <f>_DATA_Assessment_Model!AO281</f>
        <v/>
      </c>
      <c r="AS281" s="247">
        <f>_DATA_Assessment_Model!AP281</f>
        <v/>
      </c>
      <c r="AT281" s="247">
        <f>_DATA_Assessment_Model!AQ281</f>
        <v/>
      </c>
      <c r="AU281" s="247">
        <f>_DATA_Assessment_Model!AR281</f>
        <v/>
      </c>
      <c r="AV281" s="5">
        <f>_DATA_Assessment_Model!AS281</f>
        <v/>
      </c>
      <c r="AW281" s="5">
        <f>_DATA_Assessment_Model!AT281</f>
        <v/>
      </c>
      <c r="AY281">
        <f>_DATA_Assessment_Model!AV281</f>
        <v/>
      </c>
    </row>
    <row r="282" ht="69" customHeight="1" s="209">
      <c r="A282" t="inlineStr">
        <is>
          <t>Marketing Comms</t>
        </is>
      </c>
      <c r="B282" t="inlineStr">
        <is>
          <t>Marketing Comms</t>
        </is>
      </c>
      <c r="C282" t="n">
        <v>6</v>
      </c>
      <c r="D282" s="3" t="inlineStr">
        <is>
          <t>MARK-002</t>
        </is>
      </c>
      <c r="E282" s="3" t="inlineStr">
        <is>
          <t>Brand and market presence</t>
        </is>
      </c>
      <c r="F282" s="3" t="inlineStr">
        <is>
          <t>How mature is the organization in managing digital channel dependency across website, search, paid media, social, events and partners, including ownership, evidence, metrics, fallback procedures and crisis stress testing?</t>
        </is>
      </c>
      <c r="G282" s="3" t="inlineStr">
        <is>
          <t>This topic affects exposure to Reputation crisis; Demand shock; IT outage. It helps identify how disruption may impact operations, people, revenue, systems, legal exposure or recovery time.</t>
        </is>
      </c>
      <c r="H282" s="3" t="inlineStr">
        <is>
          <t>ISO 10002; ISO 10004; ISO 20671-1; ISO 22301; AMEC; crisis communication best practices</t>
        </is>
      </c>
      <c r="I282" s="3" t="inlineStr">
        <is>
          <t>Policy/SOP; owner/RACI; system report; dashboard; contracts; test records; incident history; interview evidence related to digital channel dependency across website, search, paid media, social, events and partners.</t>
        </is>
      </c>
      <c r="J282" s="3" t="n">
        <v>5</v>
      </c>
      <c r="K282" s="85">
        <f>_DATA_Assessment_Model!H282</f>
        <v/>
      </c>
      <c r="L282" s="4">
        <f>_DATA_Assessment_Model!I282</f>
        <v/>
      </c>
      <c r="M282" s="4">
        <f>_DATA_Assessment_Model!J282</f>
        <v/>
      </c>
      <c r="N282" s="4">
        <f>_DATA_Assessment_Model!K282</f>
        <v/>
      </c>
      <c r="O282" s="3">
        <f>_DATA_Assessment_Model!L282</f>
        <v/>
      </c>
      <c r="P282" s="3" t="inlineStr">
        <is>
          <t>Does not exist; no owner, no documentation, no practice.</t>
        </is>
      </c>
      <c r="Q282" s="3" t="inlineStr">
        <is>
          <t>Ad hoc; depends entirely on specific individuals.</t>
        </is>
      </c>
      <c r="R282" s="3" t="inlineStr">
        <is>
          <t>Partially documented or implemented; coverage inconsistent; never tested under stress.</t>
        </is>
      </c>
      <c r="S282" s="3" t="inlineStr">
        <is>
          <t>Documented, owned, executed consistently; basic evidence and metrics exist.</t>
        </is>
      </c>
      <c r="T282" s="3" t="inlineStr">
        <is>
          <t>Measured and periodically tested/audited; integrated with adjacent processes.</t>
        </is>
      </c>
      <c r="U282" s="3" t="inlineStr">
        <is>
          <t>Optimized and automated where practical; stress-tested; benchmarked externally.</t>
        </is>
      </c>
      <c r="V282" s="3" t="inlineStr">
        <is>
          <t>Reputation crisis; Demand shock; IT outage</t>
        </is>
      </c>
      <c r="W282" s="3" t="n"/>
      <c r="X282" s="3" t="n"/>
      <c r="Y282" s="3" t="inlineStr">
        <is>
          <t>Use the recommended action generated by the model; validate with domain owner during real assessment.</t>
        </is>
      </c>
      <c r="Z282" s="7" t="n">
        <v>4</v>
      </c>
      <c r="AA282" s="7" t="n">
        <v>5</v>
      </c>
      <c r="AB282" s="7" t="n">
        <v>5</v>
      </c>
      <c r="AD282" t="inlineStr">
        <is>
          <t>Crisis communication</t>
        </is>
      </c>
      <c r="AE282" s="6">
        <f>_DATA_Assessment_Model!AB282</f>
        <v/>
      </c>
      <c r="AF282" s="8">
        <f>_DATA_Assessment_Model!AC282</f>
        <v/>
      </c>
      <c r="AG282" s="9">
        <f>_DATA_Assessment_Model!AD282</f>
        <v/>
      </c>
      <c r="AH282" s="6">
        <f>_DATA_Assessment_Model!AE282</f>
        <v/>
      </c>
      <c r="AI282" s="8">
        <f>_DATA_Assessment_Model!AF282</f>
        <v/>
      </c>
      <c r="AJ282" s="6">
        <f>_DATA_Assessment_Model!AG282</f>
        <v/>
      </c>
      <c r="AK282" s="46" t="n"/>
      <c r="AL282" s="46" t="n"/>
      <c r="AM282" s="247">
        <f>_DATA_Assessment_Model!AJ282</f>
        <v/>
      </c>
      <c r="AN282" s="247">
        <f>_DATA_Assessment_Model!AK282</f>
        <v/>
      </c>
      <c r="AO282" s="247">
        <f>_DATA_Assessment_Model!AL282</f>
        <v/>
      </c>
      <c r="AP282" s="247">
        <f>_DATA_Assessment_Model!AM282</f>
        <v/>
      </c>
      <c r="AQ282" s="247">
        <f>_DATA_Assessment_Model!AN282</f>
        <v/>
      </c>
      <c r="AR282" s="247">
        <f>_DATA_Assessment_Model!AO282</f>
        <v/>
      </c>
      <c r="AS282" s="247">
        <f>_DATA_Assessment_Model!AP282</f>
        <v/>
      </c>
      <c r="AT282" s="247">
        <f>_DATA_Assessment_Model!AQ282</f>
        <v/>
      </c>
      <c r="AU282" s="247">
        <f>_DATA_Assessment_Model!AR282</f>
        <v/>
      </c>
      <c r="AV282" s="5">
        <f>_DATA_Assessment_Model!AS282</f>
        <v/>
      </c>
      <c r="AW282" s="5">
        <f>_DATA_Assessment_Model!AT282</f>
        <v/>
      </c>
      <c r="AY282">
        <f>_DATA_Assessment_Model!AV282</f>
        <v/>
      </c>
    </row>
    <row r="283" ht="82.8" customHeight="1" s="209">
      <c r="A283" t="inlineStr">
        <is>
          <t>Marketing Comms</t>
        </is>
      </c>
      <c r="B283" t="inlineStr">
        <is>
          <t>Marketing Comms</t>
        </is>
      </c>
      <c r="C283" t="n">
        <v>7</v>
      </c>
      <c r="D283" s="3" t="inlineStr">
        <is>
          <t>MARK-003</t>
        </is>
      </c>
      <c r="E283" s="3" t="inlineStr">
        <is>
          <t>Brand and market presence</t>
        </is>
      </c>
      <c r="F283" s="3" t="inlineStr">
        <is>
          <t>How mature is the organization in managing website and lead-form availability during traffic spikes, cyberattacks or hosting outages, including ownership, evidence, metrics, fallback procedures and crisis stress testing?</t>
        </is>
      </c>
      <c r="G283" s="3" t="inlineStr">
        <is>
          <t>This topic affects exposure to Reputation crisis; Demand shock; IT outage. It helps identify how disruption may impact operations, people, revenue, systems, legal exposure or recovery time.</t>
        </is>
      </c>
      <c r="H283" s="3" t="inlineStr">
        <is>
          <t>ISO 10002; ISO 10004; ISO 20671-1; ISO 22301; AMEC; crisis communication best practices</t>
        </is>
      </c>
      <c r="I283" s="3" t="inlineStr">
        <is>
          <t>Policy/SOP; owner/RACI; system report; dashboard; contracts; test records; incident history; interview evidence related to website and lead-form availability during traffic spikes, cyberattacks or hosting outages.</t>
        </is>
      </c>
      <c r="J283" s="3" t="n">
        <v>5</v>
      </c>
      <c r="K283" s="85">
        <f>_DATA_Assessment_Model!H283</f>
        <v/>
      </c>
      <c r="L283" s="4">
        <f>_DATA_Assessment_Model!I283</f>
        <v/>
      </c>
      <c r="M283" s="4">
        <f>_DATA_Assessment_Model!J283</f>
        <v/>
      </c>
      <c r="N283" s="4">
        <f>_DATA_Assessment_Model!K283</f>
        <v/>
      </c>
      <c r="O283" s="3">
        <f>_DATA_Assessment_Model!L283</f>
        <v/>
      </c>
      <c r="P283" s="3" t="inlineStr">
        <is>
          <t>Does not exist; no owner, no documentation, no practice.</t>
        </is>
      </c>
      <c r="Q283" s="3" t="inlineStr">
        <is>
          <t>Ad hoc; depends entirely on specific individuals.</t>
        </is>
      </c>
      <c r="R283" s="3" t="inlineStr">
        <is>
          <t>Partially documented or implemented; coverage inconsistent; never tested under stress.</t>
        </is>
      </c>
      <c r="S283" s="3" t="inlineStr">
        <is>
          <t>Documented, owned, executed consistently; basic evidence and metrics exist.</t>
        </is>
      </c>
      <c r="T283" s="3" t="inlineStr">
        <is>
          <t>Measured and periodically tested/audited; integrated with adjacent processes.</t>
        </is>
      </c>
      <c r="U283" s="3" t="inlineStr">
        <is>
          <t>Optimized and automated where practical; stress-tested; benchmarked externally.</t>
        </is>
      </c>
      <c r="V283" s="3" t="inlineStr">
        <is>
          <t>Reputation crisis; Demand shock; IT outage</t>
        </is>
      </c>
      <c r="W283" s="3" t="n"/>
      <c r="X283" s="3" t="n"/>
      <c r="Y283" s="3" t="inlineStr">
        <is>
          <t>Use the recommended action generated by the model; validate with domain owner during real assessment.</t>
        </is>
      </c>
      <c r="Z283" s="7" t="n">
        <v>4</v>
      </c>
      <c r="AA283" s="7" t="n">
        <v>5</v>
      </c>
      <c r="AB283" s="7" t="n">
        <v>5</v>
      </c>
      <c r="AD283" t="inlineStr">
        <is>
          <t>Marketing operations</t>
        </is>
      </c>
      <c r="AE283" s="6">
        <f>_DATA_Assessment_Model!AB283</f>
        <v/>
      </c>
      <c r="AF283" s="8">
        <f>_DATA_Assessment_Model!AC283</f>
        <v/>
      </c>
      <c r="AG283" s="9">
        <f>_DATA_Assessment_Model!AD283</f>
        <v/>
      </c>
      <c r="AH283" s="6">
        <f>_DATA_Assessment_Model!AE283</f>
        <v/>
      </c>
      <c r="AI283" s="8">
        <f>_DATA_Assessment_Model!AF283</f>
        <v/>
      </c>
      <c r="AJ283" s="6">
        <f>_DATA_Assessment_Model!AG283</f>
        <v/>
      </c>
      <c r="AK283" s="46" t="n"/>
      <c r="AL283" s="46" t="n"/>
      <c r="AM283" s="247">
        <f>_DATA_Assessment_Model!AJ283</f>
        <v/>
      </c>
      <c r="AN283" s="247">
        <f>_DATA_Assessment_Model!AK283</f>
        <v/>
      </c>
      <c r="AO283" s="247">
        <f>_DATA_Assessment_Model!AL283</f>
        <v/>
      </c>
      <c r="AP283" s="247">
        <f>_DATA_Assessment_Model!AM283</f>
        <v/>
      </c>
      <c r="AQ283" s="247">
        <f>_DATA_Assessment_Model!AN283</f>
        <v/>
      </c>
      <c r="AR283" s="247">
        <f>_DATA_Assessment_Model!AO283</f>
        <v/>
      </c>
      <c r="AS283" s="247">
        <f>_DATA_Assessment_Model!AP283</f>
        <v/>
      </c>
      <c r="AT283" s="247">
        <f>_DATA_Assessment_Model!AQ283</f>
        <v/>
      </c>
      <c r="AU283" s="247">
        <f>_DATA_Assessment_Model!AR283</f>
        <v/>
      </c>
      <c r="AV283" s="5">
        <f>_DATA_Assessment_Model!AS283</f>
        <v/>
      </c>
      <c r="AW283" s="5">
        <f>_DATA_Assessment_Model!AT283</f>
        <v/>
      </c>
      <c r="AY283">
        <f>_DATA_Assessment_Model!AV283</f>
        <v/>
      </c>
    </row>
    <row r="284" ht="96.59999999999999" customHeight="1" s="209">
      <c r="A284" t="inlineStr">
        <is>
          <t>Marketing Comms</t>
        </is>
      </c>
      <c r="B284" t="inlineStr">
        <is>
          <t>Marketing Comms</t>
        </is>
      </c>
      <c r="C284" t="n">
        <v>8</v>
      </c>
      <c r="D284" s="3" t="inlineStr">
        <is>
          <t>MARK-004</t>
        </is>
      </c>
      <c r="E284" s="3" t="inlineStr">
        <is>
          <t>Brand and market presence</t>
        </is>
      </c>
      <c r="F284" s="3" t="inlineStr">
        <is>
          <t>How mature is the organization in managing campaign performance, attribution, conversion, CAC and channel ROI measurement, including ownership, evidence, metrics, fallback procedures and crisis stress testing?</t>
        </is>
      </c>
      <c r="G284" s="3" t="inlineStr">
        <is>
          <t>This topic affects exposure to Reputation crisis; Demand shock; IT outage. It helps identify how disruption may impact operations, people, revenue, systems, legal exposure or recovery time.</t>
        </is>
      </c>
      <c r="H284" s="3" t="inlineStr">
        <is>
          <t>ISO 10002; ISO 10004; ISO 20671-1; ISO 22301; AMEC; crisis communication best practices</t>
        </is>
      </c>
      <c r="I284" s="3" t="inlineStr">
        <is>
          <t>Policy/SOP; owner/RACI; system report; dashboard; contracts; test records; incident history; interview evidence related to campaign performance, attribution, conversion, CAC and channel ROI measurement.</t>
        </is>
      </c>
      <c r="J284" s="3" t="n">
        <v>3</v>
      </c>
      <c r="K284" s="85">
        <f>_DATA_Assessment_Model!H284</f>
        <v/>
      </c>
      <c r="L284" s="4">
        <f>_DATA_Assessment_Model!I284</f>
        <v/>
      </c>
      <c r="M284" s="4">
        <f>_DATA_Assessment_Model!J284</f>
        <v/>
      </c>
      <c r="N284" s="4">
        <f>_DATA_Assessment_Model!K284</f>
        <v/>
      </c>
      <c r="O284" s="3">
        <f>_DATA_Assessment_Model!L284</f>
        <v/>
      </c>
      <c r="P284" s="3" t="inlineStr">
        <is>
          <t>No reliable evidence that campaign performance, attribution, conversion, cac and channel roi measurement is defined, owned or managed.</t>
        </is>
      </c>
      <c r="Q284" s="3" t="inlineStr">
        <is>
          <t>Campaign performance, attribution, conversion, CAC and channel ROI measurement is handled informally and depends on individual knowledge or heroic effort.</t>
        </is>
      </c>
      <c r="R284" s="3" t="inlineStr">
        <is>
          <t>Campaign performance, attribution, conversion, CAC and channel ROI measurement is partially documented or implemented, but coverage is inconsistent and not crisis-tested.</t>
        </is>
      </c>
      <c r="S284" s="3" t="inlineStr">
        <is>
          <t>Campaign performance, attribution, conversion, CAC and channel ROI measurement is documented, owned, used in normal operations and supported by basic evidence or metrics.</t>
        </is>
      </c>
      <c r="T284" s="3" t="inlineStr">
        <is>
          <t>Campaign performance, attribution, conversion, CAC and channel ROI measurement is measured, periodically reviewed, integrated with related processes and tested against relevant disruption scenarios.</t>
        </is>
      </c>
      <c r="U284" s="3" t="inlineStr">
        <is>
          <t>Campaign performance, attribution, conversion, CAC and channel ROI measurement is optimized, continuously improved, automated where practical and demonstrably supports crisis resilience.</t>
        </is>
      </c>
      <c r="V284" s="3" t="inlineStr">
        <is>
          <t>Reputation crisis; Demand shock; IT outage</t>
        </is>
      </c>
      <c r="W284" s="3" t="n"/>
      <c r="X284" s="3" t="n"/>
      <c r="Y284" s="3" t="inlineStr">
        <is>
          <t>Use the recommended action generated by the model; validate with domain owner during real assessment.</t>
        </is>
      </c>
      <c r="Z284" s="7" t="n">
        <v>4</v>
      </c>
      <c r="AA284" s="7" t="n">
        <v>5</v>
      </c>
      <c r="AB284" s="7" t="n">
        <v>5</v>
      </c>
      <c r="AK284" s="46" t="n"/>
      <c r="AL284" s="46" t="n"/>
      <c r="AM284" s="247">
        <f>_DATA_Assessment_Model!AJ284</f>
        <v/>
      </c>
      <c r="AN284" s="247">
        <f>_DATA_Assessment_Model!AK284</f>
        <v/>
      </c>
      <c r="AO284" s="247">
        <f>_DATA_Assessment_Model!AL284</f>
        <v/>
      </c>
      <c r="AP284" s="247">
        <f>_DATA_Assessment_Model!AM284</f>
        <v/>
      </c>
      <c r="AQ284" s="247">
        <f>_DATA_Assessment_Model!AN284</f>
        <v/>
      </c>
      <c r="AR284" s="247">
        <f>_DATA_Assessment_Model!AO284</f>
        <v/>
      </c>
      <c r="AS284" s="247">
        <f>_DATA_Assessment_Model!AP284</f>
        <v/>
      </c>
      <c r="AT284" s="247">
        <f>_DATA_Assessment_Model!AQ284</f>
        <v/>
      </c>
      <c r="AU284" s="247">
        <f>_DATA_Assessment_Model!AR284</f>
        <v/>
      </c>
      <c r="AV284" s="5">
        <f>_DATA_Assessment_Model!AS284</f>
        <v/>
      </c>
      <c r="AW284" s="5">
        <f>_DATA_Assessment_Model!AT284</f>
        <v/>
      </c>
      <c r="AY284">
        <f>_DATA_Assessment_Model!AV284</f>
        <v/>
      </c>
    </row>
    <row r="285" ht="96.59999999999999" customHeight="1" s="209">
      <c r="A285" t="inlineStr">
        <is>
          <t>Marketing Comms</t>
        </is>
      </c>
      <c r="B285" t="inlineStr">
        <is>
          <t>Marketing Comms</t>
        </is>
      </c>
      <c r="C285" t="n">
        <v>9</v>
      </c>
      <c r="D285" s="3" t="inlineStr">
        <is>
          <t>MARK-005</t>
        </is>
      </c>
      <c r="E285" s="3" t="inlineStr">
        <is>
          <t>Brand and market presence</t>
        </is>
      </c>
      <c r="F285" s="3" t="inlineStr">
        <is>
          <t>How mature is the organization in managing lead capture, routing, qualification and follow-up resilience, including ownership, evidence, metrics, fallback procedures and crisis stress testing?</t>
        </is>
      </c>
      <c r="G285" s="3" t="inlineStr">
        <is>
          <t>This topic affects exposure to Reputation crisis; Demand shock; IT outage. It helps identify how disruption may impact operations, people, revenue, systems, legal exposure or recovery time.</t>
        </is>
      </c>
      <c r="H285" s="3" t="inlineStr">
        <is>
          <t>ISO 10002; ISO 10004; ISO 20671-1; ISO 22301; AMEC; crisis communication best practices</t>
        </is>
      </c>
      <c r="I285" s="3" t="inlineStr">
        <is>
          <t>Policy/SOP; owner/RACI; system report; dashboard; contracts; test records; incident history; interview evidence related to lead capture, routing, qualification and follow-up resilience.</t>
        </is>
      </c>
      <c r="J285" s="3" t="n">
        <v>3</v>
      </c>
      <c r="K285" s="85">
        <f>_DATA_Assessment_Model!H285</f>
        <v/>
      </c>
      <c r="L285" s="4">
        <f>_DATA_Assessment_Model!I285</f>
        <v/>
      </c>
      <c r="M285" s="4">
        <f>_DATA_Assessment_Model!J285</f>
        <v/>
      </c>
      <c r="N285" s="4">
        <f>_DATA_Assessment_Model!K285</f>
        <v/>
      </c>
      <c r="O285" s="3">
        <f>_DATA_Assessment_Model!L285</f>
        <v/>
      </c>
      <c r="P285" s="3" t="inlineStr">
        <is>
          <t>No reliable evidence that lead capture, routing, qualification and follow-up resilience is defined, owned or managed.</t>
        </is>
      </c>
      <c r="Q285" s="3" t="inlineStr">
        <is>
          <t>Lead capture, routing, qualification and follow-up resilience is handled informally and depends on individual knowledge or heroic effort.</t>
        </is>
      </c>
      <c r="R285" s="3" t="inlineStr">
        <is>
          <t>Lead capture, routing, qualification and follow-up resilience is partially documented or implemented, but coverage is inconsistent and not crisis-tested.</t>
        </is>
      </c>
      <c r="S285" s="3" t="inlineStr">
        <is>
          <t>Lead capture, routing, qualification and follow-up resilience is documented, owned, used in normal operations and supported by basic evidence or metrics.</t>
        </is>
      </c>
      <c r="T285" s="3" t="inlineStr">
        <is>
          <t>Lead capture, routing, qualification and follow-up resilience is measured, periodically reviewed, integrated with related processes and tested against relevant disruption scenarios.</t>
        </is>
      </c>
      <c r="U285" s="3" t="inlineStr">
        <is>
          <t>Lead capture, routing, qualification and follow-up resilience is optimized, continuously improved, automated where practical and demonstrably supports crisis resilience.</t>
        </is>
      </c>
      <c r="V285" s="3" t="inlineStr">
        <is>
          <t>Reputation crisis; Demand shock; IT outage</t>
        </is>
      </c>
      <c r="W285" s="3" t="n"/>
      <c r="X285" s="3" t="n"/>
      <c r="Y285" s="3" t="inlineStr">
        <is>
          <t>Use the recommended action generated by the model; validate with domain owner during real assessment.</t>
        </is>
      </c>
      <c r="Z285" s="7" t="n">
        <v>4</v>
      </c>
      <c r="AA285" s="7" t="n">
        <v>5</v>
      </c>
      <c r="AB285" s="7" t="n">
        <v>5</v>
      </c>
      <c r="AK285" s="46" t="n"/>
      <c r="AL285" s="46" t="n"/>
      <c r="AM285" s="247">
        <f>_DATA_Assessment_Model!AJ285</f>
        <v/>
      </c>
      <c r="AN285" s="247">
        <f>_DATA_Assessment_Model!AK285</f>
        <v/>
      </c>
      <c r="AO285" s="247">
        <f>_DATA_Assessment_Model!AL285</f>
        <v/>
      </c>
      <c r="AP285" s="247">
        <f>_DATA_Assessment_Model!AM285</f>
        <v/>
      </c>
      <c r="AQ285" s="247">
        <f>_DATA_Assessment_Model!AN285</f>
        <v/>
      </c>
      <c r="AR285" s="247">
        <f>_DATA_Assessment_Model!AO285</f>
        <v/>
      </c>
      <c r="AS285" s="247">
        <f>_DATA_Assessment_Model!AP285</f>
        <v/>
      </c>
      <c r="AT285" s="247">
        <f>_DATA_Assessment_Model!AQ285</f>
        <v/>
      </c>
      <c r="AU285" s="247">
        <f>_DATA_Assessment_Model!AR285</f>
        <v/>
      </c>
      <c r="AV285" s="5">
        <f>_DATA_Assessment_Model!AS285</f>
        <v/>
      </c>
      <c r="AW285" s="5">
        <f>_DATA_Assessment_Model!AT285</f>
        <v/>
      </c>
      <c r="AY285">
        <f>_DATA_Assessment_Model!AV285</f>
        <v/>
      </c>
    </row>
    <row r="286" ht="82.8" customHeight="1" s="209">
      <c r="A286" t="inlineStr">
        <is>
          <t>Marketing Comms</t>
        </is>
      </c>
      <c r="B286" t="inlineStr">
        <is>
          <t>Marketing Comms</t>
        </is>
      </c>
      <c r="C286" t="n">
        <v>10</v>
      </c>
      <c r="D286" s="3" t="inlineStr">
        <is>
          <t>MARK-006</t>
        </is>
      </c>
      <c r="E286" s="3" t="inlineStr">
        <is>
          <t>Crisis communication</t>
        </is>
      </c>
      <c r="F286" s="3" t="inlineStr">
        <is>
          <t>How mature is the organization in managing approved crisis communication templates for customers, employees, media, regulators and partners, including ownership, evidence, metrics, fallback procedures and crisis stress testing?</t>
        </is>
      </c>
      <c r="G286" s="3" t="inlineStr">
        <is>
          <t>This topic affects exposure to Reputation crisis; Demand shock; IT outage. It helps identify how disruption may impact operations, people, revenue, systems, legal exposure or recovery time.</t>
        </is>
      </c>
      <c r="H286" s="3" t="inlineStr">
        <is>
          <t>ISO 10002; ISO 10004; ISO 20671-1; ISO 22301; AMEC; crisis communication best practices</t>
        </is>
      </c>
      <c r="I286" s="3" t="inlineStr">
        <is>
          <t>Policy/SOP; owner/RACI; system report; dashboard; contracts; test records; incident history; interview evidence related to approved crisis communication templates for customers, employees, media, regulators and partners.</t>
        </is>
      </c>
      <c r="J286" s="3" t="n">
        <v>5</v>
      </c>
      <c r="K286" s="85">
        <f>_DATA_Assessment_Model!H286</f>
        <v/>
      </c>
      <c r="L286" s="4">
        <f>_DATA_Assessment_Model!I286</f>
        <v/>
      </c>
      <c r="M286" s="4">
        <f>_DATA_Assessment_Model!J286</f>
        <v/>
      </c>
      <c r="N286" s="4">
        <f>_DATA_Assessment_Model!K286</f>
        <v/>
      </c>
      <c r="O286" s="3">
        <f>_DATA_Assessment_Model!L286</f>
        <v/>
      </c>
      <c r="P286" s="3" t="inlineStr">
        <is>
          <t>Does not exist; no owner, no documentation, no practice.</t>
        </is>
      </c>
      <c r="Q286" s="3" t="inlineStr">
        <is>
          <t>Ad hoc; depends entirely on specific individuals.</t>
        </is>
      </c>
      <c r="R286" s="3" t="inlineStr">
        <is>
          <t>Partially documented or implemented; coverage inconsistent; never tested under stress.</t>
        </is>
      </c>
      <c r="S286" s="3" t="inlineStr">
        <is>
          <t>Documented, owned, executed consistently; basic evidence and metrics exist.</t>
        </is>
      </c>
      <c r="T286" s="3" t="inlineStr">
        <is>
          <t>Measured and periodically tested/audited; integrated with adjacent processes.</t>
        </is>
      </c>
      <c r="U286" s="3" t="inlineStr">
        <is>
          <t>Optimized and automated where practical; stress-tested; benchmarked externally.</t>
        </is>
      </c>
      <c r="V286" s="3" t="inlineStr">
        <is>
          <t>Reputation crisis; Demand shock; IT outage</t>
        </is>
      </c>
      <c r="W286" s="3" t="n"/>
      <c r="X286" s="3" t="n"/>
      <c r="Y286" s="3" t="inlineStr">
        <is>
          <t>Use the recommended action generated by the model; validate with domain owner during real assessment.</t>
        </is>
      </c>
      <c r="Z286" s="7" t="n">
        <v>4</v>
      </c>
      <c r="AA286" s="7" t="n">
        <v>5</v>
      </c>
      <c r="AB286" s="7" t="n">
        <v>5</v>
      </c>
      <c r="AK286" s="46" t="n"/>
      <c r="AL286" s="46" t="n"/>
      <c r="AM286" s="247">
        <f>_DATA_Assessment_Model!AJ286</f>
        <v/>
      </c>
      <c r="AN286" s="247">
        <f>_DATA_Assessment_Model!AK286</f>
        <v/>
      </c>
      <c r="AO286" s="247">
        <f>_DATA_Assessment_Model!AL286</f>
        <v/>
      </c>
      <c r="AP286" s="247">
        <f>_DATA_Assessment_Model!AM286</f>
        <v/>
      </c>
      <c r="AQ286" s="247">
        <f>_DATA_Assessment_Model!AN286</f>
        <v/>
      </c>
      <c r="AR286" s="247">
        <f>_DATA_Assessment_Model!AO286</f>
        <v/>
      </c>
      <c r="AS286" s="247">
        <f>_DATA_Assessment_Model!AP286</f>
        <v/>
      </c>
      <c r="AT286" s="247">
        <f>_DATA_Assessment_Model!AQ286</f>
        <v/>
      </c>
      <c r="AU286" s="247">
        <f>_DATA_Assessment_Model!AR286</f>
        <v/>
      </c>
      <c r="AV286" s="5">
        <f>_DATA_Assessment_Model!AS286</f>
        <v/>
      </c>
      <c r="AW286" s="5">
        <f>_DATA_Assessment_Model!AT286</f>
        <v/>
      </c>
      <c r="AY286">
        <f>_DATA_Assessment_Model!AV286</f>
        <v/>
      </c>
    </row>
    <row r="287" ht="69" customHeight="1" s="209">
      <c r="A287" t="inlineStr">
        <is>
          <t>Marketing Comms</t>
        </is>
      </c>
      <c r="B287" t="inlineStr">
        <is>
          <t>Marketing Comms</t>
        </is>
      </c>
      <c r="C287" t="n">
        <v>11</v>
      </c>
      <c r="D287" s="3" t="inlineStr">
        <is>
          <t>MARK-007</t>
        </is>
      </c>
      <c r="E287" s="3" t="inlineStr">
        <is>
          <t>Crisis communication</t>
        </is>
      </c>
      <c r="F287" s="3" t="inlineStr">
        <is>
          <t>How mature is the organization in managing spokesperson identification, media training and backup coverage, including ownership, evidence, metrics, fallback procedures and crisis stress testing?</t>
        </is>
      </c>
      <c r="G287" s="3" t="inlineStr">
        <is>
          <t>This topic affects exposure to Reputation crisis; Demand shock; IT outage. It helps identify how disruption may impact operations, people, revenue, systems, legal exposure or recovery time.</t>
        </is>
      </c>
      <c r="H287" s="3" t="inlineStr">
        <is>
          <t>ISO 10002; ISO 10004; ISO 20671-1; ISO 22301; AMEC; crisis communication best practices</t>
        </is>
      </c>
      <c r="I287" s="3" t="inlineStr">
        <is>
          <t>Policy/SOP; owner/RACI; system report; dashboard; contracts; test records; incident history; interview evidence related to spokesperson identification, media training and backup coverage.</t>
        </is>
      </c>
      <c r="J287" s="3" t="n">
        <v>5</v>
      </c>
      <c r="K287" s="85">
        <f>_DATA_Assessment_Model!H287</f>
        <v/>
      </c>
      <c r="L287" s="4">
        <f>_DATA_Assessment_Model!I287</f>
        <v/>
      </c>
      <c r="M287" s="4">
        <f>_DATA_Assessment_Model!J287</f>
        <v/>
      </c>
      <c r="N287" s="4">
        <f>_DATA_Assessment_Model!K287</f>
        <v/>
      </c>
      <c r="O287" s="3">
        <f>_DATA_Assessment_Model!L287</f>
        <v/>
      </c>
      <c r="P287" s="3" t="inlineStr">
        <is>
          <t>Never done; no records exist.</t>
        </is>
      </c>
      <c r="Q287" s="3" t="inlineStr">
        <is>
          <t>Done once long ago or only after an incident; no schedule, no records.</t>
        </is>
      </c>
      <c r="R287" s="3" t="inlineStr">
        <is>
          <t>Done irregularly; results are not documented and findings are not tracked.</t>
        </is>
      </c>
      <c r="S287" s="3" t="inlineStr">
        <is>
          <t>Done on a defined schedule (at least annually); results documented, owner assigned.</t>
        </is>
      </c>
      <c r="T287" s="3" t="inlineStr">
        <is>
          <t>Done quarterly/semi-annually; findings tracked to closure, effectiveness measured against targets.</t>
        </is>
      </c>
      <c r="U287" s="3" t="inlineStr">
        <is>
          <t>Continuous or automated where possible; results drive improvements and are validated externally (audit/customer).</t>
        </is>
      </c>
      <c r="V287" s="3" t="inlineStr">
        <is>
          <t>Reputation crisis; Demand shock; IT outage</t>
        </is>
      </c>
      <c r="W287" s="3" t="n"/>
      <c r="X287" s="3" t="n"/>
      <c r="Y287" s="3" t="inlineStr">
        <is>
          <t>Use the recommended action generated by the model; validate with domain owner during real assessment.</t>
        </is>
      </c>
      <c r="Z287" s="7" t="n">
        <v>5</v>
      </c>
      <c r="AA287" s="7" t="n">
        <v>5</v>
      </c>
      <c r="AB287" s="7" t="n">
        <v>5</v>
      </c>
      <c r="AK287" s="46" t="n"/>
      <c r="AL287" s="46" t="n"/>
      <c r="AM287" s="247">
        <f>_DATA_Assessment_Model!AJ287</f>
        <v/>
      </c>
      <c r="AN287" s="247">
        <f>_DATA_Assessment_Model!AK287</f>
        <v/>
      </c>
      <c r="AO287" s="247">
        <f>_DATA_Assessment_Model!AL287</f>
        <v/>
      </c>
      <c r="AP287" s="247">
        <f>_DATA_Assessment_Model!AM287</f>
        <v/>
      </c>
      <c r="AQ287" s="247">
        <f>_DATA_Assessment_Model!AN287</f>
        <v/>
      </c>
      <c r="AR287" s="247">
        <f>_DATA_Assessment_Model!AO287</f>
        <v/>
      </c>
      <c r="AS287" s="247">
        <f>_DATA_Assessment_Model!AP287</f>
        <v/>
      </c>
      <c r="AT287" s="247">
        <f>_DATA_Assessment_Model!AQ287</f>
        <v/>
      </c>
      <c r="AU287" s="247">
        <f>_DATA_Assessment_Model!AR287</f>
        <v/>
      </c>
      <c r="AV287" s="5">
        <f>_DATA_Assessment_Model!AS287</f>
        <v/>
      </c>
      <c r="AW287" s="5">
        <f>_DATA_Assessment_Model!AT287</f>
        <v/>
      </c>
      <c r="AY287">
        <f>_DATA_Assessment_Model!AV287</f>
        <v/>
      </c>
    </row>
    <row r="288" ht="82.8" customHeight="1" s="209">
      <c r="A288" t="inlineStr">
        <is>
          <t>Marketing Comms</t>
        </is>
      </c>
      <c r="B288" t="inlineStr">
        <is>
          <t>Marketing Comms</t>
        </is>
      </c>
      <c r="C288" t="n">
        <v>12</v>
      </c>
      <c r="D288" s="3" t="inlineStr">
        <is>
          <t>MARK-008</t>
        </is>
      </c>
      <c r="E288" s="3" t="inlineStr">
        <is>
          <t>Crisis communication</t>
        </is>
      </c>
      <c r="F288" s="3" t="inlineStr">
        <is>
          <t>How mature is the organization in managing media, social, review and customer sentiment monitoring, including ownership, evidence, metrics, fallback procedures and crisis stress testing?</t>
        </is>
      </c>
      <c r="G288" s="3" t="inlineStr">
        <is>
          <t>This topic affects exposure to Reputation crisis; Demand shock; IT outage. It helps identify how disruption may impact operations, people, revenue, systems, legal exposure or recovery time.</t>
        </is>
      </c>
      <c r="H288" s="3" t="inlineStr">
        <is>
          <t>ISO 10002; ISO 10004; ISO 20671-1; ISO 22301; AMEC; crisis communication best practices</t>
        </is>
      </c>
      <c r="I288" s="3" t="inlineStr">
        <is>
          <t>Policy/SOP; owner/RACI; system report; dashboard; contracts; test records; incident history; interview evidence related to media, social, review and customer sentiment monitoring.</t>
        </is>
      </c>
      <c r="J288" s="3" t="n">
        <v>4</v>
      </c>
      <c r="K288" s="85">
        <f>_DATA_Assessment_Model!H288</f>
        <v/>
      </c>
      <c r="L288" s="4">
        <f>_DATA_Assessment_Model!I288</f>
        <v/>
      </c>
      <c r="M288" s="4">
        <f>_DATA_Assessment_Model!J288</f>
        <v/>
      </c>
      <c r="N288" s="4">
        <f>_DATA_Assessment_Model!K288</f>
        <v/>
      </c>
      <c r="O288" s="3">
        <f>_DATA_Assessment_Model!L288</f>
        <v/>
      </c>
      <c r="P288" s="3" t="inlineStr">
        <is>
          <t>No reliable evidence that media, social, review and customer sentiment monitoring is defined, owned or managed.</t>
        </is>
      </c>
      <c r="Q288" s="3" t="inlineStr">
        <is>
          <t>Media, social, review and customer sentiment monitoring is handled informally and depends on individual knowledge or heroic effort.</t>
        </is>
      </c>
      <c r="R288" s="3" t="inlineStr">
        <is>
          <t>Media, social, review and customer sentiment monitoring is partially documented or implemented, but coverage is inconsistent and not crisis-tested.</t>
        </is>
      </c>
      <c r="S288" s="3" t="inlineStr">
        <is>
          <t>Media, social, review and customer sentiment monitoring is documented, owned, used in normal operations and supported by basic evidence or metrics.</t>
        </is>
      </c>
      <c r="T288" s="3" t="inlineStr">
        <is>
          <t>Media, social, review and customer sentiment monitoring is measured, periodically reviewed, integrated with related processes and tested against relevant disruption scenarios.</t>
        </is>
      </c>
      <c r="U288" s="3" t="inlineStr">
        <is>
          <t>Media, social, review and customer sentiment monitoring is optimized, continuously improved, automated where practical and demonstrably supports crisis resilience.</t>
        </is>
      </c>
      <c r="V288" s="3" t="inlineStr">
        <is>
          <t>Reputation crisis; Demand shock; IT outage</t>
        </is>
      </c>
      <c r="W288" s="3" t="n"/>
      <c r="X288" s="3" t="n"/>
      <c r="Y288" s="3" t="inlineStr">
        <is>
          <t>Use the recommended action generated by the model; validate with domain owner during real assessment.</t>
        </is>
      </c>
      <c r="Z288" s="7" t="n">
        <v>4</v>
      </c>
      <c r="AA288" s="7" t="n">
        <v>5</v>
      </c>
      <c r="AB288" s="7" t="n">
        <v>5</v>
      </c>
      <c r="AK288" s="46" t="n"/>
      <c r="AL288" s="46" t="n"/>
      <c r="AM288" s="247">
        <f>_DATA_Assessment_Model!AJ288</f>
        <v/>
      </c>
      <c r="AN288" s="247">
        <f>_DATA_Assessment_Model!AK288</f>
        <v/>
      </c>
      <c r="AO288" s="247">
        <f>_DATA_Assessment_Model!AL288</f>
        <v/>
      </c>
      <c r="AP288" s="247">
        <f>_DATA_Assessment_Model!AM288</f>
        <v/>
      </c>
      <c r="AQ288" s="247">
        <f>_DATA_Assessment_Model!AN288</f>
        <v/>
      </c>
      <c r="AR288" s="247">
        <f>_DATA_Assessment_Model!AO288</f>
        <v/>
      </c>
      <c r="AS288" s="247">
        <f>_DATA_Assessment_Model!AP288</f>
        <v/>
      </c>
      <c r="AT288" s="247">
        <f>_DATA_Assessment_Model!AQ288</f>
        <v/>
      </c>
      <c r="AU288" s="247">
        <f>_DATA_Assessment_Model!AR288</f>
        <v/>
      </c>
      <c r="AV288" s="5">
        <f>_DATA_Assessment_Model!AS288</f>
        <v/>
      </c>
      <c r="AW288" s="5">
        <f>_DATA_Assessment_Model!AT288</f>
        <v/>
      </c>
      <c r="AY288">
        <f>_DATA_Assessment_Model!AV288</f>
        <v/>
      </c>
    </row>
    <row r="289" ht="82.8" customHeight="1" s="209">
      <c r="A289" t="inlineStr">
        <is>
          <t>Marketing Comms</t>
        </is>
      </c>
      <c r="B289" t="inlineStr">
        <is>
          <t>Marketing Comms</t>
        </is>
      </c>
      <c r="C289" t="n">
        <v>13</v>
      </c>
      <c r="D289" s="3" t="inlineStr">
        <is>
          <t>MARK-009</t>
        </is>
      </c>
      <c r="E289" s="3" t="inlineStr">
        <is>
          <t>Crisis communication</t>
        </is>
      </c>
      <c r="F289" s="3" t="inlineStr">
        <is>
          <t>How mature is the organization in managing escalation and approval rules for sensitive public responses, including ownership, evidence, metrics, fallback procedures and crisis stress testing?</t>
        </is>
      </c>
      <c r="G289" s="3" t="inlineStr">
        <is>
          <t>This topic affects exposure to Reputation crisis; Demand shock; IT outage. It helps identify how disruption may impact operations, people, revenue, systems, legal exposure or recovery time.</t>
        </is>
      </c>
      <c r="H289" s="3" t="inlineStr">
        <is>
          <t>ISO 10002; ISO 10004; ISO 20671-1; ISO 22301; AMEC; crisis communication best practices</t>
        </is>
      </c>
      <c r="I289" s="3" t="inlineStr">
        <is>
          <t>Policy/SOP; owner/RACI; system report; dashboard; contracts; test records; incident history; interview evidence related to escalation and approval rules for sensitive public responses.</t>
        </is>
      </c>
      <c r="J289" s="3" t="n">
        <v>3</v>
      </c>
      <c r="K289" s="85">
        <f>_DATA_Assessment_Model!H289</f>
        <v/>
      </c>
      <c r="L289" s="4">
        <f>_DATA_Assessment_Model!I289</f>
        <v/>
      </c>
      <c r="M289" s="4">
        <f>_DATA_Assessment_Model!J289</f>
        <v/>
      </c>
      <c r="N289" s="4">
        <f>_DATA_Assessment_Model!K289</f>
        <v/>
      </c>
      <c r="O289" s="3">
        <f>_DATA_Assessment_Model!L289</f>
        <v/>
      </c>
      <c r="P289" s="3" t="inlineStr">
        <is>
          <t>No reliable evidence that escalation and approval rules for sensitive public responses is defined, owned or managed.</t>
        </is>
      </c>
      <c r="Q289" s="3" t="inlineStr">
        <is>
          <t>Escalation and approval rules for sensitive public responses is handled informally and depends on individual knowledge or heroic effort.</t>
        </is>
      </c>
      <c r="R289" s="3" t="inlineStr">
        <is>
          <t>Escalation and approval rules for sensitive public responses is partially documented or implemented, but coverage is inconsistent and not crisis-tested.</t>
        </is>
      </c>
      <c r="S289" s="3" t="inlineStr">
        <is>
          <t>Escalation and approval rules for sensitive public responses is documented, owned, used in normal operations and supported by basic evidence or metrics.</t>
        </is>
      </c>
      <c r="T289" s="3" t="inlineStr">
        <is>
          <t>Escalation and approval rules for sensitive public responses is measured, periodically reviewed, integrated with related processes and tested against relevant disruption scenarios.</t>
        </is>
      </c>
      <c r="U289" s="3" t="inlineStr">
        <is>
          <t>Escalation and approval rules for sensitive public responses is optimized, continuously improved, automated where practical and demonstrably supports crisis resilience.</t>
        </is>
      </c>
      <c r="V289" s="3" t="inlineStr">
        <is>
          <t>Reputation crisis; Demand shock; IT outage</t>
        </is>
      </c>
      <c r="W289" s="3" t="n"/>
      <c r="X289" s="3" t="n"/>
      <c r="Y289" s="3" t="inlineStr">
        <is>
          <t>Use the recommended action generated by the model; validate with domain owner during real assessment.</t>
        </is>
      </c>
      <c r="Z289" s="7" t="n">
        <v>4</v>
      </c>
      <c r="AA289" s="7" t="n">
        <v>5</v>
      </c>
      <c r="AB289" s="7" t="n">
        <v>5</v>
      </c>
      <c r="AK289" s="46" t="n"/>
      <c r="AL289" s="46" t="n"/>
      <c r="AM289" s="247">
        <f>_DATA_Assessment_Model!AJ289</f>
        <v/>
      </c>
      <c r="AN289" s="247">
        <f>_DATA_Assessment_Model!AK289</f>
        <v/>
      </c>
      <c r="AO289" s="247">
        <f>_DATA_Assessment_Model!AL289</f>
        <v/>
      </c>
      <c r="AP289" s="247">
        <f>_DATA_Assessment_Model!AM289</f>
        <v/>
      </c>
      <c r="AQ289" s="247">
        <f>_DATA_Assessment_Model!AN289</f>
        <v/>
      </c>
      <c r="AR289" s="247">
        <f>_DATA_Assessment_Model!AO289</f>
        <v/>
      </c>
      <c r="AS289" s="247">
        <f>_DATA_Assessment_Model!AP289</f>
        <v/>
      </c>
      <c r="AT289" s="247">
        <f>_DATA_Assessment_Model!AQ289</f>
        <v/>
      </c>
      <c r="AU289" s="247">
        <f>_DATA_Assessment_Model!AR289</f>
        <v/>
      </c>
      <c r="AV289" s="5">
        <f>_DATA_Assessment_Model!AS289</f>
        <v/>
      </c>
      <c r="AW289" s="5">
        <f>_DATA_Assessment_Model!AT289</f>
        <v/>
      </c>
      <c r="AY289">
        <f>_DATA_Assessment_Model!AV289</f>
        <v/>
      </c>
    </row>
    <row r="290" ht="110.4" customHeight="1" s="209">
      <c r="A290" t="inlineStr">
        <is>
          <t>Marketing Comms</t>
        </is>
      </c>
      <c r="B290" t="inlineStr">
        <is>
          <t>Marketing Comms</t>
        </is>
      </c>
      <c r="C290" t="n">
        <v>14</v>
      </c>
      <c r="D290" s="3" t="inlineStr">
        <is>
          <t>MARK-010</t>
        </is>
      </c>
      <c r="E290" s="3" t="inlineStr">
        <is>
          <t>Crisis communication</t>
        </is>
      </c>
      <c r="F290" s="3" t="inlineStr">
        <is>
          <t>How mature is the organization in managing customer communication channel diversity across email, phone, portal, SMS, account managers and social media, including ownership, evidence, metrics, fallback procedures and crisis stress testing?</t>
        </is>
      </c>
      <c r="G290" s="3" t="inlineStr">
        <is>
          <t>This topic affects exposure to Reputation crisis; Demand shock; IT outage. It helps identify how disruption may impact operations, people, revenue, systems, legal exposure or recovery time.</t>
        </is>
      </c>
      <c r="H290" s="3" t="inlineStr">
        <is>
          <t>ISO 10002; ISO 10004; ISO 20671-1; ISO 22301; AMEC; crisis communication best practices</t>
        </is>
      </c>
      <c r="I290" s="3" t="inlineStr">
        <is>
          <t>Policy/SOP; owner/RACI; system report; dashboard; contracts; test records; incident history; interview evidence related to customer communication channel diversity across email, phone, portal, SMS, account managers and social media.</t>
        </is>
      </c>
      <c r="J290" s="3" t="n">
        <v>4</v>
      </c>
      <c r="K290" s="85">
        <f>_DATA_Assessment_Model!H290</f>
        <v/>
      </c>
      <c r="L290" s="4">
        <f>_DATA_Assessment_Model!I290</f>
        <v/>
      </c>
      <c r="M290" s="4">
        <f>_DATA_Assessment_Model!J290</f>
        <v/>
      </c>
      <c r="N290" s="4">
        <f>_DATA_Assessment_Model!K290</f>
        <v/>
      </c>
      <c r="O290" s="3">
        <f>_DATA_Assessment_Model!L290</f>
        <v/>
      </c>
      <c r="P290" s="3" t="inlineStr">
        <is>
          <t>No reliable evidence that customer communication channel diversity across email, phone, portal, sms, account managers and social media is defined, owned or managed.</t>
        </is>
      </c>
      <c r="Q290" s="3" t="inlineStr">
        <is>
          <t>Customer communication channel diversity across email, phone, portal, SMS, account managers and social media is handled informally and depends on individual knowledge or heroic effort.</t>
        </is>
      </c>
      <c r="R290" s="3" t="inlineStr">
        <is>
          <t>Customer communication channel diversity across email, phone, portal, SMS, account managers and social media is partially documented or implemented, but coverage is inconsistent and not crisis-tested.</t>
        </is>
      </c>
      <c r="S290" s="3" t="inlineStr">
        <is>
          <t>Customer communication channel diversity across email, phone, portal, SMS, account managers and social media is documented, owned, used in normal operations and supported by basic evidence or metrics.</t>
        </is>
      </c>
      <c r="T290" s="3" t="inlineStr">
        <is>
          <t>Customer communication channel diversity across email, phone, portal, SMS, account managers and social media is measured, periodically reviewed, integrated with related processes and tested against relevant disruption scenarios.</t>
        </is>
      </c>
      <c r="U290" s="3" t="inlineStr">
        <is>
          <t>Customer communication channel diversity across email, phone, portal, SMS, account managers and social media is optimized, continuously improved, automated where practical and demonstrably supports crisis resilience.</t>
        </is>
      </c>
      <c r="V290" s="3" t="inlineStr">
        <is>
          <t>Reputation crisis; Demand shock; IT outage</t>
        </is>
      </c>
      <c r="W290" s="3" t="n"/>
      <c r="X290" s="3" t="n"/>
      <c r="Y290" s="3" t="inlineStr">
        <is>
          <t>Use the recommended action generated by the model; validate with domain owner during real assessment.</t>
        </is>
      </c>
      <c r="Z290" s="7" t="n">
        <v>4</v>
      </c>
      <c r="AA290" s="7" t="n">
        <v>5</v>
      </c>
      <c r="AB290" s="7" t="n">
        <v>5</v>
      </c>
      <c r="AK290" s="46" t="n"/>
      <c r="AL290" s="46" t="n"/>
      <c r="AM290" s="247">
        <f>_DATA_Assessment_Model!AJ290</f>
        <v/>
      </c>
      <c r="AN290" s="247">
        <f>_DATA_Assessment_Model!AK290</f>
        <v/>
      </c>
      <c r="AO290" s="247">
        <f>_DATA_Assessment_Model!AL290</f>
        <v/>
      </c>
      <c r="AP290" s="247">
        <f>_DATA_Assessment_Model!AM290</f>
        <v/>
      </c>
      <c r="AQ290" s="247">
        <f>_DATA_Assessment_Model!AN290</f>
        <v/>
      </c>
      <c r="AR290" s="247">
        <f>_DATA_Assessment_Model!AO290</f>
        <v/>
      </c>
      <c r="AS290" s="247">
        <f>_DATA_Assessment_Model!AP290</f>
        <v/>
      </c>
      <c r="AT290" s="247">
        <f>_DATA_Assessment_Model!AQ290</f>
        <v/>
      </c>
      <c r="AU290" s="247">
        <f>_DATA_Assessment_Model!AR290</f>
        <v/>
      </c>
      <c r="AV290" s="5">
        <f>_DATA_Assessment_Model!AS290</f>
        <v/>
      </c>
      <c r="AW290" s="5">
        <f>_DATA_Assessment_Model!AT290</f>
        <v/>
      </c>
      <c r="AY290">
        <f>_DATA_Assessment_Model!AV290</f>
        <v/>
      </c>
    </row>
    <row r="291" ht="96.59999999999999" customHeight="1" s="209">
      <c r="A291" t="inlineStr">
        <is>
          <t>Marketing Comms</t>
        </is>
      </c>
      <c r="B291" t="inlineStr">
        <is>
          <t>Marketing Comms</t>
        </is>
      </c>
      <c r="C291" t="n">
        <v>15</v>
      </c>
      <c r="D291" s="3" t="inlineStr">
        <is>
          <t>MARK-011</t>
        </is>
      </c>
      <c r="E291" s="3" t="inlineStr">
        <is>
          <t>Crisis communication</t>
        </is>
      </c>
      <c r="F291" s="3" t="inlineStr">
        <is>
          <t>How mature is the organization in managing misinformation, impersonation, fake invoice and brand-abuse response process, including ownership, evidence, metrics, fallback procedures and crisis stress testing?</t>
        </is>
      </c>
      <c r="G291" s="3" t="inlineStr">
        <is>
          <t>This topic affects exposure to Reputation crisis; Demand shock; IT outage. It helps identify how disruption may impact operations, people, revenue, systems, legal exposure or recovery time.</t>
        </is>
      </c>
      <c r="H291" s="3" t="inlineStr">
        <is>
          <t>ISO 10002; ISO 10004; ISO 20671-1; ISO 22301; AMEC; crisis communication best practices</t>
        </is>
      </c>
      <c r="I291" s="3" t="inlineStr">
        <is>
          <t>Policy/SOP; owner/RACI; system report; dashboard; contracts; test records; incident history; interview evidence related to misinformation, impersonation, fake invoice and brand-abuse response process.</t>
        </is>
      </c>
      <c r="J291" s="3" t="n">
        <v>3</v>
      </c>
      <c r="K291" s="85">
        <f>_DATA_Assessment_Model!H291</f>
        <v/>
      </c>
      <c r="L291" s="4">
        <f>_DATA_Assessment_Model!I291</f>
        <v/>
      </c>
      <c r="M291" s="4">
        <f>_DATA_Assessment_Model!J291</f>
        <v/>
      </c>
      <c r="N291" s="4">
        <f>_DATA_Assessment_Model!K291</f>
        <v/>
      </c>
      <c r="O291" s="3">
        <f>_DATA_Assessment_Model!L291</f>
        <v/>
      </c>
      <c r="P291" s="3" t="inlineStr">
        <is>
          <t>No reliable evidence that misinformation, impersonation, fake invoice and brand-abuse response process is defined, owned or managed.</t>
        </is>
      </c>
      <c r="Q291" s="3" t="inlineStr">
        <is>
          <t>Misinformation, impersonation, fake invoice and brand-abuse response process is handled informally and depends on individual knowledge or heroic effort.</t>
        </is>
      </c>
      <c r="R291" s="3" t="inlineStr">
        <is>
          <t>Misinformation, impersonation, fake invoice and brand-abuse response process is partially documented or implemented, but coverage is inconsistent and not crisis-tested.</t>
        </is>
      </c>
      <c r="S291" s="3" t="inlineStr">
        <is>
          <t>Misinformation, impersonation, fake invoice and brand-abuse response process is documented, owned, used in normal operations and supported by basic evidence or metrics.</t>
        </is>
      </c>
      <c r="T291" s="3" t="inlineStr">
        <is>
          <t>Misinformation, impersonation, fake invoice and brand-abuse response process is measured, periodically reviewed, integrated with related processes and tested against relevant disruption scenarios.</t>
        </is>
      </c>
      <c r="U291" s="3" t="inlineStr">
        <is>
          <t>Misinformation, impersonation, fake invoice and brand-abuse response process is optimized, continuously improved, automated where practical and demonstrably supports crisis resilience.</t>
        </is>
      </c>
      <c r="V291" s="3" t="inlineStr">
        <is>
          <t>Reputation crisis; Demand shock; IT outage</t>
        </is>
      </c>
      <c r="W291" s="3" t="n"/>
      <c r="X291" s="3" t="n"/>
      <c r="Y291" s="3" t="inlineStr">
        <is>
          <t>Use the recommended action generated by the model; validate with domain owner during real assessment.</t>
        </is>
      </c>
      <c r="Z291" s="7" t="n">
        <v>4</v>
      </c>
      <c r="AA291" s="7" t="n">
        <v>5</v>
      </c>
      <c r="AB291" s="7" t="n">
        <v>5</v>
      </c>
      <c r="AK291" s="46" t="n"/>
      <c r="AL291" s="46" t="n"/>
      <c r="AM291" s="247">
        <f>_DATA_Assessment_Model!AJ291</f>
        <v/>
      </c>
      <c r="AN291" s="247">
        <f>_DATA_Assessment_Model!AK291</f>
        <v/>
      </c>
      <c r="AO291" s="247">
        <f>_DATA_Assessment_Model!AL291</f>
        <v/>
      </c>
      <c r="AP291" s="247">
        <f>_DATA_Assessment_Model!AM291</f>
        <v/>
      </c>
      <c r="AQ291" s="247">
        <f>_DATA_Assessment_Model!AN291</f>
        <v/>
      </c>
      <c r="AR291" s="247">
        <f>_DATA_Assessment_Model!AO291</f>
        <v/>
      </c>
      <c r="AS291" s="247">
        <f>_DATA_Assessment_Model!AP291</f>
        <v/>
      </c>
      <c r="AT291" s="247">
        <f>_DATA_Assessment_Model!AQ291</f>
        <v/>
      </c>
      <c r="AU291" s="247">
        <f>_DATA_Assessment_Model!AR291</f>
        <v/>
      </c>
      <c r="AV291" s="5">
        <f>_DATA_Assessment_Model!AS291</f>
        <v/>
      </c>
      <c r="AW291" s="5">
        <f>_DATA_Assessment_Model!AT291</f>
        <v/>
      </c>
      <c r="AY291">
        <f>_DATA_Assessment_Model!AV291</f>
        <v/>
      </c>
    </row>
    <row r="292" ht="82.8" customHeight="1" s="209">
      <c r="A292" t="inlineStr">
        <is>
          <t>Marketing Comms</t>
        </is>
      </c>
      <c r="B292" t="inlineStr">
        <is>
          <t>Marketing Comms</t>
        </is>
      </c>
      <c r="C292" t="n">
        <v>16</v>
      </c>
      <c r="D292" s="3" t="inlineStr">
        <is>
          <t>MARK-012</t>
        </is>
      </c>
      <c r="E292" s="3" t="inlineStr">
        <is>
          <t>Marketing operations</t>
        </is>
      </c>
      <c r="F292" s="3" t="inlineStr">
        <is>
          <t>How mature is the organization in managing critical marketing and communication asset access if cloud tools or key people are unavailable, including ownership, evidence, metrics, fallback procedures and crisis stress testing?</t>
        </is>
      </c>
      <c r="G292" s="3" t="inlineStr">
        <is>
          <t>This topic affects exposure to Reputation crisis; Demand shock; IT outage. It helps identify how disruption may impact operations, people, revenue, systems, legal exposure or recovery time.</t>
        </is>
      </c>
      <c r="H292" s="3" t="inlineStr">
        <is>
          <t>ISO 10002; ISO 10004; ISO 20671-1; ISO 22301; AMEC; crisis communication best practices</t>
        </is>
      </c>
      <c r="I292" s="3" t="inlineStr">
        <is>
          <t>Policy/SOP; owner/RACI; system report; dashboard; contracts; test records; incident history; interview evidence related to critical marketing and communication asset access if cloud tools or key people are unavailable.</t>
        </is>
      </c>
      <c r="J292" s="3" t="n">
        <v>5</v>
      </c>
      <c r="K292" s="85">
        <f>_DATA_Assessment_Model!H292</f>
        <v/>
      </c>
      <c r="L292" s="4">
        <f>_DATA_Assessment_Model!I292</f>
        <v/>
      </c>
      <c r="M292" s="4">
        <f>_DATA_Assessment_Model!J292</f>
        <v/>
      </c>
      <c r="N292" s="4">
        <f>_DATA_Assessment_Model!K292</f>
        <v/>
      </c>
      <c r="O292" s="3">
        <f>_DATA_Assessment_Model!L292</f>
        <v/>
      </c>
      <c r="P292" s="3" t="inlineStr">
        <is>
          <t>Does not exist; no owner, no documentation, no practice.</t>
        </is>
      </c>
      <c r="Q292" s="3" t="inlineStr">
        <is>
          <t>Ad hoc; depends entirely on specific individuals.</t>
        </is>
      </c>
      <c r="R292" s="3" t="inlineStr">
        <is>
          <t>Partially documented or implemented; coverage inconsistent; never tested under stress.</t>
        </is>
      </c>
      <c r="S292" s="3" t="inlineStr">
        <is>
          <t>Documented, owned, executed consistently; basic evidence and metrics exist.</t>
        </is>
      </c>
      <c r="T292" s="3" t="inlineStr">
        <is>
          <t>Measured and periodically tested/audited; integrated with adjacent processes.</t>
        </is>
      </c>
      <c r="U292" s="3" t="inlineStr">
        <is>
          <t>Optimized and automated where practical; stress-tested; benchmarked externally.</t>
        </is>
      </c>
      <c r="V292" s="3" t="inlineStr">
        <is>
          <t>Reputation crisis; Demand shock; IT outage</t>
        </is>
      </c>
      <c r="W292" s="3" t="n"/>
      <c r="X292" s="3" t="n"/>
      <c r="Y292" s="3" t="inlineStr">
        <is>
          <t>Use the recommended action generated by the model; validate with domain owner during real assessment.</t>
        </is>
      </c>
      <c r="Z292" s="7" t="n">
        <v>5</v>
      </c>
      <c r="AA292" s="7" t="n">
        <v>5</v>
      </c>
      <c r="AB292" s="7" t="n">
        <v>5</v>
      </c>
      <c r="AK292" s="46" t="n"/>
      <c r="AL292" s="46" t="n"/>
      <c r="AM292" s="247">
        <f>_DATA_Assessment_Model!AJ292</f>
        <v/>
      </c>
      <c r="AN292" s="247">
        <f>_DATA_Assessment_Model!AK292</f>
        <v/>
      </c>
      <c r="AO292" s="247">
        <f>_DATA_Assessment_Model!AL292</f>
        <v/>
      </c>
      <c r="AP292" s="247">
        <f>_DATA_Assessment_Model!AM292</f>
        <v/>
      </c>
      <c r="AQ292" s="247">
        <f>_DATA_Assessment_Model!AN292</f>
        <v/>
      </c>
      <c r="AR292" s="247">
        <f>_DATA_Assessment_Model!AO292</f>
        <v/>
      </c>
      <c r="AS292" s="247">
        <f>_DATA_Assessment_Model!AP292</f>
        <v/>
      </c>
      <c r="AT292" s="247">
        <f>_DATA_Assessment_Model!AQ292</f>
        <v/>
      </c>
      <c r="AU292" s="247">
        <f>_DATA_Assessment_Model!AR292</f>
        <v/>
      </c>
      <c r="AV292" s="5">
        <f>_DATA_Assessment_Model!AS292</f>
        <v/>
      </c>
      <c r="AW292" s="5">
        <f>_DATA_Assessment_Model!AT292</f>
        <v/>
      </c>
      <c r="AY292">
        <f>_DATA_Assessment_Model!AV292</f>
        <v/>
      </c>
    </row>
    <row r="293" ht="96.59999999999999" customHeight="1" s="209">
      <c r="A293" t="inlineStr">
        <is>
          <t>Marketing Comms</t>
        </is>
      </c>
      <c r="B293" t="inlineStr">
        <is>
          <t>Marketing Comms</t>
        </is>
      </c>
      <c r="C293" t="n">
        <v>17</v>
      </c>
      <c r="D293" s="3" t="inlineStr">
        <is>
          <t>MARK-013</t>
        </is>
      </c>
      <c r="E293" s="3" t="inlineStr">
        <is>
          <t>Marketing operations</t>
        </is>
      </c>
      <c r="F293" s="3" t="inlineStr">
        <is>
          <t>How mature is the organization in managing marketing automation, email, analytics, CMS, domain and DNS dependency documentation, including ownership, evidence, metrics, fallback procedures and crisis stress testing?</t>
        </is>
      </c>
      <c r="G293" s="3" t="inlineStr">
        <is>
          <t>This topic affects exposure to Reputation crisis; Demand shock; IT outage. It helps identify how disruption may impact operations, people, revenue, systems, legal exposure or recovery time.</t>
        </is>
      </c>
      <c r="H293" s="3" t="inlineStr">
        <is>
          <t>ISO 10002; ISO 10004; ISO 20671-1; ISO 22301; AMEC; crisis communication best practices</t>
        </is>
      </c>
      <c r="I293" s="3" t="inlineStr">
        <is>
          <t>Policy/SOP; owner/RACI; system report; dashboard; contracts; test records; incident history; interview evidence related to marketing automation, email, analytics, CMS, domain and DNS dependency documentation.</t>
        </is>
      </c>
      <c r="J293" s="3" t="n">
        <v>3</v>
      </c>
      <c r="K293" s="85">
        <f>_DATA_Assessment_Model!H293</f>
        <v/>
      </c>
      <c r="L293" s="4">
        <f>_DATA_Assessment_Model!I293</f>
        <v/>
      </c>
      <c r="M293" s="4">
        <f>_DATA_Assessment_Model!J293</f>
        <v/>
      </c>
      <c r="N293" s="4">
        <f>_DATA_Assessment_Model!K293</f>
        <v/>
      </c>
      <c r="O293" s="3">
        <f>_DATA_Assessment_Model!L293</f>
        <v/>
      </c>
      <c r="P293" s="3" t="inlineStr">
        <is>
          <t>No reliable evidence that marketing automation, email, analytics, cms, domain and dns dependency documentation is defined, owned or managed.</t>
        </is>
      </c>
      <c r="Q293" s="3" t="inlineStr">
        <is>
          <t>Marketing automation, email, analytics, CMS, domain and DNS dependency documentation is handled informally and depends on individual knowledge or heroic effort.</t>
        </is>
      </c>
      <c r="R293" s="3" t="inlineStr">
        <is>
          <t>Marketing automation, email, analytics, CMS, domain and DNS dependency documentation is partially documented or implemented, but coverage is inconsistent and not crisis-tested.</t>
        </is>
      </c>
      <c r="S293" s="3" t="inlineStr">
        <is>
          <t>Marketing automation, email, analytics, CMS, domain and DNS dependency documentation is documented, owned, used in normal operations and supported by basic evidence or metrics.</t>
        </is>
      </c>
      <c r="T293" s="3" t="inlineStr">
        <is>
          <t>Marketing automation, email, analytics, CMS, domain and DNS dependency documentation is measured, periodically reviewed, integrated with related processes and tested against relevant disruption scenarios.</t>
        </is>
      </c>
      <c r="U293" s="3" t="inlineStr">
        <is>
          <t>Marketing automation, email, analytics, CMS, domain and DNS dependency documentation is optimized, continuously improved, automated where practical and demonstrably supports crisis resilience.</t>
        </is>
      </c>
      <c r="V293" s="3" t="inlineStr">
        <is>
          <t>Reputation crisis; Demand shock; IT outage</t>
        </is>
      </c>
      <c r="W293" s="3" t="n"/>
      <c r="X293" s="3" t="n"/>
      <c r="Y293" s="3" t="inlineStr">
        <is>
          <t>Use the recommended action generated by the model; validate with domain owner during real assessment.</t>
        </is>
      </c>
      <c r="Z293" s="7" t="n">
        <v>5</v>
      </c>
      <c r="AA293" s="7" t="n">
        <v>5</v>
      </c>
      <c r="AB293" s="7" t="n">
        <v>5</v>
      </c>
      <c r="AK293" s="46" t="n"/>
      <c r="AL293" s="46" t="n"/>
      <c r="AM293" s="247">
        <f>_DATA_Assessment_Model!AJ293</f>
        <v/>
      </c>
      <c r="AN293" s="247">
        <f>_DATA_Assessment_Model!AK293</f>
        <v/>
      </c>
      <c r="AO293" s="247">
        <f>_DATA_Assessment_Model!AL293</f>
        <v/>
      </c>
      <c r="AP293" s="247">
        <f>_DATA_Assessment_Model!AM293</f>
        <v/>
      </c>
      <c r="AQ293" s="247">
        <f>_DATA_Assessment_Model!AN293</f>
        <v/>
      </c>
      <c r="AR293" s="247">
        <f>_DATA_Assessment_Model!AO293</f>
        <v/>
      </c>
      <c r="AS293" s="247">
        <f>_DATA_Assessment_Model!AP293</f>
        <v/>
      </c>
      <c r="AT293" s="247">
        <f>_DATA_Assessment_Model!AQ293</f>
        <v/>
      </c>
      <c r="AU293" s="247">
        <f>_DATA_Assessment_Model!AR293</f>
        <v/>
      </c>
      <c r="AV293" s="5">
        <f>_DATA_Assessment_Model!AS293</f>
        <v/>
      </c>
      <c r="AW293" s="5">
        <f>_DATA_Assessment_Model!AT293</f>
        <v/>
      </c>
      <c r="AY293">
        <f>_DATA_Assessment_Model!AV293</f>
        <v/>
      </c>
    </row>
    <row r="294" ht="96.59999999999999" customHeight="1" s="209">
      <c r="A294" t="inlineStr">
        <is>
          <t>Marketing Comms</t>
        </is>
      </c>
      <c r="B294" t="inlineStr">
        <is>
          <t>Marketing Comms</t>
        </is>
      </c>
      <c r="C294" t="n">
        <v>18</v>
      </c>
      <c r="D294" s="3" t="inlineStr">
        <is>
          <t>MARK-014</t>
        </is>
      </c>
      <c r="E294" s="3" t="inlineStr">
        <is>
          <t>Marketing operations</t>
        </is>
      </c>
      <c r="F294" s="3" t="inlineStr">
        <is>
          <t>How mature is the organization in managing privacy, consent, unsubscribe, advertising claims and industry marketing compliance, including ownership, evidence, metrics, fallback procedures and crisis stress testing?</t>
        </is>
      </c>
      <c r="G294" s="3" t="inlineStr">
        <is>
          <t>This topic affects exposure to Reputation crisis; Demand shock; IT outage. It helps identify how disruption may impact operations, people, revenue, systems, legal exposure or recovery time.</t>
        </is>
      </c>
      <c r="H294" s="3" t="inlineStr">
        <is>
          <t>ISO 10002; ISO 10004; ISO 20671-1; ISO 22301; AMEC; crisis communication best practices</t>
        </is>
      </c>
      <c r="I294" s="3" t="inlineStr">
        <is>
          <t>Policy/SOP; owner/RACI; system report; dashboard; contracts; test records; incident history; interview evidence related to privacy, consent, unsubscribe, advertising claims and industry marketing compliance.</t>
        </is>
      </c>
      <c r="J294" s="3" t="n">
        <v>4</v>
      </c>
      <c r="K294" s="85">
        <f>_DATA_Assessment_Model!H294</f>
        <v/>
      </c>
      <c r="L294" s="4">
        <f>_DATA_Assessment_Model!I294</f>
        <v/>
      </c>
      <c r="M294" s="4">
        <f>_DATA_Assessment_Model!J294</f>
        <v/>
      </c>
      <c r="N294" s="4">
        <f>_DATA_Assessment_Model!K294</f>
        <v/>
      </c>
      <c r="O294" s="3">
        <f>_DATA_Assessment_Model!L294</f>
        <v/>
      </c>
      <c r="P294" s="3" t="inlineStr">
        <is>
          <t>No reliable evidence that privacy, consent, unsubscribe, advertising claims and industry marketing compliance is defined, owned or managed.</t>
        </is>
      </c>
      <c r="Q294" s="3" t="inlineStr">
        <is>
          <t>Privacy, consent, unsubscribe, advertising claims and industry marketing compliance is handled informally and depends on individual knowledge or heroic effort.</t>
        </is>
      </c>
      <c r="R294" s="3" t="inlineStr">
        <is>
          <t>Privacy, consent, unsubscribe, advertising claims and industry marketing compliance is partially documented or implemented, but coverage is inconsistent and not crisis-tested.</t>
        </is>
      </c>
      <c r="S294" s="3" t="inlineStr">
        <is>
          <t>Privacy, consent, unsubscribe, advertising claims and industry marketing compliance is documented, owned, used in normal operations and supported by basic evidence or metrics.</t>
        </is>
      </c>
      <c r="T294" s="3" t="inlineStr">
        <is>
          <t>Privacy, consent, unsubscribe, advertising claims and industry marketing compliance is measured, periodically reviewed, integrated with related processes and tested against relevant disruption scenarios.</t>
        </is>
      </c>
      <c r="U294" s="3" t="inlineStr">
        <is>
          <t>Privacy, consent, unsubscribe, advertising claims and industry marketing compliance is optimized, continuously improved, automated where practical and demonstrably supports crisis resilience.</t>
        </is>
      </c>
      <c r="V294" s="3" t="inlineStr">
        <is>
          <t>Reputation crisis; Demand shock; IT outage</t>
        </is>
      </c>
      <c r="W294" s="3" t="n"/>
      <c r="X294" s="3" t="n"/>
      <c r="Y294" s="3" t="inlineStr">
        <is>
          <t>Use the recommended action generated by the model; validate with domain owner during real assessment.</t>
        </is>
      </c>
      <c r="Z294" s="7" t="n">
        <v>4</v>
      </c>
      <c r="AA294" s="7" t="n">
        <v>5</v>
      </c>
      <c r="AB294" s="7" t="n">
        <v>5</v>
      </c>
      <c r="AK294" s="46" t="n"/>
      <c r="AL294" s="46" t="n"/>
      <c r="AM294" s="247">
        <f>_DATA_Assessment_Model!AJ294</f>
        <v/>
      </c>
      <c r="AN294" s="247">
        <f>_DATA_Assessment_Model!AK294</f>
        <v/>
      </c>
      <c r="AO294" s="247">
        <f>_DATA_Assessment_Model!AL294</f>
        <v/>
      </c>
      <c r="AP294" s="247">
        <f>_DATA_Assessment_Model!AM294</f>
        <v/>
      </c>
      <c r="AQ294" s="247">
        <f>_DATA_Assessment_Model!AN294</f>
        <v/>
      </c>
      <c r="AR294" s="247">
        <f>_DATA_Assessment_Model!AO294</f>
        <v/>
      </c>
      <c r="AS294" s="247">
        <f>_DATA_Assessment_Model!AP294</f>
        <v/>
      </c>
      <c r="AT294" s="247">
        <f>_DATA_Assessment_Model!AQ294</f>
        <v/>
      </c>
      <c r="AU294" s="247">
        <f>_DATA_Assessment_Model!AR294</f>
        <v/>
      </c>
      <c r="AV294" s="5">
        <f>_DATA_Assessment_Model!AS294</f>
        <v/>
      </c>
      <c r="AW294" s="5">
        <f>_DATA_Assessment_Model!AT294</f>
        <v/>
      </c>
      <c r="AY294">
        <f>_DATA_Assessment_Model!AV294</f>
        <v/>
      </c>
    </row>
    <row r="295" ht="110.4" customHeight="1" s="209">
      <c r="A295" t="inlineStr">
        <is>
          <t>Marketing Comms</t>
        </is>
      </c>
      <c r="B295" t="inlineStr">
        <is>
          <t>Marketing Comms</t>
        </is>
      </c>
      <c r="C295" t="n">
        <v>19</v>
      </c>
      <c r="D295" s="3" t="inlineStr">
        <is>
          <t>MARK-015</t>
        </is>
      </c>
      <c r="E295" s="3" t="inlineStr">
        <is>
          <t>Marketing operations</t>
        </is>
      </c>
      <c r="F295" s="3" t="inlineStr">
        <is>
          <t>How mature is the organization in managing demand-generation playbooks for budget cuts, channel failure, competitive pressure or geopolitical restrictions, including ownership, evidence, metrics, fallback procedures and crisis stress testing?</t>
        </is>
      </c>
      <c r="G295" s="3" t="inlineStr">
        <is>
          <t>This topic affects exposure to Reputation crisis; Demand shock; IT outage. It helps identify how disruption may impact operations, people, revenue, systems, legal exposure or recovery time.</t>
        </is>
      </c>
      <c r="H295" s="3" t="inlineStr">
        <is>
          <t>ISO 10002; ISO 10004; ISO 20671-1; ISO 22301; AMEC; crisis communication best practices</t>
        </is>
      </c>
      <c r="I295" s="3" t="inlineStr">
        <is>
          <t>Policy/SOP; owner/RACI; system report; dashboard; contracts; test records; incident history; interview evidence related to demand-generation playbooks for budget cuts, channel failure, competitive pressure or geopolitical restrictions.</t>
        </is>
      </c>
      <c r="J295" s="3" t="n">
        <v>3</v>
      </c>
      <c r="K295" s="85">
        <f>_DATA_Assessment_Model!H295</f>
        <v/>
      </c>
      <c r="L295" s="4">
        <f>_DATA_Assessment_Model!I295</f>
        <v/>
      </c>
      <c r="M295" s="4">
        <f>_DATA_Assessment_Model!J295</f>
        <v/>
      </c>
      <c r="N295" s="4">
        <f>_DATA_Assessment_Model!K295</f>
        <v/>
      </c>
      <c r="O295" s="3">
        <f>_DATA_Assessment_Model!L295</f>
        <v/>
      </c>
      <c r="P295" s="3" t="inlineStr">
        <is>
          <t>No reliable evidence that demand-generation playbooks for budget cuts, channel failure, competitive pressure or geopolitical restrictions is defined, owned or managed.</t>
        </is>
      </c>
      <c r="Q295" s="3" t="inlineStr">
        <is>
          <t>Demand-generation playbooks for budget cuts, channel failure, competitive pressure or geopolitical restrictions is handled informally and depends on individual knowledge or heroic effort.</t>
        </is>
      </c>
      <c r="R295" s="3" t="inlineStr">
        <is>
          <t>Demand-generation playbooks for budget cuts, channel failure, competitive pressure or geopolitical restrictions is partially documented or implemented, but coverage is inconsistent and not crisis-tested.</t>
        </is>
      </c>
      <c r="S295" s="3" t="inlineStr">
        <is>
          <t>Demand-generation playbooks for budget cuts, channel failure, competitive pressure or geopolitical restrictions is documented, owned, used in normal operations and supported by basic evidence or metrics.</t>
        </is>
      </c>
      <c r="T295" s="3" t="inlineStr">
        <is>
          <t>Demand-generation playbooks for budget cuts, channel failure, competitive pressure or geopolitical restrictions is measured, periodically reviewed, integrated with related processes and tested against relevant disruption scenarios.</t>
        </is>
      </c>
      <c r="U295" s="3" t="inlineStr">
        <is>
          <t>Demand-generation playbooks for budget cuts, channel failure, competitive pressure or geopolitical restrictions is optimized, continuously improved, automated where practical and demonstrably supports crisis resilience.</t>
        </is>
      </c>
      <c r="V295" s="3" t="inlineStr">
        <is>
          <t>Reputation crisis; Demand shock; IT outage</t>
        </is>
      </c>
      <c r="W295" s="3" t="n"/>
      <c r="X295" s="3" t="n"/>
      <c r="Y295" s="3" t="inlineStr">
        <is>
          <t>Use the recommended action generated by the model; validate with domain owner during real assessment.</t>
        </is>
      </c>
      <c r="Z295" s="7" t="n">
        <v>4</v>
      </c>
      <c r="AA295" s="7" t="n">
        <v>5</v>
      </c>
      <c r="AB295" s="7" t="n">
        <v>5</v>
      </c>
      <c r="AK295" s="46" t="n"/>
      <c r="AL295" s="46" t="n"/>
      <c r="AM295" s="247">
        <f>_DATA_Assessment_Model!AJ295</f>
        <v/>
      </c>
      <c r="AN295" s="247">
        <f>_DATA_Assessment_Model!AK295</f>
        <v/>
      </c>
      <c r="AO295" s="247">
        <f>_DATA_Assessment_Model!AL295</f>
        <v/>
      </c>
      <c r="AP295" s="247">
        <f>_DATA_Assessment_Model!AM295</f>
        <v/>
      </c>
      <c r="AQ295" s="247">
        <f>_DATA_Assessment_Model!AN295</f>
        <v/>
      </c>
      <c r="AR295" s="247">
        <f>_DATA_Assessment_Model!AO295</f>
        <v/>
      </c>
      <c r="AS295" s="247">
        <f>_DATA_Assessment_Model!AP295</f>
        <v/>
      </c>
      <c r="AT295" s="247">
        <f>_DATA_Assessment_Model!AQ295</f>
        <v/>
      </c>
      <c r="AU295" s="247">
        <f>_DATA_Assessment_Model!AR295</f>
        <v/>
      </c>
      <c r="AV295" s="5">
        <f>_DATA_Assessment_Model!AS295</f>
        <v/>
      </c>
      <c r="AW295" s="5">
        <f>_DATA_Assessment_Model!AT295</f>
        <v/>
      </c>
      <c r="AY295">
        <f>_DATA_Assessment_Model!AV295</f>
        <v/>
      </c>
    </row>
    <row r="296" ht="69" customHeight="1" s="209">
      <c r="A296" t="inlineStr">
        <is>
          <t>Marketing Comms</t>
        </is>
      </c>
      <c r="B296" t="inlineStr">
        <is>
          <t>Marketing Comms</t>
        </is>
      </c>
      <c r="C296" t="n">
        <v>20</v>
      </c>
      <c r="D296" s="3" t="inlineStr">
        <is>
          <t>MARK-016</t>
        </is>
      </c>
      <c r="E296" s="3" t="inlineStr">
        <is>
          <t>Marketing operations</t>
        </is>
      </c>
      <c r="F296" s="3" t="inlineStr">
        <is>
          <t>How mature is the organization in managing sales-marketing alignment on ICP, lead definitions, messages, offers and crisis concerns, including ownership, evidence, metrics, fallback procedures and crisis stress testing?</t>
        </is>
      </c>
      <c r="G296" s="3" t="inlineStr">
        <is>
          <t>This topic affects exposure to Reputation crisis; Demand shock; IT outage. It helps identify how disruption may impact operations, people, revenue, systems, legal exposure or recovery time.</t>
        </is>
      </c>
      <c r="H296" s="3" t="inlineStr">
        <is>
          <t>ISO 10002; ISO 10004; ISO 20671-1; ISO 22301; AMEC; crisis communication best practices</t>
        </is>
      </c>
      <c r="I296" s="3" t="inlineStr">
        <is>
          <t>Policy/SOP; owner/RACI; system report; dashboard; contracts; test records; incident history; interview evidence related to sales-marketing alignment on ICP, lead definitions, messages, offers and crisis concerns.</t>
        </is>
      </c>
      <c r="J296" s="3" t="n">
        <v>5</v>
      </c>
      <c r="K296" s="85">
        <f>_DATA_Assessment_Model!H296</f>
        <v/>
      </c>
      <c r="L296" s="4">
        <f>_DATA_Assessment_Model!I296</f>
        <v/>
      </c>
      <c r="M296" s="4">
        <f>_DATA_Assessment_Model!J296</f>
        <v/>
      </c>
      <c r="N296" s="4">
        <f>_DATA_Assessment_Model!K296</f>
        <v/>
      </c>
      <c r="O296" s="3">
        <f>_DATA_Assessment_Model!L296</f>
        <v/>
      </c>
      <c r="P296" s="3" t="inlineStr">
        <is>
          <t>Does not exist; no owner, no documentation, no practice.</t>
        </is>
      </c>
      <c r="Q296" s="3" t="inlineStr">
        <is>
          <t>Ad hoc; depends entirely on specific individuals.</t>
        </is>
      </c>
      <c r="R296" s="3" t="inlineStr">
        <is>
          <t>Partially documented or implemented; coverage inconsistent; never tested under stress.</t>
        </is>
      </c>
      <c r="S296" s="3" t="inlineStr">
        <is>
          <t>Documented, owned, executed consistently; basic evidence and metrics exist.</t>
        </is>
      </c>
      <c r="T296" s="3" t="inlineStr">
        <is>
          <t>Measured and periodically tested/audited; integrated with adjacent processes.</t>
        </is>
      </c>
      <c r="U296" s="3" t="inlineStr">
        <is>
          <t>Optimized and automated where practical; stress-tested; benchmarked externally.</t>
        </is>
      </c>
      <c r="V296" s="3" t="inlineStr">
        <is>
          <t>Reputation crisis; Demand shock; IT outage</t>
        </is>
      </c>
      <c r="W296" s="3" t="n"/>
      <c r="X296" s="3" t="n"/>
      <c r="Y296" s="3" t="inlineStr">
        <is>
          <t>Use the recommended action generated by the model; validate with domain owner during real assessment.</t>
        </is>
      </c>
      <c r="Z296" s="7" t="n">
        <v>4</v>
      </c>
      <c r="AA296" s="7" t="n">
        <v>5</v>
      </c>
      <c r="AB296" s="7" t="n">
        <v>5</v>
      </c>
      <c r="AK296" s="46" t="n"/>
      <c r="AL296" s="46" t="n"/>
      <c r="AM296" s="247">
        <f>_DATA_Assessment_Model!AJ296</f>
        <v/>
      </c>
      <c r="AN296" s="247">
        <f>_DATA_Assessment_Model!AK296</f>
        <v/>
      </c>
      <c r="AO296" s="247">
        <f>_DATA_Assessment_Model!AL296</f>
        <v/>
      </c>
      <c r="AP296" s="247">
        <f>_DATA_Assessment_Model!AM296</f>
        <v/>
      </c>
      <c r="AQ296" s="247">
        <f>_DATA_Assessment_Model!AN296</f>
        <v/>
      </c>
      <c r="AR296" s="247">
        <f>_DATA_Assessment_Model!AO296</f>
        <v/>
      </c>
      <c r="AS296" s="247">
        <f>_DATA_Assessment_Model!AP296</f>
        <v/>
      </c>
      <c r="AT296" s="247">
        <f>_DATA_Assessment_Model!AQ296</f>
        <v/>
      </c>
      <c r="AU296" s="247">
        <f>_DATA_Assessment_Model!AR296</f>
        <v/>
      </c>
      <c r="AV296" s="5">
        <f>_DATA_Assessment_Model!AS296</f>
        <v/>
      </c>
      <c r="AW296" s="5">
        <f>_DATA_Assessment_Model!AT296</f>
        <v/>
      </c>
      <c r="AY296">
        <f>_DATA_Assessment_Model!AV296</f>
        <v/>
      </c>
    </row>
    <row r="297" ht="82.8" customHeight="1" s="209">
      <c r="A297" t="inlineStr">
        <is>
          <t>IT Cloud DR</t>
        </is>
      </c>
      <c r="B297" t="inlineStr">
        <is>
          <t>IT Cloud DR</t>
        </is>
      </c>
      <c r="C297" t="n">
        <v>5</v>
      </c>
      <c r="D297" s="3" t="inlineStr">
        <is>
          <t>ITCL-001</t>
        </is>
      </c>
      <c r="E297" s="3" t="inlineStr">
        <is>
          <t>IT inventory and architecture</t>
        </is>
      </c>
      <c r="F297" s="3" t="inlineStr">
        <is>
          <t>How mature is the organization in managing complete inventory of applications, infrastructure, cloud accounts, integrations, data stores and owners, including ownership, evidence, metrics, fallback procedures and crisis stress testing?</t>
        </is>
      </c>
      <c r="G297" s="3" t="inlineStr">
        <is>
          <t>This topic affects exposure to IT outage; Cloud outage; Data loss; Cyberattack. It helps identify how disruption may impact operations, people, revenue, systems, legal exposure or recovery time.</t>
        </is>
      </c>
      <c r="H297" s="3" t="inlineStr">
        <is>
          <t>ISO/IEC 27001; ISO/IEC 20000-1; NIST CSF 2.0; NIST SP 800-34; COBIT; ITIL 4; FinOps</t>
        </is>
      </c>
      <c r="I297" s="3" t="inlineStr">
        <is>
          <t>Policy/SOP; owner/RACI; system report; dashboard; contracts; test records; incident history; interview evidence related to complete inventory of applications, infrastructure, cloud accounts, integrations, data stores and owners.</t>
        </is>
      </c>
      <c r="J297" s="3" t="n">
        <v>5</v>
      </c>
      <c r="K297" s="85">
        <f>_DATA_Assessment_Model!H297</f>
        <v/>
      </c>
      <c r="L297" s="4">
        <f>_DATA_Assessment_Model!I297</f>
        <v/>
      </c>
      <c r="M297" s="4">
        <f>_DATA_Assessment_Model!J297</f>
        <v/>
      </c>
      <c r="N297" s="4">
        <f>_DATA_Assessment_Model!K297</f>
        <v/>
      </c>
      <c r="O297" s="3">
        <f>_DATA_Assessment_Model!L297</f>
        <v/>
      </c>
      <c r="P297" s="3" t="inlineStr">
        <is>
          <t>No inventory/register exists.</t>
        </is>
      </c>
      <c r="Q297" s="3" t="inlineStr">
        <is>
          <t>Partial lists live in individuals' heads or personal files.</t>
        </is>
      </c>
      <c r="R297" s="3" t="inlineStr">
        <is>
          <t>A register exists but is incomplete or outdated (&gt;1 year) and has no owner.</t>
        </is>
      </c>
      <c r="S297" s="3" t="inlineStr">
        <is>
          <t>Owned, documented, updated on a defined schedule, covers the main scope.</t>
        </is>
      </c>
      <c r="T297" s="3" t="inlineStr">
        <is>
          <t>Complete and periodically reviewed; integrated with related processes; completeness measured.</t>
        </is>
      </c>
      <c r="U297" s="3" t="inlineStr">
        <is>
          <t>Maintained automatically or synced with systems; drives decisions; audited.</t>
        </is>
      </c>
      <c r="V297" s="3" t="inlineStr">
        <is>
          <t>IT outage; Cloud outage; Data loss; Cyberattack</t>
        </is>
      </c>
      <c r="W297" s="3" t="n"/>
      <c r="X297" s="3" t="n"/>
      <c r="Y297" s="3" t="inlineStr">
        <is>
          <t>Use the recommended action generated by the model; validate with domain owner during real assessment.</t>
        </is>
      </c>
      <c r="Z297" s="7" t="n">
        <v>5</v>
      </c>
      <c r="AA297" s="7" t="n">
        <v>5</v>
      </c>
      <c r="AB297" s="7" t="n">
        <v>5</v>
      </c>
      <c r="AD297" t="inlineStr">
        <is>
          <t>IT inventory and architecture</t>
        </is>
      </c>
      <c r="AE297" s="6">
        <f>_DATA_Assessment_Model!AB297</f>
        <v/>
      </c>
      <c r="AF297" s="8">
        <f>_DATA_Assessment_Model!AC297</f>
        <v/>
      </c>
      <c r="AG297" s="9">
        <f>_DATA_Assessment_Model!AD297</f>
        <v/>
      </c>
      <c r="AH297" s="6">
        <f>_DATA_Assessment_Model!AE297</f>
        <v/>
      </c>
      <c r="AI297" s="8">
        <f>_DATA_Assessment_Model!AF297</f>
        <v/>
      </c>
      <c r="AJ297" s="6">
        <f>_DATA_Assessment_Model!AG297</f>
        <v/>
      </c>
      <c r="AK297" s="46" t="n"/>
      <c r="AL297" s="46" t="n"/>
      <c r="AM297" s="247">
        <f>_DATA_Assessment_Model!AJ297</f>
        <v/>
      </c>
      <c r="AN297" s="247">
        <f>_DATA_Assessment_Model!AK297</f>
        <v/>
      </c>
      <c r="AO297" s="247">
        <f>_DATA_Assessment_Model!AL297</f>
        <v/>
      </c>
      <c r="AP297" s="247">
        <f>_DATA_Assessment_Model!AM297</f>
        <v/>
      </c>
      <c r="AQ297" s="247">
        <f>_DATA_Assessment_Model!AN297</f>
        <v/>
      </c>
      <c r="AR297" s="247">
        <f>_DATA_Assessment_Model!AO297</f>
        <v/>
      </c>
      <c r="AS297" s="247">
        <f>_DATA_Assessment_Model!AP297</f>
        <v/>
      </c>
      <c r="AT297" s="247">
        <f>_DATA_Assessment_Model!AQ297</f>
        <v/>
      </c>
      <c r="AU297" s="247">
        <f>_DATA_Assessment_Model!AR297</f>
        <v/>
      </c>
      <c r="AV297" s="5">
        <f>_DATA_Assessment_Model!AS297</f>
        <v/>
      </c>
      <c r="AW297" s="5">
        <f>_DATA_Assessment_Model!AT297</f>
        <v/>
      </c>
      <c r="AY297">
        <f>_DATA_Assessment_Model!AV297</f>
        <v/>
      </c>
    </row>
    <row r="298" ht="69" customHeight="1" s="209">
      <c r="A298" t="inlineStr">
        <is>
          <t>IT Cloud DR</t>
        </is>
      </c>
      <c r="B298" t="inlineStr">
        <is>
          <t>IT Cloud DR</t>
        </is>
      </c>
      <c r="C298" t="n">
        <v>6</v>
      </c>
      <c r="D298" s="3" t="inlineStr">
        <is>
          <t>ITCL-002</t>
        </is>
      </c>
      <c r="E298" s="3" t="inlineStr">
        <is>
          <t>IT inventory and architecture</t>
        </is>
      </c>
      <c r="F298" s="3" t="inlineStr">
        <is>
          <t>How mature is the organization in managing system criticality tiering by business process, RTO, RPO, users and data sensitivity, including ownership, evidence, metrics, fallback procedures and crisis stress testing?</t>
        </is>
      </c>
      <c r="G298" s="3" t="inlineStr">
        <is>
          <t>This topic affects exposure to IT outage; Cloud outage; Data loss; Cyberattack. It helps identify how disruption may impact operations, people, revenue, systems, legal exposure or recovery time.</t>
        </is>
      </c>
      <c r="H298" s="3" t="inlineStr">
        <is>
          <t>ISO/IEC 27001; ISO/IEC 20000-1; NIST CSF 2.0; NIST SP 800-34; COBIT; ITIL 4; FinOps</t>
        </is>
      </c>
      <c r="I298" s="3" t="inlineStr">
        <is>
          <t>Policy/SOP; owner/RACI; system report; dashboard; contracts; test records; incident history; interview evidence related to system criticality tiering by business process, RTO, RPO, users and data sensitivity.</t>
        </is>
      </c>
      <c r="J298" s="3" t="n">
        <v>5</v>
      </c>
      <c r="K298" s="85">
        <f>_DATA_Assessment_Model!H298</f>
        <v/>
      </c>
      <c r="L298" s="4">
        <f>_DATA_Assessment_Model!I298</f>
        <v/>
      </c>
      <c r="M298" s="4">
        <f>_DATA_Assessment_Model!J298</f>
        <v/>
      </c>
      <c r="N298" s="4">
        <f>_DATA_Assessment_Model!K298</f>
        <v/>
      </c>
      <c r="O298" s="3">
        <f>_DATA_Assessment_Model!L298</f>
        <v/>
      </c>
      <c r="P298" s="3" t="inlineStr">
        <is>
          <t>Does not exist; no owner, no documentation, no practice.</t>
        </is>
      </c>
      <c r="Q298" s="3" t="inlineStr">
        <is>
          <t>Ad hoc; depends entirely on specific individuals.</t>
        </is>
      </c>
      <c r="R298" s="3" t="inlineStr">
        <is>
          <t>Partially documented or implemented; coverage inconsistent; never tested under stress.</t>
        </is>
      </c>
      <c r="S298" s="3" t="inlineStr">
        <is>
          <t>Documented, owned, executed consistently; basic evidence and metrics exist.</t>
        </is>
      </c>
      <c r="T298" s="3" t="inlineStr">
        <is>
          <t>Measured and periodically tested/audited; integrated with adjacent processes.</t>
        </is>
      </c>
      <c r="U298" s="3" t="inlineStr">
        <is>
          <t>Optimized and automated where practical; stress-tested; benchmarked externally.</t>
        </is>
      </c>
      <c r="V298" s="3" t="inlineStr">
        <is>
          <t>IT outage; Cloud outage; Data loss; Cyberattack</t>
        </is>
      </c>
      <c r="W298" s="3" t="n"/>
      <c r="X298" s="3" t="n"/>
      <c r="Y298" s="3" t="inlineStr">
        <is>
          <t>Use the recommended action generated by the model; validate with domain owner during real assessment.</t>
        </is>
      </c>
      <c r="Z298" s="7" t="n">
        <v>5</v>
      </c>
      <c r="AA298" s="7" t="n">
        <v>5</v>
      </c>
      <c r="AB298" s="7" t="n">
        <v>5</v>
      </c>
      <c r="AD298" t="inlineStr">
        <is>
          <t>Cloud usage</t>
        </is>
      </c>
      <c r="AE298" s="6">
        <f>_DATA_Assessment_Model!AB298</f>
        <v/>
      </c>
      <c r="AF298" s="8">
        <f>_DATA_Assessment_Model!AC298</f>
        <v/>
      </c>
      <c r="AG298" s="9">
        <f>_DATA_Assessment_Model!AD298</f>
        <v/>
      </c>
      <c r="AH298" s="6">
        <f>_DATA_Assessment_Model!AE298</f>
        <v/>
      </c>
      <c r="AI298" s="8">
        <f>_DATA_Assessment_Model!AF298</f>
        <v/>
      </c>
      <c r="AJ298" s="6">
        <f>_DATA_Assessment_Model!AG298</f>
        <v/>
      </c>
      <c r="AK298" s="46" t="n"/>
      <c r="AL298" s="46" t="n"/>
      <c r="AM298" s="247">
        <f>_DATA_Assessment_Model!AJ298</f>
        <v/>
      </c>
      <c r="AN298" s="247">
        <f>_DATA_Assessment_Model!AK298</f>
        <v/>
      </c>
      <c r="AO298" s="247">
        <f>_DATA_Assessment_Model!AL298</f>
        <v/>
      </c>
      <c r="AP298" s="247">
        <f>_DATA_Assessment_Model!AM298</f>
        <v/>
      </c>
      <c r="AQ298" s="247">
        <f>_DATA_Assessment_Model!AN298</f>
        <v/>
      </c>
      <c r="AR298" s="247">
        <f>_DATA_Assessment_Model!AO298</f>
        <v/>
      </c>
      <c r="AS298" s="247">
        <f>_DATA_Assessment_Model!AP298</f>
        <v/>
      </c>
      <c r="AT298" s="247">
        <f>_DATA_Assessment_Model!AQ298</f>
        <v/>
      </c>
      <c r="AU298" s="247">
        <f>_DATA_Assessment_Model!AR298</f>
        <v/>
      </c>
      <c r="AV298" s="5">
        <f>_DATA_Assessment_Model!AS298</f>
        <v/>
      </c>
      <c r="AW298" s="5">
        <f>_DATA_Assessment_Model!AT298</f>
        <v/>
      </c>
      <c r="AY298">
        <f>_DATA_Assessment_Model!AV298</f>
        <v/>
      </c>
    </row>
    <row r="299" ht="82.8" customHeight="1" s="209">
      <c r="A299" t="inlineStr">
        <is>
          <t>IT Cloud DR</t>
        </is>
      </c>
      <c r="B299" t="inlineStr">
        <is>
          <t>IT Cloud DR</t>
        </is>
      </c>
      <c r="C299" t="n">
        <v>7</v>
      </c>
      <c r="D299" s="3" t="inlineStr">
        <is>
          <t>ITCL-003</t>
        </is>
      </c>
      <c r="E299" s="3" t="inlineStr">
        <is>
          <t>IT inventory and architecture</t>
        </is>
      </c>
      <c r="F299" s="3" t="inlineStr">
        <is>
          <t>How mature is the organization in managing current-state and target-state IT architecture documentation, including ownership, evidence, metrics, fallback procedures and crisis stress testing?</t>
        </is>
      </c>
      <c r="G299" s="3" t="inlineStr">
        <is>
          <t>This topic affects exposure to IT outage; Cloud outage; Data loss; Cyberattack. It helps identify how disruption may impact operations, people, revenue, systems, legal exposure or recovery time.</t>
        </is>
      </c>
      <c r="H299" s="3" t="inlineStr">
        <is>
          <t>ISO/IEC 27001; ISO/IEC 20000-1; NIST CSF 2.0; NIST SP 800-34; COBIT; ITIL 4; FinOps</t>
        </is>
      </c>
      <c r="I299" s="3" t="inlineStr">
        <is>
          <t>Policy/SOP; owner/RACI; system report; dashboard; contracts; test records; incident history; interview evidence related to current-state and target-state IT architecture documentation.</t>
        </is>
      </c>
      <c r="J299" s="3" t="n">
        <v>3</v>
      </c>
      <c r="K299" s="85">
        <f>_DATA_Assessment_Model!H299</f>
        <v/>
      </c>
      <c r="L299" s="4">
        <f>_DATA_Assessment_Model!I299</f>
        <v/>
      </c>
      <c r="M299" s="4">
        <f>_DATA_Assessment_Model!J299</f>
        <v/>
      </c>
      <c r="N299" s="4">
        <f>_DATA_Assessment_Model!K299</f>
        <v/>
      </c>
      <c r="O299" s="3">
        <f>_DATA_Assessment_Model!L299</f>
        <v/>
      </c>
      <c r="P299" s="3" t="inlineStr">
        <is>
          <t>No reliable evidence that current-state and target-state it architecture documentation is defined, owned or managed.</t>
        </is>
      </c>
      <c r="Q299" s="3" t="inlineStr">
        <is>
          <t>Current-state and target-state IT architecture documentation is handled informally and depends on individual knowledge or heroic effort.</t>
        </is>
      </c>
      <c r="R299" s="3" t="inlineStr">
        <is>
          <t>Current-state and target-state IT architecture documentation is partially documented or implemented, but coverage is inconsistent and not crisis-tested.</t>
        </is>
      </c>
      <c r="S299" s="3" t="inlineStr">
        <is>
          <t>Current-state and target-state IT architecture documentation is documented, owned, used in normal operations and supported by basic evidence or metrics.</t>
        </is>
      </c>
      <c r="T299" s="3" t="inlineStr">
        <is>
          <t>Current-state and target-state IT architecture documentation is measured, periodically reviewed, integrated with related processes and tested against relevant disruption scenarios.</t>
        </is>
      </c>
      <c r="U299" s="3" t="inlineStr">
        <is>
          <t>Current-state and target-state IT architecture documentation is optimized, continuously improved, automated where practical and demonstrably supports crisis resilience.</t>
        </is>
      </c>
      <c r="V299" s="3" t="inlineStr">
        <is>
          <t>IT outage; Cloud outage; Data loss; Cyberattack</t>
        </is>
      </c>
      <c r="W299" s="3" t="n"/>
      <c r="X299" s="3" t="n"/>
      <c r="Y299" s="3" t="inlineStr">
        <is>
          <t>Use the recommended action generated by the model; validate with domain owner during real assessment.</t>
        </is>
      </c>
      <c r="Z299" s="7" t="n">
        <v>5</v>
      </c>
      <c r="AA299" s="7" t="n">
        <v>5</v>
      </c>
      <c r="AB299" s="7" t="n">
        <v>5</v>
      </c>
      <c r="AD299" t="inlineStr">
        <is>
          <t>Resilience and DR</t>
        </is>
      </c>
      <c r="AE299" s="6">
        <f>_DATA_Assessment_Model!AB299</f>
        <v/>
      </c>
      <c r="AF299" s="8">
        <f>_DATA_Assessment_Model!AC299</f>
        <v/>
      </c>
      <c r="AG299" s="9">
        <f>_DATA_Assessment_Model!AD299</f>
        <v/>
      </c>
      <c r="AH299" s="6">
        <f>_DATA_Assessment_Model!AE299</f>
        <v/>
      </c>
      <c r="AI299" s="8">
        <f>_DATA_Assessment_Model!AF299</f>
        <v/>
      </c>
      <c r="AJ299" s="6">
        <f>_DATA_Assessment_Model!AG299</f>
        <v/>
      </c>
      <c r="AK299" s="46" t="n"/>
      <c r="AL299" s="46" t="n"/>
      <c r="AM299" s="247">
        <f>_DATA_Assessment_Model!AJ299</f>
        <v/>
      </c>
      <c r="AN299" s="247">
        <f>_DATA_Assessment_Model!AK299</f>
        <v/>
      </c>
      <c r="AO299" s="247">
        <f>_DATA_Assessment_Model!AL299</f>
        <v/>
      </c>
      <c r="AP299" s="247">
        <f>_DATA_Assessment_Model!AM299</f>
        <v/>
      </c>
      <c r="AQ299" s="247">
        <f>_DATA_Assessment_Model!AN299</f>
        <v/>
      </c>
      <c r="AR299" s="247">
        <f>_DATA_Assessment_Model!AO299</f>
        <v/>
      </c>
      <c r="AS299" s="247">
        <f>_DATA_Assessment_Model!AP299</f>
        <v/>
      </c>
      <c r="AT299" s="247">
        <f>_DATA_Assessment_Model!AQ299</f>
        <v/>
      </c>
      <c r="AU299" s="247">
        <f>_DATA_Assessment_Model!AR299</f>
        <v/>
      </c>
      <c r="AV299" s="5">
        <f>_DATA_Assessment_Model!AS299</f>
        <v/>
      </c>
      <c r="AW299" s="5">
        <f>_DATA_Assessment_Model!AT299</f>
        <v/>
      </c>
      <c r="AY299">
        <f>_DATA_Assessment_Model!AV299</f>
        <v/>
      </c>
    </row>
    <row r="300" ht="82.8" customHeight="1" s="209">
      <c r="A300" t="inlineStr">
        <is>
          <t>IT Cloud DR</t>
        </is>
      </c>
      <c r="B300" t="inlineStr">
        <is>
          <t>IT Cloud DR</t>
        </is>
      </c>
      <c r="C300" t="n">
        <v>8</v>
      </c>
      <c r="D300" s="3" t="inlineStr">
        <is>
          <t>ITCL-004</t>
        </is>
      </c>
      <c r="E300" s="3" t="inlineStr">
        <is>
          <t>IT inventory and architecture</t>
        </is>
      </c>
      <c r="F300" s="3" t="inlineStr">
        <is>
          <t>How mature is the organization in managing technical single points of failure across network, identity, DNS, cloud, databases, integrations and support teams, including ownership, evidence, metrics, fallback procedures and crisis stress testing?</t>
        </is>
      </c>
      <c r="G300" s="3" t="inlineStr">
        <is>
          <t>This topic affects exposure to IT outage; Cloud outage; Data loss; Cyberattack. It helps identify how disruption may impact operations, people, revenue, systems, legal exposure or recovery time.</t>
        </is>
      </c>
      <c r="H300" s="3" t="inlineStr">
        <is>
          <t>ISO/IEC 27001; ISO/IEC 20000-1; NIST CSF 2.0; NIST SP 800-34; COBIT; ITIL 4; FinOps</t>
        </is>
      </c>
      <c r="I300" s="3" t="inlineStr">
        <is>
          <t>Policy/SOP; owner/RACI; system report; dashboard; contracts; test records; incident history; interview evidence related to technical single points of failure across network, identity, DNS, cloud, databases, integrations and support teams.</t>
        </is>
      </c>
      <c r="J300" s="3" t="n">
        <v>5</v>
      </c>
      <c r="K300" s="85">
        <f>_DATA_Assessment_Model!H300</f>
        <v/>
      </c>
      <c r="L300" s="4">
        <f>_DATA_Assessment_Model!I300</f>
        <v/>
      </c>
      <c r="M300" s="4">
        <f>_DATA_Assessment_Model!J300</f>
        <v/>
      </c>
      <c r="N300" s="4">
        <f>_DATA_Assessment_Model!K300</f>
        <v/>
      </c>
      <c r="O300" s="3">
        <f>_DATA_Assessment_Model!L300</f>
        <v/>
      </c>
      <c r="P300" s="3" t="inlineStr">
        <is>
          <t>Does not exist; no owner, no documentation, no practice.</t>
        </is>
      </c>
      <c r="Q300" s="3" t="inlineStr">
        <is>
          <t>Ad hoc; depends entirely on specific individuals.</t>
        </is>
      </c>
      <c r="R300" s="3" t="inlineStr">
        <is>
          <t>Partially documented or implemented; coverage inconsistent; never tested under stress.</t>
        </is>
      </c>
      <c r="S300" s="3" t="inlineStr">
        <is>
          <t>Documented, owned, executed consistently; basic evidence and metrics exist.</t>
        </is>
      </c>
      <c r="T300" s="3" t="inlineStr">
        <is>
          <t>Measured and periodically tested/audited; integrated with adjacent processes.</t>
        </is>
      </c>
      <c r="U300" s="3" t="inlineStr">
        <is>
          <t>Optimized and automated where practical; stress-tested; benchmarked externally.</t>
        </is>
      </c>
      <c r="V300" s="3" t="inlineStr">
        <is>
          <t>IT outage; Cloud outage; Data loss; Cyberattack</t>
        </is>
      </c>
      <c r="W300" s="3" t="n"/>
      <c r="X300" s="3" t="n"/>
      <c r="Y300" s="3" t="inlineStr">
        <is>
          <t>Use the recommended action generated by the model; validate with domain owner during real assessment.</t>
        </is>
      </c>
      <c r="Z300" s="7" t="n">
        <v>5</v>
      </c>
      <c r="AA300" s="7" t="n">
        <v>5</v>
      </c>
      <c r="AB300" s="7" t="n">
        <v>5</v>
      </c>
      <c r="AD300" t="inlineStr">
        <is>
          <t>Operations</t>
        </is>
      </c>
      <c r="AE300" s="6">
        <f>_DATA_Assessment_Model!AB300</f>
        <v/>
      </c>
      <c r="AF300" s="8">
        <f>_DATA_Assessment_Model!AC300</f>
        <v/>
      </c>
      <c r="AG300" s="9">
        <f>_DATA_Assessment_Model!AD300</f>
        <v/>
      </c>
      <c r="AH300" s="6">
        <f>_DATA_Assessment_Model!AE300</f>
        <v/>
      </c>
      <c r="AI300" s="8">
        <f>_DATA_Assessment_Model!AF300</f>
        <v/>
      </c>
      <c r="AJ300" s="6">
        <f>_DATA_Assessment_Model!AG300</f>
        <v/>
      </c>
      <c r="AK300" s="46" t="n"/>
      <c r="AL300" s="46" t="n"/>
      <c r="AM300" s="247">
        <f>_DATA_Assessment_Model!AJ300</f>
        <v/>
      </c>
      <c r="AN300" s="247">
        <f>_DATA_Assessment_Model!AK300</f>
        <v/>
      </c>
      <c r="AO300" s="247">
        <f>_DATA_Assessment_Model!AL300</f>
        <v/>
      </c>
      <c r="AP300" s="247">
        <f>_DATA_Assessment_Model!AM300</f>
        <v/>
      </c>
      <c r="AQ300" s="247">
        <f>_DATA_Assessment_Model!AN300</f>
        <v/>
      </c>
      <c r="AR300" s="247">
        <f>_DATA_Assessment_Model!AO300</f>
        <v/>
      </c>
      <c r="AS300" s="247">
        <f>_DATA_Assessment_Model!AP300</f>
        <v/>
      </c>
      <c r="AT300" s="247">
        <f>_DATA_Assessment_Model!AQ300</f>
        <v/>
      </c>
      <c r="AU300" s="247">
        <f>_DATA_Assessment_Model!AR300</f>
        <v/>
      </c>
      <c r="AV300" s="5">
        <f>_DATA_Assessment_Model!AS300</f>
        <v/>
      </c>
      <c r="AW300" s="5">
        <f>_DATA_Assessment_Model!AT300</f>
        <v/>
      </c>
      <c r="AY300">
        <f>_DATA_Assessment_Model!AV300</f>
        <v/>
      </c>
    </row>
    <row r="301" ht="96.59999999999999" customHeight="1" s="209">
      <c r="A301" t="inlineStr">
        <is>
          <t>IT Cloud DR</t>
        </is>
      </c>
      <c r="B301" t="inlineStr">
        <is>
          <t>IT Cloud DR</t>
        </is>
      </c>
      <c r="C301" t="n">
        <v>9</v>
      </c>
      <c r="D301" s="3" t="inlineStr">
        <is>
          <t>ITCL-005</t>
        </is>
      </c>
      <c r="E301" s="3" t="inlineStr">
        <is>
          <t>IT inventory and architecture</t>
        </is>
      </c>
      <c r="F301" s="3" t="inlineStr">
        <is>
          <t>How mature is the organization in managing legacy system risk for vendor support, skills, security, integration and replacement options, including ownership, evidence, metrics, fallback procedures and crisis stress testing?</t>
        </is>
      </c>
      <c r="G301" s="3" t="inlineStr">
        <is>
          <t>This topic affects exposure to IT outage; Cloud outage; Data loss; Cyberattack. It helps identify how disruption may impact operations, people, revenue, systems, legal exposure or recovery time.</t>
        </is>
      </c>
      <c r="H301" s="3" t="inlineStr">
        <is>
          <t>ISO/IEC 27001; ISO/IEC 20000-1; NIST CSF 2.0; NIST SP 800-34; COBIT; ITIL 4; FinOps</t>
        </is>
      </c>
      <c r="I301" s="3" t="inlineStr">
        <is>
          <t>Policy/SOP; owner/RACI; system report; dashboard; contracts; test records; incident history; interview evidence related to legacy system risk for vendor support, skills, security, integration and replacement options.</t>
        </is>
      </c>
      <c r="J301" s="3" t="n">
        <v>4</v>
      </c>
      <c r="K301" s="85">
        <f>_DATA_Assessment_Model!H301</f>
        <v/>
      </c>
      <c r="L301" s="4">
        <f>_DATA_Assessment_Model!I301</f>
        <v/>
      </c>
      <c r="M301" s="4">
        <f>_DATA_Assessment_Model!J301</f>
        <v/>
      </c>
      <c r="N301" s="4">
        <f>_DATA_Assessment_Model!K301</f>
        <v/>
      </c>
      <c r="O301" s="3">
        <f>_DATA_Assessment_Model!L301</f>
        <v/>
      </c>
      <c r="P301" s="3" t="inlineStr">
        <is>
          <t>No reliable evidence that legacy system risk for vendor support, skills, security, integration and replacement options is defined, owned or managed.</t>
        </is>
      </c>
      <c r="Q301" s="3" t="inlineStr">
        <is>
          <t>Legacy system risk for vendor support, skills, security, integration and replacement options is handled informally and depends on individual knowledge or heroic effort.</t>
        </is>
      </c>
      <c r="R301" s="3" t="inlineStr">
        <is>
          <t>Legacy system risk for vendor support, skills, security, integration and replacement options is partially documented or implemented, but coverage is inconsistent and not crisis-tested.</t>
        </is>
      </c>
      <c r="S301" s="3" t="inlineStr">
        <is>
          <t>Legacy system risk for vendor support, skills, security, integration and replacement options is documented, owned, used in normal operations and supported by basic evidence or metrics.</t>
        </is>
      </c>
      <c r="T301" s="3" t="inlineStr">
        <is>
          <t>Legacy system risk for vendor support, skills, security, integration and replacement options is measured, periodically reviewed, integrated with related processes and tested against relevant disruption scenarios.</t>
        </is>
      </c>
      <c r="U301" s="3" t="inlineStr">
        <is>
          <t>Legacy system risk for vendor support, skills, security, integration and replacement options is optimized, continuously improved, automated where practical and demonstrably supports crisis resilience.</t>
        </is>
      </c>
      <c r="V301" s="3" t="inlineStr">
        <is>
          <t>IT outage; Cloud outage; Data loss; Cyberattack</t>
        </is>
      </c>
      <c r="W301" s="3" t="n"/>
      <c r="X301" s="3" t="n"/>
      <c r="Y301" s="3" t="inlineStr">
        <is>
          <t>Use the recommended action generated by the model; validate with domain owner during real assessment.</t>
        </is>
      </c>
      <c r="Z301" s="7" t="n">
        <v>5</v>
      </c>
      <c r="AA301" s="7" t="n">
        <v>5</v>
      </c>
      <c r="AB301" s="7" t="n">
        <v>5</v>
      </c>
      <c r="AD301" t="inlineStr">
        <is>
          <t>SaaS and integrations</t>
        </is>
      </c>
      <c r="AE301" s="6">
        <f>_DATA_Assessment_Model!AB301</f>
        <v/>
      </c>
      <c r="AF301" s="8">
        <f>_DATA_Assessment_Model!AC301</f>
        <v/>
      </c>
      <c r="AG301" s="9">
        <f>_DATA_Assessment_Model!AD301</f>
        <v/>
      </c>
      <c r="AH301" s="6">
        <f>_DATA_Assessment_Model!AE301</f>
        <v/>
      </c>
      <c r="AI301" s="8">
        <f>_DATA_Assessment_Model!AF301</f>
        <v/>
      </c>
      <c r="AJ301" s="6">
        <f>_DATA_Assessment_Model!AG301</f>
        <v/>
      </c>
      <c r="AK301" s="46" t="n"/>
      <c r="AL301" s="46" t="n"/>
      <c r="AM301" s="247">
        <f>_DATA_Assessment_Model!AJ301</f>
        <v/>
      </c>
      <c r="AN301" s="247">
        <f>_DATA_Assessment_Model!AK301</f>
        <v/>
      </c>
      <c r="AO301" s="247">
        <f>_DATA_Assessment_Model!AL301</f>
        <v/>
      </c>
      <c r="AP301" s="247">
        <f>_DATA_Assessment_Model!AM301</f>
        <v/>
      </c>
      <c r="AQ301" s="247">
        <f>_DATA_Assessment_Model!AN301</f>
        <v/>
      </c>
      <c r="AR301" s="247">
        <f>_DATA_Assessment_Model!AO301</f>
        <v/>
      </c>
      <c r="AS301" s="247">
        <f>_DATA_Assessment_Model!AP301</f>
        <v/>
      </c>
      <c r="AT301" s="247">
        <f>_DATA_Assessment_Model!AQ301</f>
        <v/>
      </c>
      <c r="AU301" s="247">
        <f>_DATA_Assessment_Model!AR301</f>
        <v/>
      </c>
      <c r="AV301" s="5">
        <f>_DATA_Assessment_Model!AS301</f>
        <v/>
      </c>
      <c r="AW301" s="5">
        <f>_DATA_Assessment_Model!AT301</f>
        <v/>
      </c>
      <c r="AY301">
        <f>_DATA_Assessment_Model!AV301</f>
        <v/>
      </c>
    </row>
    <row r="302" ht="82.8" customHeight="1" s="209">
      <c r="A302" t="inlineStr">
        <is>
          <t>IT Cloud DR</t>
        </is>
      </c>
      <c r="B302" t="inlineStr">
        <is>
          <t>IT Cloud DR</t>
        </is>
      </c>
      <c r="C302" t="n">
        <v>10</v>
      </c>
      <c r="D302" s="3" t="inlineStr">
        <is>
          <t>ITCL-006</t>
        </is>
      </c>
      <c r="E302" s="3" t="inlineStr">
        <is>
          <t>IT inventory and architecture</t>
        </is>
      </c>
      <c r="F302" s="3" t="inlineStr">
        <is>
          <t>How mature is the organization in managing technical debt register linked to resilience, security and business impact, including ownership, evidence, metrics, fallback procedures and crisis stress testing?</t>
        </is>
      </c>
      <c r="G302" s="3" t="inlineStr">
        <is>
          <t>This topic affects exposure to IT outage; Cloud outage; Data loss; Cyberattack. It helps identify how disruption may impact operations, people, revenue, systems, legal exposure or recovery time.</t>
        </is>
      </c>
      <c r="H302" s="3" t="inlineStr">
        <is>
          <t>ISO/IEC 27001; ISO/IEC 20000-1; NIST CSF 2.0; NIST SP 800-34; COBIT; ITIL 4; FinOps</t>
        </is>
      </c>
      <c r="I302" s="3" t="inlineStr">
        <is>
          <t>Policy/SOP; owner/RACI; system report; dashboard; contracts; test records; incident history; interview evidence related to technical debt register linked to resilience, security and business impact.</t>
        </is>
      </c>
      <c r="J302" s="3" t="n">
        <v>3</v>
      </c>
      <c r="K302" s="85">
        <f>_DATA_Assessment_Model!H302</f>
        <v/>
      </c>
      <c r="L302" s="4">
        <f>_DATA_Assessment_Model!I302</f>
        <v/>
      </c>
      <c r="M302" s="4">
        <f>_DATA_Assessment_Model!J302</f>
        <v/>
      </c>
      <c r="N302" s="4">
        <f>_DATA_Assessment_Model!K302</f>
        <v/>
      </c>
      <c r="O302" s="3">
        <f>_DATA_Assessment_Model!L302</f>
        <v/>
      </c>
      <c r="P302" s="3" t="inlineStr">
        <is>
          <t>No reliable evidence that technical debt register linked to resilience, security and business impact is defined, owned or managed.</t>
        </is>
      </c>
      <c r="Q302" s="3" t="inlineStr">
        <is>
          <t>Technical debt register linked to resilience, security and business impact is handled informally and depends on individual knowledge or heroic effort.</t>
        </is>
      </c>
      <c r="R302" s="3" t="inlineStr">
        <is>
          <t>Technical debt register linked to resilience, security and business impact is partially documented or implemented, but coverage is inconsistent and not crisis-tested.</t>
        </is>
      </c>
      <c r="S302" s="3" t="inlineStr">
        <is>
          <t>Technical debt register linked to resilience, security and business impact is documented, owned, used in normal operations and supported by basic evidence or metrics.</t>
        </is>
      </c>
      <c r="T302" s="3" t="inlineStr">
        <is>
          <t>Technical debt register linked to resilience, security and business impact is measured, periodically reviewed, integrated with related processes and tested against relevant disruption scenarios.</t>
        </is>
      </c>
      <c r="U302" s="3" t="inlineStr">
        <is>
          <t>Technical debt register linked to resilience, security and business impact is optimized, continuously improved, automated where practical and demonstrably supports crisis resilience.</t>
        </is>
      </c>
      <c r="V302" s="3" t="inlineStr">
        <is>
          <t>IT outage; Cloud outage; Data loss; Cyberattack</t>
        </is>
      </c>
      <c r="W302" s="3" t="n"/>
      <c r="X302" s="3" t="n"/>
      <c r="Y302" s="3" t="inlineStr">
        <is>
          <t>Use the recommended action generated by the model; validate with domain owner during real assessment.</t>
        </is>
      </c>
      <c r="Z302" s="7" t="n">
        <v>5</v>
      </c>
      <c r="AA302" s="7" t="n">
        <v>5</v>
      </c>
      <c r="AB302" s="7" t="n">
        <v>5</v>
      </c>
      <c r="AK302" s="46" t="n"/>
      <c r="AL302" s="46" t="n"/>
      <c r="AM302" s="247">
        <f>_DATA_Assessment_Model!AJ302</f>
        <v/>
      </c>
      <c r="AN302" s="247">
        <f>_DATA_Assessment_Model!AK302</f>
        <v/>
      </c>
      <c r="AO302" s="247">
        <f>_DATA_Assessment_Model!AL302</f>
        <v/>
      </c>
      <c r="AP302" s="247">
        <f>_DATA_Assessment_Model!AM302</f>
        <v/>
      </c>
      <c r="AQ302" s="247">
        <f>_DATA_Assessment_Model!AN302</f>
        <v/>
      </c>
      <c r="AR302" s="247">
        <f>_DATA_Assessment_Model!AO302</f>
        <v/>
      </c>
      <c r="AS302" s="247">
        <f>_DATA_Assessment_Model!AP302</f>
        <v/>
      </c>
      <c r="AT302" s="247">
        <f>_DATA_Assessment_Model!AQ302</f>
        <v/>
      </c>
      <c r="AU302" s="247">
        <f>_DATA_Assessment_Model!AR302</f>
        <v/>
      </c>
      <c r="AV302" s="5">
        <f>_DATA_Assessment_Model!AS302</f>
        <v/>
      </c>
      <c r="AW302" s="5">
        <f>_DATA_Assessment_Model!AT302</f>
        <v/>
      </c>
      <c r="AY302">
        <f>_DATA_Assessment_Model!AV302</f>
        <v/>
      </c>
    </row>
    <row r="303" ht="82.8" customHeight="1" s="209">
      <c r="A303" t="inlineStr">
        <is>
          <t>IT Cloud DR</t>
        </is>
      </c>
      <c r="B303" t="inlineStr">
        <is>
          <t>IT Cloud DR</t>
        </is>
      </c>
      <c r="C303" t="n">
        <v>11</v>
      </c>
      <c r="D303" s="3" t="inlineStr">
        <is>
          <t>ITCL-007</t>
        </is>
      </c>
      <c r="E303" s="3" t="inlineStr">
        <is>
          <t>Cloud usage</t>
        </is>
      </c>
      <c r="F303" s="3" t="inlineStr">
        <is>
          <t>How mature is the organization in managing cloud account, subscription or project governance with ownership, billing, IAM, tagging and guardrails, including ownership, evidence, metrics, fallback procedures and crisis stress testing?</t>
        </is>
      </c>
      <c r="G303" s="3" t="inlineStr">
        <is>
          <t>This topic affects exposure to IT outage; Cloud outage; Data loss; Cyberattack. It helps identify how disruption may impact operations, people, revenue, systems, legal exposure or recovery time.</t>
        </is>
      </c>
      <c r="H303" s="3" t="inlineStr">
        <is>
          <t>ISO/IEC 27001; ISO/IEC 20000-1; NIST CSF 2.0; NIST SP 800-34; COBIT; ITIL 4; FinOps</t>
        </is>
      </c>
      <c r="I303" s="3" t="inlineStr">
        <is>
          <t>Policy/SOP; owner/RACI; system report; dashboard; contracts; test records; incident history; interview evidence related to cloud account, subscription or project governance with ownership, billing, IAM, tagging and guardrails.</t>
        </is>
      </c>
      <c r="J303" s="3" t="n">
        <v>5</v>
      </c>
      <c r="K303" s="85">
        <f>_DATA_Assessment_Model!H303</f>
        <v/>
      </c>
      <c r="L303" s="4">
        <f>_DATA_Assessment_Model!I303</f>
        <v/>
      </c>
      <c r="M303" s="4">
        <f>_DATA_Assessment_Model!J303</f>
        <v/>
      </c>
      <c r="N303" s="4">
        <f>_DATA_Assessment_Model!K303</f>
        <v/>
      </c>
      <c r="O303" s="3">
        <f>_DATA_Assessment_Model!L303</f>
        <v/>
      </c>
      <c r="P303" s="3" t="inlineStr">
        <is>
          <t>Does not exist; no owner, no documentation, no practice.</t>
        </is>
      </c>
      <c r="Q303" s="3" t="inlineStr">
        <is>
          <t>Ad hoc; depends entirely on specific individuals.</t>
        </is>
      </c>
      <c r="R303" s="3" t="inlineStr">
        <is>
          <t>Partially documented or implemented; coverage inconsistent; never tested under stress.</t>
        </is>
      </c>
      <c r="S303" s="3" t="inlineStr">
        <is>
          <t>Documented, owned, executed consistently; basic evidence and metrics exist.</t>
        </is>
      </c>
      <c r="T303" s="3" t="inlineStr">
        <is>
          <t>Measured and periodically tested/audited; integrated with adjacent processes.</t>
        </is>
      </c>
      <c r="U303" s="3" t="inlineStr">
        <is>
          <t>Optimized and automated where practical; stress-tested; benchmarked externally.</t>
        </is>
      </c>
      <c r="V303" s="3" t="inlineStr">
        <is>
          <t>IT outage; Cloud outage; Data loss; Cyberattack</t>
        </is>
      </c>
      <c r="W303" s="3" t="n"/>
      <c r="X303" s="3" t="n"/>
      <c r="Y303" s="3" t="inlineStr">
        <is>
          <t>Use the recommended action generated by the model; validate with domain owner during real assessment.</t>
        </is>
      </c>
      <c r="Z303" s="7" t="n">
        <v>5</v>
      </c>
      <c r="AA303" s="7" t="n">
        <v>5</v>
      </c>
      <c r="AB303" s="7" t="n">
        <v>5</v>
      </c>
      <c r="AK303" s="46" t="n"/>
      <c r="AL303" s="46" t="n"/>
      <c r="AM303" s="247">
        <f>_DATA_Assessment_Model!AJ303</f>
        <v/>
      </c>
      <c r="AN303" s="247">
        <f>_DATA_Assessment_Model!AK303</f>
        <v/>
      </c>
      <c r="AO303" s="247">
        <f>_DATA_Assessment_Model!AL303</f>
        <v/>
      </c>
      <c r="AP303" s="247">
        <f>_DATA_Assessment_Model!AM303</f>
        <v/>
      </c>
      <c r="AQ303" s="247">
        <f>_DATA_Assessment_Model!AN303</f>
        <v/>
      </c>
      <c r="AR303" s="247">
        <f>_DATA_Assessment_Model!AO303</f>
        <v/>
      </c>
      <c r="AS303" s="247">
        <f>_DATA_Assessment_Model!AP303</f>
        <v/>
      </c>
      <c r="AT303" s="247">
        <f>_DATA_Assessment_Model!AQ303</f>
        <v/>
      </c>
      <c r="AU303" s="247">
        <f>_DATA_Assessment_Model!AR303</f>
        <v/>
      </c>
      <c r="AV303" s="5">
        <f>_DATA_Assessment_Model!AS303</f>
        <v/>
      </c>
      <c r="AW303" s="5">
        <f>_DATA_Assessment_Model!AT303</f>
        <v/>
      </c>
      <c r="AY303">
        <f>_DATA_Assessment_Model!AV303</f>
        <v/>
      </c>
    </row>
    <row r="304" ht="69" customHeight="1" s="209">
      <c r="A304" t="inlineStr">
        <is>
          <t>IT Cloud DR</t>
        </is>
      </c>
      <c r="B304" t="inlineStr">
        <is>
          <t>IT Cloud DR</t>
        </is>
      </c>
      <c r="C304" t="n">
        <v>12</v>
      </c>
      <c r="D304" s="3" t="inlineStr">
        <is>
          <t>ITCL-008</t>
        </is>
      </c>
      <c r="E304" s="3" t="inlineStr">
        <is>
          <t>Cloud usage</t>
        </is>
      </c>
      <c r="F304" s="3" t="inlineStr">
        <is>
          <t>How mature is the organization in managing cloud provider, SaaS, region and managed-service concentration risk, including ownership, evidence, metrics, fallback procedures and crisis stress testing?</t>
        </is>
      </c>
      <c r="G304" s="3" t="inlineStr">
        <is>
          <t>This topic affects exposure to IT outage; Cloud outage; Data loss; Cyberattack. It helps identify how disruption may impact operations, people, revenue, systems, legal exposure or recovery time.</t>
        </is>
      </c>
      <c r="H304" s="3" t="inlineStr">
        <is>
          <t>ISO/IEC 27001; ISO/IEC 20000-1; NIST CSF 2.0; NIST SP 800-34; COBIT; ITIL 4; FinOps</t>
        </is>
      </c>
      <c r="I304" s="3" t="inlineStr">
        <is>
          <t>Policy/SOP; owner/RACI; system report; dashboard; contracts; test records; incident history; interview evidence related to cloud provider, SaaS, region and managed-service concentration risk.</t>
        </is>
      </c>
      <c r="J304" s="3" t="n">
        <v>5</v>
      </c>
      <c r="K304" s="85">
        <f>_DATA_Assessment_Model!H304</f>
        <v/>
      </c>
      <c r="L304" s="4">
        <f>_DATA_Assessment_Model!I304</f>
        <v/>
      </c>
      <c r="M304" s="4">
        <f>_DATA_Assessment_Model!J304</f>
        <v/>
      </c>
      <c r="N304" s="4">
        <f>_DATA_Assessment_Model!K304</f>
        <v/>
      </c>
      <c r="O304" s="3">
        <f>_DATA_Assessment_Model!L304</f>
        <v/>
      </c>
      <c r="P304" s="3" t="inlineStr">
        <is>
          <t>Does not exist; no owner, no documentation, no practice.</t>
        </is>
      </c>
      <c r="Q304" s="3" t="inlineStr">
        <is>
          <t>Ad hoc; depends entirely on specific individuals.</t>
        </is>
      </c>
      <c r="R304" s="3" t="inlineStr">
        <is>
          <t>Partially documented or implemented; coverage inconsistent; never tested under stress.</t>
        </is>
      </c>
      <c r="S304" s="3" t="inlineStr">
        <is>
          <t>Documented, owned, executed consistently; basic evidence and metrics exist.</t>
        </is>
      </c>
      <c r="T304" s="3" t="inlineStr">
        <is>
          <t>Measured and periodically tested/audited; integrated with adjacent processes.</t>
        </is>
      </c>
      <c r="U304" s="3" t="inlineStr">
        <is>
          <t>Optimized and automated where practical; stress-tested; benchmarked externally.</t>
        </is>
      </c>
      <c r="V304" s="3" t="inlineStr">
        <is>
          <t>IT outage; Cloud outage; Data loss; Cyberattack</t>
        </is>
      </c>
      <c r="W304" s="3" t="n"/>
      <c r="X304" s="3" t="n"/>
      <c r="Y304" s="3" t="inlineStr">
        <is>
          <t>Use the recommended action generated by the model; validate with domain owner during real assessment.</t>
        </is>
      </c>
      <c r="Z304" s="7" t="n">
        <v>5</v>
      </c>
      <c r="AA304" s="7" t="n">
        <v>5</v>
      </c>
      <c r="AB304" s="7" t="n">
        <v>5</v>
      </c>
      <c r="AK304" s="46" t="n"/>
      <c r="AL304" s="46" t="n"/>
      <c r="AM304" s="247">
        <f>_DATA_Assessment_Model!AJ304</f>
        <v/>
      </c>
      <c r="AN304" s="247">
        <f>_DATA_Assessment_Model!AK304</f>
        <v/>
      </c>
      <c r="AO304" s="247">
        <f>_DATA_Assessment_Model!AL304</f>
        <v/>
      </c>
      <c r="AP304" s="247">
        <f>_DATA_Assessment_Model!AM304</f>
        <v/>
      </c>
      <c r="AQ304" s="247">
        <f>_DATA_Assessment_Model!AN304</f>
        <v/>
      </c>
      <c r="AR304" s="247">
        <f>_DATA_Assessment_Model!AO304</f>
        <v/>
      </c>
      <c r="AS304" s="247">
        <f>_DATA_Assessment_Model!AP304</f>
        <v/>
      </c>
      <c r="AT304" s="247">
        <f>_DATA_Assessment_Model!AQ304</f>
        <v/>
      </c>
      <c r="AU304" s="247">
        <f>_DATA_Assessment_Model!AR304</f>
        <v/>
      </c>
      <c r="AV304" s="5">
        <f>_DATA_Assessment_Model!AS304</f>
        <v/>
      </c>
      <c r="AW304" s="5">
        <f>_DATA_Assessment_Model!AT304</f>
        <v/>
      </c>
      <c r="AY304">
        <f>_DATA_Assessment_Model!AV304</f>
        <v/>
      </c>
    </row>
    <row r="305" ht="69" customHeight="1" s="209">
      <c r="A305" t="inlineStr">
        <is>
          <t>IT Cloud DR</t>
        </is>
      </c>
      <c r="B305" t="inlineStr">
        <is>
          <t>IT Cloud DR</t>
        </is>
      </c>
      <c r="C305" t="n">
        <v>13</v>
      </c>
      <c r="D305" s="3" t="inlineStr">
        <is>
          <t>ITCL-009</t>
        </is>
      </c>
      <c r="E305" s="3" t="inlineStr">
        <is>
          <t>Cloud usage</t>
        </is>
      </c>
      <c r="F305" s="3" t="inlineStr">
        <is>
          <t>How mature is the organization in managing multi-region, multi-zone or failover design for critical cloud services where justified, including ownership, evidence, metrics, fallback procedures and crisis stress testing?</t>
        </is>
      </c>
      <c r="G305" s="3" t="inlineStr">
        <is>
          <t>This topic affects exposure to IT outage; Cloud outage; Data loss; Cyberattack. It helps identify how disruption may impact operations, people, revenue, systems, legal exposure or recovery time.</t>
        </is>
      </c>
      <c r="H305" s="3" t="inlineStr">
        <is>
          <t>ISO/IEC 27001; ISO/IEC 20000-1; NIST CSF 2.0; NIST SP 800-34; COBIT; ITIL 4; FinOps</t>
        </is>
      </c>
      <c r="I305" s="3" t="inlineStr">
        <is>
          <t>Policy/SOP; owner/RACI; system report; dashboard; contracts; test records; incident history; interview evidence related to multi-region, multi-zone or failover design for critical cloud services where justified.</t>
        </is>
      </c>
      <c r="J305" s="3" t="n">
        <v>5</v>
      </c>
      <c r="K305" s="85">
        <f>_DATA_Assessment_Model!H305</f>
        <v/>
      </c>
      <c r="L305" s="4">
        <f>_DATA_Assessment_Model!I305</f>
        <v/>
      </c>
      <c r="M305" s="4">
        <f>_DATA_Assessment_Model!J305</f>
        <v/>
      </c>
      <c r="N305" s="4">
        <f>_DATA_Assessment_Model!K305</f>
        <v/>
      </c>
      <c r="O305" s="3">
        <f>_DATA_Assessment_Model!L305</f>
        <v/>
      </c>
      <c r="P305" s="3" t="inlineStr">
        <is>
          <t>Does not exist; no owner, no documentation, no practice.</t>
        </is>
      </c>
      <c r="Q305" s="3" t="inlineStr">
        <is>
          <t>Ad hoc; depends entirely on specific individuals.</t>
        </is>
      </c>
      <c r="R305" s="3" t="inlineStr">
        <is>
          <t>Partially documented or implemented; coverage inconsistent; never tested under stress.</t>
        </is>
      </c>
      <c r="S305" s="3" t="inlineStr">
        <is>
          <t>Documented, owned, executed consistently; basic evidence and metrics exist.</t>
        </is>
      </c>
      <c r="T305" s="3" t="inlineStr">
        <is>
          <t>Measured and periodically tested/audited; integrated with adjacent processes.</t>
        </is>
      </c>
      <c r="U305" s="3" t="inlineStr">
        <is>
          <t>Optimized and automated where practical; stress-tested; benchmarked externally.</t>
        </is>
      </c>
      <c r="V305" s="3" t="inlineStr">
        <is>
          <t>IT outage; Cloud outage; Data loss; Cyberattack</t>
        </is>
      </c>
      <c r="W305" s="3" t="n"/>
      <c r="X305" s="3" t="n"/>
      <c r="Y305" s="3" t="inlineStr">
        <is>
          <t>Use the recommended action generated by the model; validate with domain owner during real assessment.</t>
        </is>
      </c>
      <c r="Z305" s="7" t="n">
        <v>5</v>
      </c>
      <c r="AA305" s="7" t="n">
        <v>5</v>
      </c>
      <c r="AB305" s="7" t="n">
        <v>5</v>
      </c>
      <c r="AK305" s="46" t="n"/>
      <c r="AL305" s="46" t="n"/>
      <c r="AM305" s="247">
        <f>_DATA_Assessment_Model!AJ305</f>
        <v/>
      </c>
      <c r="AN305" s="247">
        <f>_DATA_Assessment_Model!AK305</f>
        <v/>
      </c>
      <c r="AO305" s="247">
        <f>_DATA_Assessment_Model!AL305</f>
        <v/>
      </c>
      <c r="AP305" s="247">
        <f>_DATA_Assessment_Model!AM305</f>
        <v/>
      </c>
      <c r="AQ305" s="247">
        <f>_DATA_Assessment_Model!AN305</f>
        <v/>
      </c>
      <c r="AR305" s="247">
        <f>_DATA_Assessment_Model!AO305</f>
        <v/>
      </c>
      <c r="AS305" s="247">
        <f>_DATA_Assessment_Model!AP305</f>
        <v/>
      </c>
      <c r="AT305" s="247">
        <f>_DATA_Assessment_Model!AQ305</f>
        <v/>
      </c>
      <c r="AU305" s="247">
        <f>_DATA_Assessment_Model!AR305</f>
        <v/>
      </c>
      <c r="AV305" s="5">
        <f>_DATA_Assessment_Model!AS305</f>
        <v/>
      </c>
      <c r="AW305" s="5">
        <f>_DATA_Assessment_Model!AT305</f>
        <v/>
      </c>
      <c r="AY305">
        <f>_DATA_Assessment_Model!AV305</f>
        <v/>
      </c>
    </row>
    <row r="306" ht="69" customHeight="1" s="209">
      <c r="A306" t="inlineStr">
        <is>
          <t>IT Cloud DR</t>
        </is>
      </c>
      <c r="B306" t="inlineStr">
        <is>
          <t>IT Cloud DR</t>
        </is>
      </c>
      <c r="C306" t="n">
        <v>14</v>
      </c>
      <c r="D306" s="3" t="inlineStr">
        <is>
          <t>ITCL-010</t>
        </is>
      </c>
      <c r="E306" s="3" t="inlineStr">
        <is>
          <t>Cloud usage</t>
        </is>
      </c>
      <c r="F306" s="3" t="inlineStr">
        <is>
          <t>How mature is the organization in managing cloud cost monitoring, budgets, alerts, forecasting and FinOps practices, including ownership, evidence, metrics, fallback procedures and crisis stress testing?</t>
        </is>
      </c>
      <c r="G306" s="3" t="inlineStr">
        <is>
          <t>This topic affects exposure to IT outage; Cloud outage; Data loss; Cyberattack. It helps identify how disruption may impact operations, people, revenue, systems, legal exposure or recovery time.</t>
        </is>
      </c>
      <c r="H306" s="3" t="inlineStr">
        <is>
          <t>ISO/IEC 27001; ISO/IEC 20000-1; NIST CSF 2.0; NIST SP 800-34; COBIT; ITIL 4; FinOps</t>
        </is>
      </c>
      <c r="I306" s="3" t="inlineStr">
        <is>
          <t>Policy/SOP; owner/RACI; system report; dashboard; contracts; test records; incident history; interview evidence related to cloud cost monitoring, budgets, alerts, forecasting and FinOps practices.</t>
        </is>
      </c>
      <c r="J306" s="3" t="n">
        <v>5</v>
      </c>
      <c r="K306" s="85">
        <f>_DATA_Assessment_Model!H306</f>
        <v/>
      </c>
      <c r="L306" s="4">
        <f>_DATA_Assessment_Model!I306</f>
        <v/>
      </c>
      <c r="M306" s="4">
        <f>_DATA_Assessment_Model!J306</f>
        <v/>
      </c>
      <c r="N306" s="4">
        <f>_DATA_Assessment_Model!K306</f>
        <v/>
      </c>
      <c r="O306" s="3">
        <f>_DATA_Assessment_Model!L306</f>
        <v/>
      </c>
      <c r="P306" s="3" t="inlineStr">
        <is>
          <t>Nothing is monitored or measured.</t>
        </is>
      </c>
      <c r="Q306" s="3" t="inlineStr">
        <is>
          <t>Occasional manual checks by individuals.</t>
        </is>
      </c>
      <c r="R306" s="3" t="inlineStr">
        <is>
          <t>Some metrics exist but are not reviewed regularly and trigger no action.</t>
        </is>
      </c>
      <c r="S306" s="3" t="inlineStr">
        <is>
          <t>Defined metrics with an owner, reviewed on a set cadence.</t>
        </is>
      </c>
      <c r="T306" s="3" t="inlineStr">
        <is>
          <t>Thresholds and alerts in place; deviations trigger documented action; trends analyzed.</t>
        </is>
      </c>
      <c r="U306" s="3" t="inlineStr">
        <is>
          <t>Automated monitoring with leading indicators, integrated into management decisions.</t>
        </is>
      </c>
      <c r="V306" s="3" t="inlineStr">
        <is>
          <t>IT outage; Cloud outage; Data loss; Cyberattack</t>
        </is>
      </c>
      <c r="W306" s="3" t="n"/>
      <c r="X306" s="3" t="n"/>
      <c r="Y306" s="3" t="inlineStr">
        <is>
          <t>Use the recommended action generated by the model; validate with domain owner during real assessment.</t>
        </is>
      </c>
      <c r="Z306" s="7" t="n">
        <v>5</v>
      </c>
      <c r="AA306" s="7" t="n">
        <v>5</v>
      </c>
      <c r="AB306" s="7" t="n">
        <v>5</v>
      </c>
      <c r="AK306" s="46" t="n"/>
      <c r="AL306" s="46" t="n"/>
      <c r="AM306" s="247">
        <f>_DATA_Assessment_Model!AJ306</f>
        <v/>
      </c>
      <c r="AN306" s="247">
        <f>_DATA_Assessment_Model!AK306</f>
        <v/>
      </c>
      <c r="AO306" s="247">
        <f>_DATA_Assessment_Model!AL306</f>
        <v/>
      </c>
      <c r="AP306" s="247">
        <f>_DATA_Assessment_Model!AM306</f>
        <v/>
      </c>
      <c r="AQ306" s="247">
        <f>_DATA_Assessment_Model!AN306</f>
        <v/>
      </c>
      <c r="AR306" s="247">
        <f>_DATA_Assessment_Model!AO306</f>
        <v/>
      </c>
      <c r="AS306" s="247">
        <f>_DATA_Assessment_Model!AP306</f>
        <v/>
      </c>
      <c r="AT306" s="247">
        <f>_DATA_Assessment_Model!AQ306</f>
        <v/>
      </c>
      <c r="AU306" s="247">
        <f>_DATA_Assessment_Model!AR306</f>
        <v/>
      </c>
      <c r="AV306" s="5">
        <f>_DATA_Assessment_Model!AS306</f>
        <v/>
      </c>
      <c r="AW306" s="5">
        <f>_DATA_Assessment_Model!AT306</f>
        <v/>
      </c>
      <c r="AY306">
        <f>_DATA_Assessment_Model!AV306</f>
        <v/>
      </c>
    </row>
    <row r="307" ht="69" customHeight="1" s="209">
      <c r="A307" t="inlineStr">
        <is>
          <t>IT Cloud DR</t>
        </is>
      </c>
      <c r="B307" t="inlineStr">
        <is>
          <t>IT Cloud DR</t>
        </is>
      </c>
      <c r="C307" t="n">
        <v>15</v>
      </c>
      <c r="D307" s="3" t="inlineStr">
        <is>
          <t>ITCL-012</t>
        </is>
      </c>
      <c r="E307" s="3" t="inlineStr">
        <is>
          <t>Cloud usage</t>
        </is>
      </c>
      <c r="F307" s="3" t="inlineStr">
        <is>
          <t>How mature is the organization in managing cloud backup and restore of configurations, data, infrastructure-as-code and managed services, including ownership, evidence, metrics, fallback procedures and crisis stress testing?</t>
        </is>
      </c>
      <c r="G307" s="3" t="inlineStr">
        <is>
          <t>This topic affects exposure to IT outage; Cloud outage; Data loss; Cyberattack. It helps identify how disruption may impact operations, people, revenue, systems, legal exposure or recovery time.</t>
        </is>
      </c>
      <c r="H307" s="3" t="inlineStr">
        <is>
          <t>ISO/IEC 27001; ISO/IEC 20000-1; NIST CSF 2.0; NIST SP 800-34; COBIT; ITIL 4; FinOps</t>
        </is>
      </c>
      <c r="I307" s="3" t="inlineStr">
        <is>
          <t>Policy/SOP; owner/RACI; system report; dashboard; contracts; test records; incident history; interview evidence related to cloud backup and restore of configurations, data, infrastructure-as-code and managed services.</t>
        </is>
      </c>
      <c r="J307" s="3" t="n">
        <v>5</v>
      </c>
      <c r="K307" s="85">
        <f>_DATA_Assessment_Model!H307</f>
        <v/>
      </c>
      <c r="L307" s="4">
        <f>_DATA_Assessment_Model!I307</f>
        <v/>
      </c>
      <c r="M307" s="4">
        <f>_DATA_Assessment_Model!J307</f>
        <v/>
      </c>
      <c r="N307" s="4">
        <f>_DATA_Assessment_Model!K307</f>
        <v/>
      </c>
      <c r="O307" s="3">
        <f>_DATA_Assessment_Model!L307</f>
        <v/>
      </c>
      <c r="P307" s="3" t="inlineStr">
        <is>
          <t>Never done; no records exist.</t>
        </is>
      </c>
      <c r="Q307" s="3" t="inlineStr">
        <is>
          <t>Done once long ago or only after an incident; no schedule, no records.</t>
        </is>
      </c>
      <c r="R307" s="3" t="inlineStr">
        <is>
          <t>Done irregularly; results are not documented and findings are not tracked.</t>
        </is>
      </c>
      <c r="S307" s="3" t="inlineStr">
        <is>
          <t>Done on a defined schedule (at least annually); results documented, owner assigned.</t>
        </is>
      </c>
      <c r="T307" s="3" t="inlineStr">
        <is>
          <t>Done quarterly/semi-annually; findings tracked to closure, effectiveness measured against targets.</t>
        </is>
      </c>
      <c r="U307" s="3" t="inlineStr">
        <is>
          <t>Continuous or automated where possible; results drive improvements and are validated externally (audit/customer).</t>
        </is>
      </c>
      <c r="V307" s="3" t="inlineStr">
        <is>
          <t>IT outage; Cloud outage; Data loss; Cyberattack</t>
        </is>
      </c>
      <c r="W307" s="3" t="n"/>
      <c r="X307" s="3" t="n"/>
      <c r="Y307" s="3" t="inlineStr">
        <is>
          <t>Use the recommended action generated by the model; validate with domain owner during real assessment.</t>
        </is>
      </c>
      <c r="Z307" s="7" t="n">
        <v>5</v>
      </c>
      <c r="AA307" s="7" t="n">
        <v>5</v>
      </c>
      <c r="AB307" s="7" t="n">
        <v>5</v>
      </c>
      <c r="AK307" s="46" t="n"/>
      <c r="AL307" s="46" t="n"/>
      <c r="AM307" s="247">
        <f>_DATA_Assessment_Model!AJ307</f>
        <v/>
      </c>
      <c r="AN307" s="247">
        <f>_DATA_Assessment_Model!AK307</f>
        <v/>
      </c>
      <c r="AO307" s="247">
        <f>_DATA_Assessment_Model!AL307</f>
        <v/>
      </c>
      <c r="AP307" s="247">
        <f>_DATA_Assessment_Model!AM307</f>
        <v/>
      </c>
      <c r="AQ307" s="247">
        <f>_DATA_Assessment_Model!AN307</f>
        <v/>
      </c>
      <c r="AR307" s="247">
        <f>_DATA_Assessment_Model!AO307</f>
        <v/>
      </c>
      <c r="AS307" s="247">
        <f>_DATA_Assessment_Model!AP307</f>
        <v/>
      </c>
      <c r="AT307" s="247">
        <f>_DATA_Assessment_Model!AQ307</f>
        <v/>
      </c>
      <c r="AU307" s="247">
        <f>_DATA_Assessment_Model!AR307</f>
        <v/>
      </c>
      <c r="AV307" s="5">
        <f>_DATA_Assessment_Model!AS307</f>
        <v/>
      </c>
      <c r="AW307" s="5">
        <f>_DATA_Assessment_Model!AT307</f>
        <v/>
      </c>
      <c r="AY307">
        <f>_DATA_Assessment_Model!AV307</f>
        <v/>
      </c>
    </row>
    <row r="308" ht="82.8" customHeight="1" s="209">
      <c r="A308" t="inlineStr">
        <is>
          <t>IT Cloud DR</t>
        </is>
      </c>
      <c r="B308" t="inlineStr">
        <is>
          <t>IT Cloud DR</t>
        </is>
      </c>
      <c r="C308" t="n">
        <v>16</v>
      </c>
      <c r="D308" s="3" t="inlineStr">
        <is>
          <t>ITCL-013</t>
        </is>
      </c>
      <c r="E308" s="3" t="inlineStr">
        <is>
          <t>Resilience and DR</t>
        </is>
      </c>
      <c r="F308" s="3" t="inlineStr">
        <is>
          <t>How mature is the organization in managing backup coverage for systems, databases, files, SaaS data, configurations and cloud resources, including ownership, evidence, metrics, fallback procedures and crisis stress testing?</t>
        </is>
      </c>
      <c r="G308" s="3" t="inlineStr">
        <is>
          <t>This topic affects exposure to IT outage; Cloud outage; Data loss; Cyberattack. It helps identify how disruption may impact operations, people, revenue, systems, legal exposure or recovery time.</t>
        </is>
      </c>
      <c r="H308" s="3" t="inlineStr">
        <is>
          <t>ISO/IEC 27001; ISO/IEC 20000-1; NIST CSF 2.0; NIST SP 800-34; COBIT; ITIL 4; FinOps</t>
        </is>
      </c>
      <c r="I308" s="3" t="inlineStr">
        <is>
          <t>Policy/SOP; owner/RACI; system report; dashboard; contracts; test records; incident history; interview evidence related to backup coverage for systems, databases, files, SaaS data, configurations and cloud resources.</t>
        </is>
      </c>
      <c r="J308" s="3" t="n">
        <v>5</v>
      </c>
      <c r="K308" s="85">
        <f>_DATA_Assessment_Model!H308</f>
        <v/>
      </c>
      <c r="L308" s="4">
        <f>_DATA_Assessment_Model!I308</f>
        <v/>
      </c>
      <c r="M308" s="4">
        <f>_DATA_Assessment_Model!J308</f>
        <v/>
      </c>
      <c r="N308" s="4">
        <f>_DATA_Assessment_Model!K308</f>
        <v/>
      </c>
      <c r="O308" s="3">
        <f>_DATA_Assessment_Model!L308</f>
        <v/>
      </c>
      <c r="P308" s="3" t="inlineStr">
        <is>
          <t>Does not exist; no owner, no documentation, no practice.</t>
        </is>
      </c>
      <c r="Q308" s="3" t="inlineStr">
        <is>
          <t>Ad hoc; depends entirely on specific individuals.</t>
        </is>
      </c>
      <c r="R308" s="3" t="inlineStr">
        <is>
          <t>Partially documented or implemented; coverage inconsistent; never tested under stress.</t>
        </is>
      </c>
      <c r="S308" s="3" t="inlineStr">
        <is>
          <t>Documented, owned, executed consistently; basic evidence and metrics exist.</t>
        </is>
      </c>
      <c r="T308" s="3" t="inlineStr">
        <is>
          <t>Measured and periodically tested/audited; integrated with adjacent processes.</t>
        </is>
      </c>
      <c r="U308" s="3" t="inlineStr">
        <is>
          <t>Optimized and automated where practical; stress-tested; benchmarked externally.</t>
        </is>
      </c>
      <c r="V308" s="3" t="inlineStr">
        <is>
          <t>IT outage; Cloud outage; Data loss; Cyberattack</t>
        </is>
      </c>
      <c r="W308" s="3" t="n"/>
      <c r="X308" s="3" t="n"/>
      <c r="Y308" s="3" t="inlineStr">
        <is>
          <t>Use the recommended action generated by the model; validate with domain owner during real assessment.</t>
        </is>
      </c>
      <c r="Z308" s="7" t="n">
        <v>5</v>
      </c>
      <c r="AA308" s="7" t="n">
        <v>5</v>
      </c>
      <c r="AB308" s="7" t="n">
        <v>5</v>
      </c>
      <c r="AK308" s="46" t="n"/>
      <c r="AL308" s="46" t="n"/>
      <c r="AM308" s="247">
        <f>_DATA_Assessment_Model!AJ308</f>
        <v/>
      </c>
      <c r="AN308" s="247">
        <f>_DATA_Assessment_Model!AK308</f>
        <v/>
      </c>
      <c r="AO308" s="247">
        <f>_DATA_Assessment_Model!AL308</f>
        <v/>
      </c>
      <c r="AP308" s="247">
        <f>_DATA_Assessment_Model!AM308</f>
        <v/>
      </c>
      <c r="AQ308" s="247">
        <f>_DATA_Assessment_Model!AN308</f>
        <v/>
      </c>
      <c r="AR308" s="247">
        <f>_DATA_Assessment_Model!AO308</f>
        <v/>
      </c>
      <c r="AS308" s="247">
        <f>_DATA_Assessment_Model!AP308</f>
        <v/>
      </c>
      <c r="AT308" s="247">
        <f>_DATA_Assessment_Model!AQ308</f>
        <v/>
      </c>
      <c r="AU308" s="247">
        <f>_DATA_Assessment_Model!AR308</f>
        <v/>
      </c>
      <c r="AV308" s="5">
        <f>_DATA_Assessment_Model!AS308</f>
        <v/>
      </c>
      <c r="AW308" s="5">
        <f>_DATA_Assessment_Model!AT308</f>
        <v/>
      </c>
      <c r="AY308">
        <f>_DATA_Assessment_Model!AV308</f>
        <v/>
      </c>
    </row>
    <row r="309" ht="69" customHeight="1" s="209">
      <c r="A309" t="inlineStr">
        <is>
          <t>IT Cloud DR</t>
        </is>
      </c>
      <c r="B309" t="inlineStr">
        <is>
          <t>IT Cloud DR</t>
        </is>
      </c>
      <c r="C309" t="n">
        <v>17</v>
      </c>
      <c r="D309" s="3" t="inlineStr">
        <is>
          <t>ITCL-014</t>
        </is>
      </c>
      <c r="E309" s="3" t="inlineStr">
        <is>
          <t>Resilience and DR</t>
        </is>
      </c>
      <c r="F309" s="3" t="inlineStr">
        <is>
          <t>How mature is the organization in managing regular restore testing against defined RTO and RPO, including ownership, evidence, metrics, fallback procedures and crisis stress testing?</t>
        </is>
      </c>
      <c r="G309" s="3" t="inlineStr">
        <is>
          <t>This topic affects exposure to IT outage; Cloud outage; Data loss; Cyberattack. It helps identify how disruption may impact operations, people, revenue, systems, legal exposure or recovery time.</t>
        </is>
      </c>
      <c r="H309" s="3" t="inlineStr">
        <is>
          <t>ISO/IEC 27001; ISO/IEC 20000-1; NIST CSF 2.0; NIST SP 800-34; COBIT; ITIL 4; FinOps</t>
        </is>
      </c>
      <c r="I309" s="3" t="inlineStr">
        <is>
          <t>Policy/SOP; owner/RACI; system report; dashboard; contracts; test records; incident history; interview evidence related to regular restore testing against defined RTO and RPO.</t>
        </is>
      </c>
      <c r="J309" s="3" t="n">
        <v>5</v>
      </c>
      <c r="K309" s="85">
        <f>_DATA_Assessment_Model!H309</f>
        <v/>
      </c>
      <c r="L309" s="4">
        <f>_DATA_Assessment_Model!I309</f>
        <v/>
      </c>
      <c r="M309" s="4">
        <f>_DATA_Assessment_Model!J309</f>
        <v/>
      </c>
      <c r="N309" s="4">
        <f>_DATA_Assessment_Model!K309</f>
        <v/>
      </c>
      <c r="O309" s="3">
        <f>_DATA_Assessment_Model!L309</f>
        <v/>
      </c>
      <c r="P309" s="3" t="inlineStr">
        <is>
          <t>No backups or restores have never been attempted.</t>
        </is>
      </c>
      <c r="Q309" s="3" t="inlineStr">
        <is>
          <t>Backups exist; restore never tested.</t>
        </is>
      </c>
      <c r="R309" s="3" t="inlineStr">
        <is>
          <t>Restore tested once or long ago; RTO/RPO unknown.</t>
        </is>
      </c>
      <c r="S309" s="3" t="inlineStr">
        <is>
          <t>Restore tested at least annually; RTO/RPO defined and met in tests.</t>
        </is>
      </c>
      <c r="T309" s="3" t="inlineStr">
        <is>
          <t>Restore tested quarterly incl. critical systems; RTO/RPO measured and reported.</t>
        </is>
      </c>
      <c r="U309" s="3" t="inlineStr">
        <is>
          <t>Automated recovery/failover, tested regularly; recovery proven during real events or full DR exercises.</t>
        </is>
      </c>
      <c r="V309" s="3" t="inlineStr">
        <is>
          <t>IT outage; Cloud outage; Data loss; Cyberattack</t>
        </is>
      </c>
      <c r="W309" s="3" t="n"/>
      <c r="X309" s="3" t="n"/>
      <c r="Y309" s="3" t="inlineStr">
        <is>
          <t>Use the recommended action generated by the model; validate with domain owner during real assessment.</t>
        </is>
      </c>
      <c r="Z309" s="7" t="n">
        <v>5</v>
      </c>
      <c r="AA309" s="7" t="n">
        <v>5</v>
      </c>
      <c r="AB309" s="7" t="n">
        <v>5</v>
      </c>
      <c r="AK309" s="46" t="n"/>
      <c r="AL309" s="46" t="n"/>
      <c r="AM309" s="247">
        <f>_DATA_Assessment_Model!AJ309</f>
        <v/>
      </c>
      <c r="AN309" s="247">
        <f>_DATA_Assessment_Model!AK309</f>
        <v/>
      </c>
      <c r="AO309" s="247">
        <f>_DATA_Assessment_Model!AL309</f>
        <v/>
      </c>
      <c r="AP309" s="247">
        <f>_DATA_Assessment_Model!AM309</f>
        <v/>
      </c>
      <c r="AQ309" s="247">
        <f>_DATA_Assessment_Model!AN309</f>
        <v/>
      </c>
      <c r="AR309" s="247">
        <f>_DATA_Assessment_Model!AO309</f>
        <v/>
      </c>
      <c r="AS309" s="247">
        <f>_DATA_Assessment_Model!AP309</f>
        <v/>
      </c>
      <c r="AT309" s="247">
        <f>_DATA_Assessment_Model!AQ309</f>
        <v/>
      </c>
      <c r="AU309" s="247">
        <f>_DATA_Assessment_Model!AR309</f>
        <v/>
      </c>
      <c r="AV309" s="5">
        <f>_DATA_Assessment_Model!AS309</f>
        <v/>
      </c>
      <c r="AW309" s="5">
        <f>_DATA_Assessment_Model!AT309</f>
        <v/>
      </c>
      <c r="AY309">
        <f>_DATA_Assessment_Model!AV309</f>
        <v/>
      </c>
    </row>
    <row r="310" ht="69" customHeight="1" s="209">
      <c r="A310" t="inlineStr">
        <is>
          <t>IT Cloud DR</t>
        </is>
      </c>
      <c r="B310" t="inlineStr">
        <is>
          <t>IT Cloud DR</t>
        </is>
      </c>
      <c r="C310" t="n">
        <v>18</v>
      </c>
      <c r="D310" s="3" t="inlineStr">
        <is>
          <t>ITCL-015</t>
        </is>
      </c>
      <c r="E310" s="3" t="inlineStr">
        <is>
          <t>Resilience and DR</t>
        </is>
      </c>
      <c r="F310" s="3" t="inlineStr">
        <is>
          <t>How mature is the organization in managing DR runbooks for critical systems with owners, dependencies and communication rules, including ownership, evidence, metrics, fallback procedures and crisis stress testing?</t>
        </is>
      </c>
      <c r="G310" s="3" t="inlineStr">
        <is>
          <t>This topic affects exposure to IT outage; Cloud outage; Data loss; Cyberattack. It helps identify how disruption may impact operations, people, revenue, systems, legal exposure or recovery time.</t>
        </is>
      </c>
      <c r="H310" s="3" t="inlineStr">
        <is>
          <t>ISO/IEC 27001; ISO/IEC 20000-1; NIST CSF 2.0; NIST SP 800-34; COBIT; ITIL 4; FinOps</t>
        </is>
      </c>
      <c r="I310" s="3" t="inlineStr">
        <is>
          <t>Policy/SOP; owner/RACI; system report; dashboard; contracts; test records; incident history; interview evidence related to DR runbooks for critical systems with owners, dependencies and communication rules.</t>
        </is>
      </c>
      <c r="J310" s="3" t="n">
        <v>5</v>
      </c>
      <c r="K310" s="85">
        <f>_DATA_Assessment_Model!H310</f>
        <v/>
      </c>
      <c r="L310" s="4">
        <f>_DATA_Assessment_Model!I310</f>
        <v/>
      </c>
      <c r="M310" s="4">
        <f>_DATA_Assessment_Model!J310</f>
        <v/>
      </c>
      <c r="N310" s="4">
        <f>_DATA_Assessment_Model!K310</f>
        <v/>
      </c>
      <c r="O310" s="3">
        <f>_DATA_Assessment_Model!L310</f>
        <v/>
      </c>
      <c r="P310" s="3" t="inlineStr">
        <is>
          <t>No plan or procedure exists.</t>
        </is>
      </c>
      <c r="Q310" s="3" t="inlineStr">
        <is>
          <t>Knowledge lives with individuals; nothing usable is written down.</t>
        </is>
      </c>
      <c r="R310" s="3" t="inlineStr">
        <is>
          <t>Drafted but outdated, not approved, or unknown to the people who must use it.</t>
        </is>
      </c>
      <c r="S310" s="3" t="inlineStr">
        <is>
          <t>Approved and current; owners assigned; affected staff know it exists and where to find it.</t>
        </is>
      </c>
      <c r="T310" s="3" t="inlineStr">
        <is>
          <t>Tested against realistic scenarios; updated after each test or real incident.</t>
        </is>
      </c>
      <c r="U310" s="3" t="inlineStr">
        <is>
          <t>Exercised regularly including external parties; readiness measured; continuously improved.</t>
        </is>
      </c>
      <c r="V310" s="3" t="inlineStr">
        <is>
          <t>IT outage; Cloud outage; Data loss; Cyberattack</t>
        </is>
      </c>
      <c r="W310" s="3" t="n"/>
      <c r="X310" s="3" t="n"/>
      <c r="Y310" s="3" t="inlineStr">
        <is>
          <t>Use the recommended action generated by the model; validate with domain owner during real assessment.</t>
        </is>
      </c>
      <c r="Z310" s="7" t="n">
        <v>5</v>
      </c>
      <c r="AA310" s="7" t="n">
        <v>5</v>
      </c>
      <c r="AB310" s="7" t="n">
        <v>5</v>
      </c>
      <c r="AK310" s="46" t="n"/>
      <c r="AL310" s="46" t="n"/>
      <c r="AM310" s="247">
        <f>_DATA_Assessment_Model!AJ310</f>
        <v/>
      </c>
      <c r="AN310" s="247">
        <f>_DATA_Assessment_Model!AK310</f>
        <v/>
      </c>
      <c r="AO310" s="247">
        <f>_DATA_Assessment_Model!AL310</f>
        <v/>
      </c>
      <c r="AP310" s="247">
        <f>_DATA_Assessment_Model!AM310</f>
        <v/>
      </c>
      <c r="AQ310" s="247">
        <f>_DATA_Assessment_Model!AN310</f>
        <v/>
      </c>
      <c r="AR310" s="247">
        <f>_DATA_Assessment_Model!AO310</f>
        <v/>
      </c>
      <c r="AS310" s="247">
        <f>_DATA_Assessment_Model!AP310</f>
        <v/>
      </c>
      <c r="AT310" s="247">
        <f>_DATA_Assessment_Model!AQ310</f>
        <v/>
      </c>
      <c r="AU310" s="247">
        <f>_DATA_Assessment_Model!AR310</f>
        <v/>
      </c>
      <c r="AV310" s="5">
        <f>_DATA_Assessment_Model!AS310</f>
        <v/>
      </c>
      <c r="AW310" s="5">
        <f>_DATA_Assessment_Model!AT310</f>
        <v/>
      </c>
      <c r="AY310">
        <f>_DATA_Assessment_Model!AV310</f>
        <v/>
      </c>
    </row>
    <row r="311" ht="69" customHeight="1" s="209">
      <c r="A311" t="inlineStr">
        <is>
          <t>IT Cloud DR</t>
        </is>
      </c>
      <c r="B311" t="inlineStr">
        <is>
          <t>IT Cloud DR</t>
        </is>
      </c>
      <c r="C311" t="n">
        <v>19</v>
      </c>
      <c r="D311" s="3" t="inlineStr">
        <is>
          <t>ITCL-016</t>
        </is>
      </c>
      <c r="E311" s="3" t="inlineStr">
        <is>
          <t>Resilience and DR</t>
        </is>
      </c>
      <c r="F311" s="3" t="inlineStr">
        <is>
          <t>How mature is the organization in managing DR exercises for ransomware, cloud region failure, identity outage and data corruption, including ownership, evidence, metrics, fallback procedures and crisis stress testing?</t>
        </is>
      </c>
      <c r="G311" s="3" t="inlineStr">
        <is>
          <t>This topic affects exposure to IT outage; Cloud outage; Data loss; Cyberattack. It helps identify how disruption may impact operations, people, revenue, systems, legal exposure or recovery time.</t>
        </is>
      </c>
      <c r="H311" s="3" t="inlineStr">
        <is>
          <t>ISO/IEC 27001; ISO/IEC 20000-1; NIST CSF 2.0; NIST SP 800-34; COBIT; ITIL 4; FinOps</t>
        </is>
      </c>
      <c r="I311" s="3" t="inlineStr">
        <is>
          <t>Policy/SOP; owner/RACI; system report; dashboard; contracts; test records; incident history; interview evidence related to DR exercises for ransomware, cloud region failure, identity outage and data corruption.</t>
        </is>
      </c>
      <c r="J311" s="3" t="n">
        <v>5</v>
      </c>
      <c r="K311" s="85">
        <f>_DATA_Assessment_Model!H311</f>
        <v/>
      </c>
      <c r="L311" s="4">
        <f>_DATA_Assessment_Model!I311</f>
        <v/>
      </c>
      <c r="M311" s="4">
        <f>_DATA_Assessment_Model!J311</f>
        <v/>
      </c>
      <c r="N311" s="4">
        <f>_DATA_Assessment_Model!K311</f>
        <v/>
      </c>
      <c r="O311" s="3">
        <f>_DATA_Assessment_Model!L311</f>
        <v/>
      </c>
      <c r="P311" s="3" t="inlineStr">
        <is>
          <t>Never done; no records exist.</t>
        </is>
      </c>
      <c r="Q311" s="3" t="inlineStr">
        <is>
          <t>Done once long ago or only after an incident; no schedule, no records.</t>
        </is>
      </c>
      <c r="R311" s="3" t="inlineStr">
        <is>
          <t>Done irregularly; results are not documented and findings are not tracked.</t>
        </is>
      </c>
      <c r="S311" s="3" t="inlineStr">
        <is>
          <t>Done on a defined schedule (at least annually); results documented, owner assigned.</t>
        </is>
      </c>
      <c r="T311" s="3" t="inlineStr">
        <is>
          <t>Done quarterly/semi-annually; findings tracked to closure, effectiveness measured against targets.</t>
        </is>
      </c>
      <c r="U311" s="3" t="inlineStr">
        <is>
          <t>Continuous or automated where possible; results drive improvements and are validated externally (audit/customer).</t>
        </is>
      </c>
      <c r="V311" s="3" t="inlineStr">
        <is>
          <t>IT outage; Cloud outage; Data loss; Cyberattack</t>
        </is>
      </c>
      <c r="W311" s="3" t="n"/>
      <c r="X311" s="3" t="n"/>
      <c r="Y311" s="3" t="inlineStr">
        <is>
          <t>Use the recommended action generated by the model; validate with domain owner during real assessment.</t>
        </is>
      </c>
      <c r="Z311" s="7" t="n">
        <v>5</v>
      </c>
      <c r="AA311" s="7" t="n">
        <v>5</v>
      </c>
      <c r="AB311" s="7" t="n">
        <v>5</v>
      </c>
      <c r="AK311" s="46" t="n"/>
      <c r="AL311" s="46" t="n"/>
      <c r="AM311" s="247">
        <f>_DATA_Assessment_Model!AJ311</f>
        <v/>
      </c>
      <c r="AN311" s="247">
        <f>_DATA_Assessment_Model!AK311</f>
        <v/>
      </c>
      <c r="AO311" s="247">
        <f>_DATA_Assessment_Model!AL311</f>
        <v/>
      </c>
      <c r="AP311" s="247">
        <f>_DATA_Assessment_Model!AM311</f>
        <v/>
      </c>
      <c r="AQ311" s="247">
        <f>_DATA_Assessment_Model!AN311</f>
        <v/>
      </c>
      <c r="AR311" s="247">
        <f>_DATA_Assessment_Model!AO311</f>
        <v/>
      </c>
      <c r="AS311" s="247">
        <f>_DATA_Assessment_Model!AP311</f>
        <v/>
      </c>
      <c r="AT311" s="247">
        <f>_DATA_Assessment_Model!AQ311</f>
        <v/>
      </c>
      <c r="AU311" s="247">
        <f>_DATA_Assessment_Model!AR311</f>
        <v/>
      </c>
      <c r="AV311" s="5">
        <f>_DATA_Assessment_Model!AS311</f>
        <v/>
      </c>
      <c r="AW311" s="5">
        <f>_DATA_Assessment_Model!AT311</f>
        <v/>
      </c>
      <c r="AY311">
        <f>_DATA_Assessment_Model!AV311</f>
        <v/>
      </c>
    </row>
    <row r="312" ht="69" customHeight="1" s="209">
      <c r="A312" t="inlineStr">
        <is>
          <t>IT Cloud DR</t>
        </is>
      </c>
      <c r="B312" t="inlineStr">
        <is>
          <t>IT Cloud DR</t>
        </is>
      </c>
      <c r="C312" t="n">
        <v>20</v>
      </c>
      <c r="D312" s="3" t="inlineStr">
        <is>
          <t>ITCL-017</t>
        </is>
      </c>
      <c r="E312" s="3" t="inlineStr">
        <is>
          <t>Resilience and DR</t>
        </is>
      </c>
      <c r="F312" s="3" t="inlineStr">
        <is>
          <t>How mature is the organization in managing manual fallback for critical IT-dependent business processes, including ownership, evidence, metrics, fallback procedures and crisis stress testing?</t>
        </is>
      </c>
      <c r="G312" s="3" t="inlineStr">
        <is>
          <t>This topic affects exposure to IT outage; Cloud outage; Data loss; Cyberattack. It helps identify how disruption may impact operations, people, revenue, systems, legal exposure or recovery time.</t>
        </is>
      </c>
      <c r="H312" s="3" t="inlineStr">
        <is>
          <t>ISO/IEC 27001; ISO/IEC 20000-1; NIST CSF 2.0; NIST SP 800-34; COBIT; ITIL 4; FinOps</t>
        </is>
      </c>
      <c r="I312" s="3" t="inlineStr">
        <is>
          <t>Policy/SOP; owner/RACI; system report; dashboard; contracts; test records; incident history; interview evidence related to manual fallback for critical IT-dependent business processes.</t>
        </is>
      </c>
      <c r="J312" s="3" t="n">
        <v>5</v>
      </c>
      <c r="K312" s="85">
        <f>_DATA_Assessment_Model!H312</f>
        <v/>
      </c>
      <c r="L312" s="4">
        <f>_DATA_Assessment_Model!I312</f>
        <v/>
      </c>
      <c r="M312" s="4">
        <f>_DATA_Assessment_Model!J312</f>
        <v/>
      </c>
      <c r="N312" s="4">
        <f>_DATA_Assessment_Model!K312</f>
        <v/>
      </c>
      <c r="O312" s="3">
        <f>_DATA_Assessment_Model!L312</f>
        <v/>
      </c>
      <c r="P312" s="3" t="inlineStr">
        <is>
          <t>Does not exist; no owner, no documentation, no practice.</t>
        </is>
      </c>
      <c r="Q312" s="3" t="inlineStr">
        <is>
          <t>Ad hoc; depends entirely on specific individuals.</t>
        </is>
      </c>
      <c r="R312" s="3" t="inlineStr">
        <is>
          <t>Partially documented or implemented; coverage inconsistent; never tested under stress.</t>
        </is>
      </c>
      <c r="S312" s="3" t="inlineStr">
        <is>
          <t>Documented, owned, executed consistently; basic evidence and metrics exist.</t>
        </is>
      </c>
      <c r="T312" s="3" t="inlineStr">
        <is>
          <t>Measured and periodically tested/audited; integrated with adjacent processes.</t>
        </is>
      </c>
      <c r="U312" s="3" t="inlineStr">
        <is>
          <t>Optimized and automated where practical; stress-tested; benchmarked externally.</t>
        </is>
      </c>
      <c r="V312" s="3" t="inlineStr">
        <is>
          <t>IT outage; Cloud outage; Data loss; Cyberattack</t>
        </is>
      </c>
      <c r="W312" s="3" t="n"/>
      <c r="X312" s="3" t="n"/>
      <c r="Y312" s="3" t="inlineStr">
        <is>
          <t>Use the recommended action generated by the model; validate with domain owner during real assessment.</t>
        </is>
      </c>
      <c r="Z312" s="7" t="n">
        <v>5</v>
      </c>
      <c r="AA312" s="7" t="n">
        <v>5</v>
      </c>
      <c r="AB312" s="7" t="n">
        <v>5</v>
      </c>
      <c r="AK312" s="46" t="n"/>
      <c r="AL312" s="46" t="n"/>
      <c r="AM312" s="247">
        <f>_DATA_Assessment_Model!AJ312</f>
        <v/>
      </c>
      <c r="AN312" s="247">
        <f>_DATA_Assessment_Model!AK312</f>
        <v/>
      </c>
      <c r="AO312" s="247">
        <f>_DATA_Assessment_Model!AL312</f>
        <v/>
      </c>
      <c r="AP312" s="247">
        <f>_DATA_Assessment_Model!AM312</f>
        <v/>
      </c>
      <c r="AQ312" s="247">
        <f>_DATA_Assessment_Model!AN312</f>
        <v/>
      </c>
      <c r="AR312" s="247">
        <f>_DATA_Assessment_Model!AO312</f>
        <v/>
      </c>
      <c r="AS312" s="247">
        <f>_DATA_Assessment_Model!AP312</f>
        <v/>
      </c>
      <c r="AT312" s="247">
        <f>_DATA_Assessment_Model!AQ312</f>
        <v/>
      </c>
      <c r="AU312" s="247">
        <f>_DATA_Assessment_Model!AR312</f>
        <v/>
      </c>
      <c r="AV312" s="5">
        <f>_DATA_Assessment_Model!AS312</f>
        <v/>
      </c>
      <c r="AW312" s="5">
        <f>_DATA_Assessment_Model!AT312</f>
        <v/>
      </c>
      <c r="AY312">
        <f>_DATA_Assessment_Model!AV312</f>
        <v/>
      </c>
    </row>
    <row r="313" ht="69" customHeight="1" s="209">
      <c r="A313" t="inlineStr">
        <is>
          <t>IT Cloud DR</t>
        </is>
      </c>
      <c r="B313" t="inlineStr">
        <is>
          <t>IT Cloud DR</t>
        </is>
      </c>
      <c r="C313" t="n">
        <v>21</v>
      </c>
      <c r="D313" s="3" t="inlineStr">
        <is>
          <t>ITCL-018</t>
        </is>
      </c>
      <c r="E313" s="3" t="inlineStr">
        <is>
          <t>Resilience and DR</t>
        </is>
      </c>
      <c r="F313" s="3" t="inlineStr">
        <is>
          <t>How mature is the organization in managing on-call coverage, escalation and vendor support for critical systems, including ownership, evidence, metrics, fallback procedures and crisis stress testing?</t>
        </is>
      </c>
      <c r="G313" s="3" t="inlineStr">
        <is>
          <t>This topic affects exposure to IT outage; Cloud outage; Data loss; Cyberattack. It helps identify how disruption may impact operations, people, revenue, systems, legal exposure or recovery time.</t>
        </is>
      </c>
      <c r="H313" s="3" t="inlineStr">
        <is>
          <t>ISO/IEC 27001; ISO/IEC 20000-1; NIST CSF 2.0; NIST SP 800-34; COBIT; ITIL 4; FinOps</t>
        </is>
      </c>
      <c r="I313" s="3" t="inlineStr">
        <is>
          <t>Policy/SOP; owner/RACI; system report; dashboard; contracts; test records; incident history; interview evidence related to on-call coverage, escalation and vendor support for critical systems.</t>
        </is>
      </c>
      <c r="J313" s="3" t="n">
        <v>5</v>
      </c>
      <c r="K313" s="85">
        <f>_DATA_Assessment_Model!H313</f>
        <v/>
      </c>
      <c r="L313" s="4">
        <f>_DATA_Assessment_Model!I313</f>
        <v/>
      </c>
      <c r="M313" s="4">
        <f>_DATA_Assessment_Model!J313</f>
        <v/>
      </c>
      <c r="N313" s="4">
        <f>_DATA_Assessment_Model!K313</f>
        <v/>
      </c>
      <c r="O313" s="3">
        <f>_DATA_Assessment_Model!L313</f>
        <v/>
      </c>
      <c r="P313" s="3" t="inlineStr">
        <is>
          <t>Does not exist; no owner, no documentation, no practice.</t>
        </is>
      </c>
      <c r="Q313" s="3" t="inlineStr">
        <is>
          <t>Ad hoc; depends entirely on specific individuals.</t>
        </is>
      </c>
      <c r="R313" s="3" t="inlineStr">
        <is>
          <t>Partially documented or implemented; coverage inconsistent; never tested under stress.</t>
        </is>
      </c>
      <c r="S313" s="3" t="inlineStr">
        <is>
          <t>Documented, owned, executed consistently; basic evidence and metrics exist.</t>
        </is>
      </c>
      <c r="T313" s="3" t="inlineStr">
        <is>
          <t>Measured and periodically tested/audited; integrated with adjacent processes.</t>
        </is>
      </c>
      <c r="U313" s="3" t="inlineStr">
        <is>
          <t>Optimized and automated where practical; stress-tested; benchmarked externally.</t>
        </is>
      </c>
      <c r="V313" s="3" t="inlineStr">
        <is>
          <t>IT outage; Cloud outage; Data loss; Cyberattack</t>
        </is>
      </c>
      <c r="W313" s="3" t="n"/>
      <c r="X313" s="3" t="n"/>
      <c r="Y313" s="3" t="inlineStr">
        <is>
          <t>Use the recommended action generated by the model; validate with domain owner during real assessment.</t>
        </is>
      </c>
      <c r="Z313" s="7" t="n">
        <v>5</v>
      </c>
      <c r="AA313" s="7" t="n">
        <v>5</v>
      </c>
      <c r="AB313" s="7" t="n">
        <v>5</v>
      </c>
      <c r="AK313" s="46" t="n"/>
      <c r="AL313" s="46" t="n"/>
      <c r="AM313" s="247">
        <f>_DATA_Assessment_Model!AJ313</f>
        <v/>
      </c>
      <c r="AN313" s="247">
        <f>_DATA_Assessment_Model!AK313</f>
        <v/>
      </c>
      <c r="AO313" s="247">
        <f>_DATA_Assessment_Model!AL313</f>
        <v/>
      </c>
      <c r="AP313" s="247">
        <f>_DATA_Assessment_Model!AM313</f>
        <v/>
      </c>
      <c r="AQ313" s="247">
        <f>_DATA_Assessment_Model!AN313</f>
        <v/>
      </c>
      <c r="AR313" s="247">
        <f>_DATA_Assessment_Model!AO313</f>
        <v/>
      </c>
      <c r="AS313" s="247">
        <f>_DATA_Assessment_Model!AP313</f>
        <v/>
      </c>
      <c r="AT313" s="247">
        <f>_DATA_Assessment_Model!AQ313</f>
        <v/>
      </c>
      <c r="AU313" s="247">
        <f>_DATA_Assessment_Model!AR313</f>
        <v/>
      </c>
      <c r="AV313" s="5">
        <f>_DATA_Assessment_Model!AS313</f>
        <v/>
      </c>
      <c r="AW313" s="5">
        <f>_DATA_Assessment_Model!AT313</f>
        <v/>
      </c>
      <c r="AY313">
        <f>_DATA_Assessment_Model!AV313</f>
        <v/>
      </c>
    </row>
    <row r="314" ht="69" customHeight="1" s="209">
      <c r="A314" t="inlineStr">
        <is>
          <t>IT Cloud DR</t>
        </is>
      </c>
      <c r="B314" t="inlineStr">
        <is>
          <t>IT Cloud DR</t>
        </is>
      </c>
      <c r="C314" t="n">
        <v>22</v>
      </c>
      <c r="D314" s="3" t="inlineStr">
        <is>
          <t>ITCL-019</t>
        </is>
      </c>
      <c r="E314" s="3" t="inlineStr">
        <is>
          <t>Operations</t>
        </is>
      </c>
      <c r="F314" s="3" t="inlineStr">
        <is>
          <t>How mature is the organization in managing IT service management for incidents, requests, problems, changes and assets, including ownership, evidence, metrics, fallback procedures and crisis stress testing?</t>
        </is>
      </c>
      <c r="G314" s="3" t="inlineStr">
        <is>
          <t>This topic affects exposure to IT outage; Cloud outage; Data loss; Cyberattack. It helps identify how disruption may impact operations, people, revenue, systems, legal exposure or recovery time.</t>
        </is>
      </c>
      <c r="H314" s="3" t="inlineStr">
        <is>
          <t>ISO/IEC 27001; ISO/IEC 20000-1; NIST CSF 2.0; NIST SP 800-34; COBIT; ITIL 4; FinOps</t>
        </is>
      </c>
      <c r="I314" s="3" t="inlineStr">
        <is>
          <t>Policy/SOP; owner/RACI; system report; dashboard; contracts; test records; incident history; interview evidence related to IT service management for incidents, requests, problems, changes and assets.</t>
        </is>
      </c>
      <c r="J314" s="3" t="n">
        <v>5</v>
      </c>
      <c r="K314" s="85">
        <f>_DATA_Assessment_Model!H314</f>
        <v/>
      </c>
      <c r="L314" s="4">
        <f>_DATA_Assessment_Model!I314</f>
        <v/>
      </c>
      <c r="M314" s="4">
        <f>_DATA_Assessment_Model!J314</f>
        <v/>
      </c>
      <c r="N314" s="4">
        <f>_DATA_Assessment_Model!K314</f>
        <v/>
      </c>
      <c r="O314" s="3">
        <f>_DATA_Assessment_Model!L314</f>
        <v/>
      </c>
      <c r="P314" s="3" t="inlineStr">
        <is>
          <t>Does not exist; no owner, no documentation, no practice.</t>
        </is>
      </c>
      <c r="Q314" s="3" t="inlineStr">
        <is>
          <t>Ad hoc; depends entirely on specific individuals.</t>
        </is>
      </c>
      <c r="R314" s="3" t="inlineStr">
        <is>
          <t>Partially documented or implemented; coverage inconsistent; never tested under stress.</t>
        </is>
      </c>
      <c r="S314" s="3" t="inlineStr">
        <is>
          <t>Documented, owned, executed consistently; basic evidence and metrics exist.</t>
        </is>
      </c>
      <c r="T314" s="3" t="inlineStr">
        <is>
          <t>Measured and periodically tested/audited; integrated with adjacent processes.</t>
        </is>
      </c>
      <c r="U314" s="3" t="inlineStr">
        <is>
          <t>Optimized and automated where practical; stress-tested; benchmarked externally.</t>
        </is>
      </c>
      <c r="V314" s="3" t="inlineStr">
        <is>
          <t>IT outage; Cloud outage; Data loss; Cyberattack</t>
        </is>
      </c>
      <c r="W314" s="3" t="n"/>
      <c r="X314" s="3" t="n"/>
      <c r="Y314" s="3" t="inlineStr">
        <is>
          <t>Use the recommended action generated by the model; validate with domain owner during real assessment.</t>
        </is>
      </c>
      <c r="Z314" s="7" t="n">
        <v>5</v>
      </c>
      <c r="AA314" s="7" t="n">
        <v>5</v>
      </c>
      <c r="AB314" s="7" t="n">
        <v>5</v>
      </c>
      <c r="AK314" s="46" t="n"/>
      <c r="AL314" s="46" t="n"/>
      <c r="AM314" s="247">
        <f>_DATA_Assessment_Model!AJ314</f>
        <v/>
      </c>
      <c r="AN314" s="247">
        <f>_DATA_Assessment_Model!AK314</f>
        <v/>
      </c>
      <c r="AO314" s="247">
        <f>_DATA_Assessment_Model!AL314</f>
        <v/>
      </c>
      <c r="AP314" s="247">
        <f>_DATA_Assessment_Model!AM314</f>
        <v/>
      </c>
      <c r="AQ314" s="247">
        <f>_DATA_Assessment_Model!AN314</f>
        <v/>
      </c>
      <c r="AR314" s="247">
        <f>_DATA_Assessment_Model!AO314</f>
        <v/>
      </c>
      <c r="AS314" s="247">
        <f>_DATA_Assessment_Model!AP314</f>
        <v/>
      </c>
      <c r="AT314" s="247">
        <f>_DATA_Assessment_Model!AQ314</f>
        <v/>
      </c>
      <c r="AU314" s="247">
        <f>_DATA_Assessment_Model!AR314</f>
        <v/>
      </c>
      <c r="AV314" s="5">
        <f>_DATA_Assessment_Model!AS314</f>
        <v/>
      </c>
      <c r="AW314" s="5">
        <f>_DATA_Assessment_Model!AT314</f>
        <v/>
      </c>
      <c r="AY314">
        <f>_DATA_Assessment_Model!AV314</f>
        <v/>
      </c>
    </row>
    <row r="315" ht="96.59999999999999" customHeight="1" s="209">
      <c r="A315" t="inlineStr">
        <is>
          <t>IT Cloud DR</t>
        </is>
      </c>
      <c r="B315" t="inlineStr">
        <is>
          <t>IT Cloud DR</t>
        </is>
      </c>
      <c r="C315" t="n">
        <v>23</v>
      </c>
      <c r="D315" s="3" t="inlineStr">
        <is>
          <t>ITCL-020</t>
        </is>
      </c>
      <c r="E315" s="3" t="inlineStr">
        <is>
          <t>Operations</t>
        </is>
      </c>
      <c r="F315" s="3" t="inlineStr">
        <is>
          <t>How mature is the organization in managing monitoring and alerting for availability, performance, capacity, security and user impact, including ownership, evidence, metrics, fallback procedures and crisis stress testing?</t>
        </is>
      </c>
      <c r="G315" s="3" t="inlineStr">
        <is>
          <t>This topic affects exposure to IT outage; Cloud outage; Data loss; Cyberattack. It helps identify how disruption may impact operations, people, revenue, systems, legal exposure or recovery time.</t>
        </is>
      </c>
      <c r="H315" s="3" t="inlineStr">
        <is>
          <t>ISO/IEC 27001; ISO/IEC 20000-1; NIST CSF 2.0; NIST SP 800-34; COBIT; ITIL 4; FinOps</t>
        </is>
      </c>
      <c r="I315" s="3" t="inlineStr">
        <is>
          <t>Policy/SOP; owner/RACI; system report; dashboard; contracts; test records; incident history; interview evidence related to monitoring and alerting for availability, performance, capacity, security and user impact.</t>
        </is>
      </c>
      <c r="J315" s="3" t="n">
        <v>3</v>
      </c>
      <c r="K315" s="85">
        <f>_DATA_Assessment_Model!H315</f>
        <v/>
      </c>
      <c r="L315" s="4">
        <f>_DATA_Assessment_Model!I315</f>
        <v/>
      </c>
      <c r="M315" s="4">
        <f>_DATA_Assessment_Model!J315</f>
        <v/>
      </c>
      <c r="N315" s="4">
        <f>_DATA_Assessment_Model!K315</f>
        <v/>
      </c>
      <c r="O315" s="3">
        <f>_DATA_Assessment_Model!L315</f>
        <v/>
      </c>
      <c r="P315" s="3" t="inlineStr">
        <is>
          <t>No reliable evidence that monitoring and alerting for availability, performance, capacity, security and user impact is defined, owned or managed.</t>
        </is>
      </c>
      <c r="Q315" s="3" t="inlineStr">
        <is>
          <t>Monitoring and alerting for availability, performance, capacity, security and user impact is handled informally and depends on individual knowledge or heroic effort.</t>
        </is>
      </c>
      <c r="R315" s="3" t="inlineStr">
        <is>
          <t>Monitoring and alerting for availability, performance, capacity, security and user impact is partially documented or implemented, but coverage is inconsistent and not crisis-tested.</t>
        </is>
      </c>
      <c r="S315" s="3" t="inlineStr">
        <is>
          <t>Monitoring and alerting for availability, performance, capacity, security and user impact is documented, owned, used in normal operations and supported by basic evidence or metrics.</t>
        </is>
      </c>
      <c r="T315" s="3" t="inlineStr">
        <is>
          <t>Monitoring and alerting for availability, performance, capacity, security and user impact is measured, periodically reviewed, integrated with related processes and tested against relevant disruption scenarios.</t>
        </is>
      </c>
      <c r="U315" s="3" t="inlineStr">
        <is>
          <t>Monitoring and alerting for availability, performance, capacity, security and user impact is optimized, continuously improved, automated where practical and demonstrably supports crisis resilience.</t>
        </is>
      </c>
      <c r="V315" s="3" t="inlineStr">
        <is>
          <t>IT outage; Cloud outage; Data loss; Cyberattack</t>
        </is>
      </c>
      <c r="W315" s="3" t="n"/>
      <c r="X315" s="3" t="n"/>
      <c r="Y315" s="3" t="inlineStr">
        <is>
          <t>Use the recommended action generated by the model; validate with domain owner during real assessment.</t>
        </is>
      </c>
      <c r="Z315" s="7" t="n">
        <v>5</v>
      </c>
      <c r="AA315" s="7" t="n">
        <v>5</v>
      </c>
      <c r="AB315" s="7" t="n">
        <v>5</v>
      </c>
      <c r="AK315" s="46" t="n"/>
      <c r="AL315" s="46" t="n"/>
      <c r="AM315" s="247">
        <f>_DATA_Assessment_Model!AJ315</f>
        <v/>
      </c>
      <c r="AN315" s="247">
        <f>_DATA_Assessment_Model!AK315</f>
        <v/>
      </c>
      <c r="AO315" s="247">
        <f>_DATA_Assessment_Model!AL315</f>
        <v/>
      </c>
      <c r="AP315" s="247">
        <f>_DATA_Assessment_Model!AM315</f>
        <v/>
      </c>
      <c r="AQ315" s="247">
        <f>_DATA_Assessment_Model!AN315</f>
        <v/>
      </c>
      <c r="AR315" s="247">
        <f>_DATA_Assessment_Model!AO315</f>
        <v/>
      </c>
      <c r="AS315" s="247">
        <f>_DATA_Assessment_Model!AP315</f>
        <v/>
      </c>
      <c r="AT315" s="247">
        <f>_DATA_Assessment_Model!AQ315</f>
        <v/>
      </c>
      <c r="AU315" s="247">
        <f>_DATA_Assessment_Model!AR315</f>
        <v/>
      </c>
      <c r="AV315" s="5">
        <f>_DATA_Assessment_Model!AS315</f>
        <v/>
      </c>
      <c r="AW315" s="5">
        <f>_DATA_Assessment_Model!AT315</f>
        <v/>
      </c>
      <c r="AY315">
        <f>_DATA_Assessment_Model!AV315</f>
        <v/>
      </c>
    </row>
    <row r="316" ht="96.59999999999999" customHeight="1" s="209">
      <c r="A316" t="inlineStr">
        <is>
          <t>IT Cloud DR</t>
        </is>
      </c>
      <c r="B316" t="inlineStr">
        <is>
          <t>IT Cloud DR</t>
        </is>
      </c>
      <c r="C316" t="n">
        <v>24</v>
      </c>
      <c r="D316" s="3" t="inlineStr">
        <is>
          <t>ITCL-021</t>
        </is>
      </c>
      <c r="E316" s="3" t="inlineStr">
        <is>
          <t>Operations</t>
        </is>
      </c>
      <c r="F316" s="3" t="inlineStr">
        <is>
          <t>How mature is the organization in managing network resilience for internet, DNS, firewalls, VPN/ZTNA, routing and telecom, including ownership, evidence, metrics, fallback procedures and crisis stress testing?</t>
        </is>
      </c>
      <c r="G316" s="3" t="inlineStr">
        <is>
          <t>This topic affects exposure to IT outage; Cloud outage; Data loss; Cyberattack. It helps identify how disruption may impact operations, people, revenue, systems, legal exposure or recovery time.</t>
        </is>
      </c>
      <c r="H316" s="3" t="inlineStr">
        <is>
          <t>ISO/IEC 27001; ISO/IEC 20000-1; NIST CSF 2.0; NIST SP 800-34; COBIT; ITIL 4; FinOps</t>
        </is>
      </c>
      <c r="I316" s="3" t="inlineStr">
        <is>
          <t>Policy/SOP; owner/RACI; system report; dashboard; contracts; test records; incident history; interview evidence related to network resilience for internet, DNS, firewalls, VPN/ZTNA, routing and telecom.</t>
        </is>
      </c>
      <c r="J316" s="3" t="n">
        <v>3</v>
      </c>
      <c r="K316" s="85">
        <f>_DATA_Assessment_Model!H316</f>
        <v/>
      </c>
      <c r="L316" s="4">
        <f>_DATA_Assessment_Model!I316</f>
        <v/>
      </c>
      <c r="M316" s="4">
        <f>_DATA_Assessment_Model!J316</f>
        <v/>
      </c>
      <c r="N316" s="4">
        <f>_DATA_Assessment_Model!K316</f>
        <v/>
      </c>
      <c r="O316" s="3">
        <f>_DATA_Assessment_Model!L316</f>
        <v/>
      </c>
      <c r="P316" s="3" t="inlineStr">
        <is>
          <t>No reliable evidence that network resilience for internet, dns, firewalls, vpn/ztna, routing and telecom is defined, owned or managed.</t>
        </is>
      </c>
      <c r="Q316" s="3" t="inlineStr">
        <is>
          <t>Network resilience for internet, DNS, firewalls, VPN/ZTNA, routing and telecom is handled informally and depends on individual knowledge or heroic effort.</t>
        </is>
      </c>
      <c r="R316" s="3" t="inlineStr">
        <is>
          <t>Network resilience for internet, DNS, firewalls, VPN/ZTNA, routing and telecom is partially documented or implemented, but coverage is inconsistent and not crisis-tested.</t>
        </is>
      </c>
      <c r="S316" s="3" t="inlineStr">
        <is>
          <t>Network resilience for internet, DNS, firewalls, VPN/ZTNA, routing and telecom is documented, owned, used in normal operations and supported by basic evidence or metrics.</t>
        </is>
      </c>
      <c r="T316" s="3" t="inlineStr">
        <is>
          <t>Network resilience for internet, DNS, firewalls, VPN/ZTNA, routing and telecom is measured, periodically reviewed, integrated with related processes and tested against relevant disruption scenarios.</t>
        </is>
      </c>
      <c r="U316" s="3" t="inlineStr">
        <is>
          <t>Network resilience for internet, DNS, firewalls, VPN/ZTNA, routing and telecom is optimized, continuously improved, automated where practical and demonstrably supports crisis resilience.</t>
        </is>
      </c>
      <c r="V316" s="3" t="inlineStr">
        <is>
          <t>IT outage; Cloud outage; Data loss; Cyberattack</t>
        </is>
      </c>
      <c r="W316" s="3" t="n"/>
      <c r="X316" s="3" t="n"/>
      <c r="Y316" s="3" t="inlineStr">
        <is>
          <t>Use the recommended action generated by the model; validate with domain owner during real assessment.</t>
        </is>
      </c>
      <c r="Z316" s="7" t="n">
        <v>5</v>
      </c>
      <c r="AA316" s="7" t="n">
        <v>5</v>
      </c>
      <c r="AB316" s="7" t="n">
        <v>5</v>
      </c>
      <c r="AK316" s="46" t="n"/>
      <c r="AL316" s="46" t="n"/>
      <c r="AM316" s="247">
        <f>_DATA_Assessment_Model!AJ316</f>
        <v/>
      </c>
      <c r="AN316" s="247">
        <f>_DATA_Assessment_Model!AK316</f>
        <v/>
      </c>
      <c r="AO316" s="247">
        <f>_DATA_Assessment_Model!AL316</f>
        <v/>
      </c>
      <c r="AP316" s="247">
        <f>_DATA_Assessment_Model!AM316</f>
        <v/>
      </c>
      <c r="AQ316" s="247">
        <f>_DATA_Assessment_Model!AN316</f>
        <v/>
      </c>
      <c r="AR316" s="247">
        <f>_DATA_Assessment_Model!AO316</f>
        <v/>
      </c>
      <c r="AS316" s="247">
        <f>_DATA_Assessment_Model!AP316</f>
        <v/>
      </c>
      <c r="AT316" s="247">
        <f>_DATA_Assessment_Model!AQ316</f>
        <v/>
      </c>
      <c r="AU316" s="247">
        <f>_DATA_Assessment_Model!AR316</f>
        <v/>
      </c>
      <c r="AV316" s="5">
        <f>_DATA_Assessment_Model!AS316</f>
        <v/>
      </c>
      <c r="AW316" s="5">
        <f>_DATA_Assessment_Model!AT316</f>
        <v/>
      </c>
      <c r="AY316">
        <f>_DATA_Assessment_Model!AV316</f>
        <v/>
      </c>
    </row>
    <row r="317" ht="69" customHeight="1" s="209">
      <c r="A317" t="inlineStr">
        <is>
          <t>IT Cloud DR</t>
        </is>
      </c>
      <c r="B317" t="inlineStr">
        <is>
          <t>IT Cloud DR</t>
        </is>
      </c>
      <c r="C317" t="n">
        <v>25</v>
      </c>
      <c r="D317" s="3" t="inlineStr">
        <is>
          <t>ITCL-022</t>
        </is>
      </c>
      <c r="E317" s="3" t="inlineStr">
        <is>
          <t>Operations</t>
        </is>
      </c>
      <c r="F317" s="3" t="inlineStr">
        <is>
          <t>How mature is the organization in managing secure remote access for critical users during remote-only operations, including ownership, evidence, metrics, fallback procedures and crisis stress testing?</t>
        </is>
      </c>
      <c r="G317" s="3" t="inlineStr">
        <is>
          <t>This topic affects exposure to IT outage; Cloud outage; Data loss; Cyberattack. It helps identify how disruption may impact operations, people, revenue, systems, legal exposure or recovery time.</t>
        </is>
      </c>
      <c r="H317" s="3" t="inlineStr">
        <is>
          <t>ISO/IEC 27001; ISO/IEC 20000-1; NIST CSF 2.0; NIST SP 800-34; COBIT; ITIL 4; FinOps</t>
        </is>
      </c>
      <c r="I317" s="3" t="inlineStr">
        <is>
          <t>Policy/SOP; owner/RACI; system report; dashboard; contracts; test records; incident history; interview evidence related to secure remote access for critical users during remote-only operations.</t>
        </is>
      </c>
      <c r="J317" s="3" t="n">
        <v>5</v>
      </c>
      <c r="K317" s="85">
        <f>_DATA_Assessment_Model!H317</f>
        <v/>
      </c>
      <c r="L317" s="4">
        <f>_DATA_Assessment_Model!I317</f>
        <v/>
      </c>
      <c r="M317" s="4">
        <f>_DATA_Assessment_Model!J317</f>
        <v/>
      </c>
      <c r="N317" s="4">
        <f>_DATA_Assessment_Model!K317</f>
        <v/>
      </c>
      <c r="O317" s="3">
        <f>_DATA_Assessment_Model!L317</f>
        <v/>
      </c>
      <c r="P317" s="3" t="inlineStr">
        <is>
          <t>Does not exist; no owner, no documentation, no practice.</t>
        </is>
      </c>
      <c r="Q317" s="3" t="inlineStr">
        <is>
          <t>Ad hoc; depends entirely on specific individuals.</t>
        </is>
      </c>
      <c r="R317" s="3" t="inlineStr">
        <is>
          <t>Partially documented or implemented; coverage inconsistent; never tested under stress.</t>
        </is>
      </c>
      <c r="S317" s="3" t="inlineStr">
        <is>
          <t>Documented, owned, executed consistently; basic evidence and metrics exist.</t>
        </is>
      </c>
      <c r="T317" s="3" t="inlineStr">
        <is>
          <t>Measured and periodically tested/audited; integrated with adjacent processes.</t>
        </is>
      </c>
      <c r="U317" s="3" t="inlineStr">
        <is>
          <t>Optimized and automated where practical; stress-tested; benchmarked externally.</t>
        </is>
      </c>
      <c r="V317" s="3" t="inlineStr">
        <is>
          <t>IT outage; Cloud outage; Data loss; Cyberattack</t>
        </is>
      </c>
      <c r="W317" s="3" t="n"/>
      <c r="X317" s="3" t="n"/>
      <c r="Y317" s="3" t="inlineStr">
        <is>
          <t>Use the recommended action generated by the model; validate with domain owner during real assessment.</t>
        </is>
      </c>
      <c r="Z317" s="7" t="n">
        <v>5</v>
      </c>
      <c r="AA317" s="7" t="n">
        <v>5</v>
      </c>
      <c r="AB317" s="7" t="n">
        <v>5</v>
      </c>
      <c r="AK317" s="46" t="n"/>
      <c r="AL317" s="46" t="n"/>
      <c r="AM317" s="247">
        <f>_DATA_Assessment_Model!AJ317</f>
        <v/>
      </c>
      <c r="AN317" s="247">
        <f>_DATA_Assessment_Model!AK317</f>
        <v/>
      </c>
      <c r="AO317" s="247">
        <f>_DATA_Assessment_Model!AL317</f>
        <v/>
      </c>
      <c r="AP317" s="247">
        <f>_DATA_Assessment_Model!AM317</f>
        <v/>
      </c>
      <c r="AQ317" s="247">
        <f>_DATA_Assessment_Model!AN317</f>
        <v/>
      </c>
      <c r="AR317" s="247">
        <f>_DATA_Assessment_Model!AO317</f>
        <v/>
      </c>
      <c r="AS317" s="247">
        <f>_DATA_Assessment_Model!AP317</f>
        <v/>
      </c>
      <c r="AT317" s="247">
        <f>_DATA_Assessment_Model!AQ317</f>
        <v/>
      </c>
      <c r="AU317" s="247">
        <f>_DATA_Assessment_Model!AR317</f>
        <v/>
      </c>
      <c r="AV317" s="5">
        <f>_DATA_Assessment_Model!AS317</f>
        <v/>
      </c>
      <c r="AW317" s="5">
        <f>_DATA_Assessment_Model!AT317</f>
        <v/>
      </c>
      <c r="AY317">
        <f>_DATA_Assessment_Model!AV317</f>
        <v/>
      </c>
    </row>
    <row r="318" ht="69" customHeight="1" s="209">
      <c r="A318" t="inlineStr">
        <is>
          <t>IT Cloud DR</t>
        </is>
      </c>
      <c r="B318" t="inlineStr">
        <is>
          <t>IT Cloud DR</t>
        </is>
      </c>
      <c r="C318" t="n">
        <v>26</v>
      </c>
      <c r="D318" s="3" t="inlineStr">
        <is>
          <t>ITCL-023</t>
        </is>
      </c>
      <c r="E318" s="3" t="inlineStr">
        <is>
          <t>Operations</t>
        </is>
      </c>
      <c r="F318" s="3" t="inlineStr">
        <is>
          <t>How mature is the organization in managing endpoint inventory, patching, encryption, backup and remote management, including ownership, evidence, metrics, fallback procedures and crisis stress testing?</t>
        </is>
      </c>
      <c r="G318" s="3" t="inlineStr">
        <is>
          <t>This topic affects exposure to IT outage; Cloud outage; Data loss; Cyberattack. It helps identify how disruption may impact operations, people, revenue, systems, legal exposure or recovery time.</t>
        </is>
      </c>
      <c r="H318" s="3" t="inlineStr">
        <is>
          <t>ISO/IEC 27001; ISO/IEC 20000-1; NIST CSF 2.0; NIST SP 800-34; COBIT; ITIL 4; FinOps</t>
        </is>
      </c>
      <c r="I318" s="3" t="inlineStr">
        <is>
          <t>Policy/SOP; owner/RACI; system report; dashboard; contracts; test records; incident history; interview evidence related to endpoint inventory, patching, encryption, backup and remote management.</t>
        </is>
      </c>
      <c r="J318" s="3" t="n">
        <v>5</v>
      </c>
      <c r="K318" s="85">
        <f>_DATA_Assessment_Model!H318</f>
        <v/>
      </c>
      <c r="L318" s="4">
        <f>_DATA_Assessment_Model!I318</f>
        <v/>
      </c>
      <c r="M318" s="4">
        <f>_DATA_Assessment_Model!J318</f>
        <v/>
      </c>
      <c r="N318" s="4">
        <f>_DATA_Assessment_Model!K318</f>
        <v/>
      </c>
      <c r="O318" s="3">
        <f>_DATA_Assessment_Model!L318</f>
        <v/>
      </c>
      <c r="P318" s="3" t="inlineStr">
        <is>
          <t>No inventory/register exists.</t>
        </is>
      </c>
      <c r="Q318" s="3" t="inlineStr">
        <is>
          <t>Partial lists live in individuals' heads or personal files.</t>
        </is>
      </c>
      <c r="R318" s="3" t="inlineStr">
        <is>
          <t>A register exists but is incomplete or outdated (&gt;1 year) and has no owner.</t>
        </is>
      </c>
      <c r="S318" s="3" t="inlineStr">
        <is>
          <t>Owned, documented, updated on a defined schedule, covers the main scope.</t>
        </is>
      </c>
      <c r="T318" s="3" t="inlineStr">
        <is>
          <t>Complete and periodically reviewed; integrated with related processes; completeness measured.</t>
        </is>
      </c>
      <c r="U318" s="3" t="inlineStr">
        <is>
          <t>Maintained automatically or synced with systems; drives decisions; audited.</t>
        </is>
      </c>
      <c r="V318" s="3" t="inlineStr">
        <is>
          <t>IT outage; Cloud outage; Data loss; Cyberattack</t>
        </is>
      </c>
      <c r="W318" s="3" t="n"/>
      <c r="X318" s="3" t="n"/>
      <c r="Y318" s="3" t="inlineStr">
        <is>
          <t>Use the recommended action generated by the model; validate with domain owner during real assessment.</t>
        </is>
      </c>
      <c r="Z318" s="7" t="n">
        <v>5</v>
      </c>
      <c r="AA318" s="7" t="n">
        <v>5</v>
      </c>
      <c r="AB318" s="7" t="n">
        <v>5</v>
      </c>
      <c r="AK318" s="46" t="n"/>
      <c r="AL318" s="46" t="n"/>
      <c r="AM318" s="247">
        <f>_DATA_Assessment_Model!AJ318</f>
        <v/>
      </c>
      <c r="AN318" s="247">
        <f>_DATA_Assessment_Model!AK318</f>
        <v/>
      </c>
      <c r="AO318" s="247">
        <f>_DATA_Assessment_Model!AL318</f>
        <v/>
      </c>
      <c r="AP318" s="247">
        <f>_DATA_Assessment_Model!AM318</f>
        <v/>
      </c>
      <c r="AQ318" s="247">
        <f>_DATA_Assessment_Model!AN318</f>
        <v/>
      </c>
      <c r="AR318" s="247">
        <f>_DATA_Assessment_Model!AO318</f>
        <v/>
      </c>
      <c r="AS318" s="247">
        <f>_DATA_Assessment_Model!AP318</f>
        <v/>
      </c>
      <c r="AT318" s="247">
        <f>_DATA_Assessment_Model!AQ318</f>
        <v/>
      </c>
      <c r="AU318" s="247">
        <f>_DATA_Assessment_Model!AR318</f>
        <v/>
      </c>
      <c r="AV318" s="5">
        <f>_DATA_Assessment_Model!AS318</f>
        <v/>
      </c>
      <c r="AW318" s="5">
        <f>_DATA_Assessment_Model!AT318</f>
        <v/>
      </c>
      <c r="AY318">
        <f>_DATA_Assessment_Model!AV318</f>
        <v/>
      </c>
    </row>
    <row r="319" ht="69" customHeight="1" s="209">
      <c r="A319" t="inlineStr">
        <is>
          <t>IT Cloud DR</t>
        </is>
      </c>
      <c r="B319" t="inlineStr">
        <is>
          <t>IT Cloud DR</t>
        </is>
      </c>
      <c r="C319" t="n">
        <v>27</v>
      </c>
      <c r="D319" s="3" t="inlineStr">
        <is>
          <t>ITCL-024</t>
        </is>
      </c>
      <c r="E319" s="3" t="inlineStr">
        <is>
          <t>Operations</t>
        </is>
      </c>
      <c r="F319" s="3" t="inlineStr">
        <is>
          <t>How mature is the organization in managing license continuity for software, cloud services and critical SaaS tools, including ownership, evidence, metrics, fallback procedures and crisis stress testing?</t>
        </is>
      </c>
      <c r="G319" s="3" t="inlineStr">
        <is>
          <t>This topic affects exposure to IT outage; Cloud outage; Data loss; Cyberattack. It helps identify how disruption may impact operations, people, revenue, systems, legal exposure or recovery time.</t>
        </is>
      </c>
      <c r="H319" s="3" t="inlineStr">
        <is>
          <t>ISO/IEC 27001; ISO/IEC 20000-1; NIST CSF 2.0; NIST SP 800-34; COBIT; ITIL 4; FinOps</t>
        </is>
      </c>
      <c r="I319" s="3" t="inlineStr">
        <is>
          <t>Policy/SOP; owner/RACI; system report; dashboard; contracts; test records; incident history; interview evidence related to license continuity for software, cloud services and critical SaaS tools.</t>
        </is>
      </c>
      <c r="J319" s="3" t="n">
        <v>5</v>
      </c>
      <c r="K319" s="85">
        <f>_DATA_Assessment_Model!H319</f>
        <v/>
      </c>
      <c r="L319" s="4">
        <f>_DATA_Assessment_Model!I319</f>
        <v/>
      </c>
      <c r="M319" s="4">
        <f>_DATA_Assessment_Model!J319</f>
        <v/>
      </c>
      <c r="N319" s="4">
        <f>_DATA_Assessment_Model!K319</f>
        <v/>
      </c>
      <c r="O319" s="3">
        <f>_DATA_Assessment_Model!L319</f>
        <v/>
      </c>
      <c r="P319" s="3" t="inlineStr">
        <is>
          <t>Does not exist; no owner, no documentation, no practice.</t>
        </is>
      </c>
      <c r="Q319" s="3" t="inlineStr">
        <is>
          <t>Ad hoc; depends entirely on specific individuals.</t>
        </is>
      </c>
      <c r="R319" s="3" t="inlineStr">
        <is>
          <t>Partially documented or implemented; coverage inconsistent; never tested under stress.</t>
        </is>
      </c>
      <c r="S319" s="3" t="inlineStr">
        <is>
          <t>Documented, owned, executed consistently; basic evidence and metrics exist.</t>
        </is>
      </c>
      <c r="T319" s="3" t="inlineStr">
        <is>
          <t>Measured and periodically tested/audited; integrated with adjacent processes.</t>
        </is>
      </c>
      <c r="U319" s="3" t="inlineStr">
        <is>
          <t>Optimized and automated where practical; stress-tested; benchmarked externally.</t>
        </is>
      </c>
      <c r="V319" s="3" t="inlineStr">
        <is>
          <t>IT outage; Cloud outage; Data loss; Cyberattack</t>
        </is>
      </c>
      <c r="W319" s="3" t="n"/>
      <c r="X319" s="3" t="n"/>
      <c r="Y319" s="3" t="inlineStr">
        <is>
          <t>Use the recommended action generated by the model; validate with domain owner during real assessment.</t>
        </is>
      </c>
      <c r="Z319" s="7" t="n">
        <v>5</v>
      </c>
      <c r="AA319" s="7" t="n">
        <v>5</v>
      </c>
      <c r="AB319" s="7" t="n">
        <v>5</v>
      </c>
      <c r="AK319" s="46" t="n"/>
      <c r="AL319" s="46" t="n"/>
      <c r="AM319" s="247">
        <f>_DATA_Assessment_Model!AJ319</f>
        <v/>
      </c>
      <c r="AN319" s="247">
        <f>_DATA_Assessment_Model!AK319</f>
        <v/>
      </c>
      <c r="AO319" s="247">
        <f>_DATA_Assessment_Model!AL319</f>
        <v/>
      </c>
      <c r="AP319" s="247">
        <f>_DATA_Assessment_Model!AM319</f>
        <v/>
      </c>
      <c r="AQ319" s="247">
        <f>_DATA_Assessment_Model!AN319</f>
        <v/>
      </c>
      <c r="AR319" s="247">
        <f>_DATA_Assessment_Model!AO319</f>
        <v/>
      </c>
      <c r="AS319" s="247">
        <f>_DATA_Assessment_Model!AP319</f>
        <v/>
      </c>
      <c r="AT319" s="247">
        <f>_DATA_Assessment_Model!AQ319</f>
        <v/>
      </c>
      <c r="AU319" s="247">
        <f>_DATA_Assessment_Model!AR319</f>
        <v/>
      </c>
      <c r="AV319" s="5">
        <f>_DATA_Assessment_Model!AS319</f>
        <v/>
      </c>
      <c r="AW319" s="5">
        <f>_DATA_Assessment_Model!AT319</f>
        <v/>
      </c>
      <c r="AY319">
        <f>_DATA_Assessment_Model!AV319</f>
        <v/>
      </c>
    </row>
    <row r="320" ht="82.8" customHeight="1" s="209">
      <c r="A320" t="inlineStr">
        <is>
          <t>IT Cloud DR</t>
        </is>
      </c>
      <c r="B320" t="inlineStr">
        <is>
          <t>IT Cloud DR</t>
        </is>
      </c>
      <c r="C320" t="n">
        <v>28</v>
      </c>
      <c r="D320" s="3" t="inlineStr">
        <is>
          <t>ITCL-025</t>
        </is>
      </c>
      <c r="E320" s="3" t="inlineStr">
        <is>
          <t>SaaS and integrations</t>
        </is>
      </c>
      <c r="F320" s="3" t="inlineStr">
        <is>
          <t>How mature is the organization in managing critical SaaS assessment for availability, export, backup, admin access, integrations and contract continuity, including ownership, evidence, metrics, fallback procedures and crisis stress testing?</t>
        </is>
      </c>
      <c r="G320" s="3" t="inlineStr">
        <is>
          <t>This topic affects exposure to IT outage; Cloud outage; Data loss; Cyberattack. It helps identify how disruption may impact operations, people, revenue, systems, legal exposure or recovery time.</t>
        </is>
      </c>
      <c r="H320" s="3" t="inlineStr">
        <is>
          <t>ISO/IEC 27001; ISO/IEC 20000-1; NIST CSF 2.0; NIST SP 800-34; COBIT; ITIL 4; FinOps</t>
        </is>
      </c>
      <c r="I320" s="3" t="inlineStr">
        <is>
          <t>Policy/SOP; owner/RACI; system report; dashboard; contracts; test records; incident history; interview evidence related to critical SaaS assessment for availability, export, backup, admin access, integrations and contract continuity.</t>
        </is>
      </c>
      <c r="J320" s="3" t="n">
        <v>5</v>
      </c>
      <c r="K320" s="85">
        <f>_DATA_Assessment_Model!H320</f>
        <v/>
      </c>
      <c r="L320" s="4">
        <f>_DATA_Assessment_Model!I320</f>
        <v/>
      </c>
      <c r="M320" s="4">
        <f>_DATA_Assessment_Model!J320</f>
        <v/>
      </c>
      <c r="N320" s="4">
        <f>_DATA_Assessment_Model!K320</f>
        <v/>
      </c>
      <c r="O320" s="3">
        <f>_DATA_Assessment_Model!L320</f>
        <v/>
      </c>
      <c r="P320" s="3" t="inlineStr">
        <is>
          <t>Does not exist; no owner, no documentation, no practice.</t>
        </is>
      </c>
      <c r="Q320" s="3" t="inlineStr">
        <is>
          <t>Ad hoc; depends entirely on specific individuals.</t>
        </is>
      </c>
      <c r="R320" s="3" t="inlineStr">
        <is>
          <t>Partially documented or implemented; coverage inconsistent; never tested under stress.</t>
        </is>
      </c>
      <c r="S320" s="3" t="inlineStr">
        <is>
          <t>Documented, owned, executed consistently; basic evidence and metrics exist.</t>
        </is>
      </c>
      <c r="T320" s="3" t="inlineStr">
        <is>
          <t>Measured and periodically tested/audited; integrated with adjacent processes.</t>
        </is>
      </c>
      <c r="U320" s="3" t="inlineStr">
        <is>
          <t>Optimized and automated where practical; stress-tested; benchmarked externally.</t>
        </is>
      </c>
      <c r="V320" s="3" t="inlineStr">
        <is>
          <t>IT outage; Cloud outage; Data loss; Cyberattack</t>
        </is>
      </c>
      <c r="W320" s="3" t="n"/>
      <c r="X320" s="3" t="n"/>
      <c r="Y320" s="3" t="inlineStr">
        <is>
          <t>Use the recommended action generated by the model; validate with domain owner during real assessment.</t>
        </is>
      </c>
      <c r="Z320" s="7" t="n">
        <v>5</v>
      </c>
      <c r="AA320" s="7" t="n">
        <v>5</v>
      </c>
      <c r="AB320" s="7" t="n">
        <v>5</v>
      </c>
      <c r="AK320" s="46" t="n"/>
      <c r="AL320" s="46" t="n"/>
      <c r="AM320" s="247">
        <f>_DATA_Assessment_Model!AJ320</f>
        <v/>
      </c>
      <c r="AN320" s="247">
        <f>_DATA_Assessment_Model!AK320</f>
        <v/>
      </c>
      <c r="AO320" s="247">
        <f>_DATA_Assessment_Model!AL320</f>
        <v/>
      </c>
      <c r="AP320" s="247">
        <f>_DATA_Assessment_Model!AM320</f>
        <v/>
      </c>
      <c r="AQ320" s="247">
        <f>_DATA_Assessment_Model!AN320</f>
        <v/>
      </c>
      <c r="AR320" s="247">
        <f>_DATA_Assessment_Model!AO320</f>
        <v/>
      </c>
      <c r="AS320" s="247">
        <f>_DATA_Assessment_Model!AP320</f>
        <v/>
      </c>
      <c r="AT320" s="247">
        <f>_DATA_Assessment_Model!AQ320</f>
        <v/>
      </c>
      <c r="AU320" s="247">
        <f>_DATA_Assessment_Model!AR320</f>
        <v/>
      </c>
      <c r="AV320" s="5">
        <f>_DATA_Assessment_Model!AS320</f>
        <v/>
      </c>
      <c r="AW320" s="5">
        <f>_DATA_Assessment_Model!AT320</f>
        <v/>
      </c>
      <c r="AY320">
        <f>_DATA_Assessment_Model!AV320</f>
        <v/>
      </c>
    </row>
    <row r="321" ht="69" customHeight="1" s="209">
      <c r="A321" t="inlineStr">
        <is>
          <t>IT Cloud DR</t>
        </is>
      </c>
      <c r="B321" t="inlineStr">
        <is>
          <t>IT Cloud DR</t>
        </is>
      </c>
      <c r="C321" t="n">
        <v>29</v>
      </c>
      <c r="D321" s="3" t="inlineStr">
        <is>
          <t>ITCL-026</t>
        </is>
      </c>
      <c r="E321" s="3" t="inlineStr">
        <is>
          <t>SaaS and integrations</t>
        </is>
      </c>
      <c r="F321" s="3" t="inlineStr">
        <is>
          <t>How mature is the organization in managing SaaS data backup or exportability if provider or account becomes unavailable, including ownership, evidence, metrics, fallback procedures and crisis stress testing?</t>
        </is>
      </c>
      <c r="G321" s="3" t="inlineStr">
        <is>
          <t>This topic affects exposure to IT outage; Cloud outage; Data loss; Cyberattack. It helps identify how disruption may impact operations, people, revenue, systems, legal exposure or recovery time.</t>
        </is>
      </c>
      <c r="H321" s="3" t="inlineStr">
        <is>
          <t>ISO/IEC 27001; ISO/IEC 20000-1; NIST CSF 2.0; NIST SP 800-34; COBIT; ITIL 4; FinOps</t>
        </is>
      </c>
      <c r="I321" s="3" t="inlineStr">
        <is>
          <t>Policy/SOP; owner/RACI; system report; dashboard; contracts; test records; incident history; interview evidence related to SaaS data backup or exportability if provider or account becomes unavailable.</t>
        </is>
      </c>
      <c r="J321" s="3" t="n">
        <v>5</v>
      </c>
      <c r="K321" s="85">
        <f>_DATA_Assessment_Model!H321</f>
        <v/>
      </c>
      <c r="L321" s="4">
        <f>_DATA_Assessment_Model!I321</f>
        <v/>
      </c>
      <c r="M321" s="4">
        <f>_DATA_Assessment_Model!J321</f>
        <v/>
      </c>
      <c r="N321" s="4">
        <f>_DATA_Assessment_Model!K321</f>
        <v/>
      </c>
      <c r="O321" s="3">
        <f>_DATA_Assessment_Model!L321</f>
        <v/>
      </c>
      <c r="P321" s="3" t="inlineStr">
        <is>
          <t>Does not exist; no owner, no documentation, no practice.</t>
        </is>
      </c>
      <c r="Q321" s="3" t="inlineStr">
        <is>
          <t>Ad hoc; depends entirely on specific individuals.</t>
        </is>
      </c>
      <c r="R321" s="3" t="inlineStr">
        <is>
          <t>Partially documented or implemented; coverage inconsistent; never tested under stress.</t>
        </is>
      </c>
      <c r="S321" s="3" t="inlineStr">
        <is>
          <t>Documented, owned, executed consistently; basic evidence and metrics exist.</t>
        </is>
      </c>
      <c r="T321" s="3" t="inlineStr">
        <is>
          <t>Measured and periodically tested/audited; integrated with adjacent processes.</t>
        </is>
      </c>
      <c r="U321" s="3" t="inlineStr">
        <is>
          <t>Optimized and automated where practical; stress-tested; benchmarked externally.</t>
        </is>
      </c>
      <c r="V321" s="3" t="inlineStr">
        <is>
          <t>IT outage; Cloud outage; Data loss; Cyberattack</t>
        </is>
      </c>
      <c r="W321" s="3" t="n"/>
      <c r="X321" s="3" t="n"/>
      <c r="Y321" s="3" t="inlineStr">
        <is>
          <t>Use the recommended action generated by the model; validate with domain owner during real assessment.</t>
        </is>
      </c>
      <c r="Z321" s="7" t="n">
        <v>5</v>
      </c>
      <c r="AA321" s="7" t="n">
        <v>5</v>
      </c>
      <c r="AB321" s="7" t="n">
        <v>5</v>
      </c>
      <c r="AK321" s="46" t="n"/>
      <c r="AL321" s="46" t="n"/>
      <c r="AM321" s="247">
        <f>_DATA_Assessment_Model!AJ321</f>
        <v/>
      </c>
      <c r="AN321" s="247">
        <f>_DATA_Assessment_Model!AK321</f>
        <v/>
      </c>
      <c r="AO321" s="247">
        <f>_DATA_Assessment_Model!AL321</f>
        <v/>
      </c>
      <c r="AP321" s="247">
        <f>_DATA_Assessment_Model!AM321</f>
        <v/>
      </c>
      <c r="AQ321" s="247">
        <f>_DATA_Assessment_Model!AN321</f>
        <v/>
      </c>
      <c r="AR321" s="247">
        <f>_DATA_Assessment_Model!AO321</f>
        <v/>
      </c>
      <c r="AS321" s="247">
        <f>_DATA_Assessment_Model!AP321</f>
        <v/>
      </c>
      <c r="AT321" s="247">
        <f>_DATA_Assessment_Model!AQ321</f>
        <v/>
      </c>
      <c r="AU321" s="247">
        <f>_DATA_Assessment_Model!AR321</f>
        <v/>
      </c>
      <c r="AV321" s="5">
        <f>_DATA_Assessment_Model!AS321</f>
        <v/>
      </c>
      <c r="AW321" s="5">
        <f>_DATA_Assessment_Model!AT321</f>
        <v/>
      </c>
      <c r="AY321">
        <f>_DATA_Assessment_Model!AV321</f>
        <v/>
      </c>
    </row>
    <row r="322" ht="82.8" customHeight="1" s="209">
      <c r="A322" t="inlineStr">
        <is>
          <t>IT Cloud DR</t>
        </is>
      </c>
      <c r="B322" t="inlineStr">
        <is>
          <t>IT Cloud DR</t>
        </is>
      </c>
      <c r="C322" t="n">
        <v>30</v>
      </c>
      <c r="D322" s="3" t="inlineStr">
        <is>
          <t>ITCL-027</t>
        </is>
      </c>
      <c r="E322" s="3" t="inlineStr">
        <is>
          <t>SaaS and integrations</t>
        </is>
      </c>
      <c r="F322" s="3" t="inlineStr">
        <is>
          <t>How mature is the organization in managing API, ETL, middleware, file exchange and manual integration catalog, including ownership, evidence, metrics, fallback procedures and crisis stress testing?</t>
        </is>
      </c>
      <c r="G322" s="3" t="inlineStr">
        <is>
          <t>This topic affects exposure to IT outage; Cloud outage; Data loss; Cyberattack. It helps identify how disruption may impact operations, people, revenue, systems, legal exposure or recovery time.</t>
        </is>
      </c>
      <c r="H322" s="3" t="inlineStr">
        <is>
          <t>ISO/IEC 27001; ISO/IEC 20000-1; NIST CSF 2.0; NIST SP 800-34; COBIT; ITIL 4; FinOps</t>
        </is>
      </c>
      <c r="I322" s="3" t="inlineStr">
        <is>
          <t>Policy/SOP; owner/RACI; system report; dashboard; contracts; test records; incident history; interview evidence related to API, ETL, middleware, file exchange and manual integration catalog.</t>
        </is>
      </c>
      <c r="J322" s="3" t="n">
        <v>3</v>
      </c>
      <c r="K322" s="85">
        <f>_DATA_Assessment_Model!H322</f>
        <v/>
      </c>
      <c r="L322" s="4">
        <f>_DATA_Assessment_Model!I322</f>
        <v/>
      </c>
      <c r="M322" s="4">
        <f>_DATA_Assessment_Model!J322</f>
        <v/>
      </c>
      <c r="N322" s="4">
        <f>_DATA_Assessment_Model!K322</f>
        <v/>
      </c>
      <c r="O322" s="3">
        <f>_DATA_Assessment_Model!L322</f>
        <v/>
      </c>
      <c r="P322" s="3" t="inlineStr">
        <is>
          <t>No reliable evidence that api, etl, middleware, file exchange and manual integration catalog is defined, owned or managed.</t>
        </is>
      </c>
      <c r="Q322" s="3" t="inlineStr">
        <is>
          <t>API, ETL, middleware, file exchange and manual integration catalog is handled informally and depends on individual knowledge or heroic effort.</t>
        </is>
      </c>
      <c r="R322" s="3" t="inlineStr">
        <is>
          <t>API, ETL, middleware, file exchange and manual integration catalog is partially documented or implemented, but coverage is inconsistent and not crisis-tested.</t>
        </is>
      </c>
      <c r="S322" s="3" t="inlineStr">
        <is>
          <t>API, ETL, middleware, file exchange and manual integration catalog is documented, owned, used in normal operations and supported by basic evidence or metrics.</t>
        </is>
      </c>
      <c r="T322" s="3" t="inlineStr">
        <is>
          <t>API, ETL, middleware, file exchange and manual integration catalog is measured, periodically reviewed, integrated with related processes and tested against relevant disruption scenarios.</t>
        </is>
      </c>
      <c r="U322" s="3" t="inlineStr">
        <is>
          <t>API, ETL, middleware, file exchange and manual integration catalog is optimized, continuously improved, automated where practical and demonstrably supports crisis resilience.</t>
        </is>
      </c>
      <c r="V322" s="3" t="inlineStr">
        <is>
          <t>IT outage; Cloud outage; Data loss; Cyberattack</t>
        </is>
      </c>
      <c r="W322" s="3" t="n"/>
      <c r="X322" s="3" t="n"/>
      <c r="Y322" s="3" t="inlineStr">
        <is>
          <t>Use the recommended action generated by the model; validate with domain owner during real assessment.</t>
        </is>
      </c>
      <c r="Z322" s="7" t="n">
        <v>5</v>
      </c>
      <c r="AA322" s="7" t="n">
        <v>5</v>
      </c>
      <c r="AB322" s="7" t="n">
        <v>5</v>
      </c>
      <c r="AK322" s="46" t="n"/>
      <c r="AL322" s="46" t="n"/>
      <c r="AM322" s="247">
        <f>_DATA_Assessment_Model!AJ322</f>
        <v/>
      </c>
      <c r="AN322" s="247">
        <f>_DATA_Assessment_Model!AK322</f>
        <v/>
      </c>
      <c r="AO322" s="247">
        <f>_DATA_Assessment_Model!AL322</f>
        <v/>
      </c>
      <c r="AP322" s="247">
        <f>_DATA_Assessment_Model!AM322</f>
        <v/>
      </c>
      <c r="AQ322" s="247">
        <f>_DATA_Assessment_Model!AN322</f>
        <v/>
      </c>
      <c r="AR322" s="247">
        <f>_DATA_Assessment_Model!AO322</f>
        <v/>
      </c>
      <c r="AS322" s="247">
        <f>_DATA_Assessment_Model!AP322</f>
        <v/>
      </c>
      <c r="AT322" s="247">
        <f>_DATA_Assessment_Model!AQ322</f>
        <v/>
      </c>
      <c r="AU322" s="247">
        <f>_DATA_Assessment_Model!AR322</f>
        <v/>
      </c>
      <c r="AV322" s="5">
        <f>_DATA_Assessment_Model!AS322</f>
        <v/>
      </c>
      <c r="AW322" s="5">
        <f>_DATA_Assessment_Model!AT322</f>
        <v/>
      </c>
      <c r="AY322">
        <f>_DATA_Assessment_Model!AV322</f>
        <v/>
      </c>
    </row>
    <row r="323" ht="96.59999999999999" customHeight="1" s="209">
      <c r="A323" t="inlineStr">
        <is>
          <t>IT Cloud DR</t>
        </is>
      </c>
      <c r="B323" t="inlineStr">
        <is>
          <t>IT Cloud DR</t>
        </is>
      </c>
      <c r="C323" t="n">
        <v>31</v>
      </c>
      <c r="D323" s="3" t="inlineStr">
        <is>
          <t>ITCL-028</t>
        </is>
      </c>
      <c r="E323" s="3" t="inlineStr">
        <is>
          <t>SaaS and integrations</t>
        </is>
      </c>
      <c r="F323" s="3" t="inlineStr">
        <is>
          <t>How mature is the organization in managing integration monitoring, retry, queue, reconciliation and fallback procedures, including ownership, evidence, metrics, fallback procedures and crisis stress testing?</t>
        </is>
      </c>
      <c r="G323" s="3" t="inlineStr">
        <is>
          <t>This topic affects exposure to IT outage; Cloud outage; Data loss; Cyberattack. It helps identify how disruption may impact operations, people, revenue, systems, legal exposure or recovery time.</t>
        </is>
      </c>
      <c r="H323" s="3" t="inlineStr">
        <is>
          <t>ISO/IEC 27001; ISO/IEC 20000-1; NIST CSF 2.0; NIST SP 800-34; COBIT; ITIL 4; FinOps</t>
        </is>
      </c>
      <c r="I323" s="3" t="inlineStr">
        <is>
          <t>Policy/SOP; owner/RACI; system report; dashboard; contracts; test records; incident history; interview evidence related to integration monitoring, retry, queue, reconciliation and fallback procedures.</t>
        </is>
      </c>
      <c r="J323" s="3" t="n">
        <v>3</v>
      </c>
      <c r="K323" s="85">
        <f>_DATA_Assessment_Model!H323</f>
        <v/>
      </c>
      <c r="L323" s="4">
        <f>_DATA_Assessment_Model!I323</f>
        <v/>
      </c>
      <c r="M323" s="4">
        <f>_DATA_Assessment_Model!J323</f>
        <v/>
      </c>
      <c r="N323" s="4">
        <f>_DATA_Assessment_Model!K323</f>
        <v/>
      </c>
      <c r="O323" s="3">
        <f>_DATA_Assessment_Model!L323</f>
        <v/>
      </c>
      <c r="P323" s="3" t="inlineStr">
        <is>
          <t>No reliable evidence that integration monitoring, retry, queue, reconciliation and fallback procedures is defined, owned or managed.</t>
        </is>
      </c>
      <c r="Q323" s="3" t="inlineStr">
        <is>
          <t>Integration monitoring, retry, queue, reconciliation and fallback procedures is handled informally and depends on individual knowledge or heroic effort.</t>
        </is>
      </c>
      <c r="R323" s="3" t="inlineStr">
        <is>
          <t>Integration monitoring, retry, queue, reconciliation and fallback procedures is partially documented or implemented, but coverage is inconsistent and not crisis-tested.</t>
        </is>
      </c>
      <c r="S323" s="3" t="inlineStr">
        <is>
          <t>Integration monitoring, retry, queue, reconciliation and fallback procedures is documented, owned, used in normal operations and supported by basic evidence or metrics.</t>
        </is>
      </c>
      <c r="T323" s="3" t="inlineStr">
        <is>
          <t>Integration monitoring, retry, queue, reconciliation and fallback procedures is measured, periodically reviewed, integrated with related processes and tested against relevant disruption scenarios.</t>
        </is>
      </c>
      <c r="U323" s="3" t="inlineStr">
        <is>
          <t>Integration monitoring, retry, queue, reconciliation and fallback procedures is optimized, continuously improved, automated where practical and demonstrably supports crisis resilience.</t>
        </is>
      </c>
      <c r="V323" s="3" t="inlineStr">
        <is>
          <t>IT outage; Cloud outage; Data loss; Cyberattack</t>
        </is>
      </c>
      <c r="W323" s="3" t="n"/>
      <c r="X323" s="3" t="n"/>
      <c r="Y323" s="3" t="inlineStr">
        <is>
          <t>Use the recommended action generated by the model; validate with domain owner during real assessment.</t>
        </is>
      </c>
      <c r="Z323" s="7" t="n">
        <v>5</v>
      </c>
      <c r="AA323" s="7" t="n">
        <v>5</v>
      </c>
      <c r="AB323" s="7" t="n">
        <v>5</v>
      </c>
      <c r="AK323" s="46" t="n"/>
      <c r="AL323" s="46" t="n"/>
      <c r="AM323" s="247">
        <f>_DATA_Assessment_Model!AJ323</f>
        <v/>
      </c>
      <c r="AN323" s="247">
        <f>_DATA_Assessment_Model!AK323</f>
        <v/>
      </c>
      <c r="AO323" s="247">
        <f>_DATA_Assessment_Model!AL323</f>
        <v/>
      </c>
      <c r="AP323" s="247">
        <f>_DATA_Assessment_Model!AM323</f>
        <v/>
      </c>
      <c r="AQ323" s="247">
        <f>_DATA_Assessment_Model!AN323</f>
        <v/>
      </c>
      <c r="AR323" s="247">
        <f>_DATA_Assessment_Model!AO323</f>
        <v/>
      </c>
      <c r="AS323" s="247">
        <f>_DATA_Assessment_Model!AP323</f>
        <v/>
      </c>
      <c r="AT323" s="247">
        <f>_DATA_Assessment_Model!AQ323</f>
        <v/>
      </c>
      <c r="AU323" s="247">
        <f>_DATA_Assessment_Model!AR323</f>
        <v/>
      </c>
      <c r="AV323" s="5">
        <f>_DATA_Assessment_Model!AS323</f>
        <v/>
      </c>
      <c r="AW323" s="5">
        <f>_DATA_Assessment_Model!AT323</f>
        <v/>
      </c>
      <c r="AY323">
        <f>_DATA_Assessment_Model!AV323</f>
        <v/>
      </c>
    </row>
    <row r="324" ht="69" customHeight="1" s="209">
      <c r="A324" t="inlineStr">
        <is>
          <t>IT Cloud DR</t>
        </is>
      </c>
      <c r="B324" t="inlineStr">
        <is>
          <t>IT Cloud DR</t>
        </is>
      </c>
      <c r="C324" t="n">
        <v>32</v>
      </c>
      <c r="D324" s="3" t="inlineStr">
        <is>
          <t>ITCL-029</t>
        </is>
      </c>
      <c r="E324" s="3" t="inlineStr">
        <is>
          <t>SaaS and integrations</t>
        </is>
      </c>
      <c r="F324" s="3" t="inlineStr">
        <is>
          <t>How mature is the organization in managing configuration management and version control for infrastructure, cloud and applications, including ownership, evidence, metrics, fallback procedures and crisis stress testing?</t>
        </is>
      </c>
      <c r="G324" s="3" t="inlineStr">
        <is>
          <t>This topic affects exposure to IT outage; Cloud outage; Data loss; Cyberattack. It helps identify how disruption may impact operations, people, revenue, systems, legal exposure or recovery time.</t>
        </is>
      </c>
      <c r="H324" s="3" t="inlineStr">
        <is>
          <t>ISO/IEC 27001; ISO/IEC 20000-1; NIST CSF 2.0; NIST SP 800-34; COBIT; ITIL 4; FinOps</t>
        </is>
      </c>
      <c r="I324" s="3" t="inlineStr">
        <is>
          <t>Policy/SOP; owner/RACI; system report; dashboard; contracts; test records; incident history; interview evidence related to configuration management and version control for infrastructure, cloud and applications.</t>
        </is>
      </c>
      <c r="J324" s="3" t="n">
        <v>5</v>
      </c>
      <c r="K324" s="85">
        <f>_DATA_Assessment_Model!H324</f>
        <v/>
      </c>
      <c r="L324" s="4">
        <f>_DATA_Assessment_Model!I324</f>
        <v/>
      </c>
      <c r="M324" s="4">
        <f>_DATA_Assessment_Model!J324</f>
        <v/>
      </c>
      <c r="N324" s="4">
        <f>_DATA_Assessment_Model!K324</f>
        <v/>
      </c>
      <c r="O324" s="3">
        <f>_DATA_Assessment_Model!L324</f>
        <v/>
      </c>
      <c r="P324" s="3" t="inlineStr">
        <is>
          <t>Does not exist; no owner, no documentation, no practice.</t>
        </is>
      </c>
      <c r="Q324" s="3" t="inlineStr">
        <is>
          <t>Ad hoc; depends entirely on specific individuals.</t>
        </is>
      </c>
      <c r="R324" s="3" t="inlineStr">
        <is>
          <t>Partially documented or implemented; coverage inconsistent; never tested under stress.</t>
        </is>
      </c>
      <c r="S324" s="3" t="inlineStr">
        <is>
          <t>Documented, owned, executed consistently; basic evidence and metrics exist.</t>
        </is>
      </c>
      <c r="T324" s="3" t="inlineStr">
        <is>
          <t>Measured and periodically tested/audited; integrated with adjacent processes.</t>
        </is>
      </c>
      <c r="U324" s="3" t="inlineStr">
        <is>
          <t>Optimized and automated where practical; stress-tested; benchmarked externally.</t>
        </is>
      </c>
      <c r="V324" s="3" t="inlineStr">
        <is>
          <t>IT outage; Cloud outage; Data loss; Cyberattack</t>
        </is>
      </c>
      <c r="W324" s="3" t="n"/>
      <c r="X324" s="3" t="n"/>
      <c r="Y324" s="3" t="inlineStr">
        <is>
          <t>Use the recommended action generated by the model; validate with domain owner during real assessment.</t>
        </is>
      </c>
      <c r="Z324" s="7" t="n">
        <v>5</v>
      </c>
      <c r="AA324" s="7" t="n">
        <v>5</v>
      </c>
      <c r="AB324" s="7" t="n">
        <v>5</v>
      </c>
      <c r="AK324" s="46" t="n"/>
      <c r="AL324" s="46" t="n"/>
      <c r="AM324" s="247">
        <f>_DATA_Assessment_Model!AJ324</f>
        <v/>
      </c>
      <c r="AN324" s="247">
        <f>_DATA_Assessment_Model!AK324</f>
        <v/>
      </c>
      <c r="AO324" s="247">
        <f>_DATA_Assessment_Model!AL324</f>
        <v/>
      </c>
      <c r="AP324" s="247">
        <f>_DATA_Assessment_Model!AM324</f>
        <v/>
      </c>
      <c r="AQ324" s="247">
        <f>_DATA_Assessment_Model!AN324</f>
        <v/>
      </c>
      <c r="AR324" s="247">
        <f>_DATA_Assessment_Model!AO324</f>
        <v/>
      </c>
      <c r="AS324" s="247">
        <f>_DATA_Assessment_Model!AP324</f>
        <v/>
      </c>
      <c r="AT324" s="247">
        <f>_DATA_Assessment_Model!AQ324</f>
        <v/>
      </c>
      <c r="AU324" s="247">
        <f>_DATA_Assessment_Model!AR324</f>
        <v/>
      </c>
      <c r="AV324" s="5">
        <f>_DATA_Assessment_Model!AS324</f>
        <v/>
      </c>
      <c r="AW324" s="5">
        <f>_DATA_Assessment_Model!AT324</f>
        <v/>
      </c>
      <c r="AY324">
        <f>_DATA_Assessment_Model!AV324</f>
        <v/>
      </c>
    </row>
    <row r="325" ht="82.8" customHeight="1" s="209">
      <c r="A325" t="inlineStr">
        <is>
          <t>Business Systems</t>
        </is>
      </c>
      <c r="B325" t="inlineStr">
        <is>
          <t>Business Systems</t>
        </is>
      </c>
      <c r="C325" t="n">
        <v>5</v>
      </c>
      <c r="D325" s="3" t="inlineStr">
        <is>
          <t>BUSI-001</t>
        </is>
      </c>
      <c r="E325" s="3" t="inlineStr">
        <is>
          <t>ERP</t>
        </is>
      </c>
      <c r="F325" s="3" t="inlineStr">
        <is>
          <t>How mature is the organization in managing ERP process coverage for finance, procurement, inventory, orders, production or project accounting, including ownership, evidence, metrics, fallback procedures and crisis stress testing?</t>
        </is>
      </c>
      <c r="G325" s="3" t="inlineStr">
        <is>
          <t>This topic affects exposure to IT outage; Decision failure; Process disruption. It helps identify how disruption may impact operations, people, revenue, systems, legal exposure or recovery time.</t>
        </is>
      </c>
      <c r="H325" s="3" t="inlineStr">
        <is>
          <t>COBIT; ITIL 4; ISO/IEC 27001; ISO/IEC 20000-1; ERP/CRM/MES/HRMS implementation practices</t>
        </is>
      </c>
      <c r="I325" s="3" t="inlineStr">
        <is>
          <t>Policy/SOP; owner/RACI; system report; dashboard; contracts; test records; incident history; interview evidence related to ERP process coverage for finance, procurement, inventory, orders, production or project accounting.</t>
        </is>
      </c>
      <c r="J325" s="3" t="n">
        <v>5</v>
      </c>
      <c r="K325" s="85">
        <f>_DATA_Assessment_Model!H325</f>
        <v/>
      </c>
      <c r="L325" s="4">
        <f>_DATA_Assessment_Model!I325</f>
        <v/>
      </c>
      <c r="M325" s="4">
        <f>_DATA_Assessment_Model!J325</f>
        <v/>
      </c>
      <c r="N325" s="4">
        <f>_DATA_Assessment_Model!K325</f>
        <v/>
      </c>
      <c r="O325" s="3">
        <f>_DATA_Assessment_Model!L325</f>
        <v/>
      </c>
      <c r="P325" s="3" t="inlineStr">
        <is>
          <t>No inventory/register exists.</t>
        </is>
      </c>
      <c r="Q325" s="3" t="inlineStr">
        <is>
          <t>Partial lists live in individuals' heads or personal files.</t>
        </is>
      </c>
      <c r="R325" s="3" t="inlineStr">
        <is>
          <t>A register exists but is incomplete or outdated (&gt;1 year) and has no owner.</t>
        </is>
      </c>
      <c r="S325" s="3" t="inlineStr">
        <is>
          <t>Owned, documented, updated on a defined schedule, covers the main scope.</t>
        </is>
      </c>
      <c r="T325" s="3" t="inlineStr">
        <is>
          <t>Complete and periodically reviewed; integrated with related processes; completeness measured.</t>
        </is>
      </c>
      <c r="U325" s="3" t="inlineStr">
        <is>
          <t>Maintained automatically or synced with systems; drives decisions; audited.</t>
        </is>
      </c>
      <c r="V325" s="3" t="inlineStr">
        <is>
          <t>IT outage; Decision failure; Process disruption</t>
        </is>
      </c>
      <c r="W325" s="3" t="n"/>
      <c r="X325" s="3" t="n"/>
      <c r="Y325" s="3" t="inlineStr">
        <is>
          <t>Use the recommended action generated by the model; validate with domain owner during real assessment.</t>
        </is>
      </c>
      <c r="Z325" s="7" t="n">
        <v>5</v>
      </c>
      <c r="AA325" s="7" t="n">
        <v>5</v>
      </c>
      <c r="AB325" s="7" t="n">
        <v>5</v>
      </c>
      <c r="AD325" t="inlineStr">
        <is>
          <t>ERP</t>
        </is>
      </c>
      <c r="AE325" s="6">
        <f>_DATA_Assessment_Model!AB325</f>
        <v/>
      </c>
      <c r="AF325" s="8">
        <f>_DATA_Assessment_Model!AC325</f>
        <v/>
      </c>
      <c r="AG325" s="9">
        <f>_DATA_Assessment_Model!AD325</f>
        <v/>
      </c>
      <c r="AH325" s="6">
        <f>_DATA_Assessment_Model!AE325</f>
        <v/>
      </c>
      <c r="AI325" s="8">
        <f>_DATA_Assessment_Model!AF325</f>
        <v/>
      </c>
      <c r="AJ325" s="6">
        <f>_DATA_Assessment_Model!AG325</f>
        <v/>
      </c>
      <c r="AK325" s="46" t="n"/>
      <c r="AL325" s="46" t="n"/>
      <c r="AM325" s="247">
        <f>_DATA_Assessment_Model!AJ325</f>
        <v/>
      </c>
      <c r="AN325" s="247">
        <f>_DATA_Assessment_Model!AK325</f>
        <v/>
      </c>
      <c r="AO325" s="247">
        <f>_DATA_Assessment_Model!AL325</f>
        <v/>
      </c>
      <c r="AP325" s="247">
        <f>_DATA_Assessment_Model!AM325</f>
        <v/>
      </c>
      <c r="AQ325" s="247">
        <f>_DATA_Assessment_Model!AN325</f>
        <v/>
      </c>
      <c r="AR325" s="247">
        <f>_DATA_Assessment_Model!AO325</f>
        <v/>
      </c>
      <c r="AS325" s="247">
        <f>_DATA_Assessment_Model!AP325</f>
        <v/>
      </c>
      <c r="AT325" s="247">
        <f>_DATA_Assessment_Model!AQ325</f>
        <v/>
      </c>
      <c r="AU325" s="247">
        <f>_DATA_Assessment_Model!AR325</f>
        <v/>
      </c>
      <c r="AV325" s="5">
        <f>_DATA_Assessment_Model!AS325</f>
        <v/>
      </c>
      <c r="AW325" s="5">
        <f>_DATA_Assessment_Model!AT325</f>
        <v/>
      </c>
      <c r="AY325">
        <f>_DATA_Assessment_Model!AV325</f>
        <v/>
      </c>
    </row>
    <row r="326" ht="82.8" customHeight="1" s="209">
      <c r="A326" t="inlineStr">
        <is>
          <t>Business Systems</t>
        </is>
      </c>
      <c r="B326" t="inlineStr">
        <is>
          <t>Business Systems</t>
        </is>
      </c>
      <c r="C326" t="n">
        <v>6</v>
      </c>
      <c r="D326" s="3" t="inlineStr">
        <is>
          <t>BUSI-002</t>
        </is>
      </c>
      <c r="E326" s="3" t="inlineStr">
        <is>
          <t>ERP</t>
        </is>
      </c>
      <c r="F326" s="3" t="inlineStr">
        <is>
          <t>How mature is the organization in managing ERP master data governance for customers, suppliers, items, BOMs, chart of accounts, cost centers and pricing, including ownership, evidence, metrics, fallback procedures and crisis stress testing?</t>
        </is>
      </c>
      <c r="G326" s="3" t="inlineStr">
        <is>
          <t>This topic affects exposure to IT outage; Decision failure; Process disruption. It helps identify how disruption may impact operations, people, revenue, systems, legal exposure or recovery time.</t>
        </is>
      </c>
      <c r="H326" s="3" t="inlineStr">
        <is>
          <t>COBIT; ITIL 4; ISO/IEC 27001; ISO/IEC 20000-1; ERP/CRM/MES/HRMS implementation practices</t>
        </is>
      </c>
      <c r="I326" s="3" t="inlineStr">
        <is>
          <t>Policy/SOP; owner/RACI; system report; dashboard; contracts; test records; incident history; interview evidence related to ERP master data governance for customers, suppliers, items, BOMs, chart of accounts, cost centers and pricing.</t>
        </is>
      </c>
      <c r="J326" s="3" t="n">
        <v>5</v>
      </c>
      <c r="K326" s="85">
        <f>_DATA_Assessment_Model!H326</f>
        <v/>
      </c>
      <c r="L326" s="4">
        <f>_DATA_Assessment_Model!I326</f>
        <v/>
      </c>
      <c r="M326" s="4">
        <f>_DATA_Assessment_Model!J326</f>
        <v/>
      </c>
      <c r="N326" s="4">
        <f>_DATA_Assessment_Model!K326</f>
        <v/>
      </c>
      <c r="O326" s="3">
        <f>_DATA_Assessment_Model!L326</f>
        <v/>
      </c>
      <c r="P326" s="3" t="inlineStr">
        <is>
          <t>Does not exist; no owner, no documentation, no practice.</t>
        </is>
      </c>
      <c r="Q326" s="3" t="inlineStr">
        <is>
          <t>Ad hoc; depends entirely on specific individuals.</t>
        </is>
      </c>
      <c r="R326" s="3" t="inlineStr">
        <is>
          <t>Partially documented or implemented; coverage inconsistent; never tested under stress.</t>
        </is>
      </c>
      <c r="S326" s="3" t="inlineStr">
        <is>
          <t>Documented, owned, executed consistently; basic evidence and metrics exist.</t>
        </is>
      </c>
      <c r="T326" s="3" t="inlineStr">
        <is>
          <t>Measured and periodically tested/audited; integrated with adjacent processes.</t>
        </is>
      </c>
      <c r="U326" s="3" t="inlineStr">
        <is>
          <t>Optimized and automated where practical; stress-tested; benchmarked externally.</t>
        </is>
      </c>
      <c r="V326" s="3" t="inlineStr">
        <is>
          <t>IT outage; Decision failure; Process disruption</t>
        </is>
      </c>
      <c r="W326" s="3" t="n"/>
      <c r="X326" s="3" t="n"/>
      <c r="Y326" s="3" t="inlineStr">
        <is>
          <t>Use the recommended action generated by the model; validate with domain owner during real assessment.</t>
        </is>
      </c>
      <c r="Z326" s="7" t="n">
        <v>5</v>
      </c>
      <c r="AA326" s="7" t="n">
        <v>5</v>
      </c>
      <c r="AB326" s="7" t="n">
        <v>5</v>
      </c>
      <c r="AD326" t="inlineStr">
        <is>
          <t>CRM and commerce</t>
        </is>
      </c>
      <c r="AE326" s="6">
        <f>_DATA_Assessment_Model!AB326</f>
        <v/>
      </c>
      <c r="AF326" s="8">
        <f>_DATA_Assessment_Model!AC326</f>
        <v/>
      </c>
      <c r="AG326" s="9">
        <f>_DATA_Assessment_Model!AD326</f>
        <v/>
      </c>
      <c r="AH326" s="6">
        <f>_DATA_Assessment_Model!AE326</f>
        <v/>
      </c>
      <c r="AI326" s="8">
        <f>_DATA_Assessment_Model!AF326</f>
        <v/>
      </c>
      <c r="AJ326" s="6">
        <f>_DATA_Assessment_Model!AG326</f>
        <v/>
      </c>
      <c r="AK326" s="46" t="n"/>
      <c r="AL326" s="46" t="n"/>
      <c r="AM326" s="247">
        <f>_DATA_Assessment_Model!AJ326</f>
        <v/>
      </c>
      <c r="AN326" s="247">
        <f>_DATA_Assessment_Model!AK326</f>
        <v/>
      </c>
      <c r="AO326" s="247">
        <f>_DATA_Assessment_Model!AL326</f>
        <v/>
      </c>
      <c r="AP326" s="247">
        <f>_DATA_Assessment_Model!AM326</f>
        <v/>
      </c>
      <c r="AQ326" s="247">
        <f>_DATA_Assessment_Model!AN326</f>
        <v/>
      </c>
      <c r="AR326" s="247">
        <f>_DATA_Assessment_Model!AO326</f>
        <v/>
      </c>
      <c r="AS326" s="247">
        <f>_DATA_Assessment_Model!AP326</f>
        <v/>
      </c>
      <c r="AT326" s="247">
        <f>_DATA_Assessment_Model!AQ326</f>
        <v/>
      </c>
      <c r="AU326" s="247">
        <f>_DATA_Assessment_Model!AR326</f>
        <v/>
      </c>
      <c r="AV326" s="5">
        <f>_DATA_Assessment_Model!AS326</f>
        <v/>
      </c>
      <c r="AW326" s="5">
        <f>_DATA_Assessment_Model!AT326</f>
        <v/>
      </c>
      <c r="AY326">
        <f>_DATA_Assessment_Model!AV326</f>
        <v/>
      </c>
    </row>
    <row r="327" ht="69" customHeight="1" s="209">
      <c r="A327" t="inlineStr">
        <is>
          <t>Business Systems</t>
        </is>
      </c>
      <c r="B327" t="inlineStr">
        <is>
          <t>Business Systems</t>
        </is>
      </c>
      <c r="C327" t="n">
        <v>7</v>
      </c>
      <c r="D327" s="3" t="inlineStr">
        <is>
          <t>BUSI-003</t>
        </is>
      </c>
      <c r="E327" s="3" t="inlineStr">
        <is>
          <t>ERP</t>
        </is>
      </c>
      <c r="F327" s="3" t="inlineStr">
        <is>
          <t>How mature is the organization in managing ERP access controls, approvals and segregation of duties, including ownership, evidence, metrics, fallback procedures and crisis stress testing?</t>
        </is>
      </c>
      <c r="G327" s="3" t="inlineStr">
        <is>
          <t>This topic affects exposure to IT outage; Decision failure; Process disruption. It helps identify how disruption may impact operations, people, revenue, systems, legal exposure or recovery time.</t>
        </is>
      </c>
      <c r="H327" s="3" t="inlineStr">
        <is>
          <t>COBIT; ITIL 4; ISO/IEC 27001; ISO/IEC 20000-1; ERP/CRM/MES/HRMS implementation practices</t>
        </is>
      </c>
      <c r="I327" s="3" t="inlineStr">
        <is>
          <t>Policy/SOP; owner/RACI; system report; dashboard; contracts; test records; incident history; interview evidence related to ERP access controls, approvals and segregation of duties.</t>
        </is>
      </c>
      <c r="J327" s="3" t="n">
        <v>5</v>
      </c>
      <c r="K327" s="85">
        <f>_DATA_Assessment_Model!H327</f>
        <v/>
      </c>
      <c r="L327" s="4">
        <f>_DATA_Assessment_Model!I327</f>
        <v/>
      </c>
      <c r="M327" s="4">
        <f>_DATA_Assessment_Model!J327</f>
        <v/>
      </c>
      <c r="N327" s="4">
        <f>_DATA_Assessment_Model!K327</f>
        <v/>
      </c>
      <c r="O327" s="3">
        <f>_DATA_Assessment_Model!L327</f>
        <v/>
      </c>
      <c r="P327" s="3" t="inlineStr">
        <is>
          <t>Does not exist; no owner, no documentation, no practice.</t>
        </is>
      </c>
      <c r="Q327" s="3" t="inlineStr">
        <is>
          <t>Ad hoc; depends entirely on specific individuals.</t>
        </is>
      </c>
      <c r="R327" s="3" t="inlineStr">
        <is>
          <t>Partially documented or implemented; coverage inconsistent; never tested under stress.</t>
        </is>
      </c>
      <c r="S327" s="3" t="inlineStr">
        <is>
          <t>Documented, owned, executed consistently; basic evidence and metrics exist.</t>
        </is>
      </c>
      <c r="T327" s="3" t="inlineStr">
        <is>
          <t>Measured and periodically tested/audited; integrated with adjacent processes.</t>
        </is>
      </c>
      <c r="U327" s="3" t="inlineStr">
        <is>
          <t>Optimized and automated where practical; stress-tested; benchmarked externally.</t>
        </is>
      </c>
      <c r="V327" s="3" t="inlineStr">
        <is>
          <t>IT outage; Decision failure; Process disruption</t>
        </is>
      </c>
      <c r="W327" s="3" t="n"/>
      <c r="X327" s="3" t="n"/>
      <c r="Y327" s="3" t="inlineStr">
        <is>
          <t>Use the recommended action generated by the model; validate with domain owner during real assessment.</t>
        </is>
      </c>
      <c r="Z327" s="7" t="n">
        <v>5</v>
      </c>
      <c r="AA327" s="7" t="n">
        <v>5</v>
      </c>
      <c r="AB327" s="7" t="n">
        <v>5</v>
      </c>
      <c r="AD327" t="inlineStr">
        <is>
          <t>MES WMS TMS</t>
        </is>
      </c>
      <c r="AE327" s="6">
        <f>_DATA_Assessment_Model!AB327</f>
        <v/>
      </c>
      <c r="AF327" s="8">
        <f>_DATA_Assessment_Model!AC327</f>
        <v/>
      </c>
      <c r="AG327" s="9">
        <f>_DATA_Assessment_Model!AD327</f>
        <v/>
      </c>
      <c r="AH327" s="6">
        <f>_DATA_Assessment_Model!AE327</f>
        <v/>
      </c>
      <c r="AI327" s="8">
        <f>_DATA_Assessment_Model!AF327</f>
        <v/>
      </c>
      <c r="AJ327" s="6">
        <f>_DATA_Assessment_Model!AG327</f>
        <v/>
      </c>
      <c r="AK327" s="46" t="n"/>
      <c r="AL327" s="46" t="n"/>
      <c r="AM327" s="247">
        <f>_DATA_Assessment_Model!AJ327</f>
        <v/>
      </c>
      <c r="AN327" s="247">
        <f>_DATA_Assessment_Model!AK327</f>
        <v/>
      </c>
      <c r="AO327" s="247">
        <f>_DATA_Assessment_Model!AL327</f>
        <v/>
      </c>
      <c r="AP327" s="247">
        <f>_DATA_Assessment_Model!AM327</f>
        <v/>
      </c>
      <c r="AQ327" s="247">
        <f>_DATA_Assessment_Model!AN327</f>
        <v/>
      </c>
      <c r="AR327" s="247">
        <f>_DATA_Assessment_Model!AO327</f>
        <v/>
      </c>
      <c r="AS327" s="247">
        <f>_DATA_Assessment_Model!AP327</f>
        <v/>
      </c>
      <c r="AT327" s="247">
        <f>_DATA_Assessment_Model!AQ327</f>
        <v/>
      </c>
      <c r="AU327" s="247">
        <f>_DATA_Assessment_Model!AR327</f>
        <v/>
      </c>
      <c r="AV327" s="5">
        <f>_DATA_Assessment_Model!AS327</f>
        <v/>
      </c>
      <c r="AW327" s="5">
        <f>_DATA_Assessment_Model!AT327</f>
        <v/>
      </c>
      <c r="AY327">
        <f>_DATA_Assessment_Model!AV327</f>
        <v/>
      </c>
    </row>
    <row r="328" ht="69" customHeight="1" s="209">
      <c r="A328" t="inlineStr">
        <is>
          <t>Business Systems</t>
        </is>
      </c>
      <c r="B328" t="inlineStr">
        <is>
          <t>Business Systems</t>
        </is>
      </c>
      <c r="C328" t="n">
        <v>8</v>
      </c>
      <c r="D328" s="3" t="inlineStr">
        <is>
          <t>BUSI-004</t>
        </is>
      </c>
      <c r="E328" s="3" t="inlineStr">
        <is>
          <t>ERP</t>
        </is>
      </c>
      <c r="F328" s="3" t="inlineStr">
        <is>
          <t>How mature is the organization in managing ERP continuity with RTO, RPO, backup, vendor support and manual fallback, including ownership, evidence, metrics, fallback procedures and crisis stress testing?</t>
        </is>
      </c>
      <c r="G328" s="3" t="inlineStr">
        <is>
          <t>This topic affects exposure to IT outage; Decision failure; Process disruption. It helps identify how disruption may impact operations, people, revenue, systems, legal exposure or recovery time.</t>
        </is>
      </c>
      <c r="H328" s="3" t="inlineStr">
        <is>
          <t>COBIT; ITIL 4; ISO/IEC 27001; ISO/IEC 20000-1; ERP/CRM/MES/HRMS implementation practices</t>
        </is>
      </c>
      <c r="I328" s="3" t="inlineStr">
        <is>
          <t>Policy/SOP; owner/RACI; system report; dashboard; contracts; test records; incident history; interview evidence related to ERP continuity with RTO, RPO, backup, vendor support and manual fallback.</t>
        </is>
      </c>
      <c r="J328" s="3" t="n">
        <v>5</v>
      </c>
      <c r="K328" s="85">
        <f>_DATA_Assessment_Model!H328</f>
        <v/>
      </c>
      <c r="L328" s="4">
        <f>_DATA_Assessment_Model!I328</f>
        <v/>
      </c>
      <c r="M328" s="4">
        <f>_DATA_Assessment_Model!J328</f>
        <v/>
      </c>
      <c r="N328" s="4">
        <f>_DATA_Assessment_Model!K328</f>
        <v/>
      </c>
      <c r="O328" s="3">
        <f>_DATA_Assessment_Model!L328</f>
        <v/>
      </c>
      <c r="P328" s="3" t="inlineStr">
        <is>
          <t>Does not exist; no owner, no documentation, no practice.</t>
        </is>
      </c>
      <c r="Q328" s="3" t="inlineStr">
        <is>
          <t>Ad hoc; depends entirely on specific individuals.</t>
        </is>
      </c>
      <c r="R328" s="3" t="inlineStr">
        <is>
          <t>Partially documented or implemented; coverage inconsistent; never tested under stress.</t>
        </is>
      </c>
      <c r="S328" s="3" t="inlineStr">
        <is>
          <t>Documented, owned, executed consistently; basic evidence and metrics exist.</t>
        </is>
      </c>
      <c r="T328" s="3" t="inlineStr">
        <is>
          <t>Measured and periodically tested/audited; integrated with adjacent processes.</t>
        </is>
      </c>
      <c r="U328" s="3" t="inlineStr">
        <is>
          <t>Optimized and automated where practical; stress-tested; benchmarked externally.</t>
        </is>
      </c>
      <c r="V328" s="3" t="inlineStr">
        <is>
          <t>IT outage; Decision failure; Process disruption</t>
        </is>
      </c>
      <c r="W328" s="3" t="n"/>
      <c r="X328" s="3" t="n"/>
      <c r="Y328" s="3" t="inlineStr">
        <is>
          <t>Use the recommended action generated by the model; validate with domain owner during real assessment.</t>
        </is>
      </c>
      <c r="Z328" s="7" t="n">
        <v>5</v>
      </c>
      <c r="AA328" s="7" t="n">
        <v>5</v>
      </c>
      <c r="AB328" s="7" t="n">
        <v>5</v>
      </c>
      <c r="AD328" t="inlineStr">
        <is>
          <t>HRMS and finance systems</t>
        </is>
      </c>
      <c r="AE328" s="6">
        <f>_DATA_Assessment_Model!AB328</f>
        <v/>
      </c>
      <c r="AF328" s="8">
        <f>_DATA_Assessment_Model!AC328</f>
        <v/>
      </c>
      <c r="AG328" s="9">
        <f>_DATA_Assessment_Model!AD328</f>
        <v/>
      </c>
      <c r="AH328" s="6">
        <f>_DATA_Assessment_Model!AE328</f>
        <v/>
      </c>
      <c r="AI328" s="8">
        <f>_DATA_Assessment_Model!AF328</f>
        <v/>
      </c>
      <c r="AJ328" s="6">
        <f>_DATA_Assessment_Model!AG328</f>
        <v/>
      </c>
      <c r="AK328" s="46" t="n"/>
      <c r="AL328" s="46" t="n"/>
      <c r="AM328" s="247">
        <f>_DATA_Assessment_Model!AJ328</f>
        <v/>
      </c>
      <c r="AN328" s="247">
        <f>_DATA_Assessment_Model!AK328</f>
        <v/>
      </c>
      <c r="AO328" s="247">
        <f>_DATA_Assessment_Model!AL328</f>
        <v/>
      </c>
      <c r="AP328" s="247">
        <f>_DATA_Assessment_Model!AM328</f>
        <v/>
      </c>
      <c r="AQ328" s="247">
        <f>_DATA_Assessment_Model!AN328</f>
        <v/>
      </c>
      <c r="AR328" s="247">
        <f>_DATA_Assessment_Model!AO328</f>
        <v/>
      </c>
      <c r="AS328" s="247">
        <f>_DATA_Assessment_Model!AP328</f>
        <v/>
      </c>
      <c r="AT328" s="247">
        <f>_DATA_Assessment_Model!AQ328</f>
        <v/>
      </c>
      <c r="AU328" s="247">
        <f>_DATA_Assessment_Model!AR328</f>
        <v/>
      </c>
      <c r="AV328" s="5">
        <f>_DATA_Assessment_Model!AS328</f>
        <v/>
      </c>
      <c r="AW328" s="5">
        <f>_DATA_Assessment_Model!AT328</f>
        <v/>
      </c>
      <c r="AY328">
        <f>_DATA_Assessment_Model!AV328</f>
        <v/>
      </c>
    </row>
    <row r="329" ht="82.8" customHeight="1" s="209">
      <c r="A329" t="inlineStr">
        <is>
          <t>Business Systems</t>
        </is>
      </c>
      <c r="B329" t="inlineStr">
        <is>
          <t>Business Systems</t>
        </is>
      </c>
      <c r="C329" t="n">
        <v>9</v>
      </c>
      <c r="D329" s="3" t="inlineStr">
        <is>
          <t>BUSI-005</t>
        </is>
      </c>
      <c r="E329" s="3" t="inlineStr">
        <is>
          <t>ERP</t>
        </is>
      </c>
      <c r="F329" s="3" t="inlineStr">
        <is>
          <t>How mature is the organization in managing ERP workflow for procure-to-pay, order-to-cash, record-to-report and plan-to-produce where relevant, including ownership, evidence, metrics, fallback procedures and crisis stress testing?</t>
        </is>
      </c>
      <c r="G329" s="3" t="inlineStr">
        <is>
          <t>This topic affects exposure to IT outage; Decision failure; Process disruption. It helps identify how disruption may impact operations, people, revenue, systems, legal exposure or recovery time.</t>
        </is>
      </c>
      <c r="H329" s="3" t="inlineStr">
        <is>
          <t>COBIT; ITIL 4; ISO/IEC 27001; ISO/IEC 20000-1; ERP/CRM/MES/HRMS implementation practices</t>
        </is>
      </c>
      <c r="I329" s="3" t="inlineStr">
        <is>
          <t>Policy/SOP; owner/RACI; system report; dashboard; contracts; test records; incident history; interview evidence related to ERP workflow for procure-to-pay, order-to-cash, record-to-report and plan-to-produce where relevant.</t>
        </is>
      </c>
      <c r="J329" s="3" t="n">
        <v>5</v>
      </c>
      <c r="K329" s="85">
        <f>_DATA_Assessment_Model!H329</f>
        <v/>
      </c>
      <c r="L329" s="4">
        <f>_DATA_Assessment_Model!I329</f>
        <v/>
      </c>
      <c r="M329" s="4">
        <f>_DATA_Assessment_Model!J329</f>
        <v/>
      </c>
      <c r="N329" s="4">
        <f>_DATA_Assessment_Model!K329</f>
        <v/>
      </c>
      <c r="O329" s="3">
        <f>_DATA_Assessment_Model!L329</f>
        <v/>
      </c>
      <c r="P329" s="3" t="inlineStr">
        <is>
          <t>No plan or procedure exists.</t>
        </is>
      </c>
      <c r="Q329" s="3" t="inlineStr">
        <is>
          <t>Knowledge lives with individuals; nothing usable is written down.</t>
        </is>
      </c>
      <c r="R329" s="3" t="inlineStr">
        <is>
          <t>Drafted but outdated, not approved, or unknown to the people who must use it.</t>
        </is>
      </c>
      <c r="S329" s="3" t="inlineStr">
        <is>
          <t>Approved and current; owners assigned; affected staff know it exists and where to find it.</t>
        </is>
      </c>
      <c r="T329" s="3" t="inlineStr">
        <is>
          <t>Tested against realistic scenarios; updated after each test or real incident.</t>
        </is>
      </c>
      <c r="U329" s="3" t="inlineStr">
        <is>
          <t>Exercised regularly including external parties; readiness measured; continuously improved.</t>
        </is>
      </c>
      <c r="V329" s="3" t="inlineStr">
        <is>
          <t>IT outage; Decision failure; Process disruption</t>
        </is>
      </c>
      <c r="W329" s="3" t="n"/>
      <c r="X329" s="3" t="n"/>
      <c r="Y329" s="3" t="inlineStr">
        <is>
          <t>Use the recommended action generated by the model; validate with domain owner during real assessment.</t>
        </is>
      </c>
      <c r="Z329" s="7" t="n">
        <v>5</v>
      </c>
      <c r="AA329" s="7" t="n">
        <v>5</v>
      </c>
      <c r="AB329" s="7" t="n">
        <v>5</v>
      </c>
      <c r="AD329" t="inlineStr">
        <is>
          <t>Governance and lifecycle</t>
        </is>
      </c>
      <c r="AE329" s="6">
        <f>_DATA_Assessment_Model!AB329</f>
        <v/>
      </c>
      <c r="AF329" s="8">
        <f>_DATA_Assessment_Model!AC329</f>
        <v/>
      </c>
      <c r="AG329" s="9">
        <f>_DATA_Assessment_Model!AD329</f>
        <v/>
      </c>
      <c r="AH329" s="6">
        <f>_DATA_Assessment_Model!AE329</f>
        <v/>
      </c>
      <c r="AI329" s="8">
        <f>_DATA_Assessment_Model!AF329</f>
        <v/>
      </c>
      <c r="AJ329" s="6">
        <f>_DATA_Assessment_Model!AG329</f>
        <v/>
      </c>
      <c r="AK329" s="46" t="n"/>
      <c r="AL329" s="46" t="n"/>
      <c r="AM329" s="247">
        <f>_DATA_Assessment_Model!AJ329</f>
        <v/>
      </c>
      <c r="AN329" s="247">
        <f>_DATA_Assessment_Model!AK329</f>
        <v/>
      </c>
      <c r="AO329" s="247">
        <f>_DATA_Assessment_Model!AL329</f>
        <v/>
      </c>
      <c r="AP329" s="247">
        <f>_DATA_Assessment_Model!AM329</f>
        <v/>
      </c>
      <c r="AQ329" s="247">
        <f>_DATA_Assessment_Model!AN329</f>
        <v/>
      </c>
      <c r="AR329" s="247">
        <f>_DATA_Assessment_Model!AO329</f>
        <v/>
      </c>
      <c r="AS329" s="247">
        <f>_DATA_Assessment_Model!AP329</f>
        <v/>
      </c>
      <c r="AT329" s="247">
        <f>_DATA_Assessment_Model!AQ329</f>
        <v/>
      </c>
      <c r="AU329" s="247">
        <f>_DATA_Assessment_Model!AR329</f>
        <v/>
      </c>
      <c r="AV329" s="5">
        <f>_DATA_Assessment_Model!AS329</f>
        <v/>
      </c>
      <c r="AW329" s="5">
        <f>_DATA_Assessment_Model!AT329</f>
        <v/>
      </c>
      <c r="AY329">
        <f>_DATA_Assessment_Model!AV329</f>
        <v/>
      </c>
    </row>
    <row r="330" ht="82.8" customHeight="1" s="209">
      <c r="A330" t="inlineStr">
        <is>
          <t>Business Systems</t>
        </is>
      </c>
      <c r="B330" t="inlineStr">
        <is>
          <t>Business Systems</t>
        </is>
      </c>
      <c r="C330" t="n">
        <v>10</v>
      </c>
      <c r="D330" s="3" t="inlineStr">
        <is>
          <t>BUSI-006</t>
        </is>
      </c>
      <c r="E330" s="3" t="inlineStr">
        <is>
          <t>CRM and commerce</t>
        </is>
      </c>
      <c r="F330" s="3" t="inlineStr">
        <is>
          <t>How mature is the organization in managing CRM process coverage for lead-to-cash, customer ownership, pipeline, forecast and account management, including ownership, evidence, metrics, fallback procedures and crisis stress testing?</t>
        </is>
      </c>
      <c r="G330" s="3" t="inlineStr">
        <is>
          <t>This topic affects exposure to IT outage; Decision failure; Process disruption. It helps identify how disruption may impact operations, people, revenue, systems, legal exposure or recovery time.</t>
        </is>
      </c>
      <c r="H330" s="3" t="inlineStr">
        <is>
          <t>COBIT; ITIL 4; ISO/IEC 27001; ISO/IEC 20000-1; ERP/CRM/MES/HRMS implementation practices</t>
        </is>
      </c>
      <c r="I330" s="3" t="inlineStr">
        <is>
          <t>Policy/SOP; owner/RACI; system report; dashboard; contracts; test records; incident history; interview evidence related to CRM process coverage for lead-to-cash, customer ownership, pipeline, forecast and account management.</t>
        </is>
      </c>
      <c r="J330" s="3" t="n">
        <v>5</v>
      </c>
      <c r="K330" s="85">
        <f>_DATA_Assessment_Model!H330</f>
        <v/>
      </c>
      <c r="L330" s="4">
        <f>_DATA_Assessment_Model!I330</f>
        <v/>
      </c>
      <c r="M330" s="4">
        <f>_DATA_Assessment_Model!J330</f>
        <v/>
      </c>
      <c r="N330" s="4">
        <f>_DATA_Assessment_Model!K330</f>
        <v/>
      </c>
      <c r="O330" s="3">
        <f>_DATA_Assessment_Model!L330</f>
        <v/>
      </c>
      <c r="P330" s="3" t="inlineStr">
        <is>
          <t>Does not exist; no owner, no documentation, no practice.</t>
        </is>
      </c>
      <c r="Q330" s="3" t="inlineStr">
        <is>
          <t>Ad hoc; depends entirely on specific individuals.</t>
        </is>
      </c>
      <c r="R330" s="3" t="inlineStr">
        <is>
          <t>Partially documented or implemented; coverage inconsistent; never tested under stress.</t>
        </is>
      </c>
      <c r="S330" s="3" t="inlineStr">
        <is>
          <t>Documented, owned, executed consistently; basic evidence and metrics exist.</t>
        </is>
      </c>
      <c r="T330" s="3" t="inlineStr">
        <is>
          <t>Measured and periodically tested/audited; integrated with adjacent processes.</t>
        </is>
      </c>
      <c r="U330" s="3" t="inlineStr">
        <is>
          <t>Optimized and automated where practical; stress-tested; benchmarked externally.</t>
        </is>
      </c>
      <c r="V330" s="3" t="inlineStr">
        <is>
          <t>IT outage; Decision failure; Process disruption</t>
        </is>
      </c>
      <c r="W330" s="3" t="n"/>
      <c r="X330" s="3" t="n"/>
      <c r="Y330" s="3" t="inlineStr">
        <is>
          <t>Use the recommended action generated by the model; validate with domain owner during real assessment.</t>
        </is>
      </c>
      <c r="Z330" s="7" t="n">
        <v>5</v>
      </c>
      <c r="AA330" s="7" t="n">
        <v>5</v>
      </c>
      <c r="AB330" s="7" t="n">
        <v>5</v>
      </c>
      <c r="AK330" s="46" t="n"/>
      <c r="AL330" s="46" t="n"/>
      <c r="AM330" s="247">
        <f>_DATA_Assessment_Model!AJ330</f>
        <v/>
      </c>
      <c r="AN330" s="247">
        <f>_DATA_Assessment_Model!AK330</f>
        <v/>
      </c>
      <c r="AO330" s="247">
        <f>_DATA_Assessment_Model!AL330</f>
        <v/>
      </c>
      <c r="AP330" s="247">
        <f>_DATA_Assessment_Model!AM330</f>
        <v/>
      </c>
      <c r="AQ330" s="247">
        <f>_DATA_Assessment_Model!AN330</f>
        <v/>
      </c>
      <c r="AR330" s="247">
        <f>_DATA_Assessment_Model!AO330</f>
        <v/>
      </c>
      <c r="AS330" s="247">
        <f>_DATA_Assessment_Model!AP330</f>
        <v/>
      </c>
      <c r="AT330" s="247">
        <f>_DATA_Assessment_Model!AQ330</f>
        <v/>
      </c>
      <c r="AU330" s="247">
        <f>_DATA_Assessment_Model!AR330</f>
        <v/>
      </c>
      <c r="AV330" s="5">
        <f>_DATA_Assessment_Model!AS330</f>
        <v/>
      </c>
      <c r="AW330" s="5">
        <f>_DATA_Assessment_Model!AT330</f>
        <v/>
      </c>
      <c r="AY330">
        <f>_DATA_Assessment_Model!AV330</f>
        <v/>
      </c>
    </row>
    <row r="331" ht="69" customHeight="1" s="209">
      <c r="A331" t="inlineStr">
        <is>
          <t>Business Systems</t>
        </is>
      </c>
      <c r="B331" t="inlineStr">
        <is>
          <t>Business Systems</t>
        </is>
      </c>
      <c r="C331" t="n">
        <v>11</v>
      </c>
      <c r="D331" s="3" t="inlineStr">
        <is>
          <t>BUSI-007</t>
        </is>
      </c>
      <c r="E331" s="3" t="inlineStr">
        <is>
          <t>CRM and commerce</t>
        </is>
      </c>
      <c r="F331" s="3" t="inlineStr">
        <is>
          <t>How mature is the organization in managing CRM integration with ERP, billing, support, ecommerce and marketing automation, including ownership, evidence, metrics, fallback procedures and crisis stress testing?</t>
        </is>
      </c>
      <c r="G331" s="3" t="inlineStr">
        <is>
          <t>This topic affects exposure to IT outage; Decision failure; Process disruption. It helps identify how disruption may impact operations, people, revenue, systems, legal exposure or recovery time.</t>
        </is>
      </c>
      <c r="H331" s="3" t="inlineStr">
        <is>
          <t>COBIT; ITIL 4; ISO/IEC 27001; ISO/IEC 20000-1; ERP/CRM/MES/HRMS implementation practices</t>
        </is>
      </c>
      <c r="I331" s="3" t="inlineStr">
        <is>
          <t>Policy/SOP; owner/RACI; system report; dashboard; contracts; test records; incident history; interview evidence related to CRM integration with ERP, billing, support, ecommerce and marketing automation.</t>
        </is>
      </c>
      <c r="J331" s="3" t="n">
        <v>5</v>
      </c>
      <c r="K331" s="85">
        <f>_DATA_Assessment_Model!H331</f>
        <v/>
      </c>
      <c r="L331" s="4">
        <f>_DATA_Assessment_Model!I331</f>
        <v/>
      </c>
      <c r="M331" s="4">
        <f>_DATA_Assessment_Model!J331</f>
        <v/>
      </c>
      <c r="N331" s="4">
        <f>_DATA_Assessment_Model!K331</f>
        <v/>
      </c>
      <c r="O331" s="3">
        <f>_DATA_Assessment_Model!L331</f>
        <v/>
      </c>
      <c r="P331" s="3" t="inlineStr">
        <is>
          <t>Does not exist; no owner, no documentation, no practice.</t>
        </is>
      </c>
      <c r="Q331" s="3" t="inlineStr">
        <is>
          <t>Ad hoc; depends entirely on specific individuals.</t>
        </is>
      </c>
      <c r="R331" s="3" t="inlineStr">
        <is>
          <t>Partially documented or implemented; coverage inconsistent; never tested under stress.</t>
        </is>
      </c>
      <c r="S331" s="3" t="inlineStr">
        <is>
          <t>Documented, owned, executed consistently; basic evidence and metrics exist.</t>
        </is>
      </c>
      <c r="T331" s="3" t="inlineStr">
        <is>
          <t>Measured and periodically tested/audited; integrated with adjacent processes.</t>
        </is>
      </c>
      <c r="U331" s="3" t="inlineStr">
        <is>
          <t>Optimized and automated where practical; stress-tested; benchmarked externally.</t>
        </is>
      </c>
      <c r="V331" s="3" t="inlineStr">
        <is>
          <t>IT outage; Decision failure; Process disruption</t>
        </is>
      </c>
      <c r="W331" s="3" t="n"/>
      <c r="X331" s="3" t="n"/>
      <c r="Y331" s="3" t="inlineStr">
        <is>
          <t>Use the recommended action generated by the model; validate with domain owner during real assessment.</t>
        </is>
      </c>
      <c r="Z331" s="7" t="n">
        <v>5</v>
      </c>
      <c r="AA331" s="7" t="n">
        <v>5</v>
      </c>
      <c r="AB331" s="7" t="n">
        <v>5</v>
      </c>
      <c r="AK331" s="46" t="n"/>
      <c r="AL331" s="46" t="n"/>
      <c r="AM331" s="247">
        <f>_DATA_Assessment_Model!AJ331</f>
        <v/>
      </c>
      <c r="AN331" s="247">
        <f>_DATA_Assessment_Model!AK331</f>
        <v/>
      </c>
      <c r="AO331" s="247">
        <f>_DATA_Assessment_Model!AL331</f>
        <v/>
      </c>
      <c r="AP331" s="247">
        <f>_DATA_Assessment_Model!AM331</f>
        <v/>
      </c>
      <c r="AQ331" s="247">
        <f>_DATA_Assessment_Model!AN331</f>
        <v/>
      </c>
      <c r="AR331" s="247">
        <f>_DATA_Assessment_Model!AO331</f>
        <v/>
      </c>
      <c r="AS331" s="247">
        <f>_DATA_Assessment_Model!AP331</f>
        <v/>
      </c>
      <c r="AT331" s="247">
        <f>_DATA_Assessment_Model!AQ331</f>
        <v/>
      </c>
      <c r="AU331" s="247">
        <f>_DATA_Assessment_Model!AR331</f>
        <v/>
      </c>
      <c r="AV331" s="5">
        <f>_DATA_Assessment_Model!AS331</f>
        <v/>
      </c>
      <c r="AW331" s="5">
        <f>_DATA_Assessment_Model!AT331</f>
        <v/>
      </c>
      <c r="AY331">
        <f>_DATA_Assessment_Model!AV331</f>
        <v/>
      </c>
    </row>
    <row r="332" ht="82.8" customHeight="1" s="209">
      <c r="A332" t="inlineStr">
        <is>
          <t>Business Systems</t>
        </is>
      </c>
      <c r="B332" t="inlineStr">
        <is>
          <t>Business Systems</t>
        </is>
      </c>
      <c r="C332" t="n">
        <v>12</v>
      </c>
      <c r="D332" s="3" t="inlineStr">
        <is>
          <t>BUSI-009</t>
        </is>
      </c>
      <c r="E332" s="3" t="inlineStr">
        <is>
          <t>CRM and commerce</t>
        </is>
      </c>
      <c r="F332" s="3" t="inlineStr">
        <is>
          <t>How mature is the organization in managing customer portal availability and data accuracy during disruption, including ownership, evidence, metrics, fallback procedures and crisis stress testing?</t>
        </is>
      </c>
      <c r="G332" s="3" t="inlineStr">
        <is>
          <t>This topic affects exposure to IT outage; Decision failure; Process disruption. It helps identify how disruption may impact operations, people, revenue, systems, legal exposure or recovery time.</t>
        </is>
      </c>
      <c r="H332" s="3" t="inlineStr">
        <is>
          <t>COBIT; ITIL 4; ISO/IEC 27001; ISO/IEC 20000-1; ERP/CRM/MES/HRMS implementation practices</t>
        </is>
      </c>
      <c r="I332" s="3" t="inlineStr">
        <is>
          <t>Policy/SOP; owner/RACI; system report; dashboard; contracts; test records; incident history; interview evidence related to customer portal availability and data accuracy during disruption.</t>
        </is>
      </c>
      <c r="J332" s="3" t="n">
        <v>4</v>
      </c>
      <c r="K332" s="85">
        <f>_DATA_Assessment_Model!H332</f>
        <v/>
      </c>
      <c r="L332" s="4">
        <f>_DATA_Assessment_Model!I332</f>
        <v/>
      </c>
      <c r="M332" s="4">
        <f>_DATA_Assessment_Model!J332</f>
        <v/>
      </c>
      <c r="N332" s="4">
        <f>_DATA_Assessment_Model!K332</f>
        <v/>
      </c>
      <c r="O332" s="3">
        <f>_DATA_Assessment_Model!L332</f>
        <v/>
      </c>
      <c r="P332" s="3" t="inlineStr">
        <is>
          <t>No reliable evidence that customer portal availability and data accuracy during disruption is defined, owned or managed.</t>
        </is>
      </c>
      <c r="Q332" s="3" t="inlineStr">
        <is>
          <t>Customer portal availability and data accuracy during disruption is handled informally and depends on individual knowledge or heroic effort.</t>
        </is>
      </c>
      <c r="R332" s="3" t="inlineStr">
        <is>
          <t>Customer portal availability and data accuracy during disruption is partially documented or implemented, but coverage is inconsistent and not crisis-tested.</t>
        </is>
      </c>
      <c r="S332" s="3" t="inlineStr">
        <is>
          <t>Customer portal availability and data accuracy during disruption is documented, owned, used in normal operations and supported by basic evidence or metrics.</t>
        </is>
      </c>
      <c r="T332" s="3" t="inlineStr">
        <is>
          <t>Customer portal availability and data accuracy during disruption is measured, periodically reviewed, integrated with related processes and tested against relevant disruption scenarios.</t>
        </is>
      </c>
      <c r="U332" s="3" t="inlineStr">
        <is>
          <t>Customer portal availability and data accuracy during disruption is optimized, continuously improved, automated where practical and demonstrably supports crisis resilience.</t>
        </is>
      </c>
      <c r="V332" s="3" t="inlineStr">
        <is>
          <t>IT outage; Decision failure; Process disruption</t>
        </is>
      </c>
      <c r="W332" s="3" t="n"/>
      <c r="X332" s="3" t="n"/>
      <c r="Y332" s="3" t="inlineStr">
        <is>
          <t>Use the recommended action generated by the model; validate with domain owner during real assessment.</t>
        </is>
      </c>
      <c r="Z332" s="7" t="n">
        <v>5</v>
      </c>
      <c r="AA332" s="7" t="n">
        <v>5</v>
      </c>
      <c r="AB332" s="7" t="n">
        <v>5</v>
      </c>
      <c r="AK332" s="46" t="n"/>
      <c r="AL332" s="46" t="n"/>
      <c r="AM332" s="247">
        <f>_DATA_Assessment_Model!AJ332</f>
        <v/>
      </c>
      <c r="AN332" s="247">
        <f>_DATA_Assessment_Model!AK332</f>
        <v/>
      </c>
      <c r="AO332" s="247">
        <f>_DATA_Assessment_Model!AL332</f>
        <v/>
      </c>
      <c r="AP332" s="247">
        <f>_DATA_Assessment_Model!AM332</f>
        <v/>
      </c>
      <c r="AQ332" s="247">
        <f>_DATA_Assessment_Model!AN332</f>
        <v/>
      </c>
      <c r="AR332" s="247">
        <f>_DATA_Assessment_Model!AO332</f>
        <v/>
      </c>
      <c r="AS332" s="247">
        <f>_DATA_Assessment_Model!AP332</f>
        <v/>
      </c>
      <c r="AT332" s="247">
        <f>_DATA_Assessment_Model!AQ332</f>
        <v/>
      </c>
      <c r="AU332" s="247">
        <f>_DATA_Assessment_Model!AR332</f>
        <v/>
      </c>
      <c r="AV332" s="5">
        <f>_DATA_Assessment_Model!AS332</f>
        <v/>
      </c>
      <c r="AW332" s="5">
        <f>_DATA_Assessment_Model!AT332</f>
        <v/>
      </c>
      <c r="AY332">
        <f>_DATA_Assessment_Model!AV332</f>
        <v/>
      </c>
    </row>
    <row r="333" ht="69" customHeight="1" s="209">
      <c r="A333" t="inlineStr">
        <is>
          <t>Business Systems</t>
        </is>
      </c>
      <c r="B333" t="inlineStr">
        <is>
          <t>Business Systems</t>
        </is>
      </c>
      <c r="C333" t="n">
        <v>13</v>
      </c>
      <c r="D333" s="3" t="inlineStr">
        <is>
          <t>BUSI-010</t>
        </is>
      </c>
      <c r="E333" s="3" t="inlineStr">
        <is>
          <t>MES WMS TMS</t>
        </is>
      </c>
      <c r="F333" s="3" t="inlineStr">
        <is>
          <t>How mature is the organization in managing MES support for production orders, execution, traceability, downtime, quality and labor, including ownership, evidence, metrics, fallback procedures and crisis stress testing?</t>
        </is>
      </c>
      <c r="G333" s="3" t="inlineStr">
        <is>
          <t>This topic affects exposure to IT outage; Decision failure; Process disruption. It helps identify how disruption may impact operations, people, revenue, systems, legal exposure or recovery time.</t>
        </is>
      </c>
      <c r="H333" s="3" t="inlineStr">
        <is>
          <t>COBIT; ITIL 4; ISO/IEC 27001; ISO/IEC 20000-1; ERP/CRM/MES/HRMS implementation practices</t>
        </is>
      </c>
      <c r="I333" s="3" t="inlineStr">
        <is>
          <t>Policy/SOP; owner/RACI; system report; dashboard; contracts; test records; incident history; interview evidence related to MES support for production orders, execution, traceability, downtime, quality and labor.</t>
        </is>
      </c>
      <c r="J333" s="3" t="n">
        <v>5</v>
      </c>
      <c r="K333" s="85">
        <f>_DATA_Assessment_Model!H333</f>
        <v/>
      </c>
      <c r="L333" s="4">
        <f>_DATA_Assessment_Model!I333</f>
        <v/>
      </c>
      <c r="M333" s="4">
        <f>_DATA_Assessment_Model!J333</f>
        <v/>
      </c>
      <c r="N333" s="4">
        <f>_DATA_Assessment_Model!K333</f>
        <v/>
      </c>
      <c r="O333" s="3">
        <f>_DATA_Assessment_Model!L333</f>
        <v/>
      </c>
      <c r="P333" s="3" t="inlineStr">
        <is>
          <t>Does not exist; no owner, no documentation, no practice.</t>
        </is>
      </c>
      <c r="Q333" s="3" t="inlineStr">
        <is>
          <t>Ad hoc; depends entirely on specific individuals.</t>
        </is>
      </c>
      <c r="R333" s="3" t="inlineStr">
        <is>
          <t>Partially documented or implemented; coverage inconsistent; never tested under stress.</t>
        </is>
      </c>
      <c r="S333" s="3" t="inlineStr">
        <is>
          <t>Documented, owned, executed consistently; basic evidence and metrics exist.</t>
        </is>
      </c>
      <c r="T333" s="3" t="inlineStr">
        <is>
          <t>Measured and periodically tested/audited; integrated with adjacent processes.</t>
        </is>
      </c>
      <c r="U333" s="3" t="inlineStr">
        <is>
          <t>Optimized and automated where practical; stress-tested; benchmarked externally.</t>
        </is>
      </c>
      <c r="V333" s="3" t="inlineStr">
        <is>
          <t>IT outage; Decision failure; Process disruption</t>
        </is>
      </c>
      <c r="W333" s="3" t="n"/>
      <c r="X333" s="3" t="n"/>
      <c r="Y333" s="3" t="inlineStr">
        <is>
          <t>Use the recommended action generated by the model; validate with domain owner during real assessment.</t>
        </is>
      </c>
      <c r="Z333" s="7" t="n">
        <v>5</v>
      </c>
      <c r="AA333" s="7" t="n">
        <v>5</v>
      </c>
      <c r="AB333" s="7" t="n">
        <v>5</v>
      </c>
      <c r="AK333" s="46" t="n"/>
      <c r="AL333" s="46" t="n"/>
      <c r="AM333" s="247">
        <f>_DATA_Assessment_Model!AJ333</f>
        <v/>
      </c>
      <c r="AN333" s="247">
        <f>_DATA_Assessment_Model!AK333</f>
        <v/>
      </c>
      <c r="AO333" s="247">
        <f>_DATA_Assessment_Model!AL333</f>
        <v/>
      </c>
      <c r="AP333" s="247">
        <f>_DATA_Assessment_Model!AM333</f>
        <v/>
      </c>
      <c r="AQ333" s="247">
        <f>_DATA_Assessment_Model!AN333</f>
        <v/>
      </c>
      <c r="AR333" s="247">
        <f>_DATA_Assessment_Model!AO333</f>
        <v/>
      </c>
      <c r="AS333" s="247">
        <f>_DATA_Assessment_Model!AP333</f>
        <v/>
      </c>
      <c r="AT333" s="247">
        <f>_DATA_Assessment_Model!AQ333</f>
        <v/>
      </c>
      <c r="AU333" s="247">
        <f>_DATA_Assessment_Model!AR333</f>
        <v/>
      </c>
      <c r="AV333" s="5">
        <f>_DATA_Assessment_Model!AS333</f>
        <v/>
      </c>
      <c r="AW333" s="5">
        <f>_DATA_Assessment_Model!AT333</f>
        <v/>
      </c>
      <c r="AY333">
        <f>_DATA_Assessment_Model!AV333</f>
        <v/>
      </c>
    </row>
    <row r="334" ht="69" customHeight="1" s="209">
      <c r="A334" t="inlineStr">
        <is>
          <t>Business Systems</t>
        </is>
      </c>
      <c r="B334" t="inlineStr">
        <is>
          <t>Business Systems</t>
        </is>
      </c>
      <c r="C334" t="n">
        <v>14</v>
      </c>
      <c r="D334" s="3" t="inlineStr">
        <is>
          <t>BUSI-011</t>
        </is>
      </c>
      <c r="E334" s="3" t="inlineStr">
        <is>
          <t>MES WMS TMS</t>
        </is>
      </c>
      <c r="F334" s="3" t="inlineStr">
        <is>
          <t>How mature is the organization in managing MES-ERP integration for orders, inventory consumption, output and quality data, including ownership, evidence, metrics, fallback procedures and crisis stress testing?</t>
        </is>
      </c>
      <c r="G334" s="3" t="inlineStr">
        <is>
          <t>This topic affects exposure to IT outage; Decision failure; Process disruption. It helps identify how disruption may impact operations, people, revenue, systems, legal exposure or recovery time.</t>
        </is>
      </c>
      <c r="H334" s="3" t="inlineStr">
        <is>
          <t>COBIT; ITIL 4; ISO/IEC 27001; ISO/IEC 20000-1; ERP/CRM/MES/HRMS implementation practices</t>
        </is>
      </c>
      <c r="I334" s="3" t="inlineStr">
        <is>
          <t>Policy/SOP; owner/RACI; system report; dashboard; contracts; test records; incident history; interview evidence related to MES-ERP integration for orders, inventory consumption, output and quality data.</t>
        </is>
      </c>
      <c r="J334" s="3" t="n">
        <v>5</v>
      </c>
      <c r="K334" s="85">
        <f>_DATA_Assessment_Model!H334</f>
        <v/>
      </c>
      <c r="L334" s="4">
        <f>_DATA_Assessment_Model!I334</f>
        <v/>
      </c>
      <c r="M334" s="4">
        <f>_DATA_Assessment_Model!J334</f>
        <v/>
      </c>
      <c r="N334" s="4">
        <f>_DATA_Assessment_Model!K334</f>
        <v/>
      </c>
      <c r="O334" s="3">
        <f>_DATA_Assessment_Model!L334</f>
        <v/>
      </c>
      <c r="P334" s="3" t="inlineStr">
        <is>
          <t>No inventory/register exists.</t>
        </is>
      </c>
      <c r="Q334" s="3" t="inlineStr">
        <is>
          <t>Partial lists live in individuals' heads or personal files.</t>
        </is>
      </c>
      <c r="R334" s="3" t="inlineStr">
        <is>
          <t>A register exists but is incomplete or outdated (&gt;1 year) and has no owner.</t>
        </is>
      </c>
      <c r="S334" s="3" t="inlineStr">
        <is>
          <t>Owned, documented, updated on a defined schedule, covers the main scope.</t>
        </is>
      </c>
      <c r="T334" s="3" t="inlineStr">
        <is>
          <t>Complete and periodically reviewed; integrated with related processes; completeness measured.</t>
        </is>
      </c>
      <c r="U334" s="3" t="inlineStr">
        <is>
          <t>Maintained automatically or synced with systems; drives decisions; audited.</t>
        </is>
      </c>
      <c r="V334" s="3" t="inlineStr">
        <is>
          <t>IT outage; Decision failure; Process disruption</t>
        </is>
      </c>
      <c r="W334" s="3" t="n"/>
      <c r="X334" s="3" t="n"/>
      <c r="Y334" s="3" t="inlineStr">
        <is>
          <t>Use the recommended action generated by the model; validate with domain owner during real assessment.</t>
        </is>
      </c>
      <c r="Z334" s="7" t="n">
        <v>5</v>
      </c>
      <c r="AA334" s="7" t="n">
        <v>5</v>
      </c>
      <c r="AB334" s="7" t="n">
        <v>5</v>
      </c>
      <c r="AK334" s="46" t="n"/>
      <c r="AL334" s="46" t="n"/>
      <c r="AM334" s="247">
        <f>_DATA_Assessment_Model!AJ334</f>
        <v/>
      </c>
      <c r="AN334" s="247">
        <f>_DATA_Assessment_Model!AK334</f>
        <v/>
      </c>
      <c r="AO334" s="247">
        <f>_DATA_Assessment_Model!AL334</f>
        <v/>
      </c>
      <c r="AP334" s="247">
        <f>_DATA_Assessment_Model!AM334</f>
        <v/>
      </c>
      <c r="AQ334" s="247">
        <f>_DATA_Assessment_Model!AN334</f>
        <v/>
      </c>
      <c r="AR334" s="247">
        <f>_DATA_Assessment_Model!AO334</f>
        <v/>
      </c>
      <c r="AS334" s="247">
        <f>_DATA_Assessment_Model!AP334</f>
        <v/>
      </c>
      <c r="AT334" s="247">
        <f>_DATA_Assessment_Model!AQ334</f>
        <v/>
      </c>
      <c r="AU334" s="247">
        <f>_DATA_Assessment_Model!AR334</f>
        <v/>
      </c>
      <c r="AV334" s="5">
        <f>_DATA_Assessment_Model!AS334</f>
        <v/>
      </c>
      <c r="AW334" s="5">
        <f>_DATA_Assessment_Model!AT334</f>
        <v/>
      </c>
      <c r="AY334">
        <f>_DATA_Assessment_Model!AV334</f>
        <v/>
      </c>
    </row>
    <row r="335" ht="96.59999999999999" customHeight="1" s="209">
      <c r="A335" t="inlineStr">
        <is>
          <t>Business Systems</t>
        </is>
      </c>
      <c r="B335" t="inlineStr">
        <is>
          <t>Business Systems</t>
        </is>
      </c>
      <c r="C335" t="n">
        <v>15</v>
      </c>
      <c r="D335" s="3" t="inlineStr">
        <is>
          <t>BUSI-012</t>
        </is>
      </c>
      <c r="E335" s="3" t="inlineStr">
        <is>
          <t>MES WMS TMS</t>
        </is>
      </c>
      <c r="F335" s="3" t="inlineStr">
        <is>
          <t>How mature is the organization in managing WMS support for inventory movement, location, status, batch, picking, packing and cycle counts, including ownership, evidence, metrics, fallback procedures and crisis stress testing?</t>
        </is>
      </c>
      <c r="G335" s="3" t="inlineStr">
        <is>
          <t>This topic affects exposure to IT outage; Decision failure; Process disruption. It helps identify how disruption may impact operations, people, revenue, systems, legal exposure or recovery time.</t>
        </is>
      </c>
      <c r="H335" s="3" t="inlineStr">
        <is>
          <t>COBIT; ITIL 4; ISO/IEC 27001; ISO/IEC 20000-1; ERP/CRM/MES/HRMS implementation practices</t>
        </is>
      </c>
      <c r="I335" s="3" t="inlineStr">
        <is>
          <t>Policy/SOP; owner/RACI; system report; dashboard; contracts; test records; incident history; interview evidence related to WMS support for inventory movement, location, status, batch, picking, packing and cycle counts.</t>
        </is>
      </c>
      <c r="J335" s="3" t="n">
        <v>4</v>
      </c>
      <c r="K335" s="85">
        <f>_DATA_Assessment_Model!H335</f>
        <v/>
      </c>
      <c r="L335" s="4">
        <f>_DATA_Assessment_Model!I335</f>
        <v/>
      </c>
      <c r="M335" s="4">
        <f>_DATA_Assessment_Model!J335</f>
        <v/>
      </c>
      <c r="N335" s="4">
        <f>_DATA_Assessment_Model!K335</f>
        <v/>
      </c>
      <c r="O335" s="3">
        <f>_DATA_Assessment_Model!L335</f>
        <v/>
      </c>
      <c r="P335" s="3" t="inlineStr">
        <is>
          <t>No reliable evidence that wms support for inventory movement, location, status, batch, picking, packing and cycle counts is defined, owned or managed.</t>
        </is>
      </c>
      <c r="Q335" s="3" t="inlineStr">
        <is>
          <t>WMS support for inventory movement, location, status, batch, picking, packing and cycle counts is handled informally and depends on individual knowledge or heroic effort.</t>
        </is>
      </c>
      <c r="R335" s="3" t="inlineStr">
        <is>
          <t>WMS support for inventory movement, location, status, batch, picking, packing and cycle counts is partially documented or implemented, but coverage is inconsistent and not crisis-tested.</t>
        </is>
      </c>
      <c r="S335" s="3" t="inlineStr">
        <is>
          <t>WMS support for inventory movement, location, status, batch, picking, packing and cycle counts is documented, owned, used in normal operations and supported by basic evidence or metrics.</t>
        </is>
      </c>
      <c r="T335" s="3" t="inlineStr">
        <is>
          <t>WMS support for inventory movement, location, status, batch, picking, packing and cycle counts is measured, periodically reviewed, integrated with related processes and tested against relevant disruption scenarios.</t>
        </is>
      </c>
      <c r="U335" s="3" t="inlineStr">
        <is>
          <t>WMS support for inventory movement, location, status, batch, picking, packing and cycle counts is optimized, continuously improved, automated where practical and demonstrably supports crisis resilience.</t>
        </is>
      </c>
      <c r="V335" s="3" t="inlineStr">
        <is>
          <t>IT outage; Decision failure; Process disruption</t>
        </is>
      </c>
      <c r="W335" s="3" t="n"/>
      <c r="X335" s="3" t="n"/>
      <c r="Y335" s="3" t="inlineStr">
        <is>
          <t>Use the recommended action generated by the model; validate with domain owner during real assessment.</t>
        </is>
      </c>
      <c r="Z335" s="7" t="n">
        <v>5</v>
      </c>
      <c r="AA335" s="7" t="n">
        <v>5</v>
      </c>
      <c r="AB335" s="7" t="n">
        <v>5</v>
      </c>
      <c r="AK335" s="46" t="n"/>
      <c r="AL335" s="46" t="n"/>
      <c r="AM335" s="247">
        <f>_DATA_Assessment_Model!AJ335</f>
        <v/>
      </c>
      <c r="AN335" s="247">
        <f>_DATA_Assessment_Model!AK335</f>
        <v/>
      </c>
      <c r="AO335" s="247">
        <f>_DATA_Assessment_Model!AL335</f>
        <v/>
      </c>
      <c r="AP335" s="247">
        <f>_DATA_Assessment_Model!AM335</f>
        <v/>
      </c>
      <c r="AQ335" s="247">
        <f>_DATA_Assessment_Model!AN335</f>
        <v/>
      </c>
      <c r="AR335" s="247">
        <f>_DATA_Assessment_Model!AO335</f>
        <v/>
      </c>
      <c r="AS335" s="247">
        <f>_DATA_Assessment_Model!AP335</f>
        <v/>
      </c>
      <c r="AT335" s="247">
        <f>_DATA_Assessment_Model!AQ335</f>
        <v/>
      </c>
      <c r="AU335" s="247">
        <f>_DATA_Assessment_Model!AR335</f>
        <v/>
      </c>
      <c r="AV335" s="5">
        <f>_DATA_Assessment_Model!AS335</f>
        <v/>
      </c>
      <c r="AW335" s="5">
        <f>_DATA_Assessment_Model!AT335</f>
        <v/>
      </c>
      <c r="AY335">
        <f>_DATA_Assessment_Model!AV335</f>
        <v/>
      </c>
    </row>
    <row r="336" ht="96.59999999999999" customHeight="1" s="209">
      <c r="A336" t="inlineStr">
        <is>
          <t>Business Systems</t>
        </is>
      </c>
      <c r="B336" t="inlineStr">
        <is>
          <t>Business Systems</t>
        </is>
      </c>
      <c r="C336" t="n">
        <v>16</v>
      </c>
      <c r="D336" s="3" t="inlineStr">
        <is>
          <t>BUSI-013</t>
        </is>
      </c>
      <c r="E336" s="3" t="inlineStr">
        <is>
          <t>MES WMS TMS</t>
        </is>
      </c>
      <c r="F336" s="3" t="inlineStr">
        <is>
          <t>How mature is the organization in managing TMS support for carrier booking, route planning, tracking and delivery visibility, including ownership, evidence, metrics, fallback procedures and crisis stress testing?</t>
        </is>
      </c>
      <c r="G336" s="3" t="inlineStr">
        <is>
          <t>This topic affects exposure to IT outage; Decision failure; Process disruption. It helps identify how disruption may impact operations, people, revenue, systems, legal exposure or recovery time.</t>
        </is>
      </c>
      <c r="H336" s="3" t="inlineStr">
        <is>
          <t>COBIT; ITIL 4; ISO/IEC 27001; ISO/IEC 20000-1; ERP/CRM/MES/HRMS implementation practices</t>
        </is>
      </c>
      <c r="I336" s="3" t="inlineStr">
        <is>
          <t>Policy/SOP; owner/RACI; system report; dashboard; contracts; test records; incident history; interview evidence related to TMS support for carrier booking, route planning, tracking and delivery visibility.</t>
        </is>
      </c>
      <c r="J336" s="3" t="n">
        <v>3</v>
      </c>
      <c r="K336" s="85">
        <f>_DATA_Assessment_Model!H336</f>
        <v/>
      </c>
      <c r="L336" s="4">
        <f>_DATA_Assessment_Model!I336</f>
        <v/>
      </c>
      <c r="M336" s="4">
        <f>_DATA_Assessment_Model!J336</f>
        <v/>
      </c>
      <c r="N336" s="4">
        <f>_DATA_Assessment_Model!K336</f>
        <v/>
      </c>
      <c r="O336" s="3">
        <f>_DATA_Assessment_Model!L336</f>
        <v/>
      </c>
      <c r="P336" s="3" t="inlineStr">
        <is>
          <t>No reliable evidence that tms support for carrier booking, route planning, tracking and delivery visibility is defined, owned or managed.</t>
        </is>
      </c>
      <c r="Q336" s="3" t="inlineStr">
        <is>
          <t>TMS support for carrier booking, route planning, tracking and delivery visibility is handled informally and depends on individual knowledge or heroic effort.</t>
        </is>
      </c>
      <c r="R336" s="3" t="inlineStr">
        <is>
          <t>TMS support for carrier booking, route planning, tracking and delivery visibility is partially documented or implemented, but coverage is inconsistent and not crisis-tested.</t>
        </is>
      </c>
      <c r="S336" s="3" t="inlineStr">
        <is>
          <t>TMS support for carrier booking, route planning, tracking and delivery visibility is documented, owned, used in normal operations and supported by basic evidence or metrics.</t>
        </is>
      </c>
      <c r="T336" s="3" t="inlineStr">
        <is>
          <t>TMS support for carrier booking, route planning, tracking and delivery visibility is measured, periodically reviewed, integrated with related processes and tested against relevant disruption scenarios.</t>
        </is>
      </c>
      <c r="U336" s="3" t="inlineStr">
        <is>
          <t>TMS support for carrier booking, route planning, tracking and delivery visibility is optimized, continuously improved, automated where practical and demonstrably supports crisis resilience.</t>
        </is>
      </c>
      <c r="V336" s="3" t="inlineStr">
        <is>
          <t>IT outage; Decision failure; Process disruption</t>
        </is>
      </c>
      <c r="W336" s="3" t="n"/>
      <c r="X336" s="3" t="n"/>
      <c r="Y336" s="3" t="inlineStr">
        <is>
          <t>Use the recommended action generated by the model; validate with domain owner during real assessment.</t>
        </is>
      </c>
      <c r="Z336" s="7" t="n">
        <v>5</v>
      </c>
      <c r="AA336" s="7" t="n">
        <v>5</v>
      </c>
      <c r="AB336" s="7" t="n">
        <v>5</v>
      </c>
      <c r="AK336" s="46" t="n"/>
      <c r="AL336" s="46" t="n"/>
      <c r="AM336" s="247">
        <f>_DATA_Assessment_Model!AJ336</f>
        <v/>
      </c>
      <c r="AN336" s="247">
        <f>_DATA_Assessment_Model!AK336</f>
        <v/>
      </c>
      <c r="AO336" s="247">
        <f>_DATA_Assessment_Model!AL336</f>
        <v/>
      </c>
      <c r="AP336" s="247">
        <f>_DATA_Assessment_Model!AM336</f>
        <v/>
      </c>
      <c r="AQ336" s="247">
        <f>_DATA_Assessment_Model!AN336</f>
        <v/>
      </c>
      <c r="AR336" s="247">
        <f>_DATA_Assessment_Model!AO336</f>
        <v/>
      </c>
      <c r="AS336" s="247">
        <f>_DATA_Assessment_Model!AP336</f>
        <v/>
      </c>
      <c r="AT336" s="247">
        <f>_DATA_Assessment_Model!AQ336</f>
        <v/>
      </c>
      <c r="AU336" s="247">
        <f>_DATA_Assessment_Model!AR336</f>
        <v/>
      </c>
      <c r="AV336" s="5">
        <f>_DATA_Assessment_Model!AS336</f>
        <v/>
      </c>
      <c r="AW336" s="5">
        <f>_DATA_Assessment_Model!AT336</f>
        <v/>
      </c>
      <c r="AY336">
        <f>_DATA_Assessment_Model!AV336</f>
        <v/>
      </c>
    </row>
    <row r="337" ht="82.8" customHeight="1" s="209">
      <c r="A337" t="inlineStr">
        <is>
          <t>Business Systems</t>
        </is>
      </c>
      <c r="B337" t="inlineStr">
        <is>
          <t>Business Systems</t>
        </is>
      </c>
      <c r="C337" t="n">
        <v>17</v>
      </c>
      <c r="D337" s="3" t="inlineStr">
        <is>
          <t>BUSI-014</t>
        </is>
      </c>
      <c r="E337" s="3" t="inlineStr">
        <is>
          <t>HRMS and finance systems</t>
        </is>
      </c>
      <c r="F337" s="3" t="inlineStr">
        <is>
          <t>How mature is the organization in managing HRMS coverage for employee records, roles, skills, absence, payroll inputs and emergency contacts, including ownership, evidence, metrics, fallback procedures and crisis stress testing?</t>
        </is>
      </c>
      <c r="G337" s="3" t="inlineStr">
        <is>
          <t>This topic affects exposure to IT outage; Decision failure; Process disruption. It helps identify how disruption may impact operations, people, revenue, systems, legal exposure or recovery time.</t>
        </is>
      </c>
      <c r="H337" s="3" t="inlineStr">
        <is>
          <t>COBIT; ITIL 4; ISO/IEC 27001; ISO/IEC 20000-1; ERP/CRM/MES/HRMS implementation practices</t>
        </is>
      </c>
      <c r="I337" s="3" t="inlineStr">
        <is>
          <t>Policy/SOP; owner/RACI; system report; dashboard; contracts; test records; incident history; interview evidence related to HRMS coverage for employee records, roles, skills, absence, payroll inputs and emergency contacts.</t>
        </is>
      </c>
      <c r="J337" s="3" t="n">
        <v>5</v>
      </c>
      <c r="K337" s="85">
        <f>_DATA_Assessment_Model!H337</f>
        <v/>
      </c>
      <c r="L337" s="4">
        <f>_DATA_Assessment_Model!I337</f>
        <v/>
      </c>
      <c r="M337" s="4">
        <f>_DATA_Assessment_Model!J337</f>
        <v/>
      </c>
      <c r="N337" s="4">
        <f>_DATA_Assessment_Model!K337</f>
        <v/>
      </c>
      <c r="O337" s="3">
        <f>_DATA_Assessment_Model!L337</f>
        <v/>
      </c>
      <c r="P337" s="3" t="inlineStr">
        <is>
          <t>Does not exist; no owner, no documentation, no practice.</t>
        </is>
      </c>
      <c r="Q337" s="3" t="inlineStr">
        <is>
          <t>Ad hoc; depends entirely on specific individuals.</t>
        </is>
      </c>
      <c r="R337" s="3" t="inlineStr">
        <is>
          <t>Partially documented or implemented; coverage inconsistent; never tested under stress.</t>
        </is>
      </c>
      <c r="S337" s="3" t="inlineStr">
        <is>
          <t>Documented, owned, executed consistently; basic evidence and metrics exist.</t>
        </is>
      </c>
      <c r="T337" s="3" t="inlineStr">
        <is>
          <t>Measured and periodically tested/audited; integrated with adjacent processes.</t>
        </is>
      </c>
      <c r="U337" s="3" t="inlineStr">
        <is>
          <t>Optimized and automated where practical; stress-tested; benchmarked externally.</t>
        </is>
      </c>
      <c r="V337" s="3" t="inlineStr">
        <is>
          <t>IT outage; Decision failure; Process disruption</t>
        </is>
      </c>
      <c r="W337" s="3" t="n"/>
      <c r="X337" s="3" t="n"/>
      <c r="Y337" s="3" t="inlineStr">
        <is>
          <t>Use the recommended action generated by the model; validate with domain owner during real assessment.</t>
        </is>
      </c>
      <c r="Z337" s="7" t="n">
        <v>5</v>
      </c>
      <c r="AA337" s="7" t="n">
        <v>5</v>
      </c>
      <c r="AB337" s="7" t="n">
        <v>5</v>
      </c>
      <c r="AK337" s="46" t="n"/>
      <c r="AL337" s="46" t="n"/>
      <c r="AM337" s="247">
        <f>_DATA_Assessment_Model!AJ337</f>
        <v/>
      </c>
      <c r="AN337" s="247">
        <f>_DATA_Assessment_Model!AK337</f>
        <v/>
      </c>
      <c r="AO337" s="247">
        <f>_DATA_Assessment_Model!AL337</f>
        <v/>
      </c>
      <c r="AP337" s="247">
        <f>_DATA_Assessment_Model!AM337</f>
        <v/>
      </c>
      <c r="AQ337" s="247">
        <f>_DATA_Assessment_Model!AN337</f>
        <v/>
      </c>
      <c r="AR337" s="247">
        <f>_DATA_Assessment_Model!AO337</f>
        <v/>
      </c>
      <c r="AS337" s="247">
        <f>_DATA_Assessment_Model!AP337</f>
        <v/>
      </c>
      <c r="AT337" s="247">
        <f>_DATA_Assessment_Model!AQ337</f>
        <v/>
      </c>
      <c r="AU337" s="247">
        <f>_DATA_Assessment_Model!AR337</f>
        <v/>
      </c>
      <c r="AV337" s="5">
        <f>_DATA_Assessment_Model!AS337</f>
        <v/>
      </c>
      <c r="AW337" s="5">
        <f>_DATA_Assessment_Model!AT337</f>
        <v/>
      </c>
      <c r="AY337">
        <f>_DATA_Assessment_Model!AV337</f>
        <v/>
      </c>
    </row>
    <row r="338" ht="82.8" customHeight="1" s="209">
      <c r="A338" t="inlineStr">
        <is>
          <t>Business Systems</t>
        </is>
      </c>
      <c r="B338" t="inlineStr">
        <is>
          <t>Business Systems</t>
        </is>
      </c>
      <c r="C338" t="n">
        <v>18</v>
      </c>
      <c r="D338" s="3" t="inlineStr">
        <is>
          <t>BUSI-015</t>
        </is>
      </c>
      <c r="E338" s="3" t="inlineStr">
        <is>
          <t>HRMS and finance systems</t>
        </is>
      </c>
      <c r="F338" s="3" t="inlineStr">
        <is>
          <t>How mature is the organization in managing HRMS data quality for employee location, manager, emergency contacts and criticality, including ownership, evidence, metrics, fallback procedures and crisis stress testing?</t>
        </is>
      </c>
      <c r="G338" s="3" t="inlineStr">
        <is>
          <t>This topic affects exposure to IT outage; Decision failure; Process disruption. It helps identify how disruption may impact operations, people, revenue, systems, legal exposure or recovery time.</t>
        </is>
      </c>
      <c r="H338" s="3" t="inlineStr">
        <is>
          <t>COBIT; ITIL 4; ISO/IEC 27001; ISO/IEC 20000-1; ERP/CRM/MES/HRMS implementation practices</t>
        </is>
      </c>
      <c r="I338" s="3" t="inlineStr">
        <is>
          <t>Policy/SOP; owner/RACI; system report; dashboard; contracts; test records; incident history; interview evidence related to HRMS data quality for employee location, manager, emergency contacts and criticality.</t>
        </is>
      </c>
      <c r="J338" s="3" t="n">
        <v>5</v>
      </c>
      <c r="K338" s="85">
        <f>_DATA_Assessment_Model!H338</f>
        <v/>
      </c>
      <c r="L338" s="4">
        <f>_DATA_Assessment_Model!I338</f>
        <v/>
      </c>
      <c r="M338" s="4">
        <f>_DATA_Assessment_Model!J338</f>
        <v/>
      </c>
      <c r="N338" s="4">
        <f>_DATA_Assessment_Model!K338</f>
        <v/>
      </c>
      <c r="O338" s="3">
        <f>_DATA_Assessment_Model!L338</f>
        <v/>
      </c>
      <c r="P338" s="3" t="inlineStr">
        <is>
          <t>Does not exist; no owner, no documentation, no practice.</t>
        </is>
      </c>
      <c r="Q338" s="3" t="inlineStr">
        <is>
          <t>Ad hoc; depends entirely on specific individuals.</t>
        </is>
      </c>
      <c r="R338" s="3" t="inlineStr">
        <is>
          <t>Partially documented or implemented; coverage inconsistent; never tested under stress.</t>
        </is>
      </c>
      <c r="S338" s="3" t="inlineStr">
        <is>
          <t>Documented, owned, executed consistently; basic evidence and metrics exist.</t>
        </is>
      </c>
      <c r="T338" s="3" t="inlineStr">
        <is>
          <t>Measured and periodically tested/audited; integrated with adjacent processes.</t>
        </is>
      </c>
      <c r="U338" s="3" t="inlineStr">
        <is>
          <t>Optimized and automated where practical; stress-tested; benchmarked externally.</t>
        </is>
      </c>
      <c r="V338" s="3" t="inlineStr">
        <is>
          <t>IT outage; Decision failure; Process disruption</t>
        </is>
      </c>
      <c r="W338" s="3" t="n"/>
      <c r="X338" s="3" t="n"/>
      <c r="Y338" s="3" t="inlineStr">
        <is>
          <t>Use the recommended action generated by the model; validate with domain owner during real assessment.</t>
        </is>
      </c>
      <c r="Z338" s="7" t="n">
        <v>5</v>
      </c>
      <c r="AA338" s="7" t="n">
        <v>5</v>
      </c>
      <c r="AB338" s="7" t="n">
        <v>5</v>
      </c>
      <c r="AK338" s="46" t="n"/>
      <c r="AL338" s="46" t="n"/>
      <c r="AM338" s="247">
        <f>_DATA_Assessment_Model!AJ338</f>
        <v/>
      </c>
      <c r="AN338" s="247">
        <f>_DATA_Assessment_Model!AK338</f>
        <v/>
      </c>
      <c r="AO338" s="247">
        <f>_DATA_Assessment_Model!AL338</f>
        <v/>
      </c>
      <c r="AP338" s="247">
        <f>_DATA_Assessment_Model!AM338</f>
        <v/>
      </c>
      <c r="AQ338" s="247">
        <f>_DATA_Assessment_Model!AN338</f>
        <v/>
      </c>
      <c r="AR338" s="247">
        <f>_DATA_Assessment_Model!AO338</f>
        <v/>
      </c>
      <c r="AS338" s="247">
        <f>_DATA_Assessment_Model!AP338</f>
        <v/>
      </c>
      <c r="AT338" s="247">
        <f>_DATA_Assessment_Model!AQ338</f>
        <v/>
      </c>
      <c r="AU338" s="247">
        <f>_DATA_Assessment_Model!AR338</f>
        <v/>
      </c>
      <c r="AV338" s="5">
        <f>_DATA_Assessment_Model!AS338</f>
        <v/>
      </c>
      <c r="AW338" s="5">
        <f>_DATA_Assessment_Model!AT338</f>
        <v/>
      </c>
      <c r="AY338">
        <f>_DATA_Assessment_Model!AV338</f>
        <v/>
      </c>
    </row>
    <row r="339" ht="82.8" customHeight="1" s="209">
      <c r="A339" t="inlineStr">
        <is>
          <t>Business Systems</t>
        </is>
      </c>
      <c r="B339" t="inlineStr">
        <is>
          <t>Business Systems</t>
        </is>
      </c>
      <c r="C339" t="n">
        <v>19</v>
      </c>
      <c r="D339" s="3" t="inlineStr">
        <is>
          <t>BUSI-016</t>
        </is>
      </c>
      <c r="E339" s="3" t="inlineStr">
        <is>
          <t>HRMS and finance systems</t>
        </is>
      </c>
      <c r="F339" s="3" t="inlineStr">
        <is>
          <t>How mature is the organization in managing finance, banking, expense, payroll and procurement system integration or reconciliation, including ownership, evidence, metrics, fallback procedures and crisis stress testing?</t>
        </is>
      </c>
      <c r="G339" s="3" t="inlineStr">
        <is>
          <t>This topic affects exposure to IT outage; Decision failure; Process disruption. It helps identify how disruption may impact operations, people, revenue, systems, legal exposure or recovery time.</t>
        </is>
      </c>
      <c r="H339" s="3" t="inlineStr">
        <is>
          <t>COBIT; ITIL 4; ISO/IEC 27001; ISO/IEC 20000-1; ERP/CRM/MES/HRMS implementation practices</t>
        </is>
      </c>
      <c r="I339" s="3" t="inlineStr">
        <is>
          <t>Policy/SOP; owner/RACI; system report; dashboard; contracts; test records; incident history; interview evidence related to finance, banking, expense, payroll and procurement system integration or reconciliation.</t>
        </is>
      </c>
      <c r="J339" s="3" t="n">
        <v>5</v>
      </c>
      <c r="K339" s="85">
        <f>_DATA_Assessment_Model!H339</f>
        <v/>
      </c>
      <c r="L339" s="4">
        <f>_DATA_Assessment_Model!I339</f>
        <v/>
      </c>
      <c r="M339" s="4">
        <f>_DATA_Assessment_Model!J339</f>
        <v/>
      </c>
      <c r="N339" s="4">
        <f>_DATA_Assessment_Model!K339</f>
        <v/>
      </c>
      <c r="O339" s="3">
        <f>_DATA_Assessment_Model!L339</f>
        <v/>
      </c>
      <c r="P339" s="3" t="inlineStr">
        <is>
          <t>Does not exist; no owner, no documentation, no practice.</t>
        </is>
      </c>
      <c r="Q339" s="3" t="inlineStr">
        <is>
          <t>Ad hoc; depends entirely on specific individuals.</t>
        </is>
      </c>
      <c r="R339" s="3" t="inlineStr">
        <is>
          <t>Partially documented or implemented; coverage inconsistent; never tested under stress.</t>
        </is>
      </c>
      <c r="S339" s="3" t="inlineStr">
        <is>
          <t>Documented, owned, executed consistently; basic evidence and metrics exist.</t>
        </is>
      </c>
      <c r="T339" s="3" t="inlineStr">
        <is>
          <t>Measured and periodically tested/audited; integrated with adjacent processes.</t>
        </is>
      </c>
      <c r="U339" s="3" t="inlineStr">
        <is>
          <t>Optimized and automated where practical; stress-tested; benchmarked externally.</t>
        </is>
      </c>
      <c r="V339" s="3" t="inlineStr">
        <is>
          <t>IT outage; Decision failure; Process disruption</t>
        </is>
      </c>
      <c r="W339" s="3" t="n"/>
      <c r="X339" s="3" t="n"/>
      <c r="Y339" s="3" t="inlineStr">
        <is>
          <t>Use the recommended action generated by the model; validate with domain owner during real assessment.</t>
        </is>
      </c>
      <c r="Z339" s="7" t="n">
        <v>5</v>
      </c>
      <c r="AA339" s="7" t="n">
        <v>5</v>
      </c>
      <c r="AB339" s="7" t="n">
        <v>5</v>
      </c>
      <c r="AK339" s="46" t="n"/>
      <c r="AL339" s="46" t="n"/>
      <c r="AM339" s="247">
        <f>_DATA_Assessment_Model!AJ339</f>
        <v/>
      </c>
      <c r="AN339" s="247">
        <f>_DATA_Assessment_Model!AK339</f>
        <v/>
      </c>
      <c r="AO339" s="247">
        <f>_DATA_Assessment_Model!AL339</f>
        <v/>
      </c>
      <c r="AP339" s="247">
        <f>_DATA_Assessment_Model!AM339</f>
        <v/>
      </c>
      <c r="AQ339" s="247">
        <f>_DATA_Assessment_Model!AN339</f>
        <v/>
      </c>
      <c r="AR339" s="247">
        <f>_DATA_Assessment_Model!AO339</f>
        <v/>
      </c>
      <c r="AS339" s="247">
        <f>_DATA_Assessment_Model!AP339</f>
        <v/>
      </c>
      <c r="AT339" s="247">
        <f>_DATA_Assessment_Model!AQ339</f>
        <v/>
      </c>
      <c r="AU339" s="247">
        <f>_DATA_Assessment_Model!AR339</f>
        <v/>
      </c>
      <c r="AV339" s="5">
        <f>_DATA_Assessment_Model!AS339</f>
        <v/>
      </c>
      <c r="AW339" s="5">
        <f>_DATA_Assessment_Model!AT339</f>
        <v/>
      </c>
      <c r="AY339">
        <f>_DATA_Assessment_Model!AV339</f>
        <v/>
      </c>
    </row>
    <row r="340" ht="96.59999999999999" customHeight="1" s="209">
      <c r="A340" t="inlineStr">
        <is>
          <t>Business Systems</t>
        </is>
      </c>
      <c r="B340" t="inlineStr">
        <is>
          <t>Business Systems</t>
        </is>
      </c>
      <c r="C340" t="n">
        <v>20</v>
      </c>
      <c r="D340" s="3" t="inlineStr">
        <is>
          <t>BUSI-018</t>
        </is>
      </c>
      <c r="E340" s="3" t="inlineStr">
        <is>
          <t>Governance and lifecycle</t>
        </is>
      </c>
      <c r="F340" s="3" t="inlineStr">
        <is>
          <t>How mature is the organization in managing system ownership with business owner, technical owner, data owner and support owner, including ownership, evidence, metrics, fallback procedures and crisis stress testing?</t>
        </is>
      </c>
      <c r="G340" s="3" t="inlineStr">
        <is>
          <t>This topic affects exposure to IT outage; Decision failure; Process disruption. It helps identify how disruption may impact operations, people, revenue, systems, legal exposure or recovery time.</t>
        </is>
      </c>
      <c r="H340" s="3" t="inlineStr">
        <is>
          <t>COBIT; ITIL 4; ISO/IEC 27001; ISO/IEC 20000-1; ERP/CRM/MES/HRMS implementation practices</t>
        </is>
      </c>
      <c r="I340" s="3" t="inlineStr">
        <is>
          <t>Policy/SOP; owner/RACI; system report; dashboard; contracts; test records; incident history; interview evidence related to system ownership with business owner, technical owner, data owner and support owner.</t>
        </is>
      </c>
      <c r="J340" s="3" t="n">
        <v>4</v>
      </c>
      <c r="K340" s="85">
        <f>_DATA_Assessment_Model!H340</f>
        <v/>
      </c>
      <c r="L340" s="4">
        <f>_DATA_Assessment_Model!I340</f>
        <v/>
      </c>
      <c r="M340" s="4">
        <f>_DATA_Assessment_Model!J340</f>
        <v/>
      </c>
      <c r="N340" s="4">
        <f>_DATA_Assessment_Model!K340</f>
        <v/>
      </c>
      <c r="O340" s="3">
        <f>_DATA_Assessment_Model!L340</f>
        <v/>
      </c>
      <c r="P340" s="3" t="inlineStr">
        <is>
          <t>No reliable evidence that system ownership with business owner, technical owner, data owner and support owner is defined, owned or managed.</t>
        </is>
      </c>
      <c r="Q340" s="3" t="inlineStr">
        <is>
          <t>System ownership with business owner, technical owner, data owner and support owner is handled informally and depends on individual knowledge or heroic effort.</t>
        </is>
      </c>
      <c r="R340" s="3" t="inlineStr">
        <is>
          <t>System ownership with business owner, technical owner, data owner and support owner is partially documented or implemented, but coverage is inconsistent and not crisis-tested.</t>
        </is>
      </c>
      <c r="S340" s="3" t="inlineStr">
        <is>
          <t>System ownership with business owner, technical owner, data owner and support owner is documented, owned, used in normal operations and supported by basic evidence or metrics.</t>
        </is>
      </c>
      <c r="T340" s="3" t="inlineStr">
        <is>
          <t>System ownership with business owner, technical owner, data owner and support owner is measured, periodically reviewed, integrated with related processes and tested against relevant disruption scenarios.</t>
        </is>
      </c>
      <c r="U340" s="3" t="inlineStr">
        <is>
          <t>System ownership with business owner, technical owner, data owner and support owner is optimized, continuously improved, automated where practical and demonstrably supports crisis resilience.</t>
        </is>
      </c>
      <c r="V340" s="3" t="inlineStr">
        <is>
          <t>IT outage; Decision failure; Process disruption</t>
        </is>
      </c>
      <c r="W340" s="3" t="n"/>
      <c r="X340" s="3" t="n"/>
      <c r="Y340" s="3" t="inlineStr">
        <is>
          <t>Use the recommended action generated by the model; validate with domain owner during real assessment.</t>
        </is>
      </c>
      <c r="Z340" s="7" t="n">
        <v>5</v>
      </c>
      <c r="AA340" s="7" t="n">
        <v>5</v>
      </c>
      <c r="AB340" s="7" t="n">
        <v>5</v>
      </c>
      <c r="AK340" s="46" t="n"/>
      <c r="AL340" s="46" t="n"/>
      <c r="AM340" s="247">
        <f>_DATA_Assessment_Model!AJ340</f>
        <v/>
      </c>
      <c r="AN340" s="247">
        <f>_DATA_Assessment_Model!AK340</f>
        <v/>
      </c>
      <c r="AO340" s="247">
        <f>_DATA_Assessment_Model!AL340</f>
        <v/>
      </c>
      <c r="AP340" s="247">
        <f>_DATA_Assessment_Model!AM340</f>
        <v/>
      </c>
      <c r="AQ340" s="247">
        <f>_DATA_Assessment_Model!AN340</f>
        <v/>
      </c>
      <c r="AR340" s="247">
        <f>_DATA_Assessment_Model!AO340</f>
        <v/>
      </c>
      <c r="AS340" s="247">
        <f>_DATA_Assessment_Model!AP340</f>
        <v/>
      </c>
      <c r="AT340" s="247">
        <f>_DATA_Assessment_Model!AQ340</f>
        <v/>
      </c>
      <c r="AU340" s="247">
        <f>_DATA_Assessment_Model!AR340</f>
        <v/>
      </c>
      <c r="AV340" s="5">
        <f>_DATA_Assessment_Model!AS340</f>
        <v/>
      </c>
      <c r="AW340" s="5">
        <f>_DATA_Assessment_Model!AT340</f>
        <v/>
      </c>
      <c r="AY340">
        <f>_DATA_Assessment_Model!AV340</f>
        <v/>
      </c>
    </row>
    <row r="341" ht="82.8" customHeight="1" s="209">
      <c r="A341" t="inlineStr">
        <is>
          <t>Business Systems</t>
        </is>
      </c>
      <c r="B341" t="inlineStr">
        <is>
          <t>Business Systems</t>
        </is>
      </c>
      <c r="C341" t="n">
        <v>21</v>
      </c>
      <c r="D341" s="3" t="inlineStr">
        <is>
          <t>BUSI-019</t>
        </is>
      </c>
      <c r="E341" s="3" t="inlineStr">
        <is>
          <t>Governance and lifecycle</t>
        </is>
      </c>
      <c r="F341" s="3" t="inlineStr">
        <is>
          <t>How mature is the organization in managing critical system lifecycle review for fit, cost, risk, security, scalability and replacement needs, including ownership, evidence, metrics, fallback procedures and crisis stress testing?</t>
        </is>
      </c>
      <c r="G341" s="3" t="inlineStr">
        <is>
          <t>This topic affects exposure to IT outage; Decision failure; Process disruption. It helps identify how disruption may impact operations, people, revenue, systems, legal exposure or recovery time.</t>
        </is>
      </c>
      <c r="H341" s="3" t="inlineStr">
        <is>
          <t>COBIT; ITIL 4; ISO/IEC 27001; ISO/IEC 20000-1; ERP/CRM/MES/HRMS implementation practices</t>
        </is>
      </c>
      <c r="I341" s="3" t="inlineStr">
        <is>
          <t>Policy/SOP; owner/RACI; system report; dashboard; contracts; test records; incident history; interview evidence related to critical system lifecycle review for fit, cost, risk, security, scalability and replacement needs.</t>
        </is>
      </c>
      <c r="J341" s="3" t="n">
        <v>5</v>
      </c>
      <c r="K341" s="85">
        <f>_DATA_Assessment_Model!H341</f>
        <v/>
      </c>
      <c r="L341" s="4">
        <f>_DATA_Assessment_Model!I341</f>
        <v/>
      </c>
      <c r="M341" s="4">
        <f>_DATA_Assessment_Model!J341</f>
        <v/>
      </c>
      <c r="N341" s="4">
        <f>_DATA_Assessment_Model!K341</f>
        <v/>
      </c>
      <c r="O341" s="3">
        <f>_DATA_Assessment_Model!L341</f>
        <v/>
      </c>
      <c r="P341" s="3" t="inlineStr">
        <is>
          <t>Does not exist; no owner, no documentation, no practice.</t>
        </is>
      </c>
      <c r="Q341" s="3" t="inlineStr">
        <is>
          <t>Ad hoc; depends entirely on specific individuals.</t>
        </is>
      </c>
      <c r="R341" s="3" t="inlineStr">
        <is>
          <t>Partially documented or implemented; coverage inconsistent; never tested under stress.</t>
        </is>
      </c>
      <c r="S341" s="3" t="inlineStr">
        <is>
          <t>Documented, owned, executed consistently; basic evidence and metrics exist.</t>
        </is>
      </c>
      <c r="T341" s="3" t="inlineStr">
        <is>
          <t>Measured and periodically tested/audited; integrated with adjacent processes.</t>
        </is>
      </c>
      <c r="U341" s="3" t="inlineStr">
        <is>
          <t>Optimized and automated where practical; stress-tested; benchmarked externally.</t>
        </is>
      </c>
      <c r="V341" s="3" t="inlineStr">
        <is>
          <t>IT outage; Decision failure; Process disruption</t>
        </is>
      </c>
      <c r="W341" s="3" t="n"/>
      <c r="X341" s="3" t="n"/>
      <c r="Y341" s="3" t="inlineStr">
        <is>
          <t>Use the recommended action generated by the model; validate with domain owner during real assessment.</t>
        </is>
      </c>
      <c r="Z341" s="7" t="n">
        <v>5</v>
      </c>
      <c r="AA341" s="7" t="n">
        <v>5</v>
      </c>
      <c r="AB341" s="7" t="n">
        <v>5</v>
      </c>
      <c r="AK341" s="46" t="n"/>
      <c r="AL341" s="46" t="n"/>
      <c r="AM341" s="247">
        <f>_DATA_Assessment_Model!AJ341</f>
        <v/>
      </c>
      <c r="AN341" s="247">
        <f>_DATA_Assessment_Model!AK341</f>
        <v/>
      </c>
      <c r="AO341" s="247">
        <f>_DATA_Assessment_Model!AL341</f>
        <v/>
      </c>
      <c r="AP341" s="247">
        <f>_DATA_Assessment_Model!AM341</f>
        <v/>
      </c>
      <c r="AQ341" s="247">
        <f>_DATA_Assessment_Model!AN341</f>
        <v/>
      </c>
      <c r="AR341" s="247">
        <f>_DATA_Assessment_Model!AO341</f>
        <v/>
      </c>
      <c r="AS341" s="247">
        <f>_DATA_Assessment_Model!AP341</f>
        <v/>
      </c>
      <c r="AT341" s="247">
        <f>_DATA_Assessment_Model!AQ341</f>
        <v/>
      </c>
      <c r="AU341" s="247">
        <f>_DATA_Assessment_Model!AR341</f>
        <v/>
      </c>
      <c r="AV341" s="5">
        <f>_DATA_Assessment_Model!AS341</f>
        <v/>
      </c>
      <c r="AW341" s="5">
        <f>_DATA_Assessment_Model!AT341</f>
        <v/>
      </c>
      <c r="AY341">
        <f>_DATA_Assessment_Model!AV341</f>
        <v/>
      </c>
    </row>
    <row r="342" ht="82.8" customHeight="1" s="209">
      <c r="A342" t="inlineStr">
        <is>
          <t>Business Systems</t>
        </is>
      </c>
      <c r="B342" t="inlineStr">
        <is>
          <t>Business Systems</t>
        </is>
      </c>
      <c r="C342" t="n">
        <v>22</v>
      </c>
      <c r="D342" s="3" t="inlineStr">
        <is>
          <t>BUSI-020</t>
        </is>
      </c>
      <c r="E342" s="3" t="inlineStr">
        <is>
          <t>Governance and lifecycle</t>
        </is>
      </c>
      <c r="F342" s="3" t="inlineStr">
        <is>
          <t>How mature is the organization in managing shadow IT inventory for business-critical spreadsheets, scripts, low-code apps and unmanaged SaaS, including ownership, evidence, metrics, fallback procedures and crisis stress testing?</t>
        </is>
      </c>
      <c r="G342" s="3" t="inlineStr">
        <is>
          <t>This topic affects exposure to IT outage; Decision failure; Process disruption. It helps identify how disruption may impact operations, people, revenue, systems, legal exposure or recovery time.</t>
        </is>
      </c>
      <c r="H342" s="3" t="inlineStr">
        <is>
          <t>COBIT; ITIL 4; ISO/IEC 27001; ISO/IEC 20000-1; ERP/CRM/MES/HRMS implementation practices</t>
        </is>
      </c>
      <c r="I342" s="3" t="inlineStr">
        <is>
          <t>Policy/SOP; owner/RACI; system report; dashboard; contracts; test records; incident history; interview evidence related to shadow IT inventory for business-critical spreadsheets, scripts, low-code apps and unmanaged SaaS.</t>
        </is>
      </c>
      <c r="J342" s="3" t="n">
        <v>5</v>
      </c>
      <c r="K342" s="85">
        <f>_DATA_Assessment_Model!H342</f>
        <v/>
      </c>
      <c r="L342" s="4">
        <f>_DATA_Assessment_Model!I342</f>
        <v/>
      </c>
      <c r="M342" s="4">
        <f>_DATA_Assessment_Model!J342</f>
        <v/>
      </c>
      <c r="N342" s="4">
        <f>_DATA_Assessment_Model!K342</f>
        <v/>
      </c>
      <c r="O342" s="3">
        <f>_DATA_Assessment_Model!L342</f>
        <v/>
      </c>
      <c r="P342" s="3" t="inlineStr">
        <is>
          <t>No inventory/register exists.</t>
        </is>
      </c>
      <c r="Q342" s="3" t="inlineStr">
        <is>
          <t>Partial lists live in individuals' heads or personal files.</t>
        </is>
      </c>
      <c r="R342" s="3" t="inlineStr">
        <is>
          <t>A register exists but is incomplete or outdated (&gt;1 year) and has no owner.</t>
        </is>
      </c>
      <c r="S342" s="3" t="inlineStr">
        <is>
          <t>Owned, documented, updated on a defined schedule, covers the main scope.</t>
        </is>
      </c>
      <c r="T342" s="3" t="inlineStr">
        <is>
          <t>Complete and periodically reviewed; integrated with related processes; completeness measured.</t>
        </is>
      </c>
      <c r="U342" s="3" t="inlineStr">
        <is>
          <t>Maintained automatically or synced with systems; drives decisions; audited.</t>
        </is>
      </c>
      <c r="V342" s="3" t="inlineStr">
        <is>
          <t>IT outage; Decision failure; Process disruption</t>
        </is>
      </c>
      <c r="W342" s="3" t="n"/>
      <c r="X342" s="3" t="n"/>
      <c r="Y342" s="3" t="inlineStr">
        <is>
          <t>Use the recommended action generated by the model; validate with domain owner during real assessment.</t>
        </is>
      </c>
      <c r="Z342" s="7" t="n">
        <v>5</v>
      </c>
      <c r="AA342" s="7" t="n">
        <v>5</v>
      </c>
      <c r="AB342" s="7" t="n">
        <v>5</v>
      </c>
      <c r="AK342" s="46" t="n"/>
      <c r="AL342" s="46" t="n"/>
      <c r="AM342" s="247">
        <f>_DATA_Assessment_Model!AJ342</f>
        <v/>
      </c>
      <c r="AN342" s="247">
        <f>_DATA_Assessment_Model!AK342</f>
        <v/>
      </c>
      <c r="AO342" s="247">
        <f>_DATA_Assessment_Model!AL342</f>
        <v/>
      </c>
      <c r="AP342" s="247">
        <f>_DATA_Assessment_Model!AM342</f>
        <v/>
      </c>
      <c r="AQ342" s="247">
        <f>_DATA_Assessment_Model!AN342</f>
        <v/>
      </c>
      <c r="AR342" s="247">
        <f>_DATA_Assessment_Model!AO342</f>
        <v/>
      </c>
      <c r="AS342" s="247">
        <f>_DATA_Assessment_Model!AP342</f>
        <v/>
      </c>
      <c r="AT342" s="247">
        <f>_DATA_Assessment_Model!AQ342</f>
        <v/>
      </c>
      <c r="AU342" s="247">
        <f>_DATA_Assessment_Model!AR342</f>
        <v/>
      </c>
      <c r="AV342" s="5">
        <f>_DATA_Assessment_Model!AS342</f>
        <v/>
      </c>
      <c r="AW342" s="5">
        <f>_DATA_Assessment_Model!AT342</f>
        <v/>
      </c>
      <c r="AY342">
        <f>_DATA_Assessment_Model!AV342</f>
        <v/>
      </c>
    </row>
    <row r="343" ht="69" customHeight="1" s="209">
      <c r="A343" t="inlineStr">
        <is>
          <t>Business Systems</t>
        </is>
      </c>
      <c r="B343" t="inlineStr">
        <is>
          <t>Business Systems</t>
        </is>
      </c>
      <c r="C343" t="n">
        <v>23</v>
      </c>
      <c r="D343" s="3" t="inlineStr">
        <is>
          <t>BUSI-021</t>
        </is>
      </c>
      <c r="E343" s="3" t="inlineStr">
        <is>
          <t>Governance and lifecycle</t>
        </is>
      </c>
      <c r="F343" s="3" t="inlineStr">
        <is>
          <t>How mature is the organization in managing admin account governance across ERP, CRM, HRMS, MES, BI and SaaS tools, including ownership, evidence, metrics, fallback procedures and crisis stress testing?</t>
        </is>
      </c>
      <c r="G343" s="3" t="inlineStr">
        <is>
          <t>This topic affects exposure to IT outage; Decision failure; Process disruption. It helps identify how disruption may impact operations, people, revenue, systems, legal exposure or recovery time.</t>
        </is>
      </c>
      <c r="H343" s="3" t="inlineStr">
        <is>
          <t>COBIT; ITIL 4; ISO/IEC 27001; ISO/IEC 20000-1; ERP/CRM/MES/HRMS implementation practices</t>
        </is>
      </c>
      <c r="I343" s="3" t="inlineStr">
        <is>
          <t>Policy/SOP; owner/RACI; system report; dashboard; contracts; test records; incident history; interview evidence related to admin account governance across ERP, CRM, HRMS, MES, BI and SaaS tools.</t>
        </is>
      </c>
      <c r="J343" s="3" t="n">
        <v>5</v>
      </c>
      <c r="K343" s="85">
        <f>_DATA_Assessment_Model!H343</f>
        <v/>
      </c>
      <c r="L343" s="4">
        <f>_DATA_Assessment_Model!I343</f>
        <v/>
      </c>
      <c r="M343" s="4">
        <f>_DATA_Assessment_Model!J343</f>
        <v/>
      </c>
      <c r="N343" s="4">
        <f>_DATA_Assessment_Model!K343</f>
        <v/>
      </c>
      <c r="O343" s="3">
        <f>_DATA_Assessment_Model!L343</f>
        <v/>
      </c>
      <c r="P343" s="3" t="inlineStr">
        <is>
          <t>Does not exist; no owner, no documentation, no practice.</t>
        </is>
      </c>
      <c r="Q343" s="3" t="inlineStr">
        <is>
          <t>Ad hoc; depends entirely on specific individuals.</t>
        </is>
      </c>
      <c r="R343" s="3" t="inlineStr">
        <is>
          <t>Partially documented or implemented; coverage inconsistent; never tested under stress.</t>
        </is>
      </c>
      <c r="S343" s="3" t="inlineStr">
        <is>
          <t>Documented, owned, executed consistently; basic evidence and metrics exist.</t>
        </is>
      </c>
      <c r="T343" s="3" t="inlineStr">
        <is>
          <t>Measured and periodically tested/audited; integrated with adjacent processes.</t>
        </is>
      </c>
      <c r="U343" s="3" t="inlineStr">
        <is>
          <t>Optimized and automated where practical; stress-tested; benchmarked externally.</t>
        </is>
      </c>
      <c r="V343" s="3" t="inlineStr">
        <is>
          <t>IT outage; Decision failure; Process disruption</t>
        </is>
      </c>
      <c r="W343" s="3" t="n"/>
      <c r="X343" s="3" t="n"/>
      <c r="Y343" s="3" t="inlineStr">
        <is>
          <t>Use the recommended action generated by the model; validate with domain owner during real assessment.</t>
        </is>
      </c>
      <c r="Z343" s="7" t="n">
        <v>5</v>
      </c>
      <c r="AA343" s="7" t="n">
        <v>5</v>
      </c>
      <c r="AB343" s="7" t="n">
        <v>5</v>
      </c>
      <c r="AK343" s="46" t="n"/>
      <c r="AL343" s="46" t="n"/>
      <c r="AM343" s="247">
        <f>_DATA_Assessment_Model!AJ343</f>
        <v/>
      </c>
      <c r="AN343" s="247">
        <f>_DATA_Assessment_Model!AK343</f>
        <v/>
      </c>
      <c r="AO343" s="247">
        <f>_DATA_Assessment_Model!AL343</f>
        <v/>
      </c>
      <c r="AP343" s="247">
        <f>_DATA_Assessment_Model!AM343</f>
        <v/>
      </c>
      <c r="AQ343" s="247">
        <f>_DATA_Assessment_Model!AN343</f>
        <v/>
      </c>
      <c r="AR343" s="247">
        <f>_DATA_Assessment_Model!AO343</f>
        <v/>
      </c>
      <c r="AS343" s="247">
        <f>_DATA_Assessment_Model!AP343</f>
        <v/>
      </c>
      <c r="AT343" s="247">
        <f>_DATA_Assessment_Model!AQ343</f>
        <v/>
      </c>
      <c r="AU343" s="247">
        <f>_DATA_Assessment_Model!AR343</f>
        <v/>
      </c>
      <c r="AV343" s="5">
        <f>_DATA_Assessment_Model!AS343</f>
        <v/>
      </c>
      <c r="AW343" s="5">
        <f>_DATA_Assessment_Model!AT343</f>
        <v/>
      </c>
      <c r="AY343">
        <f>_DATA_Assessment_Model!AV343</f>
        <v/>
      </c>
    </row>
    <row r="344" ht="69" customHeight="1" s="209">
      <c r="A344" t="inlineStr">
        <is>
          <t>Business Systems</t>
        </is>
      </c>
      <c r="B344" t="inlineStr">
        <is>
          <t>Business Systems</t>
        </is>
      </c>
      <c r="C344" t="n">
        <v>24</v>
      </c>
      <c r="D344" s="3" t="inlineStr">
        <is>
          <t>BUSI-022</t>
        </is>
      </c>
      <c r="E344" s="3" t="inlineStr">
        <is>
          <t>Governance and lifecycle</t>
        </is>
      </c>
      <c r="F344" s="3" t="inlineStr">
        <is>
          <t>How mature is the organization in managing data portability and export procedures for critical systems, including ownership, evidence, metrics, fallback procedures and crisis stress testing?</t>
        </is>
      </c>
      <c r="G344" s="3" t="inlineStr">
        <is>
          <t>This topic affects exposure to IT outage; Decision failure; Process disruption. It helps identify how disruption may impact operations, people, revenue, systems, legal exposure or recovery time.</t>
        </is>
      </c>
      <c r="H344" s="3" t="inlineStr">
        <is>
          <t>COBIT; ITIL 4; ISO/IEC 27001; ISO/IEC 20000-1; ERP/CRM/MES/HRMS implementation practices</t>
        </is>
      </c>
      <c r="I344" s="3" t="inlineStr">
        <is>
          <t>Policy/SOP; owner/RACI; system report; dashboard; contracts; test records; incident history; interview evidence related to data portability and export procedures for critical systems.</t>
        </is>
      </c>
      <c r="J344" s="3" t="n">
        <v>5</v>
      </c>
      <c r="K344" s="85">
        <f>_DATA_Assessment_Model!H344</f>
        <v/>
      </c>
      <c r="L344" s="4">
        <f>_DATA_Assessment_Model!I344</f>
        <v/>
      </c>
      <c r="M344" s="4">
        <f>_DATA_Assessment_Model!J344</f>
        <v/>
      </c>
      <c r="N344" s="4">
        <f>_DATA_Assessment_Model!K344</f>
        <v/>
      </c>
      <c r="O344" s="3">
        <f>_DATA_Assessment_Model!L344</f>
        <v/>
      </c>
      <c r="P344" s="3" t="inlineStr">
        <is>
          <t>No plan or procedure exists.</t>
        </is>
      </c>
      <c r="Q344" s="3" t="inlineStr">
        <is>
          <t>Knowledge lives with individuals; nothing usable is written down.</t>
        </is>
      </c>
      <c r="R344" s="3" t="inlineStr">
        <is>
          <t>Drafted but outdated, not approved, or unknown to the people who must use it.</t>
        </is>
      </c>
      <c r="S344" s="3" t="inlineStr">
        <is>
          <t>Approved and current; owners assigned; affected staff know it exists and where to find it.</t>
        </is>
      </c>
      <c r="T344" s="3" t="inlineStr">
        <is>
          <t>Tested against realistic scenarios; updated after each test or real incident.</t>
        </is>
      </c>
      <c r="U344" s="3" t="inlineStr">
        <is>
          <t>Exercised regularly including external parties; readiness measured; continuously improved.</t>
        </is>
      </c>
      <c r="V344" s="3" t="inlineStr">
        <is>
          <t>IT outage; Decision failure; Process disruption</t>
        </is>
      </c>
      <c r="W344" s="3" t="n"/>
      <c r="X344" s="3" t="n"/>
      <c r="Y344" s="3" t="inlineStr">
        <is>
          <t>Use the recommended action generated by the model; validate with domain owner during real assessment.</t>
        </is>
      </c>
      <c r="Z344" s="7" t="n">
        <v>5</v>
      </c>
      <c r="AA344" s="7" t="n">
        <v>5</v>
      </c>
      <c r="AB344" s="7" t="n">
        <v>5</v>
      </c>
      <c r="AK344" s="46" t="n"/>
      <c r="AL344" s="46" t="n"/>
      <c r="AM344" s="247">
        <f>_DATA_Assessment_Model!AJ344</f>
        <v/>
      </c>
      <c r="AN344" s="247">
        <f>_DATA_Assessment_Model!AK344</f>
        <v/>
      </c>
      <c r="AO344" s="247">
        <f>_DATA_Assessment_Model!AL344</f>
        <v/>
      </c>
      <c r="AP344" s="247">
        <f>_DATA_Assessment_Model!AM344</f>
        <v/>
      </c>
      <c r="AQ344" s="247">
        <f>_DATA_Assessment_Model!AN344</f>
        <v/>
      </c>
      <c r="AR344" s="247">
        <f>_DATA_Assessment_Model!AO344</f>
        <v/>
      </c>
      <c r="AS344" s="247">
        <f>_DATA_Assessment_Model!AP344</f>
        <v/>
      </c>
      <c r="AT344" s="247">
        <f>_DATA_Assessment_Model!AQ344</f>
        <v/>
      </c>
      <c r="AU344" s="247">
        <f>_DATA_Assessment_Model!AR344</f>
        <v/>
      </c>
      <c r="AV344" s="5">
        <f>_DATA_Assessment_Model!AS344</f>
        <v/>
      </c>
      <c r="AW344" s="5">
        <f>_DATA_Assessment_Model!AT344</f>
        <v/>
      </c>
      <c r="AY344">
        <f>_DATA_Assessment_Model!AV344</f>
        <v/>
      </c>
    </row>
    <row r="345" ht="69" customHeight="1" s="209">
      <c r="A345" t="inlineStr">
        <is>
          <t>Business Systems</t>
        </is>
      </c>
      <c r="B345" t="inlineStr">
        <is>
          <t>Business Systems</t>
        </is>
      </c>
      <c r="C345" t="n">
        <v>25</v>
      </c>
      <c r="D345" s="3" t="inlineStr">
        <is>
          <t>BUSI-023</t>
        </is>
      </c>
      <c r="E345" s="3" t="inlineStr">
        <is>
          <t>Governance and lifecycle</t>
        </is>
      </c>
      <c r="F345" s="3" t="inlineStr">
        <is>
          <t>How mature is the organization in managing configuration and customization documentation for critical business systems, including ownership, evidence, metrics, fallback procedures and crisis stress testing?</t>
        </is>
      </c>
      <c r="G345" s="3" t="inlineStr">
        <is>
          <t>This topic affects exposure to IT outage; Decision failure; Process disruption. It helps identify how disruption may impact operations, people, revenue, systems, legal exposure or recovery time.</t>
        </is>
      </c>
      <c r="H345" s="3" t="inlineStr">
        <is>
          <t>COBIT; ITIL 4; ISO/IEC 27001; ISO/IEC 20000-1; ERP/CRM/MES/HRMS implementation practices</t>
        </is>
      </c>
      <c r="I345" s="3" t="inlineStr">
        <is>
          <t>Policy/SOP; owner/RACI; system report; dashboard; contracts; test records; incident history; interview evidence related to configuration and customization documentation for critical business systems.</t>
        </is>
      </c>
      <c r="J345" s="3" t="n">
        <v>5</v>
      </c>
      <c r="K345" s="85">
        <f>_DATA_Assessment_Model!H345</f>
        <v/>
      </c>
      <c r="L345" s="4">
        <f>_DATA_Assessment_Model!I345</f>
        <v/>
      </c>
      <c r="M345" s="4">
        <f>_DATA_Assessment_Model!J345</f>
        <v/>
      </c>
      <c r="N345" s="4">
        <f>_DATA_Assessment_Model!K345</f>
        <v/>
      </c>
      <c r="O345" s="3">
        <f>_DATA_Assessment_Model!L345</f>
        <v/>
      </c>
      <c r="P345" s="3" t="inlineStr">
        <is>
          <t>Does not exist; no owner, no documentation, no practice.</t>
        </is>
      </c>
      <c r="Q345" s="3" t="inlineStr">
        <is>
          <t>Ad hoc; depends entirely on specific individuals.</t>
        </is>
      </c>
      <c r="R345" s="3" t="inlineStr">
        <is>
          <t>Partially documented or implemented; coverage inconsistent; never tested under stress.</t>
        </is>
      </c>
      <c r="S345" s="3" t="inlineStr">
        <is>
          <t>Documented, owned, executed consistently; basic evidence and metrics exist.</t>
        </is>
      </c>
      <c r="T345" s="3" t="inlineStr">
        <is>
          <t>Measured and periodically tested/audited; integrated with adjacent processes.</t>
        </is>
      </c>
      <c r="U345" s="3" t="inlineStr">
        <is>
          <t>Optimized and automated where practical; stress-tested; benchmarked externally.</t>
        </is>
      </c>
      <c r="V345" s="3" t="inlineStr">
        <is>
          <t>IT outage; Decision failure; Process disruption</t>
        </is>
      </c>
      <c r="W345" s="3" t="n"/>
      <c r="X345" s="3" t="n"/>
      <c r="Y345" s="3" t="inlineStr">
        <is>
          <t>Use the recommended action generated by the model; validate with domain owner during real assessment.</t>
        </is>
      </c>
      <c r="Z345" s="7" t="n">
        <v>5</v>
      </c>
      <c r="AA345" s="7" t="n">
        <v>5</v>
      </c>
      <c r="AB345" s="7" t="n">
        <v>5</v>
      </c>
      <c r="AK345" s="46" t="n"/>
      <c r="AL345" s="46" t="n"/>
      <c r="AM345" s="247">
        <f>_DATA_Assessment_Model!AJ345</f>
        <v/>
      </c>
      <c r="AN345" s="247">
        <f>_DATA_Assessment_Model!AK345</f>
        <v/>
      </c>
      <c r="AO345" s="247">
        <f>_DATA_Assessment_Model!AL345</f>
        <v/>
      </c>
      <c r="AP345" s="247">
        <f>_DATA_Assessment_Model!AM345</f>
        <v/>
      </c>
      <c r="AQ345" s="247">
        <f>_DATA_Assessment_Model!AN345</f>
        <v/>
      </c>
      <c r="AR345" s="247">
        <f>_DATA_Assessment_Model!AO345</f>
        <v/>
      </c>
      <c r="AS345" s="247">
        <f>_DATA_Assessment_Model!AP345</f>
        <v/>
      </c>
      <c r="AT345" s="247">
        <f>_DATA_Assessment_Model!AQ345</f>
        <v/>
      </c>
      <c r="AU345" s="247">
        <f>_DATA_Assessment_Model!AR345</f>
        <v/>
      </c>
      <c r="AV345" s="5">
        <f>_DATA_Assessment_Model!AS345</f>
        <v/>
      </c>
      <c r="AW345" s="5">
        <f>_DATA_Assessment_Model!AT345</f>
        <v/>
      </c>
      <c r="AY345">
        <f>_DATA_Assessment_Model!AV345</f>
        <v/>
      </c>
    </row>
    <row r="346" ht="69" customHeight="1" s="209">
      <c r="A346" t="inlineStr">
        <is>
          <t>Data BI AI</t>
        </is>
      </c>
      <c r="B346" t="inlineStr">
        <is>
          <t>Data BI AI</t>
        </is>
      </c>
      <c r="C346" t="n">
        <v>5</v>
      </c>
      <c r="D346" s="3" t="inlineStr">
        <is>
          <t>DATA-001</t>
        </is>
      </c>
      <c r="E346" s="3" t="inlineStr">
        <is>
          <t>Data governance</t>
        </is>
      </c>
      <c r="F346" s="3" t="inlineStr">
        <is>
          <t>How mature is the organization in managing data owners and stewards for critical data domains, including ownership, evidence, metrics, fallback procedures and crisis stress testing?</t>
        </is>
      </c>
      <c r="G346" s="3" t="inlineStr">
        <is>
          <t>This topic affects exposure to Decision failure; Data loss; Regulatory/legal shock. It helps identify how disruption may impact operations, people, revenue, systems, legal exposure or recovery time.</t>
        </is>
      </c>
      <c r="H346" s="3" t="inlineStr">
        <is>
          <t>DAMA-DMBOK; ISO/IEC 38505; ISO/IEC 42001; ISO/IEC 23894; NIST AI RMF; DCAM</t>
        </is>
      </c>
      <c r="I346" s="3" t="inlineStr">
        <is>
          <t>Policy/SOP; owner/RACI; system report; dashboard; contracts; test records; incident history; interview evidence related to data owners and stewards for critical data domains.</t>
        </is>
      </c>
      <c r="J346" s="3" t="n">
        <v>5</v>
      </c>
      <c r="K346" s="85">
        <f>_DATA_Assessment_Model!H346</f>
        <v/>
      </c>
      <c r="L346" s="4">
        <f>_DATA_Assessment_Model!I346</f>
        <v/>
      </c>
      <c r="M346" s="4">
        <f>_DATA_Assessment_Model!J346</f>
        <v/>
      </c>
      <c r="N346" s="4">
        <f>_DATA_Assessment_Model!K346</f>
        <v/>
      </c>
      <c r="O346" s="3">
        <f>_DATA_Assessment_Model!L346</f>
        <v/>
      </c>
      <c r="P346" s="3" t="inlineStr">
        <is>
          <t>Does not exist; no owner, no documentation, no practice.</t>
        </is>
      </c>
      <c r="Q346" s="3" t="inlineStr">
        <is>
          <t>Ad hoc; depends entirely on specific individuals.</t>
        </is>
      </c>
      <c r="R346" s="3" t="inlineStr">
        <is>
          <t>Partially documented or implemented; coverage inconsistent; never tested under stress.</t>
        </is>
      </c>
      <c r="S346" s="3" t="inlineStr">
        <is>
          <t>Documented, owned, executed consistently; basic evidence and metrics exist.</t>
        </is>
      </c>
      <c r="T346" s="3" t="inlineStr">
        <is>
          <t>Measured and periodically tested/audited; integrated with adjacent processes.</t>
        </is>
      </c>
      <c r="U346" s="3" t="inlineStr">
        <is>
          <t>Optimized and automated where practical; stress-tested; benchmarked externally.</t>
        </is>
      </c>
      <c r="V346" s="3" t="inlineStr">
        <is>
          <t>Decision failure; Data loss; Regulatory/legal shock</t>
        </is>
      </c>
      <c r="W346" s="3" t="n"/>
      <c r="X346" s="3" t="n"/>
      <c r="Y346" s="3" t="inlineStr">
        <is>
          <t>Use the recommended action generated by the model; validate with domain owner during real assessment.</t>
        </is>
      </c>
      <c r="Z346" s="7" t="n">
        <v>5</v>
      </c>
      <c r="AA346" s="7" t="n">
        <v>5</v>
      </c>
      <c r="AB346" s="7" t="n">
        <v>5</v>
      </c>
      <c r="AD346" t="inlineStr">
        <is>
          <t>Data governance</t>
        </is>
      </c>
      <c r="AE346" s="6">
        <f>_DATA_Assessment_Model!AB346</f>
        <v/>
      </c>
      <c r="AF346" s="8">
        <f>_DATA_Assessment_Model!AC346</f>
        <v/>
      </c>
      <c r="AG346" s="9">
        <f>_DATA_Assessment_Model!AD346</f>
        <v/>
      </c>
      <c r="AH346" s="6">
        <f>_DATA_Assessment_Model!AE346</f>
        <v/>
      </c>
      <c r="AI346" s="8">
        <f>_DATA_Assessment_Model!AF346</f>
        <v/>
      </c>
      <c r="AJ346" s="6">
        <f>_DATA_Assessment_Model!AG346</f>
        <v/>
      </c>
      <c r="AK346" s="46" t="n"/>
      <c r="AL346" s="46" t="n"/>
      <c r="AM346" s="247">
        <f>_DATA_Assessment_Model!AJ346</f>
        <v/>
      </c>
      <c r="AN346" s="247">
        <f>_DATA_Assessment_Model!AK346</f>
        <v/>
      </c>
      <c r="AO346" s="247">
        <f>_DATA_Assessment_Model!AL346</f>
        <v/>
      </c>
      <c r="AP346" s="247">
        <f>_DATA_Assessment_Model!AM346</f>
        <v/>
      </c>
      <c r="AQ346" s="247">
        <f>_DATA_Assessment_Model!AN346</f>
        <v/>
      </c>
      <c r="AR346" s="247">
        <f>_DATA_Assessment_Model!AO346</f>
        <v/>
      </c>
      <c r="AS346" s="247">
        <f>_DATA_Assessment_Model!AP346</f>
        <v/>
      </c>
      <c r="AT346" s="247">
        <f>_DATA_Assessment_Model!AQ346</f>
        <v/>
      </c>
      <c r="AU346" s="247">
        <f>_DATA_Assessment_Model!AR346</f>
        <v/>
      </c>
      <c r="AV346" s="5">
        <f>_DATA_Assessment_Model!AS346</f>
        <v/>
      </c>
      <c r="AW346" s="5">
        <f>_DATA_Assessment_Model!AT346</f>
        <v/>
      </c>
      <c r="AY346">
        <f>_DATA_Assessment_Model!AV346</f>
        <v/>
      </c>
    </row>
    <row r="347" ht="69" customHeight="1" s="209">
      <c r="A347" t="inlineStr">
        <is>
          <t>Data BI AI</t>
        </is>
      </c>
      <c r="B347" t="inlineStr">
        <is>
          <t>Data BI AI</t>
        </is>
      </c>
      <c r="C347" t="n">
        <v>6</v>
      </c>
      <c r="D347" s="3" t="inlineStr">
        <is>
          <t>DATA-002</t>
        </is>
      </c>
      <c r="E347" s="3" t="inlineStr">
        <is>
          <t>Data governance</t>
        </is>
      </c>
      <c r="F347" s="3" t="inlineStr">
        <is>
          <t>How mature is the organization in managing data catalog of critical datasets, reports, dashboards, data sources and users, including ownership, evidence, metrics, fallback procedures and crisis stress testing?</t>
        </is>
      </c>
      <c r="G347" s="3" t="inlineStr">
        <is>
          <t>This topic affects exposure to Decision failure; Data loss; Regulatory/legal shock. It helps identify how disruption may impact operations, people, revenue, systems, legal exposure or recovery time.</t>
        </is>
      </c>
      <c r="H347" s="3" t="inlineStr">
        <is>
          <t>DAMA-DMBOK; ISO/IEC 38505; ISO/IEC 42001; ISO/IEC 23894; NIST AI RMF; DCAM</t>
        </is>
      </c>
      <c r="I347" s="3" t="inlineStr">
        <is>
          <t>Policy/SOP; owner/RACI; system report; dashboard; contracts; test records; incident history; interview evidence related to data catalog of critical datasets, reports, dashboards, data sources and users.</t>
        </is>
      </c>
      <c r="J347" s="3" t="n">
        <v>5</v>
      </c>
      <c r="K347" s="85">
        <f>_DATA_Assessment_Model!H347</f>
        <v/>
      </c>
      <c r="L347" s="4">
        <f>_DATA_Assessment_Model!I347</f>
        <v/>
      </c>
      <c r="M347" s="4">
        <f>_DATA_Assessment_Model!J347</f>
        <v/>
      </c>
      <c r="N347" s="4">
        <f>_DATA_Assessment_Model!K347</f>
        <v/>
      </c>
      <c r="O347" s="3">
        <f>_DATA_Assessment_Model!L347</f>
        <v/>
      </c>
      <c r="P347" s="3" t="inlineStr">
        <is>
          <t>No inventory/register exists.</t>
        </is>
      </c>
      <c r="Q347" s="3" t="inlineStr">
        <is>
          <t>Partial lists live in individuals' heads or personal files.</t>
        </is>
      </c>
      <c r="R347" s="3" t="inlineStr">
        <is>
          <t>A register exists but is incomplete or outdated (&gt;1 year) and has no owner.</t>
        </is>
      </c>
      <c r="S347" s="3" t="inlineStr">
        <is>
          <t>Owned, documented, updated on a defined schedule, covers the main scope.</t>
        </is>
      </c>
      <c r="T347" s="3" t="inlineStr">
        <is>
          <t>Complete and periodically reviewed; integrated with related processes; completeness measured.</t>
        </is>
      </c>
      <c r="U347" s="3" t="inlineStr">
        <is>
          <t>Maintained automatically or synced with systems; drives decisions; audited.</t>
        </is>
      </c>
      <c r="V347" s="3" t="inlineStr">
        <is>
          <t>Decision failure; Data loss; Regulatory/legal shock</t>
        </is>
      </c>
      <c r="W347" s="3" t="n"/>
      <c r="X347" s="3" t="n"/>
      <c r="Y347" s="3" t="inlineStr">
        <is>
          <t>Use the recommended action generated by the model; validate with domain owner during real assessment.</t>
        </is>
      </c>
      <c r="Z347" s="7" t="n">
        <v>5</v>
      </c>
      <c r="AA347" s="7" t="n">
        <v>5</v>
      </c>
      <c r="AB347" s="7" t="n">
        <v>5</v>
      </c>
      <c r="AD347" t="inlineStr">
        <is>
          <t>Data architecture</t>
        </is>
      </c>
      <c r="AE347" s="6">
        <f>_DATA_Assessment_Model!AB347</f>
        <v/>
      </c>
      <c r="AF347" s="8">
        <f>_DATA_Assessment_Model!AC347</f>
        <v/>
      </c>
      <c r="AG347" s="9">
        <f>_DATA_Assessment_Model!AD347</f>
        <v/>
      </c>
      <c r="AH347" s="6">
        <f>_DATA_Assessment_Model!AE347</f>
        <v/>
      </c>
      <c r="AI347" s="8">
        <f>_DATA_Assessment_Model!AF347</f>
        <v/>
      </c>
      <c r="AJ347" s="6">
        <f>_DATA_Assessment_Model!AG347</f>
        <v/>
      </c>
      <c r="AK347" s="46" t="n"/>
      <c r="AL347" s="46" t="n"/>
      <c r="AM347" s="247">
        <f>_DATA_Assessment_Model!AJ347</f>
        <v/>
      </c>
      <c r="AN347" s="247">
        <f>_DATA_Assessment_Model!AK347</f>
        <v/>
      </c>
      <c r="AO347" s="247">
        <f>_DATA_Assessment_Model!AL347</f>
        <v/>
      </c>
      <c r="AP347" s="247">
        <f>_DATA_Assessment_Model!AM347</f>
        <v/>
      </c>
      <c r="AQ347" s="247">
        <f>_DATA_Assessment_Model!AN347</f>
        <v/>
      </c>
      <c r="AR347" s="247">
        <f>_DATA_Assessment_Model!AO347</f>
        <v/>
      </c>
      <c r="AS347" s="247">
        <f>_DATA_Assessment_Model!AP347</f>
        <v/>
      </c>
      <c r="AT347" s="247">
        <f>_DATA_Assessment_Model!AQ347</f>
        <v/>
      </c>
      <c r="AU347" s="247">
        <f>_DATA_Assessment_Model!AR347</f>
        <v/>
      </c>
      <c r="AV347" s="5">
        <f>_DATA_Assessment_Model!AS347</f>
        <v/>
      </c>
      <c r="AW347" s="5">
        <f>_DATA_Assessment_Model!AT347</f>
        <v/>
      </c>
      <c r="AY347">
        <f>_DATA_Assessment_Model!AV347</f>
        <v/>
      </c>
    </row>
    <row r="348" ht="110.4" customHeight="1" s="209">
      <c r="A348" t="inlineStr">
        <is>
          <t>Data BI AI</t>
        </is>
      </c>
      <c r="B348" t="inlineStr">
        <is>
          <t>Data BI AI</t>
        </is>
      </c>
      <c r="C348" t="n">
        <v>7</v>
      </c>
      <c r="D348" s="3" t="inlineStr">
        <is>
          <t>DATA-003</t>
        </is>
      </c>
      <c r="E348" s="3" t="inlineStr">
        <is>
          <t>Data governance</t>
        </is>
      </c>
      <c r="F348" s="3" t="inlineStr">
        <is>
          <t>How mature is the organization in managing consistent metric definitions across finance, sales, operations, HR, supply chain and manufacturing, including ownership, evidence, metrics, fallback procedures and crisis stress testing?</t>
        </is>
      </c>
      <c r="G348" s="3" t="inlineStr">
        <is>
          <t>This topic affects exposure to Decision failure; Data loss; Regulatory/legal shock. It helps identify how disruption may impact operations, people, revenue, systems, legal exposure or recovery time.</t>
        </is>
      </c>
      <c r="H348" s="3" t="inlineStr">
        <is>
          <t>DAMA-DMBOK; ISO/IEC 38505; ISO/IEC 42001; ISO/IEC 23894; NIST AI RMF; DCAM</t>
        </is>
      </c>
      <c r="I348" s="3" t="inlineStr">
        <is>
          <t>Policy/SOP; owner/RACI; system report; dashboard; contracts; test records; incident history; interview evidence related to consistent metric definitions across finance, sales, operations, HR, supply chain and manufacturing.</t>
        </is>
      </c>
      <c r="J348" s="3" t="n">
        <v>3</v>
      </c>
      <c r="K348" s="85">
        <f>_DATA_Assessment_Model!H348</f>
        <v/>
      </c>
      <c r="L348" s="4">
        <f>_DATA_Assessment_Model!I348</f>
        <v/>
      </c>
      <c r="M348" s="4">
        <f>_DATA_Assessment_Model!J348</f>
        <v/>
      </c>
      <c r="N348" s="4">
        <f>_DATA_Assessment_Model!K348</f>
        <v/>
      </c>
      <c r="O348" s="3">
        <f>_DATA_Assessment_Model!L348</f>
        <v/>
      </c>
      <c r="P348" s="3" t="inlineStr">
        <is>
          <t>No reliable evidence that consistent metric definitions across finance, sales, operations, hr, supply chain and manufacturing is defined, owned or managed.</t>
        </is>
      </c>
      <c r="Q348" s="3" t="inlineStr">
        <is>
          <t>Consistent metric definitions across finance, sales, operations, HR, supply chain and manufacturing is handled informally and depends on individual knowledge or heroic effort.</t>
        </is>
      </c>
      <c r="R348" s="3" t="inlineStr">
        <is>
          <t>Consistent metric definitions across finance, sales, operations, HR, supply chain and manufacturing is partially documented or implemented, but coverage is inconsistent and not crisis-tested.</t>
        </is>
      </c>
      <c r="S348" s="3" t="inlineStr">
        <is>
          <t>Consistent metric definitions across finance, sales, operations, HR, supply chain and manufacturing is documented, owned, used in normal operations and supported by basic evidence or metrics.</t>
        </is>
      </c>
      <c r="T348" s="3" t="inlineStr">
        <is>
          <t>Consistent metric definitions across finance, sales, operations, HR, supply chain and manufacturing is measured, periodically reviewed, integrated with related processes and tested against relevant disruption scenarios.</t>
        </is>
      </c>
      <c r="U348" s="3" t="inlineStr">
        <is>
          <t>Consistent metric definitions across finance, sales, operations, HR, supply chain and manufacturing is optimized, continuously improved, automated where practical and demonstrably supports crisis resilience.</t>
        </is>
      </c>
      <c r="V348" s="3" t="inlineStr">
        <is>
          <t>Decision failure; Data loss; Regulatory/legal shock</t>
        </is>
      </c>
      <c r="W348" s="3" t="n"/>
      <c r="X348" s="3" t="n"/>
      <c r="Y348" s="3" t="inlineStr">
        <is>
          <t>Use the recommended action generated by the model; validate with domain owner during real assessment.</t>
        </is>
      </c>
      <c r="Z348" s="7" t="n">
        <v>5</v>
      </c>
      <c r="AA348" s="7" t="n">
        <v>5</v>
      </c>
      <c r="AB348" s="7" t="n">
        <v>5</v>
      </c>
      <c r="AD348" t="inlineStr">
        <is>
          <t>BI and analytics</t>
        </is>
      </c>
      <c r="AE348" s="6">
        <f>_DATA_Assessment_Model!AB348</f>
        <v/>
      </c>
      <c r="AF348" s="8">
        <f>_DATA_Assessment_Model!AC348</f>
        <v/>
      </c>
      <c r="AG348" s="9">
        <f>_DATA_Assessment_Model!AD348</f>
        <v/>
      </c>
      <c r="AH348" s="6">
        <f>_DATA_Assessment_Model!AE348</f>
        <v/>
      </c>
      <c r="AI348" s="8">
        <f>_DATA_Assessment_Model!AF348</f>
        <v/>
      </c>
      <c r="AJ348" s="6">
        <f>_DATA_Assessment_Model!AG348</f>
        <v/>
      </c>
      <c r="AK348" s="46" t="n"/>
      <c r="AL348" s="46" t="n"/>
      <c r="AM348" s="247">
        <f>_DATA_Assessment_Model!AJ348</f>
        <v/>
      </c>
      <c r="AN348" s="247">
        <f>_DATA_Assessment_Model!AK348</f>
        <v/>
      </c>
      <c r="AO348" s="247">
        <f>_DATA_Assessment_Model!AL348</f>
        <v/>
      </c>
      <c r="AP348" s="247">
        <f>_DATA_Assessment_Model!AM348</f>
        <v/>
      </c>
      <c r="AQ348" s="247">
        <f>_DATA_Assessment_Model!AN348</f>
        <v/>
      </c>
      <c r="AR348" s="247">
        <f>_DATA_Assessment_Model!AO348</f>
        <v/>
      </c>
      <c r="AS348" s="247">
        <f>_DATA_Assessment_Model!AP348</f>
        <v/>
      </c>
      <c r="AT348" s="247">
        <f>_DATA_Assessment_Model!AQ348</f>
        <v/>
      </c>
      <c r="AU348" s="247">
        <f>_DATA_Assessment_Model!AR348</f>
        <v/>
      </c>
      <c r="AV348" s="5">
        <f>_DATA_Assessment_Model!AS348</f>
        <v/>
      </c>
      <c r="AW348" s="5">
        <f>_DATA_Assessment_Model!AT348</f>
        <v/>
      </c>
      <c r="AY348">
        <f>_DATA_Assessment_Model!AV348</f>
        <v/>
      </c>
    </row>
    <row r="349" ht="82.8" customHeight="1" s="209">
      <c r="A349" t="inlineStr">
        <is>
          <t>Data BI AI</t>
        </is>
      </c>
      <c r="B349" t="inlineStr">
        <is>
          <t>Data BI AI</t>
        </is>
      </c>
      <c r="C349" t="n">
        <v>8</v>
      </c>
      <c r="D349" s="3" t="inlineStr">
        <is>
          <t>DATA-004</t>
        </is>
      </c>
      <c r="E349" s="3" t="inlineStr">
        <is>
          <t>Data governance</t>
        </is>
      </c>
      <c r="F349" s="3" t="inlineStr">
        <is>
          <t>How mature is the organization in managing data quality rules, monitoring and issue resolution process, including ownership, evidence, metrics, fallback procedures and crisis stress testing?</t>
        </is>
      </c>
      <c r="G349" s="3" t="inlineStr">
        <is>
          <t>This topic affects exposure to Decision failure; Data loss; Regulatory/legal shock. It helps identify how disruption may impact operations, people, revenue, systems, legal exposure or recovery time.</t>
        </is>
      </c>
      <c r="H349" s="3" t="inlineStr">
        <is>
          <t>DAMA-DMBOK; ISO/IEC 38505; ISO/IEC 42001; ISO/IEC 23894; NIST AI RMF; DCAM</t>
        </is>
      </c>
      <c r="I349" s="3" t="inlineStr">
        <is>
          <t>Policy/SOP; owner/RACI; system report; dashboard; contracts; test records; incident history; interview evidence related to data quality rules, monitoring and issue resolution process.</t>
        </is>
      </c>
      <c r="J349" s="3" t="n">
        <v>4</v>
      </c>
      <c r="K349" s="85">
        <f>_DATA_Assessment_Model!H349</f>
        <v/>
      </c>
      <c r="L349" s="4">
        <f>_DATA_Assessment_Model!I349</f>
        <v/>
      </c>
      <c r="M349" s="4">
        <f>_DATA_Assessment_Model!J349</f>
        <v/>
      </c>
      <c r="N349" s="4">
        <f>_DATA_Assessment_Model!K349</f>
        <v/>
      </c>
      <c r="O349" s="3">
        <f>_DATA_Assessment_Model!L349</f>
        <v/>
      </c>
      <c r="P349" s="3" t="inlineStr">
        <is>
          <t>No reliable evidence that data quality rules, monitoring and issue resolution process is defined, owned or managed.</t>
        </is>
      </c>
      <c r="Q349" s="3" t="inlineStr">
        <is>
          <t>Data quality rules, monitoring and issue resolution process is handled informally and depends on individual knowledge or heroic effort.</t>
        </is>
      </c>
      <c r="R349" s="3" t="inlineStr">
        <is>
          <t>Data quality rules, monitoring and issue resolution process is partially documented or implemented, but coverage is inconsistent and not crisis-tested.</t>
        </is>
      </c>
      <c r="S349" s="3" t="inlineStr">
        <is>
          <t>Data quality rules, monitoring and issue resolution process is documented, owned, used in normal operations and supported by basic evidence or metrics.</t>
        </is>
      </c>
      <c r="T349" s="3" t="inlineStr">
        <is>
          <t>Data quality rules, monitoring and issue resolution process is measured, periodically reviewed, integrated with related processes and tested against relevant disruption scenarios.</t>
        </is>
      </c>
      <c r="U349" s="3" t="inlineStr">
        <is>
          <t>Data quality rules, monitoring and issue resolution process is optimized, continuously improved, automated where practical and demonstrably supports crisis resilience.</t>
        </is>
      </c>
      <c r="V349" s="3" t="inlineStr">
        <is>
          <t>Decision failure; Data loss; Regulatory/legal shock</t>
        </is>
      </c>
      <c r="W349" s="3" t="n"/>
      <c r="X349" s="3" t="n"/>
      <c r="Y349" s="3" t="inlineStr">
        <is>
          <t>Use the recommended action generated by the model; validate with domain owner during real assessment.</t>
        </is>
      </c>
      <c r="Z349" s="7" t="n">
        <v>5</v>
      </c>
      <c r="AA349" s="7" t="n">
        <v>5</v>
      </c>
      <c r="AB349" s="7" t="n">
        <v>5</v>
      </c>
      <c r="AD349" t="inlineStr">
        <is>
          <t>Forecasting and scenarios</t>
        </is>
      </c>
      <c r="AE349" s="6">
        <f>_DATA_Assessment_Model!AB349</f>
        <v/>
      </c>
      <c r="AF349" s="8">
        <f>_DATA_Assessment_Model!AC349</f>
        <v/>
      </c>
      <c r="AG349" s="9">
        <f>_DATA_Assessment_Model!AD349</f>
        <v/>
      </c>
      <c r="AH349" s="6">
        <f>_DATA_Assessment_Model!AE349</f>
        <v/>
      </c>
      <c r="AI349" s="8">
        <f>_DATA_Assessment_Model!AF349</f>
        <v/>
      </c>
      <c r="AJ349" s="6">
        <f>_DATA_Assessment_Model!AG349</f>
        <v/>
      </c>
      <c r="AK349" s="46" t="n"/>
      <c r="AL349" s="46" t="n"/>
      <c r="AM349" s="247">
        <f>_DATA_Assessment_Model!AJ349</f>
        <v/>
      </c>
      <c r="AN349" s="247">
        <f>_DATA_Assessment_Model!AK349</f>
        <v/>
      </c>
      <c r="AO349" s="247">
        <f>_DATA_Assessment_Model!AL349</f>
        <v/>
      </c>
      <c r="AP349" s="247">
        <f>_DATA_Assessment_Model!AM349</f>
        <v/>
      </c>
      <c r="AQ349" s="247">
        <f>_DATA_Assessment_Model!AN349</f>
        <v/>
      </c>
      <c r="AR349" s="247">
        <f>_DATA_Assessment_Model!AO349</f>
        <v/>
      </c>
      <c r="AS349" s="247">
        <f>_DATA_Assessment_Model!AP349</f>
        <v/>
      </c>
      <c r="AT349" s="247">
        <f>_DATA_Assessment_Model!AQ349</f>
        <v/>
      </c>
      <c r="AU349" s="247">
        <f>_DATA_Assessment_Model!AR349</f>
        <v/>
      </c>
      <c r="AV349" s="5">
        <f>_DATA_Assessment_Model!AS349</f>
        <v/>
      </c>
      <c r="AW349" s="5">
        <f>_DATA_Assessment_Model!AT349</f>
        <v/>
      </c>
      <c r="AY349">
        <f>_DATA_Assessment_Model!AV349</f>
        <v/>
      </c>
    </row>
    <row r="350" ht="82.8" customHeight="1" s="209">
      <c r="A350" t="inlineStr">
        <is>
          <t>Data BI AI</t>
        </is>
      </c>
      <c r="B350" t="inlineStr">
        <is>
          <t>Data BI AI</t>
        </is>
      </c>
      <c r="C350" t="n">
        <v>9</v>
      </c>
      <c r="D350" s="3" t="inlineStr">
        <is>
          <t>DATA-005</t>
        </is>
      </c>
      <c r="E350" s="3" t="inlineStr">
        <is>
          <t>Data governance</t>
        </is>
      </c>
      <c r="F350" s="3" t="inlineStr">
        <is>
          <t>How mature is the organization in managing data classification by sensitivity, business criticality, privacy and retention requirement, including ownership, evidence, metrics, fallback procedures and crisis stress testing?</t>
        </is>
      </c>
      <c r="G350" s="3" t="inlineStr">
        <is>
          <t>This topic affects exposure to Decision failure; Data loss; Regulatory/legal shock. It helps identify how disruption may impact operations, people, revenue, systems, legal exposure or recovery time.</t>
        </is>
      </c>
      <c r="H350" s="3" t="inlineStr">
        <is>
          <t>DAMA-DMBOK; ISO/IEC 38505; ISO/IEC 42001; ISO/IEC 23894; NIST AI RMF; DCAM</t>
        </is>
      </c>
      <c r="I350" s="3" t="inlineStr">
        <is>
          <t>Policy/SOP; owner/RACI; system report; dashboard; contracts; test records; incident history; interview evidence related to data classification by sensitivity, business criticality, privacy and retention requirement.</t>
        </is>
      </c>
      <c r="J350" s="3" t="n">
        <v>5</v>
      </c>
      <c r="K350" s="85">
        <f>_DATA_Assessment_Model!H350</f>
        <v/>
      </c>
      <c r="L350" s="4">
        <f>_DATA_Assessment_Model!I350</f>
        <v/>
      </c>
      <c r="M350" s="4">
        <f>_DATA_Assessment_Model!J350</f>
        <v/>
      </c>
      <c r="N350" s="4">
        <f>_DATA_Assessment_Model!K350</f>
        <v/>
      </c>
      <c r="O350" s="3">
        <f>_DATA_Assessment_Model!L350</f>
        <v/>
      </c>
      <c r="P350" s="3" t="inlineStr">
        <is>
          <t>Does not exist; no owner, no documentation, no practice.</t>
        </is>
      </c>
      <c r="Q350" s="3" t="inlineStr">
        <is>
          <t>Ad hoc; depends entirely on specific individuals.</t>
        </is>
      </c>
      <c r="R350" s="3" t="inlineStr">
        <is>
          <t>Partially documented or implemented; coverage inconsistent; never tested under stress.</t>
        </is>
      </c>
      <c r="S350" s="3" t="inlineStr">
        <is>
          <t>Documented, owned, executed consistently; basic evidence and metrics exist.</t>
        </is>
      </c>
      <c r="T350" s="3" t="inlineStr">
        <is>
          <t>Measured and periodically tested/audited; integrated with adjacent processes.</t>
        </is>
      </c>
      <c r="U350" s="3" t="inlineStr">
        <is>
          <t>Optimized and automated where practical; stress-tested; benchmarked externally.</t>
        </is>
      </c>
      <c r="V350" s="3" t="inlineStr">
        <is>
          <t>Decision failure; Data loss; Regulatory/legal shock</t>
        </is>
      </c>
      <c r="W350" s="3" t="n"/>
      <c r="X350" s="3" t="n"/>
      <c r="Y350" s="3" t="inlineStr">
        <is>
          <t>Use the recommended action generated by the model; validate with domain owner during real assessment.</t>
        </is>
      </c>
      <c r="Z350" s="7" t="n">
        <v>5</v>
      </c>
      <c r="AA350" s="7" t="n">
        <v>5</v>
      </c>
      <c r="AB350" s="7" t="n">
        <v>5</v>
      </c>
      <c r="AD350" t="inlineStr">
        <is>
          <t>AI readiness</t>
        </is>
      </c>
      <c r="AE350" s="6">
        <f>_DATA_Assessment_Model!AB350</f>
        <v/>
      </c>
      <c r="AF350" s="8">
        <f>_DATA_Assessment_Model!AC350</f>
        <v/>
      </c>
      <c r="AG350" s="9">
        <f>_DATA_Assessment_Model!AD350</f>
        <v/>
      </c>
      <c r="AH350" s="6">
        <f>_DATA_Assessment_Model!AE350</f>
        <v/>
      </c>
      <c r="AI350" s="8">
        <f>_DATA_Assessment_Model!AF350</f>
        <v/>
      </c>
      <c r="AJ350" s="6">
        <f>_DATA_Assessment_Model!AG350</f>
        <v/>
      </c>
      <c r="AK350" s="46" t="n"/>
      <c r="AL350" s="46" t="n"/>
      <c r="AM350" s="247">
        <f>_DATA_Assessment_Model!AJ350</f>
        <v/>
      </c>
      <c r="AN350" s="247">
        <f>_DATA_Assessment_Model!AK350</f>
        <v/>
      </c>
      <c r="AO350" s="247">
        <f>_DATA_Assessment_Model!AL350</f>
        <v/>
      </c>
      <c r="AP350" s="247">
        <f>_DATA_Assessment_Model!AM350</f>
        <v/>
      </c>
      <c r="AQ350" s="247">
        <f>_DATA_Assessment_Model!AN350</f>
        <v/>
      </c>
      <c r="AR350" s="247">
        <f>_DATA_Assessment_Model!AO350</f>
        <v/>
      </c>
      <c r="AS350" s="247">
        <f>_DATA_Assessment_Model!AP350</f>
        <v/>
      </c>
      <c r="AT350" s="247">
        <f>_DATA_Assessment_Model!AQ350</f>
        <v/>
      </c>
      <c r="AU350" s="247">
        <f>_DATA_Assessment_Model!AR350</f>
        <v/>
      </c>
      <c r="AV350" s="5">
        <f>_DATA_Assessment_Model!AS350</f>
        <v/>
      </c>
      <c r="AW350" s="5">
        <f>_DATA_Assessment_Model!AT350</f>
        <v/>
      </c>
      <c r="AY350">
        <f>_DATA_Assessment_Model!AV350</f>
        <v/>
      </c>
    </row>
    <row r="351" ht="96.59999999999999" customHeight="1" s="209">
      <c r="A351" t="inlineStr">
        <is>
          <t>Data BI AI</t>
        </is>
      </c>
      <c r="B351" t="inlineStr">
        <is>
          <t>Data BI AI</t>
        </is>
      </c>
      <c r="C351" t="n">
        <v>10</v>
      </c>
      <c r="D351" s="3" t="inlineStr">
        <is>
          <t>DATA-006</t>
        </is>
      </c>
      <c r="E351" s="3" t="inlineStr">
        <is>
          <t>Data governance</t>
        </is>
      </c>
      <c r="F351" s="3" t="inlineStr">
        <is>
          <t>How mature is the organization in managing data access governance for datasets, warehouses, BI reports and analytics workspaces, including ownership, evidence, metrics, fallback procedures and crisis stress testing?</t>
        </is>
      </c>
      <c r="G351" s="3" t="inlineStr">
        <is>
          <t>This topic affects exposure to Decision failure; Data loss; Regulatory/legal shock. It helps identify how disruption may impact operations, people, revenue, systems, legal exposure or recovery time.</t>
        </is>
      </c>
      <c r="H351" s="3" t="inlineStr">
        <is>
          <t>DAMA-DMBOK; ISO/IEC 38505; ISO/IEC 42001; ISO/IEC 23894; NIST AI RMF; DCAM</t>
        </is>
      </c>
      <c r="I351" s="3" t="inlineStr">
        <is>
          <t>Policy/SOP; owner/RACI; system report; dashboard; contracts; test records; incident history; interview evidence related to data access governance for datasets, warehouses, BI reports and analytics workspaces.</t>
        </is>
      </c>
      <c r="J351" s="3" t="n">
        <v>4</v>
      </c>
      <c r="K351" s="85">
        <f>_DATA_Assessment_Model!H351</f>
        <v/>
      </c>
      <c r="L351" s="4">
        <f>_DATA_Assessment_Model!I351</f>
        <v/>
      </c>
      <c r="M351" s="4">
        <f>_DATA_Assessment_Model!J351</f>
        <v/>
      </c>
      <c r="N351" s="4">
        <f>_DATA_Assessment_Model!K351</f>
        <v/>
      </c>
      <c r="O351" s="3">
        <f>_DATA_Assessment_Model!L351</f>
        <v/>
      </c>
      <c r="P351" s="3" t="inlineStr">
        <is>
          <t>No reliable evidence that data access governance for datasets, warehouses, bi reports and analytics workspaces is defined, owned or managed.</t>
        </is>
      </c>
      <c r="Q351" s="3" t="inlineStr">
        <is>
          <t>Data access governance for datasets, warehouses, BI reports and analytics workspaces is handled informally and depends on individual knowledge or heroic effort.</t>
        </is>
      </c>
      <c r="R351" s="3" t="inlineStr">
        <is>
          <t>Data access governance for datasets, warehouses, BI reports and analytics workspaces is partially documented or implemented, but coverage is inconsistent and not crisis-tested.</t>
        </is>
      </c>
      <c r="S351" s="3" t="inlineStr">
        <is>
          <t>Data access governance for datasets, warehouses, BI reports and analytics workspaces is documented, owned, used in normal operations and supported by basic evidence or metrics.</t>
        </is>
      </c>
      <c r="T351" s="3" t="inlineStr">
        <is>
          <t>Data access governance for datasets, warehouses, BI reports and analytics workspaces is measured, periodically reviewed, integrated with related processes and tested against relevant disruption scenarios.</t>
        </is>
      </c>
      <c r="U351" s="3" t="inlineStr">
        <is>
          <t>Data access governance for datasets, warehouses, BI reports and analytics workspaces is optimized, continuously improved, automated where practical and demonstrably supports crisis resilience.</t>
        </is>
      </c>
      <c r="V351" s="3" t="inlineStr">
        <is>
          <t>Decision failure; Data loss; Regulatory/legal shock</t>
        </is>
      </c>
      <c r="W351" s="3" t="n"/>
      <c r="X351" s="3" t="n"/>
      <c r="Y351" s="3" t="inlineStr">
        <is>
          <t>Use the recommended action generated by the model; validate with domain owner during real assessment.</t>
        </is>
      </c>
      <c r="Z351" s="7" t="n">
        <v>5</v>
      </c>
      <c r="AA351" s="7" t="n">
        <v>5</v>
      </c>
      <c r="AB351" s="7" t="n">
        <v>5</v>
      </c>
      <c r="AK351" s="46" t="n"/>
      <c r="AL351" s="46" t="n"/>
      <c r="AM351" s="247">
        <f>_DATA_Assessment_Model!AJ351</f>
        <v/>
      </c>
      <c r="AN351" s="247">
        <f>_DATA_Assessment_Model!AK351</f>
        <v/>
      </c>
      <c r="AO351" s="247">
        <f>_DATA_Assessment_Model!AL351</f>
        <v/>
      </c>
      <c r="AP351" s="247">
        <f>_DATA_Assessment_Model!AM351</f>
        <v/>
      </c>
      <c r="AQ351" s="247">
        <f>_DATA_Assessment_Model!AN351</f>
        <v/>
      </c>
      <c r="AR351" s="247">
        <f>_DATA_Assessment_Model!AO351</f>
        <v/>
      </c>
      <c r="AS351" s="247">
        <f>_DATA_Assessment_Model!AP351</f>
        <v/>
      </c>
      <c r="AT351" s="247">
        <f>_DATA_Assessment_Model!AQ351</f>
        <v/>
      </c>
      <c r="AU351" s="247">
        <f>_DATA_Assessment_Model!AR351</f>
        <v/>
      </c>
      <c r="AV351" s="5">
        <f>_DATA_Assessment_Model!AS351</f>
        <v/>
      </c>
      <c r="AW351" s="5">
        <f>_DATA_Assessment_Model!AT351</f>
        <v/>
      </c>
      <c r="AY351">
        <f>_DATA_Assessment_Model!AV351</f>
        <v/>
      </c>
    </row>
    <row r="352" ht="96.59999999999999" customHeight="1" s="209">
      <c r="A352" t="inlineStr">
        <is>
          <t>Data BI AI</t>
        </is>
      </c>
      <c r="B352" t="inlineStr">
        <is>
          <t>Data BI AI</t>
        </is>
      </c>
      <c r="C352" t="n">
        <v>11</v>
      </c>
      <c r="D352" s="3" t="inlineStr">
        <is>
          <t>DATA-007</t>
        </is>
      </c>
      <c r="E352" s="3" t="inlineStr">
        <is>
          <t>Data architecture</t>
        </is>
      </c>
      <c r="F352" s="3" t="inlineStr">
        <is>
          <t>How mature is the organization in managing data architecture from source systems to warehouse, lake, BI, AI models and reports, including ownership, evidence, metrics, fallback procedures and crisis stress testing?</t>
        </is>
      </c>
      <c r="G352" s="3" t="inlineStr">
        <is>
          <t>This topic affects exposure to Decision failure; Data loss; Regulatory/legal shock. It helps identify how disruption may impact operations, people, revenue, systems, legal exposure or recovery time.</t>
        </is>
      </c>
      <c r="H352" s="3" t="inlineStr">
        <is>
          <t>DAMA-DMBOK; ISO/IEC 38505; ISO/IEC 42001; ISO/IEC 23894; NIST AI RMF; DCAM</t>
        </is>
      </c>
      <c r="I352" s="3" t="inlineStr">
        <is>
          <t>Policy/SOP; owner/RACI; system report; dashboard; contracts; test records; incident history; interview evidence related to data architecture from source systems to warehouse, lake, BI, AI models and reports.</t>
        </is>
      </c>
      <c r="J352" s="3" t="n">
        <v>4</v>
      </c>
      <c r="K352" s="85">
        <f>_DATA_Assessment_Model!H352</f>
        <v/>
      </c>
      <c r="L352" s="4">
        <f>_DATA_Assessment_Model!I352</f>
        <v/>
      </c>
      <c r="M352" s="4">
        <f>_DATA_Assessment_Model!J352</f>
        <v/>
      </c>
      <c r="N352" s="4">
        <f>_DATA_Assessment_Model!K352</f>
        <v/>
      </c>
      <c r="O352" s="3">
        <f>_DATA_Assessment_Model!L352</f>
        <v/>
      </c>
      <c r="P352" s="3" t="inlineStr">
        <is>
          <t>No reliable evidence that data architecture from source systems to warehouse, lake, bi, ai models and reports is defined, owned or managed.</t>
        </is>
      </c>
      <c r="Q352" s="3" t="inlineStr">
        <is>
          <t>Data architecture from source systems to warehouse, lake, BI, AI models and reports is handled informally and depends on individual knowledge or heroic effort.</t>
        </is>
      </c>
      <c r="R352" s="3" t="inlineStr">
        <is>
          <t>Data architecture from source systems to warehouse, lake, BI, AI models and reports is partially documented or implemented, but coverage is inconsistent and not crisis-tested.</t>
        </is>
      </c>
      <c r="S352" s="3" t="inlineStr">
        <is>
          <t>Data architecture from source systems to warehouse, lake, BI, AI models and reports is documented, owned, used in normal operations and supported by basic evidence or metrics.</t>
        </is>
      </c>
      <c r="T352" s="3" t="inlineStr">
        <is>
          <t>Data architecture from source systems to warehouse, lake, BI, AI models and reports is measured, periodically reviewed, integrated with related processes and tested against relevant disruption scenarios.</t>
        </is>
      </c>
      <c r="U352" s="3" t="inlineStr">
        <is>
          <t>Data architecture from source systems to warehouse, lake, BI, AI models and reports is optimized, continuously improved, automated where practical and demonstrably supports crisis resilience.</t>
        </is>
      </c>
      <c r="V352" s="3" t="inlineStr">
        <is>
          <t>Decision failure; Data loss; Regulatory/legal shock</t>
        </is>
      </c>
      <c r="W352" s="3" t="n"/>
      <c r="X352" s="3" t="n"/>
      <c r="Y352" s="3" t="inlineStr">
        <is>
          <t>Use the recommended action generated by the model; validate with domain owner during real assessment.</t>
        </is>
      </c>
      <c r="Z352" s="7" t="n">
        <v>5</v>
      </c>
      <c r="AA352" s="7" t="n">
        <v>5</v>
      </c>
      <c r="AB352" s="7" t="n">
        <v>5</v>
      </c>
      <c r="AK352" s="46" t="n"/>
      <c r="AL352" s="46" t="n"/>
      <c r="AM352" s="247">
        <f>_DATA_Assessment_Model!AJ352</f>
        <v/>
      </c>
      <c r="AN352" s="247">
        <f>_DATA_Assessment_Model!AK352</f>
        <v/>
      </c>
      <c r="AO352" s="247">
        <f>_DATA_Assessment_Model!AL352</f>
        <v/>
      </c>
      <c r="AP352" s="247">
        <f>_DATA_Assessment_Model!AM352</f>
        <v/>
      </c>
      <c r="AQ352" s="247">
        <f>_DATA_Assessment_Model!AN352</f>
        <v/>
      </c>
      <c r="AR352" s="247">
        <f>_DATA_Assessment_Model!AO352</f>
        <v/>
      </c>
      <c r="AS352" s="247">
        <f>_DATA_Assessment_Model!AP352</f>
        <v/>
      </c>
      <c r="AT352" s="247">
        <f>_DATA_Assessment_Model!AQ352</f>
        <v/>
      </c>
      <c r="AU352" s="247">
        <f>_DATA_Assessment_Model!AR352</f>
        <v/>
      </c>
      <c r="AV352" s="5">
        <f>_DATA_Assessment_Model!AS352</f>
        <v/>
      </c>
      <c r="AW352" s="5">
        <f>_DATA_Assessment_Model!AT352</f>
        <v/>
      </c>
      <c r="AY352">
        <f>_DATA_Assessment_Model!AV352</f>
        <v/>
      </c>
    </row>
    <row r="353" ht="96.59999999999999" customHeight="1" s="209">
      <c r="A353" t="inlineStr">
        <is>
          <t>Data BI AI</t>
        </is>
      </c>
      <c r="B353" t="inlineStr">
        <is>
          <t>Data BI AI</t>
        </is>
      </c>
      <c r="C353" t="n">
        <v>12</v>
      </c>
      <c r="D353" s="3" t="inlineStr">
        <is>
          <t>DATA-008</t>
        </is>
      </c>
      <c r="E353" s="3" t="inlineStr">
        <is>
          <t>Data architecture</t>
        </is>
      </c>
      <c r="F353" s="3" t="inlineStr">
        <is>
          <t>How mature is the organization in managing ETL or ELT monitoring for failures, latency, completeness and reconciliation, including ownership, evidence, metrics, fallback procedures and crisis stress testing?</t>
        </is>
      </c>
      <c r="G353" s="3" t="inlineStr">
        <is>
          <t>This topic affects exposure to Decision failure; Data loss; Regulatory/legal shock. It helps identify how disruption may impact operations, people, revenue, systems, legal exposure or recovery time.</t>
        </is>
      </c>
      <c r="H353" s="3" t="inlineStr">
        <is>
          <t>DAMA-DMBOK; ISO/IEC 38505; ISO/IEC 42001; ISO/IEC 23894; NIST AI RMF; DCAM</t>
        </is>
      </c>
      <c r="I353" s="3" t="inlineStr">
        <is>
          <t>Policy/SOP; owner/RACI; system report; dashboard; contracts; test records; incident history; interview evidence related to ETL or ELT monitoring for failures, latency, completeness and reconciliation.</t>
        </is>
      </c>
      <c r="J353" s="3" t="n">
        <v>3</v>
      </c>
      <c r="K353" s="85">
        <f>_DATA_Assessment_Model!H353</f>
        <v/>
      </c>
      <c r="L353" s="4">
        <f>_DATA_Assessment_Model!I353</f>
        <v/>
      </c>
      <c r="M353" s="4">
        <f>_DATA_Assessment_Model!J353</f>
        <v/>
      </c>
      <c r="N353" s="4">
        <f>_DATA_Assessment_Model!K353</f>
        <v/>
      </c>
      <c r="O353" s="3">
        <f>_DATA_Assessment_Model!L353</f>
        <v/>
      </c>
      <c r="P353" s="3" t="inlineStr">
        <is>
          <t>No reliable evidence that etl or elt monitoring for failures, latency, completeness and reconciliation is defined, owned or managed.</t>
        </is>
      </c>
      <c r="Q353" s="3" t="inlineStr">
        <is>
          <t>ETL or ELT monitoring for failures, latency, completeness and reconciliation is handled informally and depends on individual knowledge or heroic effort.</t>
        </is>
      </c>
      <c r="R353" s="3" t="inlineStr">
        <is>
          <t>ETL or ELT monitoring for failures, latency, completeness and reconciliation is partially documented or implemented, but coverage is inconsistent and not crisis-tested.</t>
        </is>
      </c>
      <c r="S353" s="3" t="inlineStr">
        <is>
          <t>ETL or ELT monitoring for failures, latency, completeness and reconciliation is documented, owned, used in normal operations and supported by basic evidence or metrics.</t>
        </is>
      </c>
      <c r="T353" s="3" t="inlineStr">
        <is>
          <t>ETL or ELT monitoring for failures, latency, completeness and reconciliation is measured, periodically reviewed, integrated with related processes and tested against relevant disruption scenarios.</t>
        </is>
      </c>
      <c r="U353" s="3" t="inlineStr">
        <is>
          <t>ETL or ELT monitoring for failures, latency, completeness and reconciliation is optimized, continuously improved, automated where practical and demonstrably supports crisis resilience.</t>
        </is>
      </c>
      <c r="V353" s="3" t="inlineStr">
        <is>
          <t>Decision failure; Data loss; Regulatory/legal shock</t>
        </is>
      </c>
      <c r="W353" s="3" t="n"/>
      <c r="X353" s="3" t="n"/>
      <c r="Y353" s="3" t="inlineStr">
        <is>
          <t>Use the recommended action generated by the model; validate with domain owner during real assessment.</t>
        </is>
      </c>
      <c r="Z353" s="7" t="n">
        <v>5</v>
      </c>
      <c r="AA353" s="7" t="n">
        <v>5</v>
      </c>
      <c r="AB353" s="7" t="n">
        <v>5</v>
      </c>
      <c r="AK353" s="46" t="n"/>
      <c r="AL353" s="46" t="n"/>
      <c r="AM353" s="247">
        <f>_DATA_Assessment_Model!AJ353</f>
        <v/>
      </c>
      <c r="AN353" s="247">
        <f>_DATA_Assessment_Model!AK353</f>
        <v/>
      </c>
      <c r="AO353" s="247">
        <f>_DATA_Assessment_Model!AL353</f>
        <v/>
      </c>
      <c r="AP353" s="247">
        <f>_DATA_Assessment_Model!AM353</f>
        <v/>
      </c>
      <c r="AQ353" s="247">
        <f>_DATA_Assessment_Model!AN353</f>
        <v/>
      </c>
      <c r="AR353" s="247">
        <f>_DATA_Assessment_Model!AO353</f>
        <v/>
      </c>
      <c r="AS353" s="247">
        <f>_DATA_Assessment_Model!AP353</f>
        <v/>
      </c>
      <c r="AT353" s="247">
        <f>_DATA_Assessment_Model!AQ353</f>
        <v/>
      </c>
      <c r="AU353" s="247">
        <f>_DATA_Assessment_Model!AR353</f>
        <v/>
      </c>
      <c r="AV353" s="5">
        <f>_DATA_Assessment_Model!AS353</f>
        <v/>
      </c>
      <c r="AW353" s="5">
        <f>_DATA_Assessment_Model!AT353</f>
        <v/>
      </c>
      <c r="AY353">
        <f>_DATA_Assessment_Model!AV353</f>
        <v/>
      </c>
    </row>
    <row r="354" ht="69" customHeight="1" s="209">
      <c r="A354" t="inlineStr">
        <is>
          <t>Data BI AI</t>
        </is>
      </c>
      <c r="B354" t="inlineStr">
        <is>
          <t>Data BI AI</t>
        </is>
      </c>
      <c r="C354" t="n">
        <v>13</v>
      </c>
      <c r="D354" s="3" t="inlineStr">
        <is>
          <t>DATA-009</t>
        </is>
      </c>
      <c r="E354" s="3" t="inlineStr">
        <is>
          <t>Data architecture</t>
        </is>
      </c>
      <c r="F354" s="3" t="inlineStr">
        <is>
          <t>How mature is the organization in managing data lineage for critical KPIs, regulatory reports and board dashboards, including ownership, evidence, metrics, fallback procedures and crisis stress testing?</t>
        </is>
      </c>
      <c r="G354" s="3" t="inlineStr">
        <is>
          <t>This topic affects exposure to Decision failure; Data loss; Regulatory/legal shock. It helps identify how disruption may impact operations, people, revenue, systems, legal exposure or recovery time.</t>
        </is>
      </c>
      <c r="H354" s="3" t="inlineStr">
        <is>
          <t>DAMA-DMBOK; ISO/IEC 38505; ISO/IEC 42001; ISO/IEC 23894; NIST AI RMF; DCAM</t>
        </is>
      </c>
      <c r="I354" s="3" t="inlineStr">
        <is>
          <t>Policy/SOP; owner/RACI; system report; dashboard; contracts; test records; incident history; interview evidence related to data lineage for critical KPIs, regulatory reports and board dashboards.</t>
        </is>
      </c>
      <c r="J354" s="3" t="n">
        <v>5</v>
      </c>
      <c r="K354" s="85">
        <f>_DATA_Assessment_Model!H354</f>
        <v/>
      </c>
      <c r="L354" s="4">
        <f>_DATA_Assessment_Model!I354</f>
        <v/>
      </c>
      <c r="M354" s="4">
        <f>_DATA_Assessment_Model!J354</f>
        <v/>
      </c>
      <c r="N354" s="4">
        <f>_DATA_Assessment_Model!K354</f>
        <v/>
      </c>
      <c r="O354" s="3">
        <f>_DATA_Assessment_Model!L354</f>
        <v/>
      </c>
      <c r="P354" s="3" t="inlineStr">
        <is>
          <t>Nothing is monitored or measured.</t>
        </is>
      </c>
      <c r="Q354" s="3" t="inlineStr">
        <is>
          <t>Occasional manual checks by individuals.</t>
        </is>
      </c>
      <c r="R354" s="3" t="inlineStr">
        <is>
          <t>Some metrics exist but are not reviewed regularly and trigger no action.</t>
        </is>
      </c>
      <c r="S354" s="3" t="inlineStr">
        <is>
          <t>Defined metrics with an owner, reviewed on a set cadence.</t>
        </is>
      </c>
      <c r="T354" s="3" t="inlineStr">
        <is>
          <t>Thresholds and alerts in place; deviations trigger documented action; trends analyzed.</t>
        </is>
      </c>
      <c r="U354" s="3" t="inlineStr">
        <is>
          <t>Automated monitoring with leading indicators, integrated into management decisions.</t>
        </is>
      </c>
      <c r="V354" s="3" t="inlineStr">
        <is>
          <t>Decision failure; Data loss; Regulatory/legal shock</t>
        </is>
      </c>
      <c r="W354" s="3" t="n"/>
      <c r="X354" s="3" t="n"/>
      <c r="Y354" s="3" t="inlineStr">
        <is>
          <t>Use the recommended action generated by the model; validate with domain owner during real assessment.</t>
        </is>
      </c>
      <c r="Z354" s="7" t="n">
        <v>5</v>
      </c>
      <c r="AA354" s="7" t="n">
        <v>5</v>
      </c>
      <c r="AB354" s="7" t="n">
        <v>5</v>
      </c>
      <c r="AK354" s="46" t="n"/>
      <c r="AL354" s="46" t="n"/>
      <c r="AM354" s="247">
        <f>_DATA_Assessment_Model!AJ354</f>
        <v/>
      </c>
      <c r="AN354" s="247">
        <f>_DATA_Assessment_Model!AK354</f>
        <v/>
      </c>
      <c r="AO354" s="247">
        <f>_DATA_Assessment_Model!AL354</f>
        <v/>
      </c>
      <c r="AP354" s="247">
        <f>_DATA_Assessment_Model!AM354</f>
        <v/>
      </c>
      <c r="AQ354" s="247">
        <f>_DATA_Assessment_Model!AN354</f>
        <v/>
      </c>
      <c r="AR354" s="247">
        <f>_DATA_Assessment_Model!AO354</f>
        <v/>
      </c>
      <c r="AS354" s="247">
        <f>_DATA_Assessment_Model!AP354</f>
        <v/>
      </c>
      <c r="AT354" s="247">
        <f>_DATA_Assessment_Model!AQ354</f>
        <v/>
      </c>
      <c r="AU354" s="247">
        <f>_DATA_Assessment_Model!AR354</f>
        <v/>
      </c>
      <c r="AV354" s="5">
        <f>_DATA_Assessment_Model!AS354</f>
        <v/>
      </c>
      <c r="AW354" s="5">
        <f>_DATA_Assessment_Model!AT354</f>
        <v/>
      </c>
      <c r="AY354">
        <f>_DATA_Assessment_Model!AV354</f>
        <v/>
      </c>
    </row>
    <row r="355" ht="82.8" customHeight="1" s="209">
      <c r="A355" t="inlineStr">
        <is>
          <t>Data BI AI</t>
        </is>
      </c>
      <c r="B355" t="inlineStr">
        <is>
          <t>Data BI AI</t>
        </is>
      </c>
      <c r="C355" t="n">
        <v>14</v>
      </c>
      <c r="D355" s="3" t="inlineStr">
        <is>
          <t>DATA-010</t>
        </is>
      </c>
      <c r="E355" s="3" t="inlineStr">
        <is>
          <t>Data architecture</t>
        </is>
      </c>
      <c r="F355" s="3" t="inlineStr">
        <is>
          <t>How mature is the organization in managing backup and recovery for critical datasets, warehouses, BI content and analytics code, including ownership, evidence, metrics, fallback procedures and crisis stress testing?</t>
        </is>
      </c>
      <c r="G355" s="3" t="inlineStr">
        <is>
          <t>This topic affects exposure to Decision failure; Data loss; Regulatory/legal shock. It helps identify how disruption may impact operations, people, revenue, systems, legal exposure or recovery time.</t>
        </is>
      </c>
      <c r="H355" s="3" t="inlineStr">
        <is>
          <t>DAMA-DMBOK; ISO/IEC 38505; ISO/IEC 42001; ISO/IEC 23894; NIST AI RMF; DCAM</t>
        </is>
      </c>
      <c r="I355" s="3" t="inlineStr">
        <is>
          <t>Policy/SOP; owner/RACI; system report; dashboard; contracts; test records; incident history; interview evidence related to backup and recovery for critical datasets, warehouses, BI content and analytics code.</t>
        </is>
      </c>
      <c r="J355" s="3" t="n">
        <v>5</v>
      </c>
      <c r="K355" s="85">
        <f>_DATA_Assessment_Model!H355</f>
        <v/>
      </c>
      <c r="L355" s="4">
        <f>_DATA_Assessment_Model!I355</f>
        <v/>
      </c>
      <c r="M355" s="4">
        <f>_DATA_Assessment_Model!J355</f>
        <v/>
      </c>
      <c r="N355" s="4">
        <f>_DATA_Assessment_Model!K355</f>
        <v/>
      </c>
      <c r="O355" s="3">
        <f>_DATA_Assessment_Model!L355</f>
        <v/>
      </c>
      <c r="P355" s="3" t="inlineStr">
        <is>
          <t>Nothing is monitored or measured.</t>
        </is>
      </c>
      <c r="Q355" s="3" t="inlineStr">
        <is>
          <t>Occasional manual checks by individuals.</t>
        </is>
      </c>
      <c r="R355" s="3" t="inlineStr">
        <is>
          <t>Some metrics exist but are not reviewed regularly and trigger no action.</t>
        </is>
      </c>
      <c r="S355" s="3" t="inlineStr">
        <is>
          <t>Defined metrics with an owner, reviewed on a set cadence.</t>
        </is>
      </c>
      <c r="T355" s="3" t="inlineStr">
        <is>
          <t>Thresholds and alerts in place; deviations trigger documented action; trends analyzed.</t>
        </is>
      </c>
      <c r="U355" s="3" t="inlineStr">
        <is>
          <t>Automated monitoring with leading indicators, integrated into management decisions.</t>
        </is>
      </c>
      <c r="V355" s="3" t="inlineStr">
        <is>
          <t>Decision failure; Data loss; Regulatory/legal shock</t>
        </is>
      </c>
      <c r="W355" s="3" t="n"/>
      <c r="X355" s="3" t="n"/>
      <c r="Y355" s="3" t="inlineStr">
        <is>
          <t>Use the recommended action generated by the model; validate with domain owner during real assessment.</t>
        </is>
      </c>
      <c r="Z355" s="7" t="n">
        <v>5</v>
      </c>
      <c r="AA355" s="7" t="n">
        <v>5</v>
      </c>
      <c r="AB355" s="7" t="n">
        <v>5</v>
      </c>
      <c r="AK355" s="46" t="n"/>
      <c r="AL355" s="46" t="n"/>
      <c r="AM355" s="247">
        <f>_DATA_Assessment_Model!AJ355</f>
        <v/>
      </c>
      <c r="AN355" s="247">
        <f>_DATA_Assessment_Model!AK355</f>
        <v/>
      </c>
      <c r="AO355" s="247">
        <f>_DATA_Assessment_Model!AL355</f>
        <v/>
      </c>
      <c r="AP355" s="247">
        <f>_DATA_Assessment_Model!AM355</f>
        <v/>
      </c>
      <c r="AQ355" s="247">
        <f>_DATA_Assessment_Model!AN355</f>
        <v/>
      </c>
      <c r="AR355" s="247">
        <f>_DATA_Assessment_Model!AO355</f>
        <v/>
      </c>
      <c r="AS355" s="247">
        <f>_DATA_Assessment_Model!AP355</f>
        <v/>
      </c>
      <c r="AT355" s="247">
        <f>_DATA_Assessment_Model!AQ355</f>
        <v/>
      </c>
      <c r="AU355" s="247">
        <f>_DATA_Assessment_Model!AR355</f>
        <v/>
      </c>
      <c r="AV355" s="5">
        <f>_DATA_Assessment_Model!AS355</f>
        <v/>
      </c>
      <c r="AW355" s="5">
        <f>_DATA_Assessment_Model!AT355</f>
        <v/>
      </c>
      <c r="AY355">
        <f>_DATA_Assessment_Model!AV355</f>
        <v/>
      </c>
    </row>
    <row r="356" ht="82.8" customHeight="1" s="209">
      <c r="A356" t="inlineStr">
        <is>
          <t>Data BI AI</t>
        </is>
      </c>
      <c r="B356" t="inlineStr">
        <is>
          <t>Data BI AI</t>
        </is>
      </c>
      <c r="C356" t="n">
        <v>15</v>
      </c>
      <c r="D356" s="3" t="inlineStr">
        <is>
          <t>DATA-011</t>
        </is>
      </c>
      <c r="E356" s="3" t="inlineStr">
        <is>
          <t>Data architecture</t>
        </is>
      </c>
      <c r="F356" s="3" t="inlineStr">
        <is>
          <t>How mature is the organization in managing retention and deletion rules for structured and unstructured data, including ownership, evidence, metrics, fallback procedures and crisis stress testing?</t>
        </is>
      </c>
      <c r="G356" s="3" t="inlineStr">
        <is>
          <t>This topic affects exposure to Decision failure; Data loss; Regulatory/legal shock. It helps identify how disruption may impact operations, people, revenue, systems, legal exposure or recovery time.</t>
        </is>
      </c>
      <c r="H356" s="3" t="inlineStr">
        <is>
          <t>DAMA-DMBOK; ISO/IEC 38505; ISO/IEC 42001; ISO/IEC 23894; NIST AI RMF; DCAM</t>
        </is>
      </c>
      <c r="I356" s="3" t="inlineStr">
        <is>
          <t>Policy/SOP; owner/RACI; system report; dashboard; contracts; test records; incident history; interview evidence related to retention and deletion rules for structured and unstructured data.</t>
        </is>
      </c>
      <c r="J356" s="3" t="n">
        <v>4</v>
      </c>
      <c r="K356" s="85">
        <f>_DATA_Assessment_Model!H356</f>
        <v/>
      </c>
      <c r="L356" s="4">
        <f>_DATA_Assessment_Model!I356</f>
        <v/>
      </c>
      <c r="M356" s="4">
        <f>_DATA_Assessment_Model!J356</f>
        <v/>
      </c>
      <c r="N356" s="4">
        <f>_DATA_Assessment_Model!K356</f>
        <v/>
      </c>
      <c r="O356" s="3">
        <f>_DATA_Assessment_Model!L356</f>
        <v/>
      </c>
      <c r="P356" s="3" t="inlineStr">
        <is>
          <t>No reliable evidence that retention and deletion rules for structured and unstructured data is defined, owned or managed.</t>
        </is>
      </c>
      <c r="Q356" s="3" t="inlineStr">
        <is>
          <t>Retention and deletion rules for structured and unstructured data is handled informally and depends on individual knowledge or heroic effort.</t>
        </is>
      </c>
      <c r="R356" s="3" t="inlineStr">
        <is>
          <t>Retention and deletion rules for structured and unstructured data is partially documented or implemented, but coverage is inconsistent and not crisis-tested.</t>
        </is>
      </c>
      <c r="S356" s="3" t="inlineStr">
        <is>
          <t>Retention and deletion rules for structured and unstructured data is documented, owned, used in normal operations and supported by basic evidence or metrics.</t>
        </is>
      </c>
      <c r="T356" s="3" t="inlineStr">
        <is>
          <t>Retention and deletion rules for structured and unstructured data is measured, periodically reviewed, integrated with related processes and tested against relevant disruption scenarios.</t>
        </is>
      </c>
      <c r="U356" s="3" t="inlineStr">
        <is>
          <t>Retention and deletion rules for structured and unstructured data is optimized, continuously improved, automated where practical and demonstrably supports crisis resilience.</t>
        </is>
      </c>
      <c r="V356" s="3" t="inlineStr">
        <is>
          <t>Decision failure; Data loss; Regulatory/legal shock</t>
        </is>
      </c>
      <c r="W356" s="3" t="n"/>
      <c r="X356" s="3" t="n"/>
      <c r="Y356" s="3" t="inlineStr">
        <is>
          <t>Use the recommended action generated by the model; validate with domain owner during real assessment.</t>
        </is>
      </c>
      <c r="Z356" s="7" t="n">
        <v>5</v>
      </c>
      <c r="AA356" s="7" t="n">
        <v>5</v>
      </c>
      <c r="AB356" s="7" t="n">
        <v>5</v>
      </c>
      <c r="AK356" s="46" t="n"/>
      <c r="AL356" s="46" t="n"/>
      <c r="AM356" s="247">
        <f>_DATA_Assessment_Model!AJ356</f>
        <v/>
      </c>
      <c r="AN356" s="247">
        <f>_DATA_Assessment_Model!AK356</f>
        <v/>
      </c>
      <c r="AO356" s="247">
        <f>_DATA_Assessment_Model!AL356</f>
        <v/>
      </c>
      <c r="AP356" s="247">
        <f>_DATA_Assessment_Model!AM356</f>
        <v/>
      </c>
      <c r="AQ356" s="247">
        <f>_DATA_Assessment_Model!AN356</f>
        <v/>
      </c>
      <c r="AR356" s="247">
        <f>_DATA_Assessment_Model!AO356</f>
        <v/>
      </c>
      <c r="AS356" s="247">
        <f>_DATA_Assessment_Model!AP356</f>
        <v/>
      </c>
      <c r="AT356" s="247">
        <f>_DATA_Assessment_Model!AQ356</f>
        <v/>
      </c>
      <c r="AU356" s="247">
        <f>_DATA_Assessment_Model!AR356</f>
        <v/>
      </c>
      <c r="AV356" s="5">
        <f>_DATA_Assessment_Model!AS356</f>
        <v/>
      </c>
      <c r="AW356" s="5">
        <f>_DATA_Assessment_Model!AT356</f>
        <v/>
      </c>
      <c r="AY356">
        <f>_DATA_Assessment_Model!AV356</f>
        <v/>
      </c>
    </row>
    <row r="357" ht="69" customHeight="1" s="209">
      <c r="A357" t="inlineStr">
        <is>
          <t>Data BI AI</t>
        </is>
      </c>
      <c r="B357" t="inlineStr">
        <is>
          <t>Data BI AI</t>
        </is>
      </c>
      <c r="C357" t="n">
        <v>16</v>
      </c>
      <c r="D357" s="3" t="inlineStr">
        <is>
          <t>DATA-012</t>
        </is>
      </c>
      <c r="E357" s="3" t="inlineStr">
        <is>
          <t>Data architecture</t>
        </is>
      </c>
      <c r="F357" s="3" t="inlineStr">
        <is>
          <t>How mature is the organization in managing external data source validation for quality, licensing, availability and continuity, including ownership, evidence, metrics, fallback procedures and crisis stress testing?</t>
        </is>
      </c>
      <c r="G357" s="3" t="inlineStr">
        <is>
          <t>This topic affects exposure to Decision failure; Data loss; Regulatory/legal shock. It helps identify how disruption may impact operations, people, revenue, systems, legal exposure or recovery time.</t>
        </is>
      </c>
      <c r="H357" s="3" t="inlineStr">
        <is>
          <t>DAMA-DMBOK; ISO/IEC 38505; ISO/IEC 42001; ISO/IEC 23894; NIST AI RMF; DCAM</t>
        </is>
      </c>
      <c r="I357" s="3" t="inlineStr">
        <is>
          <t>Policy/SOP; owner/RACI; system report; dashboard; contracts; test records; incident history; interview evidence related to external data source validation for quality, licensing, availability and continuity.</t>
        </is>
      </c>
      <c r="J357" s="3" t="n">
        <v>5</v>
      </c>
      <c r="K357" s="85">
        <f>_DATA_Assessment_Model!H357</f>
        <v/>
      </c>
      <c r="L357" s="4">
        <f>_DATA_Assessment_Model!I357</f>
        <v/>
      </c>
      <c r="M357" s="4">
        <f>_DATA_Assessment_Model!J357</f>
        <v/>
      </c>
      <c r="N357" s="4">
        <f>_DATA_Assessment_Model!K357</f>
        <v/>
      </c>
      <c r="O357" s="3">
        <f>_DATA_Assessment_Model!L357</f>
        <v/>
      </c>
      <c r="P357" s="3" t="inlineStr">
        <is>
          <t>Does not exist; no owner, no documentation, no practice.</t>
        </is>
      </c>
      <c r="Q357" s="3" t="inlineStr">
        <is>
          <t>Ad hoc; depends entirely on specific individuals.</t>
        </is>
      </c>
      <c r="R357" s="3" t="inlineStr">
        <is>
          <t>Partially documented or implemented; coverage inconsistent; never tested under stress.</t>
        </is>
      </c>
      <c r="S357" s="3" t="inlineStr">
        <is>
          <t>Documented, owned, executed consistently; basic evidence and metrics exist.</t>
        </is>
      </c>
      <c r="T357" s="3" t="inlineStr">
        <is>
          <t>Measured and periodically tested/audited; integrated with adjacent processes.</t>
        </is>
      </c>
      <c r="U357" s="3" t="inlineStr">
        <is>
          <t>Optimized and automated where practical; stress-tested; benchmarked externally.</t>
        </is>
      </c>
      <c r="V357" s="3" t="inlineStr">
        <is>
          <t>Decision failure; Data loss; Regulatory/legal shock</t>
        </is>
      </c>
      <c r="W357" s="3" t="n"/>
      <c r="X357" s="3" t="n"/>
      <c r="Y357" s="3" t="inlineStr">
        <is>
          <t>Use the recommended action generated by the model; validate with domain owner during real assessment.</t>
        </is>
      </c>
      <c r="Z357" s="7" t="n">
        <v>5</v>
      </c>
      <c r="AA357" s="7" t="n">
        <v>5</v>
      </c>
      <c r="AB357" s="7" t="n">
        <v>5</v>
      </c>
      <c r="AK357" s="46" t="n"/>
      <c r="AL357" s="46" t="n"/>
      <c r="AM357" s="247">
        <f>_DATA_Assessment_Model!AJ357</f>
        <v/>
      </c>
      <c r="AN357" s="247">
        <f>_DATA_Assessment_Model!AK357</f>
        <v/>
      </c>
      <c r="AO357" s="247">
        <f>_DATA_Assessment_Model!AL357</f>
        <v/>
      </c>
      <c r="AP357" s="247">
        <f>_DATA_Assessment_Model!AM357</f>
        <v/>
      </c>
      <c r="AQ357" s="247">
        <f>_DATA_Assessment_Model!AN357</f>
        <v/>
      </c>
      <c r="AR357" s="247">
        <f>_DATA_Assessment_Model!AO357</f>
        <v/>
      </c>
      <c r="AS357" s="247">
        <f>_DATA_Assessment_Model!AP357</f>
        <v/>
      </c>
      <c r="AT357" s="247">
        <f>_DATA_Assessment_Model!AQ357</f>
        <v/>
      </c>
      <c r="AU357" s="247">
        <f>_DATA_Assessment_Model!AR357</f>
        <v/>
      </c>
      <c r="AV357" s="5">
        <f>_DATA_Assessment_Model!AS357</f>
        <v/>
      </c>
      <c r="AW357" s="5">
        <f>_DATA_Assessment_Model!AT357</f>
        <v/>
      </c>
      <c r="AY357">
        <f>_DATA_Assessment_Model!AV357</f>
        <v/>
      </c>
    </row>
    <row r="358" ht="82.8" customHeight="1" s="209">
      <c r="A358" t="inlineStr">
        <is>
          <t>Data BI AI</t>
        </is>
      </c>
      <c r="B358" t="inlineStr">
        <is>
          <t>Data BI AI</t>
        </is>
      </c>
      <c r="C358" t="n">
        <v>17</v>
      </c>
      <c r="D358" s="3" t="inlineStr">
        <is>
          <t>DATA-013</t>
        </is>
      </c>
      <c r="E358" s="3" t="inlineStr">
        <is>
          <t>BI and analytics</t>
        </is>
      </c>
      <c r="F358" s="3" t="inlineStr">
        <is>
          <t>How mature is the organization in managing executive dashboards for crisis KPIs such as cash, workforce, supply, delivery, revenue and incidents, including ownership, evidence, metrics, fallback procedures and crisis stress testing?</t>
        </is>
      </c>
      <c r="G358" s="3" t="inlineStr">
        <is>
          <t>This topic affects exposure to Decision failure; Data loss; Regulatory/legal shock. It helps identify how disruption may impact operations, people, revenue, systems, legal exposure or recovery time.</t>
        </is>
      </c>
      <c r="H358" s="3" t="inlineStr">
        <is>
          <t>DAMA-DMBOK; ISO/IEC 38505; ISO/IEC 42001; ISO/IEC 23894; NIST AI RMF; DCAM</t>
        </is>
      </c>
      <c r="I358" s="3" t="inlineStr">
        <is>
          <t>Policy/SOP; owner/RACI; system report; dashboard; contracts; test records; incident history; interview evidence related to executive dashboards for crisis KPIs such as cash, workforce, supply, delivery, revenue and incidents.</t>
        </is>
      </c>
      <c r="J358" s="3" t="n">
        <v>5</v>
      </c>
      <c r="K358" s="85">
        <f>_DATA_Assessment_Model!H358</f>
        <v/>
      </c>
      <c r="L358" s="4">
        <f>_DATA_Assessment_Model!I358</f>
        <v/>
      </c>
      <c r="M358" s="4">
        <f>_DATA_Assessment_Model!J358</f>
        <v/>
      </c>
      <c r="N358" s="4">
        <f>_DATA_Assessment_Model!K358</f>
        <v/>
      </c>
      <c r="O358" s="3">
        <f>_DATA_Assessment_Model!L358</f>
        <v/>
      </c>
      <c r="P358" s="3" t="inlineStr">
        <is>
          <t>Nothing is monitored or measured.</t>
        </is>
      </c>
      <c r="Q358" s="3" t="inlineStr">
        <is>
          <t>Occasional manual checks by individuals.</t>
        </is>
      </c>
      <c r="R358" s="3" t="inlineStr">
        <is>
          <t>Some metrics exist but are not reviewed regularly and trigger no action.</t>
        </is>
      </c>
      <c r="S358" s="3" t="inlineStr">
        <is>
          <t>Defined metrics with an owner, reviewed on a set cadence.</t>
        </is>
      </c>
      <c r="T358" s="3" t="inlineStr">
        <is>
          <t>Thresholds and alerts in place; deviations trigger documented action; trends analyzed.</t>
        </is>
      </c>
      <c r="U358" s="3" t="inlineStr">
        <is>
          <t>Automated monitoring with leading indicators, integrated into management decisions.</t>
        </is>
      </c>
      <c r="V358" s="3" t="inlineStr">
        <is>
          <t>Decision failure; Data loss; Regulatory/legal shock</t>
        </is>
      </c>
      <c r="W358" s="3" t="n"/>
      <c r="X358" s="3" t="n"/>
      <c r="Y358" s="3" t="inlineStr">
        <is>
          <t>Use the recommended action generated by the model; validate with domain owner during real assessment.</t>
        </is>
      </c>
      <c r="Z358" s="7" t="n">
        <v>5</v>
      </c>
      <c r="AA358" s="7" t="n">
        <v>5</v>
      </c>
      <c r="AB358" s="7" t="n">
        <v>5</v>
      </c>
      <c r="AK358" s="46" t="n"/>
      <c r="AL358" s="46" t="n"/>
      <c r="AM358" s="247">
        <f>_DATA_Assessment_Model!AJ358</f>
        <v/>
      </c>
      <c r="AN358" s="247">
        <f>_DATA_Assessment_Model!AK358</f>
        <v/>
      </c>
      <c r="AO358" s="247">
        <f>_DATA_Assessment_Model!AL358</f>
        <v/>
      </c>
      <c r="AP358" s="247">
        <f>_DATA_Assessment_Model!AM358</f>
        <v/>
      </c>
      <c r="AQ358" s="247">
        <f>_DATA_Assessment_Model!AN358</f>
        <v/>
      </c>
      <c r="AR358" s="247">
        <f>_DATA_Assessment_Model!AO358</f>
        <v/>
      </c>
      <c r="AS358" s="247">
        <f>_DATA_Assessment_Model!AP358</f>
        <v/>
      </c>
      <c r="AT358" s="247">
        <f>_DATA_Assessment_Model!AQ358</f>
        <v/>
      </c>
      <c r="AU358" s="247">
        <f>_DATA_Assessment_Model!AR358</f>
        <v/>
      </c>
      <c r="AV358" s="5">
        <f>_DATA_Assessment_Model!AS358</f>
        <v/>
      </c>
      <c r="AW358" s="5">
        <f>_DATA_Assessment_Model!AT358</f>
        <v/>
      </c>
      <c r="AY358">
        <f>_DATA_Assessment_Model!AV358</f>
        <v/>
      </c>
    </row>
    <row r="359" ht="69" customHeight="1" s="209">
      <c r="A359" t="inlineStr">
        <is>
          <t>Data BI AI</t>
        </is>
      </c>
      <c r="B359" t="inlineStr">
        <is>
          <t>Data BI AI</t>
        </is>
      </c>
      <c r="C359" t="n">
        <v>18</v>
      </c>
      <c r="D359" s="3" t="inlineStr">
        <is>
          <t>DATA-014</t>
        </is>
      </c>
      <c r="E359" s="3" t="inlineStr">
        <is>
          <t>BI and analytics</t>
        </is>
      </c>
      <c r="F359" s="3" t="inlineStr">
        <is>
          <t>How mature is the organization in managing operational dashboards for daily management and crisis response, including ownership, evidence, metrics, fallback procedures and crisis stress testing?</t>
        </is>
      </c>
      <c r="G359" s="3" t="inlineStr">
        <is>
          <t>This topic affects exposure to Decision failure; Data loss; Regulatory/legal shock. It helps identify how disruption may impact operations, people, revenue, systems, legal exposure or recovery time.</t>
        </is>
      </c>
      <c r="H359" s="3" t="inlineStr">
        <is>
          <t>DAMA-DMBOK; ISO/IEC 38505; ISO/IEC 42001; ISO/IEC 23894; NIST AI RMF; DCAM</t>
        </is>
      </c>
      <c r="I359" s="3" t="inlineStr">
        <is>
          <t>Policy/SOP; owner/RACI; system report; dashboard; contracts; test records; incident history; interview evidence related to operational dashboards for daily management and crisis response.</t>
        </is>
      </c>
      <c r="J359" s="3" t="n">
        <v>5</v>
      </c>
      <c r="K359" s="85">
        <f>_DATA_Assessment_Model!H359</f>
        <v/>
      </c>
      <c r="L359" s="4">
        <f>_DATA_Assessment_Model!I359</f>
        <v/>
      </c>
      <c r="M359" s="4">
        <f>_DATA_Assessment_Model!J359</f>
        <v/>
      </c>
      <c r="N359" s="4">
        <f>_DATA_Assessment_Model!K359</f>
        <v/>
      </c>
      <c r="O359" s="3">
        <f>_DATA_Assessment_Model!L359</f>
        <v/>
      </c>
      <c r="P359" s="3" t="inlineStr">
        <is>
          <t>Does not exist; no owner, no documentation, no practice.</t>
        </is>
      </c>
      <c r="Q359" s="3" t="inlineStr">
        <is>
          <t>Ad hoc; depends entirely on specific individuals.</t>
        </is>
      </c>
      <c r="R359" s="3" t="inlineStr">
        <is>
          <t>Partially documented or implemented; coverage inconsistent; never tested under stress.</t>
        </is>
      </c>
      <c r="S359" s="3" t="inlineStr">
        <is>
          <t>Documented, owned, executed consistently; basic evidence and metrics exist.</t>
        </is>
      </c>
      <c r="T359" s="3" t="inlineStr">
        <is>
          <t>Measured and periodically tested/audited; integrated with adjacent processes.</t>
        </is>
      </c>
      <c r="U359" s="3" t="inlineStr">
        <is>
          <t>Optimized and automated where practical; stress-tested; benchmarked externally.</t>
        </is>
      </c>
      <c r="V359" s="3" t="inlineStr">
        <is>
          <t>Decision failure; Data loss; Regulatory/legal shock</t>
        </is>
      </c>
      <c r="W359" s="3" t="n"/>
      <c r="X359" s="3" t="n"/>
      <c r="Y359" s="3" t="inlineStr">
        <is>
          <t>Use the recommended action generated by the model; validate with domain owner during real assessment.</t>
        </is>
      </c>
      <c r="Z359" s="7" t="n">
        <v>5</v>
      </c>
      <c r="AA359" s="7" t="n">
        <v>5</v>
      </c>
      <c r="AB359" s="7" t="n">
        <v>5</v>
      </c>
      <c r="AK359" s="46" t="n"/>
      <c r="AL359" s="46" t="n"/>
      <c r="AM359" s="247">
        <f>_DATA_Assessment_Model!AJ359</f>
        <v/>
      </c>
      <c r="AN359" s="247">
        <f>_DATA_Assessment_Model!AK359</f>
        <v/>
      </c>
      <c r="AO359" s="247">
        <f>_DATA_Assessment_Model!AL359</f>
        <v/>
      </c>
      <c r="AP359" s="247">
        <f>_DATA_Assessment_Model!AM359</f>
        <v/>
      </c>
      <c r="AQ359" s="247">
        <f>_DATA_Assessment_Model!AN359</f>
        <v/>
      </c>
      <c r="AR359" s="247">
        <f>_DATA_Assessment_Model!AO359</f>
        <v/>
      </c>
      <c r="AS359" s="247">
        <f>_DATA_Assessment_Model!AP359</f>
        <v/>
      </c>
      <c r="AT359" s="247">
        <f>_DATA_Assessment_Model!AQ359</f>
        <v/>
      </c>
      <c r="AU359" s="247">
        <f>_DATA_Assessment_Model!AR359</f>
        <v/>
      </c>
      <c r="AV359" s="5">
        <f>_DATA_Assessment_Model!AS359</f>
        <v/>
      </c>
      <c r="AW359" s="5">
        <f>_DATA_Assessment_Model!AT359</f>
        <v/>
      </c>
      <c r="AY359">
        <f>_DATA_Assessment_Model!AV359</f>
        <v/>
      </c>
    </row>
    <row r="360" ht="82.8" customHeight="1" s="209">
      <c r="A360" t="inlineStr">
        <is>
          <t>Data BI AI</t>
        </is>
      </c>
      <c r="B360" t="inlineStr">
        <is>
          <t>Data BI AI</t>
        </is>
      </c>
      <c r="C360" t="n">
        <v>19</v>
      </c>
      <c r="D360" s="3" t="inlineStr">
        <is>
          <t>DATA-015</t>
        </is>
      </c>
      <c r="E360" s="3" t="inlineStr">
        <is>
          <t>BI and analytics</t>
        </is>
      </c>
      <c r="F360" s="3" t="inlineStr">
        <is>
          <t>How mature is the organization in managing single source of truth for critical reports instead of manually reconciled spreadsheets, including ownership, evidence, metrics, fallback procedures and crisis stress testing?</t>
        </is>
      </c>
      <c r="G360" s="3" t="inlineStr">
        <is>
          <t>This topic affects exposure to Decision failure; Data loss; Regulatory/legal shock. It helps identify how disruption may impact operations, people, revenue, systems, legal exposure or recovery time.</t>
        </is>
      </c>
      <c r="H360" s="3" t="inlineStr">
        <is>
          <t>DAMA-DMBOK; ISO/IEC 38505; ISO/IEC 42001; ISO/IEC 23894; NIST AI RMF; DCAM</t>
        </is>
      </c>
      <c r="I360" s="3" t="inlineStr">
        <is>
          <t>Policy/SOP; owner/RACI; system report; dashboard; contracts; test records; incident history; interview evidence related to single source of truth for critical reports instead of manually reconciled spreadsheets.</t>
        </is>
      </c>
      <c r="J360" s="3" t="n">
        <v>5</v>
      </c>
      <c r="K360" s="85">
        <f>_DATA_Assessment_Model!H360</f>
        <v/>
      </c>
      <c r="L360" s="4">
        <f>_DATA_Assessment_Model!I360</f>
        <v/>
      </c>
      <c r="M360" s="4">
        <f>_DATA_Assessment_Model!J360</f>
        <v/>
      </c>
      <c r="N360" s="4">
        <f>_DATA_Assessment_Model!K360</f>
        <v/>
      </c>
      <c r="O360" s="3">
        <f>_DATA_Assessment_Model!L360</f>
        <v/>
      </c>
      <c r="P360" s="3" t="inlineStr">
        <is>
          <t>Does not exist; no owner, no documentation, no practice.</t>
        </is>
      </c>
      <c r="Q360" s="3" t="inlineStr">
        <is>
          <t>Ad hoc; depends entirely on specific individuals.</t>
        </is>
      </c>
      <c r="R360" s="3" t="inlineStr">
        <is>
          <t>Partially documented or implemented; coverage inconsistent; never tested under stress.</t>
        </is>
      </c>
      <c r="S360" s="3" t="inlineStr">
        <is>
          <t>Documented, owned, executed consistently; basic evidence and metrics exist.</t>
        </is>
      </c>
      <c r="T360" s="3" t="inlineStr">
        <is>
          <t>Measured and periodically tested/audited; integrated with adjacent processes.</t>
        </is>
      </c>
      <c r="U360" s="3" t="inlineStr">
        <is>
          <t>Optimized and automated where practical; stress-tested; benchmarked externally.</t>
        </is>
      </c>
      <c r="V360" s="3" t="inlineStr">
        <is>
          <t>Decision failure; Data loss; Regulatory/legal shock</t>
        </is>
      </c>
      <c r="W360" s="3" t="n"/>
      <c r="X360" s="3" t="n"/>
      <c r="Y360" s="3" t="inlineStr">
        <is>
          <t>Use the recommended action generated by the model; validate with domain owner during real assessment.</t>
        </is>
      </c>
      <c r="Z360" s="7" t="n">
        <v>5</v>
      </c>
      <c r="AA360" s="7" t="n">
        <v>5</v>
      </c>
      <c r="AB360" s="7" t="n">
        <v>5</v>
      </c>
      <c r="AK360" s="46" t="n"/>
      <c r="AL360" s="46" t="n"/>
      <c r="AM360" s="247">
        <f>_DATA_Assessment_Model!AJ360</f>
        <v/>
      </c>
      <c r="AN360" s="247">
        <f>_DATA_Assessment_Model!AK360</f>
        <v/>
      </c>
      <c r="AO360" s="247">
        <f>_DATA_Assessment_Model!AL360</f>
        <v/>
      </c>
      <c r="AP360" s="247">
        <f>_DATA_Assessment_Model!AM360</f>
        <v/>
      </c>
      <c r="AQ360" s="247">
        <f>_DATA_Assessment_Model!AN360</f>
        <v/>
      </c>
      <c r="AR360" s="247">
        <f>_DATA_Assessment_Model!AO360</f>
        <v/>
      </c>
      <c r="AS360" s="247">
        <f>_DATA_Assessment_Model!AP360</f>
        <v/>
      </c>
      <c r="AT360" s="247">
        <f>_DATA_Assessment_Model!AQ360</f>
        <v/>
      </c>
      <c r="AU360" s="247">
        <f>_DATA_Assessment_Model!AR360</f>
        <v/>
      </c>
      <c r="AV360" s="5">
        <f>_DATA_Assessment_Model!AS360</f>
        <v/>
      </c>
      <c r="AW360" s="5">
        <f>_DATA_Assessment_Model!AT360</f>
        <v/>
      </c>
      <c r="AY360">
        <f>_DATA_Assessment_Model!AV360</f>
        <v/>
      </c>
    </row>
    <row r="361" ht="96.59999999999999" customHeight="1" s="209">
      <c r="A361" t="inlineStr">
        <is>
          <t>Data BI AI</t>
        </is>
      </c>
      <c r="B361" t="inlineStr">
        <is>
          <t>Data BI AI</t>
        </is>
      </c>
      <c r="C361" t="n">
        <v>20</v>
      </c>
      <c r="D361" s="3" t="inlineStr">
        <is>
          <t>DATA-016</t>
        </is>
      </c>
      <c r="E361" s="3" t="inlineStr">
        <is>
          <t>BI and analytics</t>
        </is>
      </c>
      <c r="F361" s="3" t="inlineStr">
        <is>
          <t>How mature is the organization in managing self-service analytics governance to avoid uncontrolled reporting, including ownership, evidence, metrics, fallback procedures and crisis stress testing?</t>
        </is>
      </c>
      <c r="G361" s="3" t="inlineStr">
        <is>
          <t>This topic affects exposure to Decision failure; Data loss; Regulatory/legal shock. It helps identify how disruption may impact operations, people, revenue, systems, legal exposure or recovery time.</t>
        </is>
      </c>
      <c r="H361" s="3" t="inlineStr">
        <is>
          <t>DAMA-DMBOK; ISO/IEC 38505; ISO/IEC 42001; ISO/IEC 23894; NIST AI RMF; DCAM</t>
        </is>
      </c>
      <c r="I361" s="3" t="inlineStr">
        <is>
          <t>Policy/SOP; owner/RACI; system report; dashboard; contracts; test records; incident history; interview evidence related to self-service analytics governance to avoid uncontrolled reporting.</t>
        </is>
      </c>
      <c r="J361" s="3" t="n">
        <v>4</v>
      </c>
      <c r="K361" s="85">
        <f>_DATA_Assessment_Model!H361</f>
        <v/>
      </c>
      <c r="L361" s="4">
        <f>_DATA_Assessment_Model!I361</f>
        <v/>
      </c>
      <c r="M361" s="4">
        <f>_DATA_Assessment_Model!J361</f>
        <v/>
      </c>
      <c r="N361" s="4">
        <f>_DATA_Assessment_Model!K361</f>
        <v/>
      </c>
      <c r="O361" s="3">
        <f>_DATA_Assessment_Model!L361</f>
        <v/>
      </c>
      <c r="P361" s="3" t="inlineStr">
        <is>
          <t>No reliable evidence that self-service analytics governance to avoid uncontrolled reporting is defined, owned or managed.</t>
        </is>
      </c>
      <c r="Q361" s="3" t="inlineStr">
        <is>
          <t>Self-service analytics governance to avoid uncontrolled reporting is handled informally and depends on individual knowledge or heroic effort.</t>
        </is>
      </c>
      <c r="R361" s="3" t="inlineStr">
        <is>
          <t>Self-service analytics governance to avoid uncontrolled reporting is partially documented or implemented, but coverage is inconsistent and not crisis-tested.</t>
        </is>
      </c>
      <c r="S361" s="3" t="inlineStr">
        <is>
          <t>Self-service analytics governance to avoid uncontrolled reporting is documented, owned, used in normal operations and supported by basic evidence or metrics.</t>
        </is>
      </c>
      <c r="T361" s="3" t="inlineStr">
        <is>
          <t>Self-service analytics governance to avoid uncontrolled reporting is measured, periodically reviewed, integrated with related processes and tested against relevant disruption scenarios.</t>
        </is>
      </c>
      <c r="U361" s="3" t="inlineStr">
        <is>
          <t>Self-service analytics governance to avoid uncontrolled reporting is optimized, continuously improved, automated where practical and demonstrably supports crisis resilience.</t>
        </is>
      </c>
      <c r="V361" s="3" t="inlineStr">
        <is>
          <t>Decision failure; Data loss; Regulatory/legal shock</t>
        </is>
      </c>
      <c r="W361" s="3" t="n"/>
      <c r="X361" s="3" t="n"/>
      <c r="Y361" s="3" t="inlineStr">
        <is>
          <t>Use the recommended action generated by the model; validate with domain owner during real assessment.</t>
        </is>
      </c>
      <c r="Z361" s="7" t="n">
        <v>5</v>
      </c>
      <c r="AA361" s="7" t="n">
        <v>5</v>
      </c>
      <c r="AB361" s="7" t="n">
        <v>5</v>
      </c>
      <c r="AK361" s="46" t="n"/>
      <c r="AL361" s="46" t="n"/>
      <c r="AM361" s="247">
        <f>_DATA_Assessment_Model!AJ361</f>
        <v/>
      </c>
      <c r="AN361" s="247">
        <f>_DATA_Assessment_Model!AK361</f>
        <v/>
      </c>
      <c r="AO361" s="247">
        <f>_DATA_Assessment_Model!AL361</f>
        <v/>
      </c>
      <c r="AP361" s="247">
        <f>_DATA_Assessment_Model!AM361</f>
        <v/>
      </c>
      <c r="AQ361" s="247">
        <f>_DATA_Assessment_Model!AN361</f>
        <v/>
      </c>
      <c r="AR361" s="247">
        <f>_DATA_Assessment_Model!AO361</f>
        <v/>
      </c>
      <c r="AS361" s="247">
        <f>_DATA_Assessment_Model!AP361</f>
        <v/>
      </c>
      <c r="AT361" s="247">
        <f>_DATA_Assessment_Model!AQ361</f>
        <v/>
      </c>
      <c r="AU361" s="247">
        <f>_DATA_Assessment_Model!AR361</f>
        <v/>
      </c>
      <c r="AV361" s="5">
        <f>_DATA_Assessment_Model!AS361</f>
        <v/>
      </c>
      <c r="AW361" s="5">
        <f>_DATA_Assessment_Model!AT361</f>
        <v/>
      </c>
      <c r="AY361">
        <f>_DATA_Assessment_Model!AV361</f>
        <v/>
      </c>
    </row>
    <row r="362" ht="69" customHeight="1" s="209">
      <c r="A362" t="inlineStr">
        <is>
          <t>Data BI AI</t>
        </is>
      </c>
      <c r="B362" t="inlineStr">
        <is>
          <t>Data BI AI</t>
        </is>
      </c>
      <c r="C362" t="n">
        <v>21</v>
      </c>
      <c r="D362" s="3" t="inlineStr">
        <is>
          <t>DATA-017</t>
        </is>
      </c>
      <c r="E362" s="3" t="inlineStr">
        <is>
          <t>BI and analytics</t>
        </is>
      </c>
      <c r="F362" s="3" t="inlineStr">
        <is>
          <t>How mature is the organization in managing rapid ad hoc crisis reporting without breaking data controls, including ownership, evidence, metrics, fallback procedures and crisis stress testing?</t>
        </is>
      </c>
      <c r="G362" s="3" t="inlineStr">
        <is>
          <t>This topic affects exposure to Decision failure; Data loss; Regulatory/legal shock. It helps identify how disruption may impact operations, people, revenue, systems, legal exposure or recovery time.</t>
        </is>
      </c>
      <c r="H362" s="3" t="inlineStr">
        <is>
          <t>DAMA-DMBOK; ISO/IEC 38505; ISO/IEC 42001; ISO/IEC 23894; NIST AI RMF; DCAM</t>
        </is>
      </c>
      <c r="I362" s="3" t="inlineStr">
        <is>
          <t>Policy/SOP; owner/RACI; system report; dashboard; contracts; test records; incident history; interview evidence related to rapid ad hoc crisis reporting without breaking data controls.</t>
        </is>
      </c>
      <c r="J362" s="3" t="n">
        <v>5</v>
      </c>
      <c r="K362" s="85">
        <f>_DATA_Assessment_Model!H362</f>
        <v/>
      </c>
      <c r="L362" s="4">
        <f>_DATA_Assessment_Model!I362</f>
        <v/>
      </c>
      <c r="M362" s="4">
        <f>_DATA_Assessment_Model!J362</f>
        <v/>
      </c>
      <c r="N362" s="4">
        <f>_DATA_Assessment_Model!K362</f>
        <v/>
      </c>
      <c r="O362" s="3">
        <f>_DATA_Assessment_Model!L362</f>
        <v/>
      </c>
      <c r="P362" s="3" t="inlineStr">
        <is>
          <t>Does not exist; no owner, no documentation, no practice.</t>
        </is>
      </c>
      <c r="Q362" s="3" t="inlineStr">
        <is>
          <t>Ad hoc; depends entirely on specific individuals.</t>
        </is>
      </c>
      <c r="R362" s="3" t="inlineStr">
        <is>
          <t>Partially documented or implemented; coverage inconsistent; never tested under stress.</t>
        </is>
      </c>
      <c r="S362" s="3" t="inlineStr">
        <is>
          <t>Documented, owned, executed consistently; basic evidence and metrics exist.</t>
        </is>
      </c>
      <c r="T362" s="3" t="inlineStr">
        <is>
          <t>Measured and periodically tested/audited; integrated with adjacent processes.</t>
        </is>
      </c>
      <c r="U362" s="3" t="inlineStr">
        <is>
          <t>Optimized and automated where practical; stress-tested; benchmarked externally.</t>
        </is>
      </c>
      <c r="V362" s="3" t="inlineStr">
        <is>
          <t>Decision failure; Data loss; Regulatory/legal shock</t>
        </is>
      </c>
      <c r="W362" s="3" t="n"/>
      <c r="X362" s="3" t="n"/>
      <c r="Y362" s="3" t="inlineStr">
        <is>
          <t>Use the recommended action generated by the model; validate with domain owner during real assessment.</t>
        </is>
      </c>
      <c r="Z362" s="7" t="n">
        <v>5</v>
      </c>
      <c r="AA362" s="7" t="n">
        <v>5</v>
      </c>
      <c r="AB362" s="7" t="n">
        <v>5</v>
      </c>
      <c r="AK362" s="46" t="n"/>
      <c r="AL362" s="46" t="n"/>
      <c r="AM362" s="247">
        <f>_DATA_Assessment_Model!AJ362</f>
        <v/>
      </c>
      <c r="AN362" s="247">
        <f>_DATA_Assessment_Model!AK362</f>
        <v/>
      </c>
      <c r="AO362" s="247">
        <f>_DATA_Assessment_Model!AL362</f>
        <v/>
      </c>
      <c r="AP362" s="247">
        <f>_DATA_Assessment_Model!AM362</f>
        <v/>
      </c>
      <c r="AQ362" s="247">
        <f>_DATA_Assessment_Model!AN362</f>
        <v/>
      </c>
      <c r="AR362" s="247">
        <f>_DATA_Assessment_Model!AO362</f>
        <v/>
      </c>
      <c r="AS362" s="247">
        <f>_DATA_Assessment_Model!AP362</f>
        <v/>
      </c>
      <c r="AT362" s="247">
        <f>_DATA_Assessment_Model!AQ362</f>
        <v/>
      </c>
      <c r="AU362" s="247">
        <f>_DATA_Assessment_Model!AR362</f>
        <v/>
      </c>
      <c r="AV362" s="5">
        <f>_DATA_Assessment_Model!AS362</f>
        <v/>
      </c>
      <c r="AW362" s="5">
        <f>_DATA_Assessment_Model!AT362</f>
        <v/>
      </c>
      <c r="AY362">
        <f>_DATA_Assessment_Model!AV362</f>
        <v/>
      </c>
    </row>
    <row r="363" ht="82.8" customHeight="1" s="209">
      <c r="A363" t="inlineStr">
        <is>
          <t>Data BI AI</t>
        </is>
      </c>
      <c r="B363" t="inlineStr">
        <is>
          <t>Data BI AI</t>
        </is>
      </c>
      <c r="C363" t="n">
        <v>22</v>
      </c>
      <c r="D363" s="3" t="inlineStr">
        <is>
          <t>DATA-018</t>
        </is>
      </c>
      <c r="E363" s="3" t="inlineStr">
        <is>
          <t>BI and analytics</t>
        </is>
      </c>
      <c r="F363" s="3" t="inlineStr">
        <is>
          <t>How mature is the organization in managing data literacy of managers and employees interpreting KPIs, forecasts and analytics, including ownership, evidence, metrics, fallback procedures and crisis stress testing?</t>
        </is>
      </c>
      <c r="G363" s="3" t="inlineStr">
        <is>
          <t>This topic affects exposure to Decision failure; Data loss; Regulatory/legal shock. It helps identify how disruption may impact operations, people, revenue, systems, legal exposure or recovery time.</t>
        </is>
      </c>
      <c r="H363" s="3" t="inlineStr">
        <is>
          <t>DAMA-DMBOK; ISO/IEC 38505; ISO/IEC 42001; ISO/IEC 23894; NIST AI RMF; DCAM</t>
        </is>
      </c>
      <c r="I363" s="3" t="inlineStr">
        <is>
          <t>Policy/SOP; owner/RACI; system report; dashboard; contracts; test records; incident history; interview evidence related to data literacy of managers and employees interpreting KPIs, forecasts and analytics.</t>
        </is>
      </c>
      <c r="J363" s="3" t="n">
        <v>5</v>
      </c>
      <c r="K363" s="85">
        <f>_DATA_Assessment_Model!H363</f>
        <v/>
      </c>
      <c r="L363" s="4">
        <f>_DATA_Assessment_Model!I363</f>
        <v/>
      </c>
      <c r="M363" s="4">
        <f>_DATA_Assessment_Model!J363</f>
        <v/>
      </c>
      <c r="N363" s="4">
        <f>_DATA_Assessment_Model!K363</f>
        <v/>
      </c>
      <c r="O363" s="3">
        <f>_DATA_Assessment_Model!L363</f>
        <v/>
      </c>
      <c r="P363" s="3" t="inlineStr">
        <is>
          <t>Nothing is monitored or measured.</t>
        </is>
      </c>
      <c r="Q363" s="3" t="inlineStr">
        <is>
          <t>Occasional manual checks by individuals.</t>
        </is>
      </c>
      <c r="R363" s="3" t="inlineStr">
        <is>
          <t>Some metrics exist but are not reviewed regularly and trigger no action.</t>
        </is>
      </c>
      <c r="S363" s="3" t="inlineStr">
        <is>
          <t>Defined metrics with an owner, reviewed on a set cadence.</t>
        </is>
      </c>
      <c r="T363" s="3" t="inlineStr">
        <is>
          <t>Thresholds and alerts in place; deviations trigger documented action; trends analyzed.</t>
        </is>
      </c>
      <c r="U363" s="3" t="inlineStr">
        <is>
          <t>Automated monitoring with leading indicators, integrated into management decisions.</t>
        </is>
      </c>
      <c r="V363" s="3" t="inlineStr">
        <is>
          <t>Decision failure; Data loss; Regulatory/legal shock</t>
        </is>
      </c>
      <c r="W363" s="3" t="n"/>
      <c r="X363" s="3" t="n"/>
      <c r="Y363" s="3" t="inlineStr">
        <is>
          <t>Use the recommended action generated by the model; validate with domain owner during real assessment.</t>
        </is>
      </c>
      <c r="Z363" s="7" t="n">
        <v>5</v>
      </c>
      <c r="AA363" s="7" t="n">
        <v>5</v>
      </c>
      <c r="AB363" s="7" t="n">
        <v>5</v>
      </c>
      <c r="AK363" s="46" t="n"/>
      <c r="AL363" s="46" t="n"/>
      <c r="AM363" s="247">
        <f>_DATA_Assessment_Model!AJ363</f>
        <v/>
      </c>
      <c r="AN363" s="247">
        <f>_DATA_Assessment_Model!AK363</f>
        <v/>
      </c>
      <c r="AO363" s="247">
        <f>_DATA_Assessment_Model!AL363</f>
        <v/>
      </c>
      <c r="AP363" s="247">
        <f>_DATA_Assessment_Model!AM363</f>
        <v/>
      </c>
      <c r="AQ363" s="247">
        <f>_DATA_Assessment_Model!AN363</f>
        <v/>
      </c>
      <c r="AR363" s="247">
        <f>_DATA_Assessment_Model!AO363</f>
        <v/>
      </c>
      <c r="AS363" s="247">
        <f>_DATA_Assessment_Model!AP363</f>
        <v/>
      </c>
      <c r="AT363" s="247">
        <f>_DATA_Assessment_Model!AQ363</f>
        <v/>
      </c>
      <c r="AU363" s="247">
        <f>_DATA_Assessment_Model!AR363</f>
        <v/>
      </c>
      <c r="AV363" s="5">
        <f>_DATA_Assessment_Model!AS363</f>
        <v/>
      </c>
      <c r="AW363" s="5">
        <f>_DATA_Assessment_Model!AT363</f>
        <v/>
      </c>
      <c r="AY363">
        <f>_DATA_Assessment_Model!AV363</f>
        <v/>
      </c>
    </row>
    <row r="364" ht="82.8" customHeight="1" s="209">
      <c r="A364" t="inlineStr">
        <is>
          <t>Data BI AI</t>
        </is>
      </c>
      <c r="B364" t="inlineStr">
        <is>
          <t>Data BI AI</t>
        </is>
      </c>
      <c r="C364" t="n">
        <v>23</v>
      </c>
      <c r="D364" s="3" t="inlineStr">
        <is>
          <t>DATA-019</t>
        </is>
      </c>
      <c r="E364" s="3" t="inlineStr">
        <is>
          <t>Forecasting and scenarios</t>
        </is>
      </c>
      <c r="F364" s="3" t="inlineStr">
        <is>
          <t>How mature is the organization in managing forecasting capability for demand, cash, inventory, workforce, production, churn or supplier risk, including ownership, evidence, metrics, fallback procedures and crisis stress testing?</t>
        </is>
      </c>
      <c r="G364" s="3" t="inlineStr">
        <is>
          <t>This topic affects exposure to Decision failure; Data loss; Regulatory/legal shock. It helps identify how disruption may impact operations, people, revenue, systems, legal exposure or recovery time.</t>
        </is>
      </c>
      <c r="H364" s="3" t="inlineStr">
        <is>
          <t>DAMA-DMBOK; ISO/IEC 38505; ISO/IEC 42001; ISO/IEC 23894; NIST AI RMF; DCAM</t>
        </is>
      </c>
      <c r="I364" s="3" t="inlineStr">
        <is>
          <t>Policy/SOP; owner/RACI; system report; dashboard; contracts; test records; incident history; interview evidence related to forecasting capability for demand, cash, inventory, workforce, production, churn or supplier risk.</t>
        </is>
      </c>
      <c r="J364" s="3" t="n">
        <v>5</v>
      </c>
      <c r="K364" s="85">
        <f>_DATA_Assessment_Model!H364</f>
        <v/>
      </c>
      <c r="L364" s="4">
        <f>_DATA_Assessment_Model!I364</f>
        <v/>
      </c>
      <c r="M364" s="4">
        <f>_DATA_Assessment_Model!J364</f>
        <v/>
      </c>
      <c r="N364" s="4">
        <f>_DATA_Assessment_Model!K364</f>
        <v/>
      </c>
      <c r="O364" s="3">
        <f>_DATA_Assessment_Model!L364</f>
        <v/>
      </c>
      <c r="P364" s="3" t="inlineStr">
        <is>
          <t>No inventory/register exists.</t>
        </is>
      </c>
      <c r="Q364" s="3" t="inlineStr">
        <is>
          <t>Partial lists live in individuals' heads or personal files.</t>
        </is>
      </c>
      <c r="R364" s="3" t="inlineStr">
        <is>
          <t>A register exists but is incomplete or outdated (&gt;1 year) and has no owner.</t>
        </is>
      </c>
      <c r="S364" s="3" t="inlineStr">
        <is>
          <t>Owned, documented, updated on a defined schedule, covers the main scope.</t>
        </is>
      </c>
      <c r="T364" s="3" t="inlineStr">
        <is>
          <t>Complete and periodically reviewed; integrated with related processes; completeness measured.</t>
        </is>
      </c>
      <c r="U364" s="3" t="inlineStr">
        <is>
          <t>Maintained automatically or synced with systems; drives decisions; audited.</t>
        </is>
      </c>
      <c r="V364" s="3" t="inlineStr">
        <is>
          <t>Decision failure; Data loss; Regulatory/legal shock</t>
        </is>
      </c>
      <c r="W364" s="3" t="n"/>
      <c r="X364" s="3" t="n"/>
      <c r="Y364" s="3" t="inlineStr">
        <is>
          <t>Use the recommended action generated by the model; validate with domain owner during real assessment.</t>
        </is>
      </c>
      <c r="Z364" s="7" t="n">
        <v>5</v>
      </c>
      <c r="AA364" s="7" t="n">
        <v>5</v>
      </c>
      <c r="AB364" s="7" t="n">
        <v>5</v>
      </c>
      <c r="AK364" s="46" t="n"/>
      <c r="AL364" s="46" t="n"/>
      <c r="AM364" s="247">
        <f>_DATA_Assessment_Model!AJ364</f>
        <v/>
      </c>
      <c r="AN364" s="247">
        <f>_DATA_Assessment_Model!AK364</f>
        <v/>
      </c>
      <c r="AO364" s="247">
        <f>_DATA_Assessment_Model!AL364</f>
        <v/>
      </c>
      <c r="AP364" s="247">
        <f>_DATA_Assessment_Model!AM364</f>
        <v/>
      </c>
      <c r="AQ364" s="247">
        <f>_DATA_Assessment_Model!AN364</f>
        <v/>
      </c>
      <c r="AR364" s="247">
        <f>_DATA_Assessment_Model!AO364</f>
        <v/>
      </c>
      <c r="AS364" s="247">
        <f>_DATA_Assessment_Model!AP364</f>
        <v/>
      </c>
      <c r="AT364" s="247">
        <f>_DATA_Assessment_Model!AQ364</f>
        <v/>
      </c>
      <c r="AU364" s="247">
        <f>_DATA_Assessment_Model!AR364</f>
        <v/>
      </c>
      <c r="AV364" s="5">
        <f>_DATA_Assessment_Model!AS364</f>
        <v/>
      </c>
      <c r="AW364" s="5">
        <f>_DATA_Assessment_Model!AT364</f>
        <v/>
      </c>
      <c r="AY364">
        <f>_DATA_Assessment_Model!AV364</f>
        <v/>
      </c>
    </row>
    <row r="365" ht="82.8" customHeight="1" s="209">
      <c r="A365" t="inlineStr">
        <is>
          <t>Data BI AI</t>
        </is>
      </c>
      <c r="B365" t="inlineStr">
        <is>
          <t>Data BI AI</t>
        </is>
      </c>
      <c r="C365" t="n">
        <v>24</v>
      </c>
      <c r="D365" s="3" t="inlineStr">
        <is>
          <t>DATA-020</t>
        </is>
      </c>
      <c r="E365" s="3" t="inlineStr">
        <is>
          <t>Forecasting and scenarios</t>
        </is>
      </c>
      <c r="F365" s="3" t="inlineStr">
        <is>
          <t>How mature is the organization in managing scenario modeling using sales, suppliers, workforce, cash, inventory and system downtime, including ownership, evidence, metrics, fallback procedures and crisis stress testing?</t>
        </is>
      </c>
      <c r="G365" s="3" t="inlineStr">
        <is>
          <t>This topic affects exposure to Decision failure; Data loss; Regulatory/legal shock. It helps identify how disruption may impact operations, people, revenue, systems, legal exposure or recovery time.</t>
        </is>
      </c>
      <c r="H365" s="3" t="inlineStr">
        <is>
          <t>DAMA-DMBOK; ISO/IEC 38505; ISO/IEC 42001; ISO/IEC 23894; NIST AI RMF; DCAM</t>
        </is>
      </c>
      <c r="I365" s="3" t="inlineStr">
        <is>
          <t>Policy/SOP; owner/RACI; system report; dashboard; contracts; test records; incident history; interview evidence related to scenario modeling using sales, suppliers, workforce, cash, inventory and system downtime.</t>
        </is>
      </c>
      <c r="J365" s="3" t="n">
        <v>5</v>
      </c>
      <c r="K365" s="85">
        <f>_DATA_Assessment_Model!H365</f>
        <v/>
      </c>
      <c r="L365" s="4">
        <f>_DATA_Assessment_Model!I365</f>
        <v/>
      </c>
      <c r="M365" s="4">
        <f>_DATA_Assessment_Model!J365</f>
        <v/>
      </c>
      <c r="N365" s="4">
        <f>_DATA_Assessment_Model!K365</f>
        <v/>
      </c>
      <c r="O365" s="3">
        <f>_DATA_Assessment_Model!L365</f>
        <v/>
      </c>
      <c r="P365" s="3" t="inlineStr">
        <is>
          <t>No inventory/register exists.</t>
        </is>
      </c>
      <c r="Q365" s="3" t="inlineStr">
        <is>
          <t>Partial lists live in individuals' heads or personal files.</t>
        </is>
      </c>
      <c r="R365" s="3" t="inlineStr">
        <is>
          <t>A register exists but is incomplete or outdated (&gt;1 year) and has no owner.</t>
        </is>
      </c>
      <c r="S365" s="3" t="inlineStr">
        <is>
          <t>Owned, documented, updated on a defined schedule, covers the main scope.</t>
        </is>
      </c>
      <c r="T365" s="3" t="inlineStr">
        <is>
          <t>Complete and periodically reviewed; integrated with related processes; completeness measured.</t>
        </is>
      </c>
      <c r="U365" s="3" t="inlineStr">
        <is>
          <t>Maintained automatically or synced with systems; drives decisions; audited.</t>
        </is>
      </c>
      <c r="V365" s="3" t="inlineStr">
        <is>
          <t>Decision failure; Data loss; Regulatory/legal shock</t>
        </is>
      </c>
      <c r="W365" s="3" t="n"/>
      <c r="X365" s="3" t="n"/>
      <c r="Y365" s="3" t="inlineStr">
        <is>
          <t>Use the recommended action generated by the model; validate with domain owner during real assessment.</t>
        </is>
      </c>
      <c r="Z365" s="7" t="n">
        <v>5</v>
      </c>
      <c r="AA365" s="7" t="n">
        <v>5</v>
      </c>
      <c r="AB365" s="7" t="n">
        <v>5</v>
      </c>
      <c r="AK365" s="46" t="n"/>
      <c r="AL365" s="46" t="n"/>
      <c r="AM365" s="247">
        <f>_DATA_Assessment_Model!AJ365</f>
        <v/>
      </c>
      <c r="AN365" s="247">
        <f>_DATA_Assessment_Model!AK365</f>
        <v/>
      </c>
      <c r="AO365" s="247">
        <f>_DATA_Assessment_Model!AL365</f>
        <v/>
      </c>
      <c r="AP365" s="247">
        <f>_DATA_Assessment_Model!AM365</f>
        <v/>
      </c>
      <c r="AQ365" s="247">
        <f>_DATA_Assessment_Model!AN365</f>
        <v/>
      </c>
      <c r="AR365" s="247">
        <f>_DATA_Assessment_Model!AO365</f>
        <v/>
      </c>
      <c r="AS365" s="247">
        <f>_DATA_Assessment_Model!AP365</f>
        <v/>
      </c>
      <c r="AT365" s="247">
        <f>_DATA_Assessment_Model!AQ365</f>
        <v/>
      </c>
      <c r="AU365" s="247">
        <f>_DATA_Assessment_Model!AR365</f>
        <v/>
      </c>
      <c r="AV365" s="5">
        <f>_DATA_Assessment_Model!AS365</f>
        <v/>
      </c>
      <c r="AW365" s="5">
        <f>_DATA_Assessment_Model!AT365</f>
        <v/>
      </c>
      <c r="AY365">
        <f>_DATA_Assessment_Model!AV365</f>
        <v/>
      </c>
    </row>
    <row r="366" ht="96.59999999999999" customHeight="1" s="209">
      <c r="A366" t="inlineStr">
        <is>
          <t>Data BI AI</t>
        </is>
      </c>
      <c r="B366" t="inlineStr">
        <is>
          <t>Data BI AI</t>
        </is>
      </c>
      <c r="C366" t="n">
        <v>25</v>
      </c>
      <c r="D366" s="3" t="inlineStr">
        <is>
          <t>DATA-021</t>
        </is>
      </c>
      <c r="E366" s="3" t="inlineStr">
        <is>
          <t>Forecasting and scenarios</t>
        </is>
      </c>
      <c r="F366" s="3" t="inlineStr">
        <is>
          <t>How mature is the organization in managing leading indicators and early warnings built from internal and external data, including ownership, evidence, metrics, fallback procedures and crisis stress testing?</t>
        </is>
      </c>
      <c r="G366" s="3" t="inlineStr">
        <is>
          <t>This topic affects exposure to Decision failure; Data loss; Regulatory/legal shock. It helps identify how disruption may impact operations, people, revenue, systems, legal exposure or recovery time.</t>
        </is>
      </c>
      <c r="H366" s="3" t="inlineStr">
        <is>
          <t>DAMA-DMBOK; ISO/IEC 38505; ISO/IEC 42001; ISO/IEC 23894; NIST AI RMF; DCAM</t>
        </is>
      </c>
      <c r="I366" s="3" t="inlineStr">
        <is>
          <t>Policy/SOP; owner/RACI; system report; dashboard; contracts; test records; incident history; interview evidence related to leading indicators and early warnings built from internal and external data.</t>
        </is>
      </c>
      <c r="J366" s="3" t="n">
        <v>4</v>
      </c>
      <c r="K366" s="85">
        <f>_DATA_Assessment_Model!H366</f>
        <v/>
      </c>
      <c r="L366" s="4">
        <f>_DATA_Assessment_Model!I366</f>
        <v/>
      </c>
      <c r="M366" s="4">
        <f>_DATA_Assessment_Model!J366</f>
        <v/>
      </c>
      <c r="N366" s="4">
        <f>_DATA_Assessment_Model!K366</f>
        <v/>
      </c>
      <c r="O366" s="3">
        <f>_DATA_Assessment_Model!L366</f>
        <v/>
      </c>
      <c r="P366" s="3" t="inlineStr">
        <is>
          <t>No reliable evidence that leading indicators and early warnings built from internal and external data is defined, owned or managed.</t>
        </is>
      </c>
      <c r="Q366" s="3" t="inlineStr">
        <is>
          <t>Leading indicators and early warnings built from internal and external data is handled informally and depends on individual knowledge or heroic effort.</t>
        </is>
      </c>
      <c r="R366" s="3" t="inlineStr">
        <is>
          <t>Leading indicators and early warnings built from internal and external data is partially documented or implemented, but coverage is inconsistent and not crisis-tested.</t>
        </is>
      </c>
      <c r="S366" s="3" t="inlineStr">
        <is>
          <t>Leading indicators and early warnings built from internal and external data is documented, owned, used in normal operations and supported by basic evidence or metrics.</t>
        </is>
      </c>
      <c r="T366" s="3" t="inlineStr">
        <is>
          <t>Leading indicators and early warnings built from internal and external data is measured, periodically reviewed, integrated with related processes and tested against relevant disruption scenarios.</t>
        </is>
      </c>
      <c r="U366" s="3" t="inlineStr">
        <is>
          <t>Leading indicators and early warnings built from internal and external data is optimized, continuously improved, automated where practical and demonstrably supports crisis resilience.</t>
        </is>
      </c>
      <c r="V366" s="3" t="inlineStr">
        <is>
          <t>Decision failure; Data loss; Regulatory/legal shock</t>
        </is>
      </c>
      <c r="W366" s="3" t="n"/>
      <c r="X366" s="3" t="n"/>
      <c r="Y366" s="3" t="inlineStr">
        <is>
          <t>Use the recommended action generated by the model; validate with domain owner during real assessment.</t>
        </is>
      </c>
      <c r="Z366" s="7" t="n">
        <v>5</v>
      </c>
      <c r="AA366" s="7" t="n">
        <v>5</v>
      </c>
      <c r="AB366" s="7" t="n">
        <v>5</v>
      </c>
      <c r="AK366" s="46" t="n"/>
      <c r="AL366" s="46" t="n"/>
      <c r="AM366" s="247">
        <f>_DATA_Assessment_Model!AJ366</f>
        <v/>
      </c>
      <c r="AN366" s="247">
        <f>_DATA_Assessment_Model!AK366</f>
        <v/>
      </c>
      <c r="AO366" s="247">
        <f>_DATA_Assessment_Model!AL366</f>
        <v/>
      </c>
      <c r="AP366" s="247">
        <f>_DATA_Assessment_Model!AM366</f>
        <v/>
      </c>
      <c r="AQ366" s="247">
        <f>_DATA_Assessment_Model!AN366</f>
        <v/>
      </c>
      <c r="AR366" s="247">
        <f>_DATA_Assessment_Model!AO366</f>
        <v/>
      </c>
      <c r="AS366" s="247">
        <f>_DATA_Assessment_Model!AP366</f>
        <v/>
      </c>
      <c r="AT366" s="247">
        <f>_DATA_Assessment_Model!AQ366</f>
        <v/>
      </c>
      <c r="AU366" s="247">
        <f>_DATA_Assessment_Model!AR366</f>
        <v/>
      </c>
      <c r="AV366" s="5">
        <f>_DATA_Assessment_Model!AS366</f>
        <v/>
      </c>
      <c r="AW366" s="5">
        <f>_DATA_Assessment_Model!AT366</f>
        <v/>
      </c>
      <c r="AY366">
        <f>_DATA_Assessment_Model!AV366</f>
        <v/>
      </c>
    </row>
    <row r="367" ht="69" customHeight="1" s="209">
      <c r="A367" t="inlineStr">
        <is>
          <t>Data BI AI</t>
        </is>
      </c>
      <c r="B367" t="inlineStr">
        <is>
          <t>Data BI AI</t>
        </is>
      </c>
      <c r="C367" t="n">
        <v>26</v>
      </c>
      <c r="D367" s="3" t="inlineStr">
        <is>
          <t>DATA-022</t>
        </is>
      </c>
      <c r="E367" s="3" t="inlineStr">
        <is>
          <t>Forecasting and scenarios</t>
        </is>
      </c>
      <c r="F367" s="3" t="inlineStr">
        <is>
          <t>How mature is the organization in managing model validation and backtesting for forecasts and risk models, including ownership, evidence, metrics, fallback procedures and crisis stress testing?</t>
        </is>
      </c>
      <c r="G367" s="3" t="inlineStr">
        <is>
          <t>This topic affects exposure to Decision failure; Data loss; Regulatory/legal shock. It helps identify how disruption may impact operations, people, revenue, systems, legal exposure or recovery time.</t>
        </is>
      </c>
      <c r="H367" s="3" t="inlineStr">
        <is>
          <t>DAMA-DMBOK; ISO/IEC 38505; ISO/IEC 42001; ISO/IEC 23894; NIST AI RMF; DCAM</t>
        </is>
      </c>
      <c r="I367" s="3" t="inlineStr">
        <is>
          <t>Policy/SOP; owner/RACI; system report; dashboard; contracts; test records; incident history; interview evidence related to model validation and backtesting for forecasts and risk models.</t>
        </is>
      </c>
      <c r="J367" s="3" t="n">
        <v>4</v>
      </c>
      <c r="K367" s="85">
        <f>_DATA_Assessment_Model!H367</f>
        <v/>
      </c>
      <c r="L367" s="4">
        <f>_DATA_Assessment_Model!I367</f>
        <v/>
      </c>
      <c r="M367" s="4">
        <f>_DATA_Assessment_Model!J367</f>
        <v/>
      </c>
      <c r="N367" s="4">
        <f>_DATA_Assessment_Model!K367</f>
        <v/>
      </c>
      <c r="O367" s="3">
        <f>_DATA_Assessment_Model!L367</f>
        <v/>
      </c>
      <c r="P367" s="3" t="inlineStr">
        <is>
          <t>Never done; no records exist.</t>
        </is>
      </c>
      <c r="Q367" s="3" t="inlineStr">
        <is>
          <t>Done once long ago or only after an incident; no schedule, no records.</t>
        </is>
      </c>
      <c r="R367" s="3" t="inlineStr">
        <is>
          <t>Done irregularly; results are not documented and findings are not tracked.</t>
        </is>
      </c>
      <c r="S367" s="3" t="inlineStr">
        <is>
          <t>Done on a defined schedule (at least annually); results documented, owner assigned.</t>
        </is>
      </c>
      <c r="T367" s="3" t="inlineStr">
        <is>
          <t>Done quarterly/semi-annually; findings tracked to closure, effectiveness measured against targets.</t>
        </is>
      </c>
      <c r="U367" s="3" t="inlineStr">
        <is>
          <t>Continuous or automated where possible; results drive improvements and are validated externally (audit/customer).</t>
        </is>
      </c>
      <c r="V367" s="3" t="inlineStr">
        <is>
          <t>Decision failure; Data loss; Regulatory/legal shock</t>
        </is>
      </c>
      <c r="W367" s="3" t="n"/>
      <c r="X367" s="3" t="n"/>
      <c r="Y367" s="3" t="inlineStr">
        <is>
          <t>Use the recommended action generated by the model; validate with domain owner during real assessment.</t>
        </is>
      </c>
      <c r="Z367" s="7" t="n">
        <v>5</v>
      </c>
      <c r="AA367" s="7" t="n">
        <v>5</v>
      </c>
      <c r="AB367" s="7" t="n">
        <v>5</v>
      </c>
      <c r="AK367" s="46" t="n"/>
      <c r="AL367" s="46" t="n"/>
      <c r="AM367" s="247">
        <f>_DATA_Assessment_Model!AJ367</f>
        <v/>
      </c>
      <c r="AN367" s="247">
        <f>_DATA_Assessment_Model!AK367</f>
        <v/>
      </c>
      <c r="AO367" s="247">
        <f>_DATA_Assessment_Model!AL367</f>
        <v/>
      </c>
      <c r="AP367" s="247">
        <f>_DATA_Assessment_Model!AM367</f>
        <v/>
      </c>
      <c r="AQ367" s="247">
        <f>_DATA_Assessment_Model!AN367</f>
        <v/>
      </c>
      <c r="AR367" s="247">
        <f>_DATA_Assessment_Model!AO367</f>
        <v/>
      </c>
      <c r="AS367" s="247">
        <f>_DATA_Assessment_Model!AP367</f>
        <v/>
      </c>
      <c r="AT367" s="247">
        <f>_DATA_Assessment_Model!AQ367</f>
        <v/>
      </c>
      <c r="AU367" s="247">
        <f>_DATA_Assessment_Model!AR367</f>
        <v/>
      </c>
      <c r="AV367" s="5">
        <f>_DATA_Assessment_Model!AS367</f>
        <v/>
      </c>
      <c r="AW367" s="5">
        <f>_DATA_Assessment_Model!AT367</f>
        <v/>
      </c>
      <c r="AY367">
        <f>_DATA_Assessment_Model!AV367</f>
        <v/>
      </c>
    </row>
    <row r="368" ht="96.59999999999999" customHeight="1" s="209">
      <c r="A368" t="inlineStr">
        <is>
          <t>Data BI AI</t>
        </is>
      </c>
      <c r="B368" t="inlineStr">
        <is>
          <t>Data BI AI</t>
        </is>
      </c>
      <c r="C368" t="n">
        <v>27</v>
      </c>
      <c r="D368" s="3" t="inlineStr">
        <is>
          <t>DATA-023</t>
        </is>
      </c>
      <c r="E368" s="3" t="inlineStr">
        <is>
          <t>AI readiness</t>
        </is>
      </c>
      <c r="F368" s="3" t="inlineStr">
        <is>
          <t>How mature is the organization in managing AI and analytics use case portfolio linked to business value, risk and feasibility, including ownership, evidence, metrics, fallback procedures and crisis stress testing?</t>
        </is>
      </c>
      <c r="G368" s="3" t="inlineStr">
        <is>
          <t>This topic affects exposure to Decision failure; Data loss; Regulatory/legal shock. It helps identify how disruption may impact operations, people, revenue, systems, legal exposure or recovery time.</t>
        </is>
      </c>
      <c r="H368" s="3" t="inlineStr">
        <is>
          <t>DAMA-DMBOK; ISO/IEC 38505; ISO/IEC 42001; ISO/IEC 23894; NIST AI RMF; DCAM</t>
        </is>
      </c>
      <c r="I368" s="3" t="inlineStr">
        <is>
          <t>Policy/SOP; owner/RACI; system report; dashboard; contracts; test records; incident history; interview evidence related to AI and analytics use case portfolio linked to business value, risk and feasibility.</t>
        </is>
      </c>
      <c r="J368" s="3" t="n">
        <v>4</v>
      </c>
      <c r="K368" s="85">
        <f>_DATA_Assessment_Model!H368</f>
        <v/>
      </c>
      <c r="L368" s="4">
        <f>_DATA_Assessment_Model!I368</f>
        <v/>
      </c>
      <c r="M368" s="4">
        <f>_DATA_Assessment_Model!J368</f>
        <v/>
      </c>
      <c r="N368" s="4">
        <f>_DATA_Assessment_Model!K368</f>
        <v/>
      </c>
      <c r="O368" s="3">
        <f>_DATA_Assessment_Model!L368</f>
        <v/>
      </c>
      <c r="P368" s="3" t="inlineStr">
        <is>
          <t>No reliable evidence that ai and analytics use case portfolio linked to business value, risk and feasibility is defined, owned or managed.</t>
        </is>
      </c>
      <c r="Q368" s="3" t="inlineStr">
        <is>
          <t>AI and analytics use case portfolio linked to business value, risk and feasibility is handled informally and depends on individual knowledge or heroic effort.</t>
        </is>
      </c>
      <c r="R368" s="3" t="inlineStr">
        <is>
          <t>AI and analytics use case portfolio linked to business value, risk and feasibility is partially documented or implemented, but coverage is inconsistent and not crisis-tested.</t>
        </is>
      </c>
      <c r="S368" s="3" t="inlineStr">
        <is>
          <t>AI and analytics use case portfolio linked to business value, risk and feasibility is documented, owned, used in normal operations and supported by basic evidence or metrics.</t>
        </is>
      </c>
      <c r="T368" s="3" t="inlineStr">
        <is>
          <t>AI and analytics use case portfolio linked to business value, risk and feasibility is measured, periodically reviewed, integrated with related processes and tested against relevant disruption scenarios.</t>
        </is>
      </c>
      <c r="U368" s="3" t="inlineStr">
        <is>
          <t>AI and analytics use case portfolio linked to business value, risk and feasibility is optimized, continuously improved, automated where practical and demonstrably supports crisis resilience.</t>
        </is>
      </c>
      <c r="V368" s="3" t="inlineStr">
        <is>
          <t>Decision failure; Data loss; Regulatory/legal shock</t>
        </is>
      </c>
      <c r="W368" s="3" t="n"/>
      <c r="X368" s="3" t="n"/>
      <c r="Y368" s="3" t="inlineStr">
        <is>
          <t>Use the recommended action generated by the model; validate with domain owner during real assessment.</t>
        </is>
      </c>
      <c r="Z368" s="7" t="n">
        <v>5</v>
      </c>
      <c r="AA368" s="7" t="n">
        <v>5</v>
      </c>
      <c r="AB368" s="7" t="n">
        <v>5</v>
      </c>
      <c r="AK368" s="46" t="n"/>
      <c r="AL368" s="46" t="n"/>
      <c r="AM368" s="247">
        <f>_DATA_Assessment_Model!AJ368</f>
        <v/>
      </c>
      <c r="AN368" s="247">
        <f>_DATA_Assessment_Model!AK368</f>
        <v/>
      </c>
      <c r="AO368" s="247">
        <f>_DATA_Assessment_Model!AL368</f>
        <v/>
      </c>
      <c r="AP368" s="247">
        <f>_DATA_Assessment_Model!AM368</f>
        <v/>
      </c>
      <c r="AQ368" s="247">
        <f>_DATA_Assessment_Model!AN368</f>
        <v/>
      </c>
      <c r="AR368" s="247">
        <f>_DATA_Assessment_Model!AO368</f>
        <v/>
      </c>
      <c r="AS368" s="247">
        <f>_DATA_Assessment_Model!AP368</f>
        <v/>
      </c>
      <c r="AT368" s="247">
        <f>_DATA_Assessment_Model!AQ368</f>
        <v/>
      </c>
      <c r="AU368" s="247">
        <f>_DATA_Assessment_Model!AR368</f>
        <v/>
      </c>
      <c r="AV368" s="5">
        <f>_DATA_Assessment_Model!AS368</f>
        <v/>
      </c>
      <c r="AW368" s="5">
        <f>_DATA_Assessment_Model!AT368</f>
        <v/>
      </c>
      <c r="AY368">
        <f>_DATA_Assessment_Model!AV368</f>
        <v/>
      </c>
    </row>
    <row r="369" ht="96.59999999999999" customHeight="1" s="209">
      <c r="A369" t="inlineStr">
        <is>
          <t>Data BI AI</t>
        </is>
      </c>
      <c r="B369" t="inlineStr">
        <is>
          <t>Data BI AI</t>
        </is>
      </c>
      <c r="C369" t="n">
        <v>28</v>
      </c>
      <c r="D369" s="3" t="inlineStr">
        <is>
          <t>DATA-024</t>
        </is>
      </c>
      <c r="E369" s="3" t="inlineStr">
        <is>
          <t>AI readiness</t>
        </is>
      </c>
      <c r="F369" s="3" t="inlineStr">
        <is>
          <t>How mature is the organization in managing AI governance for privacy, security, explainability, bias, human oversight and model risk, including ownership, evidence, metrics, fallback procedures and crisis stress testing?</t>
        </is>
      </c>
      <c r="G369" s="3" t="inlineStr">
        <is>
          <t>This topic affects exposure to Decision failure; Data loss; Regulatory/legal shock. It helps identify how disruption may impact operations, people, revenue, systems, legal exposure or recovery time.</t>
        </is>
      </c>
      <c r="H369" s="3" t="inlineStr">
        <is>
          <t>DAMA-DMBOK; ISO/IEC 38505; ISO/IEC 42001; ISO/IEC 23894; NIST AI RMF; DCAM</t>
        </is>
      </c>
      <c r="I369" s="3" t="inlineStr">
        <is>
          <t>Policy/SOP; owner/RACI; system report; dashboard; contracts; test records; incident history; interview evidence related to AI governance for privacy, security, explainability, bias, human oversight and model risk.</t>
        </is>
      </c>
      <c r="J369" s="3" t="n">
        <v>4</v>
      </c>
      <c r="K369" s="85">
        <f>_DATA_Assessment_Model!H369</f>
        <v/>
      </c>
      <c r="L369" s="4">
        <f>_DATA_Assessment_Model!I369</f>
        <v/>
      </c>
      <c r="M369" s="4">
        <f>_DATA_Assessment_Model!J369</f>
        <v/>
      </c>
      <c r="N369" s="4">
        <f>_DATA_Assessment_Model!K369</f>
        <v/>
      </c>
      <c r="O369" s="3">
        <f>_DATA_Assessment_Model!L369</f>
        <v/>
      </c>
      <c r="P369" s="3" t="inlineStr">
        <is>
          <t>No reliable evidence that ai governance for privacy, security, explainability, bias, human oversight and model risk is defined, owned or managed.</t>
        </is>
      </c>
      <c r="Q369" s="3" t="inlineStr">
        <is>
          <t>AI governance for privacy, security, explainability, bias, human oversight and model risk is handled informally and depends on individual knowledge or heroic effort.</t>
        </is>
      </c>
      <c r="R369" s="3" t="inlineStr">
        <is>
          <t>AI governance for privacy, security, explainability, bias, human oversight and model risk is partially documented or implemented, but coverage is inconsistent and not crisis-tested.</t>
        </is>
      </c>
      <c r="S369" s="3" t="inlineStr">
        <is>
          <t>AI governance for privacy, security, explainability, bias, human oversight and model risk is documented, owned, used in normal operations and supported by basic evidence or metrics.</t>
        </is>
      </c>
      <c r="T369" s="3" t="inlineStr">
        <is>
          <t>AI governance for privacy, security, explainability, bias, human oversight and model risk is measured, periodically reviewed, integrated with related processes and tested against relevant disruption scenarios.</t>
        </is>
      </c>
      <c r="U369" s="3" t="inlineStr">
        <is>
          <t>AI governance for privacy, security, explainability, bias, human oversight and model risk is optimized, continuously improved, automated where practical and demonstrably supports crisis resilience.</t>
        </is>
      </c>
      <c r="V369" s="3" t="inlineStr">
        <is>
          <t>Decision failure; Data loss; Regulatory/legal shock</t>
        </is>
      </c>
      <c r="W369" s="3" t="n"/>
      <c r="X369" s="3" t="n"/>
      <c r="Y369" s="3" t="inlineStr">
        <is>
          <t>Use the recommended action generated by the model; validate with domain owner during real assessment.</t>
        </is>
      </c>
      <c r="Z369" s="7" t="n">
        <v>5</v>
      </c>
      <c r="AA369" s="7" t="n">
        <v>5</v>
      </c>
      <c r="AB369" s="7" t="n">
        <v>5</v>
      </c>
      <c r="AK369" s="46" t="n"/>
      <c r="AL369" s="46" t="n"/>
      <c r="AM369" s="247">
        <f>_DATA_Assessment_Model!AJ369</f>
        <v/>
      </c>
      <c r="AN369" s="247">
        <f>_DATA_Assessment_Model!AK369</f>
        <v/>
      </c>
      <c r="AO369" s="247">
        <f>_DATA_Assessment_Model!AL369</f>
        <v/>
      </c>
      <c r="AP369" s="247">
        <f>_DATA_Assessment_Model!AM369</f>
        <v/>
      </c>
      <c r="AQ369" s="247">
        <f>_DATA_Assessment_Model!AN369</f>
        <v/>
      </c>
      <c r="AR369" s="247">
        <f>_DATA_Assessment_Model!AO369</f>
        <v/>
      </c>
      <c r="AS369" s="247">
        <f>_DATA_Assessment_Model!AP369</f>
        <v/>
      </c>
      <c r="AT369" s="247">
        <f>_DATA_Assessment_Model!AQ369</f>
        <v/>
      </c>
      <c r="AU369" s="247">
        <f>_DATA_Assessment_Model!AR369</f>
        <v/>
      </c>
      <c r="AV369" s="5">
        <f>_DATA_Assessment_Model!AS369</f>
        <v/>
      </c>
      <c r="AW369" s="5">
        <f>_DATA_Assessment_Model!AT369</f>
        <v/>
      </c>
      <c r="AY369">
        <f>_DATA_Assessment_Model!AV369</f>
        <v/>
      </c>
    </row>
    <row r="370" ht="96.59999999999999" customHeight="1" s="209">
      <c r="A370" t="inlineStr">
        <is>
          <t>Data BI AI</t>
        </is>
      </c>
      <c r="B370" t="inlineStr">
        <is>
          <t>Data BI AI</t>
        </is>
      </c>
      <c r="C370" t="n">
        <v>29</v>
      </c>
      <c r="D370" s="3" t="inlineStr">
        <is>
          <t>DATA-025</t>
        </is>
      </c>
      <c r="E370" s="3" t="inlineStr">
        <is>
          <t>AI readiness</t>
        </is>
      </c>
      <c r="F370" s="3" t="inlineStr">
        <is>
          <t>How mature is the organization in managing LLM usage policy covering data leakage, IP, accuracy, approval and acceptable use, including ownership, evidence, metrics, fallback procedures and crisis stress testing?</t>
        </is>
      </c>
      <c r="G370" s="3" t="inlineStr">
        <is>
          <t>This topic affects exposure to Decision failure; Data loss; Regulatory/legal shock. It helps identify how disruption may impact operations, people, revenue, systems, legal exposure or recovery time.</t>
        </is>
      </c>
      <c r="H370" s="3" t="inlineStr">
        <is>
          <t>DAMA-DMBOK; ISO/IEC 38505; ISO/IEC 42001; ISO/IEC 23894; NIST AI RMF; DCAM</t>
        </is>
      </c>
      <c r="I370" s="3" t="inlineStr">
        <is>
          <t>Policy/SOP; owner/RACI; system report; dashboard; contracts; test records; incident history; interview evidence related to LLM usage policy covering data leakage, IP, accuracy, approval and acceptable use.</t>
        </is>
      </c>
      <c r="J370" s="3" t="n">
        <v>4</v>
      </c>
      <c r="K370" s="85">
        <f>_DATA_Assessment_Model!H370</f>
        <v/>
      </c>
      <c r="L370" s="4">
        <f>_DATA_Assessment_Model!I370</f>
        <v/>
      </c>
      <c r="M370" s="4">
        <f>_DATA_Assessment_Model!J370</f>
        <v/>
      </c>
      <c r="N370" s="4">
        <f>_DATA_Assessment_Model!K370</f>
        <v/>
      </c>
      <c r="O370" s="3">
        <f>_DATA_Assessment_Model!L370</f>
        <v/>
      </c>
      <c r="P370" s="3" t="inlineStr">
        <is>
          <t>No reliable evidence that llm usage policy covering data leakage, ip, accuracy, approval and acceptable use is defined, owned or managed.</t>
        </is>
      </c>
      <c r="Q370" s="3" t="inlineStr">
        <is>
          <t>LLM usage policy covering data leakage, IP, accuracy, approval and acceptable use is handled informally and depends on individual knowledge or heroic effort.</t>
        </is>
      </c>
      <c r="R370" s="3" t="inlineStr">
        <is>
          <t>LLM usage policy covering data leakage, IP, accuracy, approval and acceptable use is partially documented or implemented, but coverage is inconsistent and not crisis-tested.</t>
        </is>
      </c>
      <c r="S370" s="3" t="inlineStr">
        <is>
          <t>LLM usage policy covering data leakage, IP, accuracy, approval and acceptable use is documented, owned, used in normal operations and supported by basic evidence or metrics.</t>
        </is>
      </c>
      <c r="T370" s="3" t="inlineStr">
        <is>
          <t>LLM usage policy covering data leakage, IP, accuracy, approval and acceptable use is measured, periodically reviewed, integrated with related processes and tested against relevant disruption scenarios.</t>
        </is>
      </c>
      <c r="U370" s="3" t="inlineStr">
        <is>
          <t>LLM usage policy covering data leakage, IP, accuracy, approval and acceptable use is optimized, continuously improved, automated where practical and demonstrably supports crisis resilience.</t>
        </is>
      </c>
      <c r="V370" s="3" t="inlineStr">
        <is>
          <t>Decision failure; Data loss; Regulatory/legal shock</t>
        </is>
      </c>
      <c r="W370" s="3" t="n"/>
      <c r="X370" s="3" t="n"/>
      <c r="Y370" s="3" t="inlineStr">
        <is>
          <t>Use the recommended action generated by the model; validate with domain owner during real assessment.</t>
        </is>
      </c>
      <c r="Z370" s="7" t="n">
        <v>5</v>
      </c>
      <c r="AA370" s="7" t="n">
        <v>5</v>
      </c>
      <c r="AB370" s="7" t="n">
        <v>5</v>
      </c>
      <c r="AK370" s="46" t="n"/>
      <c r="AL370" s="46" t="n"/>
      <c r="AM370" s="247">
        <f>_DATA_Assessment_Model!AJ370</f>
        <v/>
      </c>
      <c r="AN370" s="247">
        <f>_DATA_Assessment_Model!AK370</f>
        <v/>
      </c>
      <c r="AO370" s="247">
        <f>_DATA_Assessment_Model!AL370</f>
        <v/>
      </c>
      <c r="AP370" s="247">
        <f>_DATA_Assessment_Model!AM370</f>
        <v/>
      </c>
      <c r="AQ370" s="247">
        <f>_DATA_Assessment_Model!AN370</f>
        <v/>
      </c>
      <c r="AR370" s="247">
        <f>_DATA_Assessment_Model!AO370</f>
        <v/>
      </c>
      <c r="AS370" s="247">
        <f>_DATA_Assessment_Model!AP370</f>
        <v/>
      </c>
      <c r="AT370" s="247">
        <f>_DATA_Assessment_Model!AQ370</f>
        <v/>
      </c>
      <c r="AU370" s="247">
        <f>_DATA_Assessment_Model!AR370</f>
        <v/>
      </c>
      <c r="AV370" s="5">
        <f>_DATA_Assessment_Model!AS370</f>
        <v/>
      </c>
      <c r="AW370" s="5">
        <f>_DATA_Assessment_Model!AT370</f>
        <v/>
      </c>
      <c r="AY370">
        <f>_DATA_Assessment_Model!AV370</f>
        <v/>
      </c>
    </row>
    <row r="371" ht="82.8" customHeight="1" s="209">
      <c r="A371" t="inlineStr">
        <is>
          <t>Data BI AI</t>
        </is>
      </c>
      <c r="B371" t="inlineStr">
        <is>
          <t>Data BI AI</t>
        </is>
      </c>
      <c r="C371" t="n">
        <v>30</v>
      </c>
      <c r="D371" s="3" t="inlineStr">
        <is>
          <t>DATA-026</t>
        </is>
      </c>
      <c r="E371" s="3" t="inlineStr">
        <is>
          <t>AI readiness</t>
        </is>
      </c>
      <c r="F371" s="3" t="inlineStr">
        <is>
          <t>How mature is the organization in managing AI model register and monitoring for drift, accuracy, performance and business impact, including ownership, evidence, metrics, fallback procedures and crisis stress testing?</t>
        </is>
      </c>
      <c r="G371" s="3" t="inlineStr">
        <is>
          <t>This topic affects exposure to Decision failure; Data loss; Regulatory/legal shock. It helps identify how disruption may impact operations, people, revenue, systems, legal exposure or recovery time.</t>
        </is>
      </c>
      <c r="H371" s="3" t="inlineStr">
        <is>
          <t>DAMA-DMBOK; ISO/IEC 38505; ISO/IEC 42001; ISO/IEC 23894; NIST AI RMF; DCAM</t>
        </is>
      </c>
      <c r="I371" s="3" t="inlineStr">
        <is>
          <t>Policy/SOP; owner/RACI; system report; dashboard; contracts; test records; incident history; interview evidence related to AI model register and monitoring for drift, accuracy, performance and business impact.</t>
        </is>
      </c>
      <c r="J371" s="3" t="n">
        <v>5</v>
      </c>
      <c r="K371" s="85">
        <f>_DATA_Assessment_Model!H371</f>
        <v/>
      </c>
      <c r="L371" s="4">
        <f>_DATA_Assessment_Model!I371</f>
        <v/>
      </c>
      <c r="M371" s="4">
        <f>_DATA_Assessment_Model!J371</f>
        <v/>
      </c>
      <c r="N371" s="4">
        <f>_DATA_Assessment_Model!K371</f>
        <v/>
      </c>
      <c r="O371" s="3">
        <f>_DATA_Assessment_Model!L371</f>
        <v/>
      </c>
      <c r="P371" s="3" t="inlineStr">
        <is>
          <t>No inventory/register exists.</t>
        </is>
      </c>
      <c r="Q371" s="3" t="inlineStr">
        <is>
          <t>Partial lists live in individuals' heads or personal files.</t>
        </is>
      </c>
      <c r="R371" s="3" t="inlineStr">
        <is>
          <t>A register exists but is incomplete or outdated (&gt;1 year) and has no owner.</t>
        </is>
      </c>
      <c r="S371" s="3" t="inlineStr">
        <is>
          <t>Owned, documented, updated on a defined schedule, covers the main scope.</t>
        </is>
      </c>
      <c r="T371" s="3" t="inlineStr">
        <is>
          <t>Complete and periodically reviewed; integrated with related processes; completeness measured.</t>
        </is>
      </c>
      <c r="U371" s="3" t="inlineStr">
        <is>
          <t>Maintained automatically or synced with systems; drives decisions; audited.</t>
        </is>
      </c>
      <c r="V371" s="3" t="inlineStr">
        <is>
          <t>Decision failure; Data loss; Regulatory/legal shock</t>
        </is>
      </c>
      <c r="W371" s="3" t="n"/>
      <c r="X371" s="3" t="n"/>
      <c r="Y371" s="3" t="inlineStr">
        <is>
          <t>Use the recommended action generated by the model; validate with domain owner during real assessment.</t>
        </is>
      </c>
      <c r="Z371" s="7" t="n">
        <v>5</v>
      </c>
      <c r="AA371" s="7" t="n">
        <v>5</v>
      </c>
      <c r="AB371" s="7" t="n">
        <v>5</v>
      </c>
      <c r="AK371" s="46" t="n"/>
      <c r="AL371" s="46" t="n"/>
      <c r="AM371" s="247">
        <f>_DATA_Assessment_Model!AJ371</f>
        <v/>
      </c>
      <c r="AN371" s="247">
        <f>_DATA_Assessment_Model!AK371</f>
        <v/>
      </c>
      <c r="AO371" s="247">
        <f>_DATA_Assessment_Model!AL371</f>
        <v/>
      </c>
      <c r="AP371" s="247">
        <f>_DATA_Assessment_Model!AM371</f>
        <v/>
      </c>
      <c r="AQ371" s="247">
        <f>_DATA_Assessment_Model!AN371</f>
        <v/>
      </c>
      <c r="AR371" s="247">
        <f>_DATA_Assessment_Model!AO371</f>
        <v/>
      </c>
      <c r="AS371" s="247">
        <f>_DATA_Assessment_Model!AP371</f>
        <v/>
      </c>
      <c r="AT371" s="247">
        <f>_DATA_Assessment_Model!AQ371</f>
        <v/>
      </c>
      <c r="AU371" s="247">
        <f>_DATA_Assessment_Model!AR371</f>
        <v/>
      </c>
      <c r="AV371" s="5">
        <f>_DATA_Assessment_Model!AS371</f>
        <v/>
      </c>
      <c r="AW371" s="5">
        <f>_DATA_Assessment_Model!AT371</f>
        <v/>
      </c>
      <c r="AY371">
        <f>_DATA_Assessment_Model!AV371</f>
        <v/>
      </c>
    </row>
    <row r="372" ht="96.59999999999999" customHeight="1" s="209">
      <c r="A372" t="inlineStr">
        <is>
          <t>Data BI AI</t>
        </is>
      </c>
      <c r="B372" t="inlineStr">
        <is>
          <t>Data BI AI</t>
        </is>
      </c>
      <c r="C372" t="n">
        <v>31</v>
      </c>
      <c r="D372" s="3" t="inlineStr">
        <is>
          <t>DATA-027</t>
        </is>
      </c>
      <c r="E372" s="3" t="inlineStr">
        <is>
          <t>AI readiness</t>
        </is>
      </c>
      <c r="F372" s="3" t="inlineStr">
        <is>
          <t>How mature is the organization in managing responsible AI controls for customer-facing, employee-facing and decision-support use cases, including ownership, evidence, metrics, fallback procedures and crisis stress testing?</t>
        </is>
      </c>
      <c r="G372" s="3" t="inlineStr">
        <is>
          <t>This topic affects exposure to Decision failure; Data loss; Regulatory/legal shock. It helps identify how disruption may impact operations, people, revenue, systems, legal exposure or recovery time.</t>
        </is>
      </c>
      <c r="H372" s="3" t="inlineStr">
        <is>
          <t>DAMA-DMBOK; ISO/IEC 38505; ISO/IEC 42001; ISO/IEC 23894; NIST AI RMF; DCAM</t>
        </is>
      </c>
      <c r="I372" s="3" t="inlineStr">
        <is>
          <t>Policy/SOP; owner/RACI; system report; dashboard; contracts; test records; incident history; interview evidence related to responsible AI controls for customer-facing, employee-facing and decision-support use cases.</t>
        </is>
      </c>
      <c r="J372" s="3" t="n">
        <v>4</v>
      </c>
      <c r="K372" s="85">
        <f>_DATA_Assessment_Model!H372</f>
        <v/>
      </c>
      <c r="L372" s="4">
        <f>_DATA_Assessment_Model!I372</f>
        <v/>
      </c>
      <c r="M372" s="4">
        <f>_DATA_Assessment_Model!J372</f>
        <v/>
      </c>
      <c r="N372" s="4">
        <f>_DATA_Assessment_Model!K372</f>
        <v/>
      </c>
      <c r="O372" s="3">
        <f>_DATA_Assessment_Model!L372</f>
        <v/>
      </c>
      <c r="P372" s="3" t="inlineStr">
        <is>
          <t>No reliable evidence that responsible ai controls for customer-facing, employee-facing and decision-support use cases is defined, owned or managed.</t>
        </is>
      </c>
      <c r="Q372" s="3" t="inlineStr">
        <is>
          <t>Responsible AI controls for customer-facing, employee-facing and decision-support use cases is handled informally and depends on individual knowledge or heroic effort.</t>
        </is>
      </c>
      <c r="R372" s="3" t="inlineStr">
        <is>
          <t>Responsible AI controls for customer-facing, employee-facing and decision-support use cases is partially documented or implemented, but coverage is inconsistent and not crisis-tested.</t>
        </is>
      </c>
      <c r="S372" s="3" t="inlineStr">
        <is>
          <t>Responsible AI controls for customer-facing, employee-facing and decision-support use cases is documented, owned, used in normal operations and supported by basic evidence or metrics.</t>
        </is>
      </c>
      <c r="T372" s="3" t="inlineStr">
        <is>
          <t>Responsible AI controls for customer-facing, employee-facing and decision-support use cases is measured, periodically reviewed, integrated with related processes and tested against relevant disruption scenarios.</t>
        </is>
      </c>
      <c r="U372" s="3" t="inlineStr">
        <is>
          <t>Responsible AI controls for customer-facing, employee-facing and decision-support use cases is optimized, continuously improved, automated where practical and demonstrably supports crisis resilience.</t>
        </is>
      </c>
      <c r="V372" s="3" t="inlineStr">
        <is>
          <t>Decision failure; Data loss; Regulatory/legal shock</t>
        </is>
      </c>
      <c r="W372" s="3" t="n"/>
      <c r="X372" s="3" t="n"/>
      <c r="Y372" s="3" t="inlineStr">
        <is>
          <t>Use the recommended action generated by the model; validate with domain owner during real assessment.</t>
        </is>
      </c>
      <c r="Z372" s="7" t="n">
        <v>5</v>
      </c>
      <c r="AA372" s="7" t="n">
        <v>5</v>
      </c>
      <c r="AB372" s="7" t="n">
        <v>5</v>
      </c>
      <c r="AK372" s="46" t="n"/>
      <c r="AL372" s="46" t="n"/>
      <c r="AM372" s="247">
        <f>_DATA_Assessment_Model!AJ372</f>
        <v/>
      </c>
      <c r="AN372" s="247">
        <f>_DATA_Assessment_Model!AK372</f>
        <v/>
      </c>
      <c r="AO372" s="247">
        <f>_DATA_Assessment_Model!AL372</f>
        <v/>
      </c>
      <c r="AP372" s="247">
        <f>_DATA_Assessment_Model!AM372</f>
        <v/>
      </c>
      <c r="AQ372" s="247">
        <f>_DATA_Assessment_Model!AN372</f>
        <v/>
      </c>
      <c r="AR372" s="247">
        <f>_DATA_Assessment_Model!AO372</f>
        <v/>
      </c>
      <c r="AS372" s="247">
        <f>_DATA_Assessment_Model!AP372</f>
        <v/>
      </c>
      <c r="AT372" s="247">
        <f>_DATA_Assessment_Model!AQ372</f>
        <v/>
      </c>
      <c r="AU372" s="247">
        <f>_DATA_Assessment_Model!AR372</f>
        <v/>
      </c>
      <c r="AV372" s="5">
        <f>_DATA_Assessment_Model!AS372</f>
        <v/>
      </c>
      <c r="AW372" s="5">
        <f>_DATA_Assessment_Model!AT372</f>
        <v/>
      </c>
      <c r="AY372">
        <f>_DATA_Assessment_Model!AV372</f>
        <v/>
      </c>
    </row>
    <row r="373" ht="96.59999999999999" customHeight="1" s="209">
      <c r="A373" t="inlineStr">
        <is>
          <t>Cyber Privacy</t>
        </is>
      </c>
      <c r="B373" t="inlineStr">
        <is>
          <t>Cyber Privacy</t>
        </is>
      </c>
      <c r="C373" t="n">
        <v>5</v>
      </c>
      <c r="D373" s="3" t="inlineStr">
        <is>
          <t>CYBE-001</t>
        </is>
      </c>
      <c r="E373" s="3" t="inlineStr">
        <is>
          <t>Security governance</t>
        </is>
      </c>
      <c r="F373" s="3" t="inlineStr">
        <is>
          <t>How mature is the organization in managing information security management system with policies, owners, risks and controls, including ownership, evidence, metrics, fallback procedures and crisis stress testing?</t>
        </is>
      </c>
      <c r="G373" s="3" t="inlineStr">
        <is>
          <t>This topic affects exposure to Cyberattack; Data breach; Ransomware; Insider threat. It helps identify how disruption may impact operations, people, revenue, systems, legal exposure or recovery time.</t>
        </is>
      </c>
      <c r="H373" s="3" t="inlineStr">
        <is>
          <t>ISO/IEC 27001; ISO/IEC 27002; NIST CSF 2.0; CIS Controls; ISO/IEC 27701; GDPR; IEC 62443</t>
        </is>
      </c>
      <c r="I373" s="3" t="inlineStr">
        <is>
          <t>Policy/SOP; owner/RACI; system report; dashboard; contracts; test records; incident history; interview evidence related to information security management system with policies, owners, risks and controls.</t>
        </is>
      </c>
      <c r="J373" s="3" t="n">
        <v>4</v>
      </c>
      <c r="K373" s="85">
        <f>_DATA_Assessment_Model!H373</f>
        <v/>
      </c>
      <c r="L373" s="4">
        <f>_DATA_Assessment_Model!I373</f>
        <v/>
      </c>
      <c r="M373" s="4">
        <f>_DATA_Assessment_Model!J373</f>
        <v/>
      </c>
      <c r="N373" s="4">
        <f>_DATA_Assessment_Model!K373</f>
        <v/>
      </c>
      <c r="O373" s="3">
        <f>_DATA_Assessment_Model!L373</f>
        <v/>
      </c>
      <c r="P373" s="3" t="inlineStr">
        <is>
          <t>No reliable evidence that information security management system with policies, owners, risks and controls is defined, owned or managed.</t>
        </is>
      </c>
      <c r="Q373" s="3" t="inlineStr">
        <is>
          <t>Information security management system with policies, owners, risks and controls is handled informally and depends on individual knowledge or heroic effort.</t>
        </is>
      </c>
      <c r="R373" s="3" t="inlineStr">
        <is>
          <t>Information security management system with policies, owners, risks and controls is partially documented or implemented, but coverage is inconsistent and not crisis-tested.</t>
        </is>
      </c>
      <c r="S373" s="3" t="inlineStr">
        <is>
          <t>Information security management system with policies, owners, risks and controls is documented, owned, used in normal operations and supported by basic evidence or metrics.</t>
        </is>
      </c>
      <c r="T373" s="3" t="inlineStr">
        <is>
          <t>Information security management system with policies, owners, risks and controls is measured, periodically reviewed, integrated with related processes and tested against relevant disruption scenarios.</t>
        </is>
      </c>
      <c r="U373" s="3" t="inlineStr">
        <is>
          <t>Information security management system with policies, owners, risks and controls is optimized, continuously improved, automated where practical and demonstrably supports crisis resilience.</t>
        </is>
      </c>
      <c r="V373" s="3" t="inlineStr">
        <is>
          <t>Cyberattack; Data breach; Ransomware; Insider threat</t>
        </is>
      </c>
      <c r="W373" s="3" t="n"/>
      <c r="X373" s="3" t="n"/>
      <c r="Y373" s="3" t="inlineStr">
        <is>
          <t>Use the recommended action generated by the model; validate with domain owner during real assessment.</t>
        </is>
      </c>
      <c r="Z373" s="7" t="n">
        <v>5</v>
      </c>
      <c r="AA373" s="7" t="n">
        <v>5</v>
      </c>
      <c r="AB373" s="7" t="n">
        <v>5</v>
      </c>
      <c r="AD373" t="inlineStr">
        <is>
          <t>Security governance</t>
        </is>
      </c>
      <c r="AE373" s="6">
        <f>_DATA_Assessment_Model!AB373</f>
        <v/>
      </c>
      <c r="AF373" s="8">
        <f>_DATA_Assessment_Model!AC373</f>
        <v/>
      </c>
      <c r="AG373" s="9">
        <f>_DATA_Assessment_Model!AD373</f>
        <v/>
      </c>
      <c r="AH373" s="6">
        <f>_DATA_Assessment_Model!AE373</f>
        <v/>
      </c>
      <c r="AI373" s="8">
        <f>_DATA_Assessment_Model!AF373</f>
        <v/>
      </c>
      <c r="AJ373" s="6">
        <f>_DATA_Assessment_Model!AG373</f>
        <v/>
      </c>
      <c r="AK373" s="46" t="n"/>
      <c r="AL373" s="46" t="n"/>
      <c r="AM373" s="247">
        <f>_DATA_Assessment_Model!AJ373</f>
        <v/>
      </c>
      <c r="AN373" s="247">
        <f>_DATA_Assessment_Model!AK373</f>
        <v/>
      </c>
      <c r="AO373" s="247">
        <f>_DATA_Assessment_Model!AL373</f>
        <v/>
      </c>
      <c r="AP373" s="247">
        <f>_DATA_Assessment_Model!AM373</f>
        <v/>
      </c>
      <c r="AQ373" s="247">
        <f>_DATA_Assessment_Model!AN373</f>
        <v/>
      </c>
      <c r="AR373" s="247">
        <f>_DATA_Assessment_Model!AO373</f>
        <v/>
      </c>
      <c r="AS373" s="247">
        <f>_DATA_Assessment_Model!AP373</f>
        <v/>
      </c>
      <c r="AT373" s="247">
        <f>_DATA_Assessment_Model!AQ373</f>
        <v/>
      </c>
      <c r="AU373" s="247">
        <f>_DATA_Assessment_Model!AR373</f>
        <v/>
      </c>
      <c r="AV373" s="5">
        <f>_DATA_Assessment_Model!AS373</f>
        <v/>
      </c>
      <c r="AW373" s="5">
        <f>_DATA_Assessment_Model!AT373</f>
        <v/>
      </c>
      <c r="AY373">
        <f>_DATA_Assessment_Model!AV373</f>
        <v/>
      </c>
    </row>
    <row r="374" ht="69" customHeight="1" s="209">
      <c r="A374" t="inlineStr">
        <is>
          <t>Cyber Privacy</t>
        </is>
      </c>
      <c r="B374" t="inlineStr">
        <is>
          <t>Cyber Privacy</t>
        </is>
      </c>
      <c r="C374" t="n">
        <v>6</v>
      </c>
      <c r="D374" s="3" t="inlineStr">
        <is>
          <t>CYBE-002</t>
        </is>
      </c>
      <c r="E374" s="3" t="inlineStr">
        <is>
          <t>Security governance</t>
        </is>
      </c>
      <c r="F374" s="3" t="inlineStr">
        <is>
          <t>How mature is the organization in managing cyber risk register linked to business impact and crisis scenarios, including ownership, evidence, metrics, fallback procedures and crisis stress testing?</t>
        </is>
      </c>
      <c r="G374" s="3" t="inlineStr">
        <is>
          <t>This topic affects exposure to Cyberattack; Data breach; Ransomware; Insider threat. It helps identify how disruption may impact operations, people, revenue, systems, legal exposure or recovery time.</t>
        </is>
      </c>
      <c r="H374" s="3" t="inlineStr">
        <is>
          <t>ISO/IEC 27001; ISO/IEC 27002; NIST CSF 2.0; CIS Controls; ISO/IEC 27701; GDPR; IEC 62443</t>
        </is>
      </c>
      <c r="I374" s="3" t="inlineStr">
        <is>
          <t>Policy/SOP; owner/RACI; system report; dashboard; contracts; test records; incident history; interview evidence related to cyber risk register linked to business impact and crisis scenarios.</t>
        </is>
      </c>
      <c r="J374" s="3" t="n">
        <v>5</v>
      </c>
      <c r="K374" s="85">
        <f>_DATA_Assessment_Model!H374</f>
        <v/>
      </c>
      <c r="L374" s="4">
        <f>_DATA_Assessment_Model!I374</f>
        <v/>
      </c>
      <c r="M374" s="4">
        <f>_DATA_Assessment_Model!J374</f>
        <v/>
      </c>
      <c r="N374" s="4">
        <f>_DATA_Assessment_Model!K374</f>
        <v/>
      </c>
      <c r="O374" s="3">
        <f>_DATA_Assessment_Model!L374</f>
        <v/>
      </c>
      <c r="P374" s="3" t="inlineStr">
        <is>
          <t>No inventory/register exists.</t>
        </is>
      </c>
      <c r="Q374" s="3" t="inlineStr">
        <is>
          <t>Partial lists live in individuals' heads or personal files.</t>
        </is>
      </c>
      <c r="R374" s="3" t="inlineStr">
        <is>
          <t>A register exists but is incomplete or outdated (&gt;1 year) and has no owner.</t>
        </is>
      </c>
      <c r="S374" s="3" t="inlineStr">
        <is>
          <t>Owned, documented, updated on a defined schedule, covers the main scope.</t>
        </is>
      </c>
      <c r="T374" s="3" t="inlineStr">
        <is>
          <t>Complete and periodically reviewed; integrated with related processes; completeness measured.</t>
        </is>
      </c>
      <c r="U374" s="3" t="inlineStr">
        <is>
          <t>Maintained automatically or synced with systems; drives decisions; audited.</t>
        </is>
      </c>
      <c r="V374" s="3" t="inlineStr">
        <is>
          <t>Cyberattack; Data breach; Ransomware; Insider threat</t>
        </is>
      </c>
      <c r="W374" s="3" t="n"/>
      <c r="X374" s="3" t="n"/>
      <c r="Y374" s="3" t="inlineStr">
        <is>
          <t>Use the recommended action generated by the model; validate with domain owner during real assessment.</t>
        </is>
      </c>
      <c r="Z374" s="7" t="n">
        <v>5</v>
      </c>
      <c r="AA374" s="7" t="n">
        <v>5</v>
      </c>
      <c r="AB374" s="7" t="n">
        <v>5</v>
      </c>
      <c r="AD374" t="inlineStr">
        <is>
          <t>Identity and access</t>
        </is>
      </c>
      <c r="AE374" s="6">
        <f>_DATA_Assessment_Model!AB374</f>
        <v/>
      </c>
      <c r="AF374" s="8">
        <f>_DATA_Assessment_Model!AC374</f>
        <v/>
      </c>
      <c r="AG374" s="9">
        <f>_DATA_Assessment_Model!AD374</f>
        <v/>
      </c>
      <c r="AH374" s="6">
        <f>_DATA_Assessment_Model!AE374</f>
        <v/>
      </c>
      <c r="AI374" s="8">
        <f>_DATA_Assessment_Model!AF374</f>
        <v/>
      </c>
      <c r="AJ374" s="6">
        <f>_DATA_Assessment_Model!AG374</f>
        <v/>
      </c>
      <c r="AK374" s="46" t="n"/>
      <c r="AL374" s="46" t="n"/>
      <c r="AM374" s="247">
        <f>_DATA_Assessment_Model!AJ374</f>
        <v/>
      </c>
      <c r="AN374" s="247">
        <f>_DATA_Assessment_Model!AK374</f>
        <v/>
      </c>
      <c r="AO374" s="247">
        <f>_DATA_Assessment_Model!AL374</f>
        <v/>
      </c>
      <c r="AP374" s="247">
        <f>_DATA_Assessment_Model!AM374</f>
        <v/>
      </c>
      <c r="AQ374" s="247">
        <f>_DATA_Assessment_Model!AN374</f>
        <v/>
      </c>
      <c r="AR374" s="247">
        <f>_DATA_Assessment_Model!AO374</f>
        <v/>
      </c>
      <c r="AS374" s="247">
        <f>_DATA_Assessment_Model!AP374</f>
        <v/>
      </c>
      <c r="AT374" s="247">
        <f>_DATA_Assessment_Model!AQ374</f>
        <v/>
      </c>
      <c r="AU374" s="247">
        <f>_DATA_Assessment_Model!AR374</f>
        <v/>
      </c>
      <c r="AV374" s="5">
        <f>_DATA_Assessment_Model!AS374</f>
        <v/>
      </c>
      <c r="AW374" s="5">
        <f>_DATA_Assessment_Model!AT374</f>
        <v/>
      </c>
      <c r="AY374">
        <f>_DATA_Assessment_Model!AV374</f>
        <v/>
      </c>
    </row>
    <row r="375" ht="82.8" customHeight="1" s="209">
      <c r="A375" t="inlineStr">
        <is>
          <t>Cyber Privacy</t>
        </is>
      </c>
      <c r="B375" t="inlineStr">
        <is>
          <t>Cyber Privacy</t>
        </is>
      </c>
      <c r="C375" t="n">
        <v>7</v>
      </c>
      <c r="D375" s="3" t="inlineStr">
        <is>
          <t>CYBE-003</t>
        </is>
      </c>
      <c r="E375" s="3" t="inlineStr">
        <is>
          <t>Security governance</t>
        </is>
      </c>
      <c r="F375" s="3" t="inlineStr">
        <is>
          <t>How mature is the organization in managing security KPI reporting to leadership covering vulnerabilities, incidents, MFA, phishing, backups and access reviews, including ownership, evidence, metrics, fallback procedures and crisis stress testing?</t>
        </is>
      </c>
      <c r="G375" s="3" t="inlineStr">
        <is>
          <t>This topic affects exposure to Cyberattack; Data breach; Ransomware; Insider threat. It helps identify how disruption may impact operations, people, revenue, systems, legal exposure or recovery time.</t>
        </is>
      </c>
      <c r="H375" s="3" t="inlineStr">
        <is>
          <t>ISO/IEC 27001; ISO/IEC 27002; NIST CSF 2.0; CIS Controls; ISO/IEC 27701; GDPR; IEC 62443</t>
        </is>
      </c>
      <c r="I375" s="3" t="inlineStr">
        <is>
          <t>Policy/SOP; owner/RACI; system report; dashboard; contracts; test records; incident history; interview evidence related to security KPI reporting to leadership covering vulnerabilities, incidents, MFA, phishing, backups and access reviews.</t>
        </is>
      </c>
      <c r="J375" s="3" t="n">
        <v>5</v>
      </c>
      <c r="K375" s="85">
        <f>_DATA_Assessment_Model!H375</f>
        <v/>
      </c>
      <c r="L375" s="4">
        <f>_DATA_Assessment_Model!I375</f>
        <v/>
      </c>
      <c r="M375" s="4">
        <f>_DATA_Assessment_Model!J375</f>
        <v/>
      </c>
      <c r="N375" s="4">
        <f>_DATA_Assessment_Model!K375</f>
        <v/>
      </c>
      <c r="O375" s="3">
        <f>_DATA_Assessment_Model!L375</f>
        <v/>
      </c>
      <c r="P375" s="3" t="inlineStr">
        <is>
          <t>Never performed.</t>
        </is>
      </c>
      <c r="Q375" s="3" t="inlineStr">
        <is>
          <t>Performed once after an incident or audit finding.</t>
        </is>
      </c>
      <c r="R375" s="3" t="inlineStr">
        <is>
          <t>Performed irregularly; results not documented; revocations not verified.</t>
        </is>
      </c>
      <c r="S375" s="3" t="inlineStr">
        <is>
          <t>Performed at least annually for critical systems; revocations verified.</t>
        </is>
      </c>
      <c r="T375" s="3" t="inlineStr">
        <is>
          <t>Performed quarterly for critical systems; exceptions tracked; tied to JML process.</t>
        </is>
      </c>
      <c r="U375" s="3" t="inlineStr">
        <is>
          <t>Automated recertification campaigns; continuous anomaly detection on entitlements.</t>
        </is>
      </c>
      <c r="V375" s="3" t="inlineStr">
        <is>
          <t>Cyberattack; Data breach; Ransomware; Insider threat</t>
        </is>
      </c>
      <c r="W375" s="3" t="n"/>
      <c r="X375" s="3" t="n"/>
      <c r="Y375" s="3" t="inlineStr">
        <is>
          <t>Use the recommended action generated by the model; validate with domain owner during real assessment.</t>
        </is>
      </c>
      <c r="Z375" s="7" t="n">
        <v>5</v>
      </c>
      <c r="AA375" s="7" t="n">
        <v>5</v>
      </c>
      <c r="AB375" s="7" t="n">
        <v>5</v>
      </c>
      <c r="AD375" t="inlineStr">
        <is>
          <t>Protection</t>
        </is>
      </c>
      <c r="AE375" s="6">
        <f>_DATA_Assessment_Model!AB375</f>
        <v/>
      </c>
      <c r="AF375" s="8">
        <f>_DATA_Assessment_Model!AC375</f>
        <v/>
      </c>
      <c r="AG375" s="9">
        <f>_DATA_Assessment_Model!AD375</f>
        <v/>
      </c>
      <c r="AH375" s="6">
        <f>_DATA_Assessment_Model!AE375</f>
        <v/>
      </c>
      <c r="AI375" s="8">
        <f>_DATA_Assessment_Model!AF375</f>
        <v/>
      </c>
      <c r="AJ375" s="6">
        <f>_DATA_Assessment_Model!AG375</f>
        <v/>
      </c>
      <c r="AK375" s="46" t="n"/>
      <c r="AL375" s="46" t="n"/>
      <c r="AM375" s="247">
        <f>_DATA_Assessment_Model!AJ375</f>
        <v/>
      </c>
      <c r="AN375" s="247">
        <f>_DATA_Assessment_Model!AK375</f>
        <v/>
      </c>
      <c r="AO375" s="247">
        <f>_DATA_Assessment_Model!AL375</f>
        <v/>
      </c>
      <c r="AP375" s="247">
        <f>_DATA_Assessment_Model!AM375</f>
        <v/>
      </c>
      <c r="AQ375" s="247">
        <f>_DATA_Assessment_Model!AN375</f>
        <v/>
      </c>
      <c r="AR375" s="247">
        <f>_DATA_Assessment_Model!AO375</f>
        <v/>
      </c>
      <c r="AS375" s="247">
        <f>_DATA_Assessment_Model!AP375</f>
        <v/>
      </c>
      <c r="AT375" s="247">
        <f>_DATA_Assessment_Model!AQ375</f>
        <v/>
      </c>
      <c r="AU375" s="247">
        <f>_DATA_Assessment_Model!AR375</f>
        <v/>
      </c>
      <c r="AV375" s="5">
        <f>_DATA_Assessment_Model!AS375</f>
        <v/>
      </c>
      <c r="AW375" s="5">
        <f>_DATA_Assessment_Model!AT375</f>
        <v/>
      </c>
      <c r="AY375">
        <f>_DATA_Assessment_Model!AV375</f>
        <v/>
      </c>
    </row>
    <row r="376" ht="96.59999999999999" customHeight="1" s="209">
      <c r="A376" t="inlineStr">
        <is>
          <t>Cyber Privacy</t>
        </is>
      </c>
      <c r="B376" t="inlineStr">
        <is>
          <t>Cyber Privacy</t>
        </is>
      </c>
      <c r="C376" t="n">
        <v>8</v>
      </c>
      <c r="D376" s="3" t="inlineStr">
        <is>
          <t>CYBE-004</t>
        </is>
      </c>
      <c r="E376" s="3" t="inlineStr">
        <is>
          <t>Security governance</t>
        </is>
      </c>
      <c r="F376" s="3" t="inlineStr">
        <is>
          <t>How mature is the organization in managing security evidence readiness for customers, regulators, insurers and partners, including ownership, evidence, metrics, fallback procedures and crisis stress testing?</t>
        </is>
      </c>
      <c r="G376" s="3" t="inlineStr">
        <is>
          <t>This topic affects exposure to Cyberattack; Data breach; Ransomware; Insider threat. It helps identify how disruption may impact operations, people, revenue, systems, legal exposure or recovery time.</t>
        </is>
      </c>
      <c r="H376" s="3" t="inlineStr">
        <is>
          <t>ISO/IEC 27001; ISO/IEC 27002; NIST CSF 2.0; CIS Controls; ISO/IEC 27701; GDPR; IEC 62443</t>
        </is>
      </c>
      <c r="I376" s="3" t="inlineStr">
        <is>
          <t>Policy/SOP; owner/RACI; system report; dashboard; contracts; test records; incident history; interview evidence related to security evidence readiness for customers, regulators, insurers and partners.</t>
        </is>
      </c>
      <c r="J376" s="3" t="n">
        <v>4</v>
      </c>
      <c r="K376" s="85">
        <f>_DATA_Assessment_Model!H376</f>
        <v/>
      </c>
      <c r="L376" s="4">
        <f>_DATA_Assessment_Model!I376</f>
        <v/>
      </c>
      <c r="M376" s="4">
        <f>_DATA_Assessment_Model!J376</f>
        <v/>
      </c>
      <c r="N376" s="4">
        <f>_DATA_Assessment_Model!K376</f>
        <v/>
      </c>
      <c r="O376" s="3">
        <f>_DATA_Assessment_Model!L376</f>
        <v/>
      </c>
      <c r="P376" s="3" t="inlineStr">
        <is>
          <t>No reliable evidence that security evidence readiness for customers, regulators, insurers and partners is defined, owned or managed.</t>
        </is>
      </c>
      <c r="Q376" s="3" t="inlineStr">
        <is>
          <t>Security evidence readiness for customers, regulators, insurers and partners is handled informally and depends on individual knowledge or heroic effort.</t>
        </is>
      </c>
      <c r="R376" s="3" t="inlineStr">
        <is>
          <t>Security evidence readiness for customers, regulators, insurers and partners is partially documented or implemented, but coverage is inconsistent and not crisis-tested.</t>
        </is>
      </c>
      <c r="S376" s="3" t="inlineStr">
        <is>
          <t>Security evidence readiness for customers, regulators, insurers and partners is documented, owned, used in normal operations and supported by basic evidence or metrics.</t>
        </is>
      </c>
      <c r="T376" s="3" t="inlineStr">
        <is>
          <t>Security evidence readiness for customers, regulators, insurers and partners is measured, periodically reviewed, integrated with related processes and tested against relevant disruption scenarios.</t>
        </is>
      </c>
      <c r="U376" s="3" t="inlineStr">
        <is>
          <t>Security evidence readiness for customers, regulators, insurers and partners is optimized, continuously improved, automated where practical and demonstrably supports crisis resilience.</t>
        </is>
      </c>
      <c r="V376" s="3" t="inlineStr">
        <is>
          <t>Cyberattack; Data breach; Ransomware; Insider threat</t>
        </is>
      </c>
      <c r="W376" s="3" t="n"/>
      <c r="X376" s="3" t="n"/>
      <c r="Y376" s="3" t="inlineStr">
        <is>
          <t>Use the recommended action generated by the model; validate with domain owner during real assessment.</t>
        </is>
      </c>
      <c r="Z376" s="7" t="n">
        <v>5</v>
      </c>
      <c r="AA376" s="7" t="n">
        <v>5</v>
      </c>
      <c r="AB376" s="7" t="n">
        <v>5</v>
      </c>
      <c r="AD376" t="inlineStr">
        <is>
          <t>Detection and response</t>
        </is>
      </c>
      <c r="AE376" s="6">
        <f>_DATA_Assessment_Model!AB376</f>
        <v/>
      </c>
      <c r="AF376" s="8">
        <f>_DATA_Assessment_Model!AC376</f>
        <v/>
      </c>
      <c r="AG376" s="9">
        <f>_DATA_Assessment_Model!AD376</f>
        <v/>
      </c>
      <c r="AH376" s="6">
        <f>_DATA_Assessment_Model!AE376</f>
        <v/>
      </c>
      <c r="AI376" s="8">
        <f>_DATA_Assessment_Model!AF376</f>
        <v/>
      </c>
      <c r="AJ376" s="6">
        <f>_DATA_Assessment_Model!AG376</f>
        <v/>
      </c>
      <c r="AK376" s="46" t="n"/>
      <c r="AL376" s="46" t="n"/>
      <c r="AM376" s="247">
        <f>_DATA_Assessment_Model!AJ376</f>
        <v/>
      </c>
      <c r="AN376" s="247">
        <f>_DATA_Assessment_Model!AK376</f>
        <v/>
      </c>
      <c r="AO376" s="247">
        <f>_DATA_Assessment_Model!AL376</f>
        <v/>
      </c>
      <c r="AP376" s="247">
        <f>_DATA_Assessment_Model!AM376</f>
        <v/>
      </c>
      <c r="AQ376" s="247">
        <f>_DATA_Assessment_Model!AN376</f>
        <v/>
      </c>
      <c r="AR376" s="247">
        <f>_DATA_Assessment_Model!AO376</f>
        <v/>
      </c>
      <c r="AS376" s="247">
        <f>_DATA_Assessment_Model!AP376</f>
        <v/>
      </c>
      <c r="AT376" s="247">
        <f>_DATA_Assessment_Model!AQ376</f>
        <v/>
      </c>
      <c r="AU376" s="247">
        <f>_DATA_Assessment_Model!AR376</f>
        <v/>
      </c>
      <c r="AV376" s="5">
        <f>_DATA_Assessment_Model!AS376</f>
        <v/>
      </c>
      <c r="AW376" s="5">
        <f>_DATA_Assessment_Model!AT376</f>
        <v/>
      </c>
      <c r="AY376">
        <f>_DATA_Assessment_Model!AV376</f>
        <v/>
      </c>
    </row>
    <row r="377" ht="82.8" customHeight="1" s="209">
      <c r="A377" t="inlineStr">
        <is>
          <t>Cyber Privacy</t>
        </is>
      </c>
      <c r="B377" t="inlineStr">
        <is>
          <t>Cyber Privacy</t>
        </is>
      </c>
      <c r="C377" t="n">
        <v>9</v>
      </c>
      <c r="D377" s="3" t="inlineStr">
        <is>
          <t>CYBE-005</t>
        </is>
      </c>
      <c r="E377" s="3" t="inlineStr">
        <is>
          <t>Security governance</t>
        </is>
      </c>
      <c r="F377" s="3" t="inlineStr">
        <is>
          <t>How mature is the organization in managing third-party cyber risk assessment for critical vendors and outsourced services, including ownership, evidence, metrics, fallback procedures and crisis stress testing?</t>
        </is>
      </c>
      <c r="G377" s="3" t="inlineStr">
        <is>
          <t>This topic affects exposure to Cyberattack; Data breach; Ransomware; Insider threat. It helps identify how disruption may impact operations, people, revenue, systems, legal exposure or recovery time.</t>
        </is>
      </c>
      <c r="H377" s="3" t="inlineStr">
        <is>
          <t>ISO/IEC 27001; ISO/IEC 27002; NIST CSF 2.0; CIS Controls; ISO/IEC 27701; GDPR; IEC 62443</t>
        </is>
      </c>
      <c r="I377" s="3" t="inlineStr">
        <is>
          <t>Policy/SOP; owner/RACI; system report; dashboard; contracts; test records; incident history; interview evidence related to third-party cyber risk assessment for critical vendors and outsourced services.</t>
        </is>
      </c>
      <c r="J377" s="3" t="n">
        <v>5</v>
      </c>
      <c r="K377" s="85">
        <f>_DATA_Assessment_Model!H377</f>
        <v/>
      </c>
      <c r="L377" s="4">
        <f>_DATA_Assessment_Model!I377</f>
        <v/>
      </c>
      <c r="M377" s="4">
        <f>_DATA_Assessment_Model!J377</f>
        <v/>
      </c>
      <c r="N377" s="4">
        <f>_DATA_Assessment_Model!K377</f>
        <v/>
      </c>
      <c r="O377" s="3">
        <f>_DATA_Assessment_Model!L377</f>
        <v/>
      </c>
      <c r="P377" s="3" t="inlineStr">
        <is>
          <t>Does not exist; no owner, no documentation, no practice.</t>
        </is>
      </c>
      <c r="Q377" s="3" t="inlineStr">
        <is>
          <t>Ad hoc; depends entirely on specific individuals.</t>
        </is>
      </c>
      <c r="R377" s="3" t="inlineStr">
        <is>
          <t>Partially documented or implemented; coverage inconsistent; never tested under stress.</t>
        </is>
      </c>
      <c r="S377" s="3" t="inlineStr">
        <is>
          <t>Documented, owned, executed consistently; basic evidence and metrics exist.</t>
        </is>
      </c>
      <c r="T377" s="3" t="inlineStr">
        <is>
          <t>Measured and periodically tested/audited; integrated with adjacent processes.</t>
        </is>
      </c>
      <c r="U377" s="3" t="inlineStr">
        <is>
          <t>Optimized and automated where practical; stress-tested; benchmarked externally.</t>
        </is>
      </c>
      <c r="V377" s="3" t="inlineStr">
        <is>
          <t>Cyberattack; Data breach; Ransomware; Insider threat</t>
        </is>
      </c>
      <c r="W377" s="3" t="n"/>
      <c r="X377" s="3" t="n"/>
      <c r="Y377" s="3" t="inlineStr">
        <is>
          <t>Use the recommended action generated by the model; validate with domain owner during real assessment.</t>
        </is>
      </c>
      <c r="Z377" s="7" t="n">
        <v>5</v>
      </c>
      <c r="AA377" s="7" t="n">
        <v>5</v>
      </c>
      <c r="AB377" s="7" t="n">
        <v>5</v>
      </c>
      <c r="AD377" t="inlineStr">
        <is>
          <t>Application and OT security</t>
        </is>
      </c>
      <c r="AE377" s="6">
        <f>_DATA_Assessment_Model!AB377</f>
        <v/>
      </c>
      <c r="AF377" s="8">
        <f>_DATA_Assessment_Model!AC377</f>
        <v/>
      </c>
      <c r="AG377" s="9">
        <f>_DATA_Assessment_Model!AD377</f>
        <v/>
      </c>
      <c r="AH377" s="6">
        <f>_DATA_Assessment_Model!AE377</f>
        <v/>
      </c>
      <c r="AI377" s="8">
        <f>_DATA_Assessment_Model!AF377</f>
        <v/>
      </c>
      <c r="AJ377" s="6">
        <f>_DATA_Assessment_Model!AG377</f>
        <v/>
      </c>
      <c r="AK377" s="46" t="n"/>
      <c r="AL377" s="46" t="n"/>
      <c r="AM377" s="247">
        <f>_DATA_Assessment_Model!AJ377</f>
        <v/>
      </c>
      <c r="AN377" s="247">
        <f>_DATA_Assessment_Model!AK377</f>
        <v/>
      </c>
      <c r="AO377" s="247">
        <f>_DATA_Assessment_Model!AL377</f>
        <v/>
      </c>
      <c r="AP377" s="247">
        <f>_DATA_Assessment_Model!AM377</f>
        <v/>
      </c>
      <c r="AQ377" s="247">
        <f>_DATA_Assessment_Model!AN377</f>
        <v/>
      </c>
      <c r="AR377" s="247">
        <f>_DATA_Assessment_Model!AO377</f>
        <v/>
      </c>
      <c r="AS377" s="247">
        <f>_DATA_Assessment_Model!AP377</f>
        <v/>
      </c>
      <c r="AT377" s="247">
        <f>_DATA_Assessment_Model!AQ377</f>
        <v/>
      </c>
      <c r="AU377" s="247">
        <f>_DATA_Assessment_Model!AR377</f>
        <v/>
      </c>
      <c r="AV377" s="5">
        <f>_DATA_Assessment_Model!AS377</f>
        <v/>
      </c>
      <c r="AW377" s="5">
        <f>_DATA_Assessment_Model!AT377</f>
        <v/>
      </c>
      <c r="AY377">
        <f>_DATA_Assessment_Model!AV377</f>
        <v/>
      </c>
    </row>
    <row r="378" ht="69" customHeight="1" s="209">
      <c r="A378" t="inlineStr">
        <is>
          <t>Cyber Privacy</t>
        </is>
      </c>
      <c r="B378" t="inlineStr">
        <is>
          <t>Cyber Privacy</t>
        </is>
      </c>
      <c r="C378" t="n">
        <v>10</v>
      </c>
      <c r="D378" s="3" t="inlineStr">
        <is>
          <t>CYBE-006</t>
        </is>
      </c>
      <c r="E378" s="3" t="inlineStr">
        <is>
          <t>Security governance</t>
        </is>
      </c>
      <c r="F378" s="3" t="inlineStr">
        <is>
          <t>How mature is the organization in managing security awareness and phishing training for employees and contractors, including ownership, evidence, metrics, fallback procedures and crisis stress testing?</t>
        </is>
      </c>
      <c r="G378" s="3" t="inlineStr">
        <is>
          <t>This topic affects exposure to Cyberattack; Data breach; Ransomware; Insider threat. It helps identify how disruption may impact operations, people, revenue, systems, legal exposure or recovery time.</t>
        </is>
      </c>
      <c r="H378" s="3" t="inlineStr">
        <is>
          <t>ISO/IEC 27001; ISO/IEC 27002; NIST CSF 2.0; CIS Controls; ISO/IEC 27701; GDPR; IEC 62443</t>
        </is>
      </c>
      <c r="I378" s="3" t="inlineStr">
        <is>
          <t>Policy/SOP; owner/RACI; system report; dashboard; contracts; test records; incident history; interview evidence related to security awareness and phishing training for employees and contractors.</t>
        </is>
      </c>
      <c r="J378" s="3" t="n">
        <v>4</v>
      </c>
      <c r="K378" s="85">
        <f>_DATA_Assessment_Model!H378</f>
        <v/>
      </c>
      <c r="L378" s="4">
        <f>_DATA_Assessment_Model!I378</f>
        <v/>
      </c>
      <c r="M378" s="4">
        <f>_DATA_Assessment_Model!J378</f>
        <v/>
      </c>
      <c r="N378" s="4">
        <f>_DATA_Assessment_Model!K378</f>
        <v/>
      </c>
      <c r="O378" s="3">
        <f>_DATA_Assessment_Model!L378</f>
        <v/>
      </c>
      <c r="P378" s="3" t="inlineStr">
        <is>
          <t>Never done; no records exist.</t>
        </is>
      </c>
      <c r="Q378" s="3" t="inlineStr">
        <is>
          <t>Done once long ago or only after an incident; no schedule, no records.</t>
        </is>
      </c>
      <c r="R378" s="3" t="inlineStr">
        <is>
          <t>Done irregularly; results are not documented and findings are not tracked.</t>
        </is>
      </c>
      <c r="S378" s="3" t="inlineStr">
        <is>
          <t>Done on a defined schedule (at least annually); results documented, owner assigned.</t>
        </is>
      </c>
      <c r="T378" s="3" t="inlineStr">
        <is>
          <t>Done quarterly/semi-annually; findings tracked to closure, effectiveness measured against targets.</t>
        </is>
      </c>
      <c r="U378" s="3" t="inlineStr">
        <is>
          <t>Continuous or automated where possible; results drive improvements and are validated externally (audit/customer).</t>
        </is>
      </c>
      <c r="V378" s="3" t="inlineStr">
        <is>
          <t>Cyberattack; Data breach; Ransomware; Insider threat</t>
        </is>
      </c>
      <c r="W378" s="3" t="n"/>
      <c r="X378" s="3" t="n"/>
      <c r="Y378" s="3" t="inlineStr">
        <is>
          <t>Use the recommended action generated by the model; validate with domain owner during real assessment.</t>
        </is>
      </c>
      <c r="Z378" s="7" t="n">
        <v>5</v>
      </c>
      <c r="AA378" s="7" t="n">
        <v>5</v>
      </c>
      <c r="AB378" s="7" t="n">
        <v>5</v>
      </c>
      <c r="AD378" t="inlineStr">
        <is>
          <t>Privacy</t>
        </is>
      </c>
      <c r="AE378" s="6">
        <f>_DATA_Assessment_Model!AB378</f>
        <v/>
      </c>
      <c r="AF378" s="8">
        <f>_DATA_Assessment_Model!AC378</f>
        <v/>
      </c>
      <c r="AG378" s="9">
        <f>_DATA_Assessment_Model!AD378</f>
        <v/>
      </c>
      <c r="AH378" s="6">
        <f>_DATA_Assessment_Model!AE378</f>
        <v/>
      </c>
      <c r="AI378" s="8">
        <f>_DATA_Assessment_Model!AF378</f>
        <v/>
      </c>
      <c r="AJ378" s="6">
        <f>_DATA_Assessment_Model!AG378</f>
        <v/>
      </c>
      <c r="AK378" s="46" t="n"/>
      <c r="AL378" s="46" t="n"/>
      <c r="AM378" s="247">
        <f>_DATA_Assessment_Model!AJ378</f>
        <v/>
      </c>
      <c r="AN378" s="247">
        <f>_DATA_Assessment_Model!AK378</f>
        <v/>
      </c>
      <c r="AO378" s="247">
        <f>_DATA_Assessment_Model!AL378</f>
        <v/>
      </c>
      <c r="AP378" s="247">
        <f>_DATA_Assessment_Model!AM378</f>
        <v/>
      </c>
      <c r="AQ378" s="247">
        <f>_DATA_Assessment_Model!AN378</f>
        <v/>
      </c>
      <c r="AR378" s="247">
        <f>_DATA_Assessment_Model!AO378</f>
        <v/>
      </c>
      <c r="AS378" s="247">
        <f>_DATA_Assessment_Model!AP378</f>
        <v/>
      </c>
      <c r="AT378" s="247">
        <f>_DATA_Assessment_Model!AQ378</f>
        <v/>
      </c>
      <c r="AU378" s="247">
        <f>_DATA_Assessment_Model!AR378</f>
        <v/>
      </c>
      <c r="AV378" s="5">
        <f>_DATA_Assessment_Model!AS378</f>
        <v/>
      </c>
      <c r="AW378" s="5">
        <f>_DATA_Assessment_Model!AT378</f>
        <v/>
      </c>
      <c r="AY378">
        <f>_DATA_Assessment_Model!AV378</f>
        <v/>
      </c>
    </row>
    <row r="379" ht="96.59999999999999" customHeight="1" s="209">
      <c r="A379" t="inlineStr">
        <is>
          <t>Cyber Privacy</t>
        </is>
      </c>
      <c r="B379" t="inlineStr">
        <is>
          <t>Cyber Privacy</t>
        </is>
      </c>
      <c r="C379" t="n">
        <v>11</v>
      </c>
      <c r="D379" s="3" t="inlineStr">
        <is>
          <t>CYBE-007</t>
        </is>
      </c>
      <c r="E379" s="3" t="inlineStr">
        <is>
          <t>Identity and access</t>
        </is>
      </c>
      <c r="F379" s="3" t="inlineStr">
        <is>
          <t>How mature is the organization in managing joiner-mover-leaver access lifecycle across systems, SaaS and physical access, including ownership, evidence, metrics, fallback procedures and crisis stress testing?</t>
        </is>
      </c>
      <c r="G379" s="3" t="inlineStr">
        <is>
          <t>This topic affects exposure to Cyberattack; Data breach; Ransomware; Insider threat. It helps identify how disruption may impact operations, people, revenue, systems, legal exposure or recovery time.</t>
        </is>
      </c>
      <c r="H379" s="3" t="inlineStr">
        <is>
          <t>ISO/IEC 27001; ISO/IEC 27002; NIST CSF 2.0; CIS Controls; ISO/IEC 27701; GDPR; IEC 62443</t>
        </is>
      </c>
      <c r="I379" s="3" t="inlineStr">
        <is>
          <t>Policy/SOP; owner/RACI; system report; dashboard; contracts; test records; incident history; interview evidence related to joiner-mover-leaver access lifecycle across systems, SaaS and physical access.</t>
        </is>
      </c>
      <c r="J379" s="3" t="n">
        <v>4</v>
      </c>
      <c r="K379" s="85">
        <f>_DATA_Assessment_Model!H379</f>
        <v/>
      </c>
      <c r="L379" s="4">
        <f>_DATA_Assessment_Model!I379</f>
        <v/>
      </c>
      <c r="M379" s="4">
        <f>_DATA_Assessment_Model!J379</f>
        <v/>
      </c>
      <c r="N379" s="4">
        <f>_DATA_Assessment_Model!K379</f>
        <v/>
      </c>
      <c r="O379" s="3">
        <f>_DATA_Assessment_Model!L379</f>
        <v/>
      </c>
      <c r="P379" s="3" t="inlineStr">
        <is>
          <t>No reliable evidence that joiner-mover-leaver access lifecycle across systems, saas and physical access is defined, owned or managed.</t>
        </is>
      </c>
      <c r="Q379" s="3" t="inlineStr">
        <is>
          <t>Joiner-mover-leaver access lifecycle across systems, SaaS and physical access is handled informally and depends on individual knowledge or heroic effort.</t>
        </is>
      </c>
      <c r="R379" s="3" t="inlineStr">
        <is>
          <t>Joiner-mover-leaver access lifecycle across systems, SaaS and physical access is partially documented or implemented, but coverage is inconsistent and not crisis-tested.</t>
        </is>
      </c>
      <c r="S379" s="3" t="inlineStr">
        <is>
          <t>Joiner-mover-leaver access lifecycle across systems, SaaS and physical access is documented, owned, used in normal operations and supported by basic evidence or metrics.</t>
        </is>
      </c>
      <c r="T379" s="3" t="inlineStr">
        <is>
          <t>Joiner-mover-leaver access lifecycle across systems, SaaS and physical access is measured, periodically reviewed, integrated with related processes and tested against relevant disruption scenarios.</t>
        </is>
      </c>
      <c r="U379" s="3" t="inlineStr">
        <is>
          <t>Joiner-mover-leaver access lifecycle across systems, SaaS and physical access is optimized, continuously improved, automated where practical and demonstrably supports crisis resilience.</t>
        </is>
      </c>
      <c r="V379" s="3" t="inlineStr">
        <is>
          <t>Cyberattack; Data breach; Ransomware; Insider threat</t>
        </is>
      </c>
      <c r="W379" s="3" t="n"/>
      <c r="X379" s="3" t="n"/>
      <c r="Y379" s="3" t="inlineStr">
        <is>
          <t>Use the recommended action generated by the model; validate with domain owner during real assessment.</t>
        </is>
      </c>
      <c r="Z379" s="7" t="n">
        <v>5</v>
      </c>
      <c r="AA379" s="7" t="n">
        <v>5</v>
      </c>
      <c r="AB379" s="7" t="n">
        <v>5</v>
      </c>
      <c r="AK379" s="46" t="n"/>
      <c r="AL379" s="46" t="n"/>
      <c r="AM379" s="247">
        <f>_DATA_Assessment_Model!AJ379</f>
        <v/>
      </c>
      <c r="AN379" s="247">
        <f>_DATA_Assessment_Model!AK379</f>
        <v/>
      </c>
      <c r="AO379" s="247">
        <f>_DATA_Assessment_Model!AL379</f>
        <v/>
      </c>
      <c r="AP379" s="247">
        <f>_DATA_Assessment_Model!AM379</f>
        <v/>
      </c>
      <c r="AQ379" s="247">
        <f>_DATA_Assessment_Model!AN379</f>
        <v/>
      </c>
      <c r="AR379" s="247">
        <f>_DATA_Assessment_Model!AO379</f>
        <v/>
      </c>
      <c r="AS379" s="247">
        <f>_DATA_Assessment_Model!AP379</f>
        <v/>
      </c>
      <c r="AT379" s="247">
        <f>_DATA_Assessment_Model!AQ379</f>
        <v/>
      </c>
      <c r="AU379" s="247">
        <f>_DATA_Assessment_Model!AR379</f>
        <v/>
      </c>
      <c r="AV379" s="5">
        <f>_DATA_Assessment_Model!AS379</f>
        <v/>
      </c>
      <c r="AW379" s="5">
        <f>_DATA_Assessment_Model!AT379</f>
        <v/>
      </c>
      <c r="AY379">
        <f>_DATA_Assessment_Model!AV379</f>
        <v/>
      </c>
    </row>
    <row r="380" ht="82.8" customHeight="1" s="209">
      <c r="A380" t="inlineStr">
        <is>
          <t>Cyber Privacy</t>
        </is>
      </c>
      <c r="B380" t="inlineStr">
        <is>
          <t>Cyber Privacy</t>
        </is>
      </c>
      <c r="C380" t="n">
        <v>12</v>
      </c>
      <c r="D380" s="3" t="inlineStr">
        <is>
          <t>CYBE-008</t>
        </is>
      </c>
      <c r="E380" s="3" t="inlineStr">
        <is>
          <t>Identity and access</t>
        </is>
      </c>
      <c r="F380" s="3" t="inlineStr">
        <is>
          <t>How mature is the organization in managing MFA enforcement for email, cloud, VPN/ZTNA, admin accounts, finance systems and critical SaaS, including ownership, evidence, metrics, fallback procedures and crisis stress testing?</t>
        </is>
      </c>
      <c r="G380" s="3" t="inlineStr">
        <is>
          <t>This topic affects exposure to Cyberattack; Data breach; Ransomware; Insider threat. It helps identify how disruption may impact operations, people, revenue, systems, legal exposure or recovery time.</t>
        </is>
      </c>
      <c r="H380" s="3" t="inlineStr">
        <is>
          <t>ISO/IEC 27001; ISO/IEC 27002; NIST CSF 2.0; CIS Controls; ISO/IEC 27701; GDPR; IEC 62443</t>
        </is>
      </c>
      <c r="I380" s="3" t="inlineStr">
        <is>
          <t>Policy/SOP; owner/RACI; system report; dashboard; contracts; test records; incident history; interview evidence related to MFA enforcement for email, cloud, VPN/ZTNA, admin accounts, finance systems and critical SaaS.</t>
        </is>
      </c>
      <c r="J380" s="3" t="n">
        <v>5</v>
      </c>
      <c r="K380" s="85">
        <f>_DATA_Assessment_Model!H380</f>
        <v/>
      </c>
      <c r="L380" s="4">
        <f>_DATA_Assessment_Model!I380</f>
        <v/>
      </c>
      <c r="M380" s="4">
        <f>_DATA_Assessment_Model!J380</f>
        <v/>
      </c>
      <c r="N380" s="4">
        <f>_DATA_Assessment_Model!K380</f>
        <v/>
      </c>
      <c r="O380" s="3">
        <f>_DATA_Assessment_Model!L380</f>
        <v/>
      </c>
      <c r="P380" s="3" t="inlineStr">
        <is>
          <t>No MFA anywhere.</t>
        </is>
      </c>
      <c r="Q380" s="3" t="inlineStr">
        <is>
          <t>MFA only on isolated accounts, by individual choice.</t>
        </is>
      </c>
      <c r="R380" s="3" t="inlineStr">
        <is>
          <t>MFA on email or VPN only; admins or critical SaaS not fully covered.</t>
        </is>
      </c>
      <c r="S380" s="3" t="inlineStr">
        <is>
          <t>MFA enforced for email, VPN/ZTNA and admin accounts; exceptions documented.</t>
        </is>
      </c>
      <c r="T380" s="3" t="inlineStr">
        <is>
          <t>MFA enforced everywhere incl. finance systems and critical SaaS; coverage monitored; phishing-resistant methods for admins.</t>
        </is>
      </c>
      <c r="U380" s="3" t="inlineStr">
        <is>
          <t>Phishing-resistant MFA (FIDO2/keys) as standard; coverage 100% monitored; conditional access policies in place.</t>
        </is>
      </c>
      <c r="V380" s="3" t="inlineStr">
        <is>
          <t>Cyberattack; Data breach; Ransomware; Insider threat</t>
        </is>
      </c>
      <c r="W380" s="3" t="n"/>
      <c r="X380" s="3" t="n"/>
      <c r="Y380" s="3" t="inlineStr">
        <is>
          <t>Use the recommended action generated by the model; validate with domain owner during real assessment.</t>
        </is>
      </c>
      <c r="Z380" s="7" t="n">
        <v>5</v>
      </c>
      <c r="AA380" s="7" t="n">
        <v>5</v>
      </c>
      <c r="AB380" s="7" t="n">
        <v>5</v>
      </c>
      <c r="AK380" s="46" t="n"/>
      <c r="AL380" s="46" t="n"/>
      <c r="AM380" s="247">
        <f>_DATA_Assessment_Model!AJ380</f>
        <v/>
      </c>
      <c r="AN380" s="247">
        <f>_DATA_Assessment_Model!AK380</f>
        <v/>
      </c>
      <c r="AO380" s="247">
        <f>_DATA_Assessment_Model!AL380</f>
        <v/>
      </c>
      <c r="AP380" s="247">
        <f>_DATA_Assessment_Model!AM380</f>
        <v/>
      </c>
      <c r="AQ380" s="247">
        <f>_DATA_Assessment_Model!AN380</f>
        <v/>
      </c>
      <c r="AR380" s="247">
        <f>_DATA_Assessment_Model!AO380</f>
        <v/>
      </c>
      <c r="AS380" s="247">
        <f>_DATA_Assessment_Model!AP380</f>
        <v/>
      </c>
      <c r="AT380" s="247">
        <f>_DATA_Assessment_Model!AQ380</f>
        <v/>
      </c>
      <c r="AU380" s="247">
        <f>_DATA_Assessment_Model!AR380</f>
        <v/>
      </c>
      <c r="AV380" s="5">
        <f>_DATA_Assessment_Model!AS380</f>
        <v/>
      </c>
      <c r="AW380" s="5">
        <f>_DATA_Assessment_Model!AT380</f>
        <v/>
      </c>
      <c r="AY380">
        <f>_DATA_Assessment_Model!AV380</f>
        <v/>
      </c>
    </row>
    <row r="381" ht="96.59999999999999" customHeight="1" s="209">
      <c r="A381" t="inlineStr">
        <is>
          <t>Cyber Privacy</t>
        </is>
      </c>
      <c r="B381" t="inlineStr">
        <is>
          <t>Cyber Privacy</t>
        </is>
      </c>
      <c r="C381" t="n">
        <v>13</v>
      </c>
      <c r="D381" s="3" t="inlineStr">
        <is>
          <t>CYBE-009</t>
        </is>
      </c>
      <c r="E381" s="3" t="inlineStr">
        <is>
          <t>Identity and access</t>
        </is>
      </c>
      <c r="F381" s="3" t="inlineStr">
        <is>
          <t>How mature is the organization in managing privileged access management for admin accounts and superusers, including ownership, evidence, metrics, fallback procedures and crisis stress testing?</t>
        </is>
      </c>
      <c r="G381" s="3" t="inlineStr">
        <is>
          <t>This topic affects exposure to Cyberattack; Data breach; Ransomware; Insider threat. It helps identify how disruption may impact operations, people, revenue, systems, legal exposure or recovery time.</t>
        </is>
      </c>
      <c r="H381" s="3" t="inlineStr">
        <is>
          <t>ISO/IEC 27001; ISO/IEC 27002; NIST CSF 2.0; CIS Controls; ISO/IEC 27701; GDPR; IEC 62443</t>
        </is>
      </c>
      <c r="I381" s="3" t="inlineStr">
        <is>
          <t>Policy/SOP; owner/RACI; system report; dashboard; contracts; test records; incident history; interview evidence related to privileged access management for admin accounts and superusers.</t>
        </is>
      </c>
      <c r="J381" s="3" t="n">
        <v>4</v>
      </c>
      <c r="K381" s="85">
        <f>_DATA_Assessment_Model!H381</f>
        <v/>
      </c>
      <c r="L381" s="4">
        <f>_DATA_Assessment_Model!I381</f>
        <v/>
      </c>
      <c r="M381" s="4">
        <f>_DATA_Assessment_Model!J381</f>
        <v/>
      </c>
      <c r="N381" s="4">
        <f>_DATA_Assessment_Model!K381</f>
        <v/>
      </c>
      <c r="O381" s="3">
        <f>_DATA_Assessment_Model!L381</f>
        <v/>
      </c>
      <c r="P381" s="3" t="inlineStr">
        <is>
          <t>No reliable evidence that privileged access management for admin accounts and superusers is defined, owned or managed.</t>
        </is>
      </c>
      <c r="Q381" s="3" t="inlineStr">
        <is>
          <t>Privileged access management for admin accounts and superusers is handled informally and depends on individual knowledge or heroic effort.</t>
        </is>
      </c>
      <c r="R381" s="3" t="inlineStr">
        <is>
          <t>Privileged access management for admin accounts and superusers is partially documented or implemented, but coverage is inconsistent and not crisis-tested.</t>
        </is>
      </c>
      <c r="S381" s="3" t="inlineStr">
        <is>
          <t>Privileged access management for admin accounts and superusers is documented, owned, used in normal operations and supported by basic evidence or metrics.</t>
        </is>
      </c>
      <c r="T381" s="3" t="inlineStr">
        <is>
          <t>Privileged access management for admin accounts and superusers is measured, periodically reviewed, integrated with related processes and tested against relevant disruption scenarios.</t>
        </is>
      </c>
      <c r="U381" s="3" t="inlineStr">
        <is>
          <t>Privileged access management for admin accounts and superusers is optimized, continuously improved, automated where practical and demonstrably supports crisis resilience.</t>
        </is>
      </c>
      <c r="V381" s="3" t="inlineStr">
        <is>
          <t>Cyberattack; Data breach; Ransomware; Insider threat</t>
        </is>
      </c>
      <c r="W381" s="3" t="n"/>
      <c r="X381" s="3" t="n"/>
      <c r="Y381" s="3" t="inlineStr">
        <is>
          <t>Use the recommended action generated by the model; validate with domain owner during real assessment.</t>
        </is>
      </c>
      <c r="Z381" s="7" t="n">
        <v>5</v>
      </c>
      <c r="AA381" s="7" t="n">
        <v>5</v>
      </c>
      <c r="AB381" s="7" t="n">
        <v>5</v>
      </c>
      <c r="AK381" s="46" t="n"/>
      <c r="AL381" s="46" t="n"/>
      <c r="AM381" s="247">
        <f>_DATA_Assessment_Model!AJ381</f>
        <v/>
      </c>
      <c r="AN381" s="247">
        <f>_DATA_Assessment_Model!AK381</f>
        <v/>
      </c>
      <c r="AO381" s="247">
        <f>_DATA_Assessment_Model!AL381</f>
        <v/>
      </c>
      <c r="AP381" s="247">
        <f>_DATA_Assessment_Model!AM381</f>
        <v/>
      </c>
      <c r="AQ381" s="247">
        <f>_DATA_Assessment_Model!AN381</f>
        <v/>
      </c>
      <c r="AR381" s="247">
        <f>_DATA_Assessment_Model!AO381</f>
        <v/>
      </c>
      <c r="AS381" s="247">
        <f>_DATA_Assessment_Model!AP381</f>
        <v/>
      </c>
      <c r="AT381" s="247">
        <f>_DATA_Assessment_Model!AQ381</f>
        <v/>
      </c>
      <c r="AU381" s="247">
        <f>_DATA_Assessment_Model!AR381</f>
        <v/>
      </c>
      <c r="AV381" s="5">
        <f>_DATA_Assessment_Model!AS381</f>
        <v/>
      </c>
      <c r="AW381" s="5">
        <f>_DATA_Assessment_Model!AT381</f>
        <v/>
      </c>
      <c r="AY381">
        <f>_DATA_Assessment_Model!AV381</f>
        <v/>
      </c>
    </row>
    <row r="382" ht="69" customHeight="1" s="209">
      <c r="A382" t="inlineStr">
        <is>
          <t>Cyber Privacy</t>
        </is>
      </c>
      <c r="B382" t="inlineStr">
        <is>
          <t>Cyber Privacy</t>
        </is>
      </c>
      <c r="C382" t="n">
        <v>14</v>
      </c>
      <c r="D382" s="3" t="inlineStr">
        <is>
          <t>CYBE-010</t>
        </is>
      </c>
      <c r="E382" s="3" t="inlineStr">
        <is>
          <t>Identity and access</t>
        </is>
      </c>
      <c r="F382" s="3" t="inlineStr">
        <is>
          <t>How mature is the organization in managing break-glass account control, monitoring and testing, including ownership, evidence, metrics, fallback procedures and crisis stress testing?</t>
        </is>
      </c>
      <c r="G382" s="3" t="inlineStr">
        <is>
          <t>This topic affects exposure to Cyberattack; Data breach; Ransomware; Insider threat. It helps identify how disruption may impact operations, people, revenue, systems, legal exposure or recovery time.</t>
        </is>
      </c>
      <c r="H382" s="3" t="inlineStr">
        <is>
          <t>ISO/IEC 27001; ISO/IEC 27002; NIST CSF 2.0; CIS Controls; ISO/IEC 27701; GDPR; IEC 62443</t>
        </is>
      </c>
      <c r="I382" s="3" t="inlineStr">
        <is>
          <t>Policy/SOP; owner/RACI; system report; dashboard; contracts; test records; incident history; interview evidence related to break-glass account control, monitoring and testing.</t>
        </is>
      </c>
      <c r="J382" s="3" t="n">
        <v>3</v>
      </c>
      <c r="K382" s="85">
        <f>_DATA_Assessment_Model!H382</f>
        <v/>
      </c>
      <c r="L382" s="4">
        <f>_DATA_Assessment_Model!I382</f>
        <v/>
      </c>
      <c r="M382" s="4">
        <f>_DATA_Assessment_Model!J382</f>
        <v/>
      </c>
      <c r="N382" s="4">
        <f>_DATA_Assessment_Model!K382</f>
        <v/>
      </c>
      <c r="O382" s="3">
        <f>_DATA_Assessment_Model!L382</f>
        <v/>
      </c>
      <c r="P382" s="3" t="inlineStr">
        <is>
          <t>Never done; no records exist.</t>
        </is>
      </c>
      <c r="Q382" s="3" t="inlineStr">
        <is>
          <t>Done once long ago or only after an incident; no schedule, no records.</t>
        </is>
      </c>
      <c r="R382" s="3" t="inlineStr">
        <is>
          <t>Done irregularly; results are not documented and findings are not tracked.</t>
        </is>
      </c>
      <c r="S382" s="3" t="inlineStr">
        <is>
          <t>Done on a defined schedule (at least annually); results documented, owner assigned.</t>
        </is>
      </c>
      <c r="T382" s="3" t="inlineStr">
        <is>
          <t>Done quarterly/semi-annually; findings tracked to closure, effectiveness measured against targets.</t>
        </is>
      </c>
      <c r="U382" s="3" t="inlineStr">
        <is>
          <t>Continuous or automated where possible; results drive improvements and are validated externally (audit/customer).</t>
        </is>
      </c>
      <c r="V382" s="3" t="inlineStr">
        <is>
          <t>Cyberattack; Data breach; Ransomware; Insider threat</t>
        </is>
      </c>
      <c r="W382" s="3" t="n"/>
      <c r="X382" s="3" t="n"/>
      <c r="Y382" s="3" t="inlineStr">
        <is>
          <t>Use the recommended action generated by the model; validate with domain owner during real assessment.</t>
        </is>
      </c>
      <c r="Z382" s="7" t="n">
        <v>5</v>
      </c>
      <c r="AA382" s="7" t="n">
        <v>5</v>
      </c>
      <c r="AB382" s="7" t="n">
        <v>5</v>
      </c>
      <c r="AK382" s="46" t="n"/>
      <c r="AL382" s="46" t="n"/>
      <c r="AM382" s="247">
        <f>_DATA_Assessment_Model!AJ382</f>
        <v/>
      </c>
      <c r="AN382" s="247">
        <f>_DATA_Assessment_Model!AK382</f>
        <v/>
      </c>
      <c r="AO382" s="247">
        <f>_DATA_Assessment_Model!AL382</f>
        <v/>
      </c>
      <c r="AP382" s="247">
        <f>_DATA_Assessment_Model!AM382</f>
        <v/>
      </c>
      <c r="AQ382" s="247">
        <f>_DATA_Assessment_Model!AN382</f>
        <v/>
      </c>
      <c r="AR382" s="247">
        <f>_DATA_Assessment_Model!AO382</f>
        <v/>
      </c>
      <c r="AS382" s="247">
        <f>_DATA_Assessment_Model!AP382</f>
        <v/>
      </c>
      <c r="AT382" s="247">
        <f>_DATA_Assessment_Model!AQ382</f>
        <v/>
      </c>
      <c r="AU382" s="247">
        <f>_DATA_Assessment_Model!AR382</f>
        <v/>
      </c>
      <c r="AV382" s="5">
        <f>_DATA_Assessment_Model!AS382</f>
        <v/>
      </c>
      <c r="AW382" s="5">
        <f>_DATA_Assessment_Model!AT382</f>
        <v/>
      </c>
      <c r="AY382">
        <f>_DATA_Assessment_Model!AV382</f>
        <v/>
      </c>
    </row>
    <row r="383" ht="96.59999999999999" customHeight="1" s="209">
      <c r="A383" t="inlineStr">
        <is>
          <t>Cyber Privacy</t>
        </is>
      </c>
      <c r="B383" t="inlineStr">
        <is>
          <t>Cyber Privacy</t>
        </is>
      </c>
      <c r="C383" t="n">
        <v>15</v>
      </c>
      <c r="D383" s="3" t="inlineStr">
        <is>
          <t>CYBE-011</t>
        </is>
      </c>
      <c r="E383" s="3" t="inlineStr">
        <is>
          <t>Identity and access</t>
        </is>
      </c>
      <c r="F383" s="3" t="inlineStr">
        <is>
          <t>How mature is the organization in managing third-party access that is limited, monitored, time-bound and reviewed, including ownership, evidence, metrics, fallback procedures and crisis stress testing?</t>
        </is>
      </c>
      <c r="G383" s="3" t="inlineStr">
        <is>
          <t>This topic affects exposure to Cyberattack; Data breach; Ransomware; Insider threat. It helps identify how disruption may impact operations, people, revenue, systems, legal exposure or recovery time.</t>
        </is>
      </c>
      <c r="H383" s="3" t="inlineStr">
        <is>
          <t>ISO/IEC 27001; ISO/IEC 27002; NIST CSF 2.0; CIS Controls; ISO/IEC 27701; GDPR; IEC 62443</t>
        </is>
      </c>
      <c r="I383" s="3" t="inlineStr">
        <is>
          <t>Policy/SOP; owner/RACI; system report; dashboard; contracts; test records; incident history; interview evidence related to third-party access that is limited, monitored, time-bound and reviewed.</t>
        </is>
      </c>
      <c r="J383" s="3" t="n">
        <v>4</v>
      </c>
      <c r="K383" s="85">
        <f>_DATA_Assessment_Model!H383</f>
        <v/>
      </c>
      <c r="L383" s="4">
        <f>_DATA_Assessment_Model!I383</f>
        <v/>
      </c>
      <c r="M383" s="4">
        <f>_DATA_Assessment_Model!J383</f>
        <v/>
      </c>
      <c r="N383" s="4">
        <f>_DATA_Assessment_Model!K383</f>
        <v/>
      </c>
      <c r="O383" s="3">
        <f>_DATA_Assessment_Model!L383</f>
        <v/>
      </c>
      <c r="P383" s="3" t="inlineStr">
        <is>
          <t>No reliable evidence that third-party access that is limited, monitored, time-bound and reviewed is defined, owned or managed.</t>
        </is>
      </c>
      <c r="Q383" s="3" t="inlineStr">
        <is>
          <t>Third-party access that is limited, monitored, time-bound and reviewed is handled informally and depends on individual knowledge or heroic effort.</t>
        </is>
      </c>
      <c r="R383" s="3" t="inlineStr">
        <is>
          <t>Third-party access that is limited, monitored, time-bound and reviewed is partially documented or implemented, but coverage is inconsistent and not crisis-tested.</t>
        </is>
      </c>
      <c r="S383" s="3" t="inlineStr">
        <is>
          <t>Third-party access that is limited, monitored, time-bound and reviewed is documented, owned, used in normal operations and supported by basic evidence or metrics.</t>
        </is>
      </c>
      <c r="T383" s="3" t="inlineStr">
        <is>
          <t>Third-party access that is limited, monitored, time-bound and reviewed is measured, periodically reviewed, integrated with related processes and tested against relevant disruption scenarios.</t>
        </is>
      </c>
      <c r="U383" s="3" t="inlineStr">
        <is>
          <t>Third-party access that is limited, monitored, time-bound and reviewed is optimized, continuously improved, automated where practical and demonstrably supports crisis resilience.</t>
        </is>
      </c>
      <c r="V383" s="3" t="inlineStr">
        <is>
          <t>Cyberattack; Data breach; Ransomware; Insider threat</t>
        </is>
      </c>
      <c r="W383" s="3" t="n"/>
      <c r="X383" s="3" t="n"/>
      <c r="Y383" s="3" t="inlineStr">
        <is>
          <t>Use the recommended action generated by the model; validate with domain owner during real assessment.</t>
        </is>
      </c>
      <c r="Z383" s="7" t="n">
        <v>5</v>
      </c>
      <c r="AA383" s="7" t="n">
        <v>5</v>
      </c>
      <c r="AB383" s="7" t="n">
        <v>5</v>
      </c>
      <c r="AK383" s="46" t="n"/>
      <c r="AL383" s="46" t="n"/>
      <c r="AM383" s="247">
        <f>_DATA_Assessment_Model!AJ383</f>
        <v/>
      </c>
      <c r="AN383" s="247">
        <f>_DATA_Assessment_Model!AK383</f>
        <v/>
      </c>
      <c r="AO383" s="247">
        <f>_DATA_Assessment_Model!AL383</f>
        <v/>
      </c>
      <c r="AP383" s="247">
        <f>_DATA_Assessment_Model!AM383</f>
        <v/>
      </c>
      <c r="AQ383" s="247">
        <f>_DATA_Assessment_Model!AN383</f>
        <v/>
      </c>
      <c r="AR383" s="247">
        <f>_DATA_Assessment_Model!AO383</f>
        <v/>
      </c>
      <c r="AS383" s="247">
        <f>_DATA_Assessment_Model!AP383</f>
        <v/>
      </c>
      <c r="AT383" s="247">
        <f>_DATA_Assessment_Model!AQ383</f>
        <v/>
      </c>
      <c r="AU383" s="247">
        <f>_DATA_Assessment_Model!AR383</f>
        <v/>
      </c>
      <c r="AV383" s="5">
        <f>_DATA_Assessment_Model!AS383</f>
        <v/>
      </c>
      <c r="AW383" s="5">
        <f>_DATA_Assessment_Model!AT383</f>
        <v/>
      </c>
      <c r="AY383">
        <f>_DATA_Assessment_Model!AV383</f>
        <v/>
      </c>
    </row>
    <row r="384" ht="69" customHeight="1" s="209">
      <c r="A384" t="inlineStr">
        <is>
          <t>Cyber Privacy</t>
        </is>
      </c>
      <c r="B384" t="inlineStr">
        <is>
          <t>Cyber Privacy</t>
        </is>
      </c>
      <c r="C384" t="n">
        <v>16</v>
      </c>
      <c r="D384" s="3" t="inlineStr">
        <is>
          <t>CYBE-012</t>
        </is>
      </c>
      <c r="E384" s="3" t="inlineStr">
        <is>
          <t>Identity and access</t>
        </is>
      </c>
      <c r="F384" s="3" t="inlineStr">
        <is>
          <t>How mature is the organization in managing access reviews for critical systems, datasets, ERP, CRM, HRMS, MES and cloud, including ownership, evidence, metrics, fallback procedures and crisis stress testing?</t>
        </is>
      </c>
      <c r="G384" s="3" t="inlineStr">
        <is>
          <t>This topic affects exposure to Cyberattack; Data breach; Ransomware; Insider threat. It helps identify how disruption may impact operations, people, revenue, systems, legal exposure or recovery time.</t>
        </is>
      </c>
      <c r="H384" s="3" t="inlineStr">
        <is>
          <t>ISO/IEC 27001; ISO/IEC 27002; NIST CSF 2.0; CIS Controls; ISO/IEC 27701; GDPR; IEC 62443</t>
        </is>
      </c>
      <c r="I384" s="3" t="inlineStr">
        <is>
          <t>Policy/SOP; owner/RACI; system report; dashboard; contracts; test records; incident history; interview evidence related to access reviews for critical systems, datasets, ERP, CRM, HRMS, MES and cloud.</t>
        </is>
      </c>
      <c r="J384" s="3" t="n">
        <v>5</v>
      </c>
      <c r="K384" s="85">
        <f>_DATA_Assessment_Model!H384</f>
        <v/>
      </c>
      <c r="L384" s="4">
        <f>_DATA_Assessment_Model!I384</f>
        <v/>
      </c>
      <c r="M384" s="4">
        <f>_DATA_Assessment_Model!J384</f>
        <v/>
      </c>
      <c r="N384" s="4">
        <f>_DATA_Assessment_Model!K384</f>
        <v/>
      </c>
      <c r="O384" s="3">
        <f>_DATA_Assessment_Model!L384</f>
        <v/>
      </c>
      <c r="P384" s="3" t="inlineStr">
        <is>
          <t>Never performed.</t>
        </is>
      </c>
      <c r="Q384" s="3" t="inlineStr">
        <is>
          <t>Performed once after an incident or audit finding.</t>
        </is>
      </c>
      <c r="R384" s="3" t="inlineStr">
        <is>
          <t>Performed irregularly; results not documented; revocations not verified.</t>
        </is>
      </c>
      <c r="S384" s="3" t="inlineStr">
        <is>
          <t>Performed at least annually for critical systems; revocations verified.</t>
        </is>
      </c>
      <c r="T384" s="3" t="inlineStr">
        <is>
          <t>Performed quarterly for critical systems; exceptions tracked; tied to JML process.</t>
        </is>
      </c>
      <c r="U384" s="3" t="inlineStr">
        <is>
          <t>Automated recertification campaigns; continuous anomaly detection on entitlements.</t>
        </is>
      </c>
      <c r="V384" s="3" t="inlineStr">
        <is>
          <t>Cyberattack; Data breach; Ransomware; Insider threat</t>
        </is>
      </c>
      <c r="W384" s="3" t="n"/>
      <c r="X384" s="3" t="n"/>
      <c r="Y384" s="3" t="inlineStr">
        <is>
          <t>Use the recommended action generated by the model; validate with domain owner during real assessment.</t>
        </is>
      </c>
      <c r="Z384" s="7" t="n">
        <v>5</v>
      </c>
      <c r="AA384" s="7" t="n">
        <v>5</v>
      </c>
      <c r="AB384" s="7" t="n">
        <v>5</v>
      </c>
      <c r="AK384" s="46" t="n"/>
      <c r="AL384" s="46" t="n"/>
      <c r="AM384" s="247">
        <f>_DATA_Assessment_Model!AJ384</f>
        <v/>
      </c>
      <c r="AN384" s="247">
        <f>_DATA_Assessment_Model!AK384</f>
        <v/>
      </c>
      <c r="AO384" s="247">
        <f>_DATA_Assessment_Model!AL384</f>
        <v/>
      </c>
      <c r="AP384" s="247">
        <f>_DATA_Assessment_Model!AM384</f>
        <v/>
      </c>
      <c r="AQ384" s="247">
        <f>_DATA_Assessment_Model!AN384</f>
        <v/>
      </c>
      <c r="AR384" s="247">
        <f>_DATA_Assessment_Model!AO384</f>
        <v/>
      </c>
      <c r="AS384" s="247">
        <f>_DATA_Assessment_Model!AP384</f>
        <v/>
      </c>
      <c r="AT384" s="247">
        <f>_DATA_Assessment_Model!AQ384</f>
        <v/>
      </c>
      <c r="AU384" s="247">
        <f>_DATA_Assessment_Model!AR384</f>
        <v/>
      </c>
      <c r="AV384" s="5">
        <f>_DATA_Assessment_Model!AS384</f>
        <v/>
      </c>
      <c r="AW384" s="5">
        <f>_DATA_Assessment_Model!AT384</f>
        <v/>
      </c>
      <c r="AY384">
        <f>_DATA_Assessment_Model!AV384</f>
        <v/>
      </c>
    </row>
    <row r="385" ht="82.8" customHeight="1" s="209">
      <c r="A385" t="inlineStr">
        <is>
          <t>Cyber Privacy</t>
        </is>
      </c>
      <c r="B385" t="inlineStr">
        <is>
          <t>Cyber Privacy</t>
        </is>
      </c>
      <c r="C385" t="n">
        <v>17</v>
      </c>
      <c r="D385" s="3" t="inlineStr">
        <is>
          <t>CYBE-013</t>
        </is>
      </c>
      <c r="E385" s="3" t="inlineStr">
        <is>
          <t>Protection</t>
        </is>
      </c>
      <c r="F385" s="3" t="inlineStr">
        <is>
          <t>How mature is the organization in managing endpoint protection with EDR, disk encryption, patching and remote management, including ownership, evidence, metrics, fallback procedures and crisis stress testing?</t>
        </is>
      </c>
      <c r="G385" s="3" t="inlineStr">
        <is>
          <t>This topic affects exposure to Cyberattack; Data breach; Ransomware; Insider threat. It helps identify how disruption may impact operations, people, revenue, systems, legal exposure or recovery time.</t>
        </is>
      </c>
      <c r="H385" s="3" t="inlineStr">
        <is>
          <t>ISO/IEC 27001; ISO/IEC 27002; NIST CSF 2.0; CIS Controls; ISO/IEC 27701; GDPR; IEC 62443</t>
        </is>
      </c>
      <c r="I385" s="3" t="inlineStr">
        <is>
          <t>Policy/SOP; owner/RACI; system report; dashboard; contracts; test records; incident history; interview evidence related to endpoint protection with EDR, disk encryption, patching and remote management.</t>
        </is>
      </c>
      <c r="J385" s="3" t="n">
        <v>5</v>
      </c>
      <c r="K385" s="85">
        <f>_DATA_Assessment_Model!H385</f>
        <v/>
      </c>
      <c r="L385" s="4">
        <f>_DATA_Assessment_Model!I385</f>
        <v/>
      </c>
      <c r="M385" s="4">
        <f>_DATA_Assessment_Model!J385</f>
        <v/>
      </c>
      <c r="N385" s="4">
        <f>_DATA_Assessment_Model!K385</f>
        <v/>
      </c>
      <c r="O385" s="3">
        <f>_DATA_Assessment_Model!L385</f>
        <v/>
      </c>
      <c r="P385" s="3" t="inlineStr">
        <is>
          <t>Does not exist; no owner, no documentation, no practice.</t>
        </is>
      </c>
      <c r="Q385" s="3" t="inlineStr">
        <is>
          <t>Ad hoc; depends entirely on specific individuals.</t>
        </is>
      </c>
      <c r="R385" s="3" t="inlineStr">
        <is>
          <t>Partially documented or implemented; coverage inconsistent; never tested under stress.</t>
        </is>
      </c>
      <c r="S385" s="3" t="inlineStr">
        <is>
          <t>Documented, owned, executed consistently; basic evidence and metrics exist.</t>
        </is>
      </c>
      <c r="T385" s="3" t="inlineStr">
        <is>
          <t>Measured and periodically tested/audited; integrated with adjacent processes.</t>
        </is>
      </c>
      <c r="U385" s="3" t="inlineStr">
        <is>
          <t>Optimized and automated where practical; stress-tested; benchmarked externally.</t>
        </is>
      </c>
      <c r="V385" s="3" t="inlineStr">
        <is>
          <t>Cyberattack; Data breach; Ransomware; Insider threat</t>
        </is>
      </c>
      <c r="W385" s="3" t="n"/>
      <c r="X385" s="3" t="n"/>
      <c r="Y385" s="3" t="inlineStr">
        <is>
          <t>Use the recommended action generated by the model; validate with domain owner during real assessment.</t>
        </is>
      </c>
      <c r="Z385" s="7" t="n">
        <v>5</v>
      </c>
      <c r="AA385" s="7" t="n">
        <v>5</v>
      </c>
      <c r="AB385" s="7" t="n">
        <v>5</v>
      </c>
      <c r="AK385" s="46" t="n"/>
      <c r="AL385" s="46" t="n"/>
      <c r="AM385" s="247">
        <f>_DATA_Assessment_Model!AJ385</f>
        <v/>
      </c>
      <c r="AN385" s="247">
        <f>_DATA_Assessment_Model!AK385</f>
        <v/>
      </c>
      <c r="AO385" s="247">
        <f>_DATA_Assessment_Model!AL385</f>
        <v/>
      </c>
      <c r="AP385" s="247">
        <f>_DATA_Assessment_Model!AM385</f>
        <v/>
      </c>
      <c r="AQ385" s="247">
        <f>_DATA_Assessment_Model!AN385</f>
        <v/>
      </c>
      <c r="AR385" s="247">
        <f>_DATA_Assessment_Model!AO385</f>
        <v/>
      </c>
      <c r="AS385" s="247">
        <f>_DATA_Assessment_Model!AP385</f>
        <v/>
      </c>
      <c r="AT385" s="247">
        <f>_DATA_Assessment_Model!AQ385</f>
        <v/>
      </c>
      <c r="AU385" s="247">
        <f>_DATA_Assessment_Model!AR385</f>
        <v/>
      </c>
      <c r="AV385" s="5">
        <f>_DATA_Assessment_Model!AS385</f>
        <v/>
      </c>
      <c r="AW385" s="5">
        <f>_DATA_Assessment_Model!AT385</f>
        <v/>
      </c>
      <c r="AY385">
        <f>_DATA_Assessment_Model!AV385</f>
        <v/>
      </c>
    </row>
    <row r="386" ht="82.8" customHeight="1" s="209">
      <c r="A386" t="inlineStr">
        <is>
          <t>Cyber Privacy</t>
        </is>
      </c>
      <c r="B386" t="inlineStr">
        <is>
          <t>Cyber Privacy</t>
        </is>
      </c>
      <c r="C386" t="n">
        <v>18</v>
      </c>
      <c r="D386" s="3" t="inlineStr">
        <is>
          <t>CYBE-014</t>
        </is>
      </c>
      <c r="E386" s="3" t="inlineStr">
        <is>
          <t>Protection</t>
        </is>
      </c>
      <c r="F386" s="3" t="inlineStr">
        <is>
          <t>How mature is the organization in managing vulnerability and patch management prioritized by risk, exposure and asset criticality, including ownership, evidence, metrics, fallback procedures and crisis stress testing?</t>
        </is>
      </c>
      <c r="G386" s="3" t="inlineStr">
        <is>
          <t>This topic affects exposure to Cyberattack; Data breach; Ransomware; Insider threat. It helps identify how disruption may impact operations, people, revenue, systems, legal exposure or recovery time.</t>
        </is>
      </c>
      <c r="H386" s="3" t="inlineStr">
        <is>
          <t>ISO/IEC 27001; ISO/IEC 27002; NIST CSF 2.0; CIS Controls; ISO/IEC 27701; GDPR; IEC 62443</t>
        </is>
      </c>
      <c r="I386" s="3" t="inlineStr">
        <is>
          <t>Policy/SOP; owner/RACI; system report; dashboard; contracts; test records; incident history; interview evidence related to vulnerability and patch management prioritized by risk, exposure and asset criticality.</t>
        </is>
      </c>
      <c r="J386" s="3" t="n">
        <v>5</v>
      </c>
      <c r="K386" s="85">
        <f>_DATA_Assessment_Model!H386</f>
        <v/>
      </c>
      <c r="L386" s="4">
        <f>_DATA_Assessment_Model!I386</f>
        <v/>
      </c>
      <c r="M386" s="4">
        <f>_DATA_Assessment_Model!J386</f>
        <v/>
      </c>
      <c r="N386" s="4">
        <f>_DATA_Assessment_Model!K386</f>
        <v/>
      </c>
      <c r="O386" s="3">
        <f>_DATA_Assessment_Model!L386</f>
        <v/>
      </c>
      <c r="P386" s="3" t="inlineStr">
        <is>
          <t>Does not exist; no owner, no documentation, no practice.</t>
        </is>
      </c>
      <c r="Q386" s="3" t="inlineStr">
        <is>
          <t>Ad hoc; depends entirely on specific individuals.</t>
        </is>
      </c>
      <c r="R386" s="3" t="inlineStr">
        <is>
          <t>Partially documented or implemented; coverage inconsistent; never tested under stress.</t>
        </is>
      </c>
      <c r="S386" s="3" t="inlineStr">
        <is>
          <t>Documented, owned, executed consistently; basic evidence and metrics exist.</t>
        </is>
      </c>
      <c r="T386" s="3" t="inlineStr">
        <is>
          <t>Measured and periodically tested/audited; integrated with adjacent processes.</t>
        </is>
      </c>
      <c r="U386" s="3" t="inlineStr">
        <is>
          <t>Optimized and automated where practical; stress-tested; benchmarked externally.</t>
        </is>
      </c>
      <c r="V386" s="3" t="inlineStr">
        <is>
          <t>Cyberattack; Data breach; Ransomware; Insider threat</t>
        </is>
      </c>
      <c r="W386" s="3" t="n"/>
      <c r="X386" s="3" t="n"/>
      <c r="Y386" s="3" t="inlineStr">
        <is>
          <t>Use the recommended action generated by the model; validate with domain owner during real assessment.</t>
        </is>
      </c>
      <c r="Z386" s="7" t="n">
        <v>5</v>
      </c>
      <c r="AA386" s="7" t="n">
        <v>5</v>
      </c>
      <c r="AB386" s="7" t="n">
        <v>5</v>
      </c>
      <c r="AK386" s="46" t="n"/>
      <c r="AL386" s="46" t="n"/>
      <c r="AM386" s="247">
        <f>_DATA_Assessment_Model!AJ386</f>
        <v/>
      </c>
      <c r="AN386" s="247">
        <f>_DATA_Assessment_Model!AK386</f>
        <v/>
      </c>
      <c r="AO386" s="247">
        <f>_DATA_Assessment_Model!AL386</f>
        <v/>
      </c>
      <c r="AP386" s="247">
        <f>_DATA_Assessment_Model!AM386</f>
        <v/>
      </c>
      <c r="AQ386" s="247">
        <f>_DATA_Assessment_Model!AN386</f>
        <v/>
      </c>
      <c r="AR386" s="247">
        <f>_DATA_Assessment_Model!AO386</f>
        <v/>
      </c>
      <c r="AS386" s="247">
        <f>_DATA_Assessment_Model!AP386</f>
        <v/>
      </c>
      <c r="AT386" s="247">
        <f>_DATA_Assessment_Model!AQ386</f>
        <v/>
      </c>
      <c r="AU386" s="247">
        <f>_DATA_Assessment_Model!AR386</f>
        <v/>
      </c>
      <c r="AV386" s="5">
        <f>_DATA_Assessment_Model!AS386</f>
        <v/>
      </c>
      <c r="AW386" s="5">
        <f>_DATA_Assessment_Model!AT386</f>
        <v/>
      </c>
      <c r="AY386">
        <f>_DATA_Assessment_Model!AV386</f>
        <v/>
      </c>
    </row>
    <row r="387" ht="82.8" customHeight="1" s="209">
      <c r="A387" t="inlineStr">
        <is>
          <t>Cyber Privacy</t>
        </is>
      </c>
      <c r="B387" t="inlineStr">
        <is>
          <t>Cyber Privacy</t>
        </is>
      </c>
      <c r="C387" t="n">
        <v>19</v>
      </c>
      <c r="D387" s="3" t="inlineStr">
        <is>
          <t>CYBE-015</t>
        </is>
      </c>
      <c r="E387" s="3" t="inlineStr">
        <is>
          <t>Protection</t>
        </is>
      </c>
      <c r="F387" s="3" t="inlineStr">
        <is>
          <t>How mature is the organization in managing network segmentation for users, servers, cloud, OT, guest, production and sensitive systems, including ownership, evidence, metrics, fallback procedures and crisis stress testing?</t>
        </is>
      </c>
      <c r="G387" s="3" t="inlineStr">
        <is>
          <t>This topic affects exposure to Cyberattack; Data breach; Ransomware; Insider threat. It helps identify how disruption may impact operations, people, revenue, systems, legal exposure or recovery time.</t>
        </is>
      </c>
      <c r="H387" s="3" t="inlineStr">
        <is>
          <t>ISO/IEC 27001; ISO/IEC 27002; NIST CSF 2.0; CIS Controls; ISO/IEC 27701; GDPR; IEC 62443</t>
        </is>
      </c>
      <c r="I387" s="3" t="inlineStr">
        <is>
          <t>Policy/SOP; owner/RACI; system report; dashboard; contracts; test records; incident history; interview evidence related to network segmentation for users, servers, cloud, OT, guest, production and sensitive systems.</t>
        </is>
      </c>
      <c r="J387" s="3" t="n">
        <v>5</v>
      </c>
      <c r="K387" s="85">
        <f>_DATA_Assessment_Model!H387</f>
        <v/>
      </c>
      <c r="L387" s="4">
        <f>_DATA_Assessment_Model!I387</f>
        <v/>
      </c>
      <c r="M387" s="4">
        <f>_DATA_Assessment_Model!J387</f>
        <v/>
      </c>
      <c r="N387" s="4">
        <f>_DATA_Assessment_Model!K387</f>
        <v/>
      </c>
      <c r="O387" s="3">
        <f>_DATA_Assessment_Model!L387</f>
        <v/>
      </c>
      <c r="P387" s="3" t="inlineStr">
        <is>
          <t>Does not exist; no owner, no documentation, no practice.</t>
        </is>
      </c>
      <c r="Q387" s="3" t="inlineStr">
        <is>
          <t>Ad hoc; depends entirely on specific individuals.</t>
        </is>
      </c>
      <c r="R387" s="3" t="inlineStr">
        <is>
          <t>Partially documented or implemented; coverage inconsistent; never tested under stress.</t>
        </is>
      </c>
      <c r="S387" s="3" t="inlineStr">
        <is>
          <t>Documented, owned, executed consistently; basic evidence and metrics exist.</t>
        </is>
      </c>
      <c r="T387" s="3" t="inlineStr">
        <is>
          <t>Measured and periodically tested/audited; integrated with adjacent processes.</t>
        </is>
      </c>
      <c r="U387" s="3" t="inlineStr">
        <is>
          <t>Optimized and automated where practical; stress-tested; benchmarked externally.</t>
        </is>
      </c>
      <c r="V387" s="3" t="inlineStr">
        <is>
          <t>Cyberattack; Data breach; Ransomware; Insider threat</t>
        </is>
      </c>
      <c r="W387" s="3" t="n"/>
      <c r="X387" s="3" t="n"/>
      <c r="Y387" s="3" t="inlineStr">
        <is>
          <t>Use the recommended action generated by the model; validate with domain owner during real assessment.</t>
        </is>
      </c>
      <c r="Z387" s="7" t="n">
        <v>5</v>
      </c>
      <c r="AA387" s="7" t="n">
        <v>5</v>
      </c>
      <c r="AB387" s="7" t="n">
        <v>5</v>
      </c>
      <c r="AK387" s="46" t="n"/>
      <c r="AL387" s="46" t="n"/>
      <c r="AM387" s="247">
        <f>_DATA_Assessment_Model!AJ387</f>
        <v/>
      </c>
      <c r="AN387" s="247">
        <f>_DATA_Assessment_Model!AK387</f>
        <v/>
      </c>
      <c r="AO387" s="247">
        <f>_DATA_Assessment_Model!AL387</f>
        <v/>
      </c>
      <c r="AP387" s="247">
        <f>_DATA_Assessment_Model!AM387</f>
        <v/>
      </c>
      <c r="AQ387" s="247">
        <f>_DATA_Assessment_Model!AN387</f>
        <v/>
      </c>
      <c r="AR387" s="247">
        <f>_DATA_Assessment_Model!AO387</f>
        <v/>
      </c>
      <c r="AS387" s="247">
        <f>_DATA_Assessment_Model!AP387</f>
        <v/>
      </c>
      <c r="AT387" s="247">
        <f>_DATA_Assessment_Model!AQ387</f>
        <v/>
      </c>
      <c r="AU387" s="247">
        <f>_DATA_Assessment_Model!AR387</f>
        <v/>
      </c>
      <c r="AV387" s="5">
        <f>_DATA_Assessment_Model!AS387</f>
        <v/>
      </c>
      <c r="AW387" s="5">
        <f>_DATA_Assessment_Model!AT387</f>
        <v/>
      </c>
      <c r="AY387">
        <f>_DATA_Assessment_Model!AV387</f>
        <v/>
      </c>
    </row>
    <row r="388" ht="96.59999999999999" customHeight="1" s="209">
      <c r="A388" t="inlineStr">
        <is>
          <t>Cyber Privacy</t>
        </is>
      </c>
      <c r="B388" t="inlineStr">
        <is>
          <t>Cyber Privacy</t>
        </is>
      </c>
      <c r="C388" t="n">
        <v>20</v>
      </c>
      <c r="D388" s="3" t="inlineStr">
        <is>
          <t>CYBE-016</t>
        </is>
      </c>
      <c r="E388" s="3" t="inlineStr">
        <is>
          <t>Protection</t>
        </is>
      </c>
      <c r="F388" s="3" t="inlineStr">
        <is>
          <t>How mature is the organization in managing email protection against phishing, spoofing, malware and business email compromise, including ownership, evidence, metrics, fallback procedures and crisis stress testing?</t>
        </is>
      </c>
      <c r="G388" s="3" t="inlineStr">
        <is>
          <t>This topic affects exposure to Cyberattack; Data breach; Ransomware; Insider threat. It helps identify how disruption may impact operations, people, revenue, systems, legal exposure or recovery time.</t>
        </is>
      </c>
      <c r="H388" s="3" t="inlineStr">
        <is>
          <t>ISO/IEC 27001; ISO/IEC 27002; NIST CSF 2.0; CIS Controls; ISO/IEC 27701; GDPR; IEC 62443</t>
        </is>
      </c>
      <c r="I388" s="3" t="inlineStr">
        <is>
          <t>Policy/SOP; owner/RACI; system report; dashboard; contracts; test records; incident history; interview evidence related to email protection against phishing, spoofing, malware and business email compromise.</t>
        </is>
      </c>
      <c r="J388" s="3" t="n">
        <v>3</v>
      </c>
      <c r="K388" s="85">
        <f>_DATA_Assessment_Model!H388</f>
        <v/>
      </c>
      <c r="L388" s="4">
        <f>_DATA_Assessment_Model!I388</f>
        <v/>
      </c>
      <c r="M388" s="4">
        <f>_DATA_Assessment_Model!J388</f>
        <v/>
      </c>
      <c r="N388" s="4">
        <f>_DATA_Assessment_Model!K388</f>
        <v/>
      </c>
      <c r="O388" s="3">
        <f>_DATA_Assessment_Model!L388</f>
        <v/>
      </c>
      <c r="P388" s="3" t="inlineStr">
        <is>
          <t>No reliable evidence that email protection against phishing, spoofing, malware and business email compromise is defined, owned or managed.</t>
        </is>
      </c>
      <c r="Q388" s="3" t="inlineStr">
        <is>
          <t>Email protection against phishing, spoofing, malware and business email compromise is handled informally and depends on individual knowledge or heroic effort.</t>
        </is>
      </c>
      <c r="R388" s="3" t="inlineStr">
        <is>
          <t>Email protection against phishing, spoofing, malware and business email compromise is partially documented or implemented, but coverage is inconsistent and not crisis-tested.</t>
        </is>
      </c>
      <c r="S388" s="3" t="inlineStr">
        <is>
          <t>Email protection against phishing, spoofing, malware and business email compromise is documented, owned, used in normal operations and supported by basic evidence or metrics.</t>
        </is>
      </c>
      <c r="T388" s="3" t="inlineStr">
        <is>
          <t>Email protection against phishing, spoofing, malware and business email compromise is measured, periodically reviewed, integrated with related processes and tested against relevant disruption scenarios.</t>
        </is>
      </c>
      <c r="U388" s="3" t="inlineStr">
        <is>
          <t>Email protection against phishing, spoofing, malware and business email compromise is optimized, continuously improved, automated where practical and demonstrably supports crisis resilience.</t>
        </is>
      </c>
      <c r="V388" s="3" t="inlineStr">
        <is>
          <t>Cyberattack; Data breach; Ransomware; Insider threat</t>
        </is>
      </c>
      <c r="W388" s="3" t="n"/>
      <c r="X388" s="3" t="n"/>
      <c r="Y388" s="3" t="inlineStr">
        <is>
          <t>Use the recommended action generated by the model; validate with domain owner during real assessment.</t>
        </is>
      </c>
      <c r="Z388" s="7" t="n">
        <v>5</v>
      </c>
      <c r="AA388" s="7" t="n">
        <v>5</v>
      </c>
      <c r="AB388" s="7" t="n">
        <v>5</v>
      </c>
      <c r="AK388" s="46" t="n"/>
      <c r="AL388" s="46" t="n"/>
      <c r="AM388" s="247">
        <f>_DATA_Assessment_Model!AJ388</f>
        <v/>
      </c>
      <c r="AN388" s="247">
        <f>_DATA_Assessment_Model!AK388</f>
        <v/>
      </c>
      <c r="AO388" s="247">
        <f>_DATA_Assessment_Model!AL388</f>
        <v/>
      </c>
      <c r="AP388" s="247">
        <f>_DATA_Assessment_Model!AM388</f>
        <v/>
      </c>
      <c r="AQ388" s="247">
        <f>_DATA_Assessment_Model!AN388</f>
        <v/>
      </c>
      <c r="AR388" s="247">
        <f>_DATA_Assessment_Model!AO388</f>
        <v/>
      </c>
      <c r="AS388" s="247">
        <f>_DATA_Assessment_Model!AP388</f>
        <v/>
      </c>
      <c r="AT388" s="247">
        <f>_DATA_Assessment_Model!AQ388</f>
        <v/>
      </c>
      <c r="AU388" s="247">
        <f>_DATA_Assessment_Model!AR388</f>
        <v/>
      </c>
      <c r="AV388" s="5">
        <f>_DATA_Assessment_Model!AS388</f>
        <v/>
      </c>
      <c r="AW388" s="5">
        <f>_DATA_Assessment_Model!AT388</f>
        <v/>
      </c>
      <c r="AY388">
        <f>_DATA_Assessment_Model!AV388</f>
        <v/>
      </c>
    </row>
    <row r="389" ht="82.8" customHeight="1" s="209">
      <c r="A389" t="inlineStr">
        <is>
          <t>Cyber Privacy</t>
        </is>
      </c>
      <c r="B389" t="inlineStr">
        <is>
          <t>Cyber Privacy</t>
        </is>
      </c>
      <c r="C389" t="n">
        <v>21</v>
      </c>
      <c r="D389" s="3" t="inlineStr">
        <is>
          <t>CYBE-017</t>
        </is>
      </c>
      <c r="E389" s="3" t="inlineStr">
        <is>
          <t>Protection</t>
        </is>
      </c>
      <c r="F389" s="3" t="inlineStr">
        <is>
          <t>How mature is the organization in managing cloud security guardrails for IAM, logging, encryption, public exposure, secrets and network access, including ownership, evidence, metrics, fallback procedures and crisis stress testing?</t>
        </is>
      </c>
      <c r="G389" s="3" t="inlineStr">
        <is>
          <t>This topic affects exposure to Cyberattack; Data breach; Ransomware; Insider threat. It helps identify how disruption may impact operations, people, revenue, systems, legal exposure or recovery time.</t>
        </is>
      </c>
      <c r="H389" s="3" t="inlineStr">
        <is>
          <t>ISO/IEC 27001; ISO/IEC 27002; NIST CSF 2.0; CIS Controls; ISO/IEC 27701; GDPR; IEC 62443</t>
        </is>
      </c>
      <c r="I389" s="3" t="inlineStr">
        <is>
          <t>Policy/SOP; owner/RACI; system report; dashboard; contracts; test records; incident history; interview evidence related to cloud security guardrails for IAM, logging, encryption, public exposure, secrets and network access.</t>
        </is>
      </c>
      <c r="J389" s="3" t="n">
        <v>5</v>
      </c>
      <c r="K389" s="85">
        <f>_DATA_Assessment_Model!H389</f>
        <v/>
      </c>
      <c r="L389" s="4">
        <f>_DATA_Assessment_Model!I389</f>
        <v/>
      </c>
      <c r="M389" s="4">
        <f>_DATA_Assessment_Model!J389</f>
        <v/>
      </c>
      <c r="N389" s="4">
        <f>_DATA_Assessment_Model!K389</f>
        <v/>
      </c>
      <c r="O389" s="3">
        <f>_DATA_Assessment_Model!L389</f>
        <v/>
      </c>
      <c r="P389" s="3" t="inlineStr">
        <is>
          <t>Does not exist; no owner, no documentation, no practice.</t>
        </is>
      </c>
      <c r="Q389" s="3" t="inlineStr">
        <is>
          <t>Ad hoc; depends entirely on specific individuals.</t>
        </is>
      </c>
      <c r="R389" s="3" t="inlineStr">
        <is>
          <t>Partially documented or implemented; coverage inconsistent; never tested under stress.</t>
        </is>
      </c>
      <c r="S389" s="3" t="inlineStr">
        <is>
          <t>Documented, owned, executed consistently; basic evidence and metrics exist.</t>
        </is>
      </c>
      <c r="T389" s="3" t="inlineStr">
        <is>
          <t>Measured and periodically tested/audited; integrated with adjacent processes.</t>
        </is>
      </c>
      <c r="U389" s="3" t="inlineStr">
        <is>
          <t>Optimized and automated where practical; stress-tested; benchmarked externally.</t>
        </is>
      </c>
      <c r="V389" s="3" t="inlineStr">
        <is>
          <t>Cyberattack; Data breach; Ransomware; Insider threat</t>
        </is>
      </c>
      <c r="W389" s="3" t="n"/>
      <c r="X389" s="3" t="n"/>
      <c r="Y389" s="3" t="inlineStr">
        <is>
          <t>Use the recommended action generated by the model; validate with domain owner during real assessment.</t>
        </is>
      </c>
      <c r="Z389" s="7" t="n">
        <v>5</v>
      </c>
      <c r="AA389" s="7" t="n">
        <v>5</v>
      </c>
      <c r="AB389" s="7" t="n">
        <v>5</v>
      </c>
      <c r="AK389" s="46" t="n"/>
      <c r="AL389" s="46" t="n"/>
      <c r="AM389" s="247">
        <f>_DATA_Assessment_Model!AJ389</f>
        <v/>
      </c>
      <c r="AN389" s="247">
        <f>_DATA_Assessment_Model!AK389</f>
        <v/>
      </c>
      <c r="AO389" s="247">
        <f>_DATA_Assessment_Model!AL389</f>
        <v/>
      </c>
      <c r="AP389" s="247">
        <f>_DATA_Assessment_Model!AM389</f>
        <v/>
      </c>
      <c r="AQ389" s="247">
        <f>_DATA_Assessment_Model!AN389</f>
        <v/>
      </c>
      <c r="AR389" s="247">
        <f>_DATA_Assessment_Model!AO389</f>
        <v/>
      </c>
      <c r="AS389" s="247">
        <f>_DATA_Assessment_Model!AP389</f>
        <v/>
      </c>
      <c r="AT389" s="247">
        <f>_DATA_Assessment_Model!AQ389</f>
        <v/>
      </c>
      <c r="AU389" s="247">
        <f>_DATA_Assessment_Model!AR389</f>
        <v/>
      </c>
      <c r="AV389" s="5">
        <f>_DATA_Assessment_Model!AS389</f>
        <v/>
      </c>
      <c r="AW389" s="5">
        <f>_DATA_Assessment_Model!AT389</f>
        <v/>
      </c>
      <c r="AY389">
        <f>_DATA_Assessment_Model!AV389</f>
        <v/>
      </c>
    </row>
    <row r="390" ht="96.59999999999999" customHeight="1" s="209">
      <c r="A390" t="inlineStr">
        <is>
          <t>Cyber Privacy</t>
        </is>
      </c>
      <c r="B390" t="inlineStr">
        <is>
          <t>Cyber Privacy</t>
        </is>
      </c>
      <c r="C390" t="n">
        <v>22</v>
      </c>
      <c r="D390" s="3" t="inlineStr">
        <is>
          <t>CYBE-018</t>
        </is>
      </c>
      <c r="E390" s="3" t="inlineStr">
        <is>
          <t>Protection</t>
        </is>
      </c>
      <c r="F390" s="3" t="inlineStr">
        <is>
          <t>How mature is the organization in managing secrets, API keys, certificates and credentials management and rotation, including ownership, evidence, metrics, fallback procedures and crisis stress testing?</t>
        </is>
      </c>
      <c r="G390" s="3" t="inlineStr">
        <is>
          <t>This topic affects exposure to Cyberattack; Data breach; Ransomware; Insider threat. It helps identify how disruption may impact operations, people, revenue, systems, legal exposure or recovery time.</t>
        </is>
      </c>
      <c r="H390" s="3" t="inlineStr">
        <is>
          <t>ISO/IEC 27001; ISO/IEC 27002; NIST CSF 2.0; CIS Controls; ISO/IEC 27701; GDPR; IEC 62443</t>
        </is>
      </c>
      <c r="I390" s="3" t="inlineStr">
        <is>
          <t>Policy/SOP; owner/RACI; system report; dashboard; contracts; test records; incident history; interview evidence related to secrets, API keys, certificates and credentials management and rotation.</t>
        </is>
      </c>
      <c r="J390" s="3" t="n">
        <v>3</v>
      </c>
      <c r="K390" s="85">
        <f>_DATA_Assessment_Model!H390</f>
        <v/>
      </c>
      <c r="L390" s="4">
        <f>_DATA_Assessment_Model!I390</f>
        <v/>
      </c>
      <c r="M390" s="4">
        <f>_DATA_Assessment_Model!J390</f>
        <v/>
      </c>
      <c r="N390" s="4">
        <f>_DATA_Assessment_Model!K390</f>
        <v/>
      </c>
      <c r="O390" s="3">
        <f>_DATA_Assessment_Model!L390</f>
        <v/>
      </c>
      <c r="P390" s="3" t="inlineStr">
        <is>
          <t>No reliable evidence that secrets, api keys, certificates and credentials management and rotation is defined, owned or managed.</t>
        </is>
      </c>
      <c r="Q390" s="3" t="inlineStr">
        <is>
          <t>Secrets, API keys, certificates and credentials management and rotation is handled informally and depends on individual knowledge or heroic effort.</t>
        </is>
      </c>
      <c r="R390" s="3" t="inlineStr">
        <is>
          <t>Secrets, API keys, certificates and credentials management and rotation is partially documented or implemented, but coverage is inconsistent and not crisis-tested.</t>
        </is>
      </c>
      <c r="S390" s="3" t="inlineStr">
        <is>
          <t>Secrets, API keys, certificates and credentials management and rotation is documented, owned, used in normal operations and supported by basic evidence or metrics.</t>
        </is>
      </c>
      <c r="T390" s="3" t="inlineStr">
        <is>
          <t>Secrets, API keys, certificates and credentials management and rotation is measured, periodically reviewed, integrated with related processes and tested against relevant disruption scenarios.</t>
        </is>
      </c>
      <c r="U390" s="3" t="inlineStr">
        <is>
          <t>Secrets, API keys, certificates and credentials management and rotation is optimized, continuously improved, automated where practical and demonstrably supports crisis resilience.</t>
        </is>
      </c>
      <c r="V390" s="3" t="inlineStr">
        <is>
          <t>Cyberattack; Data breach; Ransomware; Insider threat</t>
        </is>
      </c>
      <c r="W390" s="3" t="n"/>
      <c r="X390" s="3" t="n"/>
      <c r="Y390" s="3" t="inlineStr">
        <is>
          <t>Use the recommended action generated by the model; validate with domain owner during real assessment.</t>
        </is>
      </c>
      <c r="Z390" s="7" t="n">
        <v>5</v>
      </c>
      <c r="AA390" s="7" t="n">
        <v>5</v>
      </c>
      <c r="AB390" s="7" t="n">
        <v>5</v>
      </c>
      <c r="AK390" s="46" t="n"/>
      <c r="AL390" s="46" t="n"/>
      <c r="AM390" s="247">
        <f>_DATA_Assessment_Model!AJ390</f>
        <v/>
      </c>
      <c r="AN390" s="247">
        <f>_DATA_Assessment_Model!AK390</f>
        <v/>
      </c>
      <c r="AO390" s="247">
        <f>_DATA_Assessment_Model!AL390</f>
        <v/>
      </c>
      <c r="AP390" s="247">
        <f>_DATA_Assessment_Model!AM390</f>
        <v/>
      </c>
      <c r="AQ390" s="247">
        <f>_DATA_Assessment_Model!AN390</f>
        <v/>
      </c>
      <c r="AR390" s="247">
        <f>_DATA_Assessment_Model!AO390</f>
        <v/>
      </c>
      <c r="AS390" s="247">
        <f>_DATA_Assessment_Model!AP390</f>
        <v/>
      </c>
      <c r="AT390" s="247">
        <f>_DATA_Assessment_Model!AQ390</f>
        <v/>
      </c>
      <c r="AU390" s="247">
        <f>_DATA_Assessment_Model!AR390</f>
        <v/>
      </c>
      <c r="AV390" s="5">
        <f>_DATA_Assessment_Model!AS390</f>
        <v/>
      </c>
      <c r="AW390" s="5">
        <f>_DATA_Assessment_Model!AT390</f>
        <v/>
      </c>
      <c r="AY390">
        <f>_DATA_Assessment_Model!AV390</f>
        <v/>
      </c>
    </row>
    <row r="391" ht="82.8" customHeight="1" s="209">
      <c r="A391" t="inlineStr">
        <is>
          <t>Cyber Privacy</t>
        </is>
      </c>
      <c r="B391" t="inlineStr">
        <is>
          <t>Cyber Privacy</t>
        </is>
      </c>
      <c r="C391" t="n">
        <v>23</v>
      </c>
      <c r="D391" s="3" t="inlineStr">
        <is>
          <t>CYBE-019</t>
        </is>
      </c>
      <c r="E391" s="3" t="inlineStr">
        <is>
          <t>Protection</t>
        </is>
      </c>
      <c r="F391" s="3" t="inlineStr">
        <is>
          <t>How mature is the organization in managing encryption for sensitive data at rest and in transit, including ownership, evidence, metrics, fallback procedures and crisis stress testing?</t>
        </is>
      </c>
      <c r="G391" s="3" t="inlineStr">
        <is>
          <t>This topic affects exposure to Cyberattack; Data breach; Ransomware; Insider threat. It helps identify how disruption may impact operations, people, revenue, systems, legal exposure or recovery time.</t>
        </is>
      </c>
      <c r="H391" s="3" t="inlineStr">
        <is>
          <t>ISO/IEC 27001; ISO/IEC 27002; NIST CSF 2.0; CIS Controls; ISO/IEC 27701; GDPR; IEC 62443</t>
        </is>
      </c>
      <c r="I391" s="3" t="inlineStr">
        <is>
          <t>Policy/SOP; owner/RACI; system report; dashboard; contracts; test records; incident history; interview evidence related to encryption for sensitive data at rest and in transit.</t>
        </is>
      </c>
      <c r="J391" s="3" t="n">
        <v>4</v>
      </c>
      <c r="K391" s="85">
        <f>_DATA_Assessment_Model!H391</f>
        <v/>
      </c>
      <c r="L391" s="4">
        <f>_DATA_Assessment_Model!I391</f>
        <v/>
      </c>
      <c r="M391" s="4">
        <f>_DATA_Assessment_Model!J391</f>
        <v/>
      </c>
      <c r="N391" s="4">
        <f>_DATA_Assessment_Model!K391</f>
        <v/>
      </c>
      <c r="O391" s="3">
        <f>_DATA_Assessment_Model!L391</f>
        <v/>
      </c>
      <c r="P391" s="3" t="inlineStr">
        <is>
          <t>No reliable evidence that encryption for sensitive data at rest and in transit is defined, owned or managed.</t>
        </is>
      </c>
      <c r="Q391" s="3" t="inlineStr">
        <is>
          <t>Encryption for sensitive data at rest and in transit is handled informally and depends on individual knowledge or heroic effort.</t>
        </is>
      </c>
      <c r="R391" s="3" t="inlineStr">
        <is>
          <t>Encryption for sensitive data at rest and in transit is partially documented or implemented, but coverage is inconsistent and not crisis-tested.</t>
        </is>
      </c>
      <c r="S391" s="3" t="inlineStr">
        <is>
          <t>Encryption for sensitive data at rest and in transit is documented, owned, used in normal operations and supported by basic evidence or metrics.</t>
        </is>
      </c>
      <c r="T391" s="3" t="inlineStr">
        <is>
          <t>Encryption for sensitive data at rest and in transit is measured, periodically reviewed, integrated with related processes and tested against relevant disruption scenarios.</t>
        </is>
      </c>
      <c r="U391" s="3" t="inlineStr">
        <is>
          <t>Encryption for sensitive data at rest and in transit is optimized, continuously improved, automated where practical and demonstrably supports crisis resilience.</t>
        </is>
      </c>
      <c r="V391" s="3" t="inlineStr">
        <is>
          <t>Cyberattack; Data breach; Ransomware; Insider threat</t>
        </is>
      </c>
      <c r="W391" s="3" t="n"/>
      <c r="X391" s="3" t="n"/>
      <c r="Y391" s="3" t="inlineStr">
        <is>
          <t>Use the recommended action generated by the model; validate with domain owner during real assessment.</t>
        </is>
      </c>
      <c r="Z391" s="7" t="n">
        <v>5</v>
      </c>
      <c r="AA391" s="7" t="n">
        <v>5</v>
      </c>
      <c r="AB391" s="7" t="n">
        <v>5</v>
      </c>
      <c r="AK391" s="46" t="n"/>
      <c r="AL391" s="46" t="n"/>
      <c r="AM391" s="247">
        <f>_DATA_Assessment_Model!AJ391</f>
        <v/>
      </c>
      <c r="AN391" s="247">
        <f>_DATA_Assessment_Model!AK391</f>
        <v/>
      </c>
      <c r="AO391" s="247">
        <f>_DATA_Assessment_Model!AL391</f>
        <v/>
      </c>
      <c r="AP391" s="247">
        <f>_DATA_Assessment_Model!AM391</f>
        <v/>
      </c>
      <c r="AQ391" s="247">
        <f>_DATA_Assessment_Model!AN391</f>
        <v/>
      </c>
      <c r="AR391" s="247">
        <f>_DATA_Assessment_Model!AO391</f>
        <v/>
      </c>
      <c r="AS391" s="247">
        <f>_DATA_Assessment_Model!AP391</f>
        <v/>
      </c>
      <c r="AT391" s="247">
        <f>_DATA_Assessment_Model!AQ391</f>
        <v/>
      </c>
      <c r="AU391" s="247">
        <f>_DATA_Assessment_Model!AR391</f>
        <v/>
      </c>
      <c r="AV391" s="5">
        <f>_DATA_Assessment_Model!AS391</f>
        <v/>
      </c>
      <c r="AW391" s="5">
        <f>_DATA_Assessment_Model!AT391</f>
        <v/>
      </c>
      <c r="AY391">
        <f>_DATA_Assessment_Model!AV391</f>
        <v/>
      </c>
    </row>
    <row r="392" ht="82.8" customHeight="1" s="209">
      <c r="A392" t="inlineStr">
        <is>
          <t>Cyber Privacy</t>
        </is>
      </c>
      <c r="B392" t="inlineStr">
        <is>
          <t>Cyber Privacy</t>
        </is>
      </c>
      <c r="C392" t="n">
        <v>24</v>
      </c>
      <c r="D392" s="3" t="inlineStr">
        <is>
          <t>CYBE-020</t>
        </is>
      </c>
      <c r="E392" s="3" t="inlineStr">
        <is>
          <t>Protection</t>
        </is>
      </c>
      <c r="F392" s="3" t="inlineStr">
        <is>
          <t>How mature is the organization in managing DLP controls for sensitive data in email, cloud storage, endpoints and collaboration tools, including ownership, evidence, metrics, fallback procedures and crisis stress testing?</t>
        </is>
      </c>
      <c r="G392" s="3" t="inlineStr">
        <is>
          <t>This topic affects exposure to Cyberattack; Data breach; Ransomware; Insider threat. It helps identify how disruption may impact operations, people, revenue, systems, legal exposure or recovery time.</t>
        </is>
      </c>
      <c r="H392" s="3" t="inlineStr">
        <is>
          <t>ISO/IEC 27001; ISO/IEC 27002; NIST CSF 2.0; CIS Controls; ISO/IEC 27701; GDPR; IEC 62443</t>
        </is>
      </c>
      <c r="I392" s="3" t="inlineStr">
        <is>
          <t>Policy/SOP; owner/RACI; system report; dashboard; contracts; test records; incident history; interview evidence related to DLP controls for sensitive data in email, cloud storage, endpoints and collaboration tools.</t>
        </is>
      </c>
      <c r="J392" s="3" t="n">
        <v>5</v>
      </c>
      <c r="K392" s="85">
        <f>_DATA_Assessment_Model!H392</f>
        <v/>
      </c>
      <c r="L392" s="4">
        <f>_DATA_Assessment_Model!I392</f>
        <v/>
      </c>
      <c r="M392" s="4">
        <f>_DATA_Assessment_Model!J392</f>
        <v/>
      </c>
      <c r="N392" s="4">
        <f>_DATA_Assessment_Model!K392</f>
        <v/>
      </c>
      <c r="O392" s="3">
        <f>_DATA_Assessment_Model!L392</f>
        <v/>
      </c>
      <c r="P392" s="3" t="inlineStr">
        <is>
          <t>Does not exist; no owner, no documentation, no practice.</t>
        </is>
      </c>
      <c r="Q392" s="3" t="inlineStr">
        <is>
          <t>Ad hoc; depends entirely on specific individuals.</t>
        </is>
      </c>
      <c r="R392" s="3" t="inlineStr">
        <is>
          <t>Partially documented or implemented; coverage inconsistent; never tested under stress.</t>
        </is>
      </c>
      <c r="S392" s="3" t="inlineStr">
        <is>
          <t>Documented, owned, executed consistently; basic evidence and metrics exist.</t>
        </is>
      </c>
      <c r="T392" s="3" t="inlineStr">
        <is>
          <t>Measured and periodically tested/audited; integrated with adjacent processes.</t>
        </is>
      </c>
      <c r="U392" s="3" t="inlineStr">
        <is>
          <t>Optimized and automated where practical; stress-tested; benchmarked externally.</t>
        </is>
      </c>
      <c r="V392" s="3" t="inlineStr">
        <is>
          <t>Cyberattack; Data breach; Ransomware; Insider threat</t>
        </is>
      </c>
      <c r="W392" s="3" t="n"/>
      <c r="X392" s="3" t="n"/>
      <c r="Y392" s="3" t="inlineStr">
        <is>
          <t>Use the recommended action generated by the model; validate with domain owner during real assessment.</t>
        </is>
      </c>
      <c r="Z392" s="7" t="n">
        <v>5</v>
      </c>
      <c r="AA392" s="7" t="n">
        <v>5</v>
      </c>
      <c r="AB392" s="7" t="n">
        <v>5</v>
      </c>
      <c r="AK392" s="46" t="n"/>
      <c r="AL392" s="46" t="n"/>
      <c r="AM392" s="247">
        <f>_DATA_Assessment_Model!AJ392</f>
        <v/>
      </c>
      <c r="AN392" s="247">
        <f>_DATA_Assessment_Model!AK392</f>
        <v/>
      </c>
      <c r="AO392" s="247">
        <f>_DATA_Assessment_Model!AL392</f>
        <v/>
      </c>
      <c r="AP392" s="247">
        <f>_DATA_Assessment_Model!AM392</f>
        <v/>
      </c>
      <c r="AQ392" s="247">
        <f>_DATA_Assessment_Model!AN392</f>
        <v/>
      </c>
      <c r="AR392" s="247">
        <f>_DATA_Assessment_Model!AO392</f>
        <v/>
      </c>
      <c r="AS392" s="247">
        <f>_DATA_Assessment_Model!AP392</f>
        <v/>
      </c>
      <c r="AT392" s="247">
        <f>_DATA_Assessment_Model!AQ392</f>
        <v/>
      </c>
      <c r="AU392" s="247">
        <f>_DATA_Assessment_Model!AR392</f>
        <v/>
      </c>
      <c r="AV392" s="5">
        <f>_DATA_Assessment_Model!AS392</f>
        <v/>
      </c>
      <c r="AW392" s="5">
        <f>_DATA_Assessment_Model!AT392</f>
        <v/>
      </c>
      <c r="AY392">
        <f>_DATA_Assessment_Model!AV392</f>
        <v/>
      </c>
    </row>
    <row r="393" ht="82.8" customHeight="1" s="209">
      <c r="A393" t="inlineStr">
        <is>
          <t>Cyber Privacy</t>
        </is>
      </c>
      <c r="B393" t="inlineStr">
        <is>
          <t>Cyber Privacy</t>
        </is>
      </c>
      <c r="C393" t="n">
        <v>25</v>
      </c>
      <c r="D393" s="3" t="inlineStr">
        <is>
          <t>CYBE-021</t>
        </is>
      </c>
      <c r="E393" s="3" t="inlineStr">
        <is>
          <t>Detection and response</t>
        </is>
      </c>
      <c r="F393" s="3" t="inlineStr">
        <is>
          <t>How mature is the organization in managing log collection and monitoring for identity, endpoints, cloud, network, critical apps and security tools, including ownership, evidence, metrics, fallback procedures and crisis stress testing?</t>
        </is>
      </c>
      <c r="G393" s="3" t="inlineStr">
        <is>
          <t>This topic affects exposure to Cyberattack; Data breach; Ransomware; Insider threat. It helps identify how disruption may impact operations, people, revenue, systems, legal exposure or recovery time.</t>
        </is>
      </c>
      <c r="H393" s="3" t="inlineStr">
        <is>
          <t>ISO/IEC 27001; ISO/IEC 27002; NIST CSF 2.0; CIS Controls; ISO/IEC 27701; GDPR; IEC 62443</t>
        </is>
      </c>
      <c r="I393" s="3" t="inlineStr">
        <is>
          <t>Policy/SOP; owner/RACI; system report; dashboard; contracts; test records; incident history; interview evidence related to log collection and monitoring for identity, endpoints, cloud, network, critical apps and security tools.</t>
        </is>
      </c>
      <c r="J393" s="3" t="n">
        <v>5</v>
      </c>
      <c r="K393" s="85">
        <f>_DATA_Assessment_Model!H393</f>
        <v/>
      </c>
      <c r="L393" s="4">
        <f>_DATA_Assessment_Model!I393</f>
        <v/>
      </c>
      <c r="M393" s="4">
        <f>_DATA_Assessment_Model!J393</f>
        <v/>
      </c>
      <c r="N393" s="4">
        <f>_DATA_Assessment_Model!K393</f>
        <v/>
      </c>
      <c r="O393" s="3">
        <f>_DATA_Assessment_Model!L393</f>
        <v/>
      </c>
      <c r="P393" s="3" t="inlineStr">
        <is>
          <t>Nothing is monitored or measured.</t>
        </is>
      </c>
      <c r="Q393" s="3" t="inlineStr">
        <is>
          <t>Occasional manual checks by individuals.</t>
        </is>
      </c>
      <c r="R393" s="3" t="inlineStr">
        <is>
          <t>Some metrics exist but are not reviewed regularly and trigger no action.</t>
        </is>
      </c>
      <c r="S393" s="3" t="inlineStr">
        <is>
          <t>Defined metrics with an owner, reviewed on a set cadence.</t>
        </is>
      </c>
      <c r="T393" s="3" t="inlineStr">
        <is>
          <t>Thresholds and alerts in place; deviations trigger documented action; trends analyzed.</t>
        </is>
      </c>
      <c r="U393" s="3" t="inlineStr">
        <is>
          <t>Automated monitoring with leading indicators, integrated into management decisions.</t>
        </is>
      </c>
      <c r="V393" s="3" t="inlineStr">
        <is>
          <t>Cyberattack; Data breach; Ransomware; Insider threat</t>
        </is>
      </c>
      <c r="W393" s="3" t="n"/>
      <c r="X393" s="3" t="n"/>
      <c r="Y393" s="3" t="inlineStr">
        <is>
          <t>Use the recommended action generated by the model; validate with domain owner during real assessment.</t>
        </is>
      </c>
      <c r="Z393" s="7" t="n">
        <v>5</v>
      </c>
      <c r="AA393" s="7" t="n">
        <v>5</v>
      </c>
      <c r="AB393" s="7" t="n">
        <v>5</v>
      </c>
      <c r="AK393" s="46" t="n"/>
      <c r="AL393" s="46" t="n"/>
      <c r="AM393" s="247">
        <f>_DATA_Assessment_Model!AJ393</f>
        <v/>
      </c>
      <c r="AN393" s="247">
        <f>_DATA_Assessment_Model!AK393</f>
        <v/>
      </c>
      <c r="AO393" s="247">
        <f>_DATA_Assessment_Model!AL393</f>
        <v/>
      </c>
      <c r="AP393" s="247">
        <f>_DATA_Assessment_Model!AM393</f>
        <v/>
      </c>
      <c r="AQ393" s="247">
        <f>_DATA_Assessment_Model!AN393</f>
        <v/>
      </c>
      <c r="AR393" s="247">
        <f>_DATA_Assessment_Model!AO393</f>
        <v/>
      </c>
      <c r="AS393" s="247">
        <f>_DATA_Assessment_Model!AP393</f>
        <v/>
      </c>
      <c r="AT393" s="247">
        <f>_DATA_Assessment_Model!AQ393</f>
        <v/>
      </c>
      <c r="AU393" s="247">
        <f>_DATA_Assessment_Model!AR393</f>
        <v/>
      </c>
      <c r="AV393" s="5">
        <f>_DATA_Assessment_Model!AS393</f>
        <v/>
      </c>
      <c r="AW393" s="5">
        <f>_DATA_Assessment_Model!AT393</f>
        <v/>
      </c>
      <c r="AY393">
        <f>_DATA_Assessment_Model!AV393</f>
        <v/>
      </c>
    </row>
    <row r="394" ht="82.8" customHeight="1" s="209">
      <c r="A394" t="inlineStr">
        <is>
          <t>Cyber Privacy</t>
        </is>
      </c>
      <c r="B394" t="inlineStr">
        <is>
          <t>Cyber Privacy</t>
        </is>
      </c>
      <c r="C394" t="n">
        <v>26</v>
      </c>
      <c r="D394" s="3" t="inlineStr">
        <is>
          <t>CYBE-022</t>
        </is>
      </c>
      <c r="E394" s="3" t="inlineStr">
        <is>
          <t>Detection and response</t>
        </is>
      </c>
      <c r="F394" s="3" t="inlineStr">
        <is>
          <t>How mature is the organization in managing threat detection coverage mapped to likely threat scenarios, including ownership, evidence, metrics, fallback procedures and crisis stress testing?</t>
        </is>
      </c>
      <c r="G394" s="3" t="inlineStr">
        <is>
          <t>This topic affects exposure to Cyberattack; Data breach; Ransomware; Insider threat. It helps identify how disruption may impact operations, people, revenue, systems, legal exposure or recovery time.</t>
        </is>
      </c>
      <c r="H394" s="3" t="inlineStr">
        <is>
          <t>ISO/IEC 27001; ISO/IEC 27002; NIST CSF 2.0; CIS Controls; ISO/IEC 27701; GDPR; IEC 62443</t>
        </is>
      </c>
      <c r="I394" s="3" t="inlineStr">
        <is>
          <t>Policy/SOP; owner/RACI; system report; dashboard; contracts; test records; incident history; interview evidence related to threat detection coverage mapped to likely threat scenarios.</t>
        </is>
      </c>
      <c r="J394" s="3" t="n">
        <v>3</v>
      </c>
      <c r="K394" s="85">
        <f>_DATA_Assessment_Model!H394</f>
        <v/>
      </c>
      <c r="L394" s="4">
        <f>_DATA_Assessment_Model!I394</f>
        <v/>
      </c>
      <c r="M394" s="4">
        <f>_DATA_Assessment_Model!J394</f>
        <v/>
      </c>
      <c r="N394" s="4">
        <f>_DATA_Assessment_Model!K394</f>
        <v/>
      </c>
      <c r="O394" s="3">
        <f>_DATA_Assessment_Model!L394</f>
        <v/>
      </c>
      <c r="P394" s="3" t="inlineStr">
        <is>
          <t>No reliable evidence that threat detection coverage mapped to likely threat scenarios is defined, owned or managed.</t>
        </is>
      </c>
      <c r="Q394" s="3" t="inlineStr">
        <is>
          <t>Threat detection coverage mapped to likely threat scenarios is handled informally and depends on individual knowledge or heroic effort.</t>
        </is>
      </c>
      <c r="R394" s="3" t="inlineStr">
        <is>
          <t>Threat detection coverage mapped to likely threat scenarios is partially documented or implemented, but coverage is inconsistent and not crisis-tested.</t>
        </is>
      </c>
      <c r="S394" s="3" t="inlineStr">
        <is>
          <t>Threat detection coverage mapped to likely threat scenarios is documented, owned, used in normal operations and supported by basic evidence or metrics.</t>
        </is>
      </c>
      <c r="T394" s="3" t="inlineStr">
        <is>
          <t>Threat detection coverage mapped to likely threat scenarios is measured, periodically reviewed, integrated with related processes and tested against relevant disruption scenarios.</t>
        </is>
      </c>
      <c r="U394" s="3" t="inlineStr">
        <is>
          <t>Threat detection coverage mapped to likely threat scenarios is optimized, continuously improved, automated where practical and demonstrably supports crisis resilience.</t>
        </is>
      </c>
      <c r="V394" s="3" t="inlineStr">
        <is>
          <t>Cyberattack; Data breach; Ransomware; Insider threat</t>
        </is>
      </c>
      <c r="W394" s="3" t="n"/>
      <c r="X394" s="3" t="n"/>
      <c r="Y394" s="3" t="inlineStr">
        <is>
          <t>Use the recommended action generated by the model; validate with domain owner during real assessment.</t>
        </is>
      </c>
      <c r="Z394" s="7" t="n">
        <v>5</v>
      </c>
      <c r="AA394" s="7" t="n">
        <v>5</v>
      </c>
      <c r="AB394" s="7" t="n">
        <v>5</v>
      </c>
      <c r="AK394" s="46" t="n"/>
      <c r="AL394" s="46" t="n"/>
      <c r="AM394" s="247">
        <f>_DATA_Assessment_Model!AJ394</f>
        <v/>
      </c>
      <c r="AN394" s="247">
        <f>_DATA_Assessment_Model!AK394</f>
        <v/>
      </c>
      <c r="AO394" s="247">
        <f>_DATA_Assessment_Model!AL394</f>
        <v/>
      </c>
      <c r="AP394" s="247">
        <f>_DATA_Assessment_Model!AM394</f>
        <v/>
      </c>
      <c r="AQ394" s="247">
        <f>_DATA_Assessment_Model!AN394</f>
        <v/>
      </c>
      <c r="AR394" s="247">
        <f>_DATA_Assessment_Model!AO394</f>
        <v/>
      </c>
      <c r="AS394" s="247">
        <f>_DATA_Assessment_Model!AP394</f>
        <v/>
      </c>
      <c r="AT394" s="247">
        <f>_DATA_Assessment_Model!AQ394</f>
        <v/>
      </c>
      <c r="AU394" s="247">
        <f>_DATA_Assessment_Model!AR394</f>
        <v/>
      </c>
      <c r="AV394" s="5">
        <f>_DATA_Assessment_Model!AS394</f>
        <v/>
      </c>
      <c r="AW394" s="5">
        <f>_DATA_Assessment_Model!AT394</f>
        <v/>
      </c>
      <c r="AY394">
        <f>_DATA_Assessment_Model!AV394</f>
        <v/>
      </c>
    </row>
    <row r="395" ht="82.8" customHeight="1" s="209">
      <c r="A395" t="inlineStr">
        <is>
          <t>Cyber Privacy</t>
        </is>
      </c>
      <c r="B395" t="inlineStr">
        <is>
          <t>Cyber Privacy</t>
        </is>
      </c>
      <c r="C395" t="n">
        <v>27</v>
      </c>
      <c r="D395" s="3" t="inlineStr">
        <is>
          <t>CYBE-023</t>
        </is>
      </c>
      <c r="E395" s="3" t="inlineStr">
        <is>
          <t>Detection and response</t>
        </is>
      </c>
      <c r="F395" s="3" t="inlineStr">
        <is>
          <t>How mature is the organization in managing cyber incident response plan involving IT, legal, communications, executives and insurers, including ownership, evidence, metrics, fallback procedures and crisis stress testing?</t>
        </is>
      </c>
      <c r="G395" s="3" t="inlineStr">
        <is>
          <t>This topic affects exposure to Cyberattack; Data breach; Ransomware; Insider threat. It helps identify how disruption may impact operations, people, revenue, systems, legal exposure or recovery time.</t>
        </is>
      </c>
      <c r="H395" s="3" t="inlineStr">
        <is>
          <t>ISO/IEC 27001; ISO/IEC 27002; NIST CSF 2.0; CIS Controls; ISO/IEC 27701; GDPR; IEC 62443</t>
        </is>
      </c>
      <c r="I395" s="3" t="inlineStr">
        <is>
          <t>Policy/SOP; owner/RACI; system report; dashboard; contracts; test records; incident history; interview evidence related to cyber incident response plan involving IT, legal, communications, executives and insurers.</t>
        </is>
      </c>
      <c r="J395" s="3" t="n">
        <v>5</v>
      </c>
      <c r="K395" s="85">
        <f>_DATA_Assessment_Model!H395</f>
        <v/>
      </c>
      <c r="L395" s="4">
        <f>_DATA_Assessment_Model!I395</f>
        <v/>
      </c>
      <c r="M395" s="4">
        <f>_DATA_Assessment_Model!J395</f>
        <v/>
      </c>
      <c r="N395" s="4">
        <f>_DATA_Assessment_Model!K395</f>
        <v/>
      </c>
      <c r="O395" s="3">
        <f>_DATA_Assessment_Model!L395</f>
        <v/>
      </c>
      <c r="P395" s="3" t="inlineStr">
        <is>
          <t>No plan or procedure exists.</t>
        </is>
      </c>
      <c r="Q395" s="3" t="inlineStr">
        <is>
          <t>Knowledge lives with individuals; nothing usable is written down.</t>
        </is>
      </c>
      <c r="R395" s="3" t="inlineStr">
        <is>
          <t>Drafted but outdated, not approved, or unknown to the people who must use it.</t>
        </is>
      </c>
      <c r="S395" s="3" t="inlineStr">
        <is>
          <t>Approved and current; owners assigned; affected staff know it exists and where to find it.</t>
        </is>
      </c>
      <c r="T395" s="3" t="inlineStr">
        <is>
          <t>Tested against realistic scenarios; updated after each test or real incident.</t>
        </is>
      </c>
      <c r="U395" s="3" t="inlineStr">
        <is>
          <t>Exercised regularly including external parties; readiness measured; continuously improved.</t>
        </is>
      </c>
      <c r="V395" s="3" t="inlineStr">
        <is>
          <t>Cyberattack; Data breach; Ransomware; Insider threat</t>
        </is>
      </c>
      <c r="W395" s="3" t="n"/>
      <c r="X395" s="3" t="n"/>
      <c r="Y395" s="3" t="inlineStr">
        <is>
          <t>Use the recommended action generated by the model; validate with domain owner during real assessment.</t>
        </is>
      </c>
      <c r="Z395" s="7" t="n">
        <v>5</v>
      </c>
      <c r="AA395" s="7" t="n">
        <v>5</v>
      </c>
      <c r="AB395" s="7" t="n">
        <v>5</v>
      </c>
      <c r="AK395" s="46" t="n"/>
      <c r="AL395" s="46" t="n"/>
      <c r="AM395" s="247">
        <f>_DATA_Assessment_Model!AJ395</f>
        <v/>
      </c>
      <c r="AN395" s="247">
        <f>_DATA_Assessment_Model!AK395</f>
        <v/>
      </c>
      <c r="AO395" s="247">
        <f>_DATA_Assessment_Model!AL395</f>
        <v/>
      </c>
      <c r="AP395" s="247">
        <f>_DATA_Assessment_Model!AM395</f>
        <v/>
      </c>
      <c r="AQ395" s="247">
        <f>_DATA_Assessment_Model!AN395</f>
        <v/>
      </c>
      <c r="AR395" s="247">
        <f>_DATA_Assessment_Model!AO395</f>
        <v/>
      </c>
      <c r="AS395" s="247">
        <f>_DATA_Assessment_Model!AP395</f>
        <v/>
      </c>
      <c r="AT395" s="247">
        <f>_DATA_Assessment_Model!AQ395</f>
        <v/>
      </c>
      <c r="AU395" s="247">
        <f>_DATA_Assessment_Model!AR395</f>
        <v/>
      </c>
      <c r="AV395" s="5">
        <f>_DATA_Assessment_Model!AS395</f>
        <v/>
      </c>
      <c r="AW395" s="5">
        <f>_DATA_Assessment_Model!AT395</f>
        <v/>
      </c>
      <c r="AY395">
        <f>_DATA_Assessment_Model!AV395</f>
        <v/>
      </c>
    </row>
    <row r="396" ht="82.8" customHeight="1" s="209">
      <c r="A396" t="inlineStr">
        <is>
          <t>Cyber Privacy</t>
        </is>
      </c>
      <c r="B396" t="inlineStr">
        <is>
          <t>Cyber Privacy</t>
        </is>
      </c>
      <c r="C396" t="n">
        <v>28</v>
      </c>
      <c r="D396" s="3" t="inlineStr">
        <is>
          <t>CYBE-024</t>
        </is>
      </c>
      <c r="E396" s="3" t="inlineStr">
        <is>
          <t>Detection and response</t>
        </is>
      </c>
      <c r="F396" s="3" t="inlineStr">
        <is>
          <t>How mature is the organization in managing ransomware playbook covering isolation, recovery, communication, legal and decision-making, including ownership, evidence, metrics, fallback procedures and crisis stress testing?</t>
        </is>
      </c>
      <c r="G396" s="3" t="inlineStr">
        <is>
          <t>This topic affects exposure to Cyberattack; Data breach; Ransomware; Insider threat. It helps identify how disruption may impact operations, people, revenue, systems, legal exposure or recovery time.</t>
        </is>
      </c>
      <c r="H396" s="3" t="inlineStr">
        <is>
          <t>ISO/IEC 27001; ISO/IEC 27002; NIST CSF 2.0; CIS Controls; ISO/IEC 27701; GDPR; IEC 62443</t>
        </is>
      </c>
      <c r="I396" s="3" t="inlineStr">
        <is>
          <t>Policy/SOP; owner/RACI; system report; dashboard; contracts; test records; incident history; interview evidence related to ransomware playbook covering isolation, recovery, communication, legal and decision-making.</t>
        </is>
      </c>
      <c r="J396" s="3" t="n">
        <v>5</v>
      </c>
      <c r="K396" s="85">
        <f>_DATA_Assessment_Model!H396</f>
        <v/>
      </c>
      <c r="L396" s="4">
        <f>_DATA_Assessment_Model!I396</f>
        <v/>
      </c>
      <c r="M396" s="4">
        <f>_DATA_Assessment_Model!J396</f>
        <v/>
      </c>
      <c r="N396" s="4">
        <f>_DATA_Assessment_Model!K396</f>
        <v/>
      </c>
      <c r="O396" s="3">
        <f>_DATA_Assessment_Model!L396</f>
        <v/>
      </c>
      <c r="P396" s="3" t="inlineStr">
        <is>
          <t>No plan or procedure exists.</t>
        </is>
      </c>
      <c r="Q396" s="3" t="inlineStr">
        <is>
          <t>Knowledge lives with individuals; nothing usable is written down.</t>
        </is>
      </c>
      <c r="R396" s="3" t="inlineStr">
        <is>
          <t>Drafted but outdated, not approved, or unknown to the people who must use it.</t>
        </is>
      </c>
      <c r="S396" s="3" t="inlineStr">
        <is>
          <t>Approved and current; owners assigned; affected staff know it exists and where to find it.</t>
        </is>
      </c>
      <c r="T396" s="3" t="inlineStr">
        <is>
          <t>Tested against realistic scenarios; updated after each test or real incident.</t>
        </is>
      </c>
      <c r="U396" s="3" t="inlineStr">
        <is>
          <t>Exercised regularly including external parties; readiness measured; continuously improved.</t>
        </is>
      </c>
      <c r="V396" s="3" t="inlineStr">
        <is>
          <t>Cyberattack; Data breach; Ransomware; Insider threat</t>
        </is>
      </c>
      <c r="W396" s="3" t="n"/>
      <c r="X396" s="3" t="n"/>
      <c r="Y396" s="3" t="inlineStr">
        <is>
          <t>Use the recommended action generated by the model; validate with domain owner during real assessment.</t>
        </is>
      </c>
      <c r="Z396" s="7" t="n">
        <v>5</v>
      </c>
      <c r="AA396" s="7" t="n">
        <v>5</v>
      </c>
      <c r="AB396" s="7" t="n">
        <v>5</v>
      </c>
      <c r="AK396" s="46" t="n"/>
      <c r="AL396" s="46" t="n"/>
      <c r="AM396" s="247">
        <f>_DATA_Assessment_Model!AJ396</f>
        <v/>
      </c>
      <c r="AN396" s="247">
        <f>_DATA_Assessment_Model!AK396</f>
        <v/>
      </c>
      <c r="AO396" s="247">
        <f>_DATA_Assessment_Model!AL396</f>
        <v/>
      </c>
      <c r="AP396" s="247">
        <f>_DATA_Assessment_Model!AM396</f>
        <v/>
      </c>
      <c r="AQ396" s="247">
        <f>_DATA_Assessment_Model!AN396</f>
        <v/>
      </c>
      <c r="AR396" s="247">
        <f>_DATA_Assessment_Model!AO396</f>
        <v/>
      </c>
      <c r="AS396" s="247">
        <f>_DATA_Assessment_Model!AP396</f>
        <v/>
      </c>
      <c r="AT396" s="247">
        <f>_DATA_Assessment_Model!AQ396</f>
        <v/>
      </c>
      <c r="AU396" s="247">
        <f>_DATA_Assessment_Model!AR396</f>
        <v/>
      </c>
      <c r="AV396" s="5">
        <f>_DATA_Assessment_Model!AS396</f>
        <v/>
      </c>
      <c r="AW396" s="5">
        <f>_DATA_Assessment_Model!AT396</f>
        <v/>
      </c>
      <c r="AY396">
        <f>_DATA_Assessment_Model!AV396</f>
        <v/>
      </c>
    </row>
    <row r="397" ht="69" customHeight="1" s="209">
      <c r="A397" t="inlineStr">
        <is>
          <t>Cyber Privacy</t>
        </is>
      </c>
      <c r="B397" t="inlineStr">
        <is>
          <t>Cyber Privacy</t>
        </is>
      </c>
      <c r="C397" t="n">
        <v>29</v>
      </c>
      <c r="D397" s="3" t="inlineStr">
        <is>
          <t>CYBE-025</t>
        </is>
      </c>
      <c r="E397" s="3" t="inlineStr">
        <is>
          <t>Detection and response</t>
        </is>
      </c>
      <c r="F397" s="3" t="inlineStr">
        <is>
          <t>How mature is the organization in managing cyber incident exercises with business, legal, communication, IT and executives, including ownership, evidence, metrics, fallback procedures and crisis stress testing?</t>
        </is>
      </c>
      <c r="G397" s="3" t="inlineStr">
        <is>
          <t>This topic affects exposure to Cyberattack; Data breach; Ransomware; Insider threat. It helps identify how disruption may impact operations, people, revenue, systems, legal exposure or recovery time.</t>
        </is>
      </c>
      <c r="H397" s="3" t="inlineStr">
        <is>
          <t>ISO/IEC 27001; ISO/IEC 27002; NIST CSF 2.0; CIS Controls; ISO/IEC 27701; GDPR; IEC 62443</t>
        </is>
      </c>
      <c r="I397" s="3" t="inlineStr">
        <is>
          <t>Policy/SOP; owner/RACI; system report; dashboard; contracts; test records; incident history; interview evidence related to cyber incident exercises with business, legal, communication, IT and executives.</t>
        </is>
      </c>
      <c r="J397" s="3" t="n">
        <v>5</v>
      </c>
      <c r="K397" s="85">
        <f>_DATA_Assessment_Model!H397</f>
        <v/>
      </c>
      <c r="L397" s="4">
        <f>_DATA_Assessment_Model!I397</f>
        <v/>
      </c>
      <c r="M397" s="4">
        <f>_DATA_Assessment_Model!J397</f>
        <v/>
      </c>
      <c r="N397" s="4">
        <f>_DATA_Assessment_Model!K397</f>
        <v/>
      </c>
      <c r="O397" s="3">
        <f>_DATA_Assessment_Model!L397</f>
        <v/>
      </c>
      <c r="P397" s="3" t="inlineStr">
        <is>
          <t>Never done; no records exist.</t>
        </is>
      </c>
      <c r="Q397" s="3" t="inlineStr">
        <is>
          <t>Done once long ago or only after an incident; no schedule, no records.</t>
        </is>
      </c>
      <c r="R397" s="3" t="inlineStr">
        <is>
          <t>Done irregularly; results are not documented and findings are not tracked.</t>
        </is>
      </c>
      <c r="S397" s="3" t="inlineStr">
        <is>
          <t>Done on a defined schedule (at least annually); results documented, owner assigned.</t>
        </is>
      </c>
      <c r="T397" s="3" t="inlineStr">
        <is>
          <t>Done quarterly/semi-annually; findings tracked to closure, effectiveness measured against targets.</t>
        </is>
      </c>
      <c r="U397" s="3" t="inlineStr">
        <is>
          <t>Continuous or automated where possible; results drive improvements and are validated externally (audit/customer).</t>
        </is>
      </c>
      <c r="V397" s="3" t="inlineStr">
        <is>
          <t>Cyberattack; Data breach; Ransomware; Insider threat</t>
        </is>
      </c>
      <c r="W397" s="3" t="n"/>
      <c r="X397" s="3" t="n"/>
      <c r="Y397" s="3" t="inlineStr">
        <is>
          <t>Use the recommended action generated by the model; validate with domain owner during real assessment.</t>
        </is>
      </c>
      <c r="Z397" s="7" t="n">
        <v>5</v>
      </c>
      <c r="AA397" s="7" t="n">
        <v>5</v>
      </c>
      <c r="AB397" s="7" t="n">
        <v>5</v>
      </c>
      <c r="AK397" s="46" t="n"/>
      <c r="AL397" s="46" t="n"/>
      <c r="AM397" s="247">
        <f>_DATA_Assessment_Model!AJ397</f>
        <v/>
      </c>
      <c r="AN397" s="247">
        <f>_DATA_Assessment_Model!AK397</f>
        <v/>
      </c>
      <c r="AO397" s="247">
        <f>_DATA_Assessment_Model!AL397</f>
        <v/>
      </c>
      <c r="AP397" s="247">
        <f>_DATA_Assessment_Model!AM397</f>
        <v/>
      </c>
      <c r="AQ397" s="247">
        <f>_DATA_Assessment_Model!AN397</f>
        <v/>
      </c>
      <c r="AR397" s="247">
        <f>_DATA_Assessment_Model!AO397</f>
        <v/>
      </c>
      <c r="AS397" s="247">
        <f>_DATA_Assessment_Model!AP397</f>
        <v/>
      </c>
      <c r="AT397" s="247">
        <f>_DATA_Assessment_Model!AQ397</f>
        <v/>
      </c>
      <c r="AU397" s="247">
        <f>_DATA_Assessment_Model!AR397</f>
        <v/>
      </c>
      <c r="AV397" s="5">
        <f>_DATA_Assessment_Model!AS397</f>
        <v/>
      </c>
      <c r="AW397" s="5">
        <f>_DATA_Assessment_Model!AT397</f>
        <v/>
      </c>
      <c r="AY397">
        <f>_DATA_Assessment_Model!AV397</f>
        <v/>
      </c>
    </row>
    <row r="398" ht="69" customHeight="1" s="209">
      <c r="A398" t="inlineStr">
        <is>
          <t>Cyber Privacy</t>
        </is>
      </c>
      <c r="B398" t="inlineStr">
        <is>
          <t>Cyber Privacy</t>
        </is>
      </c>
      <c r="C398" t="n">
        <v>30</v>
      </c>
      <c r="D398" s="3" t="inlineStr">
        <is>
          <t>CYBE-026</t>
        </is>
      </c>
      <c r="E398" s="3" t="inlineStr">
        <is>
          <t>Detection and response</t>
        </is>
      </c>
      <c r="F398" s="3" t="inlineStr">
        <is>
          <t>How mature is the organization in managing immutable or isolated backups protected against ransomware, including ownership, evidence, metrics, fallback procedures and crisis stress testing?</t>
        </is>
      </c>
      <c r="G398" s="3" t="inlineStr">
        <is>
          <t>This topic affects exposure to Cyberattack; Data breach; Ransomware; Insider threat. It helps identify how disruption may impact operations, people, revenue, systems, legal exposure or recovery time.</t>
        </is>
      </c>
      <c r="H398" s="3" t="inlineStr">
        <is>
          <t>ISO/IEC 27001; ISO/IEC 27002; NIST CSF 2.0; CIS Controls; ISO/IEC 27701; GDPR; IEC 62443</t>
        </is>
      </c>
      <c r="I398" s="3" t="inlineStr">
        <is>
          <t>Policy/SOP; owner/RACI; system report; dashboard; contracts; test records; incident history; interview evidence related to immutable or isolated backups protected against ransomware.</t>
        </is>
      </c>
      <c r="J398" s="3" t="n">
        <v>5</v>
      </c>
      <c r="K398" s="85">
        <f>_DATA_Assessment_Model!H398</f>
        <v/>
      </c>
      <c r="L398" s="4">
        <f>_DATA_Assessment_Model!I398</f>
        <v/>
      </c>
      <c r="M398" s="4">
        <f>_DATA_Assessment_Model!J398</f>
        <v/>
      </c>
      <c r="N398" s="4">
        <f>_DATA_Assessment_Model!K398</f>
        <v/>
      </c>
      <c r="O398" s="3">
        <f>_DATA_Assessment_Model!L398</f>
        <v/>
      </c>
      <c r="P398" s="3" t="inlineStr">
        <is>
          <t>Does not exist; no owner, no documentation, no practice.</t>
        </is>
      </c>
      <c r="Q398" s="3" t="inlineStr">
        <is>
          <t>Ad hoc; depends entirely on specific individuals.</t>
        </is>
      </c>
      <c r="R398" s="3" t="inlineStr">
        <is>
          <t>Partially documented or implemented; coverage inconsistent; never tested under stress.</t>
        </is>
      </c>
      <c r="S398" s="3" t="inlineStr">
        <is>
          <t>Documented, owned, executed consistently; basic evidence and metrics exist.</t>
        </is>
      </c>
      <c r="T398" s="3" t="inlineStr">
        <is>
          <t>Measured and periodically tested/audited; integrated with adjacent processes.</t>
        </is>
      </c>
      <c r="U398" s="3" t="inlineStr">
        <is>
          <t>Optimized and automated where practical; stress-tested; benchmarked externally.</t>
        </is>
      </c>
      <c r="V398" s="3" t="inlineStr">
        <is>
          <t>Cyberattack; Data breach; Ransomware; Insider threat</t>
        </is>
      </c>
      <c r="W398" s="3" t="n"/>
      <c r="X398" s="3" t="n"/>
      <c r="Y398" s="3" t="inlineStr">
        <is>
          <t>Use the recommended action generated by the model; validate with domain owner during real assessment.</t>
        </is>
      </c>
      <c r="Z398" s="7" t="n">
        <v>5</v>
      </c>
      <c r="AA398" s="7" t="n">
        <v>5</v>
      </c>
      <c r="AB398" s="7" t="n">
        <v>5</v>
      </c>
      <c r="AK398" s="46" t="n"/>
      <c r="AL398" s="46" t="n"/>
      <c r="AM398" s="247">
        <f>_DATA_Assessment_Model!AJ398</f>
        <v/>
      </c>
      <c r="AN398" s="247">
        <f>_DATA_Assessment_Model!AK398</f>
        <v/>
      </c>
      <c r="AO398" s="247">
        <f>_DATA_Assessment_Model!AL398</f>
        <v/>
      </c>
      <c r="AP398" s="247">
        <f>_DATA_Assessment_Model!AM398</f>
        <v/>
      </c>
      <c r="AQ398" s="247">
        <f>_DATA_Assessment_Model!AN398</f>
        <v/>
      </c>
      <c r="AR398" s="247">
        <f>_DATA_Assessment_Model!AO398</f>
        <v/>
      </c>
      <c r="AS398" s="247">
        <f>_DATA_Assessment_Model!AP398</f>
        <v/>
      </c>
      <c r="AT398" s="247">
        <f>_DATA_Assessment_Model!AQ398</f>
        <v/>
      </c>
      <c r="AU398" s="247">
        <f>_DATA_Assessment_Model!AR398</f>
        <v/>
      </c>
      <c r="AV398" s="5">
        <f>_DATA_Assessment_Model!AS398</f>
        <v/>
      </c>
      <c r="AW398" s="5">
        <f>_DATA_Assessment_Model!AT398</f>
        <v/>
      </c>
      <c r="AY398">
        <f>_DATA_Assessment_Model!AV398</f>
        <v/>
      </c>
    </row>
    <row r="399" ht="96.59999999999999" customHeight="1" s="209">
      <c r="A399" t="inlineStr">
        <is>
          <t>Cyber Privacy</t>
        </is>
      </c>
      <c r="B399" t="inlineStr">
        <is>
          <t>Cyber Privacy</t>
        </is>
      </c>
      <c r="C399" t="n">
        <v>31</v>
      </c>
      <c r="D399" s="3" t="inlineStr">
        <is>
          <t>CYBE-027</t>
        </is>
      </c>
      <c r="E399" s="3" t="inlineStr">
        <is>
          <t>Application and OT security</t>
        </is>
      </c>
      <c r="F399" s="3" t="inlineStr">
        <is>
          <t>How mature is the organization in managing secure SDLC for internally developed applications, APIs and integrations, including ownership, evidence, metrics, fallback procedures and crisis stress testing?</t>
        </is>
      </c>
      <c r="G399" s="3" t="inlineStr">
        <is>
          <t>This topic affects exposure to Cyberattack; Data breach; Ransomware; Insider threat. It helps identify how disruption may impact operations, people, revenue, systems, legal exposure or recovery time.</t>
        </is>
      </c>
      <c r="H399" s="3" t="inlineStr">
        <is>
          <t>ISO/IEC 27001; ISO/IEC 27002; NIST CSF 2.0; CIS Controls; ISO/IEC 27701; GDPR; IEC 62443</t>
        </is>
      </c>
      <c r="I399" s="3" t="inlineStr">
        <is>
          <t>Policy/SOP; owner/RACI; system report; dashboard; contracts; test records; incident history; interview evidence related to secure SDLC for internally developed applications, APIs and integrations.</t>
        </is>
      </c>
      <c r="J399" s="3" t="n">
        <v>3</v>
      </c>
      <c r="K399" s="85">
        <f>_DATA_Assessment_Model!H399</f>
        <v/>
      </c>
      <c r="L399" s="4">
        <f>_DATA_Assessment_Model!I399</f>
        <v/>
      </c>
      <c r="M399" s="4">
        <f>_DATA_Assessment_Model!J399</f>
        <v/>
      </c>
      <c r="N399" s="4">
        <f>_DATA_Assessment_Model!K399</f>
        <v/>
      </c>
      <c r="O399" s="3">
        <f>_DATA_Assessment_Model!L399</f>
        <v/>
      </c>
      <c r="P399" s="3" t="inlineStr">
        <is>
          <t>No reliable evidence that secure sdlc for internally developed applications, apis and integrations is defined, owned or managed.</t>
        </is>
      </c>
      <c r="Q399" s="3" t="inlineStr">
        <is>
          <t>Secure SDLC for internally developed applications, APIs and integrations is handled informally and depends on individual knowledge or heroic effort.</t>
        </is>
      </c>
      <c r="R399" s="3" t="inlineStr">
        <is>
          <t>Secure SDLC for internally developed applications, APIs and integrations is partially documented or implemented, but coverage is inconsistent and not crisis-tested.</t>
        </is>
      </c>
      <c r="S399" s="3" t="inlineStr">
        <is>
          <t>Secure SDLC for internally developed applications, APIs and integrations is documented, owned, used in normal operations and supported by basic evidence or metrics.</t>
        </is>
      </c>
      <c r="T399" s="3" t="inlineStr">
        <is>
          <t>Secure SDLC for internally developed applications, APIs and integrations is measured, periodically reviewed, integrated with related processes and tested against relevant disruption scenarios.</t>
        </is>
      </c>
      <c r="U399" s="3" t="inlineStr">
        <is>
          <t>Secure SDLC for internally developed applications, APIs and integrations is optimized, continuously improved, automated where practical and demonstrably supports crisis resilience.</t>
        </is>
      </c>
      <c r="V399" s="3" t="inlineStr">
        <is>
          <t>Cyberattack; Data breach; Ransomware; Insider threat</t>
        </is>
      </c>
      <c r="W399" s="3" t="n"/>
      <c r="X399" s="3" t="n"/>
      <c r="Y399" s="3" t="inlineStr">
        <is>
          <t>Use the recommended action generated by the model; validate with domain owner during real assessment.</t>
        </is>
      </c>
      <c r="Z399" s="7" t="n">
        <v>5</v>
      </c>
      <c r="AA399" s="7" t="n">
        <v>5</v>
      </c>
      <c r="AB399" s="7" t="n">
        <v>5</v>
      </c>
      <c r="AK399" s="46" t="n"/>
      <c r="AL399" s="46" t="n"/>
      <c r="AM399" s="247">
        <f>_DATA_Assessment_Model!AJ399</f>
        <v/>
      </c>
      <c r="AN399" s="247">
        <f>_DATA_Assessment_Model!AK399</f>
        <v/>
      </c>
      <c r="AO399" s="247">
        <f>_DATA_Assessment_Model!AL399</f>
        <v/>
      </c>
      <c r="AP399" s="247">
        <f>_DATA_Assessment_Model!AM399</f>
        <v/>
      </c>
      <c r="AQ399" s="247">
        <f>_DATA_Assessment_Model!AN399</f>
        <v/>
      </c>
      <c r="AR399" s="247">
        <f>_DATA_Assessment_Model!AO399</f>
        <v/>
      </c>
      <c r="AS399" s="247">
        <f>_DATA_Assessment_Model!AP399</f>
        <v/>
      </c>
      <c r="AT399" s="247">
        <f>_DATA_Assessment_Model!AQ399</f>
        <v/>
      </c>
      <c r="AU399" s="247">
        <f>_DATA_Assessment_Model!AR399</f>
        <v/>
      </c>
      <c r="AV399" s="5">
        <f>_DATA_Assessment_Model!AS399</f>
        <v/>
      </c>
      <c r="AW399" s="5">
        <f>_DATA_Assessment_Model!AT399</f>
        <v/>
      </c>
      <c r="AY399">
        <f>_DATA_Assessment_Model!AV399</f>
        <v/>
      </c>
    </row>
    <row r="400" ht="82.8" customHeight="1" s="209">
      <c r="A400" t="inlineStr">
        <is>
          <t>Cyber Privacy</t>
        </is>
      </c>
      <c r="B400" t="inlineStr">
        <is>
          <t>Cyber Privacy</t>
        </is>
      </c>
      <c r="C400" t="n">
        <v>32</v>
      </c>
      <c r="D400" s="3" t="inlineStr">
        <is>
          <t>CYBE-028</t>
        </is>
      </c>
      <c r="E400" s="3" t="inlineStr">
        <is>
          <t>Application and OT security</t>
        </is>
      </c>
      <c r="F400" s="3" t="inlineStr">
        <is>
          <t>How mature is the organization in managing application vulnerability testing through SAST, DAST, code review and penetration testing, including ownership, evidence, metrics, fallback procedures and crisis stress testing?</t>
        </is>
      </c>
      <c r="G400" s="3" t="inlineStr">
        <is>
          <t>This topic affects exposure to Cyberattack; Data breach; Ransomware; Insider threat. It helps identify how disruption may impact operations, people, revenue, systems, legal exposure or recovery time.</t>
        </is>
      </c>
      <c r="H400" s="3" t="inlineStr">
        <is>
          <t>ISO/IEC 27001; ISO/IEC 27002; NIST CSF 2.0; CIS Controls; ISO/IEC 27701; GDPR; IEC 62443</t>
        </is>
      </c>
      <c r="I400" s="3" t="inlineStr">
        <is>
          <t>Policy/SOP; owner/RACI; system report; dashboard; contracts; test records; incident history; interview evidence related to application vulnerability testing through SAST, DAST, code review and penetration testing.</t>
        </is>
      </c>
      <c r="J400" s="3" t="n">
        <v>3</v>
      </c>
      <c r="K400" s="85">
        <f>_DATA_Assessment_Model!H400</f>
        <v/>
      </c>
      <c r="L400" s="4">
        <f>_DATA_Assessment_Model!I400</f>
        <v/>
      </c>
      <c r="M400" s="4">
        <f>_DATA_Assessment_Model!J400</f>
        <v/>
      </c>
      <c r="N400" s="4">
        <f>_DATA_Assessment_Model!K400</f>
        <v/>
      </c>
      <c r="O400" s="3">
        <f>_DATA_Assessment_Model!L400</f>
        <v/>
      </c>
      <c r="P400" s="3" t="inlineStr">
        <is>
          <t>Never done; no records exist.</t>
        </is>
      </c>
      <c r="Q400" s="3" t="inlineStr">
        <is>
          <t>Done once long ago or only after an incident; no schedule, no records.</t>
        </is>
      </c>
      <c r="R400" s="3" t="inlineStr">
        <is>
          <t>Done irregularly; results are not documented and findings are not tracked.</t>
        </is>
      </c>
      <c r="S400" s="3" t="inlineStr">
        <is>
          <t>Done on a defined schedule (at least annually); results documented, owner assigned.</t>
        </is>
      </c>
      <c r="T400" s="3" t="inlineStr">
        <is>
          <t>Done quarterly/semi-annually; findings tracked to closure, effectiveness measured against targets.</t>
        </is>
      </c>
      <c r="U400" s="3" t="inlineStr">
        <is>
          <t>Continuous or automated where possible; results drive improvements and are validated externally (audit/customer).</t>
        </is>
      </c>
      <c r="V400" s="3" t="inlineStr">
        <is>
          <t>Cyberattack; Data breach; Ransomware; Insider threat</t>
        </is>
      </c>
      <c r="W400" s="3" t="n"/>
      <c r="X400" s="3" t="n"/>
      <c r="Y400" s="3" t="inlineStr">
        <is>
          <t>Use the recommended action generated by the model; validate with domain owner during real assessment.</t>
        </is>
      </c>
      <c r="Z400" s="7" t="n">
        <v>5</v>
      </c>
      <c r="AA400" s="7" t="n">
        <v>5</v>
      </c>
      <c r="AB400" s="7" t="n">
        <v>5</v>
      </c>
      <c r="AK400" s="46" t="n"/>
      <c r="AL400" s="46" t="n"/>
      <c r="AM400" s="247">
        <f>_DATA_Assessment_Model!AJ400</f>
        <v/>
      </c>
      <c r="AN400" s="247">
        <f>_DATA_Assessment_Model!AK400</f>
        <v/>
      </c>
      <c r="AO400" s="247">
        <f>_DATA_Assessment_Model!AL400</f>
        <v/>
      </c>
      <c r="AP400" s="247">
        <f>_DATA_Assessment_Model!AM400</f>
        <v/>
      </c>
      <c r="AQ400" s="247">
        <f>_DATA_Assessment_Model!AN400</f>
        <v/>
      </c>
      <c r="AR400" s="247">
        <f>_DATA_Assessment_Model!AO400</f>
        <v/>
      </c>
      <c r="AS400" s="247">
        <f>_DATA_Assessment_Model!AP400</f>
        <v/>
      </c>
      <c r="AT400" s="247">
        <f>_DATA_Assessment_Model!AQ400</f>
        <v/>
      </c>
      <c r="AU400" s="247">
        <f>_DATA_Assessment_Model!AR400</f>
        <v/>
      </c>
      <c r="AV400" s="5">
        <f>_DATA_Assessment_Model!AS400</f>
        <v/>
      </c>
      <c r="AW400" s="5">
        <f>_DATA_Assessment_Model!AT400</f>
        <v/>
      </c>
      <c r="AY400">
        <f>_DATA_Assessment_Model!AV400</f>
        <v/>
      </c>
    </row>
    <row r="401" ht="96.59999999999999" customHeight="1" s="209">
      <c r="A401" t="inlineStr">
        <is>
          <t>Cyber Privacy</t>
        </is>
      </c>
      <c r="B401" t="inlineStr">
        <is>
          <t>Cyber Privacy</t>
        </is>
      </c>
      <c r="C401" t="n">
        <v>33</v>
      </c>
      <c r="D401" s="3" t="inlineStr">
        <is>
          <t>CYBE-032</t>
        </is>
      </c>
      <c r="E401" s="3" t="inlineStr">
        <is>
          <t>Privacy</t>
        </is>
      </c>
      <c r="F401" s="3" t="inlineStr">
        <is>
          <t>How mature is the organization in managing privacy governance with roles, lawful basis, DPIA, RoPA and data subject processes, including ownership, evidence, metrics, fallback procedures and crisis stress testing?</t>
        </is>
      </c>
      <c r="G401" s="3" t="inlineStr">
        <is>
          <t>This topic affects exposure to Cyberattack; Data breach; Ransomware; Insider threat. It helps identify how disruption may impact operations, people, revenue, systems, legal exposure or recovery time.</t>
        </is>
      </c>
      <c r="H401" s="3" t="inlineStr">
        <is>
          <t>ISO/IEC 27001; ISO/IEC 27002; NIST CSF 2.0; CIS Controls; ISO/IEC 27701; GDPR; IEC 62443</t>
        </is>
      </c>
      <c r="I401" s="3" t="inlineStr">
        <is>
          <t>Policy/SOP; owner/RACI; system report; dashboard; contracts; test records; incident history; interview evidence related to privacy governance with roles, lawful basis, DPIA, RoPA and data subject processes.</t>
        </is>
      </c>
      <c r="J401" s="3" t="n">
        <v>4</v>
      </c>
      <c r="K401" s="85">
        <f>_DATA_Assessment_Model!H401</f>
        <v/>
      </c>
      <c r="L401" s="4">
        <f>_DATA_Assessment_Model!I401</f>
        <v/>
      </c>
      <c r="M401" s="4">
        <f>_DATA_Assessment_Model!J401</f>
        <v/>
      </c>
      <c r="N401" s="4">
        <f>_DATA_Assessment_Model!K401</f>
        <v/>
      </c>
      <c r="O401" s="3">
        <f>_DATA_Assessment_Model!L401</f>
        <v/>
      </c>
      <c r="P401" s="3" t="inlineStr">
        <is>
          <t>No reliable evidence that privacy governance with roles, lawful basis, dpia, ropa and data subject processes is defined, owned or managed.</t>
        </is>
      </c>
      <c r="Q401" s="3" t="inlineStr">
        <is>
          <t>Privacy governance with roles, lawful basis, DPIA, RoPA and data subject processes is handled informally and depends on individual knowledge or heroic effort.</t>
        </is>
      </c>
      <c r="R401" s="3" t="inlineStr">
        <is>
          <t>Privacy governance with roles, lawful basis, DPIA, RoPA and data subject processes is partially documented or implemented, but coverage is inconsistent and not crisis-tested.</t>
        </is>
      </c>
      <c r="S401" s="3" t="inlineStr">
        <is>
          <t>Privacy governance with roles, lawful basis, DPIA, RoPA and data subject processes is documented, owned, used in normal operations and supported by basic evidence or metrics.</t>
        </is>
      </c>
      <c r="T401" s="3" t="inlineStr">
        <is>
          <t>Privacy governance with roles, lawful basis, DPIA, RoPA and data subject processes is measured, periodically reviewed, integrated with related processes and tested against relevant disruption scenarios.</t>
        </is>
      </c>
      <c r="U401" s="3" t="inlineStr">
        <is>
          <t>Privacy governance with roles, lawful basis, DPIA, RoPA and data subject processes is optimized, continuously improved, automated where practical and demonstrably supports crisis resilience.</t>
        </is>
      </c>
      <c r="V401" s="3" t="inlineStr">
        <is>
          <t>Cyberattack; Data breach; Ransomware; Insider threat</t>
        </is>
      </c>
      <c r="W401" s="3" t="n"/>
      <c r="X401" s="3" t="n"/>
      <c r="Y401" s="3" t="inlineStr">
        <is>
          <t>Use the recommended action generated by the model; validate with domain owner during real assessment.</t>
        </is>
      </c>
      <c r="Z401" s="7" t="n">
        <v>5</v>
      </c>
      <c r="AA401" s="7" t="n">
        <v>5</v>
      </c>
      <c r="AB401" s="7" t="n">
        <v>5</v>
      </c>
      <c r="AK401" s="46" t="n"/>
      <c r="AL401" s="46" t="n"/>
      <c r="AM401" s="247">
        <f>_DATA_Assessment_Model!AJ401</f>
        <v/>
      </c>
      <c r="AN401" s="247">
        <f>_DATA_Assessment_Model!AK401</f>
        <v/>
      </c>
      <c r="AO401" s="247">
        <f>_DATA_Assessment_Model!AL401</f>
        <v/>
      </c>
      <c r="AP401" s="247">
        <f>_DATA_Assessment_Model!AM401</f>
        <v/>
      </c>
      <c r="AQ401" s="247">
        <f>_DATA_Assessment_Model!AN401</f>
        <v/>
      </c>
      <c r="AR401" s="247">
        <f>_DATA_Assessment_Model!AO401</f>
        <v/>
      </c>
      <c r="AS401" s="247">
        <f>_DATA_Assessment_Model!AP401</f>
        <v/>
      </c>
      <c r="AT401" s="247">
        <f>_DATA_Assessment_Model!AQ401</f>
        <v/>
      </c>
      <c r="AU401" s="247">
        <f>_DATA_Assessment_Model!AR401</f>
        <v/>
      </c>
      <c r="AV401" s="5">
        <f>_DATA_Assessment_Model!AS401</f>
        <v/>
      </c>
      <c r="AW401" s="5">
        <f>_DATA_Assessment_Model!AT401</f>
        <v/>
      </c>
      <c r="AY401">
        <f>_DATA_Assessment_Model!AV401</f>
        <v/>
      </c>
    </row>
    <row r="402" ht="96.59999999999999" customHeight="1" s="209">
      <c r="A402" t="inlineStr">
        <is>
          <t>Cyber Privacy</t>
        </is>
      </c>
      <c r="B402" t="inlineStr">
        <is>
          <t>Cyber Privacy</t>
        </is>
      </c>
      <c r="C402" t="n">
        <v>34</v>
      </c>
      <c r="D402" s="3" t="inlineStr">
        <is>
          <t>CYBE-033</t>
        </is>
      </c>
      <c r="E402" s="3" t="inlineStr">
        <is>
          <t>Privacy</t>
        </is>
      </c>
      <c r="F402" s="3" t="inlineStr">
        <is>
          <t>How mature is the organization in managing personal data breach detection, assessment and notification within required timelines, including ownership, evidence, metrics, fallback procedures and crisis stress testing?</t>
        </is>
      </c>
      <c r="G402" s="3" t="inlineStr">
        <is>
          <t>This topic affects exposure to Cyberattack; Data breach; Ransomware; Insider threat. It helps identify how disruption may impact operations, people, revenue, systems, legal exposure or recovery time.</t>
        </is>
      </c>
      <c r="H402" s="3" t="inlineStr">
        <is>
          <t>ISO/IEC 27001; ISO/IEC 27002; NIST CSF 2.0; CIS Controls; ISO/IEC 27701; GDPR; IEC 62443</t>
        </is>
      </c>
      <c r="I402" s="3" t="inlineStr">
        <is>
          <t>Policy/SOP; owner/RACI; system report; dashboard; contracts; test records; incident history; interview evidence related to personal data breach detection, assessment and notification within required timelines.</t>
        </is>
      </c>
      <c r="J402" s="3" t="n">
        <v>4</v>
      </c>
      <c r="K402" s="85">
        <f>_DATA_Assessment_Model!H402</f>
        <v/>
      </c>
      <c r="L402" s="4">
        <f>_DATA_Assessment_Model!I402</f>
        <v/>
      </c>
      <c r="M402" s="4">
        <f>_DATA_Assessment_Model!J402</f>
        <v/>
      </c>
      <c r="N402" s="4">
        <f>_DATA_Assessment_Model!K402</f>
        <v/>
      </c>
      <c r="O402" s="3">
        <f>_DATA_Assessment_Model!L402</f>
        <v/>
      </c>
      <c r="P402" s="3" t="inlineStr">
        <is>
          <t>No reliable evidence that personal data breach detection, assessment and notification within required timelines is defined, owned or managed.</t>
        </is>
      </c>
      <c r="Q402" s="3" t="inlineStr">
        <is>
          <t>Personal data breach detection, assessment and notification within required timelines is handled informally and depends on individual knowledge or heroic effort.</t>
        </is>
      </c>
      <c r="R402" s="3" t="inlineStr">
        <is>
          <t>Personal data breach detection, assessment and notification within required timelines is partially documented or implemented, but coverage is inconsistent and not crisis-tested.</t>
        </is>
      </c>
      <c r="S402" s="3" t="inlineStr">
        <is>
          <t>Personal data breach detection, assessment and notification within required timelines is documented, owned, used in normal operations and supported by basic evidence or metrics.</t>
        </is>
      </c>
      <c r="T402" s="3" t="inlineStr">
        <is>
          <t>Personal data breach detection, assessment and notification within required timelines is measured, periodically reviewed, integrated with related processes and tested against relevant disruption scenarios.</t>
        </is>
      </c>
      <c r="U402" s="3" t="inlineStr">
        <is>
          <t>Personal data breach detection, assessment and notification within required timelines is optimized, continuously improved, automated where practical and demonstrably supports crisis resilience.</t>
        </is>
      </c>
      <c r="V402" s="3" t="inlineStr">
        <is>
          <t>Cyberattack; Data breach; Ransomware; Insider threat</t>
        </is>
      </c>
      <c r="W402" s="3" t="n"/>
      <c r="X402" s="3" t="n"/>
      <c r="Y402" s="3" t="inlineStr">
        <is>
          <t>Use the recommended action generated by the model; validate with domain owner during real assessment.</t>
        </is>
      </c>
      <c r="Z402" s="7" t="n">
        <v>5</v>
      </c>
      <c r="AA402" s="7" t="n">
        <v>5</v>
      </c>
      <c r="AB402" s="7" t="n">
        <v>5</v>
      </c>
      <c r="AK402" s="46" t="n"/>
      <c r="AL402" s="46" t="n"/>
      <c r="AM402" s="247">
        <f>_DATA_Assessment_Model!AJ402</f>
        <v/>
      </c>
      <c r="AN402" s="247">
        <f>_DATA_Assessment_Model!AK402</f>
        <v/>
      </c>
      <c r="AO402" s="247">
        <f>_DATA_Assessment_Model!AL402</f>
        <v/>
      </c>
      <c r="AP402" s="247">
        <f>_DATA_Assessment_Model!AM402</f>
        <v/>
      </c>
      <c r="AQ402" s="247">
        <f>_DATA_Assessment_Model!AN402</f>
        <v/>
      </c>
      <c r="AR402" s="247">
        <f>_DATA_Assessment_Model!AO402</f>
        <v/>
      </c>
      <c r="AS402" s="247">
        <f>_DATA_Assessment_Model!AP402</f>
        <v/>
      </c>
      <c r="AT402" s="247">
        <f>_DATA_Assessment_Model!AQ402</f>
        <v/>
      </c>
      <c r="AU402" s="247">
        <f>_DATA_Assessment_Model!AR402</f>
        <v/>
      </c>
      <c r="AV402" s="5">
        <f>_DATA_Assessment_Model!AS402</f>
        <v/>
      </c>
      <c r="AW402" s="5">
        <f>_DATA_Assessment_Model!AT402</f>
        <v/>
      </c>
      <c r="AY402">
        <f>_DATA_Assessment_Model!AV402</f>
        <v/>
      </c>
    </row>
    <row r="403" ht="96.59999999999999" customHeight="1" s="209">
      <c r="A403" t="inlineStr">
        <is>
          <t>Cyber Privacy</t>
        </is>
      </c>
      <c r="B403" t="inlineStr">
        <is>
          <t>Cyber Privacy</t>
        </is>
      </c>
      <c r="C403" t="n">
        <v>35</v>
      </c>
      <c r="D403" s="3" t="inlineStr">
        <is>
          <t>CYBE-035</t>
        </is>
      </c>
      <c r="E403" s="3" t="inlineStr">
        <is>
          <t>Security governance</t>
        </is>
      </c>
      <c r="F403" s="3" t="inlineStr">
        <is>
          <t>How mature is the organization in managing inclusion of critical suppliers and service providers in incident response planning, contact lists and joint exercises, including ownership, evidence, metrics, fallback procedures and crisis stress testing?</t>
        </is>
      </c>
      <c r="G403" s="3" t="inlineStr">
        <is>
          <t>This topic affects exposure to Cyberattack/ransomware; Supplier/logistics disruption; Cloud/SaaS outage. It helps identify how disruption may impact operations, people, revenue, systems, legal exposure or recovery time.</t>
        </is>
      </c>
      <c r="H403" s="3" t="inlineStr">
        <is>
          <t>NIST CSF 2.0 GV.SC-08; ISO 27036; ISO 22301</t>
        </is>
      </c>
      <c r="I403" s="3" t="inlineStr">
        <is>
          <t>Policy/SOP; owner/RACI; system report; dashboard; contracts; test records; incident history; interview evidence related to information security management system with policies, owners, risks and controls.</t>
        </is>
      </c>
      <c r="J403" s="3" t="n">
        <v>4</v>
      </c>
      <c r="K403" s="85">
        <f>_DATA_Assessment_Model!H403</f>
        <v/>
      </c>
      <c r="L403" s="4">
        <f>_DATA_Assessment_Model!I403</f>
        <v/>
      </c>
      <c r="M403" s="4">
        <f>_DATA_Assessment_Model!J403</f>
        <v/>
      </c>
      <c r="N403" s="4">
        <f>_DATA_Assessment_Model!K403</f>
        <v/>
      </c>
      <c r="O403" s="3">
        <f>_DATA_Assessment_Model!L403</f>
        <v/>
      </c>
      <c r="P403" s="3" t="inlineStr">
        <is>
          <t>Never done; no records exist.</t>
        </is>
      </c>
      <c r="Q403" s="3" t="inlineStr">
        <is>
          <t>Done once long ago or only after an incident; no schedule, no records.</t>
        </is>
      </c>
      <c r="R403" s="3" t="inlineStr">
        <is>
          <t>Done irregularly; results are not documented and findings are not tracked.</t>
        </is>
      </c>
      <c r="S403" s="3" t="inlineStr">
        <is>
          <t>Done on a defined schedule (at least annually); results documented, owner assigned.</t>
        </is>
      </c>
      <c r="T403" s="3" t="inlineStr">
        <is>
          <t>Done quarterly/semi-annually; findings tracked to closure, effectiveness measured against targets.</t>
        </is>
      </c>
      <c r="U403" s="3" t="inlineStr">
        <is>
          <t>Continuous or automated where possible; results drive improvements and are validated externally (audit/customer).</t>
        </is>
      </c>
      <c r="V403" s="3" t="inlineStr">
        <is>
          <t>Cyberattack/ransomware; Supplier/logistics disruption; Cloud/SaaS outage</t>
        </is>
      </c>
      <c r="W403" s="3" t="n"/>
      <c r="X403" s="3" t="n"/>
      <c r="Y403" s="3" t="inlineStr">
        <is>
          <t>Use the recommended action generated by the model; validate with domain owner during real assessment.</t>
        </is>
      </c>
      <c r="Z403" s="7" t="n">
        <v>3</v>
      </c>
      <c r="AA403" s="7" t="n">
        <v>5</v>
      </c>
      <c r="AB403" s="7" t="n">
        <v>4</v>
      </c>
      <c r="AK403" s="46" t="n"/>
      <c r="AL403" s="46" t="n"/>
      <c r="AM403" s="247">
        <f>_DATA_Assessment_Model!AJ403</f>
        <v/>
      </c>
      <c r="AN403" s="247">
        <f>_DATA_Assessment_Model!AK403</f>
        <v/>
      </c>
      <c r="AO403" s="247">
        <f>_DATA_Assessment_Model!AL403</f>
        <v/>
      </c>
      <c r="AP403" s="247">
        <f>_DATA_Assessment_Model!AM403</f>
        <v/>
      </c>
      <c r="AQ403" s="247">
        <f>_DATA_Assessment_Model!AN403</f>
        <v/>
      </c>
      <c r="AR403" s="247">
        <f>_DATA_Assessment_Model!AO403</f>
        <v/>
      </c>
      <c r="AS403" s="247">
        <f>_DATA_Assessment_Model!AP403</f>
        <v/>
      </c>
      <c r="AT403" s="247">
        <f>_DATA_Assessment_Model!AQ403</f>
        <v/>
      </c>
      <c r="AU403" s="247">
        <f>_DATA_Assessment_Model!AR403</f>
        <v/>
      </c>
      <c r="AV403" s="5">
        <f>_DATA_Assessment_Model!AS403</f>
        <v/>
      </c>
      <c r="AW403" s="5">
        <f>_DATA_Assessment_Model!AT403</f>
        <v/>
      </c>
      <c r="AY403">
        <f>_DATA_Assessment_Model!AV403</f>
        <v/>
      </c>
    </row>
    <row r="404" ht="110.4" customHeight="1" s="209">
      <c r="A404" t="inlineStr">
        <is>
          <t>Cyber Privacy</t>
        </is>
      </c>
      <c r="B404" t="inlineStr">
        <is>
          <t>Cyber Privacy</t>
        </is>
      </c>
      <c r="C404" t="n">
        <v>36</v>
      </c>
      <c r="D404" s="3" t="inlineStr">
        <is>
          <t>CYBE-036</t>
        </is>
      </c>
      <c r="E404" s="3" t="inlineStr">
        <is>
          <t>Security governance</t>
        </is>
      </c>
      <c r="F404" s="3" t="inlineStr">
        <is>
          <t>How mature is the organization in managing vendor offboarding with access revocation, data return or deletion and post-contract security obligations, including ownership, evidence, metrics, fallback procedures and crisis stress testing?</t>
        </is>
      </c>
      <c r="G404" s="3" t="inlineStr">
        <is>
          <t>This topic affects exposure to Cyberattack/ransomware; Regulatory/legal shock. It helps identify how disruption may impact operations, people, revenue, systems, legal exposure or recovery time.</t>
        </is>
      </c>
      <c r="H404" s="3" t="inlineStr">
        <is>
          <t>NIST CSF 2.0 GV.SC-10; ISO 27001; GDPR</t>
        </is>
      </c>
      <c r="I404" s="3" t="inlineStr">
        <is>
          <t>Policy/SOP; owner/RACI; system report; dashboard; contracts; test records; incident history; interview evidence related to information security management system with policies, owners, risks and controls.</t>
        </is>
      </c>
      <c r="J404" s="3" t="n">
        <v>4</v>
      </c>
      <c r="K404" s="85">
        <f>_DATA_Assessment_Model!H404</f>
        <v/>
      </c>
      <c r="L404" s="4">
        <f>_DATA_Assessment_Model!I404</f>
        <v/>
      </c>
      <c r="M404" s="4">
        <f>_DATA_Assessment_Model!J404</f>
        <v/>
      </c>
      <c r="N404" s="4">
        <f>_DATA_Assessment_Model!K404</f>
        <v/>
      </c>
      <c r="O404" s="3">
        <f>_DATA_Assessment_Model!L404</f>
        <v/>
      </c>
      <c r="P404" s="3" t="inlineStr">
        <is>
          <t>No reliable evidence that vendor offboarding with access revocation, data return or deletion and post-contract security obligations is defined, owned or managed.</t>
        </is>
      </c>
      <c r="Q404" s="3" t="inlineStr">
        <is>
          <t>Vendor offboarding with access revocation, data return or deletion and post-contract security obligations is handled informally and depends on individual knowledge or heroic effort.</t>
        </is>
      </c>
      <c r="R404" s="3" t="inlineStr">
        <is>
          <t>Vendor offboarding with access revocation, data return or deletion and post-contract security obligations is partially documented or implemented, but coverage is inconsistent and not crisis-tested.</t>
        </is>
      </c>
      <c r="S404" s="3" t="inlineStr">
        <is>
          <t>Vendor offboarding with access revocation, data return or deletion and post-contract security obligations is documented, owned, used in normal operations and supported by basic evidence or metrics.</t>
        </is>
      </c>
      <c r="T404" s="3" t="inlineStr">
        <is>
          <t>Vendor offboarding with access revocation, data return or deletion and post-contract security obligations is measured, periodically reviewed, integrated with related processes and tested against relevant disruption scenarios.</t>
        </is>
      </c>
      <c r="U404" s="3" t="inlineStr">
        <is>
          <t>Vendor offboarding with access revocation, data return or deletion and post-contract security obligations is optimized, continuously improved, automated where practical and demonstrably supports crisis resilience.</t>
        </is>
      </c>
      <c r="V404" s="3" t="inlineStr">
        <is>
          <t>Cyberattack/ransomware; Regulatory/legal shock</t>
        </is>
      </c>
      <c r="W404" s="3" t="n"/>
      <c r="X404" s="3" t="n"/>
      <c r="Y404" s="3" t="inlineStr">
        <is>
          <t>Use the recommended action generated by the model; validate with domain owner during real assessment.</t>
        </is>
      </c>
      <c r="Z404" s="7" t="n">
        <v>4</v>
      </c>
      <c r="AA404" s="7" t="n">
        <v>4</v>
      </c>
      <c r="AB404" s="7" t="n">
        <v>4</v>
      </c>
      <c r="AK404" s="46" t="n"/>
      <c r="AL404" s="46" t="n"/>
      <c r="AM404" s="247">
        <f>_DATA_Assessment_Model!AJ404</f>
        <v/>
      </c>
      <c r="AN404" s="247">
        <f>_DATA_Assessment_Model!AK404</f>
        <v/>
      </c>
      <c r="AO404" s="247">
        <f>_DATA_Assessment_Model!AL404</f>
        <v/>
      </c>
      <c r="AP404" s="247">
        <f>_DATA_Assessment_Model!AM404</f>
        <v/>
      </c>
      <c r="AQ404" s="247">
        <f>_DATA_Assessment_Model!AN404</f>
        <v/>
      </c>
      <c r="AR404" s="247">
        <f>_DATA_Assessment_Model!AO404</f>
        <v/>
      </c>
      <c r="AS404" s="247">
        <f>_DATA_Assessment_Model!AP404</f>
        <v/>
      </c>
      <c r="AT404" s="247">
        <f>_DATA_Assessment_Model!AQ404</f>
        <v/>
      </c>
      <c r="AU404" s="247">
        <f>_DATA_Assessment_Model!AR404</f>
        <v/>
      </c>
      <c r="AV404" s="5">
        <f>_DATA_Assessment_Model!AS404</f>
        <v/>
      </c>
      <c r="AW404" s="5">
        <f>_DATA_Assessment_Model!AT404</f>
        <v/>
      </c>
      <c r="AY404">
        <f>_DATA_Assessment_Model!AV404</f>
        <v/>
      </c>
    </row>
    <row r="405" ht="110.4" customHeight="1" s="209">
      <c r="A405" t="inlineStr">
        <is>
          <t>Cyber Privacy</t>
        </is>
      </c>
      <c r="B405" t="inlineStr">
        <is>
          <t>Cyber Privacy</t>
        </is>
      </c>
      <c r="C405" t="n">
        <v>37</v>
      </c>
      <c r="D405" s="3" t="inlineStr">
        <is>
          <t>CYBE-037</t>
        </is>
      </c>
      <c r="E405" s="3" t="inlineStr">
        <is>
          <t>Detection and response</t>
        </is>
      </c>
      <c r="F405" s="3" t="inlineStr">
        <is>
          <t>How mature is the organization in managing threat intelligence intake from CERT, sector and vendor sources integrated into detection and patch priorities, including ownership, evidence, metrics, fallback procedures and crisis stress testing?</t>
        </is>
      </c>
      <c r="G405" s="3" t="inlineStr">
        <is>
          <t>This topic affects exposure to Cyberattack/ransomware. It helps identify how disruption may impact operations, people, revenue, systems, legal exposure or recovery time.</t>
        </is>
      </c>
      <c r="H405" s="3" t="inlineStr">
        <is>
          <t>NIST CSF 2.0 ID.RA-02; CIS Controls; ISO 27001</t>
        </is>
      </c>
      <c r="I405" s="3" t="inlineStr">
        <is>
          <t>Policy/SOP; owner/RACI; system report; dashboard; contracts; test records; incident history; interview evidence related to information security management system with policies, owners, risks and controls.</t>
        </is>
      </c>
      <c r="J405" s="3" t="n">
        <v>3</v>
      </c>
      <c r="K405" s="85">
        <f>_DATA_Assessment_Model!H405</f>
        <v/>
      </c>
      <c r="L405" s="4">
        <f>_DATA_Assessment_Model!I405</f>
        <v/>
      </c>
      <c r="M405" s="4">
        <f>_DATA_Assessment_Model!J405</f>
        <v/>
      </c>
      <c r="N405" s="4">
        <f>_DATA_Assessment_Model!K405</f>
        <v/>
      </c>
      <c r="O405" s="3">
        <f>_DATA_Assessment_Model!L405</f>
        <v/>
      </c>
      <c r="P405" s="3" t="inlineStr">
        <is>
          <t>No reliable evidence that threat intelligence intake from CERT, sector and vendor sources integrated into detection and patch priorities is defined, owned or managed.</t>
        </is>
      </c>
      <c r="Q405" s="3" t="inlineStr">
        <is>
          <t>Threat intelligence intake from CERT, sector and vendor sources integrated into detection and patch priorities is handled informally and depends on individual knowledge or heroic effort.</t>
        </is>
      </c>
      <c r="R405" s="3" t="inlineStr">
        <is>
          <t>Threat intelligence intake from CERT, sector and vendor sources integrated into detection and patch priorities is partially documented or implemented, but coverage is inconsistent and not crisis-tested.</t>
        </is>
      </c>
      <c r="S405" s="3" t="inlineStr">
        <is>
          <t>Threat intelligence intake from CERT, sector and vendor sources integrated into detection and patch priorities is documented, owned, used in normal operations and supported by basic evidence or metrics.</t>
        </is>
      </c>
      <c r="T405" s="3" t="inlineStr">
        <is>
          <t>Threat intelligence intake from CERT, sector and vendor sources integrated into detection and patch priorities is measured, periodically reviewed, integrated with related processes and tested against relevant disruption scenarios.</t>
        </is>
      </c>
      <c r="U405" s="3" t="inlineStr">
        <is>
          <t>Threat intelligence intake from CERT, sector and vendor sources integrated into detection and patch priorities is optimized, continuously improved, automated where practical and demonstrably supports crisis resilience.</t>
        </is>
      </c>
      <c r="V405" s="3" t="inlineStr">
        <is>
          <t>Cyberattack/ransomware</t>
        </is>
      </c>
      <c r="W405" s="3" t="n"/>
      <c r="X405" s="3" t="n"/>
      <c r="Y405" s="3" t="inlineStr">
        <is>
          <t>Use the recommended action generated by the model; validate with domain owner during real assessment.</t>
        </is>
      </c>
      <c r="Z405" s="7" t="n">
        <v>4</v>
      </c>
      <c r="AA405" s="7" t="n">
        <v>4</v>
      </c>
      <c r="AB405" s="7" t="n">
        <v>3</v>
      </c>
      <c r="AK405" s="46" t="n"/>
      <c r="AL405" s="46" t="n"/>
      <c r="AM405" s="247">
        <f>_DATA_Assessment_Model!AJ405</f>
        <v/>
      </c>
      <c r="AN405" s="247">
        <f>_DATA_Assessment_Model!AK405</f>
        <v/>
      </c>
      <c r="AO405" s="247">
        <f>_DATA_Assessment_Model!AL405</f>
        <v/>
      </c>
      <c r="AP405" s="247">
        <f>_DATA_Assessment_Model!AM405</f>
        <v/>
      </c>
      <c r="AQ405" s="247">
        <f>_DATA_Assessment_Model!AN405</f>
        <v/>
      </c>
      <c r="AR405" s="247">
        <f>_DATA_Assessment_Model!AO405</f>
        <v/>
      </c>
      <c r="AS405" s="247">
        <f>_DATA_Assessment_Model!AP405</f>
        <v/>
      </c>
      <c r="AT405" s="247">
        <f>_DATA_Assessment_Model!AQ405</f>
        <v/>
      </c>
      <c r="AU405" s="247">
        <f>_DATA_Assessment_Model!AR405</f>
        <v/>
      </c>
      <c r="AV405" s="5">
        <f>_DATA_Assessment_Model!AS405</f>
        <v/>
      </c>
      <c r="AW405" s="5">
        <f>_DATA_Assessment_Model!AT405</f>
        <v/>
      </c>
      <c r="AY405">
        <f>_DATA_Assessment_Model!AV405</f>
        <v/>
      </c>
    </row>
    <row r="406" ht="110.4" customHeight="1" s="209">
      <c r="A406" t="inlineStr">
        <is>
          <t>Cyber Privacy</t>
        </is>
      </c>
      <c r="B406" t="inlineStr">
        <is>
          <t>Cyber Privacy</t>
        </is>
      </c>
      <c r="C406" t="n">
        <v>38</v>
      </c>
      <c r="D406" s="3" t="inlineStr">
        <is>
          <t>CYBE-038</t>
        </is>
      </c>
      <c r="E406" s="3" t="inlineStr">
        <is>
          <t>Detection and response</t>
        </is>
      </c>
      <c r="F406" s="3" t="inlineStr">
        <is>
          <t>How mature is the organization in managing forensic evidence preservation with defined collection procedures, integrity protection and chain of custody, including ownership, evidence, metrics, fallback procedures and crisis stress testing?</t>
        </is>
      </c>
      <c r="G406" s="3" t="inlineStr">
        <is>
          <t>This topic affects exposure to Cyberattack/ransomware; Regulatory/legal shock. It helps identify how disruption may impact operations, people, revenue, systems, legal exposure or recovery time.</t>
        </is>
      </c>
      <c r="H406" s="3" t="inlineStr">
        <is>
          <t>NIST CSF 2.0 RS.AN-06/07; ISO 27037</t>
        </is>
      </c>
      <c r="I406" s="3" t="inlineStr">
        <is>
          <t>Policy/SOP; owner/RACI; system report; dashboard; contracts; test records; incident history; interview evidence related to information security management system with policies, owners, risks and controls.</t>
        </is>
      </c>
      <c r="J406" s="3" t="n">
        <v>3</v>
      </c>
      <c r="K406" s="85">
        <f>_DATA_Assessment_Model!H406</f>
        <v/>
      </c>
      <c r="L406" s="4">
        <f>_DATA_Assessment_Model!I406</f>
        <v/>
      </c>
      <c r="M406" s="4">
        <f>_DATA_Assessment_Model!J406</f>
        <v/>
      </c>
      <c r="N406" s="4">
        <f>_DATA_Assessment_Model!K406</f>
        <v/>
      </c>
      <c r="O406" s="3">
        <f>_DATA_Assessment_Model!L406</f>
        <v/>
      </c>
      <c r="P406" s="3" t="inlineStr">
        <is>
          <t>No reliable evidence that forensic evidence preservation with defined collection procedures, integrity protection and chain of custody is defined, owned or managed.</t>
        </is>
      </c>
      <c r="Q406" s="3" t="inlineStr">
        <is>
          <t>Forensic evidence preservation with defined collection procedures, integrity protection and chain of custody is handled informally and depends on individual knowledge or heroic effort.</t>
        </is>
      </c>
      <c r="R406" s="3" t="inlineStr">
        <is>
          <t>Forensic evidence preservation with defined collection procedures, integrity protection and chain of custody is partially documented or implemented, but coverage is inconsistent and not crisis-tested.</t>
        </is>
      </c>
      <c r="S406" s="3" t="inlineStr">
        <is>
          <t>Forensic evidence preservation with defined collection procedures, integrity protection and chain of custody is documented, owned, used in normal operations and supported by basic evidence or metrics.</t>
        </is>
      </c>
      <c r="T406" s="3" t="inlineStr">
        <is>
          <t>Forensic evidence preservation with defined collection procedures, integrity protection and chain of custody is measured, periodically reviewed, integrated with related processes and tested against relevant disruption scenarios.</t>
        </is>
      </c>
      <c r="U406" s="3" t="inlineStr">
        <is>
          <t>Forensic evidence preservation with defined collection procedures, integrity protection and chain of custody is optimized, continuously improved, automated where practical and demonstrably supports crisis resilience.</t>
        </is>
      </c>
      <c r="V406" s="3" t="inlineStr">
        <is>
          <t>Cyberattack/ransomware; Regulatory/legal shock</t>
        </is>
      </c>
      <c r="W406" s="3" t="n"/>
      <c r="X406" s="3" t="n"/>
      <c r="Y406" s="3" t="inlineStr">
        <is>
          <t>Use the recommended action generated by the model; validate with domain owner during real assessment.</t>
        </is>
      </c>
      <c r="Z406" s="7" t="n">
        <v>3</v>
      </c>
      <c r="AA406" s="7" t="n">
        <v>4</v>
      </c>
      <c r="AB406" s="7" t="n">
        <v>4</v>
      </c>
      <c r="AK406" s="46" t="n"/>
      <c r="AL406" s="46" t="n"/>
      <c r="AM406" s="247">
        <f>_DATA_Assessment_Model!AJ406</f>
        <v/>
      </c>
      <c r="AN406" s="247">
        <f>_DATA_Assessment_Model!AK406</f>
        <v/>
      </c>
      <c r="AO406" s="247">
        <f>_DATA_Assessment_Model!AL406</f>
        <v/>
      </c>
      <c r="AP406" s="247">
        <f>_DATA_Assessment_Model!AM406</f>
        <v/>
      </c>
      <c r="AQ406" s="247">
        <f>_DATA_Assessment_Model!AN406</f>
        <v/>
      </c>
      <c r="AR406" s="247">
        <f>_DATA_Assessment_Model!AO406</f>
        <v/>
      </c>
      <c r="AS406" s="247">
        <f>_DATA_Assessment_Model!AP406</f>
        <v/>
      </c>
      <c r="AT406" s="247">
        <f>_DATA_Assessment_Model!AQ406</f>
        <v/>
      </c>
      <c r="AU406" s="247">
        <f>_DATA_Assessment_Model!AR406</f>
        <v/>
      </c>
      <c r="AV406" s="5">
        <f>_DATA_Assessment_Model!AS406</f>
        <v/>
      </c>
      <c r="AW406" s="5">
        <f>_DATA_Assessment_Model!AT406</f>
        <v/>
      </c>
      <c r="AY406">
        <f>_DATA_Assessment_Model!AV406</f>
        <v/>
      </c>
    </row>
    <row r="407" ht="96.59999999999999" customHeight="1" s="209">
      <c r="A407" t="inlineStr">
        <is>
          <t>Quality Portfolio</t>
        </is>
      </c>
      <c r="B407" t="inlineStr">
        <is>
          <t>Quality Portfolio</t>
        </is>
      </c>
      <c r="C407" t="n">
        <v>5</v>
      </c>
      <c r="D407" s="3" t="inlineStr">
        <is>
          <t>QUAL-001</t>
        </is>
      </c>
      <c r="E407" s="3" t="inlineStr">
        <is>
          <t>Process management</t>
        </is>
      </c>
      <c r="F407" s="3" t="inlineStr">
        <is>
          <t>How mature is the organization in managing process architecture covering major value streams and support processes, including ownership, evidence, metrics, fallback procedures and crisis stress testing?</t>
        </is>
      </c>
      <c r="G407" s="3" t="inlineStr">
        <is>
          <t>This topic affects exposure to Execution failure; Delivery disruption; Decision failure. It helps identify how disruption may impact operations, people, revenue, systems, legal exposure or recovery time.</t>
        </is>
      </c>
      <c r="H407" s="3" t="inlineStr">
        <is>
          <t>ISO 9001; ISO 21502; ISO 21500; APQC; Lean; Six Sigma; PMBOK; COBIT</t>
        </is>
      </c>
      <c r="I407" s="3" t="inlineStr">
        <is>
          <t>Policy/SOP; owner/RACI; system report; dashboard; contracts; test records; incident history; interview evidence related to process architecture covering major value streams and support processes.</t>
        </is>
      </c>
      <c r="J407" s="3" t="n">
        <v>3</v>
      </c>
      <c r="K407" s="85">
        <f>_DATA_Assessment_Model!H407</f>
        <v/>
      </c>
      <c r="L407" s="4">
        <f>_DATA_Assessment_Model!I407</f>
        <v/>
      </c>
      <c r="M407" s="4">
        <f>_DATA_Assessment_Model!J407</f>
        <v/>
      </c>
      <c r="N407" s="4">
        <f>_DATA_Assessment_Model!K407</f>
        <v/>
      </c>
      <c r="O407" s="3">
        <f>_DATA_Assessment_Model!L407</f>
        <v/>
      </c>
      <c r="P407" s="3" t="inlineStr">
        <is>
          <t>No reliable evidence that process architecture covering major value streams and support processes is defined, owned or managed.</t>
        </is>
      </c>
      <c r="Q407" s="3" t="inlineStr">
        <is>
          <t>Process architecture covering major value streams and support processes is handled informally and depends on individual knowledge or heroic effort.</t>
        </is>
      </c>
      <c r="R407" s="3" t="inlineStr">
        <is>
          <t>Process architecture covering major value streams and support processes is partially documented or implemented, but coverage is inconsistent and not crisis-tested.</t>
        </is>
      </c>
      <c r="S407" s="3" t="inlineStr">
        <is>
          <t>Process architecture covering major value streams and support processes is documented, owned, used in normal operations and supported by basic evidence or metrics.</t>
        </is>
      </c>
      <c r="T407" s="3" t="inlineStr">
        <is>
          <t>Process architecture covering major value streams and support processes is measured, periodically reviewed, integrated with related processes and tested against relevant disruption scenarios.</t>
        </is>
      </c>
      <c r="U407" s="3" t="inlineStr">
        <is>
          <t>Process architecture covering major value streams and support processes is optimized, continuously improved, automated where practical and demonstrably supports crisis resilience.</t>
        </is>
      </c>
      <c r="V407" s="3" t="inlineStr">
        <is>
          <t>Execution failure; Delivery disruption; Decision failure</t>
        </is>
      </c>
      <c r="W407" s="3" t="n"/>
      <c r="X407" s="3" t="n"/>
      <c r="Y407" s="3" t="inlineStr">
        <is>
          <t>Use the recommended action generated by the model; validate with domain owner during real assessment.</t>
        </is>
      </c>
      <c r="Z407" s="7" t="n">
        <v>4</v>
      </c>
      <c r="AA407" s="7" t="n">
        <v>5</v>
      </c>
      <c r="AB407" s="7" t="n">
        <v>5</v>
      </c>
      <c r="AD407" t="inlineStr">
        <is>
          <t>Process management</t>
        </is>
      </c>
      <c r="AE407" s="6">
        <f>_DATA_Assessment_Model!AB407</f>
        <v/>
      </c>
      <c r="AF407" s="8">
        <f>_DATA_Assessment_Model!AC407</f>
        <v/>
      </c>
      <c r="AG407" s="9">
        <f>_DATA_Assessment_Model!AD407</f>
        <v/>
      </c>
      <c r="AH407" s="6">
        <f>_DATA_Assessment_Model!AE407</f>
        <v/>
      </c>
      <c r="AI407" s="8">
        <f>_DATA_Assessment_Model!AF407</f>
        <v/>
      </c>
      <c r="AJ407" s="6">
        <f>_DATA_Assessment_Model!AG407</f>
        <v/>
      </c>
      <c r="AK407" s="46" t="n"/>
      <c r="AL407" s="46" t="n"/>
      <c r="AM407" s="247">
        <f>_DATA_Assessment_Model!AJ407</f>
        <v/>
      </c>
      <c r="AN407" s="247">
        <f>_DATA_Assessment_Model!AK407</f>
        <v/>
      </c>
      <c r="AO407" s="247">
        <f>_DATA_Assessment_Model!AL407</f>
        <v/>
      </c>
      <c r="AP407" s="247">
        <f>_DATA_Assessment_Model!AM407</f>
        <v/>
      </c>
      <c r="AQ407" s="247">
        <f>_DATA_Assessment_Model!AN407</f>
        <v/>
      </c>
      <c r="AR407" s="247">
        <f>_DATA_Assessment_Model!AO407</f>
        <v/>
      </c>
      <c r="AS407" s="247">
        <f>_DATA_Assessment_Model!AP407</f>
        <v/>
      </c>
      <c r="AT407" s="247">
        <f>_DATA_Assessment_Model!AQ407</f>
        <v/>
      </c>
      <c r="AU407" s="247">
        <f>_DATA_Assessment_Model!AR407</f>
        <v/>
      </c>
      <c r="AV407" s="5">
        <f>_DATA_Assessment_Model!AS407</f>
        <v/>
      </c>
      <c r="AW407" s="5">
        <f>_DATA_Assessment_Model!AT407</f>
        <v/>
      </c>
      <c r="AY407">
        <f>_DATA_Assessment_Model!AV407</f>
        <v/>
      </c>
    </row>
    <row r="408" ht="82.8" customHeight="1" s="209">
      <c r="A408" t="inlineStr">
        <is>
          <t>Quality Portfolio</t>
        </is>
      </c>
      <c r="B408" t="inlineStr">
        <is>
          <t>Quality Portfolio</t>
        </is>
      </c>
      <c r="C408" t="n">
        <v>6</v>
      </c>
      <c r="D408" s="3" t="inlineStr">
        <is>
          <t>QUAL-002</t>
        </is>
      </c>
      <c r="E408" s="3" t="inlineStr">
        <is>
          <t>Process management</t>
        </is>
      </c>
      <c r="F408" s="3" t="inlineStr">
        <is>
          <t>How mature is the organization in managing process ownership for critical processes with inputs, outputs, controls and KPIs, including ownership, evidence, metrics, fallback procedures and crisis stress testing?</t>
        </is>
      </c>
      <c r="G408" s="3" t="inlineStr">
        <is>
          <t>This topic affects exposure to Execution failure; Delivery disruption; Decision failure. It helps identify how disruption may impact operations, people, revenue, systems, legal exposure or recovery time.</t>
        </is>
      </c>
      <c r="H408" s="3" t="inlineStr">
        <is>
          <t>ISO 9001; ISO 21502; ISO 21500; APQC; Lean; Six Sigma; PMBOK; COBIT</t>
        </is>
      </c>
      <c r="I408" s="3" t="inlineStr">
        <is>
          <t>Policy/SOP; owner/RACI; system report; dashboard; contracts; test records; incident history; interview evidence related to process ownership for critical processes with inputs, outputs, controls and KPIs.</t>
        </is>
      </c>
      <c r="J408" s="3" t="n">
        <v>5</v>
      </c>
      <c r="K408" s="85">
        <f>_DATA_Assessment_Model!H408</f>
        <v/>
      </c>
      <c r="L408" s="4">
        <f>_DATA_Assessment_Model!I408</f>
        <v/>
      </c>
      <c r="M408" s="4">
        <f>_DATA_Assessment_Model!J408</f>
        <v/>
      </c>
      <c r="N408" s="4">
        <f>_DATA_Assessment_Model!K408</f>
        <v/>
      </c>
      <c r="O408" s="3">
        <f>_DATA_Assessment_Model!L408</f>
        <v/>
      </c>
      <c r="P408" s="3" t="inlineStr">
        <is>
          <t>Nothing is monitored or measured.</t>
        </is>
      </c>
      <c r="Q408" s="3" t="inlineStr">
        <is>
          <t>Occasional manual checks by individuals.</t>
        </is>
      </c>
      <c r="R408" s="3" t="inlineStr">
        <is>
          <t>Some metrics exist but are not reviewed regularly and trigger no action.</t>
        </is>
      </c>
      <c r="S408" s="3" t="inlineStr">
        <is>
          <t>Defined metrics with an owner, reviewed on a set cadence.</t>
        </is>
      </c>
      <c r="T408" s="3" t="inlineStr">
        <is>
          <t>Thresholds and alerts in place; deviations trigger documented action; trends analyzed.</t>
        </is>
      </c>
      <c r="U408" s="3" t="inlineStr">
        <is>
          <t>Automated monitoring with leading indicators, integrated into management decisions.</t>
        </is>
      </c>
      <c r="V408" s="3" t="inlineStr">
        <is>
          <t>Execution failure; Delivery disruption; Decision failure</t>
        </is>
      </c>
      <c r="W408" s="3" t="n"/>
      <c r="X408" s="3" t="n"/>
      <c r="Y408" s="3" t="inlineStr">
        <is>
          <t>Use the recommended action generated by the model; validate with domain owner during real assessment.</t>
        </is>
      </c>
      <c r="Z408" s="7" t="n">
        <v>4</v>
      </c>
      <c r="AA408" s="7" t="n">
        <v>5</v>
      </c>
      <c r="AB408" s="7" t="n">
        <v>5</v>
      </c>
      <c r="AD408" t="inlineStr">
        <is>
          <t>Quality management</t>
        </is>
      </c>
      <c r="AE408" s="6">
        <f>_DATA_Assessment_Model!AB408</f>
        <v/>
      </c>
      <c r="AF408" s="8">
        <f>_DATA_Assessment_Model!AC408</f>
        <v/>
      </c>
      <c r="AG408" s="9">
        <f>_DATA_Assessment_Model!AD408</f>
        <v/>
      </c>
      <c r="AH408" s="6">
        <f>_DATA_Assessment_Model!AE408</f>
        <v/>
      </c>
      <c r="AI408" s="8">
        <f>_DATA_Assessment_Model!AF408</f>
        <v/>
      </c>
      <c r="AJ408" s="6">
        <f>_DATA_Assessment_Model!AG408</f>
        <v/>
      </c>
      <c r="AK408" s="46" t="n"/>
      <c r="AL408" s="46" t="n"/>
      <c r="AM408" s="247">
        <f>_DATA_Assessment_Model!AJ408</f>
        <v/>
      </c>
      <c r="AN408" s="247">
        <f>_DATA_Assessment_Model!AK408</f>
        <v/>
      </c>
      <c r="AO408" s="247">
        <f>_DATA_Assessment_Model!AL408</f>
        <v/>
      </c>
      <c r="AP408" s="247">
        <f>_DATA_Assessment_Model!AM408</f>
        <v/>
      </c>
      <c r="AQ408" s="247">
        <f>_DATA_Assessment_Model!AN408</f>
        <v/>
      </c>
      <c r="AR408" s="247">
        <f>_DATA_Assessment_Model!AO408</f>
        <v/>
      </c>
      <c r="AS408" s="247">
        <f>_DATA_Assessment_Model!AP408</f>
        <v/>
      </c>
      <c r="AT408" s="247">
        <f>_DATA_Assessment_Model!AQ408</f>
        <v/>
      </c>
      <c r="AU408" s="247">
        <f>_DATA_Assessment_Model!AR408</f>
        <v/>
      </c>
      <c r="AV408" s="5">
        <f>_DATA_Assessment_Model!AS408</f>
        <v/>
      </c>
      <c r="AW408" s="5">
        <f>_DATA_Assessment_Model!AT408</f>
        <v/>
      </c>
      <c r="AY408">
        <f>_DATA_Assessment_Model!AV408</f>
        <v/>
      </c>
    </row>
    <row r="409" ht="69" customHeight="1" s="209">
      <c r="A409" t="inlineStr">
        <is>
          <t>Quality Portfolio</t>
        </is>
      </c>
      <c r="B409" t="inlineStr">
        <is>
          <t>Quality Portfolio</t>
        </is>
      </c>
      <c r="C409" t="n">
        <v>7</v>
      </c>
      <c r="D409" s="3" t="inlineStr">
        <is>
          <t>QUAL-004</t>
        </is>
      </c>
      <c r="E409" s="3" t="inlineStr">
        <is>
          <t>Process management</t>
        </is>
      </c>
      <c r="F409" s="3" t="inlineStr">
        <is>
          <t>How mature is the organization in managing SOP and policy document control with versioning, ownership and review cadence, including ownership, evidence, metrics, fallback procedures and crisis stress testing?</t>
        </is>
      </c>
      <c r="G409" s="3" t="inlineStr">
        <is>
          <t>This topic affects exposure to Execution failure; Delivery disruption; Decision failure. It helps identify how disruption may impact operations, people, revenue, systems, legal exposure or recovery time.</t>
        </is>
      </c>
      <c r="H409" s="3" t="inlineStr">
        <is>
          <t>ISO 9001; ISO 21502; ISO 21500; APQC; Lean; Six Sigma; PMBOK; COBIT</t>
        </is>
      </c>
      <c r="I409" s="3" t="inlineStr">
        <is>
          <t>Policy/SOP; owner/RACI; system report; dashboard; contracts; test records; incident history; interview evidence related to SOP and policy document control with versioning, ownership and review cadence.</t>
        </is>
      </c>
      <c r="J409" s="3" t="n">
        <v>3</v>
      </c>
      <c r="K409" s="85">
        <f>_DATA_Assessment_Model!H409</f>
        <v/>
      </c>
      <c r="L409" s="4">
        <f>_DATA_Assessment_Model!I409</f>
        <v/>
      </c>
      <c r="M409" s="4">
        <f>_DATA_Assessment_Model!J409</f>
        <v/>
      </c>
      <c r="N409" s="4">
        <f>_DATA_Assessment_Model!K409</f>
        <v/>
      </c>
      <c r="O409" s="3">
        <f>_DATA_Assessment_Model!L409</f>
        <v/>
      </c>
      <c r="P409" s="3" t="inlineStr">
        <is>
          <t>Never done; no records exist.</t>
        </is>
      </c>
      <c r="Q409" s="3" t="inlineStr">
        <is>
          <t>Done once long ago or only after an incident; no schedule, no records.</t>
        </is>
      </c>
      <c r="R409" s="3" t="inlineStr">
        <is>
          <t>Done irregularly; results are not documented and findings are not tracked.</t>
        </is>
      </c>
      <c r="S409" s="3" t="inlineStr">
        <is>
          <t>Done on a defined schedule (at least annually); results documented, owner assigned.</t>
        </is>
      </c>
      <c r="T409" s="3" t="inlineStr">
        <is>
          <t>Done quarterly/semi-annually; findings tracked to closure, effectiveness measured against targets.</t>
        </is>
      </c>
      <c r="U409" s="3" t="inlineStr">
        <is>
          <t>Continuous or automated where possible; results drive improvements and are validated externally (audit/customer).</t>
        </is>
      </c>
      <c r="V409" s="3" t="inlineStr">
        <is>
          <t>Execution failure; Delivery disruption; Decision failure</t>
        </is>
      </c>
      <c r="W409" s="3" t="n"/>
      <c r="X409" s="3" t="n"/>
      <c r="Y409" s="3" t="inlineStr">
        <is>
          <t>Use the recommended action generated by the model; validate with domain owner during real assessment.</t>
        </is>
      </c>
      <c r="Z409" s="7" t="n">
        <v>4</v>
      </c>
      <c r="AA409" s="7" t="n">
        <v>5</v>
      </c>
      <c r="AB409" s="7" t="n">
        <v>5</v>
      </c>
      <c r="AD409" t="inlineStr">
        <is>
          <t>Portfolio and change</t>
        </is>
      </c>
      <c r="AE409" s="6">
        <f>_DATA_Assessment_Model!AB409</f>
        <v/>
      </c>
      <c r="AF409" s="8">
        <f>_DATA_Assessment_Model!AC409</f>
        <v/>
      </c>
      <c r="AG409" s="9">
        <f>_DATA_Assessment_Model!AD409</f>
        <v/>
      </c>
      <c r="AH409" s="6">
        <f>_DATA_Assessment_Model!AE409</f>
        <v/>
      </c>
      <c r="AI409" s="8">
        <f>_DATA_Assessment_Model!AF409</f>
        <v/>
      </c>
      <c r="AJ409" s="6">
        <f>_DATA_Assessment_Model!AG409</f>
        <v/>
      </c>
      <c r="AK409" s="46" t="n"/>
      <c r="AL409" s="46" t="n"/>
      <c r="AM409" s="247">
        <f>_DATA_Assessment_Model!AJ409</f>
        <v/>
      </c>
      <c r="AN409" s="247">
        <f>_DATA_Assessment_Model!AK409</f>
        <v/>
      </c>
      <c r="AO409" s="247">
        <f>_DATA_Assessment_Model!AL409</f>
        <v/>
      </c>
      <c r="AP409" s="247">
        <f>_DATA_Assessment_Model!AM409</f>
        <v/>
      </c>
      <c r="AQ409" s="247">
        <f>_DATA_Assessment_Model!AN409</f>
        <v/>
      </c>
      <c r="AR409" s="247">
        <f>_DATA_Assessment_Model!AO409</f>
        <v/>
      </c>
      <c r="AS409" s="247">
        <f>_DATA_Assessment_Model!AP409</f>
        <v/>
      </c>
      <c r="AT409" s="247">
        <f>_DATA_Assessment_Model!AQ409</f>
        <v/>
      </c>
      <c r="AU409" s="247">
        <f>_DATA_Assessment_Model!AR409</f>
        <v/>
      </c>
      <c r="AV409" s="5">
        <f>_DATA_Assessment_Model!AS409</f>
        <v/>
      </c>
      <c r="AW409" s="5">
        <f>_DATA_Assessment_Model!AT409</f>
        <v/>
      </c>
      <c r="AY409">
        <f>_DATA_Assessment_Model!AV409</f>
        <v/>
      </c>
    </row>
    <row r="410" ht="96.59999999999999" customHeight="1" s="209">
      <c r="A410" t="inlineStr">
        <is>
          <t>Quality Portfolio</t>
        </is>
      </c>
      <c r="B410" t="inlineStr">
        <is>
          <t>Quality Portfolio</t>
        </is>
      </c>
      <c r="C410" t="n">
        <v>8</v>
      </c>
      <c r="D410" s="3" t="inlineStr">
        <is>
          <t>QUAL-005</t>
        </is>
      </c>
      <c r="E410" s="3" t="inlineStr">
        <is>
          <t>Process management</t>
        </is>
      </c>
      <c r="F410" s="3" t="inlineStr">
        <is>
          <t>How mature is the organization in managing process automation documented, monitored and covered by manual fallback, including ownership, evidence, metrics, fallback procedures and crisis stress testing?</t>
        </is>
      </c>
      <c r="G410" s="3" t="inlineStr">
        <is>
          <t>This topic affects exposure to Execution failure; Delivery disruption; Decision failure. It helps identify how disruption may impact operations, people, revenue, systems, legal exposure or recovery time.</t>
        </is>
      </c>
      <c r="H410" s="3" t="inlineStr">
        <is>
          <t>ISO 9001; ISO 21502; ISO 21500; APQC; Lean; Six Sigma; PMBOK; COBIT</t>
        </is>
      </c>
      <c r="I410" s="3" t="inlineStr">
        <is>
          <t>Policy/SOP; owner/RACI; system report; dashboard; contracts; test records; incident history; interview evidence related to process automation documented, monitored and covered by manual fallback.</t>
        </is>
      </c>
      <c r="J410" s="3" t="n">
        <v>3</v>
      </c>
      <c r="K410" s="85">
        <f>_DATA_Assessment_Model!H410</f>
        <v/>
      </c>
      <c r="L410" s="4">
        <f>_DATA_Assessment_Model!I410</f>
        <v/>
      </c>
      <c r="M410" s="4">
        <f>_DATA_Assessment_Model!J410</f>
        <v/>
      </c>
      <c r="N410" s="4">
        <f>_DATA_Assessment_Model!K410</f>
        <v/>
      </c>
      <c r="O410" s="3">
        <f>_DATA_Assessment_Model!L410</f>
        <v/>
      </c>
      <c r="P410" s="3" t="inlineStr">
        <is>
          <t>No reliable evidence that process automation documented, monitored and covered by manual fallback is defined, owned or managed.</t>
        </is>
      </c>
      <c r="Q410" s="3" t="inlineStr">
        <is>
          <t>Process automation documented, monitored and covered by manual fallback is handled informally and depends on individual knowledge or heroic effort.</t>
        </is>
      </c>
      <c r="R410" s="3" t="inlineStr">
        <is>
          <t>Process automation documented, monitored and covered by manual fallback is partially documented or implemented, but coverage is inconsistent and not crisis-tested.</t>
        </is>
      </c>
      <c r="S410" s="3" t="inlineStr">
        <is>
          <t>Process automation documented, monitored and covered by manual fallback is documented, owned, used in normal operations and supported by basic evidence or metrics.</t>
        </is>
      </c>
      <c r="T410" s="3" t="inlineStr">
        <is>
          <t>Process automation documented, monitored and covered by manual fallback is measured, periodically reviewed, integrated with related processes and tested against relevant disruption scenarios.</t>
        </is>
      </c>
      <c r="U410" s="3" t="inlineStr">
        <is>
          <t>Process automation documented, monitored and covered by manual fallback is optimized, continuously improved, automated where practical and demonstrably supports crisis resilience.</t>
        </is>
      </c>
      <c r="V410" s="3" t="inlineStr">
        <is>
          <t>Execution failure; Delivery disruption; Decision failure</t>
        </is>
      </c>
      <c r="W410" s="3" t="n"/>
      <c r="X410" s="3" t="n"/>
      <c r="Y410" s="3" t="inlineStr">
        <is>
          <t>Use the recommended action generated by the model; validate with domain owner during real assessment.</t>
        </is>
      </c>
      <c r="Z410" s="7" t="n">
        <v>4</v>
      </c>
      <c r="AA410" s="7" t="n">
        <v>5</v>
      </c>
      <c r="AB410" s="7" t="n">
        <v>5</v>
      </c>
      <c r="AD410" t="inlineStr">
        <is>
          <t>Management system</t>
        </is>
      </c>
      <c r="AE410" s="6">
        <f>_DATA_Assessment_Model!AB410</f>
        <v/>
      </c>
      <c r="AF410" s="8">
        <f>_DATA_Assessment_Model!AC410</f>
        <v/>
      </c>
      <c r="AG410" s="9">
        <f>_DATA_Assessment_Model!AD410</f>
        <v/>
      </c>
      <c r="AH410" s="6">
        <f>_DATA_Assessment_Model!AE410</f>
        <v/>
      </c>
      <c r="AI410" s="8">
        <f>_DATA_Assessment_Model!AF410</f>
        <v/>
      </c>
      <c r="AJ410" s="6">
        <f>_DATA_Assessment_Model!AG410</f>
        <v/>
      </c>
      <c r="AK410" s="46" t="n"/>
      <c r="AL410" s="46" t="n"/>
      <c r="AM410" s="247">
        <f>_DATA_Assessment_Model!AJ410</f>
        <v/>
      </c>
      <c r="AN410" s="247">
        <f>_DATA_Assessment_Model!AK410</f>
        <v/>
      </c>
      <c r="AO410" s="247">
        <f>_DATA_Assessment_Model!AL410</f>
        <v/>
      </c>
      <c r="AP410" s="247">
        <f>_DATA_Assessment_Model!AM410</f>
        <v/>
      </c>
      <c r="AQ410" s="247">
        <f>_DATA_Assessment_Model!AN410</f>
        <v/>
      </c>
      <c r="AR410" s="247">
        <f>_DATA_Assessment_Model!AO410</f>
        <v/>
      </c>
      <c r="AS410" s="247">
        <f>_DATA_Assessment_Model!AP410</f>
        <v/>
      </c>
      <c r="AT410" s="247">
        <f>_DATA_Assessment_Model!AQ410</f>
        <v/>
      </c>
      <c r="AU410" s="247">
        <f>_DATA_Assessment_Model!AR410</f>
        <v/>
      </c>
      <c r="AV410" s="5">
        <f>_DATA_Assessment_Model!AS410</f>
        <v/>
      </c>
      <c r="AW410" s="5">
        <f>_DATA_Assessment_Model!AT410</f>
        <v/>
      </c>
      <c r="AY410">
        <f>_DATA_Assessment_Model!AV410</f>
        <v/>
      </c>
    </row>
    <row r="411" ht="96.59999999999999" customHeight="1" s="209">
      <c r="A411" t="inlineStr">
        <is>
          <t>Quality Portfolio</t>
        </is>
      </c>
      <c r="B411" t="inlineStr">
        <is>
          <t>Quality Portfolio</t>
        </is>
      </c>
      <c r="C411" t="n">
        <v>9</v>
      </c>
      <c r="D411" s="3" t="inlineStr">
        <is>
          <t>QUAL-006</t>
        </is>
      </c>
      <c r="E411" s="3" t="inlineStr">
        <is>
          <t>Quality management</t>
        </is>
      </c>
      <c r="F411" s="3" t="inlineStr">
        <is>
          <t>How mature is the organization in managing quality objectives linked to customer, delivery and operational performance, including ownership, evidence, metrics, fallback procedures and crisis stress testing?</t>
        </is>
      </c>
      <c r="G411" s="3" t="inlineStr">
        <is>
          <t>This topic affects exposure to Execution failure; Delivery disruption; Decision failure. It helps identify how disruption may impact operations, people, revenue, systems, legal exposure or recovery time.</t>
        </is>
      </c>
      <c r="H411" s="3" t="inlineStr">
        <is>
          <t>ISO 9001; ISO 21502; ISO 21500; APQC; Lean; Six Sigma; PMBOK; COBIT</t>
        </is>
      </c>
      <c r="I411" s="3" t="inlineStr">
        <is>
          <t>Policy/SOP; owner/RACI; system report; dashboard; contracts; test records; incident history; interview evidence related to quality objectives linked to customer, delivery and operational performance.</t>
        </is>
      </c>
      <c r="J411" s="3" t="n">
        <v>4</v>
      </c>
      <c r="K411" s="85">
        <f>_DATA_Assessment_Model!H411</f>
        <v/>
      </c>
      <c r="L411" s="4">
        <f>_DATA_Assessment_Model!I411</f>
        <v/>
      </c>
      <c r="M411" s="4">
        <f>_DATA_Assessment_Model!J411</f>
        <v/>
      </c>
      <c r="N411" s="4">
        <f>_DATA_Assessment_Model!K411</f>
        <v/>
      </c>
      <c r="O411" s="3">
        <f>_DATA_Assessment_Model!L411</f>
        <v/>
      </c>
      <c r="P411" s="3" t="inlineStr">
        <is>
          <t>No reliable evidence that quality objectives linked to customer, delivery and operational performance is defined, owned or managed.</t>
        </is>
      </c>
      <c r="Q411" s="3" t="inlineStr">
        <is>
          <t>Quality objectives linked to customer, delivery and operational performance is handled informally and depends on individual knowledge or heroic effort.</t>
        </is>
      </c>
      <c r="R411" s="3" t="inlineStr">
        <is>
          <t>Quality objectives linked to customer, delivery and operational performance is partially documented or implemented, but coverage is inconsistent and not crisis-tested.</t>
        </is>
      </c>
      <c r="S411" s="3" t="inlineStr">
        <is>
          <t>Quality objectives linked to customer, delivery and operational performance is documented, owned, used in normal operations and supported by basic evidence or metrics.</t>
        </is>
      </c>
      <c r="T411" s="3" t="inlineStr">
        <is>
          <t>Quality objectives linked to customer, delivery and operational performance is measured, periodically reviewed, integrated with related processes and tested against relevant disruption scenarios.</t>
        </is>
      </c>
      <c r="U411" s="3" t="inlineStr">
        <is>
          <t>Quality objectives linked to customer, delivery and operational performance is optimized, continuously improved, automated where practical and demonstrably supports crisis resilience.</t>
        </is>
      </c>
      <c r="V411" s="3" t="inlineStr">
        <is>
          <t>Execution failure; Delivery disruption; Decision failure</t>
        </is>
      </c>
      <c r="W411" s="3" t="n"/>
      <c r="X411" s="3" t="n"/>
      <c r="Y411" s="3" t="inlineStr">
        <is>
          <t>Use the recommended action generated by the model; validate with domain owner during real assessment.</t>
        </is>
      </c>
      <c r="Z411" s="7" t="n">
        <v>4</v>
      </c>
      <c r="AA411" s="7" t="n">
        <v>5</v>
      </c>
      <c r="AB411" s="7" t="n">
        <v>5</v>
      </c>
      <c r="AK411" s="46" t="n"/>
      <c r="AL411" s="46" t="n"/>
      <c r="AM411" s="247">
        <f>_DATA_Assessment_Model!AJ411</f>
        <v/>
      </c>
      <c r="AN411" s="247">
        <f>_DATA_Assessment_Model!AK411</f>
        <v/>
      </c>
      <c r="AO411" s="247">
        <f>_DATA_Assessment_Model!AL411</f>
        <v/>
      </c>
      <c r="AP411" s="247">
        <f>_DATA_Assessment_Model!AM411</f>
        <v/>
      </c>
      <c r="AQ411" s="247">
        <f>_DATA_Assessment_Model!AN411</f>
        <v/>
      </c>
      <c r="AR411" s="247">
        <f>_DATA_Assessment_Model!AO411</f>
        <v/>
      </c>
      <c r="AS411" s="247">
        <f>_DATA_Assessment_Model!AP411</f>
        <v/>
      </c>
      <c r="AT411" s="247">
        <f>_DATA_Assessment_Model!AQ411</f>
        <v/>
      </c>
      <c r="AU411" s="247">
        <f>_DATA_Assessment_Model!AR411</f>
        <v/>
      </c>
      <c r="AV411" s="5">
        <f>_DATA_Assessment_Model!AS411</f>
        <v/>
      </c>
      <c r="AW411" s="5">
        <f>_DATA_Assessment_Model!AT411</f>
        <v/>
      </c>
      <c r="AY411">
        <f>_DATA_Assessment_Model!AV411</f>
        <v/>
      </c>
    </row>
    <row r="412" ht="96.59999999999999" customHeight="1" s="209">
      <c r="A412" t="inlineStr">
        <is>
          <t>Quality Portfolio</t>
        </is>
      </c>
      <c r="B412" t="inlineStr">
        <is>
          <t>Quality Portfolio</t>
        </is>
      </c>
      <c r="C412" t="n">
        <v>10</v>
      </c>
      <c r="D412" s="3" t="inlineStr">
        <is>
          <t>QUAL-007</t>
        </is>
      </c>
      <c r="E412" s="3" t="inlineStr">
        <is>
          <t>Quality management</t>
        </is>
      </c>
      <c r="F412" s="3" t="inlineStr">
        <is>
          <t>How mature is the organization in managing nonconformity, defect, complaint and corrective action management, including ownership, evidence, metrics, fallback procedures and crisis stress testing?</t>
        </is>
      </c>
      <c r="G412" s="3" t="inlineStr">
        <is>
          <t>This topic affects exposure to Execution failure; Delivery disruption; Decision failure. It helps identify how disruption may impact operations, people, revenue, systems, legal exposure or recovery time.</t>
        </is>
      </c>
      <c r="H412" s="3" t="inlineStr">
        <is>
          <t>ISO 9001; ISO 21502; ISO 21500; APQC; Lean; Six Sigma; PMBOK; COBIT</t>
        </is>
      </c>
      <c r="I412" s="3" t="inlineStr">
        <is>
          <t>Policy/SOP; owner/RACI; system report; dashboard; contracts; test records; incident history; interview evidence related to nonconformity, defect, complaint and corrective action management.</t>
        </is>
      </c>
      <c r="J412" s="3" t="n">
        <v>3</v>
      </c>
      <c r="K412" s="85">
        <f>_DATA_Assessment_Model!H412</f>
        <v/>
      </c>
      <c r="L412" s="4">
        <f>_DATA_Assessment_Model!I412</f>
        <v/>
      </c>
      <c r="M412" s="4">
        <f>_DATA_Assessment_Model!J412</f>
        <v/>
      </c>
      <c r="N412" s="4">
        <f>_DATA_Assessment_Model!K412</f>
        <v/>
      </c>
      <c r="O412" s="3">
        <f>_DATA_Assessment_Model!L412</f>
        <v/>
      </c>
      <c r="P412" s="3" t="inlineStr">
        <is>
          <t>No reliable evidence that nonconformity, defect, complaint and corrective action management is defined, owned or managed.</t>
        </is>
      </c>
      <c r="Q412" s="3" t="inlineStr">
        <is>
          <t>Nonconformity, defect, complaint and corrective action management is handled informally and depends on individual knowledge or heroic effort.</t>
        </is>
      </c>
      <c r="R412" s="3" t="inlineStr">
        <is>
          <t>Nonconformity, defect, complaint and corrective action management is partially documented or implemented, but coverage is inconsistent and not crisis-tested.</t>
        </is>
      </c>
      <c r="S412" s="3" t="inlineStr">
        <is>
          <t>Nonconformity, defect, complaint and corrective action management is documented, owned, used in normal operations and supported by basic evidence or metrics.</t>
        </is>
      </c>
      <c r="T412" s="3" t="inlineStr">
        <is>
          <t>Nonconformity, defect, complaint and corrective action management is measured, periodically reviewed, integrated with related processes and tested against relevant disruption scenarios.</t>
        </is>
      </c>
      <c r="U412" s="3" t="inlineStr">
        <is>
          <t>Nonconformity, defect, complaint and corrective action management is optimized, continuously improved, automated where practical and demonstrably supports crisis resilience.</t>
        </is>
      </c>
      <c r="V412" s="3" t="inlineStr">
        <is>
          <t>Execution failure; Delivery disruption; Decision failure</t>
        </is>
      </c>
      <c r="W412" s="3" t="n"/>
      <c r="X412" s="3" t="n"/>
      <c r="Y412" s="3" t="inlineStr">
        <is>
          <t>Use the recommended action generated by the model; validate with domain owner during real assessment.</t>
        </is>
      </c>
      <c r="Z412" s="7" t="n">
        <v>4</v>
      </c>
      <c r="AA412" s="7" t="n">
        <v>5</v>
      </c>
      <c r="AB412" s="7" t="n">
        <v>5</v>
      </c>
      <c r="AK412" s="46" t="n"/>
      <c r="AL412" s="46" t="n"/>
      <c r="AM412" s="247">
        <f>_DATA_Assessment_Model!AJ412</f>
        <v/>
      </c>
      <c r="AN412" s="247">
        <f>_DATA_Assessment_Model!AK412</f>
        <v/>
      </c>
      <c r="AO412" s="247">
        <f>_DATA_Assessment_Model!AL412</f>
        <v/>
      </c>
      <c r="AP412" s="247">
        <f>_DATA_Assessment_Model!AM412</f>
        <v/>
      </c>
      <c r="AQ412" s="247">
        <f>_DATA_Assessment_Model!AN412</f>
        <v/>
      </c>
      <c r="AR412" s="247">
        <f>_DATA_Assessment_Model!AO412</f>
        <v/>
      </c>
      <c r="AS412" s="247">
        <f>_DATA_Assessment_Model!AP412</f>
        <v/>
      </c>
      <c r="AT412" s="247">
        <f>_DATA_Assessment_Model!AQ412</f>
        <v/>
      </c>
      <c r="AU412" s="247">
        <f>_DATA_Assessment_Model!AR412</f>
        <v/>
      </c>
      <c r="AV412" s="5">
        <f>_DATA_Assessment_Model!AS412</f>
        <v/>
      </c>
      <c r="AW412" s="5">
        <f>_DATA_Assessment_Model!AT412</f>
        <v/>
      </c>
      <c r="AY412">
        <f>_DATA_Assessment_Model!AV412</f>
        <v/>
      </c>
    </row>
    <row r="413" ht="69" customHeight="1" s="209">
      <c r="A413" t="inlineStr">
        <is>
          <t>Quality Portfolio</t>
        </is>
      </c>
      <c r="B413" t="inlineStr">
        <is>
          <t>Quality Portfolio</t>
        </is>
      </c>
      <c r="C413" t="n">
        <v>11</v>
      </c>
      <c r="D413" s="3" t="inlineStr">
        <is>
          <t>QUAL-008</t>
        </is>
      </c>
      <c r="E413" s="3" t="inlineStr">
        <is>
          <t>Quality management</t>
        </is>
      </c>
      <c r="F413" s="3" t="inlineStr">
        <is>
          <t>How mature is the organization in managing internal audit program for critical processes and controls, including ownership, evidence, metrics, fallback procedures and crisis stress testing?</t>
        </is>
      </c>
      <c r="G413" s="3" t="inlineStr">
        <is>
          <t>This topic affects exposure to Execution failure; Delivery disruption; Decision failure. It helps identify how disruption may impact operations, people, revenue, systems, legal exposure or recovery time.</t>
        </is>
      </c>
      <c r="H413" s="3" t="inlineStr">
        <is>
          <t>ISO 9001; ISO 21502; ISO 21500; APQC; Lean; Six Sigma; PMBOK; COBIT</t>
        </is>
      </c>
      <c r="I413" s="3" t="inlineStr">
        <is>
          <t>Policy/SOP; owner/RACI; system report; dashboard; contracts; test records; incident history; interview evidence related to internal audit program for critical processes and controls.</t>
        </is>
      </c>
      <c r="J413" s="3" t="n">
        <v>5</v>
      </c>
      <c r="K413" s="85">
        <f>_DATA_Assessment_Model!H413</f>
        <v/>
      </c>
      <c r="L413" s="4">
        <f>_DATA_Assessment_Model!I413</f>
        <v/>
      </c>
      <c r="M413" s="4">
        <f>_DATA_Assessment_Model!J413</f>
        <v/>
      </c>
      <c r="N413" s="4">
        <f>_DATA_Assessment_Model!K413</f>
        <v/>
      </c>
      <c r="O413" s="3">
        <f>_DATA_Assessment_Model!L413</f>
        <v/>
      </c>
      <c r="P413" s="3" t="inlineStr">
        <is>
          <t>Does not exist; no owner, no documentation, no practice.</t>
        </is>
      </c>
      <c r="Q413" s="3" t="inlineStr">
        <is>
          <t>Ad hoc; depends entirely on specific individuals.</t>
        </is>
      </c>
      <c r="R413" s="3" t="inlineStr">
        <is>
          <t>Partially documented or implemented; coverage inconsistent; never tested under stress.</t>
        </is>
      </c>
      <c r="S413" s="3" t="inlineStr">
        <is>
          <t>Documented, owned, executed consistently; basic evidence and metrics exist.</t>
        </is>
      </c>
      <c r="T413" s="3" t="inlineStr">
        <is>
          <t>Measured and periodically tested/audited; integrated with adjacent processes.</t>
        </is>
      </c>
      <c r="U413" s="3" t="inlineStr">
        <is>
          <t>Optimized and automated where practical; stress-tested; benchmarked externally.</t>
        </is>
      </c>
      <c r="V413" s="3" t="inlineStr">
        <is>
          <t>Execution failure; Delivery disruption; Decision failure</t>
        </is>
      </c>
      <c r="W413" s="3" t="n"/>
      <c r="X413" s="3" t="n"/>
      <c r="Y413" s="3" t="inlineStr">
        <is>
          <t>Use the recommended action generated by the model; validate with domain owner during real assessment.</t>
        </is>
      </c>
      <c r="Z413" s="7" t="n">
        <v>4</v>
      </c>
      <c r="AA413" s="7" t="n">
        <v>5</v>
      </c>
      <c r="AB413" s="7" t="n">
        <v>5</v>
      </c>
      <c r="AK413" s="46" t="n"/>
      <c r="AL413" s="46" t="n"/>
      <c r="AM413" s="247">
        <f>_DATA_Assessment_Model!AJ413</f>
        <v/>
      </c>
      <c r="AN413" s="247">
        <f>_DATA_Assessment_Model!AK413</f>
        <v/>
      </c>
      <c r="AO413" s="247">
        <f>_DATA_Assessment_Model!AL413</f>
        <v/>
      </c>
      <c r="AP413" s="247">
        <f>_DATA_Assessment_Model!AM413</f>
        <v/>
      </c>
      <c r="AQ413" s="247">
        <f>_DATA_Assessment_Model!AN413</f>
        <v/>
      </c>
      <c r="AR413" s="247">
        <f>_DATA_Assessment_Model!AO413</f>
        <v/>
      </c>
      <c r="AS413" s="247">
        <f>_DATA_Assessment_Model!AP413</f>
        <v/>
      </c>
      <c r="AT413" s="247">
        <f>_DATA_Assessment_Model!AQ413</f>
        <v/>
      </c>
      <c r="AU413" s="247">
        <f>_DATA_Assessment_Model!AR413</f>
        <v/>
      </c>
      <c r="AV413" s="5">
        <f>_DATA_Assessment_Model!AS413</f>
        <v/>
      </c>
      <c r="AW413" s="5">
        <f>_DATA_Assessment_Model!AT413</f>
        <v/>
      </c>
      <c r="AY413">
        <f>_DATA_Assessment_Model!AV413</f>
        <v/>
      </c>
    </row>
    <row r="414" ht="69" customHeight="1" s="209">
      <c r="A414" t="inlineStr">
        <is>
          <t>Quality Portfolio</t>
        </is>
      </c>
      <c r="B414" t="inlineStr">
        <is>
          <t>Quality Portfolio</t>
        </is>
      </c>
      <c r="C414" t="n">
        <v>12</v>
      </c>
      <c r="D414" s="3" t="inlineStr">
        <is>
          <t>QUAL-009</t>
        </is>
      </c>
      <c r="E414" s="3" t="inlineStr">
        <is>
          <t>Quality management</t>
        </is>
      </c>
      <c r="F414" s="3" t="inlineStr">
        <is>
          <t>How mature is the organization in managing control testing for effectiveness, not only existence, including ownership, evidence, metrics, fallback procedures and crisis stress testing?</t>
        </is>
      </c>
      <c r="G414" s="3" t="inlineStr">
        <is>
          <t>This topic affects exposure to Execution failure; Delivery disruption; Decision failure. It helps identify how disruption may impact operations, people, revenue, systems, legal exposure or recovery time.</t>
        </is>
      </c>
      <c r="H414" s="3" t="inlineStr">
        <is>
          <t>ISO 9001; ISO 21502; ISO 21500; APQC; Lean; Six Sigma; PMBOK; COBIT</t>
        </is>
      </c>
      <c r="I414" s="3" t="inlineStr">
        <is>
          <t>Policy/SOP; owner/RACI; system report; dashboard; contracts; test records; incident history; interview evidence related to control testing for effectiveness, not only existence.</t>
        </is>
      </c>
      <c r="J414" s="3" t="n">
        <v>3</v>
      </c>
      <c r="K414" s="85">
        <f>_DATA_Assessment_Model!H414</f>
        <v/>
      </c>
      <c r="L414" s="4">
        <f>_DATA_Assessment_Model!I414</f>
        <v/>
      </c>
      <c r="M414" s="4">
        <f>_DATA_Assessment_Model!J414</f>
        <v/>
      </c>
      <c r="N414" s="4">
        <f>_DATA_Assessment_Model!K414</f>
        <v/>
      </c>
      <c r="O414" s="3">
        <f>_DATA_Assessment_Model!L414</f>
        <v/>
      </c>
      <c r="P414" s="3" t="inlineStr">
        <is>
          <t>Never done; no records exist.</t>
        </is>
      </c>
      <c r="Q414" s="3" t="inlineStr">
        <is>
          <t>Done once long ago or only after an incident; no schedule, no records.</t>
        </is>
      </c>
      <c r="R414" s="3" t="inlineStr">
        <is>
          <t>Done irregularly; results are not documented and findings are not tracked.</t>
        </is>
      </c>
      <c r="S414" s="3" t="inlineStr">
        <is>
          <t>Done on a defined schedule (at least annually); results documented, owner assigned.</t>
        </is>
      </c>
      <c r="T414" s="3" t="inlineStr">
        <is>
          <t>Done quarterly/semi-annually; findings tracked to closure, effectiveness measured against targets.</t>
        </is>
      </c>
      <c r="U414" s="3" t="inlineStr">
        <is>
          <t>Continuous or automated where possible; results drive improvements and are validated externally (audit/customer).</t>
        </is>
      </c>
      <c r="V414" s="3" t="inlineStr">
        <is>
          <t>Execution failure; Delivery disruption; Decision failure</t>
        </is>
      </c>
      <c r="W414" s="3" t="n"/>
      <c r="X414" s="3" t="n"/>
      <c r="Y414" s="3" t="inlineStr">
        <is>
          <t>Use the recommended action generated by the model; validate with domain owner during real assessment.</t>
        </is>
      </c>
      <c r="Z414" s="7" t="n">
        <v>4</v>
      </c>
      <c r="AA414" s="7" t="n">
        <v>5</v>
      </c>
      <c r="AB414" s="7" t="n">
        <v>5</v>
      </c>
      <c r="AK414" s="46" t="n"/>
      <c r="AL414" s="46" t="n"/>
      <c r="AM414" s="247">
        <f>_DATA_Assessment_Model!AJ414</f>
        <v/>
      </c>
      <c r="AN414" s="247">
        <f>_DATA_Assessment_Model!AK414</f>
        <v/>
      </c>
      <c r="AO414" s="247">
        <f>_DATA_Assessment_Model!AL414</f>
        <v/>
      </c>
      <c r="AP414" s="247">
        <f>_DATA_Assessment_Model!AM414</f>
        <v/>
      </c>
      <c r="AQ414" s="247">
        <f>_DATA_Assessment_Model!AN414</f>
        <v/>
      </c>
      <c r="AR414" s="247">
        <f>_DATA_Assessment_Model!AO414</f>
        <v/>
      </c>
      <c r="AS414" s="247">
        <f>_DATA_Assessment_Model!AP414</f>
        <v/>
      </c>
      <c r="AT414" s="247">
        <f>_DATA_Assessment_Model!AQ414</f>
        <v/>
      </c>
      <c r="AU414" s="247">
        <f>_DATA_Assessment_Model!AR414</f>
        <v/>
      </c>
      <c r="AV414" s="5">
        <f>_DATA_Assessment_Model!AS414</f>
        <v/>
      </c>
      <c r="AW414" s="5">
        <f>_DATA_Assessment_Model!AT414</f>
        <v/>
      </c>
      <c r="AY414">
        <f>_DATA_Assessment_Model!AV414</f>
        <v/>
      </c>
    </row>
    <row r="415" ht="82.8" customHeight="1" s="209">
      <c r="A415" t="inlineStr">
        <is>
          <t>Quality Portfolio</t>
        </is>
      </c>
      <c r="B415" t="inlineStr">
        <is>
          <t>Quality Portfolio</t>
        </is>
      </c>
      <c r="C415" t="n">
        <v>13</v>
      </c>
      <c r="D415" s="3" t="inlineStr">
        <is>
          <t>QUAL-010</t>
        </is>
      </c>
      <c r="E415" s="3" t="inlineStr">
        <is>
          <t>Quality management</t>
        </is>
      </c>
      <c r="F415" s="3" t="inlineStr">
        <is>
          <t>How mature is the organization in managing customer complaint handling and root cause analysis, including ownership, evidence, metrics, fallback procedures and crisis stress testing?</t>
        </is>
      </c>
      <c r="G415" s="3" t="inlineStr">
        <is>
          <t>This topic affects exposure to Execution failure; Delivery disruption; Decision failure. It helps identify how disruption may impact operations, people, revenue, systems, legal exposure or recovery time.</t>
        </is>
      </c>
      <c r="H415" s="3" t="inlineStr">
        <is>
          <t>ISO 9001; ISO 21502; ISO 21500; APQC; Lean; Six Sigma; PMBOK; COBIT</t>
        </is>
      </c>
      <c r="I415" s="3" t="inlineStr">
        <is>
          <t>Policy/SOP; owner/RACI; system report; dashboard; contracts; test records; incident history; interview evidence related to customer complaint handling and root cause analysis.</t>
        </is>
      </c>
      <c r="J415" s="3" t="n">
        <v>4</v>
      </c>
      <c r="K415" s="85">
        <f>_DATA_Assessment_Model!H415</f>
        <v/>
      </c>
      <c r="L415" s="4">
        <f>_DATA_Assessment_Model!I415</f>
        <v/>
      </c>
      <c r="M415" s="4">
        <f>_DATA_Assessment_Model!J415</f>
        <v/>
      </c>
      <c r="N415" s="4">
        <f>_DATA_Assessment_Model!K415</f>
        <v/>
      </c>
      <c r="O415" s="3">
        <f>_DATA_Assessment_Model!L415</f>
        <v/>
      </c>
      <c r="P415" s="3" t="inlineStr">
        <is>
          <t>No reliable evidence that customer complaint handling and root cause analysis is defined, owned or managed.</t>
        </is>
      </c>
      <c r="Q415" s="3" t="inlineStr">
        <is>
          <t>Customer complaint handling and root cause analysis is handled informally and depends on individual knowledge or heroic effort.</t>
        </is>
      </c>
      <c r="R415" s="3" t="inlineStr">
        <is>
          <t>Customer complaint handling and root cause analysis is partially documented or implemented, but coverage is inconsistent and not crisis-tested.</t>
        </is>
      </c>
      <c r="S415" s="3" t="inlineStr">
        <is>
          <t>Customer complaint handling and root cause analysis is documented, owned, used in normal operations and supported by basic evidence or metrics.</t>
        </is>
      </c>
      <c r="T415" s="3" t="inlineStr">
        <is>
          <t>Customer complaint handling and root cause analysis is measured, periodically reviewed, integrated with related processes and tested against relevant disruption scenarios.</t>
        </is>
      </c>
      <c r="U415" s="3" t="inlineStr">
        <is>
          <t>Customer complaint handling and root cause analysis is optimized, continuously improved, automated where practical and demonstrably supports crisis resilience.</t>
        </is>
      </c>
      <c r="V415" s="3" t="inlineStr">
        <is>
          <t>Execution failure; Delivery disruption; Decision failure</t>
        </is>
      </c>
      <c r="W415" s="3" t="n"/>
      <c r="X415" s="3" t="n"/>
      <c r="Y415" s="3" t="inlineStr">
        <is>
          <t>Use the recommended action generated by the model; validate with domain owner during real assessment.</t>
        </is>
      </c>
      <c r="Z415" s="7" t="n">
        <v>4</v>
      </c>
      <c r="AA415" s="7" t="n">
        <v>5</v>
      </c>
      <c r="AB415" s="7" t="n">
        <v>5</v>
      </c>
      <c r="AK415" s="46" t="n"/>
      <c r="AL415" s="46" t="n"/>
      <c r="AM415" s="247">
        <f>_DATA_Assessment_Model!AJ415</f>
        <v/>
      </c>
      <c r="AN415" s="247">
        <f>_DATA_Assessment_Model!AK415</f>
        <v/>
      </c>
      <c r="AO415" s="247">
        <f>_DATA_Assessment_Model!AL415</f>
        <v/>
      </c>
      <c r="AP415" s="247">
        <f>_DATA_Assessment_Model!AM415</f>
        <v/>
      </c>
      <c r="AQ415" s="247">
        <f>_DATA_Assessment_Model!AN415</f>
        <v/>
      </c>
      <c r="AR415" s="247">
        <f>_DATA_Assessment_Model!AO415</f>
        <v/>
      </c>
      <c r="AS415" s="247">
        <f>_DATA_Assessment_Model!AP415</f>
        <v/>
      </c>
      <c r="AT415" s="247">
        <f>_DATA_Assessment_Model!AQ415</f>
        <v/>
      </c>
      <c r="AU415" s="247">
        <f>_DATA_Assessment_Model!AR415</f>
        <v/>
      </c>
      <c r="AV415" s="5">
        <f>_DATA_Assessment_Model!AS415</f>
        <v/>
      </c>
      <c r="AW415" s="5">
        <f>_DATA_Assessment_Model!AT415</f>
        <v/>
      </c>
      <c r="AY415">
        <f>_DATA_Assessment_Model!AV415</f>
        <v/>
      </c>
    </row>
    <row r="416" ht="96.59999999999999" customHeight="1" s="209">
      <c r="A416" t="inlineStr">
        <is>
          <t>Quality Portfolio</t>
        </is>
      </c>
      <c r="B416" t="inlineStr">
        <is>
          <t>Quality Portfolio</t>
        </is>
      </c>
      <c r="C416" t="n">
        <v>14</v>
      </c>
      <c r="D416" s="3" t="inlineStr">
        <is>
          <t>QUAL-011</t>
        </is>
      </c>
      <c r="E416" s="3" t="inlineStr">
        <is>
          <t>Portfolio and change</t>
        </is>
      </c>
      <c r="F416" s="3" t="inlineStr">
        <is>
          <t>How mature is the organization in managing portfolio governance with prioritization, capacity, benefits, risks and dependencies, including ownership, evidence, metrics, fallback procedures and crisis stress testing?</t>
        </is>
      </c>
      <c r="G416" s="3" t="inlineStr">
        <is>
          <t>This topic affects exposure to Execution failure; Delivery disruption; Decision failure. It helps identify how disruption may impact operations, people, revenue, systems, legal exposure or recovery time.</t>
        </is>
      </c>
      <c r="H416" s="3" t="inlineStr">
        <is>
          <t>ISO 9001; ISO 21502; ISO 21500; APQC; Lean; Six Sigma; PMBOK; COBIT</t>
        </is>
      </c>
      <c r="I416" s="3" t="inlineStr">
        <is>
          <t>Policy/SOP; owner/RACI; system report; dashboard; contracts; test records; incident history; interview evidence related to portfolio governance with prioritization, capacity, benefits, risks and dependencies.</t>
        </is>
      </c>
      <c r="J416" s="3" t="n">
        <v>4</v>
      </c>
      <c r="K416" s="85">
        <f>_DATA_Assessment_Model!H416</f>
        <v/>
      </c>
      <c r="L416" s="4">
        <f>_DATA_Assessment_Model!I416</f>
        <v/>
      </c>
      <c r="M416" s="4">
        <f>_DATA_Assessment_Model!J416</f>
        <v/>
      </c>
      <c r="N416" s="4">
        <f>_DATA_Assessment_Model!K416</f>
        <v/>
      </c>
      <c r="O416" s="3">
        <f>_DATA_Assessment_Model!L416</f>
        <v/>
      </c>
      <c r="P416" s="3" t="inlineStr">
        <is>
          <t>No reliable evidence that portfolio governance with prioritization, capacity, benefits, risks and dependencies is defined, owned or managed.</t>
        </is>
      </c>
      <c r="Q416" s="3" t="inlineStr">
        <is>
          <t>Portfolio governance with prioritization, capacity, benefits, risks and dependencies is handled informally and depends on individual knowledge or heroic effort.</t>
        </is>
      </c>
      <c r="R416" s="3" t="inlineStr">
        <is>
          <t>Portfolio governance with prioritization, capacity, benefits, risks and dependencies is partially documented or implemented, but coverage is inconsistent and not crisis-tested.</t>
        </is>
      </c>
      <c r="S416" s="3" t="inlineStr">
        <is>
          <t>Portfolio governance with prioritization, capacity, benefits, risks and dependencies is documented, owned, used in normal operations and supported by basic evidence or metrics.</t>
        </is>
      </c>
      <c r="T416" s="3" t="inlineStr">
        <is>
          <t>Portfolio governance with prioritization, capacity, benefits, risks and dependencies is measured, periodically reviewed, integrated with related processes and tested against relevant disruption scenarios.</t>
        </is>
      </c>
      <c r="U416" s="3" t="inlineStr">
        <is>
          <t>Portfolio governance with prioritization, capacity, benefits, risks and dependencies is optimized, continuously improved, automated where practical and demonstrably supports crisis resilience.</t>
        </is>
      </c>
      <c r="V416" s="3" t="inlineStr">
        <is>
          <t>Execution failure; Delivery disruption; Decision failure</t>
        </is>
      </c>
      <c r="W416" s="3" t="n"/>
      <c r="X416" s="3" t="n"/>
      <c r="Y416" s="3" t="inlineStr">
        <is>
          <t>Use the recommended action generated by the model; validate with domain owner during real assessment.</t>
        </is>
      </c>
      <c r="Z416" s="7" t="n">
        <v>4</v>
      </c>
      <c r="AA416" s="7" t="n">
        <v>5</v>
      </c>
      <c r="AB416" s="7" t="n">
        <v>5</v>
      </c>
      <c r="AK416" s="46" t="n"/>
      <c r="AL416" s="46" t="n"/>
      <c r="AM416" s="247">
        <f>_DATA_Assessment_Model!AJ416</f>
        <v/>
      </c>
      <c r="AN416" s="247">
        <f>_DATA_Assessment_Model!AK416</f>
        <v/>
      </c>
      <c r="AO416" s="247">
        <f>_DATA_Assessment_Model!AL416</f>
        <v/>
      </c>
      <c r="AP416" s="247">
        <f>_DATA_Assessment_Model!AM416</f>
        <v/>
      </c>
      <c r="AQ416" s="247">
        <f>_DATA_Assessment_Model!AN416</f>
        <v/>
      </c>
      <c r="AR416" s="247">
        <f>_DATA_Assessment_Model!AO416</f>
        <v/>
      </c>
      <c r="AS416" s="247">
        <f>_DATA_Assessment_Model!AP416</f>
        <v/>
      </c>
      <c r="AT416" s="247">
        <f>_DATA_Assessment_Model!AQ416</f>
        <v/>
      </c>
      <c r="AU416" s="247">
        <f>_DATA_Assessment_Model!AR416</f>
        <v/>
      </c>
      <c r="AV416" s="5">
        <f>_DATA_Assessment_Model!AS416</f>
        <v/>
      </c>
      <c r="AW416" s="5">
        <f>_DATA_Assessment_Model!AT416</f>
        <v/>
      </c>
      <c r="AY416">
        <f>_DATA_Assessment_Model!AV416</f>
        <v/>
      </c>
    </row>
    <row r="417" ht="82.8" customHeight="1" s="209">
      <c r="A417" t="inlineStr">
        <is>
          <t>Quality Portfolio</t>
        </is>
      </c>
      <c r="B417" t="inlineStr">
        <is>
          <t>Quality Portfolio</t>
        </is>
      </c>
      <c r="C417" t="n">
        <v>15</v>
      </c>
      <c r="D417" s="3" t="inlineStr">
        <is>
          <t>QUAL-012</t>
        </is>
      </c>
      <c r="E417" s="3" t="inlineStr">
        <is>
          <t>Portfolio and change</t>
        </is>
      </c>
      <c r="F417" s="3" t="inlineStr">
        <is>
          <t>How mature is the organization in managing rapid reprioritization of initiatives during crisis using value, urgency, risk and capacity, including ownership, evidence, metrics, fallback procedures and crisis stress testing?</t>
        </is>
      </c>
      <c r="G417" s="3" t="inlineStr">
        <is>
          <t>This topic affects exposure to Execution failure; Delivery disruption; Decision failure. It helps identify how disruption may impact operations, people, revenue, systems, legal exposure or recovery time.</t>
        </is>
      </c>
      <c r="H417" s="3" t="inlineStr">
        <is>
          <t>ISO 9001; ISO 21502; ISO 21500; APQC; Lean; Six Sigma; PMBOK; COBIT</t>
        </is>
      </c>
      <c r="I417" s="3" t="inlineStr">
        <is>
          <t>Policy/SOP; owner/RACI; system report; dashboard; contracts; test records; incident history; interview evidence related to rapid reprioritization of initiatives during crisis using value, urgency, risk and capacity.</t>
        </is>
      </c>
      <c r="J417" s="3" t="n">
        <v>5</v>
      </c>
      <c r="K417" s="85">
        <f>_DATA_Assessment_Model!H417</f>
        <v/>
      </c>
      <c r="L417" s="4">
        <f>_DATA_Assessment_Model!I417</f>
        <v/>
      </c>
      <c r="M417" s="4">
        <f>_DATA_Assessment_Model!J417</f>
        <v/>
      </c>
      <c r="N417" s="4">
        <f>_DATA_Assessment_Model!K417</f>
        <v/>
      </c>
      <c r="O417" s="3">
        <f>_DATA_Assessment_Model!L417</f>
        <v/>
      </c>
      <c r="P417" s="3" t="inlineStr">
        <is>
          <t>Does not exist; no owner, no documentation, no practice.</t>
        </is>
      </c>
      <c r="Q417" s="3" t="inlineStr">
        <is>
          <t>Ad hoc; depends entirely on specific individuals.</t>
        </is>
      </c>
      <c r="R417" s="3" t="inlineStr">
        <is>
          <t>Partially documented or implemented; coverage inconsistent; never tested under stress.</t>
        </is>
      </c>
      <c r="S417" s="3" t="inlineStr">
        <is>
          <t>Documented, owned, executed consistently; basic evidence and metrics exist.</t>
        </is>
      </c>
      <c r="T417" s="3" t="inlineStr">
        <is>
          <t>Measured and periodically tested/audited; integrated with adjacent processes.</t>
        </is>
      </c>
      <c r="U417" s="3" t="inlineStr">
        <is>
          <t>Optimized and automated where practical; stress-tested; benchmarked externally.</t>
        </is>
      </c>
      <c r="V417" s="3" t="inlineStr">
        <is>
          <t>Execution failure; Delivery disruption; Decision failure</t>
        </is>
      </c>
      <c r="W417" s="3" t="n"/>
      <c r="X417" s="3" t="n"/>
      <c r="Y417" s="3" t="inlineStr">
        <is>
          <t>Use the recommended action generated by the model; validate with domain owner during real assessment.</t>
        </is>
      </c>
      <c r="Z417" s="7" t="n">
        <v>4</v>
      </c>
      <c r="AA417" s="7" t="n">
        <v>5</v>
      </c>
      <c r="AB417" s="7" t="n">
        <v>5</v>
      </c>
      <c r="AK417" s="46" t="n"/>
      <c r="AL417" s="46" t="n"/>
      <c r="AM417" s="247">
        <f>_DATA_Assessment_Model!AJ417</f>
        <v/>
      </c>
      <c r="AN417" s="247">
        <f>_DATA_Assessment_Model!AK417</f>
        <v/>
      </c>
      <c r="AO417" s="247">
        <f>_DATA_Assessment_Model!AL417</f>
        <v/>
      </c>
      <c r="AP417" s="247">
        <f>_DATA_Assessment_Model!AM417</f>
        <v/>
      </c>
      <c r="AQ417" s="247">
        <f>_DATA_Assessment_Model!AN417</f>
        <v/>
      </c>
      <c r="AR417" s="247">
        <f>_DATA_Assessment_Model!AO417</f>
        <v/>
      </c>
      <c r="AS417" s="247">
        <f>_DATA_Assessment_Model!AP417</f>
        <v/>
      </c>
      <c r="AT417" s="247">
        <f>_DATA_Assessment_Model!AQ417</f>
        <v/>
      </c>
      <c r="AU417" s="247">
        <f>_DATA_Assessment_Model!AR417</f>
        <v/>
      </c>
      <c r="AV417" s="5">
        <f>_DATA_Assessment_Model!AS417</f>
        <v/>
      </c>
      <c r="AW417" s="5">
        <f>_DATA_Assessment_Model!AT417</f>
        <v/>
      </c>
      <c r="AY417">
        <f>_DATA_Assessment_Model!AV417</f>
        <v/>
      </c>
    </row>
    <row r="418" ht="96.59999999999999" customHeight="1" s="209">
      <c r="A418" t="inlineStr">
        <is>
          <t>Quality Portfolio</t>
        </is>
      </c>
      <c r="B418" t="inlineStr">
        <is>
          <t>Quality Portfolio</t>
        </is>
      </c>
      <c r="C418" t="n">
        <v>16</v>
      </c>
      <c r="D418" s="3" t="inlineStr">
        <is>
          <t>QUAL-013</t>
        </is>
      </c>
      <c r="E418" s="3" t="inlineStr">
        <is>
          <t>Portfolio and change</t>
        </is>
      </c>
      <c r="F418" s="3" t="inlineStr">
        <is>
          <t>How mature is the organization in managing benefits realization tracking for resilience, digital and operational initiatives, including ownership, evidence, metrics, fallback procedures and crisis stress testing?</t>
        </is>
      </c>
      <c r="G418" s="3" t="inlineStr">
        <is>
          <t>This topic affects exposure to Execution failure; Delivery disruption; Decision failure. It helps identify how disruption may impact operations, people, revenue, systems, legal exposure or recovery time.</t>
        </is>
      </c>
      <c r="H418" s="3" t="inlineStr">
        <is>
          <t>ISO 9001; ISO 21502; ISO 21500; APQC; Lean; Six Sigma; PMBOK; COBIT</t>
        </is>
      </c>
      <c r="I418" s="3" t="inlineStr">
        <is>
          <t>Policy/SOP; owner/RACI; system report; dashboard; contracts; test records; incident history; interview evidence related to benefits realization tracking for resilience, digital and operational initiatives.</t>
        </is>
      </c>
      <c r="J418" s="3" t="n">
        <v>3</v>
      </c>
      <c r="K418" s="85">
        <f>_DATA_Assessment_Model!H418</f>
        <v/>
      </c>
      <c r="L418" s="4">
        <f>_DATA_Assessment_Model!I418</f>
        <v/>
      </c>
      <c r="M418" s="4">
        <f>_DATA_Assessment_Model!J418</f>
        <v/>
      </c>
      <c r="N418" s="4">
        <f>_DATA_Assessment_Model!K418</f>
        <v/>
      </c>
      <c r="O418" s="3">
        <f>_DATA_Assessment_Model!L418</f>
        <v/>
      </c>
      <c r="P418" s="3" t="inlineStr">
        <is>
          <t>No reliable evidence that benefits realization tracking for resilience, digital and operational initiatives is defined, owned or managed.</t>
        </is>
      </c>
      <c r="Q418" s="3" t="inlineStr">
        <is>
          <t>Benefits realization tracking for resilience, digital and operational initiatives is handled informally and depends on individual knowledge or heroic effort.</t>
        </is>
      </c>
      <c r="R418" s="3" t="inlineStr">
        <is>
          <t>Benefits realization tracking for resilience, digital and operational initiatives is partially documented or implemented, but coverage is inconsistent and not crisis-tested.</t>
        </is>
      </c>
      <c r="S418" s="3" t="inlineStr">
        <is>
          <t>Benefits realization tracking for resilience, digital and operational initiatives is documented, owned, used in normal operations and supported by basic evidence or metrics.</t>
        </is>
      </c>
      <c r="T418" s="3" t="inlineStr">
        <is>
          <t>Benefits realization tracking for resilience, digital and operational initiatives is measured, periodically reviewed, integrated with related processes and tested against relevant disruption scenarios.</t>
        </is>
      </c>
      <c r="U418" s="3" t="inlineStr">
        <is>
          <t>Benefits realization tracking for resilience, digital and operational initiatives is optimized, continuously improved, automated where practical and demonstrably supports crisis resilience.</t>
        </is>
      </c>
      <c r="V418" s="3" t="inlineStr">
        <is>
          <t>Execution failure; Delivery disruption; Decision failure</t>
        </is>
      </c>
      <c r="W418" s="3" t="n"/>
      <c r="X418" s="3" t="n"/>
      <c r="Y418" s="3" t="inlineStr">
        <is>
          <t>Use the recommended action generated by the model; validate with domain owner during real assessment.</t>
        </is>
      </c>
      <c r="Z418" s="7" t="n">
        <v>4</v>
      </c>
      <c r="AA418" s="7" t="n">
        <v>5</v>
      </c>
      <c r="AB418" s="7" t="n">
        <v>5</v>
      </c>
      <c r="AK418" s="46" t="n"/>
      <c r="AL418" s="46" t="n"/>
      <c r="AM418" s="247">
        <f>_DATA_Assessment_Model!AJ418</f>
        <v/>
      </c>
      <c r="AN418" s="247">
        <f>_DATA_Assessment_Model!AK418</f>
        <v/>
      </c>
      <c r="AO418" s="247">
        <f>_DATA_Assessment_Model!AL418</f>
        <v/>
      </c>
      <c r="AP418" s="247">
        <f>_DATA_Assessment_Model!AM418</f>
        <v/>
      </c>
      <c r="AQ418" s="247">
        <f>_DATA_Assessment_Model!AN418</f>
        <v/>
      </c>
      <c r="AR418" s="247">
        <f>_DATA_Assessment_Model!AO418</f>
        <v/>
      </c>
      <c r="AS418" s="247">
        <f>_DATA_Assessment_Model!AP418</f>
        <v/>
      </c>
      <c r="AT418" s="247">
        <f>_DATA_Assessment_Model!AQ418</f>
        <v/>
      </c>
      <c r="AU418" s="247">
        <f>_DATA_Assessment_Model!AR418</f>
        <v/>
      </c>
      <c r="AV418" s="5">
        <f>_DATA_Assessment_Model!AS418</f>
        <v/>
      </c>
      <c r="AW418" s="5">
        <f>_DATA_Assessment_Model!AT418</f>
        <v/>
      </c>
      <c r="AY418">
        <f>_DATA_Assessment_Model!AV418</f>
        <v/>
      </c>
    </row>
    <row r="419" ht="82.8" customHeight="1" s="209">
      <c r="A419" t="inlineStr">
        <is>
          <t>Quality Portfolio</t>
        </is>
      </c>
      <c r="B419" t="inlineStr">
        <is>
          <t>Quality Portfolio</t>
        </is>
      </c>
      <c r="C419" t="n">
        <v>17</v>
      </c>
      <c r="D419" s="3" t="inlineStr">
        <is>
          <t>QUAL-014</t>
        </is>
      </c>
      <c r="E419" s="3" t="inlineStr">
        <is>
          <t>Portfolio and change</t>
        </is>
      </c>
      <c r="F419" s="3" t="inlineStr">
        <is>
          <t>How mature is the organization in managing change adoption management with communication, training, sponsor accountability and adoption metrics, including ownership, evidence, metrics, fallback procedures and crisis stress testing?</t>
        </is>
      </c>
      <c r="G419" s="3" t="inlineStr">
        <is>
          <t>This topic affects exposure to Execution failure; Delivery disruption; Decision failure. It helps identify how disruption may impact operations, people, revenue, systems, legal exposure or recovery time.</t>
        </is>
      </c>
      <c r="H419" s="3" t="inlineStr">
        <is>
          <t>ISO 9001; ISO 21502; ISO 21500; APQC; Lean; Six Sigma; PMBOK; COBIT</t>
        </is>
      </c>
      <c r="I419" s="3" t="inlineStr">
        <is>
          <t>Policy/SOP; owner/RACI; system report; dashboard; contracts; test records; incident history; interview evidence related to change adoption management with communication, training, sponsor accountability and adoption metrics.</t>
        </is>
      </c>
      <c r="J419" s="3" t="n">
        <v>3</v>
      </c>
      <c r="K419" s="85">
        <f>_DATA_Assessment_Model!H419</f>
        <v/>
      </c>
      <c r="L419" s="4">
        <f>_DATA_Assessment_Model!I419</f>
        <v/>
      </c>
      <c r="M419" s="4">
        <f>_DATA_Assessment_Model!J419</f>
        <v/>
      </c>
      <c r="N419" s="4">
        <f>_DATA_Assessment_Model!K419</f>
        <v/>
      </c>
      <c r="O419" s="3">
        <f>_DATA_Assessment_Model!L419</f>
        <v/>
      </c>
      <c r="P419" s="3" t="inlineStr">
        <is>
          <t>Never done; no records exist.</t>
        </is>
      </c>
      <c r="Q419" s="3" t="inlineStr">
        <is>
          <t>Done once long ago or only after an incident; no schedule, no records.</t>
        </is>
      </c>
      <c r="R419" s="3" t="inlineStr">
        <is>
          <t>Done irregularly; results are not documented and findings are not tracked.</t>
        </is>
      </c>
      <c r="S419" s="3" t="inlineStr">
        <is>
          <t>Done on a defined schedule (at least annually); results documented, owner assigned.</t>
        </is>
      </c>
      <c r="T419" s="3" t="inlineStr">
        <is>
          <t>Done quarterly/semi-annually; findings tracked to closure, effectiveness measured against targets.</t>
        </is>
      </c>
      <c r="U419" s="3" t="inlineStr">
        <is>
          <t>Continuous or automated where possible; results drive improvements and are validated externally (audit/customer).</t>
        </is>
      </c>
      <c r="V419" s="3" t="inlineStr">
        <is>
          <t>Execution failure; Delivery disruption; Decision failure</t>
        </is>
      </c>
      <c r="W419" s="3" t="n"/>
      <c r="X419" s="3" t="n"/>
      <c r="Y419" s="3" t="inlineStr">
        <is>
          <t>Use the recommended action generated by the model; validate with domain owner during real assessment.</t>
        </is>
      </c>
      <c r="Z419" s="7" t="n">
        <v>4</v>
      </c>
      <c r="AA419" s="7" t="n">
        <v>5</v>
      </c>
      <c r="AB419" s="7" t="n">
        <v>5</v>
      </c>
      <c r="AK419" s="46" t="n"/>
      <c r="AL419" s="46" t="n"/>
      <c r="AM419" s="247">
        <f>_DATA_Assessment_Model!AJ419</f>
        <v/>
      </c>
      <c r="AN419" s="247">
        <f>_DATA_Assessment_Model!AK419</f>
        <v/>
      </c>
      <c r="AO419" s="247">
        <f>_DATA_Assessment_Model!AL419</f>
        <v/>
      </c>
      <c r="AP419" s="247">
        <f>_DATA_Assessment_Model!AM419</f>
        <v/>
      </c>
      <c r="AQ419" s="247">
        <f>_DATA_Assessment_Model!AN419</f>
        <v/>
      </c>
      <c r="AR419" s="247">
        <f>_DATA_Assessment_Model!AO419</f>
        <v/>
      </c>
      <c r="AS419" s="247">
        <f>_DATA_Assessment_Model!AP419</f>
        <v/>
      </c>
      <c r="AT419" s="247">
        <f>_DATA_Assessment_Model!AQ419</f>
        <v/>
      </c>
      <c r="AU419" s="247">
        <f>_DATA_Assessment_Model!AR419</f>
        <v/>
      </c>
      <c r="AV419" s="5">
        <f>_DATA_Assessment_Model!AS419</f>
        <v/>
      </c>
      <c r="AW419" s="5">
        <f>_DATA_Assessment_Model!AT419</f>
        <v/>
      </c>
      <c r="AY419">
        <f>_DATA_Assessment_Model!AV419</f>
        <v/>
      </c>
    </row>
    <row r="420" ht="82.8" customHeight="1" s="209">
      <c r="A420" t="inlineStr">
        <is>
          <t>Quality Portfolio</t>
        </is>
      </c>
      <c r="B420" t="inlineStr">
        <is>
          <t>Quality Portfolio</t>
        </is>
      </c>
      <c r="C420" t="n">
        <v>18</v>
      </c>
      <c r="D420" s="3" t="inlineStr">
        <is>
          <t>QUAL-015</t>
        </is>
      </c>
      <c r="E420" s="3" t="inlineStr">
        <is>
          <t>Portfolio and change</t>
        </is>
      </c>
      <c r="F420" s="3" t="inlineStr">
        <is>
          <t>How mature is the organization in managing improvement backlog linked to incidents, audits, customer feedback, risk and strategy, including ownership, evidence, metrics, fallback procedures and crisis stress testing?</t>
        </is>
      </c>
      <c r="G420" s="3" t="inlineStr">
        <is>
          <t>This topic affects exposure to Execution failure; Delivery disruption; Decision failure. It helps identify how disruption may impact operations, people, revenue, systems, legal exposure or recovery time.</t>
        </is>
      </c>
      <c r="H420" s="3" t="inlineStr">
        <is>
          <t>ISO 9001; ISO 21502; ISO 21500; APQC; Lean; Six Sigma; PMBOK; COBIT</t>
        </is>
      </c>
      <c r="I420" s="3" t="inlineStr">
        <is>
          <t>Policy/SOP; owner/RACI; system report; dashboard; contracts; test records; incident history; interview evidence related to improvement backlog linked to incidents, audits, customer feedback, risk and strategy.</t>
        </is>
      </c>
      <c r="J420" s="3" t="n">
        <v>5</v>
      </c>
      <c r="K420" s="85">
        <f>_DATA_Assessment_Model!H420</f>
        <v/>
      </c>
      <c r="L420" s="4">
        <f>_DATA_Assessment_Model!I420</f>
        <v/>
      </c>
      <c r="M420" s="4">
        <f>_DATA_Assessment_Model!J420</f>
        <v/>
      </c>
      <c r="N420" s="4">
        <f>_DATA_Assessment_Model!K420</f>
        <v/>
      </c>
      <c r="O420" s="3">
        <f>_DATA_Assessment_Model!L420</f>
        <v/>
      </c>
      <c r="P420" s="3" t="inlineStr">
        <is>
          <t>Does not exist; no owner, no documentation, no practice.</t>
        </is>
      </c>
      <c r="Q420" s="3" t="inlineStr">
        <is>
          <t>Ad hoc; depends entirely on specific individuals.</t>
        </is>
      </c>
      <c r="R420" s="3" t="inlineStr">
        <is>
          <t>Partially documented or implemented; coverage inconsistent; never tested under stress.</t>
        </is>
      </c>
      <c r="S420" s="3" t="inlineStr">
        <is>
          <t>Documented, owned, executed consistently; basic evidence and metrics exist.</t>
        </is>
      </c>
      <c r="T420" s="3" t="inlineStr">
        <is>
          <t>Measured and periodically tested/audited; integrated with adjacent processes.</t>
        </is>
      </c>
      <c r="U420" s="3" t="inlineStr">
        <is>
          <t>Optimized and automated where practical; stress-tested; benchmarked externally.</t>
        </is>
      </c>
      <c r="V420" s="3" t="inlineStr">
        <is>
          <t>Execution failure; Delivery disruption; Decision failure</t>
        </is>
      </c>
      <c r="W420" s="3" t="n"/>
      <c r="X420" s="3" t="n"/>
      <c r="Y420" s="3" t="inlineStr">
        <is>
          <t>Use the recommended action generated by the model; validate with domain owner during real assessment.</t>
        </is>
      </c>
      <c r="Z420" s="7" t="n">
        <v>4</v>
      </c>
      <c r="AA420" s="7" t="n">
        <v>5</v>
      </c>
      <c r="AB420" s="7" t="n">
        <v>5</v>
      </c>
      <c r="AK420" s="46" t="n"/>
      <c r="AL420" s="46" t="n"/>
      <c r="AM420" s="247">
        <f>_DATA_Assessment_Model!AJ420</f>
        <v/>
      </c>
      <c r="AN420" s="247">
        <f>_DATA_Assessment_Model!AK420</f>
        <v/>
      </c>
      <c r="AO420" s="247">
        <f>_DATA_Assessment_Model!AL420</f>
        <v/>
      </c>
      <c r="AP420" s="247">
        <f>_DATA_Assessment_Model!AM420</f>
        <v/>
      </c>
      <c r="AQ420" s="247">
        <f>_DATA_Assessment_Model!AN420</f>
        <v/>
      </c>
      <c r="AR420" s="247">
        <f>_DATA_Assessment_Model!AO420</f>
        <v/>
      </c>
      <c r="AS420" s="247">
        <f>_DATA_Assessment_Model!AP420</f>
        <v/>
      </c>
      <c r="AT420" s="247">
        <f>_DATA_Assessment_Model!AQ420</f>
        <v/>
      </c>
      <c r="AU420" s="247">
        <f>_DATA_Assessment_Model!AR420</f>
        <v/>
      </c>
      <c r="AV420" s="5">
        <f>_DATA_Assessment_Model!AS420</f>
        <v/>
      </c>
      <c r="AW420" s="5">
        <f>_DATA_Assessment_Model!AT420</f>
        <v/>
      </c>
      <c r="AY420">
        <f>_DATA_Assessment_Model!AV420</f>
        <v/>
      </c>
    </row>
    <row r="421" ht="69" customHeight="1" s="209">
      <c r="A421" t="inlineStr">
        <is>
          <t>Quality Portfolio</t>
        </is>
      </c>
      <c r="B421" t="inlineStr">
        <is>
          <t>Quality Portfolio</t>
        </is>
      </c>
      <c r="C421" t="n">
        <v>19</v>
      </c>
      <c r="D421" s="3" t="inlineStr">
        <is>
          <t>QUAL-016</t>
        </is>
      </c>
      <c r="E421" s="3" t="inlineStr">
        <is>
          <t>Management system</t>
        </is>
      </c>
      <c r="F421" s="3" t="inlineStr">
        <is>
          <t>How mature is the organization in managing KPI hierarchy from strategy to functions, processes, teams and crisis readiness, including ownership, evidence, metrics, fallback procedures and crisis stress testing?</t>
        </is>
      </c>
      <c r="G421" s="3" t="inlineStr">
        <is>
          <t>This topic affects exposure to Execution failure; Delivery disruption; Decision failure. It helps identify how disruption may impact operations, people, revenue, systems, legal exposure or recovery time.</t>
        </is>
      </c>
      <c r="H421" s="3" t="inlineStr">
        <is>
          <t>ISO 9001; ISO 21502; ISO 21500; APQC; Lean; Six Sigma; PMBOK; COBIT</t>
        </is>
      </c>
      <c r="I421" s="3" t="inlineStr">
        <is>
          <t>Policy/SOP; owner/RACI; system report; dashboard; contracts; test records; incident history; interview evidence related to KPI hierarchy from strategy to functions, processes, teams and crisis readiness.</t>
        </is>
      </c>
      <c r="J421" s="3" t="n">
        <v>5</v>
      </c>
      <c r="K421" s="85">
        <f>_DATA_Assessment_Model!H421</f>
        <v/>
      </c>
      <c r="L421" s="4">
        <f>_DATA_Assessment_Model!I421</f>
        <v/>
      </c>
      <c r="M421" s="4">
        <f>_DATA_Assessment_Model!J421</f>
        <v/>
      </c>
      <c r="N421" s="4">
        <f>_DATA_Assessment_Model!K421</f>
        <v/>
      </c>
      <c r="O421" s="3">
        <f>_DATA_Assessment_Model!L421</f>
        <v/>
      </c>
      <c r="P421" s="3" t="inlineStr">
        <is>
          <t>Nothing is monitored or measured.</t>
        </is>
      </c>
      <c r="Q421" s="3" t="inlineStr">
        <is>
          <t>Occasional manual checks by individuals.</t>
        </is>
      </c>
      <c r="R421" s="3" t="inlineStr">
        <is>
          <t>Some metrics exist but are not reviewed regularly and trigger no action.</t>
        </is>
      </c>
      <c r="S421" s="3" t="inlineStr">
        <is>
          <t>Defined metrics with an owner, reviewed on a set cadence.</t>
        </is>
      </c>
      <c r="T421" s="3" t="inlineStr">
        <is>
          <t>Thresholds and alerts in place; deviations trigger documented action; trends analyzed.</t>
        </is>
      </c>
      <c r="U421" s="3" t="inlineStr">
        <is>
          <t>Automated monitoring with leading indicators, integrated into management decisions.</t>
        </is>
      </c>
      <c r="V421" s="3" t="inlineStr">
        <is>
          <t>Execution failure; Delivery disruption; Decision failure</t>
        </is>
      </c>
      <c r="W421" s="3" t="n"/>
      <c r="X421" s="3" t="n"/>
      <c r="Y421" s="3" t="inlineStr">
        <is>
          <t>Use the recommended action generated by the model; validate with domain owner during real assessment.</t>
        </is>
      </c>
      <c r="Z421" s="7" t="n">
        <v>4</v>
      </c>
      <c r="AA421" s="7" t="n">
        <v>5</v>
      </c>
      <c r="AB421" s="7" t="n">
        <v>5</v>
      </c>
      <c r="AK421" s="46" t="n"/>
      <c r="AL421" s="46" t="n"/>
      <c r="AM421" s="247">
        <f>_DATA_Assessment_Model!AJ421</f>
        <v/>
      </c>
      <c r="AN421" s="247">
        <f>_DATA_Assessment_Model!AK421</f>
        <v/>
      </c>
      <c r="AO421" s="247">
        <f>_DATA_Assessment_Model!AL421</f>
        <v/>
      </c>
      <c r="AP421" s="247">
        <f>_DATA_Assessment_Model!AM421</f>
        <v/>
      </c>
      <c r="AQ421" s="247">
        <f>_DATA_Assessment_Model!AN421</f>
        <v/>
      </c>
      <c r="AR421" s="247">
        <f>_DATA_Assessment_Model!AO421</f>
        <v/>
      </c>
      <c r="AS421" s="247">
        <f>_DATA_Assessment_Model!AP421</f>
        <v/>
      </c>
      <c r="AT421" s="247">
        <f>_DATA_Assessment_Model!AQ421</f>
        <v/>
      </c>
      <c r="AU421" s="247">
        <f>_DATA_Assessment_Model!AR421</f>
        <v/>
      </c>
      <c r="AV421" s="5">
        <f>_DATA_Assessment_Model!AS421</f>
        <v/>
      </c>
      <c r="AW421" s="5">
        <f>_DATA_Assessment_Model!AT421</f>
        <v/>
      </c>
      <c r="AY421">
        <f>_DATA_Assessment_Model!AV421</f>
        <v/>
      </c>
    </row>
    <row r="422" ht="82.8" customHeight="1" s="209">
      <c r="A422" t="inlineStr">
        <is>
          <t>Quality Portfolio</t>
        </is>
      </c>
      <c r="B422" t="inlineStr">
        <is>
          <t>Quality Portfolio</t>
        </is>
      </c>
      <c r="C422" t="n">
        <v>20</v>
      </c>
      <c r="D422" s="3" t="inlineStr">
        <is>
          <t>QUAL-017</t>
        </is>
      </c>
      <c r="E422" s="3" t="inlineStr">
        <is>
          <t>Management system</t>
        </is>
      </c>
      <c r="F422" s="3" t="inlineStr">
        <is>
          <t>How mature is the organization in managing management review of performance, risks, audit findings, incidents, customers and improvements, including ownership, evidence, metrics, fallback procedures and crisis stress testing?</t>
        </is>
      </c>
      <c r="G422" s="3" t="inlineStr">
        <is>
          <t>This topic affects exposure to Execution failure; Delivery disruption; Decision failure. It helps identify how disruption may impact operations, people, revenue, systems, legal exposure or recovery time.</t>
        </is>
      </c>
      <c r="H422" s="3" t="inlineStr">
        <is>
          <t>ISO 9001; ISO 21502; ISO 21500; APQC; Lean; Six Sigma; PMBOK; COBIT</t>
        </is>
      </c>
      <c r="I422" s="3" t="inlineStr">
        <is>
          <t>Policy/SOP; owner/RACI; system report; dashboard; contracts; test records; incident history; interview evidence related to management review of performance, risks, audit findings, incidents, customers and improvements.</t>
        </is>
      </c>
      <c r="J422" s="3" t="n">
        <v>5</v>
      </c>
      <c r="K422" s="85">
        <f>_DATA_Assessment_Model!H422</f>
        <v/>
      </c>
      <c r="L422" s="4">
        <f>_DATA_Assessment_Model!I422</f>
        <v/>
      </c>
      <c r="M422" s="4">
        <f>_DATA_Assessment_Model!J422</f>
        <v/>
      </c>
      <c r="N422" s="4">
        <f>_DATA_Assessment_Model!K422</f>
        <v/>
      </c>
      <c r="O422" s="3">
        <f>_DATA_Assessment_Model!L422</f>
        <v/>
      </c>
      <c r="P422" s="3" t="inlineStr">
        <is>
          <t>Does not exist; no owner, no documentation, no practice.</t>
        </is>
      </c>
      <c r="Q422" s="3" t="inlineStr">
        <is>
          <t>Ad hoc; depends entirely on specific individuals.</t>
        </is>
      </c>
      <c r="R422" s="3" t="inlineStr">
        <is>
          <t>Partially documented or implemented; coverage inconsistent; never tested under stress.</t>
        </is>
      </c>
      <c r="S422" s="3" t="inlineStr">
        <is>
          <t>Documented, owned, executed consistently; basic evidence and metrics exist.</t>
        </is>
      </c>
      <c r="T422" s="3" t="inlineStr">
        <is>
          <t>Measured and periodically tested/audited; integrated with adjacent processes.</t>
        </is>
      </c>
      <c r="U422" s="3" t="inlineStr">
        <is>
          <t>Optimized and automated where practical; stress-tested; benchmarked externally.</t>
        </is>
      </c>
      <c r="V422" s="3" t="inlineStr">
        <is>
          <t>Execution failure; Delivery disruption; Decision failure</t>
        </is>
      </c>
      <c r="W422" s="3" t="n"/>
      <c r="X422" s="3" t="n"/>
      <c r="Y422" s="3" t="inlineStr">
        <is>
          <t>Use the recommended action generated by the model; validate with domain owner during real assessment.</t>
        </is>
      </c>
      <c r="Z422" s="7" t="n">
        <v>4</v>
      </c>
      <c r="AA422" s="7" t="n">
        <v>5</v>
      </c>
      <c r="AB422" s="7" t="n">
        <v>5</v>
      </c>
      <c r="AK422" s="46" t="n"/>
      <c r="AL422" s="46" t="n"/>
      <c r="AM422" s="247">
        <f>_DATA_Assessment_Model!AJ422</f>
        <v/>
      </c>
      <c r="AN422" s="247">
        <f>_DATA_Assessment_Model!AK422</f>
        <v/>
      </c>
      <c r="AO422" s="247">
        <f>_DATA_Assessment_Model!AL422</f>
        <v/>
      </c>
      <c r="AP422" s="247">
        <f>_DATA_Assessment_Model!AM422</f>
        <v/>
      </c>
      <c r="AQ422" s="247">
        <f>_DATA_Assessment_Model!AN422</f>
        <v/>
      </c>
      <c r="AR422" s="247">
        <f>_DATA_Assessment_Model!AO422</f>
        <v/>
      </c>
      <c r="AS422" s="247">
        <f>_DATA_Assessment_Model!AP422</f>
        <v/>
      </c>
      <c r="AT422" s="247">
        <f>_DATA_Assessment_Model!AQ422</f>
        <v/>
      </c>
      <c r="AU422" s="247">
        <f>_DATA_Assessment_Model!AR422</f>
        <v/>
      </c>
      <c r="AV422" s="5">
        <f>_DATA_Assessment_Model!AS422</f>
        <v/>
      </c>
      <c r="AW422" s="5">
        <f>_DATA_Assessment_Model!AT422</f>
        <v/>
      </c>
      <c r="AY422">
        <f>_DATA_Assessment_Model!AV422</f>
        <v/>
      </c>
    </row>
    <row r="423" ht="96.59999999999999" customHeight="1" s="209">
      <c r="A423" t="inlineStr">
        <is>
          <t>Quality Portfolio</t>
        </is>
      </c>
      <c r="B423" t="inlineStr">
        <is>
          <t>Quality Portfolio</t>
        </is>
      </c>
      <c r="C423" t="n">
        <v>21</v>
      </c>
      <c r="D423" s="3" t="inlineStr">
        <is>
          <t>QUAL-018</t>
        </is>
      </c>
      <c r="E423" s="3" t="inlineStr">
        <is>
          <t>Management system</t>
        </is>
      </c>
      <c r="F423" s="3" t="inlineStr">
        <is>
          <t>How mature is the organization in managing decision log for major decisions with alternatives, risks, assumptions, owners and follow-up, including ownership, evidence, metrics, fallback procedures and crisis stress testing?</t>
        </is>
      </c>
      <c r="G423" s="3" t="inlineStr">
        <is>
          <t>This topic affects exposure to Execution failure; Delivery disruption; Decision failure. It helps identify how disruption may impact operations, people, revenue, systems, legal exposure or recovery time.</t>
        </is>
      </c>
      <c r="H423" s="3" t="inlineStr">
        <is>
          <t>ISO 9001; ISO 21502; ISO 21500; APQC; Lean; Six Sigma; PMBOK; COBIT</t>
        </is>
      </c>
      <c r="I423" s="3" t="inlineStr">
        <is>
          <t>Policy/SOP; owner/RACI; system report; dashboard; contracts; test records; incident history; interview evidence related to decision log for major decisions with alternatives, risks, assumptions, owners and follow-up.</t>
        </is>
      </c>
      <c r="J423" s="3" t="n">
        <v>4</v>
      </c>
      <c r="K423" s="85">
        <f>_DATA_Assessment_Model!H423</f>
        <v/>
      </c>
      <c r="L423" s="4">
        <f>_DATA_Assessment_Model!I423</f>
        <v/>
      </c>
      <c r="M423" s="4">
        <f>_DATA_Assessment_Model!J423</f>
        <v/>
      </c>
      <c r="N423" s="4">
        <f>_DATA_Assessment_Model!K423</f>
        <v/>
      </c>
      <c r="O423" s="3">
        <f>_DATA_Assessment_Model!L423</f>
        <v/>
      </c>
      <c r="P423" s="3" t="inlineStr">
        <is>
          <t>No reliable evidence that decision log for major decisions with alternatives, risks, assumptions, owners and follow-up is defined, owned or managed.</t>
        </is>
      </c>
      <c r="Q423" s="3" t="inlineStr">
        <is>
          <t>Decision log for major decisions with alternatives, risks, assumptions, owners and follow-up is handled informally and depends on individual knowledge or heroic effort.</t>
        </is>
      </c>
      <c r="R423" s="3" t="inlineStr">
        <is>
          <t>Decision log for major decisions with alternatives, risks, assumptions, owners and follow-up is partially documented or implemented, but coverage is inconsistent and not crisis-tested.</t>
        </is>
      </c>
      <c r="S423" s="3" t="inlineStr">
        <is>
          <t>Decision log for major decisions with alternatives, risks, assumptions, owners and follow-up is documented, owned, used in normal operations and supported by basic evidence or metrics.</t>
        </is>
      </c>
      <c r="T423" s="3" t="inlineStr">
        <is>
          <t>Decision log for major decisions with alternatives, risks, assumptions, owners and follow-up is measured, periodically reviewed, integrated with related processes and tested against relevant disruption scenarios.</t>
        </is>
      </c>
      <c r="U423" s="3" t="inlineStr">
        <is>
          <t>Decision log for major decisions with alternatives, risks, assumptions, owners and follow-up is optimized, continuously improved, automated where practical and demonstrably supports crisis resilience.</t>
        </is>
      </c>
      <c r="V423" s="3" t="inlineStr">
        <is>
          <t>Execution failure; Delivery disruption; Decision failure</t>
        </is>
      </c>
      <c r="W423" s="3" t="n"/>
      <c r="X423" s="3" t="n"/>
      <c r="Y423" s="3" t="inlineStr">
        <is>
          <t>Use the recommended action generated by the model; validate with domain owner during real assessment.</t>
        </is>
      </c>
      <c r="Z423" s="7" t="n">
        <v>4</v>
      </c>
      <c r="AA423" s="7" t="n">
        <v>5</v>
      </c>
      <c r="AB423" s="7" t="n">
        <v>5</v>
      </c>
      <c r="AK423" s="46" t="n"/>
      <c r="AL423" s="46" t="n"/>
      <c r="AM423" s="247">
        <f>_DATA_Assessment_Model!AJ423</f>
        <v/>
      </c>
      <c r="AN423" s="247">
        <f>_DATA_Assessment_Model!AK423</f>
        <v/>
      </c>
      <c r="AO423" s="247">
        <f>_DATA_Assessment_Model!AL423</f>
        <v/>
      </c>
      <c r="AP423" s="247">
        <f>_DATA_Assessment_Model!AM423</f>
        <v/>
      </c>
      <c r="AQ423" s="247">
        <f>_DATA_Assessment_Model!AN423</f>
        <v/>
      </c>
      <c r="AR423" s="247">
        <f>_DATA_Assessment_Model!AO423</f>
        <v/>
      </c>
      <c r="AS423" s="247">
        <f>_DATA_Assessment_Model!AP423</f>
        <v/>
      </c>
      <c r="AT423" s="247">
        <f>_DATA_Assessment_Model!AQ423</f>
        <v/>
      </c>
      <c r="AU423" s="247">
        <f>_DATA_Assessment_Model!AR423</f>
        <v/>
      </c>
      <c r="AV423" s="5">
        <f>_DATA_Assessment_Model!AS423</f>
        <v/>
      </c>
      <c r="AW423" s="5">
        <f>_DATA_Assessment_Model!AT423</f>
        <v/>
      </c>
      <c r="AY423">
        <f>_DATA_Assessment_Model!AV423</f>
        <v/>
      </c>
    </row>
    <row r="424" ht="82.8" customHeight="1" s="209">
      <c r="A424" t="inlineStr">
        <is>
          <t>Quality Portfolio</t>
        </is>
      </c>
      <c r="B424" t="inlineStr">
        <is>
          <t>Quality Portfolio</t>
        </is>
      </c>
      <c r="C424" t="n">
        <v>22</v>
      </c>
      <c r="D424" s="3" t="inlineStr">
        <is>
          <t>QUAL-019</t>
        </is>
      </c>
      <c r="E424" s="3" t="inlineStr">
        <is>
          <t>Management system</t>
        </is>
      </c>
      <c r="F424" s="3" t="inlineStr">
        <is>
          <t>How mature is the organization in managing evidence readiness for audits, customers, insurers or regulators during crisis, including ownership, evidence, metrics, fallback procedures and crisis stress testing?</t>
        </is>
      </c>
      <c r="G424" s="3" t="inlineStr">
        <is>
          <t>This topic affects exposure to Execution failure; Delivery disruption; Decision failure. It helps identify how disruption may impact operations, people, revenue, systems, legal exposure or recovery time.</t>
        </is>
      </c>
      <c r="H424" s="3" t="inlineStr">
        <is>
          <t>ISO 9001; ISO 21502; ISO 21500; APQC; Lean; Six Sigma; PMBOK; COBIT</t>
        </is>
      </c>
      <c r="I424" s="3" t="inlineStr">
        <is>
          <t>Policy/SOP; owner/RACI; system report; dashboard; contracts; test records; incident history; interview evidence related to evidence readiness for audits, customers, insurers or regulators during crisis.</t>
        </is>
      </c>
      <c r="J424" s="3" t="n">
        <v>5</v>
      </c>
      <c r="K424" s="85">
        <f>_DATA_Assessment_Model!H424</f>
        <v/>
      </c>
      <c r="L424" s="4">
        <f>_DATA_Assessment_Model!I424</f>
        <v/>
      </c>
      <c r="M424" s="4">
        <f>_DATA_Assessment_Model!J424</f>
        <v/>
      </c>
      <c r="N424" s="4">
        <f>_DATA_Assessment_Model!K424</f>
        <v/>
      </c>
      <c r="O424" s="3">
        <f>_DATA_Assessment_Model!L424</f>
        <v/>
      </c>
      <c r="P424" s="3" t="inlineStr">
        <is>
          <t>Does not exist; no owner, no documentation, no practice.</t>
        </is>
      </c>
      <c r="Q424" s="3" t="inlineStr">
        <is>
          <t>Ad hoc; depends entirely on specific individuals.</t>
        </is>
      </c>
      <c r="R424" s="3" t="inlineStr">
        <is>
          <t>Partially documented or implemented; coverage inconsistent; never tested under stress.</t>
        </is>
      </c>
      <c r="S424" s="3" t="inlineStr">
        <is>
          <t>Documented, owned, executed consistently; basic evidence and metrics exist.</t>
        </is>
      </c>
      <c r="T424" s="3" t="inlineStr">
        <is>
          <t>Measured and periodically tested/audited; integrated with adjacent processes.</t>
        </is>
      </c>
      <c r="U424" s="3" t="inlineStr">
        <is>
          <t>Optimized and automated where practical; stress-tested; benchmarked externally.</t>
        </is>
      </c>
      <c r="V424" s="3" t="inlineStr">
        <is>
          <t>Execution failure; Delivery disruption; Decision failure</t>
        </is>
      </c>
      <c r="W424" s="3" t="n"/>
      <c r="X424" s="3" t="n"/>
      <c r="Y424" s="3" t="inlineStr">
        <is>
          <t>Use the recommended action generated by the model; validate with domain owner during real assessment.</t>
        </is>
      </c>
      <c r="Z424" s="7" t="n">
        <v>4</v>
      </c>
      <c r="AA424" s="7" t="n">
        <v>5</v>
      </c>
      <c r="AB424" s="7" t="n">
        <v>5</v>
      </c>
      <c r="AK424" s="46" t="n"/>
      <c r="AL424" s="46" t="n"/>
      <c r="AM424" s="247">
        <f>_DATA_Assessment_Model!AJ424</f>
        <v/>
      </c>
      <c r="AN424" s="247">
        <f>_DATA_Assessment_Model!AK424</f>
        <v/>
      </c>
      <c r="AO424" s="247">
        <f>_DATA_Assessment_Model!AL424</f>
        <v/>
      </c>
      <c r="AP424" s="247">
        <f>_DATA_Assessment_Model!AM424</f>
        <v/>
      </c>
      <c r="AQ424" s="247">
        <f>_DATA_Assessment_Model!AN424</f>
        <v/>
      </c>
      <c r="AR424" s="247">
        <f>_DATA_Assessment_Model!AO424</f>
        <v/>
      </c>
      <c r="AS424" s="247">
        <f>_DATA_Assessment_Model!AP424</f>
        <v/>
      </c>
      <c r="AT424" s="247">
        <f>_DATA_Assessment_Model!AQ424</f>
        <v/>
      </c>
      <c r="AU424" s="247">
        <f>_DATA_Assessment_Model!AR424</f>
        <v/>
      </c>
      <c r="AV424" s="5">
        <f>_DATA_Assessment_Model!AS424</f>
        <v/>
      </c>
      <c r="AW424" s="5">
        <f>_DATA_Assessment_Model!AT424</f>
        <v/>
      </c>
      <c r="AY424">
        <f>_DATA_Assessment_Model!AV424</f>
        <v/>
      </c>
    </row>
    <row r="425" ht="124.2" customHeight="1" s="209">
      <c r="A425" t="inlineStr">
        <is>
          <t>Quality Portfolio</t>
        </is>
      </c>
      <c r="B425" t="inlineStr">
        <is>
          <t>Quality Portfolio</t>
        </is>
      </c>
      <c r="C425" t="n">
        <v>23</v>
      </c>
      <c r="D425" s="3" t="inlineStr">
        <is>
          <t>QUAL-021</t>
        </is>
      </c>
      <c r="E425" s="3" t="inlineStr">
        <is>
          <t>Portfolio and change</t>
        </is>
      </c>
      <c r="F425" s="3" t="inlineStr">
        <is>
          <t>How mature is the organization in managing organizational project management alignment connecting strategy to portfolios, programs and projects with defined governance layers, including ownership, evidence, metrics, fallback procedures and crisis stress testing?</t>
        </is>
      </c>
      <c r="G425" s="3" t="inlineStr">
        <is>
          <t>This topic affects exposure to Financial/liquidity crisis; Demand shock. It helps identify how disruption may impact operations, people, revenue, systems, legal exposure or recovery time.</t>
        </is>
      </c>
      <c r="H425" s="3" t="inlineStr">
        <is>
          <t>PMI Standard for OPM; ISO 21502; APQC PCF 13.0</t>
        </is>
      </c>
      <c r="I425" s="3" t="inlineStr">
        <is>
          <t>Policy/SOP; owner/RACI; system report; dashboard; contracts; test records; incident history; interview evidence related to process architecture covering major value streams and support processes.</t>
        </is>
      </c>
      <c r="J425" s="3" t="n">
        <v>4</v>
      </c>
      <c r="K425" s="85">
        <f>_DATA_Assessment_Model!H425</f>
        <v/>
      </c>
      <c r="L425" s="4">
        <f>_DATA_Assessment_Model!I425</f>
        <v/>
      </c>
      <c r="M425" s="4">
        <f>_DATA_Assessment_Model!J425</f>
        <v/>
      </c>
      <c r="N425" s="4">
        <f>_DATA_Assessment_Model!K425</f>
        <v/>
      </c>
      <c r="O425" s="3">
        <f>_DATA_Assessment_Model!L425</f>
        <v/>
      </c>
      <c r="P425" s="3" t="inlineStr">
        <is>
          <t>No reliable evidence that organizational project management alignment connecting strategy to portfolios, programs and projects with defined governance layers is defined, owned or managed.</t>
        </is>
      </c>
      <c r="Q425" s="3" t="inlineStr">
        <is>
          <t>Organizational project management alignment connecting strategy to portfolios, programs and projects with defined governance layers is handled informally and depends on individual knowledge or heroic effort.</t>
        </is>
      </c>
      <c r="R425" s="3" t="inlineStr">
        <is>
          <t>Organizational project management alignment connecting strategy to portfolios, programs and projects with defined governance layers is partially documented or implemented, but coverage is inconsistent and not crisis-tested.</t>
        </is>
      </c>
      <c r="S425" s="3" t="inlineStr">
        <is>
          <t>Organizational project management alignment connecting strategy to portfolios, programs and projects with defined governance layers is documented, owned, used in normal operations and supported by basic evidence or metrics.</t>
        </is>
      </c>
      <c r="T425" s="3" t="inlineStr">
        <is>
          <t>Organizational project management alignment connecting strategy to portfolios, programs and projects with defined governance layers is measured, periodically reviewed, integrated with related processes and tested against relevant disruption scenarios.</t>
        </is>
      </c>
      <c r="U425" s="3" t="inlineStr">
        <is>
          <t>Organizational project management alignment connecting strategy to portfolios, programs and projects with defined governance layers is optimized, continuously improved, automated where practical and demonstrably supports crisis resilience.</t>
        </is>
      </c>
      <c r="V425" s="3" t="inlineStr">
        <is>
          <t>Financial/liquidity crisis; Demand shock</t>
        </is>
      </c>
      <c r="W425" s="3" t="n"/>
      <c r="X425" s="3" t="n"/>
      <c r="Y425" s="3" t="inlineStr">
        <is>
          <t>Use the recommended action generated by the model; validate with domain owner during real assessment.</t>
        </is>
      </c>
      <c r="Z425" s="7" t="n">
        <v>3</v>
      </c>
      <c r="AA425" s="7" t="n">
        <v>3</v>
      </c>
      <c r="AB425" s="7" t="n">
        <v>5</v>
      </c>
      <c r="AK425" s="46" t="n"/>
      <c r="AL425" s="46" t="n"/>
      <c r="AM425" s="247">
        <f>_DATA_Assessment_Model!AJ425</f>
        <v/>
      </c>
      <c r="AN425" s="247">
        <f>_DATA_Assessment_Model!AK425</f>
        <v/>
      </c>
      <c r="AO425" s="247">
        <f>_DATA_Assessment_Model!AL425</f>
        <v/>
      </c>
      <c r="AP425" s="247">
        <f>_DATA_Assessment_Model!AM425</f>
        <v/>
      </c>
      <c r="AQ425" s="247">
        <f>_DATA_Assessment_Model!AN425</f>
        <v/>
      </c>
      <c r="AR425" s="247">
        <f>_DATA_Assessment_Model!AO425</f>
        <v/>
      </c>
      <c r="AS425" s="247">
        <f>_DATA_Assessment_Model!AP425</f>
        <v/>
      </c>
      <c r="AT425" s="247">
        <f>_DATA_Assessment_Model!AQ425</f>
        <v/>
      </c>
      <c r="AU425" s="247">
        <f>_DATA_Assessment_Model!AR425</f>
        <v/>
      </c>
      <c r="AV425" s="5">
        <f>_DATA_Assessment_Model!AS425</f>
        <v/>
      </c>
      <c r="AW425" s="5">
        <f>_DATA_Assessment_Model!AT425</f>
        <v/>
      </c>
      <c r="AY425">
        <f>_DATA_Assessment_Model!AV425</f>
        <v/>
      </c>
    </row>
    <row r="426" ht="110.4" customHeight="1" s="209">
      <c r="A426" t="inlineStr">
        <is>
          <t>Quality Portfolio</t>
        </is>
      </c>
      <c r="B426" t="inlineStr">
        <is>
          <t>Quality Portfolio</t>
        </is>
      </c>
      <c r="C426" t="n">
        <v>24</v>
      </c>
      <c r="D426" s="3" t="inlineStr">
        <is>
          <t>QUAL-022</t>
        </is>
      </c>
      <c r="E426" s="3" t="inlineStr">
        <is>
          <t>Portfolio and change</t>
        </is>
      </c>
      <c r="F426" s="3" t="inlineStr">
        <is>
          <t>How mature is the organization in managing standardized and tailored project delivery methodology with knowledge transfer between initiatives, including ownership, evidence, metrics, fallback procedures and crisis stress testing?</t>
        </is>
      </c>
      <c r="G426" s="3" t="inlineStr">
        <is>
          <t>This topic affects exposure to Demand shock; Workforce disruption. It helps identify how disruption may impact operations, people, revenue, systems, legal exposure or recovery time.</t>
        </is>
      </c>
      <c r="H426" s="3" t="inlineStr">
        <is>
          <t>PMI OPM; PMBOK; ISO 21502</t>
        </is>
      </c>
      <c r="I426" s="3" t="inlineStr">
        <is>
          <t>Policy/SOP; owner/RACI; system report; dashboard; contracts; test records; incident history; interview evidence related to process architecture covering major value streams and support processes.</t>
        </is>
      </c>
      <c r="J426" s="3" t="n">
        <v>3</v>
      </c>
      <c r="K426" s="85">
        <f>_DATA_Assessment_Model!H426</f>
        <v/>
      </c>
      <c r="L426" s="4">
        <f>_DATA_Assessment_Model!I426</f>
        <v/>
      </c>
      <c r="M426" s="4">
        <f>_DATA_Assessment_Model!J426</f>
        <v/>
      </c>
      <c r="N426" s="4">
        <f>_DATA_Assessment_Model!K426</f>
        <v/>
      </c>
      <c r="O426" s="3">
        <f>_DATA_Assessment_Model!L426</f>
        <v/>
      </c>
      <c r="P426" s="3" t="inlineStr">
        <is>
          <t>No reliable evidence that standardized and tailored project delivery methodology with knowledge transfer between initiatives is defined, owned or managed.</t>
        </is>
      </c>
      <c r="Q426" s="3" t="inlineStr">
        <is>
          <t>Standardized and tailored project delivery methodology with knowledge transfer between initiatives is handled informally and depends on individual knowledge or heroic effort.</t>
        </is>
      </c>
      <c r="R426" s="3" t="inlineStr">
        <is>
          <t>Standardized and tailored project delivery methodology with knowledge transfer between initiatives is partially documented or implemented, but coverage is inconsistent and not crisis-tested.</t>
        </is>
      </c>
      <c r="S426" s="3" t="inlineStr">
        <is>
          <t>Standardized and tailored project delivery methodology with knowledge transfer between initiatives is documented, owned, used in normal operations and supported by basic evidence or metrics.</t>
        </is>
      </c>
      <c r="T426" s="3" t="inlineStr">
        <is>
          <t>Standardized and tailored project delivery methodology with knowledge transfer between initiatives is measured, periodically reviewed, integrated with related processes and tested against relevant disruption scenarios.</t>
        </is>
      </c>
      <c r="U426" s="3" t="inlineStr">
        <is>
          <t>Standardized and tailored project delivery methodology with knowledge transfer between initiatives is optimized, continuously improved, automated where practical and demonstrably supports crisis resilience.</t>
        </is>
      </c>
      <c r="V426" s="3" t="inlineStr">
        <is>
          <t>Demand shock; Workforce disruption</t>
        </is>
      </c>
      <c r="W426" s="3" t="n"/>
      <c r="X426" s="3" t="n"/>
      <c r="Y426" s="3" t="inlineStr">
        <is>
          <t>Use the recommended action generated by the model; validate with domain owner during real assessment.</t>
        </is>
      </c>
      <c r="Z426" s="7" t="n">
        <v>3</v>
      </c>
      <c r="AA426" s="7" t="n">
        <v>3</v>
      </c>
      <c r="AB426" s="7" t="n">
        <v>5</v>
      </c>
      <c r="AK426" s="46" t="n"/>
      <c r="AL426" s="46" t="n"/>
      <c r="AM426" s="247">
        <f>_DATA_Assessment_Model!AJ426</f>
        <v/>
      </c>
      <c r="AN426" s="247">
        <f>_DATA_Assessment_Model!AK426</f>
        <v/>
      </c>
      <c r="AO426" s="247">
        <f>_DATA_Assessment_Model!AL426</f>
        <v/>
      </c>
      <c r="AP426" s="247">
        <f>_DATA_Assessment_Model!AM426</f>
        <v/>
      </c>
      <c r="AQ426" s="247">
        <f>_DATA_Assessment_Model!AN426</f>
        <v/>
      </c>
      <c r="AR426" s="247">
        <f>_DATA_Assessment_Model!AO426</f>
        <v/>
      </c>
      <c r="AS426" s="247">
        <f>_DATA_Assessment_Model!AP426</f>
        <v/>
      </c>
      <c r="AT426" s="247">
        <f>_DATA_Assessment_Model!AQ426</f>
        <v/>
      </c>
      <c r="AU426" s="247">
        <f>_DATA_Assessment_Model!AR426</f>
        <v/>
      </c>
      <c r="AV426" s="5">
        <f>_DATA_Assessment_Model!AS426</f>
        <v/>
      </c>
      <c r="AW426" s="5">
        <f>_DATA_Assessment_Model!AT426</f>
        <v/>
      </c>
      <c r="AY426">
        <f>_DATA_Assessment_Model!AV426</f>
        <v/>
      </c>
    </row>
    <row r="427">
      <c r="A427" t="inlineStr">
        <is>
          <t>Quality Portfolio</t>
        </is>
      </c>
      <c r="B427" t="inlineStr">
        <is>
          <t>Quality Portfolio</t>
        </is>
      </c>
      <c r="C427" t="n">
        <v>25</v>
      </c>
      <c r="D427" t="inlineStr">
        <is>
          <t>QUAL-023</t>
        </is>
      </c>
      <c r="E427" t="inlineStr">
        <is>
          <t>Portfolio and change</t>
        </is>
      </c>
      <c r="F427" t="inlineStr">
        <is>
          <t>How mature is the organization in managing project and change management competency development with a visible resource pool and capacity view, including ownership, evidence, metrics, fallback procedures and crisis stress testing?</t>
        </is>
      </c>
      <c r="G427" t="inlineStr">
        <is>
          <t>This topic affects exposure to Workforce disruption; Demand shock. It helps identify how disruption may impact operations, people, revenue, systems, legal exposure or recovery time.</t>
        </is>
      </c>
      <c r="H427" t="inlineStr">
        <is>
          <t>PMI OPM organizational enablers; APQC PCF 13.0</t>
        </is>
      </c>
      <c r="I427" t="inlineStr">
        <is>
          <t>Policy/SOP; owner/RACI; system report; dashboard; contracts; test records; incident history; interview evidence related to process architecture covering major value streams and support processes.</t>
        </is>
      </c>
      <c r="J427" t="n">
        <v>3</v>
      </c>
      <c r="K427">
        <f>_DATA_Assessment_Model!H427</f>
        <v/>
      </c>
      <c r="L427">
        <f>_DATA_Assessment_Model!I427</f>
        <v/>
      </c>
      <c r="M427">
        <f>_DATA_Assessment_Model!J427</f>
        <v/>
      </c>
      <c r="N427">
        <f>_DATA_Assessment_Model!K427</f>
        <v/>
      </c>
      <c r="O427">
        <f>_DATA_Assessment_Model!L427</f>
        <v/>
      </c>
      <c r="P427" t="inlineStr">
        <is>
          <t>No reliable evidence that project and change management competency development with a visible resource pool and capacity view is defined, owned or managed.</t>
        </is>
      </c>
      <c r="Q427" t="inlineStr">
        <is>
          <t>Project and change management competency development with a visible resource pool and capacity view is handled informally and depends on individual knowledge or heroic effort.</t>
        </is>
      </c>
      <c r="R427" t="inlineStr">
        <is>
          <t>Project and change management competency development with a visible resource pool and capacity view is partially documented or implemented, but coverage is inconsistent and not crisis-tested.</t>
        </is>
      </c>
      <c r="S427" t="inlineStr">
        <is>
          <t>Project and change management competency development with a visible resource pool and capacity view is documented, owned, used in normal operations and supported by basic evidence or metrics.</t>
        </is>
      </c>
      <c r="T427" t="inlineStr">
        <is>
          <t>Project and change management competency development with a visible resource pool and capacity view is measured, periodically reviewed, integrated with related processes and tested against relevant disruption scenarios.</t>
        </is>
      </c>
      <c r="U427" t="inlineStr">
        <is>
          <t>Project and change management competency development with a visible resource pool and capacity view is optimized, continuously improved, automated where practical and demonstrably supports crisis resilience.</t>
        </is>
      </c>
      <c r="V427" t="inlineStr">
        <is>
          <t>Workforce disruption; Demand shock</t>
        </is>
      </c>
      <c r="Y427" t="inlineStr">
        <is>
          <t>Use the recommended action generated by the model; validate with domain owner during real assessment.</t>
        </is>
      </c>
      <c r="Z427" t="n">
        <v>3</v>
      </c>
      <c r="AA427" t="n">
        <v>3</v>
      </c>
      <c r="AB427" t="n">
        <v>4</v>
      </c>
      <c r="AM427">
        <f>_DATA_Assessment_Model!AJ427</f>
        <v/>
      </c>
      <c r="AN427">
        <f>_DATA_Assessment_Model!AK427</f>
        <v/>
      </c>
      <c r="AO427">
        <f>_DATA_Assessment_Model!AL427</f>
        <v/>
      </c>
      <c r="AP427">
        <f>_DATA_Assessment_Model!AM427</f>
        <v/>
      </c>
      <c r="AQ427">
        <f>_DATA_Assessment_Model!AN427</f>
        <v/>
      </c>
      <c r="AR427">
        <f>_DATA_Assessment_Model!AO427</f>
        <v/>
      </c>
      <c r="AS427">
        <f>_DATA_Assessment_Model!AP427</f>
        <v/>
      </c>
      <c r="AT427">
        <f>_DATA_Assessment_Model!AQ427</f>
        <v/>
      </c>
      <c r="AU427">
        <f>_DATA_Assessment_Model!AR427</f>
        <v/>
      </c>
      <c r="AV427">
        <f>_DATA_Assessment_Model!AS427</f>
        <v/>
      </c>
      <c r="AW427">
        <f>_DATA_Assessment_Model!AT427</f>
        <v/>
      </c>
      <c r="AY427">
        <f>_DATA_Assessment_Model!AV427</f>
        <v/>
      </c>
    </row>
    <row r="428">
      <c r="A428" t="inlineStr">
        <is>
          <t>Quality Portfolio</t>
        </is>
      </c>
      <c r="B428" t="inlineStr">
        <is>
          <t>Quality Portfolio</t>
        </is>
      </c>
      <c r="C428" t="n">
        <v>26</v>
      </c>
      <c r="D428" t="inlineStr">
        <is>
          <t>QUAL-024</t>
        </is>
      </c>
      <c r="E428" t="inlineStr">
        <is>
          <t>Portfolio and change</t>
        </is>
      </c>
      <c r="F428" t="inlineStr">
        <is>
          <t>How mature is the organization in managing innovation and idea pipeline capturing, evaluating and funding employee and customer-driven improvements, including ownership, evidence, metrics, fallback procedures and crisis stress testing?</t>
        </is>
      </c>
      <c r="G428" t="inlineStr">
        <is>
          <t>This topic affects exposure to Demand shock; Reputation crisis. It helps identify how disruption may impact operations, people, revenue, systems, legal exposure or recovery time.</t>
        </is>
      </c>
      <c r="H428" t="inlineStr">
        <is>
          <t>EFQM 2025 2.3; ISO 56002; APQC PCF 13.0</t>
        </is>
      </c>
      <c r="I428" t="inlineStr">
        <is>
          <t>Policy/SOP; owner/RACI; system report; dashboard; contracts; test records; incident history; interview evidence related to process architecture covering major value streams and support processes.</t>
        </is>
      </c>
      <c r="J428" t="n">
        <v>3</v>
      </c>
      <c r="K428">
        <f>_DATA_Assessment_Model!H428</f>
        <v/>
      </c>
      <c r="L428">
        <f>_DATA_Assessment_Model!I428</f>
        <v/>
      </c>
      <c r="M428">
        <f>_DATA_Assessment_Model!J428</f>
        <v/>
      </c>
      <c r="N428">
        <f>_DATA_Assessment_Model!K428</f>
        <v/>
      </c>
      <c r="O428">
        <f>_DATA_Assessment_Model!L428</f>
        <v/>
      </c>
      <c r="P428" t="inlineStr">
        <is>
          <t>No reliable evidence that innovation and idea pipeline capturing, evaluating and funding employee and customer-driven improvements is defined, owned or managed.</t>
        </is>
      </c>
      <c r="Q428" t="inlineStr">
        <is>
          <t>Innovation and idea pipeline capturing, evaluating and funding employee and customer-driven improvements is handled informally and depends on individual knowledge or heroic effort.</t>
        </is>
      </c>
      <c r="R428" t="inlineStr">
        <is>
          <t>Innovation and idea pipeline capturing, evaluating and funding employee and customer-driven improvements is partially documented or implemented, but coverage is inconsistent and not crisis-tested.</t>
        </is>
      </c>
      <c r="S428" t="inlineStr">
        <is>
          <t>Innovation and idea pipeline capturing, evaluating and funding employee and customer-driven improvements is documented, owned, used in normal operations and supported by basic evidence or metrics.</t>
        </is>
      </c>
      <c r="T428" t="inlineStr">
        <is>
          <t>Innovation and idea pipeline capturing, evaluating and funding employee and customer-driven improvements is measured, periodically reviewed, integrated with related processes and tested against relevant disruption scenarios.</t>
        </is>
      </c>
      <c r="U428" t="inlineStr">
        <is>
          <t>Innovation and idea pipeline capturing, evaluating and funding employee and customer-driven improvements is optimized, continuously improved, automated where practical and demonstrably supports crisis resilience.</t>
        </is>
      </c>
      <c r="V428" t="inlineStr">
        <is>
          <t>Demand shock; Reputation crisis</t>
        </is>
      </c>
      <c r="Y428" t="inlineStr">
        <is>
          <t>Use the recommended action generated by the model; validate with domain owner during real assessment.</t>
        </is>
      </c>
      <c r="Z428" t="n">
        <v>3</v>
      </c>
      <c r="AA428" t="n">
        <v>3</v>
      </c>
      <c r="AB428" t="n">
        <v>4</v>
      </c>
      <c r="AM428">
        <f>_DATA_Assessment_Model!AJ428</f>
        <v/>
      </c>
      <c r="AN428">
        <f>_DATA_Assessment_Model!AK428</f>
        <v/>
      </c>
      <c r="AO428">
        <f>_DATA_Assessment_Model!AL428</f>
        <v/>
      </c>
      <c r="AP428">
        <f>_DATA_Assessment_Model!AM428</f>
        <v/>
      </c>
      <c r="AQ428">
        <f>_DATA_Assessment_Model!AN428</f>
        <v/>
      </c>
      <c r="AR428">
        <f>_DATA_Assessment_Model!AO428</f>
        <v/>
      </c>
      <c r="AS428">
        <f>_DATA_Assessment_Model!AP428</f>
        <v/>
      </c>
      <c r="AT428">
        <f>_DATA_Assessment_Model!AQ428</f>
        <v/>
      </c>
      <c r="AU428">
        <f>_DATA_Assessment_Model!AR428</f>
        <v/>
      </c>
      <c r="AV428">
        <f>_DATA_Assessment_Model!AS428</f>
        <v/>
      </c>
      <c r="AW428">
        <f>_DATA_Assessment_Model!AT428</f>
        <v/>
      </c>
      <c r="AY428">
        <f>_DATA_Assessment_Model!AV428</f>
        <v/>
      </c>
    </row>
  </sheetData>
  <autoFilter ref="A4:AY428"/>
  <conditionalFormatting sqref="G5:I428">
    <cfRule type="expression" priority="8" dxfId="15">
      <formula>TRUE</formula>
    </cfRule>
  </conditionalFormatting>
  <conditionalFormatting sqref="J5:J428">
    <cfRule type="expression" priority="1" dxfId="2">
      <formula>TRUE</formula>
    </cfRule>
  </conditionalFormatting>
  <conditionalFormatting sqref="K5:K428">
    <cfRule type="colorScale" priority="12">
      <colorScale>
        <cfvo type="num" val="0"/>
        <cfvo type="num" val="3"/>
        <cfvo type="num" val="5"/>
        <color rgb="FFF4CCCC"/>
        <color rgb="FFFFF2CC"/>
        <color rgb="FFD9EAD3"/>
      </colorScale>
    </cfRule>
  </conditionalFormatting>
  <conditionalFormatting sqref="K5:O428">
    <cfRule type="expression" priority="6" dxfId="12">
      <formula>TRUE</formula>
    </cfRule>
  </conditionalFormatting>
  <conditionalFormatting sqref="O5:O428">
    <cfRule type="expression" priority="10" dxfId="3">
      <formula>OR($O5="Critical",$O5="High")</formula>
    </cfRule>
    <cfRule type="expression" priority="11" dxfId="16">
      <formula>$O5="Medium"</formula>
    </cfRule>
  </conditionalFormatting>
  <conditionalFormatting sqref="P5:V428">
    <cfRule type="expression" priority="9" dxfId="15">
      <formula>TRUE</formula>
    </cfRule>
  </conditionalFormatting>
  <conditionalFormatting sqref="W5:X428">
    <cfRule type="expression" priority="2" dxfId="2">
      <formula>TRUE</formula>
    </cfRule>
  </conditionalFormatting>
  <conditionalFormatting sqref="AC5:AC428">
    <cfRule type="expression" priority="3" dxfId="2">
      <formula>TRUE</formula>
    </cfRule>
  </conditionalFormatting>
  <conditionalFormatting sqref="AF5:AY428">
    <cfRule type="expression" priority="7" dxfId="12">
      <formula>TRUE</formula>
    </cfRule>
  </conditionalFormatting>
  <conditionalFormatting sqref="AK5:AL428">
    <cfRule type="expression" priority="4" dxfId="2">
      <formula>TRUE</formula>
    </cfRule>
  </conditionalFormatting>
  <conditionalFormatting sqref="AX5:AX428">
    <cfRule type="expression" priority="5" dxfId="2">
      <formula>TRUE</formula>
    </cfRule>
  </conditionalFormatting>
  <dataValidations count="4">
    <dataValidation sqref="J5:J428" showDropDown="0" showInputMessage="0" showErrorMessage="0" allowBlank="0" type="list">
      <formula1>"1,2,3,4,5"</formula1>
    </dataValidation>
    <dataValidation sqref="AC5:AC428" showDropDown="0" showInputMessage="0" showErrorMessage="0" allowBlank="1" type="list">
      <formula1>"N/A,0 - Absent,1 - Ad hoc / individuals,2 - Partial / not formalized,3 - Documented &amp; operating,4 - Measured &amp; tested,5 - Optimized / automated"</formula1>
    </dataValidation>
    <dataValidation sqref="AK5:AL428" showDropDown="0" showInputMessage="0" showErrorMessage="0" allowBlank="1" type="list">
      <formula1>"Not assessed,Low,Medium,High"</formula1>
    </dataValidation>
    <dataValidation sqref="AX5:AX428" showDropDown="0" showInputMessage="0" showErrorMessage="0" allowBlank="1" type="list">
      <formula1>"Pilot / one team,One unit or site,Most units,Everywhere,Not applicable"</formula1>
    </dataValidation>
  </dataValidations>
  <pageMargins left="0.7" right="0.7" top="0.75" bottom="0.75" header="0.3" footer="0.3"/>
  <pageSetup orientation="landscape" fitToHeight="0"/>
  <headerFooter>
    <oddHeader/>
    <oddFooter>&amp;R© Roman Reznikov / RR-framework — CC BY-NC-SA 4.0 — For authorized use only</oddFooter>
    <evenHeader/>
    <evenFooter>&amp;R© Roman Reznikov / RR-framework — CC BY-NC-SA 4.0 — For authorized use only</evenFooter>
    <firstHeader/>
    <firstFooter>&amp;R© Roman Reznikov / RR-framework — CC BY-NC-SA 4.0 — For authorized use only</firstFooter>
  </headerFooter>
  <legacyDrawing xmlns:r="http://schemas.openxmlformats.org/officeDocument/2006/relationships" r:id="anysvml"/>
</worksheet>
</file>

<file path=xl/worksheets/sheet11.xml><?xml version="1.0" encoding="utf-8"?>
<worksheet xmlns="http://schemas.openxmlformats.org/spreadsheetml/2006/main">
  <dimension ref="A1:D25"/>
  <sheetViews>
    <sheetView workbookViewId="0">
      <pane ySplit="4" topLeftCell="A5" activePane="bottomLeft" state="frozen"/>
    </sheetView>
  </sheetViews>
  <sheetFormatPr defaultRowHeight="15"/>
  <cols>
    <col min="1" max="1" width="28" customWidth="1"/>
    <col min="2" max="2" width="34" customWidth="1"/>
    <col min="3" max="3" width="48" customWidth="1"/>
    <col min="4" max="4" width="78" customWidth="1"/>
  </cols>
  <sheetData>
    <row r="1">
      <c r="A1" t="inlineStr">
        <is>
          <t>Model Calibration — v1.99</t>
        </is>
        <is>
          <t>Model Calibration — v1.992</t>
        </is>
      </c>
    </row>
    <row r="2">
      <c r="A2" t="inlineStr">
        <is>
          <t>Admin/consultant control panel. The source of truth remains in hidden config/engine layers; this sheet documents what can be calibrated and where.</t>
        </is>
      </c>
      <c r="B2" t="inlineStr">
        <is>
          <t>v1.991 model calibration control panel</t>
        </is>
        <is>
          <t>v1.992 model calibration control panel. Source of truth remains in hidden config/engine/reference layers; no legacy staging sheet is required.</t>
        </is>
      </c>
    </row>
    <row r="3">
      <c r="A3" t="inlineStr">
        <is>
          <t>Calibration source of truth</t>
        </is>
      </c>
      <c r="B3" t="inlineStr">
        <is>
          <t>Model parameters live in _CONFIG_Model_Settings, _CONFIG_Risk_Calibration and _REF_Model_Content. Visible calibration is a control panel, not a duplicate source.</t>
        </is>
      </c>
    </row>
    <row r="4">
      <c r="A4" t="inlineStr">
        <is>
          <t>Calibration area</t>
        </is>
      </c>
      <c r="B4" t="inlineStr">
        <is>
          <t>Source of truth</t>
        </is>
      </c>
      <c r="C4" t="inlineStr">
        <is>
          <t>Visible interpretation</t>
        </is>
      </c>
      <c r="D4" t="inlineStr">
        <is>
          <t>Notes</t>
        </is>
      </c>
    </row>
    <row r="5">
      <c r="A5" t="inlineStr">
        <is>
          <t>v1.99 dependency status</t>
        </is>
      </c>
      <c r="B5" t="inlineStr">
        <is>
          <t>Risk, recommendation, roadmap and AS-IS scoring staging are consolidated into engine/data layers. Crisis/Resilience/Fuzzy staging remains temporarily hidden until the next controlled migration.</t>
        </is>
        <is>
          <t>Risk, recommendation, roadmap, AS-IS scoring and crisis/fuzzy staging have been consolidated into engine/data layers. Visible sheets act as workflow/output surfaces only.</t>
        </is>
      </c>
      <c r="C5" t="inlineStr">
        <is>
          <t>Shown/managed through Model Calibration logic</t>
        </is>
      </c>
      <c r="D5" t="inlineStr">
        <is>
          <t>No independent duplicate AHP sheet.</t>
        </is>
      </c>
    </row>
    <row r="6">
      <c r="A6" t="inlineStr">
        <is>
          <t>Risk calibration</t>
        </is>
      </c>
      <c r="B6" t="inlineStr">
        <is>
          <t>_CONFIG_Risk_Calibration</t>
        </is>
      </c>
      <c r="C6" t="inlineStr">
        <is>
          <t>Exposure, incident history, uncertainty, cascade, red-line fields</t>
        </is>
      </c>
      <c r="D6" t="inlineStr">
        <is>
          <t>Used by P1 risk probability/impact v2.</t>
        </is>
      </c>
    </row>
    <row r="7">
      <c r="A7" t="inlineStr">
        <is>
          <t>Fuzzy posture</t>
        </is>
      </c>
      <c r="B7" t="inlineStr">
        <is>
          <t>_ENGINE_Fuzzy_Posture</t>
        </is>
      </c>
      <c r="C7" t="inlineStr">
        <is>
          <t>Fragile / Exposed / Adaptive / Resilient / Anti-fragile</t>
        </is>
      </c>
      <c r="D7" t="inlineStr">
        <is>
          <t>Used by P2 WSJF weighting.</t>
        </is>
      </c>
    </row>
    <row r="8">
      <c r="A8" t="inlineStr">
        <is>
          <t>Strategic weights/objectives</t>
        </is>
      </c>
      <c r="B8" t="inlineStr">
        <is>
          <t>_CONFIG_Model_Settings</t>
        </is>
      </c>
      <c r="C8" t="inlineStr">
        <is>
          <t>Objective multipliers and fuzzy-state weights</t>
        </is>
      </c>
      <c r="D8" t="inlineStr">
        <is>
          <t>Default neutral fallback when objective is blank.</t>
        </is>
      </c>
    </row>
    <row r="9">
      <c r="A9" t="inlineStr">
        <is>
          <t>Financial anchors</t>
        </is>
      </c>
      <c r="B9" t="inlineStr">
        <is>
          <t>_CONFIG_Model_Settings</t>
        </is>
      </c>
      <c r="C9" t="inlineStr">
        <is>
          <t>Annual probability and avoided-loss anchors</t>
        </is>
      </c>
      <c r="D9" t="inlineStr">
        <is>
          <t>Used for cost-of-inaction / financial value.</t>
        </is>
      </c>
    </row>
    <row r="10">
      <c r="A10" t="inlineStr">
        <is>
          <t>Reference content</t>
        </is>
      </c>
      <c r="B10" t="inlineStr">
        <is>
          <t>_REF_Model_Content</t>
        </is>
      </c>
      <c r="C10" t="inlineStr">
        <is>
          <t>Industry templates, strategy fit, benchmarks</t>
        </is>
      </c>
      <c r="D10" t="inlineStr">
        <is>
          <t>Used for industry-specific multipliers and benchmarking.</t>
        </is>
      </c>
    </row>
    <row r="11"/>
    <row r="12">
      <c r="A12" t="inlineStr">
        <is>
          <t>v1.99 backlog</t>
        </is>
        <is>
          <t>v1.992 backlog</t>
        </is>
      </c>
      <c r="B12" t="inlineStr">
        <is>
          <t>Remaining architecture target: migrate diagnostic/crisis staging dependencies into engine/data layers, then delete the two retained staging tabs after zero-reference audit.</t>
        </is>
        <is>
          <t>Next target: run business scenario regression and optionally remove unused helper ranges after confirming zero downstream dependency risk.</t>
        </is>
      </c>
    </row>
  </sheetData>
  <pageMargins left="0.7" right="0.7" top="0.75" bottom="0.75" header="0.3" footer="0.3"/>
</worksheet>
</file>

<file path=xl/worksheets/sheet12.xml><?xml version="1.0" encoding="utf-8"?>
<worksheet xmlns="http://schemas.openxmlformats.org/spreadsheetml/2006/main">
  <sheetPr>
    <tabColor rgb="FF6B7280"/>
    <outlinePr summaryBelow="1" summaryRight="1"/>
    <pageSetUpPr fitToPage="1"/>
  </sheetPr>
  <dimension ref="A1:AZ428"/>
  <sheetViews>
    <sheetView showGridLines="0" workbookViewId="0">
      <pane ySplit="3" topLeftCell="A4" activePane="bottomLeft" state="frozen"/>
      <selection pane="bottomLeft" activeCell="A5" sqref="A5"/>
    </sheetView>
  </sheetViews>
  <sheetFormatPr baseColWidth="8" defaultRowHeight="13.8"/>
  <cols>
    <col width="12" customWidth="1" style="209" min="1" max="2"/>
    <col width="18" customWidth="1" style="209" min="3" max="52"/>
  </cols>
  <sheetData>
    <row r="1" ht="25.95" customHeight="1" s="209">
      <c r="A1" s="261" t="inlineStr">
        <is>
          <t>Normalized Backend Question Table</t>
        </is>
      </c>
      <c r="B1" s="261" t="n"/>
      <c r="C1" s="261" t="n"/>
      <c r="D1" s="261" t="n"/>
      <c r="E1" s="261" t="n"/>
      <c r="F1" s="261" t="n"/>
      <c r="G1" s="261" t="n"/>
      <c r="H1" s="261" t="n"/>
      <c r="I1" s="261" t="n"/>
      <c r="J1" s="261" t="n"/>
      <c r="K1" s="261" t="n"/>
      <c r="L1" s="261" t="n"/>
    </row>
    <row r="2" ht="34.05" customHeight="1" s="209">
      <c r="A2" s="125" t="inlineStr">
        <is>
          <t>One row per assessment question. This hidden sheet replaces the 17 legacy domain question tabs and feeds formulas/dashboards.</t>
        </is>
      </c>
      <c r="B2" s="125" t="n"/>
      <c r="C2" s="125" t="n"/>
      <c r="D2" s="125" t="n"/>
      <c r="E2" s="125" t="n"/>
      <c r="F2" s="125" t="n"/>
      <c r="G2" s="125" t="n"/>
      <c r="H2" s="125" t="n"/>
      <c r="I2" s="125" t="n"/>
      <c r="J2" s="125" t="n"/>
      <c r="K2" s="125" t="n"/>
      <c r="L2" s="125" t="n"/>
    </row>
    <row r="4">
      <c r="A4" t="inlineStr">
        <is>
          <t>ID</t>
        </is>
      </c>
      <c r="B4" t="inlineStr">
        <is>
          <t>Subdomain</t>
        </is>
      </c>
      <c r="C4" t="inlineStr">
        <is>
          <t>Question</t>
        </is>
      </c>
      <c r="D4" t="inlineStr">
        <is>
          <t>Crisis relevance / why it matters</t>
        </is>
      </c>
      <c r="E4" t="inlineStr">
        <is>
          <t>Standards / frameworks</t>
        </is>
      </c>
      <c r="F4" t="inlineStr">
        <is>
          <t>Evidence to request</t>
        </is>
      </c>
      <c r="G4" t="inlineStr">
        <is>
          <t>Weight 1-5</t>
        </is>
      </c>
      <c r="H4" t="inlineStr">
        <is>
          <t>Score 0-5 (auto from answer)</t>
        </is>
      </c>
      <c r="I4" t="inlineStr">
        <is>
          <t>Weighted score</t>
        </is>
      </c>
      <c r="J4" t="inlineStr">
        <is>
          <t>Max score</t>
        </is>
      </c>
      <c r="K4" t="inlineStr">
        <is>
          <t>Gap</t>
        </is>
      </c>
      <c r="L4" t="inlineStr">
        <is>
          <t>Risk level</t>
        </is>
      </c>
      <c r="M4" t="inlineStr">
        <is>
          <t>Score 0 criteria</t>
        </is>
      </c>
      <c r="N4" t="inlineStr">
        <is>
          <t>Score 1 criteria</t>
        </is>
      </c>
      <c r="O4" t="inlineStr">
        <is>
          <t>Score 2 criteria</t>
        </is>
      </c>
      <c r="P4" t="inlineStr">
        <is>
          <t>Score 3 criteria</t>
        </is>
      </c>
      <c r="Q4" t="inlineStr">
        <is>
          <t>Score 4 criteria</t>
        </is>
      </c>
      <c r="R4" t="inlineStr">
        <is>
          <t>Score 5 criteria</t>
        </is>
      </c>
      <c r="S4" t="inlineStr">
        <is>
          <t>Crisis scenario tags</t>
        </is>
      </c>
      <c r="T4" t="inlineStr">
        <is>
          <t>Owner / SME</t>
        </is>
      </c>
      <c r="U4" t="inlineStr">
        <is>
          <t>Comments / findings</t>
        </is>
      </c>
      <c r="V4" t="inlineStr">
        <is>
          <t>Recommended action</t>
        </is>
      </c>
      <c r="W4" t="inlineStr">
        <is>
          <t>Digitalization relevance 0-5</t>
        </is>
      </c>
      <c r="X4" t="inlineStr">
        <is>
          <t>Resilience relevance 0-5</t>
        </is>
      </c>
      <c r="Y4" t="inlineStr">
        <is>
          <t>Process maturity relevance 0-5</t>
        </is>
      </c>
      <c r="Z4" t="inlineStr">
        <is>
          <t>Answer - select stage</t>
        </is>
      </c>
      <c r="AA4" t="inlineStr">
        <is>
          <t>Subarea</t>
        </is>
      </c>
      <c r="AB4" t="inlineStr">
        <is>
          <t>Questions</t>
        </is>
      </c>
      <c r="AC4" t="inlineStr">
        <is>
          <t>Avg score 0-5</t>
        </is>
      </c>
      <c r="AD4" t="inlineStr">
        <is>
          <t>Maturity %</t>
        </is>
      </c>
      <c r="AE4" t="inlineStr">
        <is>
          <t>Critical/High</t>
        </is>
      </c>
      <c r="AF4" t="inlineStr">
        <is>
          <t>Gap to 5</t>
        </is>
      </c>
      <c r="AG4" t="inlineStr">
        <is>
          <t>Answered</t>
        </is>
      </c>
      <c r="AH4" t="inlineStr">
        <is>
          <t>Evidence confidence</t>
        </is>
      </c>
      <c r="AI4" t="inlineStr">
        <is>
          <t>Assessor confidence</t>
        </is>
      </c>
      <c r="AJ4" t="inlineStr">
        <is>
          <t>Evidence factor</t>
        </is>
      </c>
      <c r="AK4" t="inlineStr">
        <is>
          <t>Assessor factor</t>
        </is>
      </c>
      <c r="AL4" t="inlineStr">
        <is>
          <t>Confidence-adjusted score 0-5</t>
        </is>
      </c>
      <c r="AM4" t="inlineStr">
        <is>
          <t>Normalized score 0-100</t>
        </is>
      </c>
      <c r="AN4" t="inlineStr">
        <is>
          <t>Industry target 0-5</t>
        </is>
      </c>
      <c r="AO4" t="inlineStr">
        <is>
          <t>Gap to industry target</t>
        </is>
      </c>
      <c r="AP4" t="inlineStr">
        <is>
          <t>Industry criticality multiplier</t>
        </is>
      </c>
      <c r="AQ4" t="inlineStr">
        <is>
          <t>Industry-adjusted gap priority</t>
        </is>
      </c>
      <c r="AR4" t="inlineStr">
        <is>
          <t>Improved scoring note</t>
        </is>
      </c>
      <c r="AS4" t="inlineStr">
        <is>
          <t>v2 conf-adj score</t>
        </is>
      </c>
      <c r="AT4" t="inlineStr">
        <is>
          <t>v2 conf factor</t>
        </is>
      </c>
      <c r="AU4" t="inlineStr">
        <is>
          <t>Coverage (how widely deployed)</t>
        </is>
      </c>
      <c r="AV4" t="inlineStr">
        <is>
          <t>Coverage factor</t>
        </is>
      </c>
      <c r="AW4" t="inlineStr">
        <is>
          <t>Domain</t>
        </is>
      </c>
      <c r="AX4" t="inlineStr">
        <is>
          <t>Legacy source tab</t>
        </is>
      </c>
      <c r="AY4" t="inlineStr">
        <is>
          <t>Legacy source row</t>
        </is>
      </c>
      <c r="AZ4" t="inlineStr">
        <is>
          <t>Backend row</t>
        </is>
      </c>
    </row>
    <row r="5">
      <c r="A5" t="inlineStr">
        <is>
          <t>COMP-001</t>
        </is>
      </c>
      <c r="B5" t="inlineStr">
        <is>
          <t>Company profile</t>
        </is>
      </c>
      <c r="C5" t="inlineStr">
        <is>
          <t>How mature is the organization in managing legal entity structure, ownership, subsidiaries and operating countries, including ownership, evidence, metrics, fallback procedures and crisis stress testing?</t>
        </is>
      </c>
      <c r="D5" t="inlineStr">
        <is>
          <t>This topic affects exposure to Geopolitical risk; Physical site loss; Regulatory/legal shock. It helps identify how disruption may impact operations, people, revenue, systems, legal exposure or recovery time.</t>
        </is>
      </c>
      <c r="E5" t="inlineStr">
        <is>
          <t>ISO 22301; ISO 31000; ISO 9001; ISO 37000; PESTLE; Business Model Canvas</t>
        </is>
      </c>
      <c r="F5" t="inlineStr">
        <is>
          <t>Policy/SOP; owner/RACI; system report; dashboard; contracts; test records; incident history; interview evidence related to legal entity structure, ownership, subsidiaries and operating countries.</t>
        </is>
      </c>
      <c r="G5">
        <f>'Assessment Questions'!J5</f>
        <v/>
      </c>
      <c r="H5">
        <f>IF($Z5="","",IF($Z5="N/A","N/A",VALUE(LEFT($Z5,1))))</f>
        <v/>
      </c>
      <c r="I5">
        <f>IF($H5="","",IF($H5="N/A","",VALUE($H5)/5*$G5))</f>
        <v/>
      </c>
      <c r="J5">
        <f>IF(OR($H5="",$H5="N/A"),"",$G5)</f>
        <v/>
      </c>
      <c r="K5">
        <f>IF(OR($H5="",$H5="N/A"),"",$J5-$I5)</f>
        <v/>
      </c>
      <c r="L5">
        <f>IF($H5="","",IF($H5="N/A","N/A",IF(VALUE($H5)&lt;=1,"Critical",IF(VALUE($H5)&lt;=2,"High",IF(VALUE($H5)&lt;=3,"Medium",IF(VALUE($H5)&lt;=4,"Low","Resilient"))))))</f>
        <v/>
      </c>
      <c r="M5" t="inlineStr">
        <is>
          <t>No reliable evidence that legal entity structure, ownership, subsidiaries and operating countries is defined, owned or managed.</t>
        </is>
      </c>
      <c r="N5" t="inlineStr">
        <is>
          <t>Legal entity structure, ownership, subsidiaries and operating countries is handled informally and depends on individual knowledge or heroic effort.</t>
        </is>
      </c>
      <c r="O5" t="inlineStr">
        <is>
          <t>Legal entity structure, ownership, subsidiaries and operating countries is partially documented or implemented, but coverage is inconsistent and not crisis-tested.</t>
        </is>
      </c>
      <c r="P5" t="inlineStr">
        <is>
          <t>Legal entity structure, ownership, subsidiaries and operating countries is documented, owned, used in normal operations and supported by basic evidence or metrics.</t>
        </is>
      </c>
      <c r="Q5" t="inlineStr">
        <is>
          <t>Legal entity structure, ownership, subsidiaries and operating countries is measured, periodically reviewed, integrated with related processes and tested against relevant disruption scenarios.</t>
        </is>
      </c>
      <c r="R5" t="inlineStr">
        <is>
          <t>Legal entity structure, ownership, subsidiaries and operating countries is optimized, continuously improved, automated where practical and demonstrably supports crisis resilience.</t>
        </is>
      </c>
      <c r="S5" t="inlineStr">
        <is>
          <t>Geopolitical risk; Physical site loss; Regulatory/legal shock</t>
        </is>
      </c>
      <c r="T5">
        <f>'Assessment Questions'!W5</f>
        <v/>
      </c>
      <c r="U5">
        <f>'Assessment Questions'!X5</f>
        <v/>
      </c>
      <c r="V5">
        <f>'Assessment Questions'!Y5</f>
        <v/>
      </c>
      <c r="W5" t="n">
        <v>4</v>
      </c>
      <c r="X5" t="n">
        <v>5</v>
      </c>
      <c r="Y5" t="n">
        <v>5</v>
      </c>
      <c r="Z5">
        <f>'Assessment Questions'!AC5</f>
        <v/>
      </c>
      <c r="AA5" t="inlineStr">
        <is>
          <t>Company profile</t>
        </is>
      </c>
      <c r="AB5">
        <f>COUNTIF($B$5:$B$23,$AA5)</f>
        <v/>
      </c>
      <c r="AC5">
        <f>IFERROR(SUMPRODUCT(($B$5:$B$23=$AA5)*($H$5:$H$23&lt;&gt;"")*($H$5:$H$23&lt;&gt;"N/A")*IFERROR(VALUE($H$5:$H$23),0))/SUMPRODUCT(($B$5:$B$23=$AA5)*($H$5:$H$23&lt;&gt;"")*($H$5:$H$23&lt;&gt;"N/A")),0)</f>
        <v/>
      </c>
      <c r="AD5">
        <f>AC5/5</f>
        <v/>
      </c>
      <c r="AE5">
        <f>COUNTIFS($B$5:$B$23,$AA5,$L$5:$L$23,"Critical")+COUNTIFS($B$5:$B$23,$AA5,$L$5:$L$23,"High")</f>
        <v/>
      </c>
      <c r="AF5">
        <f>5-AC5</f>
        <v/>
      </c>
      <c r="AG5">
        <f>SUMPRODUCT(($B$5:$B$23=$AA5)*(ISNUMBER($H$5:$H$23)+($H$5:$H$23="N/A")))</f>
        <v/>
      </c>
      <c r="AH5">
        <f>'Assessment Questions'!AK5</f>
        <v/>
      </c>
      <c r="AI5">
        <f>'Assessment Questions'!AL5</f>
        <v/>
      </c>
      <c r="AJ5">
        <f>IF(OR($H5="",$H5="N/A"),"",IF($AH5="",VLOOKUP('Company Profile'!$B$40,_CONFIG_Model_Settings!$A$5:$B$8,2,FALSE),_xlfn.IFNA(VLOOKUP($AH5,_CONFIG_Model_Settings!$A$5:$B$8,2,FALSE),0.9)))</f>
        <v/>
      </c>
      <c r="AK5">
        <f>IF(OR($H5="",$H5="N/A"),"",IF($AI5="",VLOOKUP('Company Profile'!$B$41,_CONFIG_Model_Settings!$A$5:$B$8,2,FALSE),_xlfn.IFNA(VLOOKUP($AI5,_CONFIG_Model_Settings!$A$5:$B$8,2,FALSE),0.9)))</f>
        <v/>
      </c>
      <c r="AL5">
        <f>IF(OR($H5="",$H5="N/A"),"",ROUND(VALUE($H5)*$AJ5*$AK5*$AV5,2))</f>
        <v/>
      </c>
      <c r="AM5">
        <f>IF($AL5="","",ROUND($AL5/5*100,1))</f>
        <v/>
      </c>
      <c r="AN5">
        <f>IFERROR(MIN(5,MAX(0,(SUMIFS(_REF_Model_Content!$D$1:$D$157,_REF_Model_Content!$A$1:$A$157,'Company Profile'!$B$9,_REF_Model_Content!$B$1:$B$157,"Company Geography"))+_xlfn.IFNA(VLOOKUP('Company Profile'!$B$35,_CONFIG_Model_Settings!$A$11:$B$13,2,0),0))),"")</f>
        <v/>
      </c>
      <c r="AO5">
        <f>IF($AL5="","",MAX(0,ROUND($AN5-$AL5,2)))</f>
        <v/>
      </c>
      <c r="AP5">
        <f>IFERROR(SUMIFS(_REF_Model_Content!$E$1:$E$157,_REF_Model_Content!$A$1:$A$157,'Company Profile'!$B$9,_REF_Model_Content!$B$1:$B$157,"Company Geography"),1)</f>
        <v/>
      </c>
      <c r="AQ5">
        <f>IF($AO5="","",ROUND($AO5*$AP5*($G5/5),2))</f>
        <v/>
      </c>
      <c r="AR5">
        <f>IF($AO5="","",IF($AO5&gt;=2,"Critical industry gap",IF($AO5&gt;=1,"High industry gap",IF($AO5&gt;=0.5,"Moderate industry gap","Within target"))))</f>
        <v/>
      </c>
      <c r="AS5">
        <f>IF(OR($H5="",$H5="N/A"),0,VALUE($H5)*(($AJ5+$AK5)/2)*$AV5)</f>
        <v/>
      </c>
      <c r="AT5">
        <f>IF(OR($H5="",$H5="N/A"),0,($AJ5+$AK5)/2)</f>
        <v/>
      </c>
      <c r="AU5">
        <f>'Assessment Questions'!AX5</f>
        <v/>
      </c>
      <c r="AV5">
        <f>IF(OR($H5="",$H5="N/A"),"",IF(OR($AU5="",$AU5="Everywhere",$AU5="Not applicable"),1,IF($AU5="Pilot / one team",0.4,IF($AU5="One unit or site",0.7,0.9))))</f>
        <v/>
      </c>
      <c r="AW5" t="inlineStr">
        <is>
          <t>Company Geography</t>
        </is>
      </c>
      <c r="AX5" t="inlineStr">
        <is>
          <t>Company Geography</t>
        </is>
      </c>
      <c r="AY5" t="n">
        <v>5</v>
      </c>
      <c r="AZ5" t="n">
        <v>5</v>
      </c>
    </row>
    <row r="6">
      <c r="A6" t="inlineStr">
        <is>
          <t>COMP-002</t>
        </is>
      </c>
      <c r="B6" t="inlineStr">
        <is>
          <t>Company profile</t>
        </is>
      </c>
      <c r="C6" t="inlineStr">
        <is>
          <t>How mature is the organization in managing business model, value proposition, revenue streams and cost drivers, including ownership, evidence, metrics, fallback procedures and crisis stress testing?</t>
        </is>
      </c>
      <c r="D6" t="inlineStr">
        <is>
          <t>This topic affects exposure to Geopolitical risk; Physical site loss; Regulatory/legal shock. It helps identify how disruption may impact operations, people, revenue, systems, legal exposure or recovery time.</t>
        </is>
      </c>
      <c r="E6" t="inlineStr">
        <is>
          <t>ISO 22301; ISO 31000; ISO 9001; ISO 37000; PESTLE; Business Model Canvas</t>
        </is>
      </c>
      <c r="F6" t="inlineStr">
        <is>
          <t>Policy/SOP; owner/RACI; system report; dashboard; contracts; test records; incident history; interview evidence related to business model, value proposition, revenue streams and cost drivers.</t>
        </is>
      </c>
      <c r="G6">
        <f>'Assessment Questions'!J6</f>
        <v/>
      </c>
      <c r="H6">
        <f>IF($Z6="","",IF($Z6="N/A","N/A",VALUE(LEFT($Z6,1))))</f>
        <v/>
      </c>
      <c r="I6">
        <f>IF($H6="","",IF($H6="N/A","",VALUE($H6)/5*$G6))</f>
        <v/>
      </c>
      <c r="J6">
        <f>IF(OR($H6="",$H6="N/A"),"",$G6)</f>
        <v/>
      </c>
      <c r="K6">
        <f>IF(OR($H6="",$H6="N/A"),"",$J6-$I6)</f>
        <v/>
      </c>
      <c r="L6">
        <f>IF($H6="","",IF($H6="N/A","N/A",IF(VALUE($H6)&lt;=1,"Critical",IF(VALUE($H6)&lt;=2,"High",IF(VALUE($H6)&lt;=3,"Medium",IF(VALUE($H6)&lt;=4,"Low","Resilient"))))))</f>
        <v/>
      </c>
      <c r="M6" t="inlineStr">
        <is>
          <t>Does not exist; no owner, no documentation, no practice.</t>
        </is>
      </c>
      <c r="N6" t="inlineStr">
        <is>
          <t>Ad hoc; depends entirely on specific individuals.</t>
        </is>
      </c>
      <c r="O6" t="inlineStr">
        <is>
          <t>Partially documented or implemented; coverage inconsistent; never tested under stress.</t>
        </is>
      </c>
      <c r="P6" t="inlineStr">
        <is>
          <t>Documented, owned, executed consistently; basic evidence and metrics exist.</t>
        </is>
      </c>
      <c r="Q6" t="inlineStr">
        <is>
          <t>Measured and periodically tested/audited; integrated with adjacent processes.</t>
        </is>
      </c>
      <c r="R6" t="inlineStr">
        <is>
          <t>Optimized and automated where practical; stress-tested; benchmarked externally.</t>
        </is>
      </c>
      <c r="S6" t="inlineStr">
        <is>
          <t>Geopolitical risk; Physical site loss; Regulatory/legal shock</t>
        </is>
      </c>
      <c r="T6">
        <f>'Assessment Questions'!W6</f>
        <v/>
      </c>
      <c r="U6">
        <f>'Assessment Questions'!X6</f>
        <v/>
      </c>
      <c r="V6">
        <f>'Assessment Questions'!Y6</f>
        <v/>
      </c>
      <c r="W6" t="n">
        <v>4</v>
      </c>
      <c r="X6" t="n">
        <v>5</v>
      </c>
      <c r="Y6" t="n">
        <v>5</v>
      </c>
      <c r="Z6">
        <f>'Assessment Questions'!AC6</f>
        <v/>
      </c>
      <c r="AA6" t="inlineStr">
        <is>
          <t>Geographical distribution</t>
        </is>
      </c>
      <c r="AB6">
        <f>COUNTIF($B$5:$B$23,$AA6)</f>
        <v/>
      </c>
      <c r="AC6">
        <f>IFERROR(SUMPRODUCT(($B$5:$B$23=$AA6)*($H$5:$H$23&lt;&gt;"")*($H$5:$H$23&lt;&gt;"N/A")*IFERROR(VALUE($H$5:$H$23),0))/SUMPRODUCT(($B$5:$B$23=$AA6)*($H$5:$H$23&lt;&gt;"")*($H$5:$H$23&lt;&gt;"N/A")),0)</f>
        <v/>
      </c>
      <c r="AD6">
        <f>AC6/5</f>
        <v/>
      </c>
      <c r="AE6">
        <f>COUNTIFS($B$5:$B$23,$AA6,$L$5:$L$23,"Critical")+COUNTIFS($B$5:$B$23,$AA6,$L$5:$L$23,"High")</f>
        <v/>
      </c>
      <c r="AF6">
        <f>5-AC6</f>
        <v/>
      </c>
      <c r="AG6">
        <f>SUMPRODUCT(($B$5:$B$23=$AA6)*(ISNUMBER($H$5:$H$23)+($H$5:$H$23="N/A")))</f>
        <v/>
      </c>
      <c r="AH6">
        <f>'Assessment Questions'!AK6</f>
        <v/>
      </c>
      <c r="AI6">
        <f>'Assessment Questions'!AL6</f>
        <v/>
      </c>
      <c r="AJ6">
        <f>IF(OR($H6="",$H6="N/A"),"",IF($AH6="",VLOOKUP('Company Profile'!$B$40,_CONFIG_Model_Settings!$A$5:$B$8,2,FALSE),_xlfn.IFNA(VLOOKUP($AH6,_CONFIG_Model_Settings!$A$5:$B$8,2,FALSE),0.9)))</f>
        <v/>
      </c>
      <c r="AK6">
        <f>IF(OR($H6="",$H6="N/A"),"",IF($AI6="",VLOOKUP('Company Profile'!$B$41,_CONFIG_Model_Settings!$A$5:$B$8,2,FALSE),_xlfn.IFNA(VLOOKUP($AI6,_CONFIG_Model_Settings!$A$5:$B$8,2,FALSE),0.9)))</f>
        <v/>
      </c>
      <c r="AL6">
        <f>IF(OR($H6="",$H6="N/A"),"",ROUND(VALUE($H6)*$AJ6*$AK6*$AV6,2))</f>
        <v/>
      </c>
      <c r="AM6">
        <f>IF($AL6="","",ROUND($AL6/5*100,1))</f>
        <v/>
      </c>
      <c r="AN6">
        <f>IFERROR(MIN(5,MAX(0,(SUMIFS(_REF_Model_Content!$D$1:$D$157,_REF_Model_Content!$A$1:$A$157,'Company Profile'!$B$9,_REF_Model_Content!$B$1:$B$157,"Company Geography"))+_xlfn.IFNA(VLOOKUP('Company Profile'!$B$35,_CONFIG_Model_Settings!$A$11:$B$13,2,0),0))),"")</f>
        <v/>
      </c>
      <c r="AO6">
        <f>IF($AL6="","",MAX(0,ROUND($AN6-$AL6,2)))</f>
        <v/>
      </c>
      <c r="AP6">
        <f>IFERROR(SUMIFS(_REF_Model_Content!$E$1:$E$157,_REF_Model_Content!$A$1:$A$157,'Company Profile'!$B$9,_REF_Model_Content!$B$1:$B$157,"Company Geography"),1)</f>
        <v/>
      </c>
      <c r="AQ6">
        <f>IF($AO6="","",ROUND($AO6*$AP6*($G6/5),2))</f>
        <v/>
      </c>
      <c r="AR6">
        <f>IF($AO6="","",IF($AO6&gt;=2,"Critical industry gap",IF($AO6&gt;=1,"High industry gap",IF($AO6&gt;=0.5,"Moderate industry gap","Within target"))))</f>
        <v/>
      </c>
      <c r="AS6">
        <f>IF(OR($H6="",$H6="N/A"),0,VALUE($H6)*(($AJ6+$AK6)/2)*$AV6)</f>
        <v/>
      </c>
      <c r="AT6">
        <f>IF(OR($H6="",$H6="N/A"),0,($AJ6+$AK6)/2)</f>
        <v/>
      </c>
      <c r="AU6">
        <f>'Assessment Questions'!AX6</f>
        <v/>
      </c>
      <c r="AV6">
        <f>IF(OR($H6="",$H6="N/A"),"",IF(OR($AU6="",$AU6="Everywhere",$AU6="Not applicable"),1,IF($AU6="Pilot / one team",0.4,IF($AU6="One unit or site",0.7,0.9))))</f>
        <v/>
      </c>
      <c r="AW6" t="inlineStr">
        <is>
          <t>Company Geography</t>
        </is>
      </c>
      <c r="AX6" t="inlineStr">
        <is>
          <t>Company Geography</t>
        </is>
      </c>
      <c r="AY6" t="n">
        <v>6</v>
      </c>
      <c r="AZ6" t="n">
        <v>6</v>
      </c>
    </row>
    <row r="7">
      <c r="A7" t="inlineStr">
        <is>
          <t>COMP-003</t>
        </is>
      </c>
      <c r="B7" t="inlineStr">
        <is>
          <t>Company profile</t>
        </is>
      </c>
      <c r="C7" t="inlineStr">
        <is>
          <t>How mature is the organization in managing critical products and services ranked by revenue, margin and continuity priority, including ownership, evidence, metrics, fallback procedures and crisis stress testing?</t>
        </is>
      </c>
      <c r="D7" t="inlineStr">
        <is>
          <t>This topic affects exposure to Geopolitical risk; Physical site loss; Regulatory/legal shock. It helps identify how disruption may impact operations, people, revenue, systems, legal exposure or recovery time.</t>
        </is>
      </c>
      <c r="E7" t="inlineStr">
        <is>
          <t>ISO 22301; ISO 31000; ISO 9001; ISO 37000; PESTLE; Business Model Canvas</t>
        </is>
      </c>
      <c r="F7" t="inlineStr">
        <is>
          <t>Policy/SOP; owner/RACI; system report; dashboard; contracts; test records; incident history; interview evidence related to critical products and services ranked by revenue, margin and continuity priority.</t>
        </is>
      </c>
      <c r="G7">
        <f>'Assessment Questions'!J7</f>
        <v/>
      </c>
      <c r="H7">
        <f>IF($Z7="","",IF($Z7="N/A","N/A",VALUE(LEFT($Z7,1))))</f>
        <v/>
      </c>
      <c r="I7">
        <f>IF($H7="","",IF($H7="N/A","",VALUE($H7)/5*$G7))</f>
        <v/>
      </c>
      <c r="J7">
        <f>IF(OR($H7="",$H7="N/A"),"",$G7)</f>
        <v/>
      </c>
      <c r="K7">
        <f>IF(OR($H7="",$H7="N/A"),"",$J7-$I7)</f>
        <v/>
      </c>
      <c r="L7">
        <f>IF($H7="","",IF($H7="N/A","N/A",IF(VALUE($H7)&lt;=1,"Critical",IF(VALUE($H7)&lt;=2,"High",IF(VALUE($H7)&lt;=3,"Medium",IF(VALUE($H7)&lt;=4,"Low","Resilient"))))))</f>
        <v/>
      </c>
      <c r="M7" t="inlineStr">
        <is>
          <t>Does not exist; no owner, no documentation, no practice.</t>
        </is>
      </c>
      <c r="N7" t="inlineStr">
        <is>
          <t>Ad hoc; depends entirely on specific individuals.</t>
        </is>
      </c>
      <c r="O7" t="inlineStr">
        <is>
          <t>Partially documented or implemented; coverage inconsistent; never tested under stress.</t>
        </is>
      </c>
      <c r="P7" t="inlineStr">
        <is>
          <t>Documented, owned, executed consistently; basic evidence and metrics exist.</t>
        </is>
      </c>
      <c r="Q7" t="inlineStr">
        <is>
          <t>Measured and periodically tested/audited; integrated with adjacent processes.</t>
        </is>
      </c>
      <c r="R7" t="inlineStr">
        <is>
          <t>Optimized and automated where practical; stress-tested; benchmarked externally.</t>
        </is>
      </c>
      <c r="S7" t="inlineStr">
        <is>
          <t>Geopolitical risk; Physical site loss; Regulatory/legal shock</t>
        </is>
      </c>
      <c r="T7">
        <f>'Assessment Questions'!W7</f>
        <v/>
      </c>
      <c r="U7">
        <f>'Assessment Questions'!X7</f>
        <v/>
      </c>
      <c r="V7">
        <f>'Assessment Questions'!Y7</f>
        <v/>
      </c>
      <c r="W7" t="n">
        <v>4</v>
      </c>
      <c r="X7" t="n">
        <v>5</v>
      </c>
      <c r="Y7" t="n">
        <v>5</v>
      </c>
      <c r="Z7">
        <f>'Assessment Questions'!AC7</f>
        <v/>
      </c>
      <c r="AA7" t="inlineStr">
        <is>
          <t>Context and dependencies</t>
        </is>
      </c>
      <c r="AB7">
        <f>COUNTIF($B$5:$B$23,$AA7)</f>
        <v/>
      </c>
      <c r="AC7">
        <f>IFERROR(SUMPRODUCT(($B$5:$B$23=$AA7)*($H$5:$H$23&lt;&gt;"")*($H$5:$H$23&lt;&gt;"N/A")*IFERROR(VALUE($H$5:$H$23),0))/SUMPRODUCT(($B$5:$B$23=$AA7)*($H$5:$H$23&lt;&gt;"")*($H$5:$H$23&lt;&gt;"N/A")),0)</f>
        <v/>
      </c>
      <c r="AD7">
        <f>AC7/5</f>
        <v/>
      </c>
      <c r="AE7">
        <f>COUNTIFS($B$5:$B$23,$AA7,$L$5:$L$23,"Critical")+COUNTIFS($B$5:$B$23,$AA7,$L$5:$L$23,"High")</f>
        <v/>
      </c>
      <c r="AF7">
        <f>5-AC7</f>
        <v/>
      </c>
      <c r="AG7">
        <f>SUMPRODUCT(($B$5:$B$23=$AA7)*(ISNUMBER($H$5:$H$23)+($H$5:$H$23="N/A")))</f>
        <v/>
      </c>
      <c r="AH7">
        <f>'Assessment Questions'!AK7</f>
        <v/>
      </c>
      <c r="AI7">
        <f>'Assessment Questions'!AL7</f>
        <v/>
      </c>
      <c r="AJ7">
        <f>IF(OR($H7="",$H7="N/A"),"",IF($AH7="",VLOOKUP('Company Profile'!$B$40,_CONFIG_Model_Settings!$A$5:$B$8,2,FALSE),_xlfn.IFNA(VLOOKUP($AH7,_CONFIG_Model_Settings!$A$5:$B$8,2,FALSE),0.9)))</f>
        <v/>
      </c>
      <c r="AK7">
        <f>IF(OR($H7="",$H7="N/A"),"",IF($AI7="",VLOOKUP('Company Profile'!$B$41,_CONFIG_Model_Settings!$A$5:$B$8,2,FALSE),_xlfn.IFNA(VLOOKUP($AI7,_CONFIG_Model_Settings!$A$5:$B$8,2,FALSE),0.9)))</f>
        <v/>
      </c>
      <c r="AL7">
        <f>IF(OR($H7="",$H7="N/A"),"",ROUND(VALUE($H7)*$AJ7*$AK7*$AV7,2))</f>
        <v/>
      </c>
      <c r="AM7">
        <f>IF($AL7="","",ROUND($AL7/5*100,1))</f>
        <v/>
      </c>
      <c r="AN7">
        <f>IFERROR(MIN(5,MAX(0,(SUMIFS(_REF_Model_Content!$D$1:$D$157,_REF_Model_Content!$A$1:$A$157,'Company Profile'!$B$9,_REF_Model_Content!$B$1:$B$157,"Company Geography"))+_xlfn.IFNA(VLOOKUP('Company Profile'!$B$35,_CONFIG_Model_Settings!$A$11:$B$13,2,0),0))),"")</f>
        <v/>
      </c>
      <c r="AO7">
        <f>IF($AL7="","",MAX(0,ROUND($AN7-$AL7,2)))</f>
        <v/>
      </c>
      <c r="AP7">
        <f>IFERROR(SUMIFS(_REF_Model_Content!$E$1:$E$157,_REF_Model_Content!$A$1:$A$157,'Company Profile'!$B$9,_REF_Model_Content!$B$1:$B$157,"Company Geography"),1)</f>
        <v/>
      </c>
      <c r="AQ7">
        <f>IF($AO7="","",ROUND($AO7*$AP7*($G7/5),2))</f>
        <v/>
      </c>
      <c r="AR7">
        <f>IF($AO7="","",IF($AO7&gt;=2,"Critical industry gap",IF($AO7&gt;=1,"High industry gap",IF($AO7&gt;=0.5,"Moderate industry gap","Within target"))))</f>
        <v/>
      </c>
      <c r="AS7">
        <f>IF(OR($H7="",$H7="N/A"),0,VALUE($H7)*(($AJ7+$AK7)/2)*$AV7)</f>
        <v/>
      </c>
      <c r="AT7">
        <f>IF(OR($H7="",$H7="N/A"),0,($AJ7+$AK7)/2)</f>
        <v/>
      </c>
      <c r="AU7">
        <f>'Assessment Questions'!AX7</f>
        <v/>
      </c>
      <c r="AV7">
        <f>IF(OR($H7="",$H7="N/A"),"",IF(OR($AU7="",$AU7="Everywhere",$AU7="Not applicable"),1,IF($AU7="Pilot / one team",0.4,IF($AU7="One unit or site",0.7,0.9))))</f>
        <v/>
      </c>
      <c r="AW7" t="inlineStr">
        <is>
          <t>Company Geography</t>
        </is>
      </c>
      <c r="AX7" t="inlineStr">
        <is>
          <t>Company Geography</t>
        </is>
      </c>
      <c r="AY7" t="n">
        <v>7</v>
      </c>
      <c r="AZ7" t="n">
        <v>7</v>
      </c>
    </row>
    <row r="8">
      <c r="A8" t="inlineStr">
        <is>
          <t>COMP-004</t>
        </is>
      </c>
      <c r="B8" t="inlineStr">
        <is>
          <t>Company profile</t>
        </is>
      </c>
      <c r="C8" t="inlineStr">
        <is>
          <t>How mature is the organization in managing operating model: centralized, distributed, outsourced, remote or hybrid, including ownership, evidence, metrics, fallback procedures and crisis stress testing?</t>
        </is>
      </c>
      <c r="D8" t="inlineStr">
        <is>
          <t>This topic affects exposure to Geopolitical risk; Physical site loss; Regulatory/legal shock. It helps identify how disruption may impact operations, people, revenue, systems, legal exposure or recovery time.</t>
        </is>
      </c>
      <c r="E8" t="inlineStr">
        <is>
          <t>ISO 22301; ISO 31000; ISO 9001; ISO 37000; PESTLE; Business Model Canvas</t>
        </is>
      </c>
      <c r="F8" t="inlineStr">
        <is>
          <t>Policy/SOP; owner/RACI; system report; dashboard; contracts; test records; incident history; interview evidence related to operating model: centralized, distributed, outsourced, remote or hybrid.</t>
        </is>
      </c>
      <c r="G8">
        <f>'Assessment Questions'!J8</f>
        <v/>
      </c>
      <c r="H8">
        <f>IF($Z8="","",IF($Z8="N/A","N/A",VALUE(LEFT($Z8,1))))</f>
        <v/>
      </c>
      <c r="I8">
        <f>IF($H8="","",IF($H8="N/A","",VALUE($H8)/5*$G8))</f>
        <v/>
      </c>
      <c r="J8">
        <f>IF(OR($H8="",$H8="N/A"),"",$G8)</f>
        <v/>
      </c>
      <c r="K8">
        <f>IF(OR($H8="",$H8="N/A"),"",$J8-$I8)</f>
        <v/>
      </c>
      <c r="L8">
        <f>IF($H8="","",IF($H8="N/A","N/A",IF(VALUE($H8)&lt;=1,"Critical",IF(VALUE($H8)&lt;=2,"High",IF(VALUE($H8)&lt;=3,"Medium",IF(VALUE($H8)&lt;=4,"Low","Resilient"))))))</f>
        <v/>
      </c>
      <c r="M8" t="inlineStr">
        <is>
          <t>No reliable evidence that operating model: centralized, distributed, outsourced, remote or hybrid is defined, owned or managed.</t>
        </is>
      </c>
      <c r="N8" t="inlineStr">
        <is>
          <t>Operating model: centralized, distributed, outsourced, remote or hybrid is handled informally and depends on individual knowledge or heroic effort.</t>
        </is>
      </c>
      <c r="O8" t="inlineStr">
        <is>
          <t>Operating model: centralized, distributed, outsourced, remote or hybrid is partially documented or implemented, but coverage is inconsistent and not crisis-tested.</t>
        </is>
      </c>
      <c r="P8" t="inlineStr">
        <is>
          <t>Operating model: centralized, distributed, outsourced, remote or hybrid is documented, owned, used in normal operations and supported by basic evidence or metrics.</t>
        </is>
      </c>
      <c r="Q8" t="inlineStr">
        <is>
          <t>Operating model: centralized, distributed, outsourced, remote or hybrid is measured, periodically reviewed, integrated with related processes and tested against relevant disruption scenarios.</t>
        </is>
      </c>
      <c r="R8" t="inlineStr">
        <is>
          <t>Operating model: centralized, distributed, outsourced, remote or hybrid is optimized, continuously improved, automated where practical and demonstrably supports crisis resilience.</t>
        </is>
      </c>
      <c r="S8" t="inlineStr">
        <is>
          <t>Geopolitical risk; Physical site loss; Regulatory/legal shock</t>
        </is>
      </c>
      <c r="T8">
        <f>'Assessment Questions'!W8</f>
        <v/>
      </c>
      <c r="U8">
        <f>'Assessment Questions'!X8</f>
        <v/>
      </c>
      <c r="V8">
        <f>'Assessment Questions'!Y8</f>
        <v/>
      </c>
      <c r="W8" t="n">
        <v>4</v>
      </c>
      <c r="X8" t="n">
        <v>5</v>
      </c>
      <c r="Y8" t="n">
        <v>5</v>
      </c>
      <c r="Z8">
        <f>'Assessment Questions'!AC8</f>
        <v/>
      </c>
      <c r="AB8">
        <f>COUNTIF($B$5:$B$23,$AA8)</f>
        <v/>
      </c>
      <c r="AC8">
        <f>IFERROR(SUMPRODUCT(($B$5:$B$23=$AA8)*($H$5:$H$23&lt;&gt;"")*($H$5:$H$23&lt;&gt;"N/A")*IFERROR(VALUE($H$5:$H$23),0))/SUMPRODUCT(($B$5:$B$23=$AA8)*($H$5:$H$23&lt;&gt;"")*($H$5:$H$23&lt;&gt;"N/A")),0)</f>
        <v/>
      </c>
      <c r="AD8">
        <f>AC8/5</f>
        <v/>
      </c>
      <c r="AE8">
        <f>COUNTIFS($B$5:$B$23,$AA8,$L$5:$L$23,"Critical")+COUNTIFS($B$5:$B$23,$AA8,$L$5:$L$23,"High")</f>
        <v/>
      </c>
      <c r="AF8">
        <f>5-AC8</f>
        <v/>
      </c>
      <c r="AG8">
        <f>SUMPRODUCT(($B$5:$B$23=$AA8)*(ISNUMBER($H$5:$H$23)+($H$5:$H$23="N/A")))</f>
        <v/>
      </c>
      <c r="AH8">
        <f>'Assessment Questions'!AK8</f>
        <v/>
      </c>
      <c r="AI8">
        <f>'Assessment Questions'!AL8</f>
        <v/>
      </c>
      <c r="AJ8">
        <f>IF(OR($H8="",$H8="N/A"),"",IF($AH8="",VLOOKUP('Company Profile'!$B$40,_CONFIG_Model_Settings!$A$5:$B$8,2,FALSE),_xlfn.IFNA(VLOOKUP($AH8,_CONFIG_Model_Settings!$A$5:$B$8,2,FALSE),0.9)))</f>
        <v/>
      </c>
      <c r="AK8">
        <f>IF(OR($H8="",$H8="N/A"),"",IF($AI8="",VLOOKUP('Company Profile'!$B$41,_CONFIG_Model_Settings!$A$5:$B$8,2,FALSE),_xlfn.IFNA(VLOOKUP($AI8,_CONFIG_Model_Settings!$A$5:$B$8,2,FALSE),0.9)))</f>
        <v/>
      </c>
      <c r="AL8">
        <f>IF(OR($H8="",$H8="N/A"),"",ROUND(VALUE($H8)*$AJ8*$AK8*$AV8,2))</f>
        <v/>
      </c>
      <c r="AM8">
        <f>IF($AL8="","",ROUND($AL8/5*100,1))</f>
        <v/>
      </c>
      <c r="AN8">
        <f>IFERROR(MIN(5,MAX(0,(SUMIFS(_REF_Model_Content!$D$1:$D$157,_REF_Model_Content!$A$1:$A$157,'Company Profile'!$B$9,_REF_Model_Content!$B$1:$B$157,"Company Geography"))+_xlfn.IFNA(VLOOKUP('Company Profile'!$B$35,_CONFIG_Model_Settings!$A$11:$B$13,2,0),0))),"")</f>
        <v/>
      </c>
      <c r="AO8">
        <f>IF($AL8="","",MAX(0,ROUND($AN8-$AL8,2)))</f>
        <v/>
      </c>
      <c r="AP8">
        <f>IFERROR(SUMIFS(_REF_Model_Content!$E$1:$E$157,_REF_Model_Content!$A$1:$A$157,'Company Profile'!$B$9,_REF_Model_Content!$B$1:$B$157,"Company Geography"),1)</f>
        <v/>
      </c>
      <c r="AQ8">
        <f>IF($AO8="","",ROUND($AO8*$AP8*($G8/5),2))</f>
        <v/>
      </c>
      <c r="AR8">
        <f>IF($AO8="","",IF($AO8&gt;=2,"Critical industry gap",IF($AO8&gt;=1,"High industry gap",IF($AO8&gt;=0.5,"Moderate industry gap","Within target"))))</f>
        <v/>
      </c>
      <c r="AS8">
        <f>IF(OR($H8="",$H8="N/A"),0,VALUE($H8)*(($AJ8+$AK8)/2)*$AV8)</f>
        <v/>
      </c>
      <c r="AT8">
        <f>IF(OR($H8="",$H8="N/A"),0,($AJ8+$AK8)/2)</f>
        <v/>
      </c>
      <c r="AU8">
        <f>'Assessment Questions'!AX8</f>
        <v/>
      </c>
      <c r="AV8">
        <f>IF(OR($H8="",$H8="N/A"),"",IF(OR($AU8="",$AU8="Everywhere",$AU8="Not applicable"),1,IF($AU8="Pilot / one team",0.4,IF($AU8="One unit or site",0.7,0.9))))</f>
        <v/>
      </c>
      <c r="AW8" t="inlineStr">
        <is>
          <t>Company Geography</t>
        </is>
      </c>
      <c r="AX8" t="inlineStr">
        <is>
          <t>Company Geography</t>
        </is>
      </c>
      <c r="AY8" t="n">
        <v>8</v>
      </c>
      <c r="AZ8" t="n">
        <v>8</v>
      </c>
    </row>
    <row r="9">
      <c r="A9" t="inlineStr">
        <is>
          <t>COMP-005</t>
        </is>
      </c>
      <c r="B9" t="inlineStr">
        <is>
          <t>Company profile</t>
        </is>
      </c>
      <c r="C9" t="inlineStr">
        <is>
          <t>How mature is the organization in managing critical assets: people, facilities, systems, data, equipment and intellectual property, including ownership, evidence, metrics, fallback procedures and crisis stress testing?</t>
        </is>
      </c>
      <c r="D9" t="inlineStr">
        <is>
          <t>This topic affects exposure to Geopolitical risk; Physical site loss; Regulatory/legal shock. It helps identify how disruption may impact operations, people, revenue, systems, legal exposure or recovery time.</t>
        </is>
      </c>
      <c r="E9" t="inlineStr">
        <is>
          <t>ISO 22301; ISO 31000; ISO 9001; ISO 37000; PESTLE; Business Model Canvas</t>
        </is>
      </c>
      <c r="F9" t="inlineStr">
        <is>
          <t>Policy/SOP; owner/RACI; system report; dashboard; contracts; test records; incident history; interview evidence related to critical assets: people, facilities, systems, data, equipment and intellectual property.</t>
        </is>
      </c>
      <c r="G9">
        <f>'Assessment Questions'!J9</f>
        <v/>
      </c>
      <c r="H9">
        <f>IF($Z9="","",IF($Z9="N/A","N/A",VALUE(LEFT($Z9,1))))</f>
        <v/>
      </c>
      <c r="I9">
        <f>IF($H9="","",IF($H9="N/A","",VALUE($H9)/5*$G9))</f>
        <v/>
      </c>
      <c r="J9">
        <f>IF(OR($H9="",$H9="N/A"),"",$G9)</f>
        <v/>
      </c>
      <c r="K9">
        <f>IF(OR($H9="",$H9="N/A"),"",$J9-$I9)</f>
        <v/>
      </c>
      <c r="L9">
        <f>IF($H9="","",IF($H9="N/A","N/A",IF(VALUE($H9)&lt;=1,"Critical",IF(VALUE($H9)&lt;=2,"High",IF(VALUE($H9)&lt;=3,"Medium",IF(VALUE($H9)&lt;=4,"Low","Resilient"))))))</f>
        <v/>
      </c>
      <c r="M9" t="inlineStr">
        <is>
          <t>Does not exist; no owner, no documentation, no practice.</t>
        </is>
      </c>
      <c r="N9" t="inlineStr">
        <is>
          <t>Ad hoc; depends entirely on specific individuals.</t>
        </is>
      </c>
      <c r="O9" t="inlineStr">
        <is>
          <t>Partially documented or implemented; coverage inconsistent; never tested under stress.</t>
        </is>
      </c>
      <c r="P9" t="inlineStr">
        <is>
          <t>Documented, owned, executed consistently; basic evidence and metrics exist.</t>
        </is>
      </c>
      <c r="Q9" t="inlineStr">
        <is>
          <t>Measured and periodically tested/audited; integrated with adjacent processes.</t>
        </is>
      </c>
      <c r="R9" t="inlineStr">
        <is>
          <t>Optimized and automated where practical; stress-tested; benchmarked externally.</t>
        </is>
      </c>
      <c r="S9" t="inlineStr">
        <is>
          <t>Geopolitical risk; Physical site loss; Regulatory/legal shock</t>
        </is>
      </c>
      <c r="T9">
        <f>'Assessment Questions'!W9</f>
        <v/>
      </c>
      <c r="U9">
        <f>'Assessment Questions'!X9</f>
        <v/>
      </c>
      <c r="V9">
        <f>'Assessment Questions'!Y9</f>
        <v/>
      </c>
      <c r="W9" t="n">
        <v>5</v>
      </c>
      <c r="X9" t="n">
        <v>5</v>
      </c>
      <c r="Y9" t="n">
        <v>5</v>
      </c>
      <c r="Z9">
        <f>'Assessment Questions'!AC9</f>
        <v/>
      </c>
      <c r="AB9">
        <f>COUNTIF($B$5:$B$23,$AA9)</f>
        <v/>
      </c>
      <c r="AC9">
        <f>IFERROR(SUMPRODUCT(($B$5:$B$23=$AA9)*($H$5:$H$23&lt;&gt;"")*($H$5:$H$23&lt;&gt;"N/A")*IFERROR(VALUE($H$5:$H$23),0))/SUMPRODUCT(($B$5:$B$23=$AA9)*($H$5:$H$23&lt;&gt;"")*($H$5:$H$23&lt;&gt;"N/A")),0)</f>
        <v/>
      </c>
      <c r="AD9">
        <f>AC9/5</f>
        <v/>
      </c>
      <c r="AE9">
        <f>COUNTIFS($B$5:$B$23,$AA9,$L$5:$L$23,"Critical")+COUNTIFS($B$5:$B$23,$AA9,$L$5:$L$23,"High")</f>
        <v/>
      </c>
      <c r="AF9">
        <f>5-AC9</f>
        <v/>
      </c>
      <c r="AG9">
        <f>SUMPRODUCT(($B$5:$B$23=$AA9)*(ISNUMBER($H$5:$H$23)+($H$5:$H$23="N/A")))</f>
        <v/>
      </c>
      <c r="AH9">
        <f>'Assessment Questions'!AK9</f>
        <v/>
      </c>
      <c r="AI9">
        <f>'Assessment Questions'!AL9</f>
        <v/>
      </c>
      <c r="AJ9">
        <f>IF(OR($H9="",$H9="N/A"),"",IF($AH9="",VLOOKUP('Company Profile'!$B$40,_CONFIG_Model_Settings!$A$5:$B$8,2,FALSE),_xlfn.IFNA(VLOOKUP($AH9,_CONFIG_Model_Settings!$A$5:$B$8,2,FALSE),0.9)))</f>
        <v/>
      </c>
      <c r="AK9">
        <f>IF(OR($H9="",$H9="N/A"),"",IF($AI9="",VLOOKUP('Company Profile'!$B$41,_CONFIG_Model_Settings!$A$5:$B$8,2,FALSE),_xlfn.IFNA(VLOOKUP($AI9,_CONFIG_Model_Settings!$A$5:$B$8,2,FALSE),0.9)))</f>
        <v/>
      </c>
      <c r="AL9">
        <f>IF(OR($H9="",$H9="N/A"),"",ROUND(VALUE($H9)*$AJ9*$AK9*$AV9,2))</f>
        <v/>
      </c>
      <c r="AM9">
        <f>IF($AL9="","",ROUND($AL9/5*100,1))</f>
        <v/>
      </c>
      <c r="AN9">
        <f>IFERROR(MIN(5,MAX(0,(SUMIFS(_REF_Model_Content!$D$1:$D$157,_REF_Model_Content!$A$1:$A$157,'Company Profile'!$B$9,_REF_Model_Content!$B$1:$B$157,"Company Geography"))+_xlfn.IFNA(VLOOKUP('Company Profile'!$B$35,_CONFIG_Model_Settings!$A$11:$B$13,2,0),0))),"")</f>
        <v/>
      </c>
      <c r="AO9">
        <f>IF($AL9="","",MAX(0,ROUND($AN9-$AL9,2)))</f>
        <v/>
      </c>
      <c r="AP9">
        <f>IFERROR(SUMIFS(_REF_Model_Content!$E$1:$E$157,_REF_Model_Content!$A$1:$A$157,'Company Profile'!$B$9,_REF_Model_Content!$B$1:$B$157,"Company Geography"),1)</f>
        <v/>
      </c>
      <c r="AQ9">
        <f>IF($AO9="","",ROUND($AO9*$AP9*($G9/5),2))</f>
        <v/>
      </c>
      <c r="AR9">
        <f>IF($AO9="","",IF($AO9&gt;=2,"Critical industry gap",IF($AO9&gt;=1,"High industry gap",IF($AO9&gt;=0.5,"Moderate industry gap","Within target"))))</f>
        <v/>
      </c>
      <c r="AS9">
        <f>IF(OR($H9="",$H9="N/A"),0,VALUE($H9)*(($AJ9+$AK9)/2)*$AV9)</f>
        <v/>
      </c>
      <c r="AT9">
        <f>IF(OR($H9="",$H9="N/A"),0,($AJ9+$AK9)/2)</f>
        <v/>
      </c>
      <c r="AU9">
        <f>'Assessment Questions'!AX9</f>
        <v/>
      </c>
      <c r="AV9">
        <f>IF(OR($H9="",$H9="N/A"),"",IF(OR($AU9="",$AU9="Everywhere",$AU9="Not applicable"),1,IF($AU9="Pilot / one team",0.4,IF($AU9="One unit or site",0.7,0.9))))</f>
        <v/>
      </c>
      <c r="AW9" t="inlineStr">
        <is>
          <t>Company Geography</t>
        </is>
      </c>
      <c r="AX9" t="inlineStr">
        <is>
          <t>Company Geography</t>
        </is>
      </c>
      <c r="AY9" t="n">
        <v>9</v>
      </c>
      <c r="AZ9" t="n">
        <v>9</v>
      </c>
    </row>
    <row r="10">
      <c r="A10" t="inlineStr">
        <is>
          <t>COMP-006</t>
        </is>
      </c>
      <c r="B10" t="inlineStr">
        <is>
          <t>Company profile</t>
        </is>
      </c>
      <c r="C10" t="inlineStr">
        <is>
          <t>How mature is the organization in managing regulatory exposure by country, market, product and customer type, including ownership, evidence, metrics, fallback procedures and crisis stress testing?</t>
        </is>
      </c>
      <c r="D10" t="inlineStr">
        <is>
          <t>This topic affects exposure to Geopolitical risk; Physical site loss; Regulatory/legal shock. It helps identify how disruption may impact operations, people, revenue, systems, legal exposure or recovery time.</t>
        </is>
      </c>
      <c r="E10" t="inlineStr">
        <is>
          <t>ISO 22301; ISO 31000; ISO 9001; ISO 37000; PESTLE; Business Model Canvas</t>
        </is>
      </c>
      <c r="F10" t="inlineStr">
        <is>
          <t>Policy/SOP; owner/RACI; system report; dashboard; contracts; test records; incident history; interview evidence related to regulatory exposure by country, market, product and customer type.</t>
        </is>
      </c>
      <c r="G10">
        <f>'Assessment Questions'!J10</f>
        <v/>
      </c>
      <c r="H10">
        <f>IF($Z10="","",IF($Z10="N/A","N/A",VALUE(LEFT($Z10,1))))</f>
        <v/>
      </c>
      <c r="I10">
        <f>IF($H10="","",IF($H10="N/A","",VALUE($H10)/5*$G10))</f>
        <v/>
      </c>
      <c r="J10">
        <f>IF(OR($H10="",$H10="N/A"),"",$G10)</f>
        <v/>
      </c>
      <c r="K10">
        <f>IF(OR($H10="",$H10="N/A"),"",$J10-$I10)</f>
        <v/>
      </c>
      <c r="L10">
        <f>IF($H10="","",IF($H10="N/A","N/A",IF(VALUE($H10)&lt;=1,"Critical",IF(VALUE($H10)&lt;=2,"High",IF(VALUE($H10)&lt;=3,"Medium",IF(VALUE($H10)&lt;=4,"Low","Resilient"))))))</f>
        <v/>
      </c>
      <c r="M10" t="inlineStr">
        <is>
          <t>No reliable evidence that regulatory exposure by country, market, product and customer type is defined, owned or managed.</t>
        </is>
      </c>
      <c r="N10" t="inlineStr">
        <is>
          <t>Regulatory exposure by country, market, product and customer type is handled informally and depends on individual knowledge or heroic effort.</t>
        </is>
      </c>
      <c r="O10" t="inlineStr">
        <is>
          <t>Regulatory exposure by country, market, product and customer type is partially documented or implemented, but coverage is inconsistent and not crisis-tested.</t>
        </is>
      </c>
      <c r="P10" t="inlineStr">
        <is>
          <t>Regulatory exposure by country, market, product and customer type is documented, owned, used in normal operations and supported by basic evidence or metrics.</t>
        </is>
      </c>
      <c r="Q10" t="inlineStr">
        <is>
          <t>Regulatory exposure by country, market, product and customer type is measured, periodically reviewed, integrated with related processes and tested against relevant disruption scenarios.</t>
        </is>
      </c>
      <c r="R10" t="inlineStr">
        <is>
          <t>Regulatory exposure by country, market, product and customer type is optimized, continuously improved, automated where practical and demonstrably supports crisis resilience.</t>
        </is>
      </c>
      <c r="S10" t="inlineStr">
        <is>
          <t>Geopolitical risk; Physical site loss; Regulatory/legal shock</t>
        </is>
      </c>
      <c r="T10">
        <f>'Assessment Questions'!W10</f>
        <v/>
      </c>
      <c r="U10">
        <f>'Assessment Questions'!X10</f>
        <v/>
      </c>
      <c r="V10">
        <f>'Assessment Questions'!Y10</f>
        <v/>
      </c>
      <c r="W10" t="n">
        <v>4</v>
      </c>
      <c r="X10" t="n">
        <v>5</v>
      </c>
      <c r="Y10" t="n">
        <v>5</v>
      </c>
      <c r="Z10">
        <f>'Assessment Questions'!AC10</f>
        <v/>
      </c>
      <c r="AB10">
        <f>COUNTIF($B$5:$B$23,$AA10)</f>
        <v/>
      </c>
      <c r="AC10">
        <f>IFERROR(SUMPRODUCT(($B$5:$B$23=$AA10)*($H$5:$H$23&lt;&gt;"")*($H$5:$H$23&lt;&gt;"N/A")*IFERROR(VALUE($H$5:$H$23),0))/SUMPRODUCT(($B$5:$B$23=$AA10)*($H$5:$H$23&lt;&gt;"")*($H$5:$H$23&lt;&gt;"N/A")),0)</f>
        <v/>
      </c>
      <c r="AD10">
        <f>AC10/5</f>
        <v/>
      </c>
      <c r="AE10">
        <f>COUNTIFS($B$5:$B$23,$AA10,$L$5:$L$23,"Critical")+COUNTIFS($B$5:$B$23,$AA10,$L$5:$L$23,"High")</f>
        <v/>
      </c>
      <c r="AF10">
        <f>5-AC10</f>
        <v/>
      </c>
      <c r="AG10">
        <f>SUMPRODUCT(($B$5:$B$23=$AA10)*(ISNUMBER($H$5:$H$23)+($H$5:$H$23="N/A")))</f>
        <v/>
      </c>
      <c r="AH10">
        <f>'Assessment Questions'!AK10</f>
        <v/>
      </c>
      <c r="AI10">
        <f>'Assessment Questions'!AL10</f>
        <v/>
      </c>
      <c r="AJ10">
        <f>IF(OR($H10="",$H10="N/A"),"",IF($AH10="",VLOOKUP('Company Profile'!$B$40,_CONFIG_Model_Settings!$A$5:$B$8,2,FALSE),_xlfn.IFNA(VLOOKUP($AH10,_CONFIG_Model_Settings!$A$5:$B$8,2,FALSE),0.9)))</f>
        <v/>
      </c>
      <c r="AK10">
        <f>IF(OR($H10="",$H10="N/A"),"",IF($AI10="",VLOOKUP('Company Profile'!$B$41,_CONFIG_Model_Settings!$A$5:$B$8,2,FALSE),_xlfn.IFNA(VLOOKUP($AI10,_CONFIG_Model_Settings!$A$5:$B$8,2,FALSE),0.9)))</f>
        <v/>
      </c>
      <c r="AL10">
        <f>IF(OR($H10="",$H10="N/A"),"",ROUND(VALUE($H10)*$AJ10*$AK10*$AV10,2))</f>
        <v/>
      </c>
      <c r="AM10">
        <f>IF($AL10="","",ROUND($AL10/5*100,1))</f>
        <v/>
      </c>
      <c r="AN10">
        <f>IFERROR(MIN(5,MAX(0,(SUMIFS(_REF_Model_Content!$D$1:$D$157,_REF_Model_Content!$A$1:$A$157,'Company Profile'!$B$9,_REF_Model_Content!$B$1:$B$157,"Company Geography"))+_xlfn.IFNA(VLOOKUP('Company Profile'!$B$35,_CONFIG_Model_Settings!$A$11:$B$13,2,0),0))),"")</f>
        <v/>
      </c>
      <c r="AO10">
        <f>IF($AL10="","",MAX(0,ROUND($AN10-$AL10,2)))</f>
        <v/>
      </c>
      <c r="AP10">
        <f>IFERROR(SUMIFS(_REF_Model_Content!$E$1:$E$157,_REF_Model_Content!$A$1:$A$157,'Company Profile'!$B$9,_REF_Model_Content!$B$1:$B$157,"Company Geography"),1)</f>
        <v/>
      </c>
      <c r="AQ10">
        <f>IF($AO10="","",ROUND($AO10*$AP10*($G10/5),2))</f>
        <v/>
      </c>
      <c r="AR10">
        <f>IF($AO10="","",IF($AO10&gt;=2,"Critical industry gap",IF($AO10&gt;=1,"High industry gap",IF($AO10&gt;=0.5,"Moderate industry gap","Within target"))))</f>
        <v/>
      </c>
      <c r="AS10">
        <f>IF(OR($H10="",$H10="N/A"),0,VALUE($H10)*(($AJ10+$AK10)/2)*$AV10)</f>
        <v/>
      </c>
      <c r="AT10">
        <f>IF(OR($H10="",$H10="N/A"),0,($AJ10+$AK10)/2)</f>
        <v/>
      </c>
      <c r="AU10">
        <f>'Assessment Questions'!AX10</f>
        <v/>
      </c>
      <c r="AV10">
        <f>IF(OR($H10="",$H10="N/A"),"",IF(OR($AU10="",$AU10="Everywhere",$AU10="Not applicable"),1,IF($AU10="Pilot / one team",0.4,IF($AU10="One unit or site",0.7,0.9))))</f>
        <v/>
      </c>
      <c r="AW10" t="inlineStr">
        <is>
          <t>Company Geography</t>
        </is>
      </c>
      <c r="AX10" t="inlineStr">
        <is>
          <t>Company Geography</t>
        </is>
      </c>
      <c r="AY10" t="n">
        <v>10</v>
      </c>
      <c r="AZ10" t="n">
        <v>10</v>
      </c>
    </row>
    <row r="11">
      <c r="A11" t="inlineStr">
        <is>
          <t>COMP-007</t>
        </is>
      </c>
      <c r="B11" t="inlineStr">
        <is>
          <t>Company profile</t>
        </is>
      </c>
      <c r="C11" t="inlineStr">
        <is>
          <t>How mature is the organization in managing insurance coverage for business interruption, cyber, liability, property and key assets, including ownership, evidence, metrics, fallback procedures and crisis stress testing?</t>
        </is>
      </c>
      <c r="D11" t="inlineStr">
        <is>
          <t>This topic affects exposure to Geopolitical risk; Physical site loss; Regulatory/legal shock. It helps identify how disruption may impact operations, people, revenue, systems, legal exposure or recovery time.</t>
        </is>
      </c>
      <c r="E11" t="inlineStr">
        <is>
          <t>ISO 22301; ISO 31000; ISO 9001; ISO 37000; PESTLE; Business Model Canvas</t>
        </is>
      </c>
      <c r="F11" t="inlineStr">
        <is>
          <t>Policy/SOP; owner/RACI; system report; dashboard; contracts; test records; incident history; interview evidence related to insurance coverage for business interruption, cyber, liability, property and key assets.</t>
        </is>
      </c>
      <c r="G11">
        <f>'Assessment Questions'!J11</f>
        <v/>
      </c>
      <c r="H11">
        <f>IF($Z11="","",IF($Z11="N/A","N/A",VALUE(LEFT($Z11,1))))</f>
        <v/>
      </c>
      <c r="I11">
        <f>IF($H11="","",IF($H11="N/A","",VALUE($H11)/5*$G11))</f>
        <v/>
      </c>
      <c r="J11">
        <f>IF(OR($H11="",$H11="N/A"),"",$G11)</f>
        <v/>
      </c>
      <c r="K11">
        <f>IF(OR($H11="",$H11="N/A"),"",$J11-$I11)</f>
        <v/>
      </c>
      <c r="L11">
        <f>IF($H11="","",IF($H11="N/A","N/A",IF(VALUE($H11)&lt;=1,"Critical",IF(VALUE($H11)&lt;=2,"High",IF(VALUE($H11)&lt;=3,"Medium",IF(VALUE($H11)&lt;=4,"Low","Resilient"))))))</f>
        <v/>
      </c>
      <c r="M11" t="inlineStr">
        <is>
          <t>Does not exist; no owner, no documentation, no practice.</t>
        </is>
      </c>
      <c r="N11" t="inlineStr">
        <is>
          <t>Ad hoc; depends entirely on specific individuals.</t>
        </is>
      </c>
      <c r="O11" t="inlineStr">
        <is>
          <t>Partially documented or implemented; coverage inconsistent; never tested under stress.</t>
        </is>
      </c>
      <c r="P11" t="inlineStr">
        <is>
          <t>Documented, owned, executed consistently; basic evidence and metrics exist.</t>
        </is>
      </c>
      <c r="Q11" t="inlineStr">
        <is>
          <t>Measured and periodically tested/audited; integrated with adjacent processes.</t>
        </is>
      </c>
      <c r="R11" t="inlineStr">
        <is>
          <t>Optimized and automated where practical; stress-tested; benchmarked externally.</t>
        </is>
      </c>
      <c r="S11" t="inlineStr">
        <is>
          <t>Geopolitical risk; Physical site loss; Regulatory/legal shock</t>
        </is>
      </c>
      <c r="T11">
        <f>'Assessment Questions'!W11</f>
        <v/>
      </c>
      <c r="U11">
        <f>'Assessment Questions'!X11</f>
        <v/>
      </c>
      <c r="V11">
        <f>'Assessment Questions'!Y11</f>
        <v/>
      </c>
      <c r="W11" t="n">
        <v>5</v>
      </c>
      <c r="X11" t="n">
        <v>5</v>
      </c>
      <c r="Y11" t="n">
        <v>5</v>
      </c>
      <c r="Z11">
        <f>'Assessment Questions'!AC11</f>
        <v/>
      </c>
      <c r="AB11">
        <f>COUNTIF($B$5:$B$23,$AA11)</f>
        <v/>
      </c>
      <c r="AC11">
        <f>IFERROR(SUMPRODUCT(($B$5:$B$23=$AA11)*($H$5:$H$23&lt;&gt;"")*($H$5:$H$23&lt;&gt;"N/A")*IFERROR(VALUE($H$5:$H$23),0))/SUMPRODUCT(($B$5:$B$23=$AA11)*($H$5:$H$23&lt;&gt;"")*($H$5:$H$23&lt;&gt;"N/A")),0)</f>
        <v/>
      </c>
      <c r="AD11">
        <f>AC11/5</f>
        <v/>
      </c>
      <c r="AE11">
        <f>COUNTIFS($B$5:$B$23,$AA11,$L$5:$L$23,"Critical")+COUNTIFS($B$5:$B$23,$AA11,$L$5:$L$23,"High")</f>
        <v/>
      </c>
      <c r="AF11">
        <f>5-AC11</f>
        <v/>
      </c>
      <c r="AG11">
        <f>SUMPRODUCT(($B$5:$B$23=$AA11)*(ISNUMBER($H$5:$H$23)+($H$5:$H$23="N/A")))</f>
        <v/>
      </c>
      <c r="AH11">
        <f>'Assessment Questions'!AK11</f>
        <v/>
      </c>
      <c r="AI11">
        <f>'Assessment Questions'!AL11</f>
        <v/>
      </c>
      <c r="AJ11">
        <f>IF(OR($H11="",$H11="N/A"),"",IF($AH11="",VLOOKUP('Company Profile'!$B$40,_CONFIG_Model_Settings!$A$5:$B$8,2,FALSE),_xlfn.IFNA(VLOOKUP($AH11,_CONFIG_Model_Settings!$A$5:$B$8,2,FALSE),0.9)))</f>
        <v/>
      </c>
      <c r="AK11">
        <f>IF(OR($H11="",$H11="N/A"),"",IF($AI11="",VLOOKUP('Company Profile'!$B$41,_CONFIG_Model_Settings!$A$5:$B$8,2,FALSE),_xlfn.IFNA(VLOOKUP($AI11,_CONFIG_Model_Settings!$A$5:$B$8,2,FALSE),0.9)))</f>
        <v/>
      </c>
      <c r="AL11">
        <f>IF(OR($H11="",$H11="N/A"),"",ROUND(VALUE($H11)*$AJ11*$AK11*$AV11,2))</f>
        <v/>
      </c>
      <c r="AM11">
        <f>IF($AL11="","",ROUND($AL11/5*100,1))</f>
        <v/>
      </c>
      <c r="AN11">
        <f>IFERROR(MIN(5,MAX(0,(SUMIFS(_REF_Model_Content!$D$1:$D$157,_REF_Model_Content!$A$1:$A$157,'Company Profile'!$B$9,_REF_Model_Content!$B$1:$B$157,"Company Geography"))+_xlfn.IFNA(VLOOKUP('Company Profile'!$B$35,_CONFIG_Model_Settings!$A$11:$B$13,2,0),0))),"")</f>
        <v/>
      </c>
      <c r="AO11">
        <f>IF($AL11="","",MAX(0,ROUND($AN11-$AL11,2)))</f>
        <v/>
      </c>
      <c r="AP11">
        <f>IFERROR(SUMIFS(_REF_Model_Content!$E$1:$E$157,_REF_Model_Content!$A$1:$A$157,'Company Profile'!$B$9,_REF_Model_Content!$B$1:$B$157,"Company Geography"),1)</f>
        <v/>
      </c>
      <c r="AQ11">
        <f>IF($AO11="","",ROUND($AO11*$AP11*($G11/5),2))</f>
        <v/>
      </c>
      <c r="AR11">
        <f>IF($AO11="","",IF($AO11&gt;=2,"Critical industry gap",IF($AO11&gt;=1,"High industry gap",IF($AO11&gt;=0.5,"Moderate industry gap","Within target"))))</f>
        <v/>
      </c>
      <c r="AS11">
        <f>IF(OR($H11="",$H11="N/A"),0,VALUE($H11)*(($AJ11+$AK11)/2)*$AV11)</f>
        <v/>
      </c>
      <c r="AT11">
        <f>IF(OR($H11="",$H11="N/A"),0,($AJ11+$AK11)/2)</f>
        <v/>
      </c>
      <c r="AU11">
        <f>'Assessment Questions'!AX11</f>
        <v/>
      </c>
      <c r="AV11">
        <f>IF(OR($H11="",$H11="N/A"),"",IF(OR($AU11="",$AU11="Everywhere",$AU11="Not applicable"),1,IF($AU11="Pilot / one team",0.4,IF($AU11="One unit or site",0.7,0.9))))</f>
        <v/>
      </c>
      <c r="AW11" t="inlineStr">
        <is>
          <t>Company Geography</t>
        </is>
      </c>
      <c r="AX11" t="inlineStr">
        <is>
          <t>Company Geography</t>
        </is>
      </c>
      <c r="AY11" t="n">
        <v>11</v>
      </c>
      <c r="AZ11" t="n">
        <v>11</v>
      </c>
    </row>
    <row r="12">
      <c r="A12" t="inlineStr">
        <is>
          <t>COMP-008</t>
        </is>
      </c>
      <c r="B12" t="inlineStr">
        <is>
          <t>Geographical distribution</t>
        </is>
      </c>
      <c r="C12" t="inlineStr">
        <is>
          <t>How mature is the organization in managing workforce distribution by country, city, function, contract type and criticality, including ownership, evidence, metrics, fallback procedures and crisis stress testing?</t>
        </is>
      </c>
      <c r="D12" t="inlineStr">
        <is>
          <t>This topic affects exposure to Geopolitical risk; Physical site loss; Regulatory/legal shock. It helps identify how disruption may impact operations, people, revenue, systems, legal exposure or recovery time.</t>
        </is>
      </c>
      <c r="E12" t="inlineStr">
        <is>
          <t>ISO 22301; ISO 31000; ISO 9001; ISO 37000; PESTLE; Business Model Canvas</t>
        </is>
      </c>
      <c r="F12" t="inlineStr">
        <is>
          <t>Policy/SOP; owner/RACI; system report; dashboard; contracts; test records; incident history; interview evidence related to workforce distribution by country, city, function, contract type and criticality.</t>
        </is>
      </c>
      <c r="G12">
        <f>'Assessment Questions'!J12</f>
        <v/>
      </c>
      <c r="H12">
        <f>IF($Z12="","",IF($Z12="N/A","N/A",VALUE(LEFT($Z12,1))))</f>
        <v/>
      </c>
      <c r="I12">
        <f>IF($H12="","",IF($H12="N/A","",VALUE($H12)/5*$G12))</f>
        <v/>
      </c>
      <c r="J12">
        <f>IF(OR($H12="",$H12="N/A"),"",$G12)</f>
        <v/>
      </c>
      <c r="K12">
        <f>IF(OR($H12="",$H12="N/A"),"",$J12-$I12)</f>
        <v/>
      </c>
      <c r="L12">
        <f>IF($H12="","",IF($H12="N/A","N/A",IF(VALUE($H12)&lt;=1,"Critical",IF(VALUE($H12)&lt;=2,"High",IF(VALUE($H12)&lt;=3,"Medium",IF(VALUE($H12)&lt;=4,"Low","Resilient"))))))</f>
        <v/>
      </c>
      <c r="M12" t="inlineStr">
        <is>
          <t>Does not exist; no owner, no documentation, no practice.</t>
        </is>
      </c>
      <c r="N12" t="inlineStr">
        <is>
          <t>Ad hoc; depends entirely on specific individuals.</t>
        </is>
      </c>
      <c r="O12" t="inlineStr">
        <is>
          <t>Partially documented or implemented; coverage inconsistent; never tested under stress.</t>
        </is>
      </c>
      <c r="P12" t="inlineStr">
        <is>
          <t>Documented, owned, executed consistently; basic evidence and metrics exist.</t>
        </is>
      </c>
      <c r="Q12" t="inlineStr">
        <is>
          <t>Measured and periodically tested/audited; integrated with adjacent processes.</t>
        </is>
      </c>
      <c r="R12" t="inlineStr">
        <is>
          <t>Optimized and automated where practical; stress-tested; benchmarked externally.</t>
        </is>
      </c>
      <c r="S12" t="inlineStr">
        <is>
          <t>Geopolitical risk; Physical site loss; Regulatory/legal shock</t>
        </is>
      </c>
      <c r="T12">
        <f>'Assessment Questions'!W12</f>
        <v/>
      </c>
      <c r="U12">
        <f>'Assessment Questions'!X12</f>
        <v/>
      </c>
      <c r="V12">
        <f>'Assessment Questions'!Y12</f>
        <v/>
      </c>
      <c r="W12" t="n">
        <v>4</v>
      </c>
      <c r="X12" t="n">
        <v>5</v>
      </c>
      <c r="Y12" t="n">
        <v>5</v>
      </c>
      <c r="Z12">
        <f>'Assessment Questions'!AC12</f>
        <v/>
      </c>
      <c r="AB12">
        <f>COUNTIF($B$5:$B$23,$AA12)</f>
        <v/>
      </c>
      <c r="AC12">
        <f>IFERROR(SUMPRODUCT(($B$5:$B$23=$AA12)*($H$5:$H$23&lt;&gt;"")*($H$5:$H$23&lt;&gt;"N/A")*IFERROR(VALUE($H$5:$H$23),0))/SUMPRODUCT(($B$5:$B$23=$AA12)*($H$5:$H$23&lt;&gt;"")*($H$5:$H$23&lt;&gt;"N/A")),0)</f>
        <v/>
      </c>
      <c r="AD12">
        <f>AC12/5</f>
        <v/>
      </c>
      <c r="AE12">
        <f>COUNTIFS($B$5:$B$23,$AA12,$L$5:$L$23,"Critical")+COUNTIFS($B$5:$B$23,$AA12,$L$5:$L$23,"High")</f>
        <v/>
      </c>
      <c r="AF12">
        <f>5-AC12</f>
        <v/>
      </c>
      <c r="AG12">
        <f>SUMPRODUCT(($B$5:$B$23=$AA12)*(ISNUMBER($H$5:$H$23)+($H$5:$H$23="N/A")))</f>
        <v/>
      </c>
      <c r="AH12">
        <f>'Assessment Questions'!AK12</f>
        <v/>
      </c>
      <c r="AI12">
        <f>'Assessment Questions'!AL12</f>
        <v/>
      </c>
      <c r="AJ12">
        <f>IF(OR($H12="",$H12="N/A"),"",IF($AH12="",VLOOKUP('Company Profile'!$B$40,_CONFIG_Model_Settings!$A$5:$B$8,2,FALSE),_xlfn.IFNA(VLOOKUP($AH12,_CONFIG_Model_Settings!$A$5:$B$8,2,FALSE),0.9)))</f>
        <v/>
      </c>
      <c r="AK12">
        <f>IF(OR($H12="",$H12="N/A"),"",IF($AI12="",VLOOKUP('Company Profile'!$B$41,_CONFIG_Model_Settings!$A$5:$B$8,2,FALSE),_xlfn.IFNA(VLOOKUP($AI12,_CONFIG_Model_Settings!$A$5:$B$8,2,FALSE),0.9)))</f>
        <v/>
      </c>
      <c r="AL12">
        <f>IF(OR($H12="",$H12="N/A"),"",ROUND(VALUE($H12)*$AJ12*$AK12*$AV12,2))</f>
        <v/>
      </c>
      <c r="AM12">
        <f>IF($AL12="","",ROUND($AL12/5*100,1))</f>
        <v/>
      </c>
      <c r="AN12">
        <f>IFERROR(MIN(5,MAX(0,(SUMIFS(_REF_Model_Content!$D$1:$D$157,_REF_Model_Content!$A$1:$A$157,'Company Profile'!$B$9,_REF_Model_Content!$B$1:$B$157,"Company Geography"))+_xlfn.IFNA(VLOOKUP('Company Profile'!$B$35,_CONFIG_Model_Settings!$A$11:$B$13,2,0),0))),"")</f>
        <v/>
      </c>
      <c r="AO12">
        <f>IF($AL12="","",MAX(0,ROUND($AN12-$AL12,2)))</f>
        <v/>
      </c>
      <c r="AP12">
        <f>IFERROR(SUMIFS(_REF_Model_Content!$E$1:$E$157,_REF_Model_Content!$A$1:$A$157,'Company Profile'!$B$9,_REF_Model_Content!$B$1:$B$157,"Company Geography"),1)</f>
        <v/>
      </c>
      <c r="AQ12">
        <f>IF($AO12="","",ROUND($AO12*$AP12*($G12/5),2))</f>
        <v/>
      </c>
      <c r="AR12">
        <f>IF($AO12="","",IF($AO12&gt;=2,"Critical industry gap",IF($AO12&gt;=1,"High industry gap",IF($AO12&gt;=0.5,"Moderate industry gap","Within target"))))</f>
        <v/>
      </c>
      <c r="AS12">
        <f>IF(OR($H12="",$H12="N/A"),0,VALUE($H12)*(($AJ12+$AK12)/2)*$AV12)</f>
        <v/>
      </c>
      <c r="AT12">
        <f>IF(OR($H12="",$H12="N/A"),0,($AJ12+$AK12)/2)</f>
        <v/>
      </c>
      <c r="AU12">
        <f>'Assessment Questions'!AX12</f>
        <v/>
      </c>
      <c r="AV12">
        <f>IF(OR($H12="",$H12="N/A"),"",IF(OR($AU12="",$AU12="Everywhere",$AU12="Not applicable"),1,IF($AU12="Pilot / one team",0.4,IF($AU12="One unit or site",0.7,0.9))))</f>
        <v/>
      </c>
      <c r="AW12" t="inlineStr">
        <is>
          <t>Company Geography</t>
        </is>
      </c>
      <c r="AX12" t="inlineStr">
        <is>
          <t>Company Geography</t>
        </is>
      </c>
      <c r="AY12" t="n">
        <v>12</v>
      </c>
      <c r="AZ12" t="n">
        <v>12</v>
      </c>
    </row>
    <row r="13">
      <c r="A13" t="inlineStr">
        <is>
          <t>COMP-009</t>
        </is>
      </c>
      <c r="B13" t="inlineStr">
        <is>
          <t>Geographical distribution</t>
        </is>
      </c>
      <c r="C13" t="inlineStr">
        <is>
          <t>How mature is the organization in managing site distribution across offices, plants, warehouses, stores, labs and data centers, including ownership, evidence, metrics, fallback procedures and crisis stress testing?</t>
        </is>
      </c>
      <c r="D13" t="inlineStr">
        <is>
          <t>This topic affects exposure to Geopolitical risk; Physical site loss; Regulatory/legal shock. It helps identify how disruption may impact operations, people, revenue, systems, legal exposure or recovery time.</t>
        </is>
      </c>
      <c r="E13" t="inlineStr">
        <is>
          <t>ISO 22301; ISO 31000; ISO 9001; ISO 37000; PESTLE; Business Model Canvas</t>
        </is>
      </c>
      <c r="F13" t="inlineStr">
        <is>
          <t>Policy/SOP; owner/RACI; system report; dashboard; contracts; test records; incident history; interview evidence related to site distribution across offices, plants, warehouses, stores, labs and data centers.</t>
        </is>
      </c>
      <c r="G13">
        <f>'Assessment Questions'!J13</f>
        <v/>
      </c>
      <c r="H13">
        <f>IF($Z13="","",IF($Z13="N/A","N/A",VALUE(LEFT($Z13,1))))</f>
        <v/>
      </c>
      <c r="I13">
        <f>IF($H13="","",IF($H13="N/A","",VALUE($H13)/5*$G13))</f>
        <v/>
      </c>
      <c r="J13">
        <f>IF(OR($H13="",$H13="N/A"),"",$G13)</f>
        <v/>
      </c>
      <c r="K13">
        <f>IF(OR($H13="",$H13="N/A"),"",$J13-$I13)</f>
        <v/>
      </c>
      <c r="L13">
        <f>IF($H13="","",IF($H13="N/A","N/A",IF(VALUE($H13)&lt;=1,"Critical",IF(VALUE($H13)&lt;=2,"High",IF(VALUE($H13)&lt;=3,"Medium",IF(VALUE($H13)&lt;=4,"Low","Resilient"))))))</f>
        <v/>
      </c>
      <c r="M13" t="inlineStr">
        <is>
          <t>No plan or procedure exists.</t>
        </is>
      </c>
      <c r="N13" t="inlineStr">
        <is>
          <t>Knowledge lives with individuals; nothing usable is written down.</t>
        </is>
      </c>
      <c r="O13" t="inlineStr">
        <is>
          <t>Drafted but outdated, not approved, or unknown to the people who must use it.</t>
        </is>
      </c>
      <c r="P13" t="inlineStr">
        <is>
          <t>Approved and current; owners assigned; affected staff know it exists and where to find it.</t>
        </is>
      </c>
      <c r="Q13" t="inlineStr">
        <is>
          <t>Tested against realistic scenarios; updated after each test or real incident.</t>
        </is>
      </c>
      <c r="R13" t="inlineStr">
        <is>
          <t>Exercised regularly including external parties; readiness measured; continuously improved.</t>
        </is>
      </c>
      <c r="S13" t="inlineStr">
        <is>
          <t>Geopolitical risk; Physical site loss; Regulatory/legal shock</t>
        </is>
      </c>
      <c r="T13">
        <f>'Assessment Questions'!W13</f>
        <v/>
      </c>
      <c r="U13">
        <f>'Assessment Questions'!X13</f>
        <v/>
      </c>
      <c r="V13">
        <f>'Assessment Questions'!Y13</f>
        <v/>
      </c>
      <c r="W13" t="n">
        <v>5</v>
      </c>
      <c r="X13" t="n">
        <v>5</v>
      </c>
      <c r="Y13" t="n">
        <v>5</v>
      </c>
      <c r="Z13">
        <f>'Assessment Questions'!AC13</f>
        <v/>
      </c>
      <c r="AB13">
        <f>COUNTIF($B$5:$B$23,$AA13)</f>
        <v/>
      </c>
      <c r="AC13">
        <f>IFERROR(SUMPRODUCT(($B$5:$B$23=$AA13)*($H$5:$H$23&lt;&gt;"")*($H$5:$H$23&lt;&gt;"N/A")*IFERROR(VALUE($H$5:$H$23),0))/SUMPRODUCT(($B$5:$B$23=$AA13)*($H$5:$H$23&lt;&gt;"")*($H$5:$H$23&lt;&gt;"N/A")),0)</f>
        <v/>
      </c>
      <c r="AD13">
        <f>AC13/5</f>
        <v/>
      </c>
      <c r="AE13">
        <f>COUNTIFS($B$5:$B$23,$AA13,$L$5:$L$23,"Critical")+COUNTIFS($B$5:$B$23,$AA13,$L$5:$L$23,"High")</f>
        <v/>
      </c>
      <c r="AF13">
        <f>5-AC13</f>
        <v/>
      </c>
      <c r="AG13">
        <f>SUMPRODUCT(($B$5:$B$23=$AA13)*(ISNUMBER($H$5:$H$23)+($H$5:$H$23="N/A")))</f>
        <v/>
      </c>
      <c r="AH13">
        <f>'Assessment Questions'!AK13</f>
        <v/>
      </c>
      <c r="AI13">
        <f>'Assessment Questions'!AL13</f>
        <v/>
      </c>
      <c r="AJ13">
        <f>IF(OR($H13="",$H13="N/A"),"",IF($AH13="",VLOOKUP('Company Profile'!$B$40,_CONFIG_Model_Settings!$A$5:$B$8,2,FALSE),_xlfn.IFNA(VLOOKUP($AH13,_CONFIG_Model_Settings!$A$5:$B$8,2,FALSE),0.9)))</f>
        <v/>
      </c>
      <c r="AK13">
        <f>IF(OR($H13="",$H13="N/A"),"",IF($AI13="",VLOOKUP('Company Profile'!$B$41,_CONFIG_Model_Settings!$A$5:$B$8,2,FALSE),_xlfn.IFNA(VLOOKUP($AI13,_CONFIG_Model_Settings!$A$5:$B$8,2,FALSE),0.9)))</f>
        <v/>
      </c>
      <c r="AL13">
        <f>IF(OR($H13="",$H13="N/A"),"",ROUND(VALUE($H13)*$AJ13*$AK13*$AV13,2))</f>
        <v/>
      </c>
      <c r="AM13">
        <f>IF($AL13="","",ROUND($AL13/5*100,1))</f>
        <v/>
      </c>
      <c r="AN13">
        <f>IFERROR(MIN(5,MAX(0,(SUMIFS(_REF_Model_Content!$D$1:$D$157,_REF_Model_Content!$A$1:$A$157,'Company Profile'!$B$9,_REF_Model_Content!$B$1:$B$157,"Company Geography"))+_xlfn.IFNA(VLOOKUP('Company Profile'!$B$35,_CONFIG_Model_Settings!$A$11:$B$13,2,0),0))),"")</f>
        <v/>
      </c>
      <c r="AO13">
        <f>IF($AL13="","",MAX(0,ROUND($AN13-$AL13,2)))</f>
        <v/>
      </c>
      <c r="AP13">
        <f>IFERROR(SUMIFS(_REF_Model_Content!$E$1:$E$157,_REF_Model_Content!$A$1:$A$157,'Company Profile'!$B$9,_REF_Model_Content!$B$1:$B$157,"Company Geography"),1)</f>
        <v/>
      </c>
      <c r="AQ13">
        <f>IF($AO13="","",ROUND($AO13*$AP13*($G13/5),2))</f>
        <v/>
      </c>
      <c r="AR13">
        <f>IF($AO13="","",IF($AO13&gt;=2,"Critical industry gap",IF($AO13&gt;=1,"High industry gap",IF($AO13&gt;=0.5,"Moderate industry gap","Within target"))))</f>
        <v/>
      </c>
      <c r="AS13">
        <f>IF(OR($H13="",$H13="N/A"),0,VALUE($H13)*(($AJ13+$AK13)/2)*$AV13)</f>
        <v/>
      </c>
      <c r="AT13">
        <f>IF(OR($H13="",$H13="N/A"),0,($AJ13+$AK13)/2)</f>
        <v/>
      </c>
      <c r="AU13">
        <f>'Assessment Questions'!AX13</f>
        <v/>
      </c>
      <c r="AV13">
        <f>IF(OR($H13="",$H13="N/A"),"",IF(OR($AU13="",$AU13="Everywhere",$AU13="Not applicable"),1,IF($AU13="Pilot / one team",0.4,IF($AU13="One unit or site",0.7,0.9))))</f>
        <v/>
      </c>
      <c r="AW13" t="inlineStr">
        <is>
          <t>Company Geography</t>
        </is>
      </c>
      <c r="AX13" t="inlineStr">
        <is>
          <t>Company Geography</t>
        </is>
      </c>
      <c r="AY13" t="n">
        <v>13</v>
      </c>
      <c r="AZ13" t="n">
        <v>13</v>
      </c>
    </row>
    <row r="14">
      <c r="A14" t="inlineStr">
        <is>
          <t>COMP-010</t>
        </is>
      </c>
      <c r="B14" t="inlineStr">
        <is>
          <t>Geographical distribution</t>
        </is>
      </c>
      <c r="C14" t="inlineStr">
        <is>
          <t>How mature is the organization in managing revenue distribution by country, currency, customer geography and market exposure, including ownership, evidence, metrics, fallback procedures and crisis stress testing?</t>
        </is>
      </c>
      <c r="D14" t="inlineStr">
        <is>
          <t>This topic affects exposure to Geopolitical risk; Physical site loss; Regulatory/legal shock. It helps identify how disruption may impact operations, people, revenue, systems, legal exposure or recovery time.</t>
        </is>
      </c>
      <c r="E14" t="inlineStr">
        <is>
          <t>ISO 22301; ISO 31000; ISO 9001; ISO 37000; PESTLE; Business Model Canvas</t>
        </is>
      </c>
      <c r="F14" t="inlineStr">
        <is>
          <t>Policy/SOP; owner/RACI; system report; dashboard; contracts; test records; incident history; interview evidence related to revenue distribution by country, currency, customer geography and market exposure.</t>
        </is>
      </c>
      <c r="G14">
        <f>'Assessment Questions'!J14</f>
        <v/>
      </c>
      <c r="H14">
        <f>IF($Z14="","",IF($Z14="N/A","N/A",VALUE(LEFT($Z14,1))))</f>
        <v/>
      </c>
      <c r="I14">
        <f>IF($H14="","",IF($H14="N/A","",VALUE($H14)/5*$G14))</f>
        <v/>
      </c>
      <c r="J14">
        <f>IF(OR($H14="",$H14="N/A"),"",$G14)</f>
        <v/>
      </c>
      <c r="K14">
        <f>IF(OR($H14="",$H14="N/A"),"",$J14-$I14)</f>
        <v/>
      </c>
      <c r="L14">
        <f>IF($H14="","",IF($H14="N/A","N/A",IF(VALUE($H14)&lt;=1,"Critical",IF(VALUE($H14)&lt;=2,"High",IF(VALUE($H14)&lt;=3,"Medium",IF(VALUE($H14)&lt;=4,"Low","Resilient"))))))</f>
        <v/>
      </c>
      <c r="M14" t="inlineStr">
        <is>
          <t>No reliable evidence that revenue distribution by country, currency, customer geography and market exposure is defined, owned or managed.</t>
        </is>
      </c>
      <c r="N14" t="inlineStr">
        <is>
          <t>Revenue distribution by country, currency, customer geography and market exposure is handled informally and depends on individual knowledge or heroic effort.</t>
        </is>
      </c>
      <c r="O14" t="inlineStr">
        <is>
          <t>Revenue distribution by country, currency, customer geography and market exposure is partially documented or implemented, but coverage is inconsistent and not crisis-tested.</t>
        </is>
      </c>
      <c r="P14" t="inlineStr">
        <is>
          <t>Revenue distribution by country, currency, customer geography and market exposure is documented, owned, used in normal operations and supported by basic evidence or metrics.</t>
        </is>
      </c>
      <c r="Q14" t="inlineStr">
        <is>
          <t>Revenue distribution by country, currency, customer geography and market exposure is measured, periodically reviewed, integrated with related processes and tested against relevant disruption scenarios.</t>
        </is>
      </c>
      <c r="R14" t="inlineStr">
        <is>
          <t>Revenue distribution by country, currency, customer geography and market exposure is optimized, continuously improved, automated where practical and demonstrably supports crisis resilience.</t>
        </is>
      </c>
      <c r="S14" t="inlineStr">
        <is>
          <t>Geopolitical risk; Physical site loss; Regulatory/legal shock</t>
        </is>
      </c>
      <c r="T14">
        <f>'Assessment Questions'!W14</f>
        <v/>
      </c>
      <c r="U14">
        <f>'Assessment Questions'!X14</f>
        <v/>
      </c>
      <c r="V14">
        <f>'Assessment Questions'!Y14</f>
        <v/>
      </c>
      <c r="W14" t="n">
        <v>4</v>
      </c>
      <c r="X14" t="n">
        <v>5</v>
      </c>
      <c r="Y14" t="n">
        <v>5</v>
      </c>
      <c r="Z14">
        <f>'Assessment Questions'!AC14</f>
        <v/>
      </c>
      <c r="AB14">
        <f>COUNTIF($B$5:$B$23,$AA14)</f>
        <v/>
      </c>
      <c r="AC14">
        <f>IFERROR(SUMPRODUCT(($B$5:$B$23=$AA14)*($H$5:$H$23&lt;&gt;"")*($H$5:$H$23&lt;&gt;"N/A")*IFERROR(VALUE($H$5:$H$23),0))/SUMPRODUCT(($B$5:$B$23=$AA14)*($H$5:$H$23&lt;&gt;"")*($H$5:$H$23&lt;&gt;"N/A")),0)</f>
        <v/>
      </c>
      <c r="AD14">
        <f>AC14/5</f>
        <v/>
      </c>
      <c r="AE14">
        <f>COUNTIFS($B$5:$B$23,$AA14,$L$5:$L$23,"Critical")+COUNTIFS($B$5:$B$23,$AA14,$L$5:$L$23,"High")</f>
        <v/>
      </c>
      <c r="AF14">
        <f>5-AC14</f>
        <v/>
      </c>
      <c r="AG14">
        <f>SUMPRODUCT(($B$5:$B$23=$AA14)*(ISNUMBER($H$5:$H$23)+($H$5:$H$23="N/A")))</f>
        <v/>
      </c>
      <c r="AH14">
        <f>'Assessment Questions'!AK14</f>
        <v/>
      </c>
      <c r="AI14">
        <f>'Assessment Questions'!AL14</f>
        <v/>
      </c>
      <c r="AJ14">
        <f>IF(OR($H14="",$H14="N/A"),"",IF($AH14="",VLOOKUP('Company Profile'!$B$40,_CONFIG_Model_Settings!$A$5:$B$8,2,FALSE),_xlfn.IFNA(VLOOKUP($AH14,_CONFIG_Model_Settings!$A$5:$B$8,2,FALSE),0.9)))</f>
        <v/>
      </c>
      <c r="AK14">
        <f>IF(OR($H14="",$H14="N/A"),"",IF($AI14="",VLOOKUP('Company Profile'!$B$41,_CONFIG_Model_Settings!$A$5:$B$8,2,FALSE),_xlfn.IFNA(VLOOKUP($AI14,_CONFIG_Model_Settings!$A$5:$B$8,2,FALSE),0.9)))</f>
        <v/>
      </c>
      <c r="AL14">
        <f>IF(OR($H14="",$H14="N/A"),"",ROUND(VALUE($H14)*$AJ14*$AK14*$AV14,2))</f>
        <v/>
      </c>
      <c r="AM14">
        <f>IF($AL14="","",ROUND($AL14/5*100,1))</f>
        <v/>
      </c>
      <c r="AN14">
        <f>IFERROR(MIN(5,MAX(0,(SUMIFS(_REF_Model_Content!$D$1:$D$157,_REF_Model_Content!$A$1:$A$157,'Company Profile'!$B$9,_REF_Model_Content!$B$1:$B$157,"Company Geography"))+_xlfn.IFNA(VLOOKUP('Company Profile'!$B$35,_CONFIG_Model_Settings!$A$11:$B$13,2,0),0))),"")</f>
        <v/>
      </c>
      <c r="AO14">
        <f>IF($AL14="","",MAX(0,ROUND($AN14-$AL14,2)))</f>
        <v/>
      </c>
      <c r="AP14">
        <f>IFERROR(SUMIFS(_REF_Model_Content!$E$1:$E$157,_REF_Model_Content!$A$1:$A$157,'Company Profile'!$B$9,_REF_Model_Content!$B$1:$B$157,"Company Geography"),1)</f>
        <v/>
      </c>
      <c r="AQ14">
        <f>IF($AO14="","",ROUND($AO14*$AP14*($G14/5),2))</f>
        <v/>
      </c>
      <c r="AR14">
        <f>IF($AO14="","",IF($AO14&gt;=2,"Critical industry gap",IF($AO14&gt;=1,"High industry gap",IF($AO14&gt;=0.5,"Moderate industry gap","Within target"))))</f>
        <v/>
      </c>
      <c r="AS14">
        <f>IF(OR($H14="",$H14="N/A"),0,VALUE($H14)*(($AJ14+$AK14)/2)*$AV14)</f>
        <v/>
      </c>
      <c r="AT14">
        <f>IF(OR($H14="",$H14="N/A"),0,($AJ14+$AK14)/2)</f>
        <v/>
      </c>
      <c r="AU14">
        <f>'Assessment Questions'!AX14</f>
        <v/>
      </c>
      <c r="AV14">
        <f>IF(OR($H14="",$H14="N/A"),"",IF(OR($AU14="",$AU14="Everywhere",$AU14="Not applicable"),1,IF($AU14="Pilot / one team",0.4,IF($AU14="One unit or site",0.7,0.9))))</f>
        <v/>
      </c>
      <c r="AW14" t="inlineStr">
        <is>
          <t>Company Geography</t>
        </is>
      </c>
      <c r="AX14" t="inlineStr">
        <is>
          <t>Company Geography</t>
        </is>
      </c>
      <c r="AY14" t="n">
        <v>14</v>
      </c>
      <c r="AZ14" t="n">
        <v>14</v>
      </c>
    </row>
    <row r="15">
      <c r="A15" t="inlineStr">
        <is>
          <t>COMP-011</t>
        </is>
      </c>
      <c r="B15" t="inlineStr">
        <is>
          <t>Geographical distribution</t>
        </is>
      </c>
      <c r="C15" t="inlineStr">
        <is>
          <t>How mature is the organization in managing supplier distribution by country, tier, criticality and replacement options, including ownership, evidence, metrics, fallback procedures and crisis stress testing?</t>
        </is>
      </c>
      <c r="D15" t="inlineStr">
        <is>
          <t>This topic affects exposure to Geopolitical risk; Physical site loss; Regulatory/legal shock. It helps identify how disruption may impact operations, people, revenue, systems, legal exposure or recovery time.</t>
        </is>
      </c>
      <c r="E15" t="inlineStr">
        <is>
          <t>ISO 22301; ISO 31000; ISO 9001; ISO 37000; PESTLE; Business Model Canvas</t>
        </is>
      </c>
      <c r="F15" t="inlineStr">
        <is>
          <t>Policy/SOP; owner/RACI; system report; dashboard; contracts; test records; incident history; interview evidence related to supplier distribution by country, tier, criticality and replacement options.</t>
        </is>
      </c>
      <c r="G15">
        <f>'Assessment Questions'!J15</f>
        <v/>
      </c>
      <c r="H15">
        <f>IF($Z15="","",IF($Z15="N/A","N/A",VALUE(LEFT($Z15,1))))</f>
        <v/>
      </c>
      <c r="I15">
        <f>IF($H15="","",IF($H15="N/A","",VALUE($H15)/5*$G15))</f>
        <v/>
      </c>
      <c r="J15">
        <f>IF(OR($H15="",$H15="N/A"),"",$G15)</f>
        <v/>
      </c>
      <c r="K15">
        <f>IF(OR($H15="",$H15="N/A"),"",$J15-$I15)</f>
        <v/>
      </c>
      <c r="L15">
        <f>IF($H15="","",IF($H15="N/A","N/A",IF(VALUE($H15)&lt;=1,"Critical",IF(VALUE($H15)&lt;=2,"High",IF(VALUE($H15)&lt;=3,"Medium",IF(VALUE($H15)&lt;=4,"Low","Resilient"))))))</f>
        <v/>
      </c>
      <c r="M15" t="inlineStr">
        <is>
          <t>Does not exist; no owner, no documentation, no practice.</t>
        </is>
      </c>
      <c r="N15" t="inlineStr">
        <is>
          <t>Ad hoc; depends entirely on specific individuals.</t>
        </is>
      </c>
      <c r="O15" t="inlineStr">
        <is>
          <t>Partially documented or implemented; coverage inconsistent; never tested under stress.</t>
        </is>
      </c>
      <c r="P15" t="inlineStr">
        <is>
          <t>Documented, owned, executed consistently; basic evidence and metrics exist.</t>
        </is>
      </c>
      <c r="Q15" t="inlineStr">
        <is>
          <t>Measured and periodically tested/audited; integrated with adjacent processes.</t>
        </is>
      </c>
      <c r="R15" t="inlineStr">
        <is>
          <t>Optimized and automated where practical; stress-tested; benchmarked externally.</t>
        </is>
      </c>
      <c r="S15" t="inlineStr">
        <is>
          <t>Geopolitical risk; Physical site loss; Regulatory/legal shock</t>
        </is>
      </c>
      <c r="T15">
        <f>'Assessment Questions'!W15</f>
        <v/>
      </c>
      <c r="U15">
        <f>'Assessment Questions'!X15</f>
        <v/>
      </c>
      <c r="V15">
        <f>'Assessment Questions'!Y15</f>
        <v/>
      </c>
      <c r="W15" t="n">
        <v>4</v>
      </c>
      <c r="X15" t="n">
        <v>5</v>
      </c>
      <c r="Y15" t="n">
        <v>5</v>
      </c>
      <c r="Z15">
        <f>'Assessment Questions'!AC15</f>
        <v/>
      </c>
      <c r="AB15">
        <f>COUNTIF($B$5:$B$23,$AA15)</f>
        <v/>
      </c>
      <c r="AC15">
        <f>IFERROR(SUMPRODUCT(($B$5:$B$23=$AA15)*($H$5:$H$23&lt;&gt;"")*($H$5:$H$23&lt;&gt;"N/A")*IFERROR(VALUE($H$5:$H$23),0))/SUMPRODUCT(($B$5:$B$23=$AA15)*($H$5:$H$23&lt;&gt;"")*($H$5:$H$23&lt;&gt;"N/A")),0)</f>
        <v/>
      </c>
      <c r="AD15">
        <f>AC15/5</f>
        <v/>
      </c>
      <c r="AE15">
        <f>COUNTIFS($B$5:$B$23,$AA15,$L$5:$L$23,"Critical")+COUNTIFS($B$5:$B$23,$AA15,$L$5:$L$23,"High")</f>
        <v/>
      </c>
      <c r="AF15">
        <f>5-AC15</f>
        <v/>
      </c>
      <c r="AG15">
        <f>SUMPRODUCT(($B$5:$B$23=$AA15)*(ISNUMBER($H$5:$H$23)+($H$5:$H$23="N/A")))</f>
        <v/>
      </c>
      <c r="AH15">
        <f>'Assessment Questions'!AK15</f>
        <v/>
      </c>
      <c r="AI15">
        <f>'Assessment Questions'!AL15</f>
        <v/>
      </c>
      <c r="AJ15">
        <f>IF(OR($H15="",$H15="N/A"),"",IF($AH15="",VLOOKUP('Company Profile'!$B$40,_CONFIG_Model_Settings!$A$5:$B$8,2,FALSE),_xlfn.IFNA(VLOOKUP($AH15,_CONFIG_Model_Settings!$A$5:$B$8,2,FALSE),0.9)))</f>
        <v/>
      </c>
      <c r="AK15">
        <f>IF(OR($H15="",$H15="N/A"),"",IF($AI15="",VLOOKUP('Company Profile'!$B$41,_CONFIG_Model_Settings!$A$5:$B$8,2,FALSE),_xlfn.IFNA(VLOOKUP($AI15,_CONFIG_Model_Settings!$A$5:$B$8,2,FALSE),0.9)))</f>
        <v/>
      </c>
      <c r="AL15">
        <f>IF(OR($H15="",$H15="N/A"),"",ROUND(VALUE($H15)*$AJ15*$AK15*$AV15,2))</f>
        <v/>
      </c>
      <c r="AM15">
        <f>IF($AL15="","",ROUND($AL15/5*100,1))</f>
        <v/>
      </c>
      <c r="AN15">
        <f>IFERROR(MIN(5,MAX(0,(SUMIFS(_REF_Model_Content!$D$1:$D$157,_REF_Model_Content!$A$1:$A$157,'Company Profile'!$B$9,_REF_Model_Content!$B$1:$B$157,"Company Geography"))+_xlfn.IFNA(VLOOKUP('Company Profile'!$B$35,_CONFIG_Model_Settings!$A$11:$B$13,2,0),0))),"")</f>
        <v/>
      </c>
      <c r="AO15">
        <f>IF($AL15="","",MAX(0,ROUND($AN15-$AL15,2)))</f>
        <v/>
      </c>
      <c r="AP15">
        <f>IFERROR(SUMIFS(_REF_Model_Content!$E$1:$E$157,_REF_Model_Content!$A$1:$A$157,'Company Profile'!$B$9,_REF_Model_Content!$B$1:$B$157,"Company Geography"),1)</f>
        <v/>
      </c>
      <c r="AQ15">
        <f>IF($AO15="","",ROUND($AO15*$AP15*($G15/5),2))</f>
        <v/>
      </c>
      <c r="AR15">
        <f>IF($AO15="","",IF($AO15&gt;=2,"Critical industry gap",IF($AO15&gt;=1,"High industry gap",IF($AO15&gt;=0.5,"Moderate industry gap","Within target"))))</f>
        <v/>
      </c>
      <c r="AS15">
        <f>IF(OR($H15="",$H15="N/A"),0,VALUE($H15)*(($AJ15+$AK15)/2)*$AV15)</f>
        <v/>
      </c>
      <c r="AT15">
        <f>IF(OR($H15="",$H15="N/A"),0,($AJ15+$AK15)/2)</f>
        <v/>
      </c>
      <c r="AU15">
        <f>'Assessment Questions'!AX15</f>
        <v/>
      </c>
      <c r="AV15">
        <f>IF(OR($H15="",$H15="N/A"),"",IF(OR($AU15="",$AU15="Everywhere",$AU15="Not applicable"),1,IF($AU15="Pilot / one team",0.4,IF($AU15="One unit or site",0.7,0.9))))</f>
        <v/>
      </c>
      <c r="AW15" t="inlineStr">
        <is>
          <t>Company Geography</t>
        </is>
      </c>
      <c r="AX15" t="inlineStr">
        <is>
          <t>Company Geography</t>
        </is>
      </c>
      <c r="AY15" t="n">
        <v>15</v>
      </c>
      <c r="AZ15" t="n">
        <v>15</v>
      </c>
    </row>
    <row r="16">
      <c r="A16" t="inlineStr">
        <is>
          <t>COMP-012</t>
        </is>
      </c>
      <c r="B16" t="inlineStr">
        <is>
          <t>Geographical distribution</t>
        </is>
      </c>
      <c r="C16" t="inlineStr">
        <is>
          <t>How mature is the organization in managing customer distribution by geography, industry, contract and crisis sensitivity, including ownership, evidence, metrics, fallback procedures and crisis stress testing?</t>
        </is>
      </c>
      <c r="D16" t="inlineStr">
        <is>
          <t>This topic affects exposure to Geopolitical risk; Physical site loss; Regulatory/legal shock. It helps identify how disruption may impact operations, people, revenue, systems, legal exposure or recovery time.</t>
        </is>
      </c>
      <c r="E16" t="inlineStr">
        <is>
          <t>ISO 22301; ISO 31000; ISO 9001; ISO 37000; PESTLE; Business Model Canvas</t>
        </is>
      </c>
      <c r="F16" t="inlineStr">
        <is>
          <t>Policy/SOP; owner/RACI; system report; dashboard; contracts; test records; incident history; interview evidence related to customer distribution by geography, industry, contract and crisis sensitivity.</t>
        </is>
      </c>
      <c r="G16">
        <f>'Assessment Questions'!J16</f>
        <v/>
      </c>
      <c r="H16">
        <f>IF($Z16="","",IF($Z16="N/A","N/A",VALUE(LEFT($Z16,1))))</f>
        <v/>
      </c>
      <c r="I16">
        <f>IF($H16="","",IF($H16="N/A","",VALUE($H16)/5*$G16))</f>
        <v/>
      </c>
      <c r="J16">
        <f>IF(OR($H16="",$H16="N/A"),"",$G16)</f>
        <v/>
      </c>
      <c r="K16">
        <f>IF(OR($H16="",$H16="N/A"),"",$J16-$I16)</f>
        <v/>
      </c>
      <c r="L16">
        <f>IF($H16="","",IF($H16="N/A","N/A",IF(VALUE($H16)&lt;=1,"Critical",IF(VALUE($H16)&lt;=2,"High",IF(VALUE($H16)&lt;=3,"Medium",IF(VALUE($H16)&lt;=4,"Low","Resilient"))))))</f>
        <v/>
      </c>
      <c r="M16" t="inlineStr">
        <is>
          <t>Does not exist; no owner, no documentation, no practice.</t>
        </is>
      </c>
      <c r="N16" t="inlineStr">
        <is>
          <t>Ad hoc; depends entirely on specific individuals.</t>
        </is>
      </c>
      <c r="O16" t="inlineStr">
        <is>
          <t>Partially documented or implemented; coverage inconsistent; never tested under stress.</t>
        </is>
      </c>
      <c r="P16" t="inlineStr">
        <is>
          <t>Documented, owned, executed consistently; basic evidence and metrics exist.</t>
        </is>
      </c>
      <c r="Q16" t="inlineStr">
        <is>
          <t>Measured and periodically tested/audited; integrated with adjacent processes.</t>
        </is>
      </c>
      <c r="R16" t="inlineStr">
        <is>
          <t>Optimized and automated where practical; stress-tested; benchmarked externally.</t>
        </is>
      </c>
      <c r="S16" t="inlineStr">
        <is>
          <t>Geopolitical risk; Physical site loss; Regulatory/legal shock</t>
        </is>
      </c>
      <c r="T16">
        <f>'Assessment Questions'!W16</f>
        <v/>
      </c>
      <c r="U16">
        <f>'Assessment Questions'!X16</f>
        <v/>
      </c>
      <c r="V16">
        <f>'Assessment Questions'!Y16</f>
        <v/>
      </c>
      <c r="W16" t="n">
        <v>4</v>
      </c>
      <c r="X16" t="n">
        <v>5</v>
      </c>
      <c r="Y16" t="n">
        <v>5</v>
      </c>
      <c r="Z16">
        <f>'Assessment Questions'!AC16</f>
        <v/>
      </c>
      <c r="AB16">
        <f>COUNTIF($B$5:$B$23,$AA16)</f>
        <v/>
      </c>
      <c r="AC16">
        <f>IFERROR(SUMPRODUCT(($B$5:$B$23=$AA16)*($H$5:$H$23&lt;&gt;"")*($H$5:$H$23&lt;&gt;"N/A")*IFERROR(VALUE($H$5:$H$23),0))/SUMPRODUCT(($B$5:$B$23=$AA16)*($H$5:$H$23&lt;&gt;"")*($H$5:$H$23&lt;&gt;"N/A")),0)</f>
        <v/>
      </c>
      <c r="AD16">
        <f>AC16/5</f>
        <v/>
      </c>
      <c r="AE16">
        <f>COUNTIFS($B$5:$B$23,$AA16,$L$5:$L$23,"Critical")+COUNTIFS($B$5:$B$23,$AA16,$L$5:$L$23,"High")</f>
        <v/>
      </c>
      <c r="AF16">
        <f>5-AC16</f>
        <v/>
      </c>
      <c r="AG16">
        <f>SUMPRODUCT(($B$5:$B$23=$AA16)*(ISNUMBER($H$5:$H$23)+($H$5:$H$23="N/A")))</f>
        <v/>
      </c>
      <c r="AH16">
        <f>'Assessment Questions'!AK16</f>
        <v/>
      </c>
      <c r="AI16">
        <f>'Assessment Questions'!AL16</f>
        <v/>
      </c>
      <c r="AJ16">
        <f>IF(OR($H16="",$H16="N/A"),"",IF($AH16="",VLOOKUP('Company Profile'!$B$40,_CONFIG_Model_Settings!$A$5:$B$8,2,FALSE),_xlfn.IFNA(VLOOKUP($AH16,_CONFIG_Model_Settings!$A$5:$B$8,2,FALSE),0.9)))</f>
        <v/>
      </c>
      <c r="AK16">
        <f>IF(OR($H16="",$H16="N/A"),"",IF($AI16="",VLOOKUP('Company Profile'!$B$41,_CONFIG_Model_Settings!$A$5:$B$8,2,FALSE),_xlfn.IFNA(VLOOKUP($AI16,_CONFIG_Model_Settings!$A$5:$B$8,2,FALSE),0.9)))</f>
        <v/>
      </c>
      <c r="AL16">
        <f>IF(OR($H16="",$H16="N/A"),"",ROUND(VALUE($H16)*$AJ16*$AK16*$AV16,2))</f>
        <v/>
      </c>
      <c r="AM16">
        <f>IF($AL16="","",ROUND($AL16/5*100,1))</f>
        <v/>
      </c>
      <c r="AN16">
        <f>IFERROR(MIN(5,MAX(0,(SUMIFS(_REF_Model_Content!$D$1:$D$157,_REF_Model_Content!$A$1:$A$157,'Company Profile'!$B$9,_REF_Model_Content!$B$1:$B$157,"Company Geography"))+_xlfn.IFNA(VLOOKUP('Company Profile'!$B$35,_CONFIG_Model_Settings!$A$11:$B$13,2,0),0))),"")</f>
        <v/>
      </c>
      <c r="AO16">
        <f>IF($AL16="","",MAX(0,ROUND($AN16-$AL16,2)))</f>
        <v/>
      </c>
      <c r="AP16">
        <f>IFERROR(SUMIFS(_REF_Model_Content!$E$1:$E$157,_REF_Model_Content!$A$1:$A$157,'Company Profile'!$B$9,_REF_Model_Content!$B$1:$B$157,"Company Geography"),1)</f>
        <v/>
      </c>
      <c r="AQ16">
        <f>IF($AO16="","",ROUND($AO16*$AP16*($G16/5),2))</f>
        <v/>
      </c>
      <c r="AR16">
        <f>IF($AO16="","",IF($AO16&gt;=2,"Critical industry gap",IF($AO16&gt;=1,"High industry gap",IF($AO16&gt;=0.5,"Moderate industry gap","Within target"))))</f>
        <v/>
      </c>
      <c r="AS16">
        <f>IF(OR($H16="",$H16="N/A"),0,VALUE($H16)*(($AJ16+$AK16)/2)*$AV16)</f>
        <v/>
      </c>
      <c r="AT16">
        <f>IF(OR($H16="",$H16="N/A"),0,($AJ16+$AK16)/2)</f>
        <v/>
      </c>
      <c r="AU16">
        <f>'Assessment Questions'!AX16</f>
        <v/>
      </c>
      <c r="AV16">
        <f>IF(OR($H16="",$H16="N/A"),"",IF(OR($AU16="",$AU16="Everywhere",$AU16="Not applicable"),1,IF($AU16="Pilot / one team",0.4,IF($AU16="One unit or site",0.7,0.9))))</f>
        <v/>
      </c>
      <c r="AW16" t="inlineStr">
        <is>
          <t>Company Geography</t>
        </is>
      </c>
      <c r="AX16" t="inlineStr">
        <is>
          <t>Company Geography</t>
        </is>
      </c>
      <c r="AY16" t="n">
        <v>16</v>
      </c>
      <c r="AZ16" t="n">
        <v>16</v>
      </c>
    </row>
    <row r="17">
      <c r="A17" t="inlineStr">
        <is>
          <t>COMP-013</t>
        </is>
      </c>
      <c r="B17" t="inlineStr">
        <is>
          <t>Geographical distribution</t>
        </is>
      </c>
      <c r="C17" t="inlineStr">
        <is>
          <t>How mature is the organization in managing country risk monitoring for war, sanctions, political instability, natural disaster and energy risks, including ownership, evidence, metrics, fallback procedures and crisis stress testing?</t>
        </is>
      </c>
      <c r="D17" t="inlineStr">
        <is>
          <t>This topic affects exposure to Geopolitical risk; Physical site loss; Regulatory/legal shock. It helps identify how disruption may impact operations, people, revenue, systems, legal exposure or recovery time.</t>
        </is>
      </c>
      <c r="E17" t="inlineStr">
        <is>
          <t>ISO 22301; ISO 31000; ISO 9001; ISO 37000; PESTLE; Business Model Canvas</t>
        </is>
      </c>
      <c r="F17" t="inlineStr">
        <is>
          <t>Policy/SOP; owner/RACI; system report; dashboard; contracts; test records; incident history; interview evidence related to country risk monitoring for war, sanctions, political instability, natural disaster and energy risks.</t>
        </is>
      </c>
      <c r="G17">
        <f>'Assessment Questions'!J17</f>
        <v/>
      </c>
      <c r="H17">
        <f>IF($Z17="","",IF($Z17="N/A","N/A",VALUE(LEFT($Z17,1))))</f>
        <v/>
      </c>
      <c r="I17">
        <f>IF($H17="","",IF($H17="N/A","",VALUE($H17)/5*$G17))</f>
        <v/>
      </c>
      <c r="J17">
        <f>IF(OR($H17="",$H17="N/A"),"",$G17)</f>
        <v/>
      </c>
      <c r="K17">
        <f>IF(OR($H17="",$H17="N/A"),"",$J17-$I17)</f>
        <v/>
      </c>
      <c r="L17">
        <f>IF($H17="","",IF($H17="N/A","N/A",IF(VALUE($H17)&lt;=1,"Critical",IF(VALUE($H17)&lt;=2,"High",IF(VALUE($H17)&lt;=3,"Medium",IF(VALUE($H17)&lt;=4,"Low","Resilient"))))))</f>
        <v/>
      </c>
      <c r="M17" t="inlineStr">
        <is>
          <t>No reliable evidence that country risk monitoring for war, sanctions, political instability, natural disaster and energy risks is defined, owned or managed.</t>
        </is>
      </c>
      <c r="N17" t="inlineStr">
        <is>
          <t>Country risk monitoring for war, sanctions, political instability, natural disaster and energy risks is handled informally and depends on individual knowledge or heroic effort.</t>
        </is>
      </c>
      <c r="O17" t="inlineStr">
        <is>
          <t>Country risk monitoring for war, sanctions, political instability, natural disaster and energy risks is partially documented or implemented, but coverage is inconsistent and not crisis-tested.</t>
        </is>
      </c>
      <c r="P17" t="inlineStr">
        <is>
          <t>Country risk monitoring for war, sanctions, political instability, natural disaster and energy risks is documented, owned, used in normal operations and supported by basic evidence or metrics.</t>
        </is>
      </c>
      <c r="Q17" t="inlineStr">
        <is>
          <t>Country risk monitoring for war, sanctions, political instability, natural disaster and energy risks is measured, periodically reviewed, integrated with related processes and tested against relevant disruption scenarios.</t>
        </is>
      </c>
      <c r="R17" t="inlineStr">
        <is>
          <t>Country risk monitoring for war, sanctions, political instability, natural disaster and energy risks is optimized, continuously improved, automated where practical and demonstrably supports crisis resilience.</t>
        </is>
      </c>
      <c r="S17" t="inlineStr">
        <is>
          <t>Geopolitical risk; Physical site loss; Regulatory/legal shock</t>
        </is>
      </c>
      <c r="T17">
        <f>'Assessment Questions'!W17</f>
        <v/>
      </c>
      <c r="U17">
        <f>'Assessment Questions'!X17</f>
        <v/>
      </c>
      <c r="V17">
        <f>'Assessment Questions'!Y17</f>
        <v/>
      </c>
      <c r="W17" t="n">
        <v>4</v>
      </c>
      <c r="X17" t="n">
        <v>5</v>
      </c>
      <c r="Y17" t="n">
        <v>5</v>
      </c>
      <c r="Z17">
        <f>'Assessment Questions'!AC17</f>
        <v/>
      </c>
      <c r="AB17">
        <f>COUNTIF($B$5:$B$23,$AA17)</f>
        <v/>
      </c>
      <c r="AC17">
        <f>IFERROR(SUMPRODUCT(($B$5:$B$23=$AA17)*($H$5:$H$23&lt;&gt;"")*($H$5:$H$23&lt;&gt;"N/A")*IFERROR(VALUE($H$5:$H$23),0))/SUMPRODUCT(($B$5:$B$23=$AA17)*($H$5:$H$23&lt;&gt;"")*($H$5:$H$23&lt;&gt;"N/A")),0)</f>
        <v/>
      </c>
      <c r="AD17">
        <f>AC17/5</f>
        <v/>
      </c>
      <c r="AE17">
        <f>COUNTIFS($B$5:$B$23,$AA17,$L$5:$L$23,"Critical")+COUNTIFS($B$5:$B$23,$AA17,$L$5:$L$23,"High")</f>
        <v/>
      </c>
      <c r="AF17">
        <f>5-AC17</f>
        <v/>
      </c>
      <c r="AG17">
        <f>SUMPRODUCT(($B$5:$B$23=$AA17)*(ISNUMBER($H$5:$H$23)+($H$5:$H$23="N/A")))</f>
        <v/>
      </c>
      <c r="AH17">
        <f>'Assessment Questions'!AK17</f>
        <v/>
      </c>
      <c r="AI17">
        <f>'Assessment Questions'!AL17</f>
        <v/>
      </c>
      <c r="AJ17">
        <f>IF(OR($H17="",$H17="N/A"),"",IF($AH17="",VLOOKUP('Company Profile'!$B$40,_CONFIG_Model_Settings!$A$5:$B$8,2,FALSE),_xlfn.IFNA(VLOOKUP($AH17,_CONFIG_Model_Settings!$A$5:$B$8,2,FALSE),0.9)))</f>
        <v/>
      </c>
      <c r="AK17">
        <f>IF(OR($H17="",$H17="N/A"),"",IF($AI17="",VLOOKUP('Company Profile'!$B$41,_CONFIG_Model_Settings!$A$5:$B$8,2,FALSE),_xlfn.IFNA(VLOOKUP($AI17,_CONFIG_Model_Settings!$A$5:$B$8,2,FALSE),0.9)))</f>
        <v/>
      </c>
      <c r="AL17">
        <f>IF(OR($H17="",$H17="N/A"),"",ROUND(VALUE($H17)*$AJ17*$AK17*$AV17,2))</f>
        <v/>
      </c>
      <c r="AM17">
        <f>IF($AL17="","",ROUND($AL17/5*100,1))</f>
        <v/>
      </c>
      <c r="AN17">
        <f>IFERROR(MIN(5,MAX(0,(SUMIFS(_REF_Model_Content!$D$1:$D$157,_REF_Model_Content!$A$1:$A$157,'Company Profile'!$B$9,_REF_Model_Content!$B$1:$B$157,"Company Geography"))+_xlfn.IFNA(VLOOKUP('Company Profile'!$B$35,_CONFIG_Model_Settings!$A$11:$B$13,2,0),0))),"")</f>
        <v/>
      </c>
      <c r="AO17">
        <f>IF($AL17="","",MAX(0,ROUND($AN17-$AL17,2)))</f>
        <v/>
      </c>
      <c r="AP17">
        <f>IFERROR(SUMIFS(_REF_Model_Content!$E$1:$E$157,_REF_Model_Content!$A$1:$A$157,'Company Profile'!$B$9,_REF_Model_Content!$B$1:$B$157,"Company Geography"),1)</f>
        <v/>
      </c>
      <c r="AQ17">
        <f>IF($AO17="","",ROUND($AO17*$AP17*($G17/5),2))</f>
        <v/>
      </c>
      <c r="AR17">
        <f>IF($AO17="","",IF($AO17&gt;=2,"Critical industry gap",IF($AO17&gt;=1,"High industry gap",IF($AO17&gt;=0.5,"Moderate industry gap","Within target"))))</f>
        <v/>
      </c>
      <c r="AS17">
        <f>IF(OR($H17="",$H17="N/A"),0,VALUE($H17)*(($AJ17+$AK17)/2)*$AV17)</f>
        <v/>
      </c>
      <c r="AT17">
        <f>IF(OR($H17="",$H17="N/A"),0,($AJ17+$AK17)/2)</f>
        <v/>
      </c>
      <c r="AU17">
        <f>'Assessment Questions'!AX17</f>
        <v/>
      </c>
      <c r="AV17">
        <f>IF(OR($H17="",$H17="N/A"),"",IF(OR($AU17="",$AU17="Everywhere",$AU17="Not applicable"),1,IF($AU17="Pilot / one team",0.4,IF($AU17="One unit or site",0.7,0.9))))</f>
        <v/>
      </c>
      <c r="AW17" t="inlineStr">
        <is>
          <t>Company Geography</t>
        </is>
      </c>
      <c r="AX17" t="inlineStr">
        <is>
          <t>Company Geography</t>
        </is>
      </c>
      <c r="AY17" t="n">
        <v>17</v>
      </c>
      <c r="AZ17" t="n">
        <v>17</v>
      </c>
    </row>
    <row r="18">
      <c r="A18" t="inlineStr">
        <is>
          <t>COMP-014</t>
        </is>
      </c>
      <c r="B18" t="inlineStr">
        <is>
          <t>Geographical distribution</t>
        </is>
      </c>
      <c r="C18" t="inlineStr">
        <is>
          <t>How mature is the organization in managing relocation and alternative location options for critical teams and operations, including ownership, evidence, metrics, fallback procedures and crisis stress testing?</t>
        </is>
      </c>
      <c r="D18" t="inlineStr">
        <is>
          <t>This topic affects exposure to Geopolitical risk; Physical site loss; Regulatory/legal shock. It helps identify how disruption may impact operations, people, revenue, systems, legal exposure or recovery time.</t>
        </is>
      </c>
      <c r="E18" t="inlineStr">
        <is>
          <t>ISO 22301; ISO 31000; ISO 9001; ISO 37000; PESTLE; Business Model Canvas</t>
        </is>
      </c>
      <c r="F18" t="inlineStr">
        <is>
          <t>Policy/SOP; owner/RACI; system report; dashboard; contracts; test records; incident history; interview evidence related to relocation and alternative location options for critical teams and operations.</t>
        </is>
      </c>
      <c r="G18">
        <f>'Assessment Questions'!J18</f>
        <v/>
      </c>
      <c r="H18">
        <f>IF($Z18="","",IF($Z18="N/A","N/A",VALUE(LEFT($Z18,1))))</f>
        <v/>
      </c>
      <c r="I18">
        <f>IF($H18="","",IF($H18="N/A","",VALUE($H18)/5*$G18))</f>
        <v/>
      </c>
      <c r="J18">
        <f>IF(OR($H18="",$H18="N/A"),"",$G18)</f>
        <v/>
      </c>
      <c r="K18">
        <f>IF(OR($H18="",$H18="N/A"),"",$J18-$I18)</f>
        <v/>
      </c>
      <c r="L18">
        <f>IF($H18="","",IF($H18="N/A","N/A",IF(VALUE($H18)&lt;=1,"Critical",IF(VALUE($H18)&lt;=2,"High",IF(VALUE($H18)&lt;=3,"Medium",IF(VALUE($H18)&lt;=4,"Low","Resilient"))))))</f>
        <v/>
      </c>
      <c r="M18" t="inlineStr">
        <is>
          <t>Does not exist; no owner, no documentation, no practice.</t>
        </is>
      </c>
      <c r="N18" t="inlineStr">
        <is>
          <t>Ad hoc; depends entirely on specific individuals.</t>
        </is>
      </c>
      <c r="O18" t="inlineStr">
        <is>
          <t>Partially documented or implemented; coverage inconsistent; never tested under stress.</t>
        </is>
      </c>
      <c r="P18" t="inlineStr">
        <is>
          <t>Documented, owned, executed consistently; basic evidence and metrics exist.</t>
        </is>
      </c>
      <c r="Q18" t="inlineStr">
        <is>
          <t>Measured and periodically tested/audited; integrated with adjacent processes.</t>
        </is>
      </c>
      <c r="R18" t="inlineStr">
        <is>
          <t>Optimized and automated where practical; stress-tested; benchmarked externally.</t>
        </is>
      </c>
      <c r="S18" t="inlineStr">
        <is>
          <t>Geopolitical risk; Physical site loss; Regulatory/legal shock</t>
        </is>
      </c>
      <c r="T18">
        <f>'Assessment Questions'!W18</f>
        <v/>
      </c>
      <c r="U18">
        <f>'Assessment Questions'!X18</f>
        <v/>
      </c>
      <c r="V18">
        <f>'Assessment Questions'!Y18</f>
        <v/>
      </c>
      <c r="W18" t="n">
        <v>4</v>
      </c>
      <c r="X18" t="n">
        <v>5</v>
      </c>
      <c r="Y18" t="n">
        <v>5</v>
      </c>
      <c r="Z18">
        <f>'Assessment Questions'!AC18</f>
        <v/>
      </c>
      <c r="AB18">
        <f>COUNTIF($B$5:$B$23,$AA18)</f>
        <v/>
      </c>
      <c r="AC18">
        <f>IFERROR(SUMPRODUCT(($B$5:$B$23=$AA18)*($H$5:$H$23&lt;&gt;"")*($H$5:$H$23&lt;&gt;"N/A")*IFERROR(VALUE($H$5:$H$23),0))/SUMPRODUCT(($B$5:$B$23=$AA18)*($H$5:$H$23&lt;&gt;"")*($H$5:$H$23&lt;&gt;"N/A")),0)</f>
        <v/>
      </c>
      <c r="AD18">
        <f>AC18/5</f>
        <v/>
      </c>
      <c r="AE18">
        <f>COUNTIFS($B$5:$B$23,$AA18,$L$5:$L$23,"Critical")+COUNTIFS($B$5:$B$23,$AA18,$L$5:$L$23,"High")</f>
        <v/>
      </c>
      <c r="AF18">
        <f>5-AC18</f>
        <v/>
      </c>
      <c r="AG18">
        <f>SUMPRODUCT(($B$5:$B$23=$AA18)*(ISNUMBER($H$5:$H$23)+($H$5:$H$23="N/A")))</f>
        <v/>
      </c>
      <c r="AH18">
        <f>'Assessment Questions'!AK18</f>
        <v/>
      </c>
      <c r="AI18">
        <f>'Assessment Questions'!AL18</f>
        <v/>
      </c>
      <c r="AJ18">
        <f>IF(OR($H18="",$H18="N/A"),"",IF($AH18="",VLOOKUP('Company Profile'!$B$40,_CONFIG_Model_Settings!$A$5:$B$8,2,FALSE),_xlfn.IFNA(VLOOKUP($AH18,_CONFIG_Model_Settings!$A$5:$B$8,2,FALSE),0.9)))</f>
        <v/>
      </c>
      <c r="AK18">
        <f>IF(OR($H18="",$H18="N/A"),"",IF($AI18="",VLOOKUP('Company Profile'!$B$41,_CONFIG_Model_Settings!$A$5:$B$8,2,FALSE),_xlfn.IFNA(VLOOKUP($AI18,_CONFIG_Model_Settings!$A$5:$B$8,2,FALSE),0.9)))</f>
        <v/>
      </c>
      <c r="AL18">
        <f>IF(OR($H18="",$H18="N/A"),"",ROUND(VALUE($H18)*$AJ18*$AK18*$AV18,2))</f>
        <v/>
      </c>
      <c r="AM18">
        <f>IF($AL18="","",ROUND($AL18/5*100,1))</f>
        <v/>
      </c>
      <c r="AN18">
        <f>IFERROR(MIN(5,MAX(0,(SUMIFS(_REF_Model_Content!$D$1:$D$157,_REF_Model_Content!$A$1:$A$157,'Company Profile'!$B$9,_REF_Model_Content!$B$1:$B$157,"Company Geography"))+_xlfn.IFNA(VLOOKUP('Company Profile'!$B$35,_CONFIG_Model_Settings!$A$11:$B$13,2,0),0))),"")</f>
        <v/>
      </c>
      <c r="AO18">
        <f>IF($AL18="","",MAX(0,ROUND($AN18-$AL18,2)))</f>
        <v/>
      </c>
      <c r="AP18">
        <f>IFERROR(SUMIFS(_REF_Model_Content!$E$1:$E$157,_REF_Model_Content!$A$1:$A$157,'Company Profile'!$B$9,_REF_Model_Content!$B$1:$B$157,"Company Geography"),1)</f>
        <v/>
      </c>
      <c r="AQ18">
        <f>IF($AO18="","",ROUND($AO18*$AP18*($G18/5),2))</f>
        <v/>
      </c>
      <c r="AR18">
        <f>IF($AO18="","",IF($AO18&gt;=2,"Critical industry gap",IF($AO18&gt;=1,"High industry gap",IF($AO18&gt;=0.5,"Moderate industry gap","Within target"))))</f>
        <v/>
      </c>
      <c r="AS18">
        <f>IF(OR($H18="",$H18="N/A"),0,VALUE($H18)*(($AJ18+$AK18)/2)*$AV18)</f>
        <v/>
      </c>
      <c r="AT18">
        <f>IF(OR($H18="",$H18="N/A"),0,($AJ18+$AK18)/2)</f>
        <v/>
      </c>
      <c r="AU18">
        <f>'Assessment Questions'!AX18</f>
        <v/>
      </c>
      <c r="AV18">
        <f>IF(OR($H18="",$H18="N/A"),"",IF(OR($AU18="",$AU18="Everywhere",$AU18="Not applicable"),1,IF($AU18="Pilot / one team",0.4,IF($AU18="One unit or site",0.7,0.9))))</f>
        <v/>
      </c>
      <c r="AW18" t="inlineStr">
        <is>
          <t>Company Geography</t>
        </is>
      </c>
      <c r="AX18" t="inlineStr">
        <is>
          <t>Company Geography</t>
        </is>
      </c>
      <c r="AY18" t="n">
        <v>18</v>
      </c>
      <c r="AZ18" t="n">
        <v>18</v>
      </c>
    </row>
    <row r="19">
      <c r="A19" t="inlineStr">
        <is>
          <t>COMP-016</t>
        </is>
      </c>
      <c r="B19" t="inlineStr">
        <is>
          <t>Context and dependencies</t>
        </is>
      </c>
      <c r="C19" t="inlineStr">
        <is>
          <t>How mature is the organization in managing single-country, single-site and single-provider concentration risks, including ownership, evidence, metrics, fallback procedures and crisis stress testing?</t>
        </is>
      </c>
      <c r="D19" t="inlineStr">
        <is>
          <t>This topic affects exposure to Geopolitical risk; Physical site loss; Regulatory/legal shock. It helps identify how disruption may impact operations, people, revenue, systems, legal exposure or recovery time.</t>
        </is>
      </c>
      <c r="E19" t="inlineStr">
        <is>
          <t>ISO 22301; ISO 31000; ISO 9001; ISO 37000; PESTLE; Business Model Canvas</t>
        </is>
      </c>
      <c r="F19" t="inlineStr">
        <is>
          <t>Policy/SOP; owner/RACI; system report; dashboard; contracts; test records; incident history; interview evidence related to single-country, single-site and single-provider concentration risks.</t>
        </is>
      </c>
      <c r="G19">
        <f>'Assessment Questions'!J19</f>
        <v/>
      </c>
      <c r="H19">
        <f>IF($Z19="","",IF($Z19="N/A","N/A",VALUE(LEFT($Z19,1))))</f>
        <v/>
      </c>
      <c r="I19">
        <f>IF($H19="","",IF($H19="N/A","",VALUE($H19)/5*$G19))</f>
        <v/>
      </c>
      <c r="J19">
        <f>IF(OR($H19="",$H19="N/A"),"",$G19)</f>
        <v/>
      </c>
      <c r="K19">
        <f>IF(OR($H19="",$H19="N/A"),"",$J19-$I19)</f>
        <v/>
      </c>
      <c r="L19">
        <f>IF($H19="","",IF($H19="N/A","N/A",IF(VALUE($H19)&lt;=1,"Critical",IF(VALUE($H19)&lt;=2,"High",IF(VALUE($H19)&lt;=3,"Medium",IF(VALUE($H19)&lt;=4,"Low","Resilient"))))))</f>
        <v/>
      </c>
      <c r="M19" t="inlineStr">
        <is>
          <t>Does not exist; no owner, no documentation, no practice.</t>
        </is>
      </c>
      <c r="N19" t="inlineStr">
        <is>
          <t>Ad hoc; depends entirely on specific individuals.</t>
        </is>
      </c>
      <c r="O19" t="inlineStr">
        <is>
          <t>Partially documented or implemented; coverage inconsistent; never tested under stress.</t>
        </is>
      </c>
      <c r="P19" t="inlineStr">
        <is>
          <t>Documented, owned, executed consistently; basic evidence and metrics exist.</t>
        </is>
      </c>
      <c r="Q19" t="inlineStr">
        <is>
          <t>Measured and periodically tested/audited; integrated with adjacent processes.</t>
        </is>
      </c>
      <c r="R19" t="inlineStr">
        <is>
          <t>Optimized and automated where practical; stress-tested; benchmarked externally.</t>
        </is>
      </c>
      <c r="S19" t="inlineStr">
        <is>
          <t>Geopolitical risk; Physical site loss; Regulatory/legal shock</t>
        </is>
      </c>
      <c r="T19">
        <f>'Assessment Questions'!W19</f>
        <v/>
      </c>
      <c r="U19">
        <f>'Assessment Questions'!X19</f>
        <v/>
      </c>
      <c r="V19">
        <f>'Assessment Questions'!Y19</f>
        <v/>
      </c>
      <c r="W19" t="n">
        <v>4</v>
      </c>
      <c r="X19" t="n">
        <v>5</v>
      </c>
      <c r="Y19" t="n">
        <v>5</v>
      </c>
      <c r="Z19">
        <f>'Assessment Questions'!AC19</f>
        <v/>
      </c>
      <c r="AB19">
        <f>COUNTIF($B$5:$B$23,$AA19)</f>
        <v/>
      </c>
      <c r="AC19">
        <f>IFERROR(SUMPRODUCT(($B$5:$B$23=$AA19)*($H$5:$H$23&lt;&gt;"")*($H$5:$H$23&lt;&gt;"N/A")*IFERROR(VALUE($H$5:$H$23),0))/SUMPRODUCT(($B$5:$B$23=$AA19)*($H$5:$H$23&lt;&gt;"")*($H$5:$H$23&lt;&gt;"N/A")),0)</f>
        <v/>
      </c>
      <c r="AD19">
        <f>AC19/5</f>
        <v/>
      </c>
      <c r="AE19">
        <f>COUNTIFS($B$5:$B$23,$AA19,$L$5:$L$23,"Critical")+COUNTIFS($B$5:$B$23,$AA19,$L$5:$L$23,"High")</f>
        <v/>
      </c>
      <c r="AF19">
        <f>5-AC19</f>
        <v/>
      </c>
      <c r="AG19">
        <f>SUMPRODUCT(($B$5:$B$23=$AA19)*(ISNUMBER($H$5:$H$23)+($H$5:$H$23="N/A")))</f>
        <v/>
      </c>
      <c r="AH19">
        <f>'Assessment Questions'!AK19</f>
        <v/>
      </c>
      <c r="AI19">
        <f>'Assessment Questions'!AL19</f>
        <v/>
      </c>
      <c r="AJ19">
        <f>IF(OR($H19="",$H19="N/A"),"",IF($AH19="",VLOOKUP('Company Profile'!$B$40,_CONFIG_Model_Settings!$A$5:$B$8,2,FALSE),_xlfn.IFNA(VLOOKUP($AH19,_CONFIG_Model_Settings!$A$5:$B$8,2,FALSE),0.9)))</f>
        <v/>
      </c>
      <c r="AK19">
        <f>IF(OR($H19="",$H19="N/A"),"",IF($AI19="",VLOOKUP('Company Profile'!$B$41,_CONFIG_Model_Settings!$A$5:$B$8,2,FALSE),_xlfn.IFNA(VLOOKUP($AI19,_CONFIG_Model_Settings!$A$5:$B$8,2,FALSE),0.9)))</f>
        <v/>
      </c>
      <c r="AL19">
        <f>IF(OR($H19="",$H19="N/A"),"",ROUND(VALUE($H19)*$AJ19*$AK19*$AV19,2))</f>
        <v/>
      </c>
      <c r="AM19">
        <f>IF($AL19="","",ROUND($AL19/5*100,1))</f>
        <v/>
      </c>
      <c r="AN19">
        <f>IFERROR(MIN(5,MAX(0,(SUMIFS(_REF_Model_Content!$D$1:$D$157,_REF_Model_Content!$A$1:$A$157,'Company Profile'!$B$9,_REF_Model_Content!$B$1:$B$157,"Company Geography"))+_xlfn.IFNA(VLOOKUP('Company Profile'!$B$35,_CONFIG_Model_Settings!$A$11:$B$13,2,0),0))),"")</f>
        <v/>
      </c>
      <c r="AO19">
        <f>IF($AL19="","",MAX(0,ROUND($AN19-$AL19,2)))</f>
        <v/>
      </c>
      <c r="AP19">
        <f>IFERROR(SUMIFS(_REF_Model_Content!$E$1:$E$157,_REF_Model_Content!$A$1:$A$157,'Company Profile'!$B$9,_REF_Model_Content!$B$1:$B$157,"Company Geography"),1)</f>
        <v/>
      </c>
      <c r="AQ19">
        <f>IF($AO19="","",ROUND($AO19*$AP19*($G19/5),2))</f>
        <v/>
      </c>
      <c r="AR19">
        <f>IF($AO19="","",IF($AO19&gt;=2,"Critical industry gap",IF($AO19&gt;=1,"High industry gap",IF($AO19&gt;=0.5,"Moderate industry gap","Within target"))))</f>
        <v/>
      </c>
      <c r="AS19">
        <f>IF(OR($H19="",$H19="N/A"),0,VALUE($H19)*(($AJ19+$AK19)/2)*$AV19)</f>
        <v/>
      </c>
      <c r="AT19">
        <f>IF(OR($H19="",$H19="N/A"),0,($AJ19+$AK19)/2)</f>
        <v/>
      </c>
      <c r="AU19">
        <f>'Assessment Questions'!AX19</f>
        <v/>
      </c>
      <c r="AV19">
        <f>IF(OR($H19="",$H19="N/A"),"",IF(OR($AU19="",$AU19="Everywhere",$AU19="Not applicable"),1,IF($AU19="Pilot / one team",0.4,IF($AU19="One unit or site",0.7,0.9))))</f>
        <v/>
      </c>
      <c r="AW19" t="inlineStr">
        <is>
          <t>Company Geography</t>
        </is>
      </c>
      <c r="AX19" t="inlineStr">
        <is>
          <t>Company Geography</t>
        </is>
      </c>
      <c r="AY19" t="n">
        <v>19</v>
      </c>
      <c r="AZ19" t="n">
        <v>19</v>
      </c>
    </row>
    <row r="20">
      <c r="A20" t="inlineStr">
        <is>
          <t>COMP-017</t>
        </is>
      </c>
      <c r="B20" t="inlineStr">
        <is>
          <t>Context and dependencies</t>
        </is>
      </c>
      <c r="C20" t="inlineStr">
        <is>
          <t>How mature is the organization in managing external stakeholder map: owners, banks, regulators, insurers, local authorities and strategic partners, including ownership, evidence, metrics, fallback procedures and crisis stress testing?</t>
        </is>
      </c>
      <c r="D20" t="inlineStr">
        <is>
          <t>This topic affects exposure to Geopolitical risk; Physical site loss; Regulatory/legal shock. It helps identify how disruption may impact operations, people, revenue, systems, legal exposure or recovery time.</t>
        </is>
      </c>
      <c r="E20" t="inlineStr">
        <is>
          <t>ISO 22301; ISO 31000; ISO 9001; ISO 37000; PESTLE; Business Model Canvas</t>
        </is>
      </c>
      <c r="F20" t="inlineStr">
        <is>
          <t>Policy/SOP; owner/RACI; system report; dashboard; contracts; test records; incident history; interview evidence related to external stakeholder map: owners, banks, regulators, insurers, local authorities and strategic partners.</t>
        </is>
      </c>
      <c r="G20">
        <f>'Assessment Questions'!J20</f>
        <v/>
      </c>
      <c r="H20">
        <f>IF($Z20="","",IF($Z20="N/A","N/A",VALUE(LEFT($Z20,1))))</f>
        <v/>
      </c>
      <c r="I20">
        <f>IF($H20="","",IF($H20="N/A","",VALUE($H20)/5*$G20))</f>
        <v/>
      </c>
      <c r="J20">
        <f>IF(OR($H20="",$H20="N/A"),"",$G20)</f>
        <v/>
      </c>
      <c r="K20">
        <f>IF(OR($H20="",$H20="N/A"),"",$J20-$I20)</f>
        <v/>
      </c>
      <c r="L20">
        <f>IF($H20="","",IF($H20="N/A","N/A",IF(VALUE($H20)&lt;=1,"Critical",IF(VALUE($H20)&lt;=2,"High",IF(VALUE($H20)&lt;=3,"Medium",IF(VALUE($H20)&lt;=4,"Low","Resilient"))))))</f>
        <v/>
      </c>
      <c r="M20" t="inlineStr">
        <is>
          <t>No reliable evidence that external stakeholder map: owners, banks, regulators, insurers, local authorities and strategic partners is defined, owned or managed.</t>
        </is>
      </c>
      <c r="N20" t="inlineStr">
        <is>
          <t>External stakeholder map: owners, banks, regulators, insurers, local authorities and strategic partners is handled informally and depends on individual knowledge or heroic effort.</t>
        </is>
      </c>
      <c r="O20" t="inlineStr">
        <is>
          <t>External stakeholder map: owners, banks, regulators, insurers, local authorities and strategic partners is partially documented or implemented, but coverage is inconsistent and not crisis-tested.</t>
        </is>
      </c>
      <c r="P20" t="inlineStr">
        <is>
          <t>External stakeholder map: owners, banks, regulators, insurers, local authorities and strategic partners is documented, owned, used in normal operations and supported by basic evidence or metrics.</t>
        </is>
      </c>
      <c r="Q20" t="inlineStr">
        <is>
          <t>External stakeholder map: owners, banks, regulators, insurers, local authorities and strategic partners is measured, periodically reviewed, integrated with related processes and tested against relevant disruption scenarios.</t>
        </is>
      </c>
      <c r="R20" t="inlineStr">
        <is>
          <t>External stakeholder map: owners, banks, regulators, insurers, local authorities and strategic partners is optimized, continuously improved, automated where practical and demonstrably supports crisis resilience.</t>
        </is>
      </c>
      <c r="S20" t="inlineStr">
        <is>
          <t>Geopolitical risk; Physical site loss; Regulatory/legal shock</t>
        </is>
      </c>
      <c r="T20">
        <f>'Assessment Questions'!W20</f>
        <v/>
      </c>
      <c r="U20">
        <f>'Assessment Questions'!X20</f>
        <v/>
      </c>
      <c r="V20">
        <f>'Assessment Questions'!Y20</f>
        <v/>
      </c>
      <c r="W20" t="n">
        <v>4</v>
      </c>
      <c r="X20" t="n">
        <v>5</v>
      </c>
      <c r="Y20" t="n">
        <v>5</v>
      </c>
      <c r="Z20">
        <f>'Assessment Questions'!AC20</f>
        <v/>
      </c>
      <c r="AB20">
        <f>COUNTIF($B$5:$B$23,$AA20)</f>
        <v/>
      </c>
      <c r="AC20">
        <f>IFERROR(SUMPRODUCT(($B$5:$B$23=$AA20)*($H$5:$H$23&lt;&gt;"")*($H$5:$H$23&lt;&gt;"N/A")*IFERROR(VALUE($H$5:$H$23),0))/SUMPRODUCT(($B$5:$B$23=$AA20)*($H$5:$H$23&lt;&gt;"")*($H$5:$H$23&lt;&gt;"N/A")),0)</f>
        <v/>
      </c>
      <c r="AD20">
        <f>AC20/5</f>
        <v/>
      </c>
      <c r="AE20">
        <f>COUNTIFS($B$5:$B$23,$AA20,$L$5:$L$23,"Critical")+COUNTIFS($B$5:$B$23,$AA20,$L$5:$L$23,"High")</f>
        <v/>
      </c>
      <c r="AF20">
        <f>5-AC20</f>
        <v/>
      </c>
      <c r="AG20">
        <f>SUMPRODUCT(($B$5:$B$23=$AA20)*(ISNUMBER($H$5:$H$23)+($H$5:$H$23="N/A")))</f>
        <v/>
      </c>
      <c r="AH20">
        <f>'Assessment Questions'!AK20</f>
        <v/>
      </c>
      <c r="AI20">
        <f>'Assessment Questions'!AL20</f>
        <v/>
      </c>
      <c r="AJ20">
        <f>IF(OR($H20="",$H20="N/A"),"",IF($AH20="",VLOOKUP('Company Profile'!$B$40,_CONFIG_Model_Settings!$A$5:$B$8,2,FALSE),_xlfn.IFNA(VLOOKUP($AH20,_CONFIG_Model_Settings!$A$5:$B$8,2,FALSE),0.9)))</f>
        <v/>
      </c>
      <c r="AK20">
        <f>IF(OR($H20="",$H20="N/A"),"",IF($AI20="",VLOOKUP('Company Profile'!$B$41,_CONFIG_Model_Settings!$A$5:$B$8,2,FALSE),_xlfn.IFNA(VLOOKUP($AI20,_CONFIG_Model_Settings!$A$5:$B$8,2,FALSE),0.9)))</f>
        <v/>
      </c>
      <c r="AL20">
        <f>IF(OR($H20="",$H20="N/A"),"",ROUND(VALUE($H20)*$AJ20*$AK20*$AV20,2))</f>
        <v/>
      </c>
      <c r="AM20">
        <f>IF($AL20="","",ROUND($AL20/5*100,1))</f>
        <v/>
      </c>
      <c r="AN20">
        <f>IFERROR(MIN(5,MAX(0,(SUMIFS(_REF_Model_Content!$D$1:$D$157,_REF_Model_Content!$A$1:$A$157,'Company Profile'!$B$9,_REF_Model_Content!$B$1:$B$157,"Company Geography"))+_xlfn.IFNA(VLOOKUP('Company Profile'!$B$35,_CONFIG_Model_Settings!$A$11:$B$13,2,0),0))),"")</f>
        <v/>
      </c>
      <c r="AO20">
        <f>IF($AL20="","",MAX(0,ROUND($AN20-$AL20,2)))</f>
        <v/>
      </c>
      <c r="AP20">
        <f>IFERROR(SUMIFS(_REF_Model_Content!$E$1:$E$157,_REF_Model_Content!$A$1:$A$157,'Company Profile'!$B$9,_REF_Model_Content!$B$1:$B$157,"Company Geography"),1)</f>
        <v/>
      </c>
      <c r="AQ20">
        <f>IF($AO20="","",ROUND($AO20*$AP20*($G20/5),2))</f>
        <v/>
      </c>
      <c r="AR20">
        <f>IF($AO20="","",IF($AO20&gt;=2,"Critical industry gap",IF($AO20&gt;=1,"High industry gap",IF($AO20&gt;=0.5,"Moderate industry gap","Within target"))))</f>
        <v/>
      </c>
      <c r="AS20">
        <f>IF(OR($H20="",$H20="N/A"),0,VALUE($H20)*(($AJ20+$AK20)/2)*$AV20)</f>
        <v/>
      </c>
      <c r="AT20">
        <f>IF(OR($H20="",$H20="N/A"),0,($AJ20+$AK20)/2)</f>
        <v/>
      </c>
      <c r="AU20">
        <f>'Assessment Questions'!AX20</f>
        <v/>
      </c>
      <c r="AV20">
        <f>IF(OR($H20="",$H20="N/A"),"",IF(OR($AU20="",$AU20="Everywhere",$AU20="Not applicable"),1,IF($AU20="Pilot / one team",0.4,IF($AU20="One unit or site",0.7,0.9))))</f>
        <v/>
      </c>
      <c r="AW20" t="inlineStr">
        <is>
          <t>Company Geography</t>
        </is>
      </c>
      <c r="AX20" t="inlineStr">
        <is>
          <t>Company Geography</t>
        </is>
      </c>
      <c r="AY20" t="n">
        <v>20</v>
      </c>
      <c r="AZ20" t="n">
        <v>20</v>
      </c>
    </row>
    <row r="21">
      <c r="A21" t="inlineStr">
        <is>
          <t>COMP-018</t>
        </is>
      </c>
      <c r="B21" t="inlineStr">
        <is>
          <t>Context and dependencies</t>
        </is>
      </c>
      <c r="C21" t="inlineStr">
        <is>
          <t>How mature is the organization in managing data residency and cross-border transfer exposure by system and geography, including ownership, evidence, metrics, fallback procedures and crisis stress testing?</t>
        </is>
      </c>
      <c r="D21" t="inlineStr">
        <is>
          <t>This topic affects exposure to Geopolitical risk; Physical site loss; Regulatory/legal shock. It helps identify how disruption may impact operations, people, revenue, systems, legal exposure or recovery time.</t>
        </is>
      </c>
      <c r="E21" t="inlineStr">
        <is>
          <t>ISO 22301; ISO 31000; ISO 9001; ISO 37000; PESTLE; Business Model Canvas</t>
        </is>
      </c>
      <c r="F21" t="inlineStr">
        <is>
          <t>Policy/SOP; owner/RACI; system report; dashboard; contracts; test records; incident history; interview evidence related to data residency and cross-border transfer exposure by system and geography.</t>
        </is>
      </c>
      <c r="G21">
        <f>'Assessment Questions'!J21</f>
        <v/>
      </c>
      <c r="H21">
        <f>IF($Z21="","",IF($Z21="N/A","N/A",VALUE(LEFT($Z21,1))))</f>
        <v/>
      </c>
      <c r="I21">
        <f>IF($H21="","",IF($H21="N/A","",VALUE($H21)/5*$G21))</f>
        <v/>
      </c>
      <c r="J21">
        <f>IF(OR($H21="",$H21="N/A"),"",$G21)</f>
        <v/>
      </c>
      <c r="K21">
        <f>IF(OR($H21="",$H21="N/A"),"",$J21-$I21)</f>
        <v/>
      </c>
      <c r="L21">
        <f>IF($H21="","",IF($H21="N/A","N/A",IF(VALUE($H21)&lt;=1,"Critical",IF(VALUE($H21)&lt;=2,"High",IF(VALUE($H21)&lt;=3,"Medium",IF(VALUE($H21)&lt;=4,"Low","Resilient"))))))</f>
        <v/>
      </c>
      <c r="M21" t="inlineStr">
        <is>
          <t>No reliable evidence that data residency and cross-border transfer exposure by system and geography is defined, owned or managed.</t>
        </is>
      </c>
      <c r="N21" t="inlineStr">
        <is>
          <t>Data residency and cross-border transfer exposure by system and geography is handled informally and depends on individual knowledge or heroic effort.</t>
        </is>
      </c>
      <c r="O21" t="inlineStr">
        <is>
          <t>Data residency and cross-border transfer exposure by system and geography is partially documented or implemented, but coverage is inconsistent and not crisis-tested.</t>
        </is>
      </c>
      <c r="P21" t="inlineStr">
        <is>
          <t>Data residency and cross-border transfer exposure by system and geography is documented, owned, used in normal operations and supported by basic evidence or metrics.</t>
        </is>
      </c>
      <c r="Q21" t="inlineStr">
        <is>
          <t>Data residency and cross-border transfer exposure by system and geography is measured, periodically reviewed, integrated with related processes and tested against relevant disruption scenarios.</t>
        </is>
      </c>
      <c r="R21" t="inlineStr">
        <is>
          <t>Data residency and cross-border transfer exposure by system and geography is optimized, continuously improved, automated where practical and demonstrably supports crisis resilience.</t>
        </is>
      </c>
      <c r="S21" t="inlineStr">
        <is>
          <t>Geopolitical risk; Physical site loss; Regulatory/legal shock</t>
        </is>
      </c>
      <c r="T21">
        <f>'Assessment Questions'!W21</f>
        <v/>
      </c>
      <c r="U21">
        <f>'Assessment Questions'!X21</f>
        <v/>
      </c>
      <c r="V21">
        <f>'Assessment Questions'!Y21</f>
        <v/>
      </c>
      <c r="W21" t="n">
        <v>5</v>
      </c>
      <c r="X21" t="n">
        <v>5</v>
      </c>
      <c r="Y21" t="n">
        <v>5</v>
      </c>
      <c r="Z21">
        <f>'Assessment Questions'!AC21</f>
        <v/>
      </c>
      <c r="AB21">
        <f>COUNTIF($B$5:$B$23,$AA21)</f>
        <v/>
      </c>
      <c r="AC21">
        <f>IFERROR(SUMPRODUCT(($B$5:$B$23=$AA21)*($H$5:$H$23&lt;&gt;"")*($H$5:$H$23&lt;&gt;"N/A")*IFERROR(VALUE($H$5:$H$23),0))/SUMPRODUCT(($B$5:$B$23=$AA21)*($H$5:$H$23&lt;&gt;"")*($H$5:$H$23&lt;&gt;"N/A")),0)</f>
        <v/>
      </c>
      <c r="AD21">
        <f>AC21/5</f>
        <v/>
      </c>
      <c r="AE21">
        <f>COUNTIFS($B$5:$B$23,$AA21,$L$5:$L$23,"Critical")+COUNTIFS($B$5:$B$23,$AA21,$L$5:$L$23,"High")</f>
        <v/>
      </c>
      <c r="AF21">
        <f>5-AC21</f>
        <v/>
      </c>
      <c r="AG21">
        <f>SUMPRODUCT(($B$5:$B$23=$AA21)*(ISNUMBER($H$5:$H$23)+($H$5:$H$23="N/A")))</f>
        <v/>
      </c>
      <c r="AH21">
        <f>'Assessment Questions'!AK21</f>
        <v/>
      </c>
      <c r="AI21">
        <f>'Assessment Questions'!AL21</f>
        <v/>
      </c>
      <c r="AJ21">
        <f>IF(OR($H21="",$H21="N/A"),"",IF($AH21="",VLOOKUP('Company Profile'!$B$40,_CONFIG_Model_Settings!$A$5:$B$8,2,FALSE),_xlfn.IFNA(VLOOKUP($AH21,_CONFIG_Model_Settings!$A$5:$B$8,2,FALSE),0.9)))</f>
        <v/>
      </c>
      <c r="AK21">
        <f>IF(OR($H21="",$H21="N/A"),"",IF($AI21="",VLOOKUP('Company Profile'!$B$41,_CONFIG_Model_Settings!$A$5:$B$8,2,FALSE),_xlfn.IFNA(VLOOKUP($AI21,_CONFIG_Model_Settings!$A$5:$B$8,2,FALSE),0.9)))</f>
        <v/>
      </c>
      <c r="AL21">
        <f>IF(OR($H21="",$H21="N/A"),"",ROUND(VALUE($H21)*$AJ21*$AK21*$AV21,2))</f>
        <v/>
      </c>
      <c r="AM21">
        <f>IF($AL21="","",ROUND($AL21/5*100,1))</f>
        <v/>
      </c>
      <c r="AN21">
        <f>IFERROR(MIN(5,MAX(0,(SUMIFS(_REF_Model_Content!$D$1:$D$157,_REF_Model_Content!$A$1:$A$157,'Company Profile'!$B$9,_REF_Model_Content!$B$1:$B$157,"Company Geography"))+_xlfn.IFNA(VLOOKUP('Company Profile'!$B$35,_CONFIG_Model_Settings!$A$11:$B$13,2,0),0))),"")</f>
        <v/>
      </c>
      <c r="AO21">
        <f>IF($AL21="","",MAX(0,ROUND($AN21-$AL21,2)))</f>
        <v/>
      </c>
      <c r="AP21">
        <f>IFERROR(SUMIFS(_REF_Model_Content!$E$1:$E$157,_REF_Model_Content!$A$1:$A$157,'Company Profile'!$B$9,_REF_Model_Content!$B$1:$B$157,"Company Geography"),1)</f>
        <v/>
      </c>
      <c r="AQ21">
        <f>IF($AO21="","",ROUND($AO21*$AP21*($G21/5),2))</f>
        <v/>
      </c>
      <c r="AR21">
        <f>IF($AO21="","",IF($AO21&gt;=2,"Critical industry gap",IF($AO21&gt;=1,"High industry gap",IF($AO21&gt;=0.5,"Moderate industry gap","Within target"))))</f>
        <v/>
      </c>
      <c r="AS21">
        <f>IF(OR($H21="",$H21="N/A"),0,VALUE($H21)*(($AJ21+$AK21)/2)*$AV21)</f>
        <v/>
      </c>
      <c r="AT21">
        <f>IF(OR($H21="",$H21="N/A"),0,($AJ21+$AK21)/2)</f>
        <v/>
      </c>
      <c r="AU21">
        <f>'Assessment Questions'!AX21</f>
        <v/>
      </c>
      <c r="AV21">
        <f>IF(OR($H21="",$H21="N/A"),"",IF(OR($AU21="",$AU21="Everywhere",$AU21="Not applicable"),1,IF($AU21="Pilot / one team",0.4,IF($AU21="One unit or site",0.7,0.9))))</f>
        <v/>
      </c>
      <c r="AW21" t="inlineStr">
        <is>
          <t>Company Geography</t>
        </is>
      </c>
      <c r="AX21" t="inlineStr">
        <is>
          <t>Company Geography</t>
        </is>
      </c>
      <c r="AY21" t="n">
        <v>21</v>
      </c>
      <c r="AZ21" t="n">
        <v>21</v>
      </c>
    </row>
    <row r="22">
      <c r="A22" t="inlineStr">
        <is>
          <t>COMP-019</t>
        </is>
      </c>
      <c r="B22" t="inlineStr">
        <is>
          <t>Context and dependencies</t>
        </is>
      </c>
      <c r="C22" t="inlineStr">
        <is>
          <t>How mature is the organization in managing acceptable downtime thresholds by geography, function, customer and process, including ownership, evidence, metrics, fallback procedures and crisis stress testing?</t>
        </is>
      </c>
      <c r="D22" t="inlineStr">
        <is>
          <t>This topic affects exposure to Geopolitical risk; Physical site loss; Regulatory/legal shock. It helps identify how disruption may impact operations, people, revenue, systems, legal exposure or recovery time.</t>
        </is>
      </c>
      <c r="E22" t="inlineStr">
        <is>
          <t>ISO 22301; ISO 31000; ISO 9001; ISO 37000; PESTLE; Business Model Canvas</t>
        </is>
      </c>
      <c r="F22" t="inlineStr">
        <is>
          <t>Policy/SOP; owner/RACI; system report; dashboard; contracts; test records; incident history; interview evidence related to acceptable downtime thresholds by geography, function, customer and process.</t>
        </is>
      </c>
      <c r="G22">
        <f>'Assessment Questions'!J22</f>
        <v/>
      </c>
      <c r="H22">
        <f>IF($Z22="","",IF($Z22="N/A","N/A",VALUE(LEFT($Z22,1))))</f>
        <v/>
      </c>
      <c r="I22">
        <f>IF($H22="","",IF($H22="N/A","",VALUE($H22)/5*$G22))</f>
        <v/>
      </c>
      <c r="J22">
        <f>IF(OR($H22="",$H22="N/A"),"",$G22)</f>
        <v/>
      </c>
      <c r="K22">
        <f>IF(OR($H22="",$H22="N/A"),"",$J22-$I22)</f>
        <v/>
      </c>
      <c r="L22">
        <f>IF($H22="","",IF($H22="N/A","N/A",IF(VALUE($H22)&lt;=1,"Critical",IF(VALUE($H22)&lt;=2,"High",IF(VALUE($H22)&lt;=3,"Medium",IF(VALUE($H22)&lt;=4,"Low","Resilient"))))))</f>
        <v/>
      </c>
      <c r="M22" t="inlineStr">
        <is>
          <t>No reliable evidence that acceptable downtime thresholds by geography, function, customer and process is defined, owned or managed.</t>
        </is>
      </c>
      <c r="N22" t="inlineStr">
        <is>
          <t>Acceptable downtime thresholds by geography, function, customer and process is handled informally and depends on individual knowledge or heroic effort.</t>
        </is>
      </c>
      <c r="O22" t="inlineStr">
        <is>
          <t>Acceptable downtime thresholds by geography, function, customer and process is partially documented or implemented, but coverage is inconsistent and not crisis-tested.</t>
        </is>
      </c>
      <c r="P22" t="inlineStr">
        <is>
          <t>Acceptable downtime thresholds by geography, function, customer and process is documented, owned, used in normal operations and supported by basic evidence or metrics.</t>
        </is>
      </c>
      <c r="Q22" t="inlineStr">
        <is>
          <t>Acceptable downtime thresholds by geography, function, customer and process is measured, periodically reviewed, integrated with related processes and tested against relevant disruption scenarios.</t>
        </is>
      </c>
      <c r="R22" t="inlineStr">
        <is>
          <t>Acceptable downtime thresholds by geography, function, customer and process is optimized, continuously improved, automated where practical and demonstrably supports crisis resilience.</t>
        </is>
      </c>
      <c r="S22" t="inlineStr">
        <is>
          <t>Geopolitical risk; Physical site loss; Regulatory/legal shock</t>
        </is>
      </c>
      <c r="T22">
        <f>'Assessment Questions'!W22</f>
        <v/>
      </c>
      <c r="U22">
        <f>'Assessment Questions'!X22</f>
        <v/>
      </c>
      <c r="V22">
        <f>'Assessment Questions'!Y22</f>
        <v/>
      </c>
      <c r="W22" t="n">
        <v>4</v>
      </c>
      <c r="X22" t="n">
        <v>5</v>
      </c>
      <c r="Y22" t="n">
        <v>5</v>
      </c>
      <c r="Z22">
        <f>'Assessment Questions'!AC22</f>
        <v/>
      </c>
      <c r="AB22">
        <f>COUNTIF($B$5:$B$23,$AA22)</f>
        <v/>
      </c>
      <c r="AC22">
        <f>IFERROR(SUMPRODUCT(($B$5:$B$23=$AA22)*($H$5:$H$23&lt;&gt;"")*($H$5:$H$23&lt;&gt;"N/A")*IFERROR(VALUE($H$5:$H$23),0))/SUMPRODUCT(($B$5:$B$23=$AA22)*($H$5:$H$23&lt;&gt;"")*($H$5:$H$23&lt;&gt;"N/A")),0)</f>
        <v/>
      </c>
      <c r="AD22">
        <f>AC22/5</f>
        <v/>
      </c>
      <c r="AE22">
        <f>COUNTIFS($B$5:$B$23,$AA22,$L$5:$L$23,"Critical")+COUNTIFS($B$5:$B$23,$AA22,$L$5:$L$23,"High")</f>
        <v/>
      </c>
      <c r="AF22">
        <f>5-AC22</f>
        <v/>
      </c>
      <c r="AG22">
        <f>SUMPRODUCT(($B$5:$B$23=$AA22)*(ISNUMBER($H$5:$H$23)+($H$5:$H$23="N/A")))</f>
        <v/>
      </c>
      <c r="AH22">
        <f>'Assessment Questions'!AK22</f>
        <v/>
      </c>
      <c r="AI22">
        <f>'Assessment Questions'!AL22</f>
        <v/>
      </c>
      <c r="AJ22">
        <f>IF(OR($H22="",$H22="N/A"),"",IF($AH22="",VLOOKUP('Company Profile'!$B$40,_CONFIG_Model_Settings!$A$5:$B$8,2,FALSE),_xlfn.IFNA(VLOOKUP($AH22,_CONFIG_Model_Settings!$A$5:$B$8,2,FALSE),0.9)))</f>
        <v/>
      </c>
      <c r="AK22">
        <f>IF(OR($H22="",$H22="N/A"),"",IF($AI22="",VLOOKUP('Company Profile'!$B$41,_CONFIG_Model_Settings!$A$5:$B$8,2,FALSE),_xlfn.IFNA(VLOOKUP($AI22,_CONFIG_Model_Settings!$A$5:$B$8,2,FALSE),0.9)))</f>
        <v/>
      </c>
      <c r="AL22">
        <f>IF(OR($H22="",$H22="N/A"),"",ROUND(VALUE($H22)*$AJ22*$AK22*$AV22,2))</f>
        <v/>
      </c>
      <c r="AM22">
        <f>IF($AL22="","",ROUND($AL22/5*100,1))</f>
        <v/>
      </c>
      <c r="AN22">
        <f>IFERROR(MIN(5,MAX(0,(SUMIFS(_REF_Model_Content!$D$1:$D$157,_REF_Model_Content!$A$1:$A$157,'Company Profile'!$B$9,_REF_Model_Content!$B$1:$B$157,"Company Geography"))+_xlfn.IFNA(VLOOKUP('Company Profile'!$B$35,_CONFIG_Model_Settings!$A$11:$B$13,2,0),0))),"")</f>
        <v/>
      </c>
      <c r="AO22">
        <f>IF($AL22="","",MAX(0,ROUND($AN22-$AL22,2)))</f>
        <v/>
      </c>
      <c r="AP22">
        <f>IFERROR(SUMIFS(_REF_Model_Content!$E$1:$E$157,_REF_Model_Content!$A$1:$A$157,'Company Profile'!$B$9,_REF_Model_Content!$B$1:$B$157,"Company Geography"),1)</f>
        <v/>
      </c>
      <c r="AQ22">
        <f>IF($AO22="","",ROUND($AO22*$AP22*($G22/5),2))</f>
        <v/>
      </c>
      <c r="AR22">
        <f>IF($AO22="","",IF($AO22&gt;=2,"Critical industry gap",IF($AO22&gt;=1,"High industry gap",IF($AO22&gt;=0.5,"Moderate industry gap","Within target"))))</f>
        <v/>
      </c>
      <c r="AS22">
        <f>IF(OR($H22="",$H22="N/A"),0,VALUE($H22)*(($AJ22+$AK22)/2)*$AV22)</f>
        <v/>
      </c>
      <c r="AT22">
        <f>IF(OR($H22="",$H22="N/A"),0,($AJ22+$AK22)/2)</f>
        <v/>
      </c>
      <c r="AU22">
        <f>'Assessment Questions'!AX22</f>
        <v/>
      </c>
      <c r="AV22">
        <f>IF(OR($H22="",$H22="N/A"),"",IF(OR($AU22="",$AU22="Everywhere",$AU22="Not applicable"),1,IF($AU22="Pilot / one team",0.4,IF($AU22="One unit or site",0.7,0.9))))</f>
        <v/>
      </c>
      <c r="AW22" t="inlineStr">
        <is>
          <t>Company Geography</t>
        </is>
      </c>
      <c r="AX22" t="inlineStr">
        <is>
          <t>Company Geography</t>
        </is>
      </c>
      <c r="AY22" t="n">
        <v>22</v>
      </c>
      <c r="AZ22" t="n">
        <v>22</v>
      </c>
    </row>
    <row r="23">
      <c r="A23" t="inlineStr">
        <is>
          <t>COMP-021</t>
        </is>
      </c>
      <c r="B23" t="inlineStr">
        <is>
          <t>Context and dependencies</t>
        </is>
      </c>
      <c r="C23" t="inlineStr">
        <is>
          <t>How mature is the organization in managing critical infrastructure status and government emergency obligations across operating geographies, including ownership, evidence, metrics, fallback procedures and crisis stress testing?</t>
        </is>
      </c>
      <c r="D23" t="inlineStr">
        <is>
          <t>This topic affects exposure to War/security crisis; Energy/utilities outage; Regulatory/legal shock. It helps identify how disruption may impact operations, people, revenue, systems, legal exposure or recovery time.</t>
        </is>
      </c>
      <c r="E23" t="inlineStr">
        <is>
          <t>ISO 22301; NIS2; national critical infrastructure regulation</t>
        </is>
      </c>
      <c r="F23" t="inlineStr">
        <is>
          <t>Policy/SOP; owner/RACI; system report; dashboard; contracts; test records; incident history; interview evidence</t>
        </is>
      </c>
      <c r="G23">
        <f>'Assessment Questions'!J23</f>
        <v/>
      </c>
      <c r="H23">
        <f>IF($Z23="","",IF($Z23="N/A","N/A",VALUE(LEFT($Z23,1))))</f>
        <v/>
      </c>
      <c r="I23">
        <f>IF($H23="","",IF($H23="N/A","",VALUE($H23)/5*$G23))</f>
        <v/>
      </c>
      <c r="J23">
        <f>IF(OR($H23="",$H23="N/A"),"",$G23)</f>
        <v/>
      </c>
      <c r="K23">
        <f>IF(OR($H23="",$H23="N/A"),"",$J23-$I23)</f>
        <v/>
      </c>
      <c r="L23">
        <f>IF($H23="","",IF($H23="N/A","N/A",IF(VALUE($H23)&lt;=1,"Critical",IF(VALUE($H23)&lt;=2,"High",IF(VALUE($H23)&lt;=3,"Medium",IF(VALUE($H23)&lt;=4,"Low","Resilient"))))))</f>
        <v/>
      </c>
      <c r="M23" t="inlineStr">
        <is>
          <t>No reliable evidence that critical infrastructure status and government emergency obligations across operating geographies is defined, owned or managed.</t>
        </is>
      </c>
      <c r="N23" t="inlineStr">
        <is>
          <t>Critical infrastructure status and government emergency obligations across operating geographies is handled informally and depends on individual knowledge or heroic effort.</t>
        </is>
      </c>
      <c r="O23" t="inlineStr">
        <is>
          <t>Critical infrastructure status and government emergency obligations across operating geographies is partially documented or implemented, but coverage is inconsistent and not crisis-tested.</t>
        </is>
      </c>
      <c r="P23" t="inlineStr">
        <is>
          <t>Critical infrastructure status and government emergency obligations across operating geographies is documented, owned, used in normal operations and supported by basic evidence or metrics.</t>
        </is>
      </c>
      <c r="Q23" t="inlineStr">
        <is>
          <t>Critical infrastructure status and government emergency obligations across operating geographies is measured, periodically reviewed, integrated with related processes and tested against relevant disruption scenarios.</t>
        </is>
      </c>
      <c r="R23" t="inlineStr">
        <is>
          <t>Critical infrastructure status and government emergency obligations across operating geographies is optimized, continuously improved, automated where practical and demonstrably supports crisis resilience.</t>
        </is>
      </c>
      <c r="S23" t="inlineStr">
        <is>
          <t>War/security crisis; Energy/utilities outage; Regulatory/legal shock</t>
        </is>
      </c>
      <c r="T23">
        <f>'Assessment Questions'!W23</f>
        <v/>
      </c>
      <c r="U23">
        <f>'Assessment Questions'!X23</f>
        <v/>
      </c>
      <c r="V23">
        <f>'Assessment Questions'!Y23</f>
        <v/>
      </c>
      <c r="W23" t="n">
        <v>2</v>
      </c>
      <c r="X23" t="n">
        <v>4</v>
      </c>
      <c r="Y23" t="n">
        <v>4</v>
      </c>
      <c r="Z23">
        <f>'Assessment Questions'!AC23</f>
        <v/>
      </c>
      <c r="AB23">
        <f>COUNTIF($B$5:$B$23,$AA23)</f>
        <v/>
      </c>
      <c r="AC23">
        <f>IFERROR(SUMPRODUCT(($B$5:$B$23=$AA23)*($H$5:$H$23&lt;&gt;"")*($H$5:$H$23&lt;&gt;"N/A")*IFERROR(VALUE($H$5:$H$23),0))/SUMPRODUCT(($B$5:$B$23=$AA23)*($H$5:$H$23&lt;&gt;"")*($H$5:$H$23&lt;&gt;"N/A")),0)</f>
        <v/>
      </c>
      <c r="AD23">
        <f>AC23/5</f>
        <v/>
      </c>
      <c r="AE23">
        <f>COUNTIFS($B$5:$B$23,$AA23,$L$5:$L$23,"Critical")+COUNTIFS($B$5:$B$23,$AA23,$L$5:$L$23,"High")</f>
        <v/>
      </c>
      <c r="AF23">
        <f>5-AC23</f>
        <v/>
      </c>
      <c r="AG23">
        <f>SUMPRODUCT(($B$5:$B$23=$AA23)*(ISNUMBER($H$5:$H$23)+($H$5:$H$23="N/A")))</f>
        <v/>
      </c>
      <c r="AH23">
        <f>'Assessment Questions'!AK23</f>
        <v/>
      </c>
      <c r="AI23">
        <f>'Assessment Questions'!AL23</f>
        <v/>
      </c>
      <c r="AJ23">
        <f>IF(OR($H23="",$H23="N/A"),"",IF($AH23="",VLOOKUP('Company Profile'!$B$40,_CONFIG_Model_Settings!$A$5:$B$8,2,FALSE),_xlfn.IFNA(VLOOKUP($AH23,_CONFIG_Model_Settings!$A$5:$B$8,2,FALSE),0.9)))</f>
        <v/>
      </c>
      <c r="AK23">
        <f>IF(OR($H23="",$H23="N/A"),"",IF($AI23="",VLOOKUP('Company Profile'!$B$41,_CONFIG_Model_Settings!$A$5:$B$8,2,FALSE),_xlfn.IFNA(VLOOKUP($AI23,_CONFIG_Model_Settings!$A$5:$B$8,2,FALSE),0.9)))</f>
        <v/>
      </c>
      <c r="AL23">
        <f>IF(OR($H23="",$H23="N/A"),"",ROUND(VALUE($H23)*$AJ23*$AK23*$AV23,2))</f>
        <v/>
      </c>
      <c r="AM23">
        <f>IF($AL23="","",ROUND($AL23/5*100,1))</f>
        <v/>
      </c>
      <c r="AN23">
        <f>IFERROR(MIN(5,MAX(0,(SUMIFS(_REF_Model_Content!$D$1:$D$157,_REF_Model_Content!$A$1:$A$157,'Company Profile'!$B$9,_REF_Model_Content!$B$1:$B$157,"Company Geography"))+_xlfn.IFNA(VLOOKUP('Company Profile'!$B$35,_CONFIG_Model_Settings!$A$11:$B$13,2,0),0))),"")</f>
        <v/>
      </c>
      <c r="AO23">
        <f>IF($AL23="","",MAX(0,ROUND($AN23-$AL23,2)))</f>
        <v/>
      </c>
      <c r="AP23">
        <f>IFERROR(SUMIFS(_REF_Model_Content!$E$1:$E$157,_REF_Model_Content!$A$1:$A$157,'Company Profile'!$B$9,_REF_Model_Content!$B$1:$B$157,"Company Geography"),1)</f>
        <v/>
      </c>
      <c r="AQ23">
        <f>IF($AO23="","",ROUND($AO23*$AP23*($G23/5),2))</f>
        <v/>
      </c>
      <c r="AR23">
        <f>IF($AO23="","",IF($AO23&gt;=2,"Critical industry gap",IF($AO23&gt;=1,"High industry gap",IF($AO23&gt;=0.5,"Moderate industry gap","Within target"))))</f>
        <v/>
      </c>
      <c r="AS23">
        <f>IF(OR($H23="",$H23="N/A"),0,VALUE($H23)*(($AJ23+$AK23)/2)*$AV23)</f>
        <v/>
      </c>
      <c r="AT23">
        <f>IF(OR($H23="",$H23="N/A"),0,($AJ23+$AK23)/2)</f>
        <v/>
      </c>
      <c r="AU23">
        <f>'Assessment Questions'!AX23</f>
        <v/>
      </c>
      <c r="AV23">
        <f>IF(OR($H23="",$H23="N/A"),"",IF(OR($AU23="",$AU23="Everywhere",$AU23="Not applicable"),1,IF($AU23="Pilot / one team",0.4,IF($AU23="One unit or site",0.7,0.9))))</f>
        <v/>
      </c>
      <c r="AW23" t="inlineStr">
        <is>
          <t>Company Geography</t>
        </is>
      </c>
      <c r="AX23" t="inlineStr">
        <is>
          <t>Company Geography</t>
        </is>
      </c>
      <c r="AY23" t="n">
        <v>23</v>
      </c>
      <c r="AZ23" t="n">
        <v>23</v>
      </c>
    </row>
    <row r="24">
      <c r="A24" t="inlineStr">
        <is>
          <t>STRA-001</t>
        </is>
      </c>
      <c r="B24" t="inlineStr">
        <is>
          <t>Corporate strategy</t>
        </is>
      </c>
      <c r="C24" t="inlineStr">
        <is>
          <t>How mature is the organization in managing documented strategy translated into objectives, KPIs, budgets and accountable owners, including ownership, evidence, metrics, fallback procedures and crisis stress testing?</t>
        </is>
      </c>
      <c r="D24" t="inlineStr">
        <is>
          <t>This topic affects exposure to Demand shock; Financial liquidity crisis; Reputation crisis. It helps identify how disruption may impact operations, people, revenue, systems, legal exposure or recovery time.</t>
        </is>
      </c>
      <c r="E24" t="inlineStr">
        <is>
          <t>ISO 9001; ISO 31000; ISO 37000; McKinsey 7S; OHI; Bain Elements of Value; Jobs-to-be-Done; Porter Five Forces; OKR</t>
        </is>
      </c>
      <c r="F24" t="inlineStr">
        <is>
          <t>Policy/SOP; owner/RACI; system report; dashboard; contracts; test records; incident history; interview evidence related to documented strategy translated into objectives, KPIs, budgets and accountable owners.</t>
        </is>
      </c>
      <c r="G24">
        <f>'Assessment Questions'!J24</f>
        <v/>
      </c>
      <c r="H24">
        <f>IF($Z24="","",IF($Z24="N/A","N/A",VALUE(LEFT($Z24,1))))</f>
        <v/>
      </c>
      <c r="I24">
        <f>IF($H24="","",IF($H24="N/A","",VALUE($H24)/5*$G24))</f>
        <v/>
      </c>
      <c r="J24">
        <f>IF(OR($H24="",$H24="N/A"),"",$G24)</f>
        <v/>
      </c>
      <c r="K24">
        <f>IF(OR($H24="",$H24="N/A"),"",$J24-$I24)</f>
        <v/>
      </c>
      <c r="L24">
        <f>IF($H24="","",IF($H24="N/A","N/A",IF(VALUE($H24)&lt;=1,"Critical",IF(VALUE($H24)&lt;=2,"High",IF(VALUE($H24)&lt;=3,"Medium",IF(VALUE($H24)&lt;=4,"Low","Resilient"))))))</f>
        <v/>
      </c>
      <c r="M24" t="inlineStr">
        <is>
          <t>No reliable evidence that documented strategy translated into objectives, kpis, budgets and accountable owners is defined, owned or managed.</t>
        </is>
      </c>
      <c r="N24" t="inlineStr">
        <is>
          <t>Documented strategy translated into objectives, KPIs, budgets and accountable owners is handled informally and depends on individual knowledge or heroic effort.</t>
        </is>
      </c>
      <c r="O24" t="inlineStr">
        <is>
          <t>Documented strategy translated into objectives, KPIs, budgets and accountable owners is partially documented or implemented, but coverage is inconsistent and not crisis-tested.</t>
        </is>
      </c>
      <c r="P24" t="inlineStr">
        <is>
          <t>Documented strategy translated into objectives, KPIs, budgets and accountable owners is documented, owned, used in normal operations and supported by basic evidence or metrics.</t>
        </is>
      </c>
      <c r="Q24" t="inlineStr">
        <is>
          <t>Documented strategy translated into objectives, KPIs, budgets and accountable owners is measured, periodically reviewed, integrated with related processes and tested against relevant disruption scenarios.</t>
        </is>
      </c>
      <c r="R24" t="inlineStr">
        <is>
          <t>Documented strategy translated into objectives, KPIs, budgets and accountable owners is optimized, continuously improved, automated where practical and demonstrably supports crisis resilience.</t>
        </is>
      </c>
      <c r="S24" t="inlineStr">
        <is>
          <t>Demand shock; Financial liquidity crisis; Reputation crisis</t>
        </is>
      </c>
      <c r="T24">
        <f>'Assessment Questions'!W24</f>
        <v/>
      </c>
      <c r="U24">
        <f>'Assessment Questions'!X24</f>
        <v/>
      </c>
      <c r="V24">
        <f>'Assessment Questions'!Y24</f>
        <v/>
      </c>
      <c r="W24" t="n">
        <v>4</v>
      </c>
      <c r="X24" t="n">
        <v>5</v>
      </c>
      <c r="Y24" t="n">
        <v>5</v>
      </c>
      <c r="Z24">
        <f>'Assessment Questions'!AC24</f>
        <v/>
      </c>
      <c r="AA24" t="inlineStr">
        <is>
          <t>Corporate strategy</t>
        </is>
      </c>
      <c r="AB24">
        <f>COUNTIF($B$24:$B$49,$AA24)</f>
        <v/>
      </c>
      <c r="AC24">
        <f>IFERROR(SUMPRODUCT(($B$24:$B$49=$AA24)*($H$24:$H$49&lt;&gt;"")*($H$24:$H$49&lt;&gt;"N/A")*IFERROR(VALUE($H$24:$H$49),0))/SUMPRODUCT(($B$24:$B$49=$AA24)*($H$24:$H$49&lt;&gt;"")*($H$24:$H$49&lt;&gt;"N/A")),0)</f>
        <v/>
      </c>
      <c r="AD24">
        <f>AC24/5</f>
        <v/>
      </c>
      <c r="AE24">
        <f>COUNTIFS($B$24:$B$49,$AA24,$L$24:$L$49,"Critical")+COUNTIFS($B$24:$B$49,$AA24,$L$24:$L$49,"High")</f>
        <v/>
      </c>
      <c r="AF24">
        <f>5-AC24</f>
        <v/>
      </c>
      <c r="AG24">
        <f>SUMPRODUCT(($B$24:$B$49=$AA24)*(ISNUMBER($H$24:$H$49)+($H$24:$H$49="N/A")))</f>
        <v/>
      </c>
      <c r="AH24">
        <f>'Assessment Questions'!AK24</f>
        <v/>
      </c>
      <c r="AI24">
        <f>'Assessment Questions'!AL24</f>
        <v/>
      </c>
      <c r="AJ24">
        <f>IF(OR($H24="",$H24="N/A"),"",IF($AH24="",VLOOKUP('Company Profile'!$B$40,_CONFIG_Model_Settings!$A$5:$B$8,2,FALSE),_xlfn.IFNA(VLOOKUP($AH24,_CONFIG_Model_Settings!$A$5:$B$8,2,FALSE),0.9)))</f>
        <v/>
      </c>
      <c r="AK24">
        <f>IF(OR($H24="",$H24="N/A"),"",IF($AI24="",VLOOKUP('Company Profile'!$B$41,_CONFIG_Model_Settings!$A$5:$B$8,2,FALSE),_xlfn.IFNA(VLOOKUP($AI24,_CONFIG_Model_Settings!$A$5:$B$8,2,FALSE),0.9)))</f>
        <v/>
      </c>
      <c r="AL24">
        <f>IF(OR($H24="",$H24="N/A"),"",ROUND(VALUE($H24)*$AJ24*$AK24*$AV24,2))</f>
        <v/>
      </c>
      <c r="AM24">
        <f>IF($AL24="","",ROUND($AL24/5*100,1))</f>
        <v/>
      </c>
      <c r="AN24">
        <f>IFERROR(MIN(5,MAX(0,(SUMIFS(_REF_Model_Content!$D$1:$D$157,_REF_Model_Content!$A$1:$A$157,'Company Profile'!$B$9,_REF_Model_Content!$B$1:$B$157,"Strategy GTM"))+_xlfn.IFNA(VLOOKUP('Company Profile'!$B$35,_CONFIG_Model_Settings!$A$11:$B$13,2,0),0))),"")</f>
        <v/>
      </c>
      <c r="AO24">
        <f>IF($AL24="","",MAX(0,ROUND($AN24-$AL24,2)))</f>
        <v/>
      </c>
      <c r="AP24">
        <f>IFERROR(SUMIFS(_REF_Model_Content!$E$1:$E$157,_REF_Model_Content!$A$1:$A$157,'Company Profile'!$B$9,_REF_Model_Content!$B$1:$B$157,"Strategy GTM"),1)</f>
        <v/>
      </c>
      <c r="AQ24">
        <f>IF($AO24="","",ROUND($AO24*$AP24*($G24/5),2))</f>
        <v/>
      </c>
      <c r="AR24">
        <f>IF($AO24="","",IF($AO24&gt;=2,"Critical industry gap",IF($AO24&gt;=1,"High industry gap",IF($AO24&gt;=0.5,"Moderate industry gap","Within target"))))</f>
        <v/>
      </c>
      <c r="AS24">
        <f>IF(OR($H24="",$H24="N/A"),0,VALUE($H24)*(($AJ24+$AK24)/2)*$AV24)</f>
        <v/>
      </c>
      <c r="AT24">
        <f>IF(OR($H24="",$H24="N/A"),0,($AJ24+$AK24)/2)</f>
        <v/>
      </c>
      <c r="AU24">
        <f>'Assessment Questions'!AX24</f>
        <v/>
      </c>
      <c r="AV24">
        <f>IF(OR($H24="",$H24="N/A"),"",IF(OR($AU24="",$AU24="Everywhere",$AU24="Not applicable"),1,IF($AU24="Pilot / one team",0.4,IF($AU24="One unit or site",0.7,0.9))))</f>
        <v/>
      </c>
      <c r="AW24" t="inlineStr">
        <is>
          <t>Strategy GTM</t>
        </is>
      </c>
      <c r="AX24" t="inlineStr">
        <is>
          <t>Strategy GTM</t>
        </is>
      </c>
      <c r="AY24" t="n">
        <v>5</v>
      </c>
      <c r="AZ24" t="n">
        <v>24</v>
      </c>
    </row>
    <row r="25">
      <c r="A25" t="inlineStr">
        <is>
          <t>STRA-002</t>
        </is>
      </c>
      <c r="B25" t="inlineStr">
        <is>
          <t>Corporate strategy</t>
        </is>
      </c>
      <c r="C25" t="inlineStr">
        <is>
          <t>How mature is the organization in managing explicit strategic assumptions and periodic challenge of those assumptions, including ownership, evidence, metrics, fallback procedures and crisis stress testing?</t>
        </is>
      </c>
      <c r="D25" t="inlineStr">
        <is>
          <t>This topic affects exposure to Demand shock; Financial liquidity crisis; Reputation crisis. It helps identify how disruption may impact operations, people, revenue, systems, legal exposure or recovery time.</t>
        </is>
      </c>
      <c r="E25" t="inlineStr">
        <is>
          <t>ISO 9001; ISO 31000; ISO 37000; McKinsey 7S; OHI; Bain Elements of Value; Jobs-to-be-Done; Porter Five Forces; OKR</t>
        </is>
      </c>
      <c r="F25" t="inlineStr">
        <is>
          <t>Policy/SOP; owner/RACI; system report; dashboard; contracts; test records; incident history; interview evidence related to explicit strategic assumptions and periodic challenge of those assumptions.</t>
        </is>
      </c>
      <c r="G25">
        <f>'Assessment Questions'!J25</f>
        <v/>
      </c>
      <c r="H25">
        <f>IF($Z25="","",IF($Z25="N/A","N/A",VALUE(LEFT($Z25,1))))</f>
        <v/>
      </c>
      <c r="I25">
        <f>IF($H25="","",IF($H25="N/A","",VALUE($H25)/5*$G25))</f>
        <v/>
      </c>
      <c r="J25">
        <f>IF(OR($H25="",$H25="N/A"),"",$G25)</f>
        <v/>
      </c>
      <c r="K25">
        <f>IF(OR($H25="",$H25="N/A"),"",$J25-$I25)</f>
        <v/>
      </c>
      <c r="L25">
        <f>IF($H25="","",IF($H25="N/A","N/A",IF(VALUE($H25)&lt;=1,"Critical",IF(VALUE($H25)&lt;=2,"High",IF(VALUE($H25)&lt;=3,"Medium",IF(VALUE($H25)&lt;=4,"Low","Resilient"))))))</f>
        <v/>
      </c>
      <c r="M25" t="inlineStr">
        <is>
          <t>No reliable evidence that explicit strategic assumptions and periodic challenge of those assumptions is defined, owned or managed.</t>
        </is>
      </c>
      <c r="N25" t="inlineStr">
        <is>
          <t>Explicit strategic assumptions and periodic challenge of those assumptions is handled informally and depends on individual knowledge or heroic effort.</t>
        </is>
      </c>
      <c r="O25" t="inlineStr">
        <is>
          <t>Explicit strategic assumptions and periodic challenge of those assumptions is partially documented or implemented, but coverage is inconsistent and not crisis-tested.</t>
        </is>
      </c>
      <c r="P25" t="inlineStr">
        <is>
          <t>Explicit strategic assumptions and periodic challenge of those assumptions is documented, owned, used in normal operations and supported by basic evidence or metrics.</t>
        </is>
      </c>
      <c r="Q25" t="inlineStr">
        <is>
          <t>Explicit strategic assumptions and periodic challenge of those assumptions is measured, periodically reviewed, integrated with related processes and tested against relevant disruption scenarios.</t>
        </is>
      </c>
      <c r="R25" t="inlineStr">
        <is>
          <t>Explicit strategic assumptions and periodic challenge of those assumptions is optimized, continuously improved, automated where practical and demonstrably supports crisis resilience.</t>
        </is>
      </c>
      <c r="S25" t="inlineStr">
        <is>
          <t>Demand shock; Financial liquidity crisis; Reputation crisis</t>
        </is>
      </c>
      <c r="T25">
        <f>'Assessment Questions'!W25</f>
        <v/>
      </c>
      <c r="U25">
        <f>'Assessment Questions'!X25</f>
        <v/>
      </c>
      <c r="V25">
        <f>'Assessment Questions'!Y25</f>
        <v/>
      </c>
      <c r="W25" t="n">
        <v>4</v>
      </c>
      <c r="X25" t="n">
        <v>5</v>
      </c>
      <c r="Y25" t="n">
        <v>5</v>
      </c>
      <c r="Z25">
        <f>'Assessment Questions'!AC25</f>
        <v/>
      </c>
      <c r="AA25" t="inlineStr">
        <is>
          <t>Market and ICP</t>
        </is>
      </c>
      <c r="AB25">
        <f>COUNTIF($B$24:$B$49,$AA25)</f>
        <v/>
      </c>
      <c r="AC25">
        <f>IFERROR(SUMPRODUCT(($B$24:$B$49=$AA25)*($H$24:$H$49&lt;&gt;"")*($H$24:$H$49&lt;&gt;"N/A")*IFERROR(VALUE($H$24:$H$49),0))/SUMPRODUCT(($B$24:$B$49=$AA25)*($H$24:$H$49&lt;&gt;"")*($H$24:$H$49&lt;&gt;"N/A")),0)</f>
        <v/>
      </c>
      <c r="AD25">
        <f>AC25/5</f>
        <v/>
      </c>
      <c r="AE25">
        <f>COUNTIFS($B$24:$B$49,$AA25,$L$24:$L$49,"Critical")+COUNTIFS($B$24:$B$49,$AA25,$L$24:$L$49,"High")</f>
        <v/>
      </c>
      <c r="AF25">
        <f>5-AC25</f>
        <v/>
      </c>
      <c r="AG25">
        <f>SUMPRODUCT(($B$24:$B$49=$AA25)*(ISNUMBER($H$24:$H$49)+($H$24:$H$49="N/A")))</f>
        <v/>
      </c>
      <c r="AH25">
        <f>'Assessment Questions'!AK25</f>
        <v/>
      </c>
      <c r="AI25">
        <f>'Assessment Questions'!AL25</f>
        <v/>
      </c>
      <c r="AJ25">
        <f>IF(OR($H25="",$H25="N/A"),"",IF($AH25="",VLOOKUP('Company Profile'!$B$40,_CONFIG_Model_Settings!$A$5:$B$8,2,FALSE),_xlfn.IFNA(VLOOKUP($AH25,_CONFIG_Model_Settings!$A$5:$B$8,2,FALSE),0.9)))</f>
        <v/>
      </c>
      <c r="AK25">
        <f>IF(OR($H25="",$H25="N/A"),"",IF($AI25="",VLOOKUP('Company Profile'!$B$41,_CONFIG_Model_Settings!$A$5:$B$8,2,FALSE),_xlfn.IFNA(VLOOKUP($AI25,_CONFIG_Model_Settings!$A$5:$B$8,2,FALSE),0.9)))</f>
        <v/>
      </c>
      <c r="AL25">
        <f>IF(OR($H25="",$H25="N/A"),"",ROUND(VALUE($H25)*$AJ25*$AK25*$AV25,2))</f>
        <v/>
      </c>
      <c r="AM25">
        <f>IF($AL25="","",ROUND($AL25/5*100,1))</f>
        <v/>
      </c>
      <c r="AN25">
        <f>IFERROR(MIN(5,MAX(0,(SUMIFS(_REF_Model_Content!$D$1:$D$157,_REF_Model_Content!$A$1:$A$157,'Company Profile'!$B$9,_REF_Model_Content!$B$1:$B$157,"Strategy GTM"))+_xlfn.IFNA(VLOOKUP('Company Profile'!$B$35,_CONFIG_Model_Settings!$A$11:$B$13,2,0),0))),"")</f>
        <v/>
      </c>
      <c r="AO25">
        <f>IF($AL25="","",MAX(0,ROUND($AN25-$AL25,2)))</f>
        <v/>
      </c>
      <c r="AP25">
        <f>IFERROR(SUMIFS(_REF_Model_Content!$E$1:$E$157,_REF_Model_Content!$A$1:$A$157,'Company Profile'!$B$9,_REF_Model_Content!$B$1:$B$157,"Strategy GTM"),1)</f>
        <v/>
      </c>
      <c r="AQ25">
        <f>IF($AO25="","",ROUND($AO25*$AP25*($G25/5),2))</f>
        <v/>
      </c>
      <c r="AR25">
        <f>IF($AO25="","",IF($AO25&gt;=2,"Critical industry gap",IF($AO25&gt;=1,"High industry gap",IF($AO25&gt;=0.5,"Moderate industry gap","Within target"))))</f>
        <v/>
      </c>
      <c r="AS25">
        <f>IF(OR($H25="",$H25="N/A"),0,VALUE($H25)*(($AJ25+$AK25)/2)*$AV25)</f>
        <v/>
      </c>
      <c r="AT25">
        <f>IF(OR($H25="",$H25="N/A"),0,($AJ25+$AK25)/2)</f>
        <v/>
      </c>
      <c r="AU25">
        <f>'Assessment Questions'!AX25</f>
        <v/>
      </c>
      <c r="AV25">
        <f>IF(OR($H25="",$H25="N/A"),"",IF(OR($AU25="",$AU25="Everywhere",$AU25="Not applicable"),1,IF($AU25="Pilot / one team",0.4,IF($AU25="One unit or site",0.7,0.9))))</f>
        <v/>
      </c>
      <c r="AW25" t="inlineStr">
        <is>
          <t>Strategy GTM</t>
        </is>
      </c>
      <c r="AX25" t="inlineStr">
        <is>
          <t>Strategy GTM</t>
        </is>
      </c>
      <c r="AY25" t="n">
        <v>6</v>
      </c>
      <c r="AZ25" t="n">
        <v>25</v>
      </c>
    </row>
    <row r="26">
      <c r="A26" t="inlineStr">
        <is>
          <t>STRA-003</t>
        </is>
      </c>
      <c r="B26" t="inlineStr">
        <is>
          <t>Corporate strategy</t>
        </is>
      </c>
      <c r="C26" t="inlineStr">
        <is>
          <t>How mature is the organization in managing crisis-resilient strategy including adaptation, continuity, digital enablement and recovery options, including ownership, evidence, metrics, fallback procedures and crisis stress testing?</t>
        </is>
      </c>
      <c r="D26" t="inlineStr">
        <is>
          <t>This topic affects exposure to Demand shock; Financial liquidity crisis; Reputation crisis. It helps identify how disruption may impact operations, people, revenue, systems, legal exposure or recovery time.</t>
        </is>
      </c>
      <c r="E26" t="inlineStr">
        <is>
          <t>ISO 9001; ISO 31000; ISO 37000; McKinsey 7S; OHI; Bain Elements of Value; Jobs-to-be-Done; Porter Five Forces; OKR</t>
        </is>
      </c>
      <c r="F26" t="inlineStr">
        <is>
          <t>Policy/SOP; owner/RACI; system report; dashboard; contracts; test records; incident history; interview evidence related to crisis-resilient strategy including adaptation, continuity, digital enablement and recovery options.</t>
        </is>
      </c>
      <c r="G26">
        <f>'Assessment Questions'!J26</f>
        <v/>
      </c>
      <c r="H26">
        <f>IF($Z26="","",IF($Z26="N/A","N/A",VALUE(LEFT($Z26,1))))</f>
        <v/>
      </c>
      <c r="I26">
        <f>IF($H26="","",IF($H26="N/A","",VALUE($H26)/5*$G26))</f>
        <v/>
      </c>
      <c r="J26">
        <f>IF(OR($H26="",$H26="N/A"),"",$G26)</f>
        <v/>
      </c>
      <c r="K26">
        <f>IF(OR($H26="",$H26="N/A"),"",$J26-$I26)</f>
        <v/>
      </c>
      <c r="L26">
        <f>IF($H26="","",IF($H26="N/A","N/A",IF(VALUE($H26)&lt;=1,"Critical",IF(VALUE($H26)&lt;=2,"High",IF(VALUE($H26)&lt;=3,"Medium",IF(VALUE($H26)&lt;=4,"Low","Resilient"))))))</f>
        <v/>
      </c>
      <c r="M26" t="inlineStr">
        <is>
          <t>Does not exist; no owner, no documentation, no practice.</t>
        </is>
      </c>
      <c r="N26" t="inlineStr">
        <is>
          <t>Ad hoc; depends entirely on specific individuals.</t>
        </is>
      </c>
      <c r="O26" t="inlineStr">
        <is>
          <t>Partially documented or implemented; coverage inconsistent; never tested under stress.</t>
        </is>
      </c>
      <c r="P26" t="inlineStr">
        <is>
          <t>Documented, owned, executed consistently; basic evidence and metrics exist.</t>
        </is>
      </c>
      <c r="Q26" t="inlineStr">
        <is>
          <t>Measured and periodically tested/audited; integrated with adjacent processes.</t>
        </is>
      </c>
      <c r="R26" t="inlineStr">
        <is>
          <t>Optimized and automated where practical; stress-tested; benchmarked externally.</t>
        </is>
      </c>
      <c r="S26" t="inlineStr">
        <is>
          <t>Demand shock; Financial liquidity crisis; Reputation crisis</t>
        </is>
      </c>
      <c r="T26">
        <f>'Assessment Questions'!W26</f>
        <v/>
      </c>
      <c r="U26">
        <f>'Assessment Questions'!X26</f>
        <v/>
      </c>
      <c r="V26">
        <f>'Assessment Questions'!Y26</f>
        <v/>
      </c>
      <c r="W26" t="n">
        <v>4</v>
      </c>
      <c r="X26" t="n">
        <v>5</v>
      </c>
      <c r="Y26" t="n">
        <v>5</v>
      </c>
      <c r="Z26">
        <f>'Assessment Questions'!AC26</f>
        <v/>
      </c>
      <c r="AA26" t="inlineStr">
        <is>
          <t>Offering and positioning</t>
        </is>
      </c>
      <c r="AB26">
        <f>COUNTIF($B$24:$B$49,$AA26)</f>
        <v/>
      </c>
      <c r="AC26">
        <f>IFERROR(SUMPRODUCT(($B$24:$B$49=$AA26)*($H$24:$H$49&lt;&gt;"")*($H$24:$H$49&lt;&gt;"N/A")*IFERROR(VALUE($H$24:$H$49),0))/SUMPRODUCT(($B$24:$B$49=$AA26)*($H$24:$H$49&lt;&gt;"")*($H$24:$H$49&lt;&gt;"N/A")),0)</f>
        <v/>
      </c>
      <c r="AD26">
        <f>AC26/5</f>
        <v/>
      </c>
      <c r="AE26">
        <f>COUNTIFS($B$24:$B$49,$AA26,$L$24:$L$49,"Critical")+COUNTIFS($B$24:$B$49,$AA26,$L$24:$L$49,"High")</f>
        <v/>
      </c>
      <c r="AF26">
        <f>5-AC26</f>
        <v/>
      </c>
      <c r="AG26">
        <f>SUMPRODUCT(($B$24:$B$49=$AA26)*(ISNUMBER($H$24:$H$49)+($H$24:$H$49="N/A")))</f>
        <v/>
      </c>
      <c r="AH26">
        <f>'Assessment Questions'!AK26</f>
        <v/>
      </c>
      <c r="AI26">
        <f>'Assessment Questions'!AL26</f>
        <v/>
      </c>
      <c r="AJ26">
        <f>IF(OR($H26="",$H26="N/A"),"",IF($AH26="",VLOOKUP('Company Profile'!$B$40,_CONFIG_Model_Settings!$A$5:$B$8,2,FALSE),_xlfn.IFNA(VLOOKUP($AH26,_CONFIG_Model_Settings!$A$5:$B$8,2,FALSE),0.9)))</f>
        <v/>
      </c>
      <c r="AK26">
        <f>IF(OR($H26="",$H26="N/A"),"",IF($AI26="",VLOOKUP('Company Profile'!$B$41,_CONFIG_Model_Settings!$A$5:$B$8,2,FALSE),_xlfn.IFNA(VLOOKUP($AI26,_CONFIG_Model_Settings!$A$5:$B$8,2,FALSE),0.9)))</f>
        <v/>
      </c>
      <c r="AL26">
        <f>IF(OR($H26="",$H26="N/A"),"",ROUND(VALUE($H26)*$AJ26*$AK26*$AV26,2))</f>
        <v/>
      </c>
      <c r="AM26">
        <f>IF($AL26="","",ROUND($AL26/5*100,1))</f>
        <v/>
      </c>
      <c r="AN26">
        <f>IFERROR(MIN(5,MAX(0,(SUMIFS(_REF_Model_Content!$D$1:$D$157,_REF_Model_Content!$A$1:$A$157,'Company Profile'!$B$9,_REF_Model_Content!$B$1:$B$157,"Strategy GTM"))+_xlfn.IFNA(VLOOKUP('Company Profile'!$B$35,_CONFIG_Model_Settings!$A$11:$B$13,2,0),0))),"")</f>
        <v/>
      </c>
      <c r="AO26">
        <f>IF($AL26="","",MAX(0,ROUND($AN26-$AL26,2)))</f>
        <v/>
      </c>
      <c r="AP26">
        <f>IFERROR(SUMIFS(_REF_Model_Content!$E$1:$E$157,_REF_Model_Content!$A$1:$A$157,'Company Profile'!$B$9,_REF_Model_Content!$B$1:$B$157,"Strategy GTM"),1)</f>
        <v/>
      </c>
      <c r="AQ26">
        <f>IF($AO26="","",ROUND($AO26*$AP26*($G26/5),2))</f>
        <v/>
      </c>
      <c r="AR26">
        <f>IF($AO26="","",IF($AO26&gt;=2,"Critical industry gap",IF($AO26&gt;=1,"High industry gap",IF($AO26&gt;=0.5,"Moderate industry gap","Within target"))))</f>
        <v/>
      </c>
      <c r="AS26">
        <f>IF(OR($H26="",$H26="N/A"),0,VALUE($H26)*(($AJ26+$AK26)/2)*$AV26)</f>
        <v/>
      </c>
      <c r="AT26">
        <f>IF(OR($H26="",$H26="N/A"),0,($AJ26+$AK26)/2)</f>
        <v/>
      </c>
      <c r="AU26">
        <f>'Assessment Questions'!AX26</f>
        <v/>
      </c>
      <c r="AV26">
        <f>IF(OR($H26="",$H26="N/A"),"",IF(OR($AU26="",$AU26="Everywhere",$AU26="Not applicable"),1,IF($AU26="Pilot / one team",0.4,IF($AU26="One unit or site",0.7,0.9))))</f>
        <v/>
      </c>
      <c r="AW26" t="inlineStr">
        <is>
          <t>Strategy GTM</t>
        </is>
      </c>
      <c r="AX26" t="inlineStr">
        <is>
          <t>Strategy GTM</t>
        </is>
      </c>
      <c r="AY26" t="n">
        <v>7</v>
      </c>
      <c r="AZ26" t="n">
        <v>26</v>
      </c>
    </row>
    <row r="27">
      <c r="A27" t="inlineStr">
        <is>
          <t>STRA-004</t>
        </is>
      </c>
      <c r="B27" t="inlineStr">
        <is>
          <t>Corporate strategy</t>
        </is>
      </c>
      <c r="C27" t="inlineStr">
        <is>
          <t>How mature is the organization in managing strategic priorities ranked by business value, urgency, risk and resource constraints, including ownership, evidence, metrics, fallback procedures and crisis stress testing?</t>
        </is>
      </c>
      <c r="D27" t="inlineStr">
        <is>
          <t>This topic affects exposure to Demand shock; Financial liquidity crisis; Reputation crisis. It helps identify how disruption may impact operations, people, revenue, systems, legal exposure or recovery time.</t>
        </is>
      </c>
      <c r="E27" t="inlineStr">
        <is>
          <t>ISO 9001; ISO 31000; ISO 37000; McKinsey 7S; OHI; Bain Elements of Value; Jobs-to-be-Done; Porter Five Forces; OKR</t>
        </is>
      </c>
      <c r="F27" t="inlineStr">
        <is>
          <t>Policy/SOP; owner/RACI; system report; dashboard; contracts; test records; incident history; interview evidence related to strategic priorities ranked by business value, urgency, risk and resource constraints.</t>
        </is>
      </c>
      <c r="G27">
        <f>'Assessment Questions'!J27</f>
        <v/>
      </c>
      <c r="H27">
        <f>IF($Z27="","",IF($Z27="N/A","N/A",VALUE(LEFT($Z27,1))))</f>
        <v/>
      </c>
      <c r="I27">
        <f>IF($H27="","",IF($H27="N/A","",VALUE($H27)/5*$G27))</f>
        <v/>
      </c>
      <c r="J27">
        <f>IF(OR($H27="",$H27="N/A"),"",$G27)</f>
        <v/>
      </c>
      <c r="K27">
        <f>IF(OR($H27="",$H27="N/A"),"",$J27-$I27)</f>
        <v/>
      </c>
      <c r="L27">
        <f>IF($H27="","",IF($H27="N/A","N/A",IF(VALUE($H27)&lt;=1,"Critical",IF(VALUE($H27)&lt;=2,"High",IF(VALUE($H27)&lt;=3,"Medium",IF(VALUE($H27)&lt;=4,"Low","Resilient"))))))</f>
        <v/>
      </c>
      <c r="M27" t="inlineStr">
        <is>
          <t>No reliable evidence that strategic priorities ranked by business value, urgency, risk and resource constraints is defined, owned or managed.</t>
        </is>
      </c>
      <c r="N27" t="inlineStr">
        <is>
          <t>Strategic priorities ranked by business value, urgency, risk and resource constraints is handled informally and depends on individual knowledge or heroic effort.</t>
        </is>
      </c>
      <c r="O27" t="inlineStr">
        <is>
          <t>Strategic priorities ranked by business value, urgency, risk and resource constraints is partially documented or implemented, but coverage is inconsistent and not crisis-tested.</t>
        </is>
      </c>
      <c r="P27" t="inlineStr">
        <is>
          <t>Strategic priorities ranked by business value, urgency, risk and resource constraints is documented, owned, used in normal operations and supported by basic evidence or metrics.</t>
        </is>
      </c>
      <c r="Q27" t="inlineStr">
        <is>
          <t>Strategic priorities ranked by business value, urgency, risk and resource constraints is measured, periodically reviewed, integrated with related processes and tested against relevant disruption scenarios.</t>
        </is>
      </c>
      <c r="R27" t="inlineStr">
        <is>
          <t>Strategic priorities ranked by business value, urgency, risk and resource constraints is optimized, continuously improved, automated where practical and demonstrably supports crisis resilience.</t>
        </is>
      </c>
      <c r="S27" t="inlineStr">
        <is>
          <t>Demand shock; Financial liquidity crisis; Reputation crisis</t>
        </is>
      </c>
      <c r="T27">
        <f>'Assessment Questions'!W27</f>
        <v/>
      </c>
      <c r="U27">
        <f>'Assessment Questions'!X27</f>
        <v/>
      </c>
      <c r="V27">
        <f>'Assessment Questions'!Y27</f>
        <v/>
      </c>
      <c r="W27" t="n">
        <v>4</v>
      </c>
      <c r="X27" t="n">
        <v>5</v>
      </c>
      <c r="Y27" t="n">
        <v>5</v>
      </c>
      <c r="Z27">
        <f>'Assessment Questions'!AC27</f>
        <v/>
      </c>
      <c r="AA27" t="inlineStr">
        <is>
          <t>GTM execution</t>
        </is>
      </c>
      <c r="AB27">
        <f>COUNTIF($B$24:$B$49,$AA27)</f>
        <v/>
      </c>
      <c r="AC27">
        <f>IFERROR(SUMPRODUCT(($B$24:$B$49=$AA27)*($H$24:$H$49&lt;&gt;"")*($H$24:$H$49&lt;&gt;"N/A")*IFERROR(VALUE($H$24:$H$49),0))/SUMPRODUCT(($B$24:$B$49=$AA27)*($H$24:$H$49&lt;&gt;"")*($H$24:$H$49&lt;&gt;"N/A")),0)</f>
        <v/>
      </c>
      <c r="AD27">
        <f>AC27/5</f>
        <v/>
      </c>
      <c r="AE27">
        <f>COUNTIFS($B$24:$B$49,$AA27,$L$24:$L$49,"Critical")+COUNTIFS($B$24:$B$49,$AA27,$L$24:$L$49,"High")</f>
        <v/>
      </c>
      <c r="AF27">
        <f>5-AC27</f>
        <v/>
      </c>
      <c r="AG27">
        <f>SUMPRODUCT(($B$24:$B$49=$AA27)*(ISNUMBER($H$24:$H$49)+($H$24:$H$49="N/A")))</f>
        <v/>
      </c>
      <c r="AH27">
        <f>'Assessment Questions'!AK27</f>
        <v/>
      </c>
      <c r="AI27">
        <f>'Assessment Questions'!AL27</f>
        <v/>
      </c>
      <c r="AJ27">
        <f>IF(OR($H27="",$H27="N/A"),"",IF($AH27="",VLOOKUP('Company Profile'!$B$40,_CONFIG_Model_Settings!$A$5:$B$8,2,FALSE),_xlfn.IFNA(VLOOKUP($AH27,_CONFIG_Model_Settings!$A$5:$B$8,2,FALSE),0.9)))</f>
        <v/>
      </c>
      <c r="AK27">
        <f>IF(OR($H27="",$H27="N/A"),"",IF($AI27="",VLOOKUP('Company Profile'!$B$41,_CONFIG_Model_Settings!$A$5:$B$8,2,FALSE),_xlfn.IFNA(VLOOKUP($AI27,_CONFIG_Model_Settings!$A$5:$B$8,2,FALSE),0.9)))</f>
        <v/>
      </c>
      <c r="AL27">
        <f>IF(OR($H27="",$H27="N/A"),"",ROUND(VALUE($H27)*$AJ27*$AK27*$AV27,2))</f>
        <v/>
      </c>
      <c r="AM27">
        <f>IF($AL27="","",ROUND($AL27/5*100,1))</f>
        <v/>
      </c>
      <c r="AN27">
        <f>IFERROR(MIN(5,MAX(0,(SUMIFS(_REF_Model_Content!$D$1:$D$157,_REF_Model_Content!$A$1:$A$157,'Company Profile'!$B$9,_REF_Model_Content!$B$1:$B$157,"Strategy GTM"))+_xlfn.IFNA(VLOOKUP('Company Profile'!$B$35,_CONFIG_Model_Settings!$A$11:$B$13,2,0),0))),"")</f>
        <v/>
      </c>
      <c r="AO27">
        <f>IF($AL27="","",MAX(0,ROUND($AN27-$AL27,2)))</f>
        <v/>
      </c>
      <c r="AP27">
        <f>IFERROR(SUMIFS(_REF_Model_Content!$E$1:$E$157,_REF_Model_Content!$A$1:$A$157,'Company Profile'!$B$9,_REF_Model_Content!$B$1:$B$157,"Strategy GTM"),1)</f>
        <v/>
      </c>
      <c r="AQ27">
        <f>IF($AO27="","",ROUND($AO27*$AP27*($G27/5),2))</f>
        <v/>
      </c>
      <c r="AR27">
        <f>IF($AO27="","",IF($AO27&gt;=2,"Critical industry gap",IF($AO27&gt;=1,"High industry gap",IF($AO27&gt;=0.5,"Moderate industry gap","Within target"))))</f>
        <v/>
      </c>
      <c r="AS27">
        <f>IF(OR($H27="",$H27="N/A"),0,VALUE($H27)*(($AJ27+$AK27)/2)*$AV27)</f>
        <v/>
      </c>
      <c r="AT27">
        <f>IF(OR($H27="",$H27="N/A"),0,($AJ27+$AK27)/2)</f>
        <v/>
      </c>
      <c r="AU27">
        <f>'Assessment Questions'!AX27</f>
        <v/>
      </c>
      <c r="AV27">
        <f>IF(OR($H27="",$H27="N/A"),"",IF(OR($AU27="",$AU27="Everywhere",$AU27="Not applicable"),1,IF($AU27="Pilot / one team",0.4,IF($AU27="One unit or site",0.7,0.9))))</f>
        <v/>
      </c>
      <c r="AW27" t="inlineStr">
        <is>
          <t>Strategy GTM</t>
        </is>
      </c>
      <c r="AX27" t="inlineStr">
        <is>
          <t>Strategy GTM</t>
        </is>
      </c>
      <c r="AY27" t="n">
        <v>8</v>
      </c>
      <c r="AZ27" t="n">
        <v>27</v>
      </c>
    </row>
    <row r="28">
      <c r="A28" t="inlineStr">
        <is>
          <t>STRA-005</t>
        </is>
      </c>
      <c r="B28" t="inlineStr">
        <is>
          <t>Corporate strategy</t>
        </is>
      </c>
      <c r="C28" t="inlineStr">
        <is>
          <t>How mature is the organization in managing strategic options for pivoting under demand shock, war, regulation, supply or liquidity crisis, including ownership, evidence, metrics, fallback procedures and crisis stress testing?</t>
        </is>
      </c>
      <c r="D28" t="inlineStr">
        <is>
          <t>This topic affects exposure to Demand shock; Financial liquidity crisis; Reputation crisis. It helps identify how disruption may impact operations, people, revenue, systems, legal exposure or recovery time.</t>
        </is>
      </c>
      <c r="E28" t="inlineStr">
        <is>
          <t>ISO 9001; ISO 31000; ISO 37000; McKinsey 7S; OHI; Bain Elements of Value; Jobs-to-be-Done; Porter Five Forces; OKR</t>
        </is>
      </c>
      <c r="F28" t="inlineStr">
        <is>
          <t>Policy/SOP; owner/RACI; system report; dashboard; contracts; test records; incident history; interview evidence related to strategic options for pivoting under demand shock, war, regulation, supply or liquidity crisis.</t>
        </is>
      </c>
      <c r="G28">
        <f>'Assessment Questions'!J28</f>
        <v/>
      </c>
      <c r="H28">
        <f>IF($Z28="","",IF($Z28="N/A","N/A",VALUE(LEFT($Z28,1))))</f>
        <v/>
      </c>
      <c r="I28">
        <f>IF($H28="","",IF($H28="N/A","",VALUE($H28)/5*$G28))</f>
        <v/>
      </c>
      <c r="J28">
        <f>IF(OR($H28="",$H28="N/A"),"",$G28)</f>
        <v/>
      </c>
      <c r="K28">
        <f>IF(OR($H28="",$H28="N/A"),"",$J28-$I28)</f>
        <v/>
      </c>
      <c r="L28">
        <f>IF($H28="","",IF($H28="N/A","N/A",IF(VALUE($H28)&lt;=1,"Critical",IF(VALUE($H28)&lt;=2,"High",IF(VALUE($H28)&lt;=3,"Medium",IF(VALUE($H28)&lt;=4,"Low","Resilient"))))))</f>
        <v/>
      </c>
      <c r="M28" t="inlineStr">
        <is>
          <t>Does not exist; no owner, no documentation, no practice.</t>
        </is>
      </c>
      <c r="N28" t="inlineStr">
        <is>
          <t>Ad hoc; depends entirely on specific individuals.</t>
        </is>
      </c>
      <c r="O28" t="inlineStr">
        <is>
          <t>Partially documented or implemented; coverage inconsistent; never tested under stress.</t>
        </is>
      </c>
      <c r="P28" t="inlineStr">
        <is>
          <t>Documented, owned, executed consistently; basic evidence and metrics exist.</t>
        </is>
      </c>
      <c r="Q28" t="inlineStr">
        <is>
          <t>Measured and periodically tested/audited; integrated with adjacent processes.</t>
        </is>
      </c>
      <c r="R28" t="inlineStr">
        <is>
          <t>Optimized and automated where practical; stress-tested; benchmarked externally.</t>
        </is>
      </c>
      <c r="S28" t="inlineStr">
        <is>
          <t>Demand shock; Financial liquidity crisis; Reputation crisis</t>
        </is>
      </c>
      <c r="T28">
        <f>'Assessment Questions'!W28</f>
        <v/>
      </c>
      <c r="U28">
        <f>'Assessment Questions'!X28</f>
        <v/>
      </c>
      <c r="V28">
        <f>'Assessment Questions'!Y28</f>
        <v/>
      </c>
      <c r="W28" t="n">
        <v>4</v>
      </c>
      <c r="X28" t="n">
        <v>5</v>
      </c>
      <c r="Y28" t="n">
        <v>5</v>
      </c>
      <c r="Z28">
        <f>'Assessment Questions'!AC28</f>
        <v/>
      </c>
      <c r="AA28" t="inlineStr">
        <is>
          <t>External relations and partnerships</t>
        </is>
      </c>
      <c r="AB28">
        <f>COUNTIF($B$24:$B$49,$AA28)</f>
        <v/>
      </c>
      <c r="AC28">
        <f>IFERROR(SUMPRODUCT(($B$24:$B$49=$AA28)*($H$24:$H$49&lt;&gt;"")*($H$24:$H$49&lt;&gt;"N/A")*IFERROR(VALUE($H$24:$H$49),0))/SUMPRODUCT(($B$24:$B$49=$AA28)*($H$24:$H$49&lt;&gt;"")*($H$24:$H$49&lt;&gt;"N/A")),0)</f>
        <v/>
      </c>
      <c r="AD28">
        <f>AC28/5</f>
        <v/>
      </c>
      <c r="AE28">
        <f>COUNTIFS($B$24:$B$49,$AA28,$L$24:$L$49,"Critical")+COUNTIFS($B$24:$B$49,$AA28,$L$24:$L$49,"High")</f>
        <v/>
      </c>
      <c r="AF28">
        <f>5-AC28</f>
        <v/>
      </c>
      <c r="AG28">
        <f>SUMPRODUCT(($B$24:$B$49=$AA28)*(ISNUMBER($H$24:$H$49)+($H$24:$H$49="N/A")))</f>
        <v/>
      </c>
      <c r="AH28">
        <f>'Assessment Questions'!AK28</f>
        <v/>
      </c>
      <c r="AI28">
        <f>'Assessment Questions'!AL28</f>
        <v/>
      </c>
      <c r="AJ28">
        <f>IF(OR($H28="",$H28="N/A"),"",IF($AH28="",VLOOKUP('Company Profile'!$B$40,_CONFIG_Model_Settings!$A$5:$B$8,2,FALSE),_xlfn.IFNA(VLOOKUP($AH28,_CONFIG_Model_Settings!$A$5:$B$8,2,FALSE),0.9)))</f>
        <v/>
      </c>
      <c r="AK28">
        <f>IF(OR($H28="",$H28="N/A"),"",IF($AI28="",VLOOKUP('Company Profile'!$B$41,_CONFIG_Model_Settings!$A$5:$B$8,2,FALSE),_xlfn.IFNA(VLOOKUP($AI28,_CONFIG_Model_Settings!$A$5:$B$8,2,FALSE),0.9)))</f>
        <v/>
      </c>
      <c r="AL28">
        <f>IF(OR($H28="",$H28="N/A"),"",ROUND(VALUE($H28)*$AJ28*$AK28*$AV28,2))</f>
        <v/>
      </c>
      <c r="AM28">
        <f>IF($AL28="","",ROUND($AL28/5*100,1))</f>
        <v/>
      </c>
      <c r="AN28">
        <f>IFERROR(MIN(5,MAX(0,(SUMIFS(_REF_Model_Content!$D$1:$D$157,_REF_Model_Content!$A$1:$A$157,'Company Profile'!$B$9,_REF_Model_Content!$B$1:$B$157,"Strategy GTM"))+_xlfn.IFNA(VLOOKUP('Company Profile'!$B$35,_CONFIG_Model_Settings!$A$11:$B$13,2,0),0))),"")</f>
        <v/>
      </c>
      <c r="AO28">
        <f>IF($AL28="","",MAX(0,ROUND($AN28-$AL28,2)))</f>
        <v/>
      </c>
      <c r="AP28">
        <f>IFERROR(SUMIFS(_REF_Model_Content!$E$1:$E$157,_REF_Model_Content!$A$1:$A$157,'Company Profile'!$B$9,_REF_Model_Content!$B$1:$B$157,"Strategy GTM"),1)</f>
        <v/>
      </c>
      <c r="AQ28">
        <f>IF($AO28="","",ROUND($AO28*$AP28*($G28/5),2))</f>
        <v/>
      </c>
      <c r="AR28">
        <f>IF($AO28="","",IF($AO28&gt;=2,"Critical industry gap",IF($AO28&gt;=1,"High industry gap",IF($AO28&gt;=0.5,"Moderate industry gap","Within target"))))</f>
        <v/>
      </c>
      <c r="AS28">
        <f>IF(OR($H28="",$H28="N/A"),0,VALUE($H28)*(($AJ28+$AK28)/2)*$AV28)</f>
        <v/>
      </c>
      <c r="AT28">
        <f>IF(OR($H28="",$H28="N/A"),0,($AJ28+$AK28)/2)</f>
        <v/>
      </c>
      <c r="AU28">
        <f>'Assessment Questions'!AX28</f>
        <v/>
      </c>
      <c r="AV28">
        <f>IF(OR($H28="",$H28="N/A"),"",IF(OR($AU28="",$AU28="Everywhere",$AU28="Not applicable"),1,IF($AU28="Pilot / one team",0.4,IF($AU28="One unit or site",0.7,0.9))))</f>
        <v/>
      </c>
      <c r="AW28" t="inlineStr">
        <is>
          <t>Strategy GTM</t>
        </is>
      </c>
      <c r="AX28" t="inlineStr">
        <is>
          <t>Strategy GTM</t>
        </is>
      </c>
      <c r="AY28" t="n">
        <v>9</v>
      </c>
      <c r="AZ28" t="n">
        <v>28</v>
      </c>
    </row>
    <row r="29">
      <c r="A29" t="inlineStr">
        <is>
          <t>STRA-006</t>
        </is>
      </c>
      <c r="B29" t="inlineStr">
        <is>
          <t>Corporate strategy</t>
        </is>
      </c>
      <c r="C29" t="inlineStr">
        <is>
          <t>How mature is the organization in managing alignment between strategy, structure, systems, skills, staff, leadership style and culture, including ownership, evidence, metrics, fallback procedures and crisis stress testing?</t>
        </is>
      </c>
      <c r="D29" t="inlineStr">
        <is>
          <t>This topic affects exposure to Demand shock; Financial liquidity crisis; Reputation crisis. It helps identify how disruption may impact operations, people, revenue, systems, legal exposure or recovery time.</t>
        </is>
      </c>
      <c r="E29" t="inlineStr">
        <is>
          <t>ISO 9001; ISO 31000; ISO 37000; McKinsey 7S; OHI; Bain Elements of Value; Jobs-to-be-Done; Porter Five Forces; OKR</t>
        </is>
      </c>
      <c r="F29" t="inlineStr">
        <is>
          <t>Policy/SOP; owner/RACI; system report; dashboard; contracts; test records; incident history; interview evidence related to alignment between strategy, structure, systems, skills, staff, leadership style and culture.</t>
        </is>
      </c>
      <c r="G29">
        <f>'Assessment Questions'!J29</f>
        <v/>
      </c>
      <c r="H29">
        <f>IF($Z29="","",IF($Z29="N/A","N/A",VALUE(LEFT($Z29,1))))</f>
        <v/>
      </c>
      <c r="I29">
        <f>IF($H29="","",IF($H29="N/A","",VALUE($H29)/5*$G29))</f>
        <v/>
      </c>
      <c r="J29">
        <f>IF(OR($H29="",$H29="N/A"),"",$G29)</f>
        <v/>
      </c>
      <c r="K29">
        <f>IF(OR($H29="",$H29="N/A"),"",$J29-$I29)</f>
        <v/>
      </c>
      <c r="L29">
        <f>IF($H29="","",IF($H29="N/A","N/A",IF(VALUE($H29)&lt;=1,"Critical",IF(VALUE($H29)&lt;=2,"High",IF(VALUE($H29)&lt;=3,"Medium",IF(VALUE($H29)&lt;=4,"Low","Resilient"))))))</f>
        <v/>
      </c>
      <c r="M29" t="inlineStr">
        <is>
          <t>No reliable evidence that alignment between strategy, structure, systems, skills, staff, leadership style and culture is defined, owned or managed.</t>
        </is>
      </c>
      <c r="N29" t="inlineStr">
        <is>
          <t>Alignment between strategy, structure, systems, skills, staff, leadership style and culture is handled informally and depends on individual knowledge or heroic effort.</t>
        </is>
      </c>
      <c r="O29" t="inlineStr">
        <is>
          <t>Alignment between strategy, structure, systems, skills, staff, leadership style and culture is partially documented or implemented, but coverage is inconsistent and not crisis-tested.</t>
        </is>
      </c>
      <c r="P29" t="inlineStr">
        <is>
          <t>Alignment between strategy, structure, systems, skills, staff, leadership style and culture is documented, owned, used in normal operations and supported by basic evidence or metrics.</t>
        </is>
      </c>
      <c r="Q29" t="inlineStr">
        <is>
          <t>Alignment between strategy, structure, systems, skills, staff, leadership style and culture is measured, periodically reviewed, integrated with related processes and tested against relevant disruption scenarios.</t>
        </is>
      </c>
      <c r="R29" t="inlineStr">
        <is>
          <t>Alignment between strategy, structure, systems, skills, staff, leadership style and culture is optimized, continuously improved, automated where practical and demonstrably supports crisis resilience.</t>
        </is>
      </c>
      <c r="S29" t="inlineStr">
        <is>
          <t>Demand shock; Financial liquidity crisis; Reputation crisis</t>
        </is>
      </c>
      <c r="T29">
        <f>'Assessment Questions'!W29</f>
        <v/>
      </c>
      <c r="U29">
        <f>'Assessment Questions'!X29</f>
        <v/>
      </c>
      <c r="V29">
        <f>'Assessment Questions'!Y29</f>
        <v/>
      </c>
      <c r="W29" t="n">
        <v>4</v>
      </c>
      <c r="X29" t="n">
        <v>5</v>
      </c>
      <c r="Y29" t="n">
        <v>5</v>
      </c>
      <c r="Z29">
        <f>'Assessment Questions'!AC29</f>
        <v/>
      </c>
      <c r="AB29">
        <f>COUNTIF($B$24:$B$49,$AA29)</f>
        <v/>
      </c>
      <c r="AC29">
        <f>IFERROR(SUMPRODUCT(($B$24:$B$49=$AA29)*($H$24:$H$49&lt;&gt;"")*($H$24:$H$49&lt;&gt;"N/A")*IFERROR(VALUE($H$24:$H$49),0))/SUMPRODUCT(($B$24:$B$49=$AA29)*($H$24:$H$49&lt;&gt;"")*($H$24:$H$49&lt;&gt;"N/A")),0)</f>
        <v/>
      </c>
      <c r="AD29">
        <f>AC29/5</f>
        <v/>
      </c>
      <c r="AE29">
        <f>COUNTIFS($B$24:$B$49,$AA29,$L$24:$L$49,"Critical")+COUNTIFS($B$24:$B$49,$AA29,$L$24:$L$49,"High")</f>
        <v/>
      </c>
      <c r="AF29">
        <f>5-AC29</f>
        <v/>
      </c>
      <c r="AG29">
        <f>SUMPRODUCT(($B$24:$B$49=$AA29)*(ISNUMBER($H$24:$H$49)+($H$24:$H$49="N/A")))</f>
        <v/>
      </c>
      <c r="AH29">
        <f>'Assessment Questions'!AK29</f>
        <v/>
      </c>
      <c r="AI29">
        <f>'Assessment Questions'!AL29</f>
        <v/>
      </c>
      <c r="AJ29">
        <f>IF(OR($H29="",$H29="N/A"),"",IF($AH29="",VLOOKUP('Company Profile'!$B$40,_CONFIG_Model_Settings!$A$5:$B$8,2,FALSE),_xlfn.IFNA(VLOOKUP($AH29,_CONFIG_Model_Settings!$A$5:$B$8,2,FALSE),0.9)))</f>
        <v/>
      </c>
      <c r="AK29">
        <f>IF(OR($H29="",$H29="N/A"),"",IF($AI29="",VLOOKUP('Company Profile'!$B$41,_CONFIG_Model_Settings!$A$5:$B$8,2,FALSE),_xlfn.IFNA(VLOOKUP($AI29,_CONFIG_Model_Settings!$A$5:$B$8,2,FALSE),0.9)))</f>
        <v/>
      </c>
      <c r="AL29">
        <f>IF(OR($H29="",$H29="N/A"),"",ROUND(VALUE($H29)*$AJ29*$AK29*$AV29,2))</f>
        <v/>
      </c>
      <c r="AM29">
        <f>IF($AL29="","",ROUND($AL29/5*100,1))</f>
        <v/>
      </c>
      <c r="AN29">
        <f>IFERROR(MIN(5,MAX(0,(SUMIFS(_REF_Model_Content!$D$1:$D$157,_REF_Model_Content!$A$1:$A$157,'Company Profile'!$B$9,_REF_Model_Content!$B$1:$B$157,"Strategy GTM"))+_xlfn.IFNA(VLOOKUP('Company Profile'!$B$35,_CONFIG_Model_Settings!$A$11:$B$13,2,0),0))),"")</f>
        <v/>
      </c>
      <c r="AO29">
        <f>IF($AL29="","",MAX(0,ROUND($AN29-$AL29,2)))</f>
        <v/>
      </c>
      <c r="AP29">
        <f>IFERROR(SUMIFS(_REF_Model_Content!$E$1:$E$157,_REF_Model_Content!$A$1:$A$157,'Company Profile'!$B$9,_REF_Model_Content!$B$1:$B$157,"Strategy GTM"),1)</f>
        <v/>
      </c>
      <c r="AQ29">
        <f>IF($AO29="","",ROUND($AO29*$AP29*($G29/5),2))</f>
        <v/>
      </c>
      <c r="AR29">
        <f>IF($AO29="","",IF($AO29&gt;=2,"Critical industry gap",IF($AO29&gt;=1,"High industry gap",IF($AO29&gt;=0.5,"Moderate industry gap","Within target"))))</f>
        <v/>
      </c>
      <c r="AS29">
        <f>IF(OR($H29="",$H29="N/A"),0,VALUE($H29)*(($AJ29+$AK29)/2)*$AV29)</f>
        <v/>
      </c>
      <c r="AT29">
        <f>IF(OR($H29="",$H29="N/A"),0,($AJ29+$AK29)/2)</f>
        <v/>
      </c>
      <c r="AU29">
        <f>'Assessment Questions'!AX29</f>
        <v/>
      </c>
      <c r="AV29">
        <f>IF(OR($H29="",$H29="N/A"),"",IF(OR($AU29="",$AU29="Everywhere",$AU29="Not applicable"),1,IF($AU29="Pilot / one team",0.4,IF($AU29="One unit or site",0.7,0.9))))</f>
        <v/>
      </c>
      <c r="AW29" t="inlineStr">
        <is>
          <t>Strategy GTM</t>
        </is>
      </c>
      <c r="AX29" t="inlineStr">
        <is>
          <t>Strategy GTM</t>
        </is>
      </c>
      <c r="AY29" t="n">
        <v>10</v>
      </c>
      <c r="AZ29" t="n">
        <v>29</v>
      </c>
    </row>
    <row r="30">
      <c r="A30" t="inlineStr">
        <is>
          <t>STRA-007</t>
        </is>
      </c>
      <c r="B30" t="inlineStr">
        <is>
          <t>Market and ICP</t>
        </is>
      </c>
      <c r="C30" t="inlineStr">
        <is>
          <t>How mature is the organization in managing ideal customer profile by segment, geography, industry, company size, pain, budget and buying trigger, including ownership, evidence, metrics, fallback procedures and crisis stress testing?</t>
        </is>
      </c>
      <c r="D30" t="inlineStr">
        <is>
          <t>This topic affects exposure to Demand shock; Financial liquidity crisis; Reputation crisis. It helps identify how disruption may impact operations, people, revenue, systems, legal exposure or recovery time.</t>
        </is>
      </c>
      <c r="E30" t="inlineStr">
        <is>
          <t>ISO 9001; ISO 31000; ISO 37000; McKinsey 7S; OHI; Bain Elements of Value; Jobs-to-be-Done; Porter Five Forces; OKR</t>
        </is>
      </c>
      <c r="F30" t="inlineStr">
        <is>
          <t>Policy/SOP; owner/RACI; system report; dashboard; contracts; test records; incident history; interview evidence related to ideal customer profile by segment, geography, industry, company size, pain, budget and buying trigger.</t>
        </is>
      </c>
      <c r="G30">
        <f>'Assessment Questions'!J30</f>
        <v/>
      </c>
      <c r="H30">
        <f>IF($Z30="","",IF($Z30="N/A","N/A",VALUE(LEFT($Z30,1))))</f>
        <v/>
      </c>
      <c r="I30">
        <f>IF($H30="","",IF($H30="N/A","",VALUE($H30)/5*$G30))</f>
        <v/>
      </c>
      <c r="J30">
        <f>IF(OR($H30="",$H30="N/A"),"",$G30)</f>
        <v/>
      </c>
      <c r="K30">
        <f>IF(OR($H30="",$H30="N/A"),"",$J30-$I30)</f>
        <v/>
      </c>
      <c r="L30">
        <f>IF($H30="","",IF($H30="N/A","N/A",IF(VALUE($H30)&lt;=1,"Critical",IF(VALUE($H30)&lt;=2,"High",IF(VALUE($H30)&lt;=3,"Medium",IF(VALUE($H30)&lt;=4,"Low","Resilient"))))))</f>
        <v/>
      </c>
      <c r="M30" t="inlineStr">
        <is>
          <t>No reliable evidence that ideal customer profile by segment, geography, industry, company size, pain, budget and buying trigger is defined, owned or managed.</t>
        </is>
      </c>
      <c r="N30" t="inlineStr">
        <is>
          <t>Ideal customer profile by segment, geography, industry, company size, pain, budget and buying trigger is handled informally and depends on individual knowledge or heroic effort.</t>
        </is>
      </c>
      <c r="O30" t="inlineStr">
        <is>
          <t>Ideal customer profile by segment, geography, industry, company size, pain, budget and buying trigger is partially documented or implemented, but coverage is inconsistent and not crisis-tested.</t>
        </is>
      </c>
      <c r="P30" t="inlineStr">
        <is>
          <t>Ideal customer profile by segment, geography, industry, company size, pain, budget and buying trigger is documented, owned, used in normal operations and supported by basic evidence or metrics.</t>
        </is>
      </c>
      <c r="Q30" t="inlineStr">
        <is>
          <t>Ideal customer profile by segment, geography, industry, company size, pain, budget and buying trigger is measured, periodically reviewed, integrated with related processes and tested against relevant disruption scenarios.</t>
        </is>
      </c>
      <c r="R30" t="inlineStr">
        <is>
          <t>Ideal customer profile by segment, geography, industry, company size, pain, budget and buying trigger is optimized, continuously improved, automated where practical and demonstrably supports crisis resilience.</t>
        </is>
      </c>
      <c r="S30" t="inlineStr">
        <is>
          <t>Demand shock; Financial liquidity crisis; Reputation crisis</t>
        </is>
      </c>
      <c r="T30">
        <f>'Assessment Questions'!W30</f>
        <v/>
      </c>
      <c r="U30">
        <f>'Assessment Questions'!X30</f>
        <v/>
      </c>
      <c r="V30">
        <f>'Assessment Questions'!Y30</f>
        <v/>
      </c>
      <c r="W30" t="n">
        <v>4</v>
      </c>
      <c r="X30" t="n">
        <v>5</v>
      </c>
      <c r="Y30" t="n">
        <v>5</v>
      </c>
      <c r="Z30">
        <f>'Assessment Questions'!AC30</f>
        <v/>
      </c>
      <c r="AB30">
        <f>COUNTIF($B$24:$B$49,$AA30)</f>
        <v/>
      </c>
      <c r="AC30">
        <f>IFERROR(SUMPRODUCT(($B$24:$B$49=$AA30)*($H$24:$H$49&lt;&gt;"")*($H$24:$H$49&lt;&gt;"N/A")*IFERROR(VALUE($H$24:$H$49),0))/SUMPRODUCT(($B$24:$B$49=$AA30)*($H$24:$H$49&lt;&gt;"")*($H$24:$H$49&lt;&gt;"N/A")),0)</f>
        <v/>
      </c>
      <c r="AD30">
        <f>AC30/5</f>
        <v/>
      </c>
      <c r="AE30">
        <f>COUNTIFS($B$24:$B$49,$AA30,$L$24:$L$49,"Critical")+COUNTIFS($B$24:$B$49,$AA30,$L$24:$L$49,"High")</f>
        <v/>
      </c>
      <c r="AF30">
        <f>5-AC30</f>
        <v/>
      </c>
      <c r="AG30">
        <f>SUMPRODUCT(($B$24:$B$49=$AA30)*(ISNUMBER($H$24:$H$49)+($H$24:$H$49="N/A")))</f>
        <v/>
      </c>
      <c r="AH30">
        <f>'Assessment Questions'!AK30</f>
        <v/>
      </c>
      <c r="AI30">
        <f>'Assessment Questions'!AL30</f>
        <v/>
      </c>
      <c r="AJ30">
        <f>IF(OR($H30="",$H30="N/A"),"",IF($AH30="",VLOOKUP('Company Profile'!$B$40,_CONFIG_Model_Settings!$A$5:$B$8,2,FALSE),_xlfn.IFNA(VLOOKUP($AH30,_CONFIG_Model_Settings!$A$5:$B$8,2,FALSE),0.9)))</f>
        <v/>
      </c>
      <c r="AK30">
        <f>IF(OR($H30="",$H30="N/A"),"",IF($AI30="",VLOOKUP('Company Profile'!$B$41,_CONFIG_Model_Settings!$A$5:$B$8,2,FALSE),_xlfn.IFNA(VLOOKUP($AI30,_CONFIG_Model_Settings!$A$5:$B$8,2,FALSE),0.9)))</f>
        <v/>
      </c>
      <c r="AL30">
        <f>IF(OR($H30="",$H30="N/A"),"",ROUND(VALUE($H30)*$AJ30*$AK30*$AV30,2))</f>
        <v/>
      </c>
      <c r="AM30">
        <f>IF($AL30="","",ROUND($AL30/5*100,1))</f>
        <v/>
      </c>
      <c r="AN30">
        <f>IFERROR(MIN(5,MAX(0,(SUMIFS(_REF_Model_Content!$D$1:$D$157,_REF_Model_Content!$A$1:$A$157,'Company Profile'!$B$9,_REF_Model_Content!$B$1:$B$157,"Strategy GTM"))+_xlfn.IFNA(VLOOKUP('Company Profile'!$B$35,_CONFIG_Model_Settings!$A$11:$B$13,2,0),0))),"")</f>
        <v/>
      </c>
      <c r="AO30">
        <f>IF($AL30="","",MAX(0,ROUND($AN30-$AL30,2)))</f>
        <v/>
      </c>
      <c r="AP30">
        <f>IFERROR(SUMIFS(_REF_Model_Content!$E$1:$E$157,_REF_Model_Content!$A$1:$A$157,'Company Profile'!$B$9,_REF_Model_Content!$B$1:$B$157,"Strategy GTM"),1)</f>
        <v/>
      </c>
      <c r="AQ30">
        <f>IF($AO30="","",ROUND($AO30*$AP30*($G30/5),2))</f>
        <v/>
      </c>
      <c r="AR30">
        <f>IF($AO30="","",IF($AO30&gt;=2,"Critical industry gap",IF($AO30&gt;=1,"High industry gap",IF($AO30&gt;=0.5,"Moderate industry gap","Within target"))))</f>
        <v/>
      </c>
      <c r="AS30">
        <f>IF(OR($H30="",$H30="N/A"),0,VALUE($H30)*(($AJ30+$AK30)/2)*$AV30)</f>
        <v/>
      </c>
      <c r="AT30">
        <f>IF(OR($H30="",$H30="N/A"),0,($AJ30+$AK30)/2)</f>
        <v/>
      </c>
      <c r="AU30">
        <f>'Assessment Questions'!AX30</f>
        <v/>
      </c>
      <c r="AV30">
        <f>IF(OR($H30="",$H30="N/A"),"",IF(OR($AU30="",$AU30="Everywhere",$AU30="Not applicable"),1,IF($AU30="Pilot / one team",0.4,IF($AU30="One unit or site",0.7,0.9))))</f>
        <v/>
      </c>
      <c r="AW30" t="inlineStr">
        <is>
          <t>Strategy GTM</t>
        </is>
      </c>
      <c r="AX30" t="inlineStr">
        <is>
          <t>Strategy GTM</t>
        </is>
      </c>
      <c r="AY30" t="n">
        <v>11</v>
      </c>
      <c r="AZ30" t="n">
        <v>30</v>
      </c>
    </row>
    <row r="31">
      <c r="A31" t="inlineStr">
        <is>
          <t>STRA-008</t>
        </is>
      </c>
      <c r="B31" t="inlineStr">
        <is>
          <t>Market and ICP</t>
        </is>
      </c>
      <c r="C31" t="inlineStr">
        <is>
          <t>How mature is the organization in managing buyer personas covering economic buyer, technical buyer, user, influencer and blocker, including ownership, evidence, metrics, fallback procedures and crisis stress testing?</t>
        </is>
      </c>
      <c r="D31" t="inlineStr">
        <is>
          <t>This topic affects exposure to Demand shock; Financial liquidity crisis; Reputation crisis. It helps identify how disruption may impact operations, people, revenue, systems, legal exposure or recovery time.</t>
        </is>
      </c>
      <c r="E31" t="inlineStr">
        <is>
          <t>ISO 9001; ISO 31000; ISO 37000; McKinsey 7S; OHI; Bain Elements of Value; Jobs-to-be-Done; Porter Five Forces; OKR</t>
        </is>
      </c>
      <c r="F31" t="inlineStr">
        <is>
          <t>Policy/SOP; owner/RACI; system report; dashboard; contracts; test records; incident history; interview evidence related to buyer personas covering economic buyer, technical buyer, user, influencer and blocker.</t>
        </is>
      </c>
      <c r="G31">
        <f>'Assessment Questions'!J31</f>
        <v/>
      </c>
      <c r="H31">
        <f>IF($Z31="","",IF($Z31="N/A","N/A",VALUE(LEFT($Z31,1))))</f>
        <v/>
      </c>
      <c r="I31">
        <f>IF($H31="","",IF($H31="N/A","",VALUE($H31)/5*$G31))</f>
        <v/>
      </c>
      <c r="J31">
        <f>IF(OR($H31="",$H31="N/A"),"",$G31)</f>
        <v/>
      </c>
      <c r="K31">
        <f>IF(OR($H31="",$H31="N/A"),"",$J31-$I31)</f>
        <v/>
      </c>
      <c r="L31">
        <f>IF($H31="","",IF($H31="N/A","N/A",IF(VALUE($H31)&lt;=1,"Critical",IF(VALUE($H31)&lt;=2,"High",IF(VALUE($H31)&lt;=3,"Medium",IF(VALUE($H31)&lt;=4,"Low","Resilient"))))))</f>
        <v/>
      </c>
      <c r="M31" t="inlineStr">
        <is>
          <t>No reliable evidence that buyer personas covering economic buyer, technical buyer, user, influencer and blocker is defined, owned or managed.</t>
        </is>
      </c>
      <c r="N31" t="inlineStr">
        <is>
          <t>Buyer personas covering economic buyer, technical buyer, user, influencer and blocker is handled informally and depends on individual knowledge or heroic effort.</t>
        </is>
      </c>
      <c r="O31" t="inlineStr">
        <is>
          <t>Buyer personas covering economic buyer, technical buyer, user, influencer and blocker is partially documented or implemented, but coverage is inconsistent and not crisis-tested.</t>
        </is>
      </c>
      <c r="P31" t="inlineStr">
        <is>
          <t>Buyer personas covering economic buyer, technical buyer, user, influencer and blocker is documented, owned, used in normal operations and supported by basic evidence or metrics.</t>
        </is>
      </c>
      <c r="Q31" t="inlineStr">
        <is>
          <t>Buyer personas covering economic buyer, technical buyer, user, influencer and blocker is measured, periodically reviewed, integrated with related processes and tested against relevant disruption scenarios.</t>
        </is>
      </c>
      <c r="R31" t="inlineStr">
        <is>
          <t>Buyer personas covering economic buyer, technical buyer, user, influencer and blocker is optimized, continuously improved, automated where practical and demonstrably supports crisis resilience.</t>
        </is>
      </c>
      <c r="S31" t="inlineStr">
        <is>
          <t>Demand shock; Financial liquidity crisis; Reputation crisis</t>
        </is>
      </c>
      <c r="T31">
        <f>'Assessment Questions'!W31</f>
        <v/>
      </c>
      <c r="U31">
        <f>'Assessment Questions'!X31</f>
        <v/>
      </c>
      <c r="V31">
        <f>'Assessment Questions'!Y31</f>
        <v/>
      </c>
      <c r="W31" t="n">
        <v>4</v>
      </c>
      <c r="X31" t="n">
        <v>5</v>
      </c>
      <c r="Y31" t="n">
        <v>5</v>
      </c>
      <c r="Z31">
        <f>'Assessment Questions'!AC31</f>
        <v/>
      </c>
      <c r="AB31">
        <f>COUNTIF($B$24:$B$49,$AA31)</f>
        <v/>
      </c>
      <c r="AC31">
        <f>IFERROR(SUMPRODUCT(($B$24:$B$49=$AA31)*($H$24:$H$49&lt;&gt;"")*($H$24:$H$49&lt;&gt;"N/A")*IFERROR(VALUE($H$24:$H$49),0))/SUMPRODUCT(($B$24:$B$49=$AA31)*($H$24:$H$49&lt;&gt;"")*($H$24:$H$49&lt;&gt;"N/A")),0)</f>
        <v/>
      </c>
      <c r="AD31">
        <f>AC31/5</f>
        <v/>
      </c>
      <c r="AE31">
        <f>COUNTIFS($B$24:$B$49,$AA31,$L$24:$L$49,"Critical")+COUNTIFS($B$24:$B$49,$AA31,$L$24:$L$49,"High")</f>
        <v/>
      </c>
      <c r="AF31">
        <f>5-AC31</f>
        <v/>
      </c>
      <c r="AG31">
        <f>SUMPRODUCT(($B$24:$B$49=$AA31)*(ISNUMBER($H$24:$H$49)+($H$24:$H$49="N/A")))</f>
        <v/>
      </c>
      <c r="AH31">
        <f>'Assessment Questions'!AK31</f>
        <v/>
      </c>
      <c r="AI31">
        <f>'Assessment Questions'!AL31</f>
        <v/>
      </c>
      <c r="AJ31">
        <f>IF(OR($H31="",$H31="N/A"),"",IF($AH31="",VLOOKUP('Company Profile'!$B$40,_CONFIG_Model_Settings!$A$5:$B$8,2,FALSE),_xlfn.IFNA(VLOOKUP($AH31,_CONFIG_Model_Settings!$A$5:$B$8,2,FALSE),0.9)))</f>
        <v/>
      </c>
      <c r="AK31">
        <f>IF(OR($H31="",$H31="N/A"),"",IF($AI31="",VLOOKUP('Company Profile'!$B$41,_CONFIG_Model_Settings!$A$5:$B$8,2,FALSE),_xlfn.IFNA(VLOOKUP($AI31,_CONFIG_Model_Settings!$A$5:$B$8,2,FALSE),0.9)))</f>
        <v/>
      </c>
      <c r="AL31">
        <f>IF(OR($H31="",$H31="N/A"),"",ROUND(VALUE($H31)*$AJ31*$AK31*$AV31,2))</f>
        <v/>
      </c>
      <c r="AM31">
        <f>IF($AL31="","",ROUND($AL31/5*100,1))</f>
        <v/>
      </c>
      <c r="AN31">
        <f>IFERROR(MIN(5,MAX(0,(SUMIFS(_REF_Model_Content!$D$1:$D$157,_REF_Model_Content!$A$1:$A$157,'Company Profile'!$B$9,_REF_Model_Content!$B$1:$B$157,"Strategy GTM"))+_xlfn.IFNA(VLOOKUP('Company Profile'!$B$35,_CONFIG_Model_Settings!$A$11:$B$13,2,0),0))),"")</f>
        <v/>
      </c>
      <c r="AO31">
        <f>IF($AL31="","",MAX(0,ROUND($AN31-$AL31,2)))</f>
        <v/>
      </c>
      <c r="AP31">
        <f>IFERROR(SUMIFS(_REF_Model_Content!$E$1:$E$157,_REF_Model_Content!$A$1:$A$157,'Company Profile'!$B$9,_REF_Model_Content!$B$1:$B$157,"Strategy GTM"),1)</f>
        <v/>
      </c>
      <c r="AQ31">
        <f>IF($AO31="","",ROUND($AO31*$AP31*($G31/5),2))</f>
        <v/>
      </c>
      <c r="AR31">
        <f>IF($AO31="","",IF($AO31&gt;=2,"Critical industry gap",IF($AO31&gt;=1,"High industry gap",IF($AO31&gt;=0.5,"Moderate industry gap","Within target"))))</f>
        <v/>
      </c>
      <c r="AS31">
        <f>IF(OR($H31="",$H31="N/A"),0,VALUE($H31)*(($AJ31+$AK31)/2)*$AV31)</f>
        <v/>
      </c>
      <c r="AT31">
        <f>IF(OR($H31="",$H31="N/A"),0,($AJ31+$AK31)/2)</f>
        <v/>
      </c>
      <c r="AU31">
        <f>'Assessment Questions'!AX31</f>
        <v/>
      </c>
      <c r="AV31">
        <f>IF(OR($H31="",$H31="N/A"),"",IF(OR($AU31="",$AU31="Everywhere",$AU31="Not applicable"),1,IF($AU31="Pilot / one team",0.4,IF($AU31="One unit or site",0.7,0.9))))</f>
        <v/>
      </c>
      <c r="AW31" t="inlineStr">
        <is>
          <t>Strategy GTM</t>
        </is>
      </c>
      <c r="AX31" t="inlineStr">
        <is>
          <t>Strategy GTM</t>
        </is>
      </c>
      <c r="AY31" t="n">
        <v>12</v>
      </c>
      <c r="AZ31" t="n">
        <v>31</v>
      </c>
    </row>
    <row r="32">
      <c r="A32" t="inlineStr">
        <is>
          <t>STRA-009</t>
        </is>
      </c>
      <c r="B32" t="inlineStr">
        <is>
          <t>Market and ICP</t>
        </is>
      </c>
      <c r="C32" t="inlineStr">
        <is>
          <t>How mature is the organization in managing validated customer problems, jobs-to-be-done, urgency triggers and willingness to pay, including ownership, evidence, metrics, fallback procedures and crisis stress testing?</t>
        </is>
      </c>
      <c r="D32" t="inlineStr">
        <is>
          <t>This topic affects exposure to Demand shock; Financial liquidity crisis; Reputation crisis. It helps identify how disruption may impact operations, people, revenue, systems, legal exposure or recovery time.</t>
        </is>
      </c>
      <c r="E32" t="inlineStr">
        <is>
          <t>ISO 9001; ISO 31000; ISO 37000; McKinsey 7S; OHI; Bain Elements of Value; Jobs-to-be-Done; Porter Five Forces; OKR</t>
        </is>
      </c>
      <c r="F32" t="inlineStr">
        <is>
          <t>Policy/SOP; owner/RACI; system report; dashboard; contracts; test records; incident history; interview evidence related to validated customer problems, jobs-to-be-done, urgency triggers and willingness to pay.</t>
        </is>
      </c>
      <c r="G32">
        <f>'Assessment Questions'!J32</f>
        <v/>
      </c>
      <c r="H32">
        <f>IF($Z32="","",IF($Z32="N/A","N/A",VALUE(LEFT($Z32,1))))</f>
        <v/>
      </c>
      <c r="I32">
        <f>IF($H32="","",IF($H32="N/A","",VALUE($H32)/5*$G32))</f>
        <v/>
      </c>
      <c r="J32">
        <f>IF(OR($H32="",$H32="N/A"),"",$G32)</f>
        <v/>
      </c>
      <c r="K32">
        <f>IF(OR($H32="",$H32="N/A"),"",$J32-$I32)</f>
        <v/>
      </c>
      <c r="L32">
        <f>IF($H32="","",IF($H32="N/A","N/A",IF(VALUE($H32)&lt;=1,"Critical",IF(VALUE($H32)&lt;=2,"High",IF(VALUE($H32)&lt;=3,"Medium",IF(VALUE($H32)&lt;=4,"Low","Resilient"))))))</f>
        <v/>
      </c>
      <c r="M32" t="inlineStr">
        <is>
          <t>No reliable evidence that validated customer problems, jobs-to-be-done, urgency triggers and willingness to pay is defined, owned or managed.</t>
        </is>
      </c>
      <c r="N32" t="inlineStr">
        <is>
          <t>Validated customer problems, jobs-to-be-done, urgency triggers and willingness to pay is handled informally and depends on individual knowledge or heroic effort.</t>
        </is>
      </c>
      <c r="O32" t="inlineStr">
        <is>
          <t>Validated customer problems, jobs-to-be-done, urgency triggers and willingness to pay is partially documented or implemented, but coverage is inconsistent and not crisis-tested.</t>
        </is>
      </c>
      <c r="P32" t="inlineStr">
        <is>
          <t>Validated customer problems, jobs-to-be-done, urgency triggers and willingness to pay is documented, owned, used in normal operations and supported by basic evidence or metrics.</t>
        </is>
      </c>
      <c r="Q32" t="inlineStr">
        <is>
          <t>Validated customer problems, jobs-to-be-done, urgency triggers and willingness to pay is measured, periodically reviewed, integrated with related processes and tested against relevant disruption scenarios.</t>
        </is>
      </c>
      <c r="R32" t="inlineStr">
        <is>
          <t>Validated customer problems, jobs-to-be-done, urgency triggers and willingness to pay is optimized, continuously improved, automated where practical and demonstrably supports crisis resilience.</t>
        </is>
      </c>
      <c r="S32" t="inlineStr">
        <is>
          <t>Demand shock; Financial liquidity crisis; Reputation crisis</t>
        </is>
      </c>
      <c r="T32">
        <f>'Assessment Questions'!W32</f>
        <v/>
      </c>
      <c r="U32">
        <f>'Assessment Questions'!X32</f>
        <v/>
      </c>
      <c r="V32">
        <f>'Assessment Questions'!Y32</f>
        <v/>
      </c>
      <c r="W32" t="n">
        <v>4</v>
      </c>
      <c r="X32" t="n">
        <v>5</v>
      </c>
      <c r="Y32" t="n">
        <v>5</v>
      </c>
      <c r="Z32">
        <f>'Assessment Questions'!AC32</f>
        <v/>
      </c>
      <c r="AB32">
        <f>COUNTIF($B$24:$B$49,$AA32)</f>
        <v/>
      </c>
      <c r="AC32">
        <f>IFERROR(SUMPRODUCT(($B$24:$B$49=$AA32)*($H$24:$H$49&lt;&gt;"")*($H$24:$H$49&lt;&gt;"N/A")*IFERROR(VALUE($H$24:$H$49),0))/SUMPRODUCT(($B$24:$B$49=$AA32)*($H$24:$H$49&lt;&gt;"")*($H$24:$H$49&lt;&gt;"N/A")),0)</f>
        <v/>
      </c>
      <c r="AD32">
        <f>AC32/5</f>
        <v/>
      </c>
      <c r="AE32">
        <f>COUNTIFS($B$24:$B$49,$AA32,$L$24:$L$49,"Critical")+COUNTIFS($B$24:$B$49,$AA32,$L$24:$L$49,"High")</f>
        <v/>
      </c>
      <c r="AF32">
        <f>5-AC32</f>
        <v/>
      </c>
      <c r="AG32">
        <f>SUMPRODUCT(($B$24:$B$49=$AA32)*(ISNUMBER($H$24:$H$49)+($H$24:$H$49="N/A")))</f>
        <v/>
      </c>
      <c r="AH32">
        <f>'Assessment Questions'!AK32</f>
        <v/>
      </c>
      <c r="AI32">
        <f>'Assessment Questions'!AL32</f>
        <v/>
      </c>
      <c r="AJ32">
        <f>IF(OR($H32="",$H32="N/A"),"",IF($AH32="",VLOOKUP('Company Profile'!$B$40,_CONFIG_Model_Settings!$A$5:$B$8,2,FALSE),_xlfn.IFNA(VLOOKUP($AH32,_CONFIG_Model_Settings!$A$5:$B$8,2,FALSE),0.9)))</f>
        <v/>
      </c>
      <c r="AK32">
        <f>IF(OR($H32="",$H32="N/A"),"",IF($AI32="",VLOOKUP('Company Profile'!$B$41,_CONFIG_Model_Settings!$A$5:$B$8,2,FALSE),_xlfn.IFNA(VLOOKUP($AI32,_CONFIG_Model_Settings!$A$5:$B$8,2,FALSE),0.9)))</f>
        <v/>
      </c>
      <c r="AL32">
        <f>IF(OR($H32="",$H32="N/A"),"",ROUND(VALUE($H32)*$AJ32*$AK32*$AV32,2))</f>
        <v/>
      </c>
      <c r="AM32">
        <f>IF($AL32="","",ROUND($AL32/5*100,1))</f>
        <v/>
      </c>
      <c r="AN32">
        <f>IFERROR(MIN(5,MAX(0,(SUMIFS(_REF_Model_Content!$D$1:$D$157,_REF_Model_Content!$A$1:$A$157,'Company Profile'!$B$9,_REF_Model_Content!$B$1:$B$157,"Strategy GTM"))+_xlfn.IFNA(VLOOKUP('Company Profile'!$B$35,_CONFIG_Model_Settings!$A$11:$B$13,2,0),0))),"")</f>
        <v/>
      </c>
      <c r="AO32">
        <f>IF($AL32="","",MAX(0,ROUND($AN32-$AL32,2)))</f>
        <v/>
      </c>
      <c r="AP32">
        <f>IFERROR(SUMIFS(_REF_Model_Content!$E$1:$E$157,_REF_Model_Content!$A$1:$A$157,'Company Profile'!$B$9,_REF_Model_Content!$B$1:$B$157,"Strategy GTM"),1)</f>
        <v/>
      </c>
      <c r="AQ32">
        <f>IF($AO32="","",ROUND($AO32*$AP32*($G32/5),2))</f>
        <v/>
      </c>
      <c r="AR32">
        <f>IF($AO32="","",IF($AO32&gt;=2,"Critical industry gap",IF($AO32&gt;=1,"High industry gap",IF($AO32&gt;=0.5,"Moderate industry gap","Within target"))))</f>
        <v/>
      </c>
      <c r="AS32">
        <f>IF(OR($H32="",$H32="N/A"),0,VALUE($H32)*(($AJ32+$AK32)/2)*$AV32)</f>
        <v/>
      </c>
      <c r="AT32">
        <f>IF(OR($H32="",$H32="N/A"),0,($AJ32+$AK32)/2)</f>
        <v/>
      </c>
      <c r="AU32">
        <f>'Assessment Questions'!AX32</f>
        <v/>
      </c>
      <c r="AV32">
        <f>IF(OR($H32="",$H32="N/A"),"",IF(OR($AU32="",$AU32="Everywhere",$AU32="Not applicable"),1,IF($AU32="Pilot / one team",0.4,IF($AU32="One unit or site",0.7,0.9))))</f>
        <v/>
      </c>
      <c r="AW32" t="inlineStr">
        <is>
          <t>Strategy GTM</t>
        </is>
      </c>
      <c r="AX32" t="inlineStr">
        <is>
          <t>Strategy GTM</t>
        </is>
      </c>
      <c r="AY32" t="n">
        <v>13</v>
      </c>
      <c r="AZ32" t="n">
        <v>32</v>
      </c>
    </row>
    <row r="33">
      <c r="A33" t="inlineStr">
        <is>
          <t>STRA-010</t>
        </is>
      </c>
      <c r="B33" t="inlineStr">
        <is>
          <t>Market and ICP</t>
        </is>
      </c>
      <c r="C33" t="inlineStr">
        <is>
          <t>How mature is the organization in managing market segmentation by attractiveness, accessibility, profitability and crisis sensitivity, including ownership, evidence, metrics, fallback procedures and crisis stress testing?</t>
        </is>
      </c>
      <c r="D33" t="inlineStr">
        <is>
          <t>This topic affects exposure to Demand shock; Financial liquidity crisis; Reputation crisis. It helps identify how disruption may impact operations, people, revenue, systems, legal exposure or recovery time.</t>
        </is>
      </c>
      <c r="E33" t="inlineStr">
        <is>
          <t>ISO 9001; ISO 31000; ISO 37000; McKinsey 7S; OHI; Bain Elements of Value; Jobs-to-be-Done; Porter Five Forces; OKR</t>
        </is>
      </c>
      <c r="F33" t="inlineStr">
        <is>
          <t>Policy/SOP; owner/RACI; system report; dashboard; contracts; test records; incident history; interview evidence related to market segmentation by attractiveness, accessibility, profitability and crisis sensitivity.</t>
        </is>
      </c>
      <c r="G33">
        <f>'Assessment Questions'!J33</f>
        <v/>
      </c>
      <c r="H33">
        <f>IF($Z33="","",IF($Z33="N/A","N/A",VALUE(LEFT($Z33,1))))</f>
        <v/>
      </c>
      <c r="I33">
        <f>IF($H33="","",IF($H33="N/A","",VALUE($H33)/5*$G33))</f>
        <v/>
      </c>
      <c r="J33">
        <f>IF(OR($H33="",$H33="N/A"),"",$G33)</f>
        <v/>
      </c>
      <c r="K33">
        <f>IF(OR($H33="",$H33="N/A"),"",$J33-$I33)</f>
        <v/>
      </c>
      <c r="L33">
        <f>IF($H33="","",IF($H33="N/A","N/A",IF(VALUE($H33)&lt;=1,"Critical",IF(VALUE($H33)&lt;=2,"High",IF(VALUE($H33)&lt;=3,"Medium",IF(VALUE($H33)&lt;=4,"Low","Resilient"))))))</f>
        <v/>
      </c>
      <c r="M33" t="inlineStr">
        <is>
          <t>Does not exist; no owner, no documentation, no practice.</t>
        </is>
      </c>
      <c r="N33" t="inlineStr">
        <is>
          <t>Ad hoc; depends entirely on specific individuals.</t>
        </is>
      </c>
      <c r="O33" t="inlineStr">
        <is>
          <t>Partially documented or implemented; coverage inconsistent; never tested under stress.</t>
        </is>
      </c>
      <c r="P33" t="inlineStr">
        <is>
          <t>Documented, owned, executed consistently; basic evidence and metrics exist.</t>
        </is>
      </c>
      <c r="Q33" t="inlineStr">
        <is>
          <t>Measured and periodically tested/audited; integrated with adjacent processes.</t>
        </is>
      </c>
      <c r="R33" t="inlineStr">
        <is>
          <t>Optimized and automated where practical; stress-tested; benchmarked externally.</t>
        </is>
      </c>
      <c r="S33" t="inlineStr">
        <is>
          <t>Demand shock; Financial liquidity crisis; Reputation crisis</t>
        </is>
      </c>
      <c r="T33">
        <f>'Assessment Questions'!W33</f>
        <v/>
      </c>
      <c r="U33">
        <f>'Assessment Questions'!X33</f>
        <v/>
      </c>
      <c r="V33">
        <f>'Assessment Questions'!Y33</f>
        <v/>
      </c>
      <c r="W33" t="n">
        <v>4</v>
      </c>
      <c r="X33" t="n">
        <v>5</v>
      </c>
      <c r="Y33" t="n">
        <v>5</v>
      </c>
      <c r="Z33">
        <f>'Assessment Questions'!AC33</f>
        <v/>
      </c>
      <c r="AB33">
        <f>COUNTIF($B$24:$B$49,$AA33)</f>
        <v/>
      </c>
      <c r="AC33">
        <f>IFERROR(SUMPRODUCT(($B$24:$B$49=$AA33)*($H$24:$H$49&lt;&gt;"")*($H$24:$H$49&lt;&gt;"N/A")*IFERROR(VALUE($H$24:$H$49),0))/SUMPRODUCT(($B$24:$B$49=$AA33)*($H$24:$H$49&lt;&gt;"")*($H$24:$H$49&lt;&gt;"N/A")),0)</f>
        <v/>
      </c>
      <c r="AD33">
        <f>AC33/5</f>
        <v/>
      </c>
      <c r="AE33">
        <f>COUNTIFS($B$24:$B$49,$AA33,$L$24:$L$49,"Critical")+COUNTIFS($B$24:$B$49,$AA33,$L$24:$L$49,"High")</f>
        <v/>
      </c>
      <c r="AF33">
        <f>5-AC33</f>
        <v/>
      </c>
      <c r="AG33">
        <f>SUMPRODUCT(($B$24:$B$49=$AA33)*(ISNUMBER($H$24:$H$49)+($H$24:$H$49="N/A")))</f>
        <v/>
      </c>
      <c r="AH33">
        <f>'Assessment Questions'!AK33</f>
        <v/>
      </c>
      <c r="AI33">
        <f>'Assessment Questions'!AL33</f>
        <v/>
      </c>
      <c r="AJ33">
        <f>IF(OR($H33="",$H33="N/A"),"",IF($AH33="",VLOOKUP('Company Profile'!$B$40,_CONFIG_Model_Settings!$A$5:$B$8,2,FALSE),_xlfn.IFNA(VLOOKUP($AH33,_CONFIG_Model_Settings!$A$5:$B$8,2,FALSE),0.9)))</f>
        <v/>
      </c>
      <c r="AK33">
        <f>IF(OR($H33="",$H33="N/A"),"",IF($AI33="",VLOOKUP('Company Profile'!$B$41,_CONFIG_Model_Settings!$A$5:$B$8,2,FALSE),_xlfn.IFNA(VLOOKUP($AI33,_CONFIG_Model_Settings!$A$5:$B$8,2,FALSE),0.9)))</f>
        <v/>
      </c>
      <c r="AL33">
        <f>IF(OR($H33="",$H33="N/A"),"",ROUND(VALUE($H33)*$AJ33*$AK33*$AV33,2))</f>
        <v/>
      </c>
      <c r="AM33">
        <f>IF($AL33="","",ROUND($AL33/5*100,1))</f>
        <v/>
      </c>
      <c r="AN33">
        <f>IFERROR(MIN(5,MAX(0,(SUMIFS(_REF_Model_Content!$D$1:$D$157,_REF_Model_Content!$A$1:$A$157,'Company Profile'!$B$9,_REF_Model_Content!$B$1:$B$157,"Strategy GTM"))+_xlfn.IFNA(VLOOKUP('Company Profile'!$B$35,_CONFIG_Model_Settings!$A$11:$B$13,2,0),0))),"")</f>
        <v/>
      </c>
      <c r="AO33">
        <f>IF($AL33="","",MAX(0,ROUND($AN33-$AL33,2)))</f>
        <v/>
      </c>
      <c r="AP33">
        <f>IFERROR(SUMIFS(_REF_Model_Content!$E$1:$E$157,_REF_Model_Content!$A$1:$A$157,'Company Profile'!$B$9,_REF_Model_Content!$B$1:$B$157,"Strategy GTM"),1)</f>
        <v/>
      </c>
      <c r="AQ33">
        <f>IF($AO33="","",ROUND($AO33*$AP33*($G33/5),2))</f>
        <v/>
      </c>
      <c r="AR33">
        <f>IF($AO33="","",IF($AO33&gt;=2,"Critical industry gap",IF($AO33&gt;=1,"High industry gap",IF($AO33&gt;=0.5,"Moderate industry gap","Within target"))))</f>
        <v/>
      </c>
      <c r="AS33">
        <f>IF(OR($H33="",$H33="N/A"),0,VALUE($H33)*(($AJ33+$AK33)/2)*$AV33)</f>
        <v/>
      </c>
      <c r="AT33">
        <f>IF(OR($H33="",$H33="N/A"),0,($AJ33+$AK33)/2)</f>
        <v/>
      </c>
      <c r="AU33">
        <f>'Assessment Questions'!AX33</f>
        <v/>
      </c>
      <c r="AV33">
        <f>IF(OR($H33="",$H33="N/A"),"",IF(OR($AU33="",$AU33="Everywhere",$AU33="Not applicable"),1,IF($AU33="Pilot / one team",0.4,IF($AU33="One unit or site",0.7,0.9))))</f>
        <v/>
      </c>
      <c r="AW33" t="inlineStr">
        <is>
          <t>Strategy GTM</t>
        </is>
      </c>
      <c r="AX33" t="inlineStr">
        <is>
          <t>Strategy GTM</t>
        </is>
      </c>
      <c r="AY33" t="n">
        <v>14</v>
      </c>
      <c r="AZ33" t="n">
        <v>33</v>
      </c>
    </row>
    <row r="34">
      <c r="A34" t="inlineStr">
        <is>
          <t>STRA-011</t>
        </is>
      </c>
      <c r="B34" t="inlineStr">
        <is>
          <t>Market and ICP</t>
        </is>
      </c>
      <c r="C34" t="inlineStr">
        <is>
          <t>How mature is the organization in managing market size and growth assumptions with explicit evidence and uncertainty level, including ownership, evidence, metrics, fallback procedures and crisis stress testing?</t>
        </is>
      </c>
      <c r="D34" t="inlineStr">
        <is>
          <t>This topic affects exposure to Demand shock; Financial liquidity crisis; Reputation crisis. It helps identify how disruption may impact operations, people, revenue, systems, legal exposure or recovery time.</t>
        </is>
      </c>
      <c r="E34" t="inlineStr">
        <is>
          <t>ISO 9001; ISO 31000; ISO 37000; McKinsey 7S; OHI; Bain Elements of Value; Jobs-to-be-Done; Porter Five Forces; OKR</t>
        </is>
      </c>
      <c r="F34" t="inlineStr">
        <is>
          <t>Policy/SOP; owner/RACI; system report; dashboard; contracts; test records; incident history; interview evidence related to market size and growth assumptions with explicit evidence and uncertainty level.</t>
        </is>
      </c>
      <c r="G34">
        <f>'Assessment Questions'!J34</f>
        <v/>
      </c>
      <c r="H34">
        <f>IF($Z34="","",IF($Z34="N/A","N/A",VALUE(LEFT($Z34,1))))</f>
        <v/>
      </c>
      <c r="I34">
        <f>IF($H34="","",IF($H34="N/A","",VALUE($H34)/5*$G34))</f>
        <v/>
      </c>
      <c r="J34">
        <f>IF(OR($H34="",$H34="N/A"),"",$G34)</f>
        <v/>
      </c>
      <c r="K34">
        <f>IF(OR($H34="",$H34="N/A"),"",$J34-$I34)</f>
        <v/>
      </c>
      <c r="L34">
        <f>IF($H34="","",IF($H34="N/A","N/A",IF(VALUE($H34)&lt;=1,"Critical",IF(VALUE($H34)&lt;=2,"High",IF(VALUE($H34)&lt;=3,"Medium",IF(VALUE($H34)&lt;=4,"Low","Resilient"))))))</f>
        <v/>
      </c>
      <c r="M34" t="inlineStr">
        <is>
          <t>No reliable evidence that market size and growth assumptions with explicit evidence and uncertainty level is defined, owned or managed.</t>
        </is>
      </c>
      <c r="N34" t="inlineStr">
        <is>
          <t>Market size and growth assumptions with explicit evidence and uncertainty level is handled informally and depends on individual knowledge or heroic effort.</t>
        </is>
      </c>
      <c r="O34" t="inlineStr">
        <is>
          <t>Market size and growth assumptions with explicit evidence and uncertainty level is partially documented or implemented, but coverage is inconsistent and not crisis-tested.</t>
        </is>
      </c>
      <c r="P34" t="inlineStr">
        <is>
          <t>Market size and growth assumptions with explicit evidence and uncertainty level is documented, owned, used in normal operations and supported by basic evidence or metrics.</t>
        </is>
      </c>
      <c r="Q34" t="inlineStr">
        <is>
          <t>Market size and growth assumptions with explicit evidence and uncertainty level is measured, periodically reviewed, integrated with related processes and tested against relevant disruption scenarios.</t>
        </is>
      </c>
      <c r="R34" t="inlineStr">
        <is>
          <t>Market size and growth assumptions with explicit evidence and uncertainty level is optimized, continuously improved, automated where practical and demonstrably supports crisis resilience.</t>
        </is>
      </c>
      <c r="S34" t="inlineStr">
        <is>
          <t>Demand shock; Financial liquidity crisis; Reputation crisis</t>
        </is>
      </c>
      <c r="T34">
        <f>'Assessment Questions'!W34</f>
        <v/>
      </c>
      <c r="U34">
        <f>'Assessment Questions'!X34</f>
        <v/>
      </c>
      <c r="V34">
        <f>'Assessment Questions'!Y34</f>
        <v/>
      </c>
      <c r="W34" t="n">
        <v>4</v>
      </c>
      <c r="X34" t="n">
        <v>5</v>
      </c>
      <c r="Y34" t="n">
        <v>5</v>
      </c>
      <c r="Z34">
        <f>'Assessment Questions'!AC34</f>
        <v/>
      </c>
      <c r="AB34">
        <f>COUNTIF($B$24:$B$49,$AA34)</f>
        <v/>
      </c>
      <c r="AC34">
        <f>IFERROR(SUMPRODUCT(($B$24:$B$49=$AA34)*($H$24:$H$49&lt;&gt;"")*($H$24:$H$49&lt;&gt;"N/A")*IFERROR(VALUE($H$24:$H$49),0))/SUMPRODUCT(($B$24:$B$49=$AA34)*($H$24:$H$49&lt;&gt;"")*($H$24:$H$49&lt;&gt;"N/A")),0)</f>
        <v/>
      </c>
      <c r="AD34">
        <f>AC34/5</f>
        <v/>
      </c>
      <c r="AE34">
        <f>COUNTIFS($B$24:$B$49,$AA34,$L$24:$L$49,"Critical")+COUNTIFS($B$24:$B$49,$AA34,$L$24:$L$49,"High")</f>
        <v/>
      </c>
      <c r="AF34">
        <f>5-AC34</f>
        <v/>
      </c>
      <c r="AG34">
        <f>SUMPRODUCT(($B$24:$B$49=$AA34)*(ISNUMBER($H$24:$H$49)+($H$24:$H$49="N/A")))</f>
        <v/>
      </c>
      <c r="AH34">
        <f>'Assessment Questions'!AK34</f>
        <v/>
      </c>
      <c r="AI34">
        <f>'Assessment Questions'!AL34</f>
        <v/>
      </c>
      <c r="AJ34">
        <f>IF(OR($H34="",$H34="N/A"),"",IF($AH34="",VLOOKUP('Company Profile'!$B$40,_CONFIG_Model_Settings!$A$5:$B$8,2,FALSE),_xlfn.IFNA(VLOOKUP($AH34,_CONFIG_Model_Settings!$A$5:$B$8,2,FALSE),0.9)))</f>
        <v/>
      </c>
      <c r="AK34">
        <f>IF(OR($H34="",$H34="N/A"),"",IF($AI34="",VLOOKUP('Company Profile'!$B$41,_CONFIG_Model_Settings!$A$5:$B$8,2,FALSE),_xlfn.IFNA(VLOOKUP($AI34,_CONFIG_Model_Settings!$A$5:$B$8,2,FALSE),0.9)))</f>
        <v/>
      </c>
      <c r="AL34">
        <f>IF(OR($H34="",$H34="N/A"),"",ROUND(VALUE($H34)*$AJ34*$AK34*$AV34,2))</f>
        <v/>
      </c>
      <c r="AM34">
        <f>IF($AL34="","",ROUND($AL34/5*100,1))</f>
        <v/>
      </c>
      <c r="AN34">
        <f>IFERROR(MIN(5,MAX(0,(SUMIFS(_REF_Model_Content!$D$1:$D$157,_REF_Model_Content!$A$1:$A$157,'Company Profile'!$B$9,_REF_Model_Content!$B$1:$B$157,"Strategy GTM"))+_xlfn.IFNA(VLOOKUP('Company Profile'!$B$35,_CONFIG_Model_Settings!$A$11:$B$13,2,0),0))),"")</f>
        <v/>
      </c>
      <c r="AO34">
        <f>IF($AL34="","",MAX(0,ROUND($AN34-$AL34,2)))</f>
        <v/>
      </c>
      <c r="AP34">
        <f>IFERROR(SUMIFS(_REF_Model_Content!$E$1:$E$157,_REF_Model_Content!$A$1:$A$157,'Company Profile'!$B$9,_REF_Model_Content!$B$1:$B$157,"Strategy GTM"),1)</f>
        <v/>
      </c>
      <c r="AQ34">
        <f>IF($AO34="","",ROUND($AO34*$AP34*($G34/5),2))</f>
        <v/>
      </c>
      <c r="AR34">
        <f>IF($AO34="","",IF($AO34&gt;=2,"Critical industry gap",IF($AO34&gt;=1,"High industry gap",IF($AO34&gt;=0.5,"Moderate industry gap","Within target"))))</f>
        <v/>
      </c>
      <c r="AS34">
        <f>IF(OR($H34="",$H34="N/A"),0,VALUE($H34)*(($AJ34+$AK34)/2)*$AV34)</f>
        <v/>
      </c>
      <c r="AT34">
        <f>IF(OR($H34="",$H34="N/A"),0,($AJ34+$AK34)/2)</f>
        <v/>
      </c>
      <c r="AU34">
        <f>'Assessment Questions'!AX34</f>
        <v/>
      </c>
      <c r="AV34">
        <f>IF(OR($H34="",$H34="N/A"),"",IF(OR($AU34="",$AU34="Everywhere",$AU34="Not applicable"),1,IF($AU34="Pilot / one team",0.4,IF($AU34="One unit or site",0.7,0.9))))</f>
        <v/>
      </c>
      <c r="AW34" t="inlineStr">
        <is>
          <t>Strategy GTM</t>
        </is>
      </c>
      <c r="AX34" t="inlineStr">
        <is>
          <t>Strategy GTM</t>
        </is>
      </c>
      <c r="AY34" t="n">
        <v>15</v>
      </c>
      <c r="AZ34" t="n">
        <v>34</v>
      </c>
    </row>
    <row r="35">
      <c r="A35" t="inlineStr">
        <is>
          <t>STRA-012</t>
        </is>
      </c>
      <c r="B35" t="inlineStr">
        <is>
          <t>Market and ICP</t>
        </is>
      </c>
      <c r="C35" t="inlineStr">
        <is>
          <t>How mature is the organization in managing customer concentration and exposure to specific industries, geographies or budget cycles, including ownership, evidence, metrics, fallback procedures and crisis stress testing?</t>
        </is>
      </c>
      <c r="D35" t="inlineStr">
        <is>
          <t>This topic affects exposure to Demand shock; Financial liquidity crisis; Reputation crisis. It helps identify how disruption may impact operations, people, revenue, systems, legal exposure or recovery time.</t>
        </is>
      </c>
      <c r="E35" t="inlineStr">
        <is>
          <t>ISO 9001; ISO 31000; ISO 37000; McKinsey 7S; OHI; Bain Elements of Value; Jobs-to-be-Done; Porter Five Forces; OKR</t>
        </is>
      </c>
      <c r="F35" t="inlineStr">
        <is>
          <t>Policy/SOP; owner/RACI; system report; dashboard; contracts; test records; incident history; interview evidence related to customer concentration and exposure to specific industries, geographies or budget cycles.</t>
        </is>
      </c>
      <c r="G35">
        <f>'Assessment Questions'!J35</f>
        <v/>
      </c>
      <c r="H35">
        <f>IF($Z35="","",IF($Z35="N/A","N/A",VALUE(LEFT($Z35,1))))</f>
        <v/>
      </c>
      <c r="I35">
        <f>IF($H35="","",IF($H35="N/A","",VALUE($H35)/5*$G35))</f>
        <v/>
      </c>
      <c r="J35">
        <f>IF(OR($H35="",$H35="N/A"),"",$G35)</f>
        <v/>
      </c>
      <c r="K35">
        <f>IF(OR($H35="",$H35="N/A"),"",$J35-$I35)</f>
        <v/>
      </c>
      <c r="L35">
        <f>IF($H35="","",IF($H35="N/A","N/A",IF(VALUE($H35)&lt;=1,"Critical",IF(VALUE($H35)&lt;=2,"High",IF(VALUE($H35)&lt;=3,"Medium",IF(VALUE($H35)&lt;=4,"Low","Resilient"))))))</f>
        <v/>
      </c>
      <c r="M35" t="inlineStr">
        <is>
          <t>No reliable evidence that customer concentration and exposure to specific industries, geographies or budget cycles is defined, owned or managed.</t>
        </is>
      </c>
      <c r="N35" t="inlineStr">
        <is>
          <t>Customer concentration and exposure to specific industries, geographies or budget cycles is handled informally and depends on individual knowledge or heroic effort.</t>
        </is>
      </c>
      <c r="O35" t="inlineStr">
        <is>
          <t>Customer concentration and exposure to specific industries, geographies or budget cycles is partially documented or implemented, but coverage is inconsistent and not crisis-tested.</t>
        </is>
      </c>
      <c r="P35" t="inlineStr">
        <is>
          <t>Customer concentration and exposure to specific industries, geographies or budget cycles is documented, owned, used in normal operations and supported by basic evidence or metrics.</t>
        </is>
      </c>
      <c r="Q35" t="inlineStr">
        <is>
          <t>Customer concentration and exposure to specific industries, geographies or budget cycles is measured, periodically reviewed, integrated with related processes and tested against relevant disruption scenarios.</t>
        </is>
      </c>
      <c r="R35" t="inlineStr">
        <is>
          <t>Customer concentration and exposure to specific industries, geographies or budget cycles is optimized, continuously improved, automated where practical and demonstrably supports crisis resilience.</t>
        </is>
      </c>
      <c r="S35" t="inlineStr">
        <is>
          <t>Demand shock; Financial liquidity crisis; Reputation crisis</t>
        </is>
      </c>
      <c r="T35">
        <f>'Assessment Questions'!W35</f>
        <v/>
      </c>
      <c r="U35">
        <f>'Assessment Questions'!X35</f>
        <v/>
      </c>
      <c r="V35">
        <f>'Assessment Questions'!Y35</f>
        <v/>
      </c>
      <c r="W35" t="n">
        <v>4</v>
      </c>
      <c r="X35" t="n">
        <v>5</v>
      </c>
      <c r="Y35" t="n">
        <v>5</v>
      </c>
      <c r="Z35">
        <f>'Assessment Questions'!AC35</f>
        <v/>
      </c>
      <c r="AB35">
        <f>COUNTIF($B$24:$B$49,$AA35)</f>
        <v/>
      </c>
      <c r="AC35">
        <f>IFERROR(SUMPRODUCT(($B$24:$B$49=$AA35)*($H$24:$H$49&lt;&gt;"")*($H$24:$H$49&lt;&gt;"N/A")*IFERROR(VALUE($H$24:$H$49),0))/SUMPRODUCT(($B$24:$B$49=$AA35)*($H$24:$H$49&lt;&gt;"")*($H$24:$H$49&lt;&gt;"N/A")),0)</f>
        <v/>
      </c>
      <c r="AD35">
        <f>AC35/5</f>
        <v/>
      </c>
      <c r="AE35">
        <f>COUNTIFS($B$24:$B$49,$AA35,$L$24:$L$49,"Critical")+COUNTIFS($B$24:$B$49,$AA35,$L$24:$L$49,"High")</f>
        <v/>
      </c>
      <c r="AF35">
        <f>5-AC35</f>
        <v/>
      </c>
      <c r="AG35">
        <f>SUMPRODUCT(($B$24:$B$49=$AA35)*(ISNUMBER($H$24:$H$49)+($H$24:$H$49="N/A")))</f>
        <v/>
      </c>
      <c r="AH35">
        <f>'Assessment Questions'!AK35</f>
        <v/>
      </c>
      <c r="AI35">
        <f>'Assessment Questions'!AL35</f>
        <v/>
      </c>
      <c r="AJ35">
        <f>IF(OR($H35="",$H35="N/A"),"",IF($AH35="",VLOOKUP('Company Profile'!$B$40,_CONFIG_Model_Settings!$A$5:$B$8,2,FALSE),_xlfn.IFNA(VLOOKUP($AH35,_CONFIG_Model_Settings!$A$5:$B$8,2,FALSE),0.9)))</f>
        <v/>
      </c>
      <c r="AK35">
        <f>IF(OR($H35="",$H35="N/A"),"",IF($AI35="",VLOOKUP('Company Profile'!$B$41,_CONFIG_Model_Settings!$A$5:$B$8,2,FALSE),_xlfn.IFNA(VLOOKUP($AI35,_CONFIG_Model_Settings!$A$5:$B$8,2,FALSE),0.9)))</f>
        <v/>
      </c>
      <c r="AL35">
        <f>IF(OR($H35="",$H35="N/A"),"",ROUND(VALUE($H35)*$AJ35*$AK35*$AV35,2))</f>
        <v/>
      </c>
      <c r="AM35">
        <f>IF($AL35="","",ROUND($AL35/5*100,1))</f>
        <v/>
      </c>
      <c r="AN35">
        <f>IFERROR(MIN(5,MAX(0,(SUMIFS(_REF_Model_Content!$D$1:$D$157,_REF_Model_Content!$A$1:$A$157,'Company Profile'!$B$9,_REF_Model_Content!$B$1:$B$157,"Strategy GTM"))+_xlfn.IFNA(VLOOKUP('Company Profile'!$B$35,_CONFIG_Model_Settings!$A$11:$B$13,2,0),0))),"")</f>
        <v/>
      </c>
      <c r="AO35">
        <f>IF($AL35="","",MAX(0,ROUND($AN35-$AL35,2)))</f>
        <v/>
      </c>
      <c r="AP35">
        <f>IFERROR(SUMIFS(_REF_Model_Content!$E$1:$E$157,_REF_Model_Content!$A$1:$A$157,'Company Profile'!$B$9,_REF_Model_Content!$B$1:$B$157,"Strategy GTM"),1)</f>
        <v/>
      </c>
      <c r="AQ35">
        <f>IF($AO35="","",ROUND($AO35*$AP35*($G35/5),2))</f>
        <v/>
      </c>
      <c r="AR35">
        <f>IF($AO35="","",IF($AO35&gt;=2,"Critical industry gap",IF($AO35&gt;=1,"High industry gap",IF($AO35&gt;=0.5,"Moderate industry gap","Within target"))))</f>
        <v/>
      </c>
      <c r="AS35">
        <f>IF(OR($H35="",$H35="N/A"),0,VALUE($H35)*(($AJ35+$AK35)/2)*$AV35)</f>
        <v/>
      </c>
      <c r="AT35">
        <f>IF(OR($H35="",$H35="N/A"),0,($AJ35+$AK35)/2)</f>
        <v/>
      </c>
      <c r="AU35">
        <f>'Assessment Questions'!AX35</f>
        <v/>
      </c>
      <c r="AV35">
        <f>IF(OR($H35="",$H35="N/A"),"",IF(OR($AU35="",$AU35="Everywhere",$AU35="Not applicable"),1,IF($AU35="Pilot / one team",0.4,IF($AU35="One unit or site",0.7,0.9))))</f>
        <v/>
      </c>
      <c r="AW35" t="inlineStr">
        <is>
          <t>Strategy GTM</t>
        </is>
      </c>
      <c r="AX35" t="inlineStr">
        <is>
          <t>Strategy GTM</t>
        </is>
      </c>
      <c r="AY35" t="n">
        <v>16</v>
      </c>
      <c r="AZ35" t="n">
        <v>35</v>
      </c>
    </row>
    <row r="36">
      <c r="A36" t="inlineStr">
        <is>
          <t>STRA-013</t>
        </is>
      </c>
      <c r="B36" t="inlineStr">
        <is>
          <t>Offering and positioning</t>
        </is>
      </c>
      <c r="C36" t="inlineStr">
        <is>
          <t>How mature is the organization in managing structured offering catalog with packages, scope, outcomes, assumptions and delivery requirements, including ownership, evidence, metrics, fallback procedures and crisis stress testing?</t>
        </is>
      </c>
      <c r="D36" t="inlineStr">
        <is>
          <t>This topic affects exposure to Demand shock; Financial liquidity crisis; Reputation crisis. It helps identify how disruption may impact operations, people, revenue, systems, legal exposure or recovery time.</t>
        </is>
      </c>
      <c r="E36" t="inlineStr">
        <is>
          <t>ISO 9001; ISO 31000; ISO 37000; McKinsey 7S; OHI; Bain Elements of Value; Jobs-to-be-Done; Porter Five Forces; OKR</t>
        </is>
      </c>
      <c r="F36" t="inlineStr">
        <is>
          <t>Policy/SOP; owner/RACI; system report; dashboard; contracts; test records; incident history; interview evidence related to structured offering catalog with packages, scope, outcomes, assumptions and delivery requirements.</t>
        </is>
      </c>
      <c r="G36">
        <f>'Assessment Questions'!J36</f>
        <v/>
      </c>
      <c r="H36">
        <f>IF($Z36="","",IF($Z36="N/A","N/A",VALUE(LEFT($Z36,1))))</f>
        <v/>
      </c>
      <c r="I36">
        <f>IF($H36="","",IF($H36="N/A","",VALUE($H36)/5*$G36))</f>
        <v/>
      </c>
      <c r="J36">
        <f>IF(OR($H36="",$H36="N/A"),"",$G36)</f>
        <v/>
      </c>
      <c r="K36">
        <f>IF(OR($H36="",$H36="N/A"),"",$J36-$I36)</f>
        <v/>
      </c>
      <c r="L36">
        <f>IF($H36="","",IF($H36="N/A","N/A",IF(VALUE($H36)&lt;=1,"Critical",IF(VALUE($H36)&lt;=2,"High",IF(VALUE($H36)&lt;=3,"Medium",IF(VALUE($H36)&lt;=4,"Low","Resilient"))))))</f>
        <v/>
      </c>
      <c r="M36" t="inlineStr">
        <is>
          <t>No inventory/register exists.</t>
        </is>
      </c>
      <c r="N36" t="inlineStr">
        <is>
          <t>Partial lists live in individuals' heads or personal files.</t>
        </is>
      </c>
      <c r="O36" t="inlineStr">
        <is>
          <t>A register exists but is incomplete or outdated (&gt;1 year) and has no owner.</t>
        </is>
      </c>
      <c r="P36" t="inlineStr">
        <is>
          <t>Owned, documented, updated on a defined schedule, covers the main scope.</t>
        </is>
      </c>
      <c r="Q36" t="inlineStr">
        <is>
          <t>Complete and periodically reviewed; integrated with related processes; completeness measured.</t>
        </is>
      </c>
      <c r="R36" t="inlineStr">
        <is>
          <t>Maintained automatically or synced with systems; drives decisions; audited.</t>
        </is>
      </c>
      <c r="S36" t="inlineStr">
        <is>
          <t>Demand shock; Financial liquidity crisis; Reputation crisis</t>
        </is>
      </c>
      <c r="T36">
        <f>'Assessment Questions'!W36</f>
        <v/>
      </c>
      <c r="U36">
        <f>'Assessment Questions'!X36</f>
        <v/>
      </c>
      <c r="V36">
        <f>'Assessment Questions'!Y36</f>
        <v/>
      </c>
      <c r="W36" t="n">
        <v>4</v>
      </c>
      <c r="X36" t="n">
        <v>5</v>
      </c>
      <c r="Y36" t="n">
        <v>5</v>
      </c>
      <c r="Z36">
        <f>'Assessment Questions'!AC36</f>
        <v/>
      </c>
      <c r="AB36">
        <f>COUNTIF($B$24:$B$49,$AA36)</f>
        <v/>
      </c>
      <c r="AC36">
        <f>IFERROR(SUMPRODUCT(($B$24:$B$49=$AA36)*($H$24:$H$49&lt;&gt;"")*($H$24:$H$49&lt;&gt;"N/A")*IFERROR(VALUE($H$24:$H$49),0))/SUMPRODUCT(($B$24:$B$49=$AA36)*($H$24:$H$49&lt;&gt;"")*($H$24:$H$49&lt;&gt;"N/A")),0)</f>
        <v/>
      </c>
      <c r="AD36">
        <f>AC36/5</f>
        <v/>
      </c>
      <c r="AE36">
        <f>COUNTIFS($B$24:$B$49,$AA36,$L$24:$L$49,"Critical")+COUNTIFS($B$24:$B$49,$AA36,$L$24:$L$49,"High")</f>
        <v/>
      </c>
      <c r="AF36">
        <f>5-AC36</f>
        <v/>
      </c>
      <c r="AG36">
        <f>SUMPRODUCT(($B$24:$B$49=$AA36)*(ISNUMBER($H$24:$H$49)+($H$24:$H$49="N/A")))</f>
        <v/>
      </c>
      <c r="AH36">
        <f>'Assessment Questions'!AK36</f>
        <v/>
      </c>
      <c r="AI36">
        <f>'Assessment Questions'!AL36</f>
        <v/>
      </c>
      <c r="AJ36">
        <f>IF(OR($H36="",$H36="N/A"),"",IF($AH36="",VLOOKUP('Company Profile'!$B$40,_CONFIG_Model_Settings!$A$5:$B$8,2,FALSE),_xlfn.IFNA(VLOOKUP($AH36,_CONFIG_Model_Settings!$A$5:$B$8,2,FALSE),0.9)))</f>
        <v/>
      </c>
      <c r="AK36">
        <f>IF(OR($H36="",$H36="N/A"),"",IF($AI36="",VLOOKUP('Company Profile'!$B$41,_CONFIG_Model_Settings!$A$5:$B$8,2,FALSE),_xlfn.IFNA(VLOOKUP($AI36,_CONFIG_Model_Settings!$A$5:$B$8,2,FALSE),0.9)))</f>
        <v/>
      </c>
      <c r="AL36">
        <f>IF(OR($H36="",$H36="N/A"),"",ROUND(VALUE($H36)*$AJ36*$AK36*$AV36,2))</f>
        <v/>
      </c>
      <c r="AM36">
        <f>IF($AL36="","",ROUND($AL36/5*100,1))</f>
        <v/>
      </c>
      <c r="AN36">
        <f>IFERROR(MIN(5,MAX(0,(SUMIFS(_REF_Model_Content!$D$1:$D$157,_REF_Model_Content!$A$1:$A$157,'Company Profile'!$B$9,_REF_Model_Content!$B$1:$B$157,"Strategy GTM"))+_xlfn.IFNA(VLOOKUP('Company Profile'!$B$35,_CONFIG_Model_Settings!$A$11:$B$13,2,0),0))),"")</f>
        <v/>
      </c>
      <c r="AO36">
        <f>IF($AL36="","",MAX(0,ROUND($AN36-$AL36,2)))</f>
        <v/>
      </c>
      <c r="AP36">
        <f>IFERROR(SUMIFS(_REF_Model_Content!$E$1:$E$157,_REF_Model_Content!$A$1:$A$157,'Company Profile'!$B$9,_REF_Model_Content!$B$1:$B$157,"Strategy GTM"),1)</f>
        <v/>
      </c>
      <c r="AQ36">
        <f>IF($AO36="","",ROUND($AO36*$AP36*($G36/5),2))</f>
        <v/>
      </c>
      <c r="AR36">
        <f>IF($AO36="","",IF($AO36&gt;=2,"Critical industry gap",IF($AO36&gt;=1,"High industry gap",IF($AO36&gt;=0.5,"Moderate industry gap","Within target"))))</f>
        <v/>
      </c>
      <c r="AS36">
        <f>IF(OR($H36="",$H36="N/A"),0,VALUE($H36)*(($AJ36+$AK36)/2)*$AV36)</f>
        <v/>
      </c>
      <c r="AT36">
        <f>IF(OR($H36="",$H36="N/A"),0,($AJ36+$AK36)/2)</f>
        <v/>
      </c>
      <c r="AU36">
        <f>'Assessment Questions'!AX36</f>
        <v/>
      </c>
      <c r="AV36">
        <f>IF(OR($H36="",$H36="N/A"),"",IF(OR($AU36="",$AU36="Everywhere",$AU36="Not applicable"),1,IF($AU36="Pilot / one team",0.4,IF($AU36="One unit or site",0.7,0.9))))</f>
        <v/>
      </c>
      <c r="AW36" t="inlineStr">
        <is>
          <t>Strategy GTM</t>
        </is>
      </c>
      <c r="AX36" t="inlineStr">
        <is>
          <t>Strategy GTM</t>
        </is>
      </c>
      <c r="AY36" t="n">
        <v>17</v>
      </c>
      <c r="AZ36" t="n">
        <v>36</v>
      </c>
    </row>
    <row r="37">
      <c r="A37" t="inlineStr">
        <is>
          <t>STRA-014</t>
        </is>
      </c>
      <c r="B37" t="inlineStr">
        <is>
          <t>Offering and positioning</t>
        </is>
      </c>
      <c r="C37" t="inlineStr">
        <is>
          <t>How mature is the organization in managing clear differentiation against direct competitors, substitutes and in-house alternatives, including ownership, evidence, metrics, fallback procedures and crisis stress testing?</t>
        </is>
      </c>
      <c r="D37" t="inlineStr">
        <is>
          <t>This topic affects exposure to Demand shock; Financial liquidity crisis; Reputation crisis. It helps identify how disruption may impact operations, people, revenue, systems, legal exposure or recovery time.</t>
        </is>
      </c>
      <c r="E37" t="inlineStr">
        <is>
          <t>ISO 9001; ISO 31000; ISO 37000; McKinsey 7S; OHI; Bain Elements of Value; Jobs-to-be-Done; Porter Five Forces; OKR</t>
        </is>
      </c>
      <c r="F37" t="inlineStr">
        <is>
          <t>Policy/SOP; owner/RACI; system report; dashboard; contracts; test records; incident history; interview evidence related to clear differentiation against direct competitors, substitutes and in-house alternatives.</t>
        </is>
      </c>
      <c r="G37">
        <f>'Assessment Questions'!J37</f>
        <v/>
      </c>
      <c r="H37">
        <f>IF($Z37="","",IF($Z37="N/A","N/A",VALUE(LEFT($Z37,1))))</f>
        <v/>
      </c>
      <c r="I37">
        <f>IF($H37="","",IF($H37="N/A","",VALUE($H37)/5*$G37))</f>
        <v/>
      </c>
      <c r="J37">
        <f>IF(OR($H37="",$H37="N/A"),"",$G37)</f>
        <v/>
      </c>
      <c r="K37">
        <f>IF(OR($H37="",$H37="N/A"),"",$J37-$I37)</f>
        <v/>
      </c>
      <c r="L37">
        <f>IF($H37="","",IF($H37="N/A","N/A",IF(VALUE($H37)&lt;=1,"Critical",IF(VALUE($H37)&lt;=2,"High",IF(VALUE($H37)&lt;=3,"Medium",IF(VALUE($H37)&lt;=4,"Low","Resilient"))))))</f>
        <v/>
      </c>
      <c r="M37" t="inlineStr">
        <is>
          <t>No reliable evidence that clear differentiation against direct competitors, substitutes and in-house alternatives is defined, owned or managed.</t>
        </is>
      </c>
      <c r="N37" t="inlineStr">
        <is>
          <t>Clear differentiation against direct competitors, substitutes and in-house alternatives is handled informally and depends on individual knowledge or heroic effort.</t>
        </is>
      </c>
      <c r="O37" t="inlineStr">
        <is>
          <t>Clear differentiation against direct competitors, substitutes and in-house alternatives is partially documented or implemented, but coverage is inconsistent and not crisis-tested.</t>
        </is>
      </c>
      <c r="P37" t="inlineStr">
        <is>
          <t>Clear differentiation against direct competitors, substitutes and in-house alternatives is documented, owned, used in normal operations and supported by basic evidence or metrics.</t>
        </is>
      </c>
      <c r="Q37" t="inlineStr">
        <is>
          <t>Clear differentiation against direct competitors, substitutes and in-house alternatives is measured, periodically reviewed, integrated with related processes and tested against relevant disruption scenarios.</t>
        </is>
      </c>
      <c r="R37" t="inlineStr">
        <is>
          <t>Clear differentiation against direct competitors, substitutes and in-house alternatives is optimized, continuously improved, automated where practical and demonstrably supports crisis resilience.</t>
        </is>
      </c>
      <c r="S37" t="inlineStr">
        <is>
          <t>Demand shock; Financial liquidity crisis; Reputation crisis</t>
        </is>
      </c>
      <c r="T37">
        <f>'Assessment Questions'!W37</f>
        <v/>
      </c>
      <c r="U37">
        <f>'Assessment Questions'!X37</f>
        <v/>
      </c>
      <c r="V37">
        <f>'Assessment Questions'!Y37</f>
        <v/>
      </c>
      <c r="W37" t="n">
        <v>4</v>
      </c>
      <c r="X37" t="n">
        <v>5</v>
      </c>
      <c r="Y37" t="n">
        <v>5</v>
      </c>
      <c r="Z37">
        <f>'Assessment Questions'!AC37</f>
        <v/>
      </c>
      <c r="AB37">
        <f>COUNTIF($B$24:$B$49,$AA37)</f>
        <v/>
      </c>
      <c r="AC37">
        <f>IFERROR(SUMPRODUCT(($B$24:$B$49=$AA37)*($H$24:$H$49&lt;&gt;"")*($H$24:$H$49&lt;&gt;"N/A")*IFERROR(VALUE($H$24:$H$49),0))/SUMPRODUCT(($B$24:$B$49=$AA37)*($H$24:$H$49&lt;&gt;"")*($H$24:$H$49&lt;&gt;"N/A")),0)</f>
        <v/>
      </c>
      <c r="AD37">
        <f>AC37/5</f>
        <v/>
      </c>
      <c r="AE37">
        <f>COUNTIFS($B$24:$B$49,$AA37,$L$24:$L$49,"Critical")+COUNTIFS($B$24:$B$49,$AA37,$L$24:$L$49,"High")</f>
        <v/>
      </c>
      <c r="AF37">
        <f>5-AC37</f>
        <v/>
      </c>
      <c r="AG37">
        <f>SUMPRODUCT(($B$24:$B$49=$AA37)*(ISNUMBER($H$24:$H$49)+($H$24:$H$49="N/A")))</f>
        <v/>
      </c>
      <c r="AH37">
        <f>'Assessment Questions'!AK37</f>
        <v/>
      </c>
      <c r="AI37">
        <f>'Assessment Questions'!AL37</f>
        <v/>
      </c>
      <c r="AJ37">
        <f>IF(OR($H37="",$H37="N/A"),"",IF($AH37="",VLOOKUP('Company Profile'!$B$40,_CONFIG_Model_Settings!$A$5:$B$8,2,FALSE),_xlfn.IFNA(VLOOKUP($AH37,_CONFIG_Model_Settings!$A$5:$B$8,2,FALSE),0.9)))</f>
        <v/>
      </c>
      <c r="AK37">
        <f>IF(OR($H37="",$H37="N/A"),"",IF($AI37="",VLOOKUP('Company Profile'!$B$41,_CONFIG_Model_Settings!$A$5:$B$8,2,FALSE),_xlfn.IFNA(VLOOKUP($AI37,_CONFIG_Model_Settings!$A$5:$B$8,2,FALSE),0.9)))</f>
        <v/>
      </c>
      <c r="AL37">
        <f>IF(OR($H37="",$H37="N/A"),"",ROUND(VALUE($H37)*$AJ37*$AK37*$AV37,2))</f>
        <v/>
      </c>
      <c r="AM37">
        <f>IF($AL37="","",ROUND($AL37/5*100,1))</f>
        <v/>
      </c>
      <c r="AN37">
        <f>IFERROR(MIN(5,MAX(0,(SUMIFS(_REF_Model_Content!$D$1:$D$157,_REF_Model_Content!$A$1:$A$157,'Company Profile'!$B$9,_REF_Model_Content!$B$1:$B$157,"Strategy GTM"))+_xlfn.IFNA(VLOOKUP('Company Profile'!$B$35,_CONFIG_Model_Settings!$A$11:$B$13,2,0),0))),"")</f>
        <v/>
      </c>
      <c r="AO37">
        <f>IF($AL37="","",MAX(0,ROUND($AN37-$AL37,2)))</f>
        <v/>
      </c>
      <c r="AP37">
        <f>IFERROR(SUMIFS(_REF_Model_Content!$E$1:$E$157,_REF_Model_Content!$A$1:$A$157,'Company Profile'!$B$9,_REF_Model_Content!$B$1:$B$157,"Strategy GTM"),1)</f>
        <v/>
      </c>
      <c r="AQ37">
        <f>IF($AO37="","",ROUND($AO37*$AP37*($G37/5),2))</f>
        <v/>
      </c>
      <c r="AR37">
        <f>IF($AO37="","",IF($AO37&gt;=2,"Critical industry gap",IF($AO37&gt;=1,"High industry gap",IF($AO37&gt;=0.5,"Moderate industry gap","Within target"))))</f>
        <v/>
      </c>
      <c r="AS37">
        <f>IF(OR($H37="",$H37="N/A"),0,VALUE($H37)*(($AJ37+$AK37)/2)*$AV37)</f>
        <v/>
      </c>
      <c r="AT37">
        <f>IF(OR($H37="",$H37="N/A"),0,($AJ37+$AK37)/2)</f>
        <v/>
      </c>
      <c r="AU37">
        <f>'Assessment Questions'!AX37</f>
        <v/>
      </c>
      <c r="AV37">
        <f>IF(OR($H37="",$H37="N/A"),"",IF(OR($AU37="",$AU37="Everywhere",$AU37="Not applicable"),1,IF($AU37="Pilot / one team",0.4,IF($AU37="One unit or site",0.7,0.9))))</f>
        <v/>
      </c>
      <c r="AW37" t="inlineStr">
        <is>
          <t>Strategy GTM</t>
        </is>
      </c>
      <c r="AX37" t="inlineStr">
        <is>
          <t>Strategy GTM</t>
        </is>
      </c>
      <c r="AY37" t="n">
        <v>18</v>
      </c>
      <c r="AZ37" t="n">
        <v>37</v>
      </c>
    </row>
    <row r="38">
      <c r="A38" t="inlineStr">
        <is>
          <t>STRA-015</t>
        </is>
      </c>
      <c r="B38" t="inlineStr">
        <is>
          <t>Offering and positioning</t>
        </is>
      </c>
      <c r="C38" t="inlineStr">
        <is>
          <t>How mature is the organization in managing value proposition linked to measurable customer economic value, risk reduction or continuity impact, including ownership, evidence, metrics, fallback procedures and crisis stress testing?</t>
        </is>
      </c>
      <c r="D38" t="inlineStr">
        <is>
          <t>This topic affects exposure to Demand shock; Financial liquidity crisis; Reputation crisis. It helps identify how disruption may impact operations, people, revenue, systems, legal exposure or recovery time.</t>
        </is>
      </c>
      <c r="E38" t="inlineStr">
        <is>
          <t>ISO 9001; ISO 31000; ISO 37000; McKinsey 7S; OHI; Bain Elements of Value; Jobs-to-be-Done; Porter Five Forces; OKR</t>
        </is>
      </c>
      <c r="F38" t="inlineStr">
        <is>
          <t>Policy/SOP; owner/RACI; system report; dashboard; contracts; test records; incident history; interview evidence related to value proposition linked to measurable customer economic value, risk reduction or continuity impact.</t>
        </is>
      </c>
      <c r="G38">
        <f>'Assessment Questions'!J38</f>
        <v/>
      </c>
      <c r="H38">
        <f>IF($Z38="","",IF($Z38="N/A","N/A",VALUE(LEFT($Z38,1))))</f>
        <v/>
      </c>
      <c r="I38">
        <f>IF($H38="","",IF($H38="N/A","",VALUE($H38)/5*$G38))</f>
        <v/>
      </c>
      <c r="J38">
        <f>IF(OR($H38="",$H38="N/A"),"",$G38)</f>
        <v/>
      </c>
      <c r="K38">
        <f>IF(OR($H38="",$H38="N/A"),"",$J38-$I38)</f>
        <v/>
      </c>
      <c r="L38">
        <f>IF($H38="","",IF($H38="N/A","N/A",IF(VALUE($H38)&lt;=1,"Critical",IF(VALUE($H38)&lt;=2,"High",IF(VALUE($H38)&lt;=3,"Medium",IF(VALUE($H38)&lt;=4,"Low","Resilient"))))))</f>
        <v/>
      </c>
      <c r="M38" t="inlineStr">
        <is>
          <t>Nothing is monitored or measured.</t>
        </is>
      </c>
      <c r="N38" t="inlineStr">
        <is>
          <t>Occasional manual checks by individuals.</t>
        </is>
      </c>
      <c r="O38" t="inlineStr">
        <is>
          <t>Some metrics exist but are not reviewed regularly and trigger no action.</t>
        </is>
      </c>
      <c r="P38" t="inlineStr">
        <is>
          <t>Defined metrics with an owner, reviewed on a set cadence.</t>
        </is>
      </c>
      <c r="Q38" t="inlineStr">
        <is>
          <t>Thresholds and alerts in place; deviations trigger documented action; trends analyzed.</t>
        </is>
      </c>
      <c r="R38" t="inlineStr">
        <is>
          <t>Automated monitoring with leading indicators, integrated into management decisions.</t>
        </is>
      </c>
      <c r="S38" t="inlineStr">
        <is>
          <t>Demand shock; Financial liquidity crisis; Reputation crisis</t>
        </is>
      </c>
      <c r="T38">
        <f>'Assessment Questions'!W38</f>
        <v/>
      </c>
      <c r="U38">
        <f>'Assessment Questions'!X38</f>
        <v/>
      </c>
      <c r="V38">
        <f>'Assessment Questions'!Y38</f>
        <v/>
      </c>
      <c r="W38" t="n">
        <v>4</v>
      </c>
      <c r="X38" t="n">
        <v>5</v>
      </c>
      <c r="Y38" t="n">
        <v>5</v>
      </c>
      <c r="Z38">
        <f>'Assessment Questions'!AC38</f>
        <v/>
      </c>
      <c r="AB38">
        <f>COUNTIF($B$24:$B$49,$AA38)</f>
        <v/>
      </c>
      <c r="AC38">
        <f>IFERROR(SUMPRODUCT(($B$24:$B$49=$AA38)*($H$24:$H$49&lt;&gt;"")*($H$24:$H$49&lt;&gt;"N/A")*IFERROR(VALUE($H$24:$H$49),0))/SUMPRODUCT(($B$24:$B$49=$AA38)*($H$24:$H$49&lt;&gt;"")*($H$24:$H$49&lt;&gt;"N/A")),0)</f>
        <v/>
      </c>
      <c r="AD38">
        <f>AC38/5</f>
        <v/>
      </c>
      <c r="AE38">
        <f>COUNTIFS($B$24:$B$49,$AA38,$L$24:$L$49,"Critical")+COUNTIFS($B$24:$B$49,$AA38,$L$24:$L$49,"High")</f>
        <v/>
      </c>
      <c r="AF38">
        <f>5-AC38</f>
        <v/>
      </c>
      <c r="AG38">
        <f>SUMPRODUCT(($B$24:$B$49=$AA38)*(ISNUMBER($H$24:$H$49)+($H$24:$H$49="N/A")))</f>
        <v/>
      </c>
      <c r="AH38">
        <f>'Assessment Questions'!AK38</f>
        <v/>
      </c>
      <c r="AI38">
        <f>'Assessment Questions'!AL38</f>
        <v/>
      </c>
      <c r="AJ38">
        <f>IF(OR($H38="",$H38="N/A"),"",IF($AH38="",VLOOKUP('Company Profile'!$B$40,_CONFIG_Model_Settings!$A$5:$B$8,2,FALSE),_xlfn.IFNA(VLOOKUP($AH38,_CONFIG_Model_Settings!$A$5:$B$8,2,FALSE),0.9)))</f>
        <v/>
      </c>
      <c r="AK38">
        <f>IF(OR($H38="",$H38="N/A"),"",IF($AI38="",VLOOKUP('Company Profile'!$B$41,_CONFIG_Model_Settings!$A$5:$B$8,2,FALSE),_xlfn.IFNA(VLOOKUP($AI38,_CONFIG_Model_Settings!$A$5:$B$8,2,FALSE),0.9)))</f>
        <v/>
      </c>
      <c r="AL38">
        <f>IF(OR($H38="",$H38="N/A"),"",ROUND(VALUE($H38)*$AJ38*$AK38*$AV38,2))</f>
        <v/>
      </c>
      <c r="AM38">
        <f>IF($AL38="","",ROUND($AL38/5*100,1))</f>
        <v/>
      </c>
      <c r="AN38">
        <f>IFERROR(MIN(5,MAX(0,(SUMIFS(_REF_Model_Content!$D$1:$D$157,_REF_Model_Content!$A$1:$A$157,'Company Profile'!$B$9,_REF_Model_Content!$B$1:$B$157,"Strategy GTM"))+_xlfn.IFNA(VLOOKUP('Company Profile'!$B$35,_CONFIG_Model_Settings!$A$11:$B$13,2,0),0))),"")</f>
        <v/>
      </c>
      <c r="AO38">
        <f>IF($AL38="","",MAX(0,ROUND($AN38-$AL38,2)))</f>
        <v/>
      </c>
      <c r="AP38">
        <f>IFERROR(SUMIFS(_REF_Model_Content!$E$1:$E$157,_REF_Model_Content!$A$1:$A$157,'Company Profile'!$B$9,_REF_Model_Content!$B$1:$B$157,"Strategy GTM"),1)</f>
        <v/>
      </c>
      <c r="AQ38">
        <f>IF($AO38="","",ROUND($AO38*$AP38*($G38/5),2))</f>
        <v/>
      </c>
      <c r="AR38">
        <f>IF($AO38="","",IF($AO38&gt;=2,"Critical industry gap",IF($AO38&gt;=1,"High industry gap",IF($AO38&gt;=0.5,"Moderate industry gap","Within target"))))</f>
        <v/>
      </c>
      <c r="AS38">
        <f>IF(OR($H38="",$H38="N/A"),0,VALUE($H38)*(($AJ38+$AK38)/2)*$AV38)</f>
        <v/>
      </c>
      <c r="AT38">
        <f>IF(OR($H38="",$H38="N/A"),0,($AJ38+$AK38)/2)</f>
        <v/>
      </c>
      <c r="AU38">
        <f>'Assessment Questions'!AX38</f>
        <v/>
      </c>
      <c r="AV38">
        <f>IF(OR($H38="",$H38="N/A"),"",IF(OR($AU38="",$AU38="Everywhere",$AU38="Not applicable"),1,IF($AU38="Pilot / one team",0.4,IF($AU38="One unit or site",0.7,0.9))))</f>
        <v/>
      </c>
      <c r="AW38" t="inlineStr">
        <is>
          <t>Strategy GTM</t>
        </is>
      </c>
      <c r="AX38" t="inlineStr">
        <is>
          <t>Strategy GTM</t>
        </is>
      </c>
      <c r="AY38" t="n">
        <v>19</v>
      </c>
      <c r="AZ38" t="n">
        <v>38</v>
      </c>
    </row>
    <row r="39">
      <c r="A39" t="inlineStr">
        <is>
          <t>STRA-016</t>
        </is>
      </c>
      <c r="B39" t="inlineStr">
        <is>
          <t>Offering and positioning</t>
        </is>
      </c>
      <c r="C39" t="inlineStr">
        <is>
          <t>How mature is the organization in managing pricing strategy with margin thresholds, discount governance and crisis boundaries, including ownership, evidence, metrics, fallback procedures and crisis stress testing?</t>
        </is>
      </c>
      <c r="D39" t="inlineStr">
        <is>
          <t>This topic affects exposure to Demand shock; Financial liquidity crisis; Reputation crisis. It helps identify how disruption may impact operations, people, revenue, systems, legal exposure or recovery time.</t>
        </is>
      </c>
      <c r="E39" t="inlineStr">
        <is>
          <t>ISO 9001; ISO 31000; ISO 37000; McKinsey 7S; OHI; Bain Elements of Value; Jobs-to-be-Done; Porter Five Forces; OKR</t>
        </is>
      </c>
      <c r="F39" t="inlineStr">
        <is>
          <t>Policy/SOP; owner/RACI; system report; dashboard; contracts; test records; incident history; interview evidence related to pricing strategy with margin thresholds, discount governance and crisis boundaries.</t>
        </is>
      </c>
      <c r="G39">
        <f>'Assessment Questions'!J39</f>
        <v/>
      </c>
      <c r="H39">
        <f>IF($Z39="","",IF($Z39="N/A","N/A",VALUE(LEFT($Z39,1))))</f>
        <v/>
      </c>
      <c r="I39">
        <f>IF($H39="","",IF($H39="N/A","",VALUE($H39)/5*$G39))</f>
        <v/>
      </c>
      <c r="J39">
        <f>IF(OR($H39="",$H39="N/A"),"",$G39)</f>
        <v/>
      </c>
      <c r="K39">
        <f>IF(OR($H39="",$H39="N/A"),"",$J39-$I39)</f>
        <v/>
      </c>
      <c r="L39">
        <f>IF($H39="","",IF($H39="N/A","N/A",IF(VALUE($H39)&lt;=1,"Critical",IF(VALUE($H39)&lt;=2,"High",IF(VALUE($H39)&lt;=3,"Medium",IF(VALUE($H39)&lt;=4,"Low","Resilient"))))))</f>
        <v/>
      </c>
      <c r="M39" t="inlineStr">
        <is>
          <t>Does not exist; no owner, no documentation, no practice.</t>
        </is>
      </c>
      <c r="N39" t="inlineStr">
        <is>
          <t>Ad hoc; depends entirely on specific individuals.</t>
        </is>
      </c>
      <c r="O39" t="inlineStr">
        <is>
          <t>Partially documented or implemented; coverage inconsistent; never tested under stress.</t>
        </is>
      </c>
      <c r="P39" t="inlineStr">
        <is>
          <t>Documented, owned, executed consistently; basic evidence and metrics exist.</t>
        </is>
      </c>
      <c r="Q39" t="inlineStr">
        <is>
          <t>Measured and periodically tested/audited; integrated with adjacent processes.</t>
        </is>
      </c>
      <c r="R39" t="inlineStr">
        <is>
          <t>Optimized and automated where practical; stress-tested; benchmarked externally.</t>
        </is>
      </c>
      <c r="S39" t="inlineStr">
        <is>
          <t>Demand shock; Financial liquidity crisis; Reputation crisis</t>
        </is>
      </c>
      <c r="T39">
        <f>'Assessment Questions'!W39</f>
        <v/>
      </c>
      <c r="U39">
        <f>'Assessment Questions'!X39</f>
        <v/>
      </c>
      <c r="V39">
        <f>'Assessment Questions'!Y39</f>
        <v/>
      </c>
      <c r="W39" t="n">
        <v>4</v>
      </c>
      <c r="X39" t="n">
        <v>5</v>
      </c>
      <c r="Y39" t="n">
        <v>5</v>
      </c>
      <c r="Z39">
        <f>'Assessment Questions'!AC39</f>
        <v/>
      </c>
      <c r="AB39">
        <f>COUNTIF($B$24:$B$49,$AA39)</f>
        <v/>
      </c>
      <c r="AC39">
        <f>IFERROR(SUMPRODUCT(($B$24:$B$49=$AA39)*($H$24:$H$49&lt;&gt;"")*($H$24:$H$49&lt;&gt;"N/A")*IFERROR(VALUE($H$24:$H$49),0))/SUMPRODUCT(($B$24:$B$49=$AA39)*($H$24:$H$49&lt;&gt;"")*($H$24:$H$49&lt;&gt;"N/A")),0)</f>
        <v/>
      </c>
      <c r="AD39">
        <f>AC39/5</f>
        <v/>
      </c>
      <c r="AE39">
        <f>COUNTIFS($B$24:$B$49,$AA39,$L$24:$L$49,"Critical")+COUNTIFS($B$24:$B$49,$AA39,$L$24:$L$49,"High")</f>
        <v/>
      </c>
      <c r="AF39">
        <f>5-AC39</f>
        <v/>
      </c>
      <c r="AG39">
        <f>SUMPRODUCT(($B$24:$B$49=$AA39)*(ISNUMBER($H$24:$H$49)+($H$24:$H$49="N/A")))</f>
        <v/>
      </c>
      <c r="AH39">
        <f>'Assessment Questions'!AK39</f>
        <v/>
      </c>
      <c r="AI39">
        <f>'Assessment Questions'!AL39</f>
        <v/>
      </c>
      <c r="AJ39">
        <f>IF(OR($H39="",$H39="N/A"),"",IF($AH39="",VLOOKUP('Company Profile'!$B$40,_CONFIG_Model_Settings!$A$5:$B$8,2,FALSE),_xlfn.IFNA(VLOOKUP($AH39,_CONFIG_Model_Settings!$A$5:$B$8,2,FALSE),0.9)))</f>
        <v/>
      </c>
      <c r="AK39">
        <f>IF(OR($H39="",$H39="N/A"),"",IF($AI39="",VLOOKUP('Company Profile'!$B$41,_CONFIG_Model_Settings!$A$5:$B$8,2,FALSE),_xlfn.IFNA(VLOOKUP($AI39,_CONFIG_Model_Settings!$A$5:$B$8,2,FALSE),0.9)))</f>
        <v/>
      </c>
      <c r="AL39">
        <f>IF(OR($H39="",$H39="N/A"),"",ROUND(VALUE($H39)*$AJ39*$AK39*$AV39,2))</f>
        <v/>
      </c>
      <c r="AM39">
        <f>IF($AL39="","",ROUND($AL39/5*100,1))</f>
        <v/>
      </c>
      <c r="AN39">
        <f>IFERROR(MIN(5,MAX(0,(SUMIFS(_REF_Model_Content!$D$1:$D$157,_REF_Model_Content!$A$1:$A$157,'Company Profile'!$B$9,_REF_Model_Content!$B$1:$B$157,"Strategy GTM"))+_xlfn.IFNA(VLOOKUP('Company Profile'!$B$35,_CONFIG_Model_Settings!$A$11:$B$13,2,0),0))),"")</f>
        <v/>
      </c>
      <c r="AO39">
        <f>IF($AL39="","",MAX(0,ROUND($AN39-$AL39,2)))</f>
        <v/>
      </c>
      <c r="AP39">
        <f>IFERROR(SUMIFS(_REF_Model_Content!$E$1:$E$157,_REF_Model_Content!$A$1:$A$157,'Company Profile'!$B$9,_REF_Model_Content!$B$1:$B$157,"Strategy GTM"),1)</f>
        <v/>
      </c>
      <c r="AQ39">
        <f>IF($AO39="","",ROUND($AO39*$AP39*($G39/5),2))</f>
        <v/>
      </c>
      <c r="AR39">
        <f>IF($AO39="","",IF($AO39&gt;=2,"Critical industry gap",IF($AO39&gt;=1,"High industry gap",IF($AO39&gt;=0.5,"Moderate industry gap","Within target"))))</f>
        <v/>
      </c>
      <c r="AS39">
        <f>IF(OR($H39="",$H39="N/A"),0,VALUE($H39)*(($AJ39+$AK39)/2)*$AV39)</f>
        <v/>
      </c>
      <c r="AT39">
        <f>IF(OR($H39="",$H39="N/A"),0,($AJ39+$AK39)/2)</f>
        <v/>
      </c>
      <c r="AU39">
        <f>'Assessment Questions'!AX39</f>
        <v/>
      </c>
      <c r="AV39">
        <f>IF(OR($H39="",$H39="N/A"),"",IF(OR($AU39="",$AU39="Everywhere",$AU39="Not applicable"),1,IF($AU39="Pilot / one team",0.4,IF($AU39="One unit or site",0.7,0.9))))</f>
        <v/>
      </c>
      <c r="AW39" t="inlineStr">
        <is>
          <t>Strategy GTM</t>
        </is>
      </c>
      <c r="AX39" t="inlineStr">
        <is>
          <t>Strategy GTM</t>
        </is>
      </c>
      <c r="AY39" t="n">
        <v>20</v>
      </c>
      <c r="AZ39" t="n">
        <v>39</v>
      </c>
    </row>
    <row r="40">
      <c r="A40" t="inlineStr">
        <is>
          <t>STRA-017</t>
        </is>
      </c>
      <c r="B40" t="inlineStr">
        <is>
          <t>Offering and positioning</t>
        </is>
      </c>
      <c r="C40" t="inlineStr">
        <is>
          <t>How mature is the organization in managing proof assets such as case studies, references, certifications, security evidence and continuity commitments, including ownership, evidence, metrics, fallback procedures and crisis stress testing?</t>
        </is>
      </c>
      <c r="D40" t="inlineStr">
        <is>
          <t>This topic affects exposure to Demand shock; Financial liquidity crisis; Reputation crisis. It helps identify how disruption may impact operations, people, revenue, systems, legal exposure or recovery time.</t>
        </is>
      </c>
      <c r="E40" t="inlineStr">
        <is>
          <t>ISO 9001; ISO 31000; ISO 37000; McKinsey 7S; OHI; Bain Elements of Value; Jobs-to-be-Done; Porter Five Forces; OKR</t>
        </is>
      </c>
      <c r="F40" t="inlineStr">
        <is>
          <t>Policy/SOP; owner/RACI; system report; dashboard; contracts; test records; incident history; interview evidence related to proof assets such as case studies, references, certifications, security evidence and continuity commitments.</t>
        </is>
      </c>
      <c r="G40">
        <f>'Assessment Questions'!J40</f>
        <v/>
      </c>
      <c r="H40">
        <f>IF($Z40="","",IF($Z40="N/A","N/A",VALUE(LEFT($Z40,1))))</f>
        <v/>
      </c>
      <c r="I40">
        <f>IF($H40="","",IF($H40="N/A","",VALUE($H40)/5*$G40))</f>
        <v/>
      </c>
      <c r="J40">
        <f>IF(OR($H40="",$H40="N/A"),"",$G40)</f>
        <v/>
      </c>
      <c r="K40">
        <f>IF(OR($H40="",$H40="N/A"),"",$J40-$I40)</f>
        <v/>
      </c>
      <c r="L40">
        <f>IF($H40="","",IF($H40="N/A","N/A",IF(VALUE($H40)&lt;=1,"Critical",IF(VALUE($H40)&lt;=2,"High",IF(VALUE($H40)&lt;=3,"Medium",IF(VALUE($H40)&lt;=4,"Low","Resilient"))))))</f>
        <v/>
      </c>
      <c r="M40" t="inlineStr">
        <is>
          <t>Does not exist; no owner, no documentation, no practice.</t>
        </is>
      </c>
      <c r="N40" t="inlineStr">
        <is>
          <t>Ad hoc; depends entirely on specific individuals.</t>
        </is>
      </c>
      <c r="O40" t="inlineStr">
        <is>
          <t>Partially documented or implemented; coverage inconsistent; never tested under stress.</t>
        </is>
      </c>
      <c r="P40" t="inlineStr">
        <is>
          <t>Documented, owned, executed consistently; basic evidence and metrics exist.</t>
        </is>
      </c>
      <c r="Q40" t="inlineStr">
        <is>
          <t>Measured and periodically tested/audited; integrated with adjacent processes.</t>
        </is>
      </c>
      <c r="R40" t="inlineStr">
        <is>
          <t>Optimized and automated where practical; stress-tested; benchmarked externally.</t>
        </is>
      </c>
      <c r="S40" t="inlineStr">
        <is>
          <t>Demand shock; Financial liquidity crisis; Reputation crisis</t>
        </is>
      </c>
      <c r="T40">
        <f>'Assessment Questions'!W40</f>
        <v/>
      </c>
      <c r="U40">
        <f>'Assessment Questions'!X40</f>
        <v/>
      </c>
      <c r="V40">
        <f>'Assessment Questions'!Y40</f>
        <v/>
      </c>
      <c r="W40" t="n">
        <v>4</v>
      </c>
      <c r="X40" t="n">
        <v>5</v>
      </c>
      <c r="Y40" t="n">
        <v>5</v>
      </c>
      <c r="Z40">
        <f>'Assessment Questions'!AC40</f>
        <v/>
      </c>
      <c r="AB40">
        <f>COUNTIF($B$24:$B$49,$AA40)</f>
        <v/>
      </c>
      <c r="AC40">
        <f>IFERROR(SUMPRODUCT(($B$24:$B$49=$AA40)*($H$24:$H$49&lt;&gt;"")*($H$24:$H$49&lt;&gt;"N/A")*IFERROR(VALUE($H$24:$H$49),0))/SUMPRODUCT(($B$24:$B$49=$AA40)*($H$24:$H$49&lt;&gt;"")*($H$24:$H$49&lt;&gt;"N/A")),0)</f>
        <v/>
      </c>
      <c r="AD40">
        <f>AC40/5</f>
        <v/>
      </c>
      <c r="AE40">
        <f>COUNTIFS($B$24:$B$49,$AA40,$L$24:$L$49,"Critical")+COUNTIFS($B$24:$B$49,$AA40,$L$24:$L$49,"High")</f>
        <v/>
      </c>
      <c r="AF40">
        <f>5-AC40</f>
        <v/>
      </c>
      <c r="AG40">
        <f>SUMPRODUCT(($B$24:$B$49=$AA40)*(ISNUMBER($H$24:$H$49)+($H$24:$H$49="N/A")))</f>
        <v/>
      </c>
      <c r="AH40">
        <f>'Assessment Questions'!AK40</f>
        <v/>
      </c>
      <c r="AI40">
        <f>'Assessment Questions'!AL40</f>
        <v/>
      </c>
      <c r="AJ40">
        <f>IF(OR($H40="",$H40="N/A"),"",IF($AH40="",VLOOKUP('Company Profile'!$B$40,_CONFIG_Model_Settings!$A$5:$B$8,2,FALSE),_xlfn.IFNA(VLOOKUP($AH40,_CONFIG_Model_Settings!$A$5:$B$8,2,FALSE),0.9)))</f>
        <v/>
      </c>
      <c r="AK40">
        <f>IF(OR($H40="",$H40="N/A"),"",IF($AI40="",VLOOKUP('Company Profile'!$B$41,_CONFIG_Model_Settings!$A$5:$B$8,2,FALSE),_xlfn.IFNA(VLOOKUP($AI40,_CONFIG_Model_Settings!$A$5:$B$8,2,FALSE),0.9)))</f>
        <v/>
      </c>
      <c r="AL40">
        <f>IF(OR($H40="",$H40="N/A"),"",ROUND(VALUE($H40)*$AJ40*$AK40*$AV40,2))</f>
        <v/>
      </c>
      <c r="AM40">
        <f>IF($AL40="","",ROUND($AL40/5*100,1))</f>
        <v/>
      </c>
      <c r="AN40">
        <f>IFERROR(MIN(5,MAX(0,(SUMIFS(_REF_Model_Content!$D$1:$D$157,_REF_Model_Content!$A$1:$A$157,'Company Profile'!$B$9,_REF_Model_Content!$B$1:$B$157,"Strategy GTM"))+_xlfn.IFNA(VLOOKUP('Company Profile'!$B$35,_CONFIG_Model_Settings!$A$11:$B$13,2,0),0))),"")</f>
        <v/>
      </c>
      <c r="AO40">
        <f>IF($AL40="","",MAX(0,ROUND($AN40-$AL40,2)))</f>
        <v/>
      </c>
      <c r="AP40">
        <f>IFERROR(SUMIFS(_REF_Model_Content!$E$1:$E$157,_REF_Model_Content!$A$1:$A$157,'Company Profile'!$B$9,_REF_Model_Content!$B$1:$B$157,"Strategy GTM"),1)</f>
        <v/>
      </c>
      <c r="AQ40">
        <f>IF($AO40="","",ROUND($AO40*$AP40*($G40/5),2))</f>
        <v/>
      </c>
      <c r="AR40">
        <f>IF($AO40="","",IF($AO40&gt;=2,"Critical industry gap",IF($AO40&gt;=1,"High industry gap",IF($AO40&gt;=0.5,"Moderate industry gap","Within target"))))</f>
        <v/>
      </c>
      <c r="AS40">
        <f>IF(OR($H40="",$H40="N/A"),0,VALUE($H40)*(($AJ40+$AK40)/2)*$AV40)</f>
        <v/>
      </c>
      <c r="AT40">
        <f>IF(OR($H40="",$H40="N/A"),0,($AJ40+$AK40)/2)</f>
        <v/>
      </c>
      <c r="AU40">
        <f>'Assessment Questions'!AX40</f>
        <v/>
      </c>
      <c r="AV40">
        <f>IF(OR($H40="",$H40="N/A"),"",IF(OR($AU40="",$AU40="Everywhere",$AU40="Not applicable"),1,IF($AU40="Pilot / one team",0.4,IF($AU40="One unit or site",0.7,0.9))))</f>
        <v/>
      </c>
      <c r="AW40" t="inlineStr">
        <is>
          <t>Strategy GTM</t>
        </is>
      </c>
      <c r="AX40" t="inlineStr">
        <is>
          <t>Strategy GTM</t>
        </is>
      </c>
      <c r="AY40" t="n">
        <v>21</v>
      </c>
      <c r="AZ40" t="n">
        <v>40</v>
      </c>
    </row>
    <row r="41">
      <c r="A41" t="inlineStr">
        <is>
          <t>STRA-018</t>
        </is>
      </c>
      <c r="B41" t="inlineStr">
        <is>
          <t>Offering and positioning</t>
        </is>
      </c>
      <c r="C41" t="inlineStr">
        <is>
          <t>How mature is the organization in managing product or service modularity that allows budget-sensitive or crisis-driven adaptation, including ownership, evidence, metrics, fallback procedures and crisis stress testing?</t>
        </is>
      </c>
      <c r="D41" t="inlineStr">
        <is>
          <t>This topic affects exposure to Demand shock; Financial liquidity crisis; Reputation crisis. It helps identify how disruption may impact operations, people, revenue, systems, legal exposure or recovery time.</t>
        </is>
      </c>
      <c r="E41" t="inlineStr">
        <is>
          <t>ISO 9001; ISO 31000; ISO 37000; McKinsey 7S; OHI; Bain Elements of Value; Jobs-to-be-Done; Porter Five Forces; OKR</t>
        </is>
      </c>
      <c r="F41" t="inlineStr">
        <is>
          <t>Policy/SOP; owner/RACI; system report; dashboard; contracts; test records; incident history; interview evidence related to product or service modularity that allows budget-sensitive or crisis-driven adaptation.</t>
        </is>
      </c>
      <c r="G41">
        <f>'Assessment Questions'!J41</f>
        <v/>
      </c>
      <c r="H41">
        <f>IF($Z41="","",IF($Z41="N/A","N/A",VALUE(LEFT($Z41,1))))</f>
        <v/>
      </c>
      <c r="I41">
        <f>IF($H41="","",IF($H41="N/A","",VALUE($H41)/5*$G41))</f>
        <v/>
      </c>
      <c r="J41">
        <f>IF(OR($H41="",$H41="N/A"),"",$G41)</f>
        <v/>
      </c>
      <c r="K41">
        <f>IF(OR($H41="",$H41="N/A"),"",$J41-$I41)</f>
        <v/>
      </c>
      <c r="L41">
        <f>IF($H41="","",IF($H41="N/A","N/A",IF(VALUE($H41)&lt;=1,"Critical",IF(VALUE($H41)&lt;=2,"High",IF(VALUE($H41)&lt;=3,"Medium",IF(VALUE($H41)&lt;=4,"Low","Resilient"))))))</f>
        <v/>
      </c>
      <c r="M41" t="inlineStr">
        <is>
          <t>Does not exist; no owner, no documentation, no practice.</t>
        </is>
      </c>
      <c r="N41" t="inlineStr">
        <is>
          <t>Ad hoc; depends entirely on specific individuals.</t>
        </is>
      </c>
      <c r="O41" t="inlineStr">
        <is>
          <t>Partially documented or implemented; coverage inconsistent; never tested under stress.</t>
        </is>
      </c>
      <c r="P41" t="inlineStr">
        <is>
          <t>Documented, owned, executed consistently; basic evidence and metrics exist.</t>
        </is>
      </c>
      <c r="Q41" t="inlineStr">
        <is>
          <t>Measured and periodically tested/audited; integrated with adjacent processes.</t>
        </is>
      </c>
      <c r="R41" t="inlineStr">
        <is>
          <t>Optimized and automated where practical; stress-tested; benchmarked externally.</t>
        </is>
      </c>
      <c r="S41" t="inlineStr">
        <is>
          <t>Demand shock; Financial liquidity crisis; Reputation crisis</t>
        </is>
      </c>
      <c r="T41">
        <f>'Assessment Questions'!W41</f>
        <v/>
      </c>
      <c r="U41">
        <f>'Assessment Questions'!X41</f>
        <v/>
      </c>
      <c r="V41">
        <f>'Assessment Questions'!Y41</f>
        <v/>
      </c>
      <c r="W41" t="n">
        <v>4</v>
      </c>
      <c r="X41" t="n">
        <v>5</v>
      </c>
      <c r="Y41" t="n">
        <v>5</v>
      </c>
      <c r="Z41">
        <f>'Assessment Questions'!AC41</f>
        <v/>
      </c>
      <c r="AB41">
        <f>COUNTIF($B$24:$B$49,$AA41)</f>
        <v/>
      </c>
      <c r="AC41">
        <f>IFERROR(SUMPRODUCT(($B$24:$B$49=$AA41)*($H$24:$H$49&lt;&gt;"")*($H$24:$H$49&lt;&gt;"N/A")*IFERROR(VALUE($H$24:$H$49),0))/SUMPRODUCT(($B$24:$B$49=$AA41)*($H$24:$H$49&lt;&gt;"")*($H$24:$H$49&lt;&gt;"N/A")),0)</f>
        <v/>
      </c>
      <c r="AD41">
        <f>AC41/5</f>
        <v/>
      </c>
      <c r="AE41">
        <f>COUNTIFS($B$24:$B$49,$AA41,$L$24:$L$49,"Critical")+COUNTIFS($B$24:$B$49,$AA41,$L$24:$L$49,"High")</f>
        <v/>
      </c>
      <c r="AF41">
        <f>5-AC41</f>
        <v/>
      </c>
      <c r="AG41">
        <f>SUMPRODUCT(($B$24:$B$49=$AA41)*(ISNUMBER($H$24:$H$49)+($H$24:$H$49="N/A")))</f>
        <v/>
      </c>
      <c r="AH41">
        <f>'Assessment Questions'!AK41</f>
        <v/>
      </c>
      <c r="AI41">
        <f>'Assessment Questions'!AL41</f>
        <v/>
      </c>
      <c r="AJ41">
        <f>IF(OR($H41="",$H41="N/A"),"",IF($AH41="",VLOOKUP('Company Profile'!$B$40,_CONFIG_Model_Settings!$A$5:$B$8,2,FALSE),_xlfn.IFNA(VLOOKUP($AH41,_CONFIG_Model_Settings!$A$5:$B$8,2,FALSE),0.9)))</f>
        <v/>
      </c>
      <c r="AK41">
        <f>IF(OR($H41="",$H41="N/A"),"",IF($AI41="",VLOOKUP('Company Profile'!$B$41,_CONFIG_Model_Settings!$A$5:$B$8,2,FALSE),_xlfn.IFNA(VLOOKUP($AI41,_CONFIG_Model_Settings!$A$5:$B$8,2,FALSE),0.9)))</f>
        <v/>
      </c>
      <c r="AL41">
        <f>IF(OR($H41="",$H41="N/A"),"",ROUND(VALUE($H41)*$AJ41*$AK41*$AV41,2))</f>
        <v/>
      </c>
      <c r="AM41">
        <f>IF($AL41="","",ROUND($AL41/5*100,1))</f>
        <v/>
      </c>
      <c r="AN41">
        <f>IFERROR(MIN(5,MAX(0,(SUMIFS(_REF_Model_Content!$D$1:$D$157,_REF_Model_Content!$A$1:$A$157,'Company Profile'!$B$9,_REF_Model_Content!$B$1:$B$157,"Strategy GTM"))+_xlfn.IFNA(VLOOKUP('Company Profile'!$B$35,_CONFIG_Model_Settings!$A$11:$B$13,2,0),0))),"")</f>
        <v/>
      </c>
      <c r="AO41">
        <f>IF($AL41="","",MAX(0,ROUND($AN41-$AL41,2)))</f>
        <v/>
      </c>
      <c r="AP41">
        <f>IFERROR(SUMIFS(_REF_Model_Content!$E$1:$E$157,_REF_Model_Content!$A$1:$A$157,'Company Profile'!$B$9,_REF_Model_Content!$B$1:$B$157,"Strategy GTM"),1)</f>
        <v/>
      </c>
      <c r="AQ41">
        <f>IF($AO41="","",ROUND($AO41*$AP41*($G41/5),2))</f>
        <v/>
      </c>
      <c r="AR41">
        <f>IF($AO41="","",IF($AO41&gt;=2,"Critical industry gap",IF($AO41&gt;=1,"High industry gap",IF($AO41&gt;=0.5,"Moderate industry gap","Within target"))))</f>
        <v/>
      </c>
      <c r="AS41">
        <f>IF(OR($H41="",$H41="N/A"),0,VALUE($H41)*(($AJ41+$AK41)/2)*$AV41)</f>
        <v/>
      </c>
      <c r="AT41">
        <f>IF(OR($H41="",$H41="N/A"),0,($AJ41+$AK41)/2)</f>
        <v/>
      </c>
      <c r="AU41">
        <f>'Assessment Questions'!AX41</f>
        <v/>
      </c>
      <c r="AV41">
        <f>IF(OR($H41="",$H41="N/A"),"",IF(OR($AU41="",$AU41="Everywhere",$AU41="Not applicable"),1,IF($AU41="Pilot / one team",0.4,IF($AU41="One unit or site",0.7,0.9))))</f>
        <v/>
      </c>
      <c r="AW41" t="inlineStr">
        <is>
          <t>Strategy GTM</t>
        </is>
      </c>
      <c r="AX41" t="inlineStr">
        <is>
          <t>Strategy GTM</t>
        </is>
      </c>
      <c r="AY41" t="n">
        <v>22</v>
      </c>
      <c r="AZ41" t="n">
        <v>41</v>
      </c>
    </row>
    <row r="42">
      <c r="A42" t="inlineStr">
        <is>
          <t>STRA-019</t>
        </is>
      </c>
      <c r="B42" t="inlineStr">
        <is>
          <t>GTM execution</t>
        </is>
      </c>
      <c r="C42" t="inlineStr">
        <is>
          <t>How mature is the organization in managing sales playbooks for ICPs, offerings, objections, competitors and crisis-specific customer concerns, including ownership, evidence, metrics, fallback procedures and crisis stress testing?</t>
        </is>
      </c>
      <c r="D42" t="inlineStr">
        <is>
          <t>This topic affects exposure to Demand shock; Financial liquidity crisis; Reputation crisis. It helps identify how disruption may impact operations, people, revenue, systems, legal exposure or recovery time.</t>
        </is>
      </c>
      <c r="E42" t="inlineStr">
        <is>
          <t>ISO 9001; ISO 31000; ISO 37000; McKinsey 7S; OHI; Bain Elements of Value; Jobs-to-be-Done; Porter Five Forces; OKR</t>
        </is>
      </c>
      <c r="F42" t="inlineStr">
        <is>
          <t>Policy/SOP; owner/RACI; system report; dashboard; contracts; test records; incident history; interview evidence related to sales playbooks for ICPs, offerings, objections, competitors and crisis-specific customer concerns.</t>
        </is>
      </c>
      <c r="G42">
        <f>'Assessment Questions'!J42</f>
        <v/>
      </c>
      <c r="H42">
        <f>IF($Z42="","",IF($Z42="N/A","N/A",VALUE(LEFT($Z42,1))))</f>
        <v/>
      </c>
      <c r="I42">
        <f>IF($H42="","",IF($H42="N/A","",VALUE($H42)/5*$G42))</f>
        <v/>
      </c>
      <c r="J42">
        <f>IF(OR($H42="",$H42="N/A"),"",$G42)</f>
        <v/>
      </c>
      <c r="K42">
        <f>IF(OR($H42="",$H42="N/A"),"",$J42-$I42)</f>
        <v/>
      </c>
      <c r="L42">
        <f>IF($H42="","",IF($H42="N/A","N/A",IF(VALUE($H42)&lt;=1,"Critical",IF(VALUE($H42)&lt;=2,"High",IF(VALUE($H42)&lt;=3,"Medium",IF(VALUE($H42)&lt;=4,"Low","Resilient"))))))</f>
        <v/>
      </c>
      <c r="M42" t="inlineStr">
        <is>
          <t>No plan or procedure exists.</t>
        </is>
      </c>
      <c r="N42" t="inlineStr">
        <is>
          <t>Knowledge lives with individuals; nothing usable is written down.</t>
        </is>
      </c>
      <c r="O42" t="inlineStr">
        <is>
          <t>Drafted but outdated, not approved, or unknown to the people who must use it.</t>
        </is>
      </c>
      <c r="P42" t="inlineStr">
        <is>
          <t>Approved and current; owners assigned; affected staff know it exists and where to find it.</t>
        </is>
      </c>
      <c r="Q42" t="inlineStr">
        <is>
          <t>Tested against realistic scenarios; updated after each test or real incident.</t>
        </is>
      </c>
      <c r="R42" t="inlineStr">
        <is>
          <t>Exercised regularly including external parties; readiness measured; continuously improved.</t>
        </is>
      </c>
      <c r="S42" t="inlineStr">
        <is>
          <t>Demand shock; Financial liquidity crisis; Reputation crisis</t>
        </is>
      </c>
      <c r="T42">
        <f>'Assessment Questions'!W42</f>
        <v/>
      </c>
      <c r="U42">
        <f>'Assessment Questions'!X42</f>
        <v/>
      </c>
      <c r="V42">
        <f>'Assessment Questions'!Y42</f>
        <v/>
      </c>
      <c r="W42" t="n">
        <v>4</v>
      </c>
      <c r="X42" t="n">
        <v>5</v>
      </c>
      <c r="Y42" t="n">
        <v>5</v>
      </c>
      <c r="Z42">
        <f>'Assessment Questions'!AC42</f>
        <v/>
      </c>
      <c r="AB42">
        <f>COUNTIF($B$24:$B$49,$AA42)</f>
        <v/>
      </c>
      <c r="AC42">
        <f>IFERROR(SUMPRODUCT(($B$24:$B$49=$AA42)*($H$24:$H$49&lt;&gt;"")*($H$24:$H$49&lt;&gt;"N/A")*IFERROR(VALUE($H$24:$H$49),0))/SUMPRODUCT(($B$24:$B$49=$AA42)*($H$24:$H$49&lt;&gt;"")*($H$24:$H$49&lt;&gt;"N/A")),0)</f>
        <v/>
      </c>
      <c r="AD42">
        <f>AC42/5</f>
        <v/>
      </c>
      <c r="AE42">
        <f>COUNTIFS($B$24:$B$49,$AA42,$L$24:$L$49,"Critical")+COUNTIFS($B$24:$B$49,$AA42,$L$24:$L$49,"High")</f>
        <v/>
      </c>
      <c r="AF42">
        <f>5-AC42</f>
        <v/>
      </c>
      <c r="AG42">
        <f>SUMPRODUCT(($B$24:$B$49=$AA42)*(ISNUMBER($H$24:$H$49)+($H$24:$H$49="N/A")))</f>
        <v/>
      </c>
      <c r="AH42">
        <f>'Assessment Questions'!AK42</f>
        <v/>
      </c>
      <c r="AI42">
        <f>'Assessment Questions'!AL42</f>
        <v/>
      </c>
      <c r="AJ42">
        <f>IF(OR($H42="",$H42="N/A"),"",IF($AH42="",VLOOKUP('Company Profile'!$B$40,_CONFIG_Model_Settings!$A$5:$B$8,2,FALSE),_xlfn.IFNA(VLOOKUP($AH42,_CONFIG_Model_Settings!$A$5:$B$8,2,FALSE),0.9)))</f>
        <v/>
      </c>
      <c r="AK42">
        <f>IF(OR($H42="",$H42="N/A"),"",IF($AI42="",VLOOKUP('Company Profile'!$B$41,_CONFIG_Model_Settings!$A$5:$B$8,2,FALSE),_xlfn.IFNA(VLOOKUP($AI42,_CONFIG_Model_Settings!$A$5:$B$8,2,FALSE),0.9)))</f>
        <v/>
      </c>
      <c r="AL42">
        <f>IF(OR($H42="",$H42="N/A"),"",ROUND(VALUE($H42)*$AJ42*$AK42*$AV42,2))</f>
        <v/>
      </c>
      <c r="AM42">
        <f>IF($AL42="","",ROUND($AL42/5*100,1))</f>
        <v/>
      </c>
      <c r="AN42">
        <f>IFERROR(MIN(5,MAX(0,(SUMIFS(_REF_Model_Content!$D$1:$D$157,_REF_Model_Content!$A$1:$A$157,'Company Profile'!$B$9,_REF_Model_Content!$B$1:$B$157,"Strategy GTM"))+_xlfn.IFNA(VLOOKUP('Company Profile'!$B$35,_CONFIG_Model_Settings!$A$11:$B$13,2,0),0))),"")</f>
        <v/>
      </c>
      <c r="AO42">
        <f>IF($AL42="","",MAX(0,ROUND($AN42-$AL42,2)))</f>
        <v/>
      </c>
      <c r="AP42">
        <f>IFERROR(SUMIFS(_REF_Model_Content!$E$1:$E$157,_REF_Model_Content!$A$1:$A$157,'Company Profile'!$B$9,_REF_Model_Content!$B$1:$B$157,"Strategy GTM"),1)</f>
        <v/>
      </c>
      <c r="AQ42">
        <f>IF($AO42="","",ROUND($AO42*$AP42*($G42/5),2))</f>
        <v/>
      </c>
      <c r="AR42">
        <f>IF($AO42="","",IF($AO42&gt;=2,"Critical industry gap",IF($AO42&gt;=1,"High industry gap",IF($AO42&gt;=0.5,"Moderate industry gap","Within target"))))</f>
        <v/>
      </c>
      <c r="AS42">
        <f>IF(OR($H42="",$H42="N/A"),0,VALUE($H42)*(($AJ42+$AK42)/2)*$AV42)</f>
        <v/>
      </c>
      <c r="AT42">
        <f>IF(OR($H42="",$H42="N/A"),0,($AJ42+$AK42)/2)</f>
        <v/>
      </c>
      <c r="AU42">
        <f>'Assessment Questions'!AX42</f>
        <v/>
      </c>
      <c r="AV42">
        <f>IF(OR($H42="",$H42="N/A"),"",IF(OR($AU42="",$AU42="Everywhere",$AU42="Not applicable"),1,IF($AU42="Pilot / one team",0.4,IF($AU42="One unit or site",0.7,0.9))))</f>
        <v/>
      </c>
      <c r="AW42" t="inlineStr">
        <is>
          <t>Strategy GTM</t>
        </is>
      </c>
      <c r="AX42" t="inlineStr">
        <is>
          <t>Strategy GTM</t>
        </is>
      </c>
      <c r="AY42" t="n">
        <v>23</v>
      </c>
      <c r="AZ42" t="n">
        <v>42</v>
      </c>
    </row>
    <row r="43">
      <c r="A43" t="inlineStr">
        <is>
          <t>STRA-020</t>
        </is>
      </c>
      <c r="B43" t="inlineStr">
        <is>
          <t>GTM execution</t>
        </is>
      </c>
      <c r="C43" t="inlineStr">
        <is>
          <t>How mature is the organization in managing pipeline governance with clear stages, qualification criteria, forecast probability and CRM discipline, including ownership, evidence, metrics, fallback procedures and crisis stress testing?</t>
        </is>
      </c>
      <c r="D43" t="inlineStr">
        <is>
          <t>This topic affects exposure to Demand shock; Financial liquidity crisis; Reputation crisis. It helps identify how disruption may impact operations, people, revenue, systems, legal exposure or recovery time.</t>
        </is>
      </c>
      <c r="E43" t="inlineStr">
        <is>
          <t>ISO 9001; ISO 31000; ISO 37000; McKinsey 7S; OHI; Bain Elements of Value; Jobs-to-be-Done; Porter Five Forces; OKR</t>
        </is>
      </c>
      <c r="F43" t="inlineStr">
        <is>
          <t>Policy/SOP; owner/RACI; system report; dashboard; contracts; test records; incident history; interview evidence related to pipeline governance with clear stages, qualification criteria, forecast probability and CRM discipline.</t>
        </is>
      </c>
      <c r="G43">
        <f>'Assessment Questions'!J43</f>
        <v/>
      </c>
      <c r="H43">
        <f>IF($Z43="","",IF($Z43="N/A","N/A",VALUE(LEFT($Z43,1))))</f>
        <v/>
      </c>
      <c r="I43">
        <f>IF($H43="","",IF($H43="N/A","",VALUE($H43)/5*$G43))</f>
        <v/>
      </c>
      <c r="J43">
        <f>IF(OR($H43="",$H43="N/A"),"",$G43)</f>
        <v/>
      </c>
      <c r="K43">
        <f>IF(OR($H43="",$H43="N/A"),"",$J43-$I43)</f>
        <v/>
      </c>
      <c r="L43">
        <f>IF($H43="","",IF($H43="N/A","N/A",IF(VALUE($H43)&lt;=1,"Critical",IF(VALUE($H43)&lt;=2,"High",IF(VALUE($H43)&lt;=3,"Medium",IF(VALUE($H43)&lt;=4,"Low","Resilient"))))))</f>
        <v/>
      </c>
      <c r="M43" t="inlineStr">
        <is>
          <t>No reliable evidence that pipeline governance with clear stages, qualification criteria, forecast probability and crm discipline is defined, owned or managed.</t>
        </is>
      </c>
      <c r="N43" t="inlineStr">
        <is>
          <t>Pipeline governance with clear stages, qualification criteria, forecast probability and CRM discipline is handled informally and depends on individual knowledge or heroic effort.</t>
        </is>
      </c>
      <c r="O43" t="inlineStr">
        <is>
          <t>Pipeline governance with clear stages, qualification criteria, forecast probability and CRM discipline is partially documented or implemented, but coverage is inconsistent and not crisis-tested.</t>
        </is>
      </c>
      <c r="P43" t="inlineStr">
        <is>
          <t>Pipeline governance with clear stages, qualification criteria, forecast probability and CRM discipline is documented, owned, used in normal operations and supported by basic evidence or metrics.</t>
        </is>
      </c>
      <c r="Q43" t="inlineStr">
        <is>
          <t>Pipeline governance with clear stages, qualification criteria, forecast probability and CRM discipline is measured, periodically reviewed, integrated with related processes and tested against relevant disruption scenarios.</t>
        </is>
      </c>
      <c r="R43" t="inlineStr">
        <is>
          <t>Pipeline governance with clear stages, qualification criteria, forecast probability and CRM discipline is optimized, continuously improved, automated where practical and demonstrably supports crisis resilience.</t>
        </is>
      </c>
      <c r="S43" t="inlineStr">
        <is>
          <t>Demand shock; Financial liquidity crisis; Reputation crisis</t>
        </is>
      </c>
      <c r="T43">
        <f>'Assessment Questions'!W43</f>
        <v/>
      </c>
      <c r="U43">
        <f>'Assessment Questions'!X43</f>
        <v/>
      </c>
      <c r="V43">
        <f>'Assessment Questions'!Y43</f>
        <v/>
      </c>
      <c r="W43" t="n">
        <v>5</v>
      </c>
      <c r="X43" t="n">
        <v>5</v>
      </c>
      <c r="Y43" t="n">
        <v>5</v>
      </c>
      <c r="Z43">
        <f>'Assessment Questions'!AC43</f>
        <v/>
      </c>
      <c r="AB43">
        <f>COUNTIF($B$24:$B$49,$AA43)</f>
        <v/>
      </c>
      <c r="AC43">
        <f>IFERROR(SUMPRODUCT(($B$24:$B$49=$AA43)*($H$24:$H$49&lt;&gt;"")*($H$24:$H$49&lt;&gt;"N/A")*IFERROR(VALUE($H$24:$H$49),0))/SUMPRODUCT(($B$24:$B$49=$AA43)*($H$24:$H$49&lt;&gt;"")*($H$24:$H$49&lt;&gt;"N/A")),0)</f>
        <v/>
      </c>
      <c r="AD43">
        <f>AC43/5</f>
        <v/>
      </c>
      <c r="AE43">
        <f>COUNTIFS($B$24:$B$49,$AA43,$L$24:$L$49,"Critical")+COUNTIFS($B$24:$B$49,$AA43,$L$24:$L$49,"High")</f>
        <v/>
      </c>
      <c r="AF43">
        <f>5-AC43</f>
        <v/>
      </c>
      <c r="AG43">
        <f>SUMPRODUCT(($B$24:$B$49=$AA43)*(ISNUMBER($H$24:$H$49)+($H$24:$H$49="N/A")))</f>
        <v/>
      </c>
      <c r="AH43">
        <f>'Assessment Questions'!AK43</f>
        <v/>
      </c>
      <c r="AI43">
        <f>'Assessment Questions'!AL43</f>
        <v/>
      </c>
      <c r="AJ43">
        <f>IF(OR($H43="",$H43="N/A"),"",IF($AH43="",VLOOKUP('Company Profile'!$B$40,_CONFIG_Model_Settings!$A$5:$B$8,2,FALSE),_xlfn.IFNA(VLOOKUP($AH43,_CONFIG_Model_Settings!$A$5:$B$8,2,FALSE),0.9)))</f>
        <v/>
      </c>
      <c r="AK43">
        <f>IF(OR($H43="",$H43="N/A"),"",IF($AI43="",VLOOKUP('Company Profile'!$B$41,_CONFIG_Model_Settings!$A$5:$B$8,2,FALSE),_xlfn.IFNA(VLOOKUP($AI43,_CONFIG_Model_Settings!$A$5:$B$8,2,FALSE),0.9)))</f>
        <v/>
      </c>
      <c r="AL43">
        <f>IF(OR($H43="",$H43="N/A"),"",ROUND(VALUE($H43)*$AJ43*$AK43*$AV43,2))</f>
        <v/>
      </c>
      <c r="AM43">
        <f>IF($AL43="","",ROUND($AL43/5*100,1))</f>
        <v/>
      </c>
      <c r="AN43">
        <f>IFERROR(MIN(5,MAX(0,(SUMIFS(_REF_Model_Content!$D$1:$D$157,_REF_Model_Content!$A$1:$A$157,'Company Profile'!$B$9,_REF_Model_Content!$B$1:$B$157,"Strategy GTM"))+_xlfn.IFNA(VLOOKUP('Company Profile'!$B$35,_CONFIG_Model_Settings!$A$11:$B$13,2,0),0))),"")</f>
        <v/>
      </c>
      <c r="AO43">
        <f>IF($AL43="","",MAX(0,ROUND($AN43-$AL43,2)))</f>
        <v/>
      </c>
      <c r="AP43">
        <f>IFERROR(SUMIFS(_REF_Model_Content!$E$1:$E$157,_REF_Model_Content!$A$1:$A$157,'Company Profile'!$B$9,_REF_Model_Content!$B$1:$B$157,"Strategy GTM"),1)</f>
        <v/>
      </c>
      <c r="AQ43">
        <f>IF($AO43="","",ROUND($AO43*$AP43*($G43/5),2))</f>
        <v/>
      </c>
      <c r="AR43">
        <f>IF($AO43="","",IF($AO43&gt;=2,"Critical industry gap",IF($AO43&gt;=1,"High industry gap",IF($AO43&gt;=0.5,"Moderate industry gap","Within target"))))</f>
        <v/>
      </c>
      <c r="AS43">
        <f>IF(OR($H43="",$H43="N/A"),0,VALUE($H43)*(($AJ43+$AK43)/2)*$AV43)</f>
        <v/>
      </c>
      <c r="AT43">
        <f>IF(OR($H43="",$H43="N/A"),0,($AJ43+$AK43)/2)</f>
        <v/>
      </c>
      <c r="AU43">
        <f>'Assessment Questions'!AX43</f>
        <v/>
      </c>
      <c r="AV43">
        <f>IF(OR($H43="",$H43="N/A"),"",IF(OR($AU43="",$AU43="Everywhere",$AU43="Not applicable"),1,IF($AU43="Pilot / one team",0.4,IF($AU43="One unit or site",0.7,0.9))))</f>
        <v/>
      </c>
      <c r="AW43" t="inlineStr">
        <is>
          <t>Strategy GTM</t>
        </is>
      </c>
      <c r="AX43" t="inlineStr">
        <is>
          <t>Strategy GTM</t>
        </is>
      </c>
      <c r="AY43" t="n">
        <v>24</v>
      </c>
      <c r="AZ43" t="n">
        <v>43</v>
      </c>
    </row>
    <row r="44">
      <c r="A44" t="inlineStr">
        <is>
          <t>STRA-021</t>
        </is>
      </c>
      <c r="B44" t="inlineStr">
        <is>
          <t>GTM execution</t>
        </is>
      </c>
      <c r="C44" t="inlineStr">
        <is>
          <t>How mature is the organization in managing channel strategy across direct sales, partners, ecommerce, marketplaces, distributors and digital channels, including ownership, evidence, metrics, fallback procedures and crisis stress testing?</t>
        </is>
      </c>
      <c r="D44" t="inlineStr">
        <is>
          <t>This topic affects exposure to Demand shock; Financial liquidity crisis; Reputation crisis. It helps identify how disruption may impact operations, people, revenue, systems, legal exposure or recovery time.</t>
        </is>
      </c>
      <c r="E44" t="inlineStr">
        <is>
          <t>ISO 9001; ISO 31000; ISO 37000; McKinsey 7S; OHI; Bain Elements of Value; Jobs-to-be-Done; Porter Five Forces; OKR</t>
        </is>
      </c>
      <c r="F44" t="inlineStr">
        <is>
          <t>Policy/SOP; owner/RACI; system report; dashboard; contracts; test records; incident history; interview evidence related to channel strategy across direct sales, partners, ecommerce, marketplaces, distributors and digital channels.</t>
        </is>
      </c>
      <c r="G44">
        <f>'Assessment Questions'!J44</f>
        <v/>
      </c>
      <c r="H44">
        <f>IF($Z44="","",IF($Z44="N/A","N/A",VALUE(LEFT($Z44,1))))</f>
        <v/>
      </c>
      <c r="I44">
        <f>IF($H44="","",IF($H44="N/A","",VALUE($H44)/5*$G44))</f>
        <v/>
      </c>
      <c r="J44">
        <f>IF(OR($H44="",$H44="N/A"),"",$G44)</f>
        <v/>
      </c>
      <c r="K44">
        <f>IF(OR($H44="",$H44="N/A"),"",$J44-$I44)</f>
        <v/>
      </c>
      <c r="L44">
        <f>IF($H44="","",IF($H44="N/A","N/A",IF(VALUE($H44)&lt;=1,"Critical",IF(VALUE($H44)&lt;=2,"High",IF(VALUE($H44)&lt;=3,"Medium",IF(VALUE($H44)&lt;=4,"Low","Resilient"))))))</f>
        <v/>
      </c>
      <c r="M44" t="inlineStr">
        <is>
          <t>No reliable evidence that channel strategy across direct sales, partners, ecommerce, marketplaces, distributors and digital channels is defined, owned or managed.</t>
        </is>
      </c>
      <c r="N44" t="inlineStr">
        <is>
          <t>Channel strategy across direct sales, partners, ecommerce, marketplaces, distributors and digital channels is handled informally and depends on individual knowledge or heroic effort.</t>
        </is>
      </c>
      <c r="O44" t="inlineStr">
        <is>
          <t>Channel strategy across direct sales, partners, ecommerce, marketplaces, distributors and digital channels is partially documented or implemented, but coverage is inconsistent and not crisis-tested.</t>
        </is>
      </c>
      <c r="P44" t="inlineStr">
        <is>
          <t>Channel strategy across direct sales, partners, ecommerce, marketplaces, distributors and digital channels is documented, owned, used in normal operations and supported by basic evidence or metrics.</t>
        </is>
      </c>
      <c r="Q44" t="inlineStr">
        <is>
          <t>Channel strategy across direct sales, partners, ecommerce, marketplaces, distributors and digital channels is measured, periodically reviewed, integrated with related processes and tested against relevant disruption scenarios.</t>
        </is>
      </c>
      <c r="R44" t="inlineStr">
        <is>
          <t>Channel strategy across direct sales, partners, ecommerce, marketplaces, distributors and digital channels is optimized, continuously improved, automated where practical and demonstrably supports crisis resilience.</t>
        </is>
      </c>
      <c r="S44" t="inlineStr">
        <is>
          <t>Demand shock; Financial liquidity crisis; Reputation crisis</t>
        </is>
      </c>
      <c r="T44">
        <f>'Assessment Questions'!W44</f>
        <v/>
      </c>
      <c r="U44">
        <f>'Assessment Questions'!X44</f>
        <v/>
      </c>
      <c r="V44">
        <f>'Assessment Questions'!Y44</f>
        <v/>
      </c>
      <c r="W44" t="n">
        <v>4</v>
      </c>
      <c r="X44" t="n">
        <v>5</v>
      </c>
      <c r="Y44" t="n">
        <v>5</v>
      </c>
      <c r="Z44">
        <f>'Assessment Questions'!AC44</f>
        <v/>
      </c>
      <c r="AB44">
        <f>COUNTIF($B$24:$B$49,$AA44)</f>
        <v/>
      </c>
      <c r="AC44">
        <f>IFERROR(SUMPRODUCT(($B$24:$B$49=$AA44)*($H$24:$H$49&lt;&gt;"")*($H$24:$H$49&lt;&gt;"N/A")*IFERROR(VALUE($H$24:$H$49),0))/SUMPRODUCT(($B$24:$B$49=$AA44)*($H$24:$H$49&lt;&gt;"")*($H$24:$H$49&lt;&gt;"N/A")),0)</f>
        <v/>
      </c>
      <c r="AD44">
        <f>AC44/5</f>
        <v/>
      </c>
      <c r="AE44">
        <f>COUNTIFS($B$24:$B$49,$AA44,$L$24:$L$49,"Critical")+COUNTIFS($B$24:$B$49,$AA44,$L$24:$L$49,"High")</f>
        <v/>
      </c>
      <c r="AF44">
        <f>5-AC44</f>
        <v/>
      </c>
      <c r="AG44">
        <f>SUMPRODUCT(($B$24:$B$49=$AA44)*(ISNUMBER($H$24:$H$49)+($H$24:$H$49="N/A")))</f>
        <v/>
      </c>
      <c r="AH44">
        <f>'Assessment Questions'!AK44</f>
        <v/>
      </c>
      <c r="AI44">
        <f>'Assessment Questions'!AL44</f>
        <v/>
      </c>
      <c r="AJ44">
        <f>IF(OR($H44="",$H44="N/A"),"",IF($AH44="",VLOOKUP('Company Profile'!$B$40,_CONFIG_Model_Settings!$A$5:$B$8,2,FALSE),_xlfn.IFNA(VLOOKUP($AH44,_CONFIG_Model_Settings!$A$5:$B$8,2,FALSE),0.9)))</f>
        <v/>
      </c>
      <c r="AK44">
        <f>IF(OR($H44="",$H44="N/A"),"",IF($AI44="",VLOOKUP('Company Profile'!$B$41,_CONFIG_Model_Settings!$A$5:$B$8,2,FALSE),_xlfn.IFNA(VLOOKUP($AI44,_CONFIG_Model_Settings!$A$5:$B$8,2,FALSE),0.9)))</f>
        <v/>
      </c>
      <c r="AL44">
        <f>IF(OR($H44="",$H44="N/A"),"",ROUND(VALUE($H44)*$AJ44*$AK44*$AV44,2))</f>
        <v/>
      </c>
      <c r="AM44">
        <f>IF($AL44="","",ROUND($AL44/5*100,1))</f>
        <v/>
      </c>
      <c r="AN44">
        <f>IFERROR(MIN(5,MAX(0,(SUMIFS(_REF_Model_Content!$D$1:$D$157,_REF_Model_Content!$A$1:$A$157,'Company Profile'!$B$9,_REF_Model_Content!$B$1:$B$157,"Strategy GTM"))+_xlfn.IFNA(VLOOKUP('Company Profile'!$B$35,_CONFIG_Model_Settings!$A$11:$B$13,2,0),0))),"")</f>
        <v/>
      </c>
      <c r="AO44">
        <f>IF($AL44="","",MAX(0,ROUND($AN44-$AL44,2)))</f>
        <v/>
      </c>
      <c r="AP44">
        <f>IFERROR(SUMIFS(_REF_Model_Content!$E$1:$E$157,_REF_Model_Content!$A$1:$A$157,'Company Profile'!$B$9,_REF_Model_Content!$B$1:$B$157,"Strategy GTM"),1)</f>
        <v/>
      </c>
      <c r="AQ44">
        <f>IF($AO44="","",ROUND($AO44*$AP44*($G44/5),2))</f>
        <v/>
      </c>
      <c r="AR44">
        <f>IF($AO44="","",IF($AO44&gt;=2,"Critical industry gap",IF($AO44&gt;=1,"High industry gap",IF($AO44&gt;=0.5,"Moderate industry gap","Within target"))))</f>
        <v/>
      </c>
      <c r="AS44">
        <f>IF(OR($H44="",$H44="N/A"),0,VALUE($H44)*(($AJ44+$AK44)/2)*$AV44)</f>
        <v/>
      </c>
      <c r="AT44">
        <f>IF(OR($H44="",$H44="N/A"),0,($AJ44+$AK44)/2)</f>
        <v/>
      </c>
      <c r="AU44">
        <f>'Assessment Questions'!AX44</f>
        <v/>
      </c>
      <c r="AV44">
        <f>IF(OR($H44="",$H44="N/A"),"",IF(OR($AU44="",$AU44="Everywhere",$AU44="Not applicable"),1,IF($AU44="Pilot / one team",0.4,IF($AU44="One unit or site",0.7,0.9))))</f>
        <v/>
      </c>
      <c r="AW44" t="inlineStr">
        <is>
          <t>Strategy GTM</t>
        </is>
      </c>
      <c r="AX44" t="inlineStr">
        <is>
          <t>Strategy GTM</t>
        </is>
      </c>
      <c r="AY44" t="n">
        <v>25</v>
      </c>
      <c r="AZ44" t="n">
        <v>44</v>
      </c>
    </row>
    <row r="45">
      <c r="A45" t="inlineStr">
        <is>
          <t>STRA-022</t>
        </is>
      </c>
      <c r="B45" t="inlineStr">
        <is>
          <t>GTM execution</t>
        </is>
      </c>
      <c r="C45" t="inlineStr">
        <is>
          <t>How mature is the organization in managing win/loss analysis feeding back into strategy, offering, pricing and messaging, including ownership, evidence, metrics, fallback procedures and crisis stress testing?</t>
        </is>
      </c>
      <c r="D45" t="inlineStr">
        <is>
          <t>This topic affects exposure to Demand shock; Financial liquidity crisis; Reputation crisis. It helps identify how disruption may impact operations, people, revenue, systems, legal exposure or recovery time.</t>
        </is>
      </c>
      <c r="E45" t="inlineStr">
        <is>
          <t>ISO 9001; ISO 31000; ISO 37000; McKinsey 7S; OHI; Bain Elements of Value; Jobs-to-be-Done; Porter Five Forces; OKR</t>
        </is>
      </c>
      <c r="F45" t="inlineStr">
        <is>
          <t>Policy/SOP; owner/RACI; system report; dashboard; contracts; test records; incident history; interview evidence related to win/loss analysis feeding back into strategy, offering, pricing and messaging.</t>
        </is>
      </c>
      <c r="G45">
        <f>'Assessment Questions'!J45</f>
        <v/>
      </c>
      <c r="H45">
        <f>IF($Z45="","",IF($Z45="N/A","N/A",VALUE(LEFT($Z45,1))))</f>
        <v/>
      </c>
      <c r="I45">
        <f>IF($H45="","",IF($H45="N/A","",VALUE($H45)/5*$G45))</f>
        <v/>
      </c>
      <c r="J45">
        <f>IF(OR($H45="",$H45="N/A"),"",$G45)</f>
        <v/>
      </c>
      <c r="K45">
        <f>IF(OR($H45="",$H45="N/A"),"",$J45-$I45)</f>
        <v/>
      </c>
      <c r="L45">
        <f>IF($H45="","",IF($H45="N/A","N/A",IF(VALUE($H45)&lt;=1,"Critical",IF(VALUE($H45)&lt;=2,"High",IF(VALUE($H45)&lt;=3,"Medium",IF(VALUE($H45)&lt;=4,"Low","Resilient"))))))</f>
        <v/>
      </c>
      <c r="M45" t="inlineStr">
        <is>
          <t>Does not exist; no owner, no documentation, no practice.</t>
        </is>
      </c>
      <c r="N45" t="inlineStr">
        <is>
          <t>Ad hoc; depends entirely on specific individuals.</t>
        </is>
      </c>
      <c r="O45" t="inlineStr">
        <is>
          <t>Partially documented or implemented; coverage inconsistent; never tested under stress.</t>
        </is>
      </c>
      <c r="P45" t="inlineStr">
        <is>
          <t>Documented, owned, executed consistently; basic evidence and metrics exist.</t>
        </is>
      </c>
      <c r="Q45" t="inlineStr">
        <is>
          <t>Measured and periodically tested/audited; integrated with adjacent processes.</t>
        </is>
      </c>
      <c r="R45" t="inlineStr">
        <is>
          <t>Optimized and automated where practical; stress-tested; benchmarked externally.</t>
        </is>
      </c>
      <c r="S45" t="inlineStr">
        <is>
          <t>Demand shock; Financial liquidity crisis; Reputation crisis</t>
        </is>
      </c>
      <c r="T45">
        <f>'Assessment Questions'!W45</f>
        <v/>
      </c>
      <c r="U45">
        <f>'Assessment Questions'!X45</f>
        <v/>
      </c>
      <c r="V45">
        <f>'Assessment Questions'!Y45</f>
        <v/>
      </c>
      <c r="W45" t="n">
        <v>4</v>
      </c>
      <c r="X45" t="n">
        <v>5</v>
      </c>
      <c r="Y45" t="n">
        <v>5</v>
      </c>
      <c r="Z45">
        <f>'Assessment Questions'!AC45</f>
        <v/>
      </c>
      <c r="AB45">
        <f>COUNTIF($B$24:$B$49,$AA45)</f>
        <v/>
      </c>
      <c r="AC45">
        <f>IFERROR(SUMPRODUCT(($B$24:$B$49=$AA45)*($H$24:$H$49&lt;&gt;"")*($H$24:$H$49&lt;&gt;"N/A")*IFERROR(VALUE($H$24:$H$49),0))/SUMPRODUCT(($B$24:$B$49=$AA45)*($H$24:$H$49&lt;&gt;"")*($H$24:$H$49&lt;&gt;"N/A")),0)</f>
        <v/>
      </c>
      <c r="AD45">
        <f>AC45/5</f>
        <v/>
      </c>
      <c r="AE45">
        <f>COUNTIFS($B$24:$B$49,$AA45,$L$24:$L$49,"Critical")+COUNTIFS($B$24:$B$49,$AA45,$L$24:$L$49,"High")</f>
        <v/>
      </c>
      <c r="AF45">
        <f>5-AC45</f>
        <v/>
      </c>
      <c r="AG45">
        <f>SUMPRODUCT(($B$24:$B$49=$AA45)*(ISNUMBER($H$24:$H$49)+($H$24:$H$49="N/A")))</f>
        <v/>
      </c>
      <c r="AH45">
        <f>'Assessment Questions'!AK45</f>
        <v/>
      </c>
      <c r="AI45">
        <f>'Assessment Questions'!AL45</f>
        <v/>
      </c>
      <c r="AJ45">
        <f>IF(OR($H45="",$H45="N/A"),"",IF($AH45="",VLOOKUP('Company Profile'!$B$40,_CONFIG_Model_Settings!$A$5:$B$8,2,FALSE),_xlfn.IFNA(VLOOKUP($AH45,_CONFIG_Model_Settings!$A$5:$B$8,2,FALSE),0.9)))</f>
        <v/>
      </c>
      <c r="AK45">
        <f>IF(OR($H45="",$H45="N/A"),"",IF($AI45="",VLOOKUP('Company Profile'!$B$41,_CONFIG_Model_Settings!$A$5:$B$8,2,FALSE),_xlfn.IFNA(VLOOKUP($AI45,_CONFIG_Model_Settings!$A$5:$B$8,2,FALSE),0.9)))</f>
        <v/>
      </c>
      <c r="AL45">
        <f>IF(OR($H45="",$H45="N/A"),"",ROUND(VALUE($H45)*$AJ45*$AK45*$AV45,2))</f>
        <v/>
      </c>
      <c r="AM45">
        <f>IF($AL45="","",ROUND($AL45/5*100,1))</f>
        <v/>
      </c>
      <c r="AN45">
        <f>IFERROR(MIN(5,MAX(0,(SUMIFS(_REF_Model_Content!$D$1:$D$157,_REF_Model_Content!$A$1:$A$157,'Company Profile'!$B$9,_REF_Model_Content!$B$1:$B$157,"Strategy GTM"))+_xlfn.IFNA(VLOOKUP('Company Profile'!$B$35,_CONFIG_Model_Settings!$A$11:$B$13,2,0),0))),"")</f>
        <v/>
      </c>
      <c r="AO45">
        <f>IF($AL45="","",MAX(0,ROUND($AN45-$AL45,2)))</f>
        <v/>
      </c>
      <c r="AP45">
        <f>IFERROR(SUMIFS(_REF_Model_Content!$E$1:$E$157,_REF_Model_Content!$A$1:$A$157,'Company Profile'!$B$9,_REF_Model_Content!$B$1:$B$157,"Strategy GTM"),1)</f>
        <v/>
      </c>
      <c r="AQ45">
        <f>IF($AO45="","",ROUND($AO45*$AP45*($G45/5),2))</f>
        <v/>
      </c>
      <c r="AR45">
        <f>IF($AO45="","",IF($AO45&gt;=2,"Critical industry gap",IF($AO45&gt;=1,"High industry gap",IF($AO45&gt;=0.5,"Moderate industry gap","Within target"))))</f>
        <v/>
      </c>
      <c r="AS45">
        <f>IF(OR($H45="",$H45="N/A"),0,VALUE($H45)*(($AJ45+$AK45)/2)*$AV45)</f>
        <v/>
      </c>
      <c r="AT45">
        <f>IF(OR($H45="",$H45="N/A"),0,($AJ45+$AK45)/2)</f>
        <v/>
      </c>
      <c r="AU45">
        <f>'Assessment Questions'!AX45</f>
        <v/>
      </c>
      <c r="AV45">
        <f>IF(OR($H45="",$H45="N/A"),"",IF(OR($AU45="",$AU45="Everywhere",$AU45="Not applicable"),1,IF($AU45="Pilot / one team",0.4,IF($AU45="One unit or site",0.7,0.9))))</f>
        <v/>
      </c>
      <c r="AW45" t="inlineStr">
        <is>
          <t>Strategy GTM</t>
        </is>
      </c>
      <c r="AX45" t="inlineStr">
        <is>
          <t>Strategy GTM</t>
        </is>
      </c>
      <c r="AY45" t="n">
        <v>26</v>
      </c>
      <c r="AZ45" t="n">
        <v>45</v>
      </c>
    </row>
    <row r="46">
      <c r="A46" t="inlineStr">
        <is>
          <t>STRA-024</t>
        </is>
      </c>
      <c r="B46" t="inlineStr">
        <is>
          <t>GTM execution</t>
        </is>
      </c>
      <c r="C46" t="inlineStr">
        <is>
          <t>How mature is the organization in managing leading indicators for demand, churn, pricing pressure, conversion, sales velocity and customer health, including ownership, evidence, metrics, fallback procedures and crisis stress testing?</t>
        </is>
      </c>
      <c r="D46" t="inlineStr">
        <is>
          <t>This topic affects exposure to Demand shock; Financial liquidity crisis; Reputation crisis. It helps identify how disruption may impact operations, people, revenue, systems, legal exposure or recovery time.</t>
        </is>
      </c>
      <c r="E46" t="inlineStr">
        <is>
          <t>ISO 9001; ISO 31000; ISO 37000; McKinsey 7S; OHI; Bain Elements of Value; Jobs-to-be-Done; Porter Five Forces; OKR</t>
        </is>
      </c>
      <c r="F46" t="inlineStr">
        <is>
          <t>Policy/SOP; owner/RACI; system report; dashboard; contracts; test records; incident history; interview evidence related to leading indicators for demand, churn, pricing pressure, conversion, sales velocity and customer health.</t>
        </is>
      </c>
      <c r="G46">
        <f>'Assessment Questions'!J46</f>
        <v/>
      </c>
      <c r="H46">
        <f>IF($Z46="","",IF($Z46="N/A","N/A",VALUE(LEFT($Z46,1))))</f>
        <v/>
      </c>
      <c r="I46">
        <f>IF($H46="","",IF($H46="N/A","",VALUE($H46)/5*$G46))</f>
        <v/>
      </c>
      <c r="J46">
        <f>IF(OR($H46="",$H46="N/A"),"",$G46)</f>
        <v/>
      </c>
      <c r="K46">
        <f>IF(OR($H46="",$H46="N/A"),"",$J46-$I46)</f>
        <v/>
      </c>
      <c r="L46">
        <f>IF($H46="","",IF($H46="N/A","N/A",IF(VALUE($H46)&lt;=1,"Critical",IF(VALUE($H46)&lt;=2,"High",IF(VALUE($H46)&lt;=3,"Medium",IF(VALUE($H46)&lt;=4,"Low","Resilient"))))))</f>
        <v/>
      </c>
      <c r="M46" t="inlineStr">
        <is>
          <t>No reliable evidence that leading indicators for demand, churn, pricing pressure, conversion, sales velocity and customer health is defined, owned or managed.</t>
        </is>
      </c>
      <c r="N46" t="inlineStr">
        <is>
          <t>Leading indicators for demand, churn, pricing pressure, conversion, sales velocity and customer health is handled informally and depends on individual knowledge or heroic effort.</t>
        </is>
      </c>
      <c r="O46" t="inlineStr">
        <is>
          <t>Leading indicators for demand, churn, pricing pressure, conversion, sales velocity and customer health is partially documented or implemented, but coverage is inconsistent and not crisis-tested.</t>
        </is>
      </c>
      <c r="P46" t="inlineStr">
        <is>
          <t>Leading indicators for demand, churn, pricing pressure, conversion, sales velocity and customer health is documented, owned, used in normal operations and supported by basic evidence or metrics.</t>
        </is>
      </c>
      <c r="Q46" t="inlineStr">
        <is>
          <t>Leading indicators for demand, churn, pricing pressure, conversion, sales velocity and customer health is measured, periodically reviewed, integrated with related processes and tested against relevant disruption scenarios.</t>
        </is>
      </c>
      <c r="R46" t="inlineStr">
        <is>
          <t>Leading indicators for demand, churn, pricing pressure, conversion, sales velocity and customer health is optimized, continuously improved, automated where practical and demonstrably supports crisis resilience.</t>
        </is>
      </c>
      <c r="S46" t="inlineStr">
        <is>
          <t>Demand shock; Financial liquidity crisis; Reputation crisis</t>
        </is>
      </c>
      <c r="T46">
        <f>'Assessment Questions'!W46</f>
        <v/>
      </c>
      <c r="U46">
        <f>'Assessment Questions'!X46</f>
        <v/>
      </c>
      <c r="V46">
        <f>'Assessment Questions'!Y46</f>
        <v/>
      </c>
      <c r="W46" t="n">
        <v>4</v>
      </c>
      <c r="X46" t="n">
        <v>5</v>
      </c>
      <c r="Y46" t="n">
        <v>5</v>
      </c>
      <c r="Z46">
        <f>'Assessment Questions'!AC46</f>
        <v/>
      </c>
      <c r="AB46">
        <f>COUNTIF($B$24:$B$49,$AA46)</f>
        <v/>
      </c>
      <c r="AC46">
        <f>IFERROR(SUMPRODUCT(($B$24:$B$49=$AA46)*($H$24:$H$49&lt;&gt;"")*($H$24:$H$49&lt;&gt;"N/A")*IFERROR(VALUE($H$24:$H$49),0))/SUMPRODUCT(($B$24:$B$49=$AA46)*($H$24:$H$49&lt;&gt;"")*($H$24:$H$49&lt;&gt;"N/A")),0)</f>
        <v/>
      </c>
      <c r="AD46">
        <f>AC46/5</f>
        <v/>
      </c>
      <c r="AE46">
        <f>COUNTIFS($B$24:$B$49,$AA46,$L$24:$L$49,"Critical")+COUNTIFS($B$24:$B$49,$AA46,$L$24:$L$49,"High")</f>
        <v/>
      </c>
      <c r="AF46">
        <f>5-AC46</f>
        <v/>
      </c>
      <c r="AG46">
        <f>SUMPRODUCT(($B$24:$B$49=$AA46)*(ISNUMBER($H$24:$H$49)+($H$24:$H$49="N/A")))</f>
        <v/>
      </c>
      <c r="AH46">
        <f>'Assessment Questions'!AK46</f>
        <v/>
      </c>
      <c r="AI46">
        <f>'Assessment Questions'!AL46</f>
        <v/>
      </c>
      <c r="AJ46">
        <f>IF(OR($H46="",$H46="N/A"),"",IF($AH46="",VLOOKUP('Company Profile'!$B$40,_CONFIG_Model_Settings!$A$5:$B$8,2,FALSE),_xlfn.IFNA(VLOOKUP($AH46,_CONFIG_Model_Settings!$A$5:$B$8,2,FALSE),0.9)))</f>
        <v/>
      </c>
      <c r="AK46">
        <f>IF(OR($H46="",$H46="N/A"),"",IF($AI46="",VLOOKUP('Company Profile'!$B$41,_CONFIG_Model_Settings!$A$5:$B$8,2,FALSE),_xlfn.IFNA(VLOOKUP($AI46,_CONFIG_Model_Settings!$A$5:$B$8,2,FALSE),0.9)))</f>
        <v/>
      </c>
      <c r="AL46">
        <f>IF(OR($H46="",$H46="N/A"),"",ROUND(VALUE($H46)*$AJ46*$AK46*$AV46,2))</f>
        <v/>
      </c>
      <c r="AM46">
        <f>IF($AL46="","",ROUND($AL46/5*100,1))</f>
        <v/>
      </c>
      <c r="AN46">
        <f>IFERROR(MIN(5,MAX(0,(SUMIFS(_REF_Model_Content!$D$1:$D$157,_REF_Model_Content!$A$1:$A$157,'Company Profile'!$B$9,_REF_Model_Content!$B$1:$B$157,"Strategy GTM"))+_xlfn.IFNA(VLOOKUP('Company Profile'!$B$35,_CONFIG_Model_Settings!$A$11:$B$13,2,0),0))),"")</f>
        <v/>
      </c>
      <c r="AO46">
        <f>IF($AL46="","",MAX(0,ROUND($AN46-$AL46,2)))</f>
        <v/>
      </c>
      <c r="AP46">
        <f>IFERROR(SUMIFS(_REF_Model_Content!$E$1:$E$157,_REF_Model_Content!$A$1:$A$157,'Company Profile'!$B$9,_REF_Model_Content!$B$1:$B$157,"Strategy GTM"),1)</f>
        <v/>
      </c>
      <c r="AQ46">
        <f>IF($AO46="","",ROUND($AO46*$AP46*($G46/5),2))</f>
        <v/>
      </c>
      <c r="AR46">
        <f>IF($AO46="","",IF($AO46&gt;=2,"Critical industry gap",IF($AO46&gt;=1,"High industry gap",IF($AO46&gt;=0.5,"Moderate industry gap","Within target"))))</f>
        <v/>
      </c>
      <c r="AS46">
        <f>IF(OR($H46="",$H46="N/A"),0,VALUE($H46)*(($AJ46+$AK46)/2)*$AV46)</f>
        <v/>
      </c>
      <c r="AT46">
        <f>IF(OR($H46="",$H46="N/A"),0,($AJ46+$AK46)/2)</f>
        <v/>
      </c>
      <c r="AU46">
        <f>'Assessment Questions'!AX46</f>
        <v/>
      </c>
      <c r="AV46">
        <f>IF(OR($H46="",$H46="N/A"),"",IF(OR($AU46="",$AU46="Everywhere",$AU46="Not applicable"),1,IF($AU46="Pilot / one team",0.4,IF($AU46="One unit or site",0.7,0.9))))</f>
        <v/>
      </c>
      <c r="AW46" t="inlineStr">
        <is>
          <t>Strategy GTM</t>
        </is>
      </c>
      <c r="AX46" t="inlineStr">
        <is>
          <t>Strategy GTM</t>
        </is>
      </c>
      <c r="AY46" t="n">
        <v>27</v>
      </c>
      <c r="AZ46" t="n">
        <v>46</v>
      </c>
    </row>
    <row r="47">
      <c r="A47" t="inlineStr">
        <is>
          <t>STRA-025</t>
        </is>
      </c>
      <c r="B47" t="inlineStr">
        <is>
          <t>External relations and partnerships</t>
        </is>
      </c>
      <c r="C47" t="inlineStr">
        <is>
          <t>How mature is the organization in managing partner and alliance portfolio management with selection criteria, contracts, performance review and dependency control, including ownership, evidence, metrics, fallback procedures and crisis stress testing?</t>
        </is>
      </c>
      <c r="D47" t="inlineStr">
        <is>
          <t>This topic affects exposure to Demand shock; Supplier/logistics disruption; Reputation crisis. It helps identify how disruption may impact operations, people, revenue, systems, legal exposure or recovery time.</t>
        </is>
      </c>
      <c r="E47" t="inlineStr">
        <is>
          <t>APQC PCF 12.0; EFQM 2025 3.5; ISO 44001</t>
        </is>
      </c>
      <c r="F47" t="inlineStr">
        <is>
          <t>Policy/SOP; owner/RACI; system report; dashboard; contracts; test records; incident history; interview evidence related to documented strategy translated into objectives, KPIs, budgets and accountable owners.</t>
        </is>
      </c>
      <c r="G47">
        <f>'Assessment Questions'!J47</f>
        <v/>
      </c>
      <c r="H47">
        <f>IF($Z47="","",IF($Z47="N/A","N/A",VALUE(LEFT($Z47,1))))</f>
        <v/>
      </c>
      <c r="I47">
        <f>IF($H47="","",IF($H47="N/A","",VALUE($H47)/5*$G47))</f>
        <v/>
      </c>
      <c r="J47">
        <f>IF(OR($H47="",$H47="N/A"),"",$G47)</f>
        <v/>
      </c>
      <c r="K47">
        <f>IF(OR($H47="",$H47="N/A"),"",$J47-$I47)</f>
        <v/>
      </c>
      <c r="L47">
        <f>IF($H47="","",IF($H47="N/A","N/A",IF(VALUE($H47)&lt;=1,"Critical",IF(VALUE($H47)&lt;=2,"High",IF(VALUE($H47)&lt;=3,"Medium",IF(VALUE($H47)&lt;=4,"Low","Resilient"))))))</f>
        <v/>
      </c>
      <c r="M47" t="inlineStr">
        <is>
          <t>No reliable evidence that partner and alliance portfolio management with selection criteria, contracts, performance review and dependency control is defined, owned or managed.</t>
        </is>
      </c>
      <c r="N47" t="inlineStr">
        <is>
          <t>Partner and alliance portfolio management with selection criteria, contracts, performance review and dependency control is handled informally and depends on individual knowledge or heroic effort.</t>
        </is>
      </c>
      <c r="O47" t="inlineStr">
        <is>
          <t>Partner and alliance portfolio management with selection criteria, contracts, performance review and dependency control is partially documented or implemented, but coverage is inconsistent and not crisis-tested.</t>
        </is>
      </c>
      <c r="P47" t="inlineStr">
        <is>
          <t>Partner and alliance portfolio management with selection criteria, contracts, performance review and dependency control is documented, owned, used in normal operations and supported by basic evidence or metrics.</t>
        </is>
      </c>
      <c r="Q47" t="inlineStr">
        <is>
          <t>Partner and alliance portfolio management with selection criteria, contracts, performance review and dependency control is measured, periodically reviewed, integrated with related processes and tested against relevant disruption scenarios.</t>
        </is>
      </c>
      <c r="R47" t="inlineStr">
        <is>
          <t>Partner and alliance portfolio management with selection criteria, contracts, performance review and dependency control is optimized, continuously improved, automated where practical and demonstrably supports crisis resilience.</t>
        </is>
      </c>
      <c r="S47" t="inlineStr">
        <is>
          <t>Demand shock; Supplier/logistics disruption; Reputation crisis</t>
        </is>
      </c>
      <c r="T47">
        <f>'Assessment Questions'!W47</f>
        <v/>
      </c>
      <c r="U47">
        <f>'Assessment Questions'!X47</f>
        <v/>
      </c>
      <c r="V47">
        <f>'Assessment Questions'!Y47</f>
        <v/>
      </c>
      <c r="W47" t="n">
        <v>3</v>
      </c>
      <c r="X47" t="n">
        <v>4</v>
      </c>
      <c r="Y47" t="n">
        <v>4</v>
      </c>
      <c r="Z47">
        <f>'Assessment Questions'!AC47</f>
        <v/>
      </c>
      <c r="AB47">
        <f>COUNTIF($B$24:$B$49,$AA47)</f>
        <v/>
      </c>
      <c r="AC47">
        <f>IFERROR(SUMPRODUCT(($B$24:$B$49=$AA47)*($H$24:$H$49&lt;&gt;"")*($H$24:$H$49&lt;&gt;"N/A")*IFERROR(VALUE($H$24:$H$49),0))/SUMPRODUCT(($B$24:$B$49=$AA47)*($H$24:$H$49&lt;&gt;"")*($H$24:$H$49&lt;&gt;"N/A")),0)</f>
        <v/>
      </c>
      <c r="AD47">
        <f>AC47/5</f>
        <v/>
      </c>
      <c r="AE47">
        <f>COUNTIFS($B$24:$B$49,$AA47,$L$24:$L$49,"Critical")+COUNTIFS($B$24:$B$49,$AA47,$L$24:$L$49,"High")</f>
        <v/>
      </c>
      <c r="AF47">
        <f>5-AC47</f>
        <v/>
      </c>
      <c r="AG47">
        <f>SUMPRODUCT(($B$24:$B$49=$AA47)*(ISNUMBER($H$24:$H$49)+($H$24:$H$49="N/A")))</f>
        <v/>
      </c>
      <c r="AH47">
        <f>'Assessment Questions'!AK47</f>
        <v/>
      </c>
      <c r="AI47">
        <f>'Assessment Questions'!AL47</f>
        <v/>
      </c>
      <c r="AJ47">
        <f>IF(OR($H47="",$H47="N/A"),"",IF($AH47="",VLOOKUP('Company Profile'!$B$40,_CONFIG_Model_Settings!$A$5:$B$8,2,FALSE),_xlfn.IFNA(VLOOKUP($AH47,_CONFIG_Model_Settings!$A$5:$B$8,2,FALSE),0.9)))</f>
        <v/>
      </c>
      <c r="AK47">
        <f>IF(OR($H47="",$H47="N/A"),"",IF($AI47="",VLOOKUP('Company Profile'!$B$41,_CONFIG_Model_Settings!$A$5:$B$8,2,FALSE),_xlfn.IFNA(VLOOKUP($AI47,_CONFIG_Model_Settings!$A$5:$B$8,2,FALSE),0.9)))</f>
        <v/>
      </c>
      <c r="AL47">
        <f>IF(OR($H47="",$H47="N/A"),"",ROUND(VALUE($H47)*$AJ47*$AK47*$AV47,2))</f>
        <v/>
      </c>
      <c r="AM47">
        <f>IF($AL47="","",ROUND($AL47/5*100,1))</f>
        <v/>
      </c>
      <c r="AN47">
        <f>IFERROR(MIN(5,MAX(0,(SUMIFS(_REF_Model_Content!$D$1:$D$157,_REF_Model_Content!$A$1:$A$157,'Company Profile'!$B$9,_REF_Model_Content!$B$1:$B$157,"Strategy GTM"))+_xlfn.IFNA(VLOOKUP('Company Profile'!$B$35,_CONFIG_Model_Settings!$A$11:$B$13,2,0),0))),"")</f>
        <v/>
      </c>
      <c r="AO47">
        <f>IF($AL47="","",MAX(0,ROUND($AN47-$AL47,2)))</f>
        <v/>
      </c>
      <c r="AP47">
        <f>IFERROR(SUMIFS(_REF_Model_Content!$E$1:$E$157,_REF_Model_Content!$A$1:$A$157,'Company Profile'!$B$9,_REF_Model_Content!$B$1:$B$157,"Strategy GTM"),1)</f>
        <v/>
      </c>
      <c r="AQ47">
        <f>IF($AO47="","",ROUND($AO47*$AP47*($G47/5),2))</f>
        <v/>
      </c>
      <c r="AR47">
        <f>IF($AO47="","",IF($AO47&gt;=2,"Critical industry gap",IF($AO47&gt;=1,"High industry gap",IF($AO47&gt;=0.5,"Moderate industry gap","Within target"))))</f>
        <v/>
      </c>
      <c r="AS47">
        <f>IF(OR($H47="",$H47="N/A"),0,VALUE($H47)*(($AJ47+$AK47)/2)*$AV47)</f>
        <v/>
      </c>
      <c r="AT47">
        <f>IF(OR($H47="",$H47="N/A"),0,($AJ47+$AK47)/2)</f>
        <v/>
      </c>
      <c r="AU47">
        <f>'Assessment Questions'!AX47</f>
        <v/>
      </c>
      <c r="AV47">
        <f>IF(OR($H47="",$H47="N/A"),"",IF(OR($AU47="",$AU47="Everywhere",$AU47="Not applicable"),1,IF($AU47="Pilot / one team",0.4,IF($AU47="One unit or site",0.7,0.9))))</f>
        <v/>
      </c>
      <c r="AW47" t="inlineStr">
        <is>
          <t>Strategy GTM</t>
        </is>
      </c>
      <c r="AX47" t="inlineStr">
        <is>
          <t>Strategy GTM</t>
        </is>
      </c>
      <c r="AY47" t="n">
        <v>28</v>
      </c>
      <c r="AZ47" t="n">
        <v>47</v>
      </c>
    </row>
    <row r="48">
      <c r="A48" t="inlineStr">
        <is>
          <t>STRA-026</t>
        </is>
      </c>
      <c r="B48" t="inlineStr">
        <is>
          <t>External relations and partnerships</t>
        </is>
      </c>
      <c r="C48" t="inlineStr">
        <is>
          <t>How mature is the organization in managing government and regulator relations with named owners, engagement plan and crisis escalation contacts, including ownership, evidence, metrics, fallback procedures and crisis stress testing?</t>
        </is>
      </c>
      <c r="D48" t="inlineStr">
        <is>
          <t>This topic affects exposure to Regulatory/legal shock; War/security crisis. It helps identify how disruption may impact operations, people, revenue, systems, legal exposure or recovery time.</t>
        </is>
      </c>
      <c r="E48" t="inlineStr">
        <is>
          <t>APQC PCF 12.1; ISO 37301; PESTLE</t>
        </is>
      </c>
      <c r="F48" t="inlineStr">
        <is>
          <t>Policy/SOP; owner/RACI; system report; dashboard; contracts; test records; incident history; interview evidence related to documented strategy translated into objectives, KPIs, budgets and accountable owners.</t>
        </is>
      </c>
      <c r="G48">
        <f>'Assessment Questions'!J48</f>
        <v/>
      </c>
      <c r="H48">
        <f>IF($Z48="","",IF($Z48="N/A","N/A",VALUE(LEFT($Z48,1))))</f>
        <v/>
      </c>
      <c r="I48">
        <f>IF($H48="","",IF($H48="N/A","",VALUE($H48)/5*$G48))</f>
        <v/>
      </c>
      <c r="J48">
        <f>IF(OR($H48="",$H48="N/A"),"",$G48)</f>
        <v/>
      </c>
      <c r="K48">
        <f>IF(OR($H48="",$H48="N/A"),"",$J48-$I48)</f>
        <v/>
      </c>
      <c r="L48">
        <f>IF($H48="","",IF($H48="N/A","N/A",IF(VALUE($H48)&lt;=1,"Critical",IF(VALUE($H48)&lt;=2,"High",IF(VALUE($H48)&lt;=3,"Medium",IF(VALUE($H48)&lt;=4,"Low","Resilient"))))))</f>
        <v/>
      </c>
      <c r="M48" t="inlineStr">
        <is>
          <t>No reliable evidence that government and regulator relations with named owners, engagement plan and crisis escalation contacts is defined, owned or managed.</t>
        </is>
      </c>
      <c r="N48" t="inlineStr">
        <is>
          <t>Government and regulator relations with named owners, engagement plan and crisis escalation contacts is handled informally and depends on individual knowledge or heroic effort.</t>
        </is>
      </c>
      <c r="O48" t="inlineStr">
        <is>
          <t>Government and regulator relations with named owners, engagement plan and crisis escalation contacts is partially documented or implemented, but coverage is inconsistent and not crisis-tested.</t>
        </is>
      </c>
      <c r="P48" t="inlineStr">
        <is>
          <t>Government and regulator relations with named owners, engagement plan and crisis escalation contacts is documented, owned, used in normal operations and supported by basic evidence or metrics.</t>
        </is>
      </c>
      <c r="Q48" t="inlineStr">
        <is>
          <t>Government and regulator relations with named owners, engagement plan and crisis escalation contacts is measured, periodically reviewed, integrated with related processes and tested against relevant disruption scenarios.</t>
        </is>
      </c>
      <c r="R48" t="inlineStr">
        <is>
          <t>Government and regulator relations with named owners, engagement plan and crisis escalation contacts is optimized, continuously improved, automated where practical and demonstrably supports crisis resilience.</t>
        </is>
      </c>
      <c r="S48" t="inlineStr">
        <is>
          <t>Regulatory/legal shock; War/security crisis</t>
        </is>
      </c>
      <c r="T48">
        <f>'Assessment Questions'!W48</f>
        <v/>
      </c>
      <c r="U48">
        <f>'Assessment Questions'!X48</f>
        <v/>
      </c>
      <c r="V48">
        <f>'Assessment Questions'!Y48</f>
        <v/>
      </c>
      <c r="W48" t="n">
        <v>2</v>
      </c>
      <c r="X48" t="n">
        <v>4</v>
      </c>
      <c r="Y48" t="n">
        <v>3</v>
      </c>
      <c r="Z48">
        <f>'Assessment Questions'!AC48</f>
        <v/>
      </c>
      <c r="AB48">
        <f>COUNTIF($B$24:$B$49,$AA48)</f>
        <v/>
      </c>
      <c r="AC48">
        <f>IFERROR(SUMPRODUCT(($B$24:$B$49=$AA48)*($H$24:$H$49&lt;&gt;"")*($H$24:$H$49&lt;&gt;"N/A")*IFERROR(VALUE($H$24:$H$49),0))/SUMPRODUCT(($B$24:$B$49=$AA48)*($H$24:$H$49&lt;&gt;"")*($H$24:$H$49&lt;&gt;"N/A")),0)</f>
        <v/>
      </c>
      <c r="AD48">
        <f>AC48/5</f>
        <v/>
      </c>
      <c r="AE48">
        <f>COUNTIFS($B$24:$B$49,$AA48,$L$24:$L$49,"Critical")+COUNTIFS($B$24:$B$49,$AA48,$L$24:$L$49,"High")</f>
        <v/>
      </c>
      <c r="AF48">
        <f>5-AC48</f>
        <v/>
      </c>
      <c r="AG48">
        <f>SUMPRODUCT(($B$24:$B$49=$AA48)*(ISNUMBER($H$24:$H$49)+($H$24:$H$49="N/A")))</f>
        <v/>
      </c>
      <c r="AH48">
        <f>'Assessment Questions'!AK48</f>
        <v/>
      </c>
      <c r="AI48">
        <f>'Assessment Questions'!AL48</f>
        <v/>
      </c>
      <c r="AJ48">
        <f>IF(OR($H48="",$H48="N/A"),"",IF($AH48="",VLOOKUP('Company Profile'!$B$40,_CONFIG_Model_Settings!$A$5:$B$8,2,FALSE),_xlfn.IFNA(VLOOKUP($AH48,_CONFIG_Model_Settings!$A$5:$B$8,2,FALSE),0.9)))</f>
        <v/>
      </c>
      <c r="AK48">
        <f>IF(OR($H48="",$H48="N/A"),"",IF($AI48="",VLOOKUP('Company Profile'!$B$41,_CONFIG_Model_Settings!$A$5:$B$8,2,FALSE),_xlfn.IFNA(VLOOKUP($AI48,_CONFIG_Model_Settings!$A$5:$B$8,2,FALSE),0.9)))</f>
        <v/>
      </c>
      <c r="AL48">
        <f>IF(OR($H48="",$H48="N/A"),"",ROUND(VALUE($H48)*$AJ48*$AK48*$AV48,2))</f>
        <v/>
      </c>
      <c r="AM48">
        <f>IF($AL48="","",ROUND($AL48/5*100,1))</f>
        <v/>
      </c>
      <c r="AN48">
        <f>IFERROR(MIN(5,MAX(0,(SUMIFS(_REF_Model_Content!$D$1:$D$157,_REF_Model_Content!$A$1:$A$157,'Company Profile'!$B$9,_REF_Model_Content!$B$1:$B$157,"Strategy GTM"))+_xlfn.IFNA(VLOOKUP('Company Profile'!$B$35,_CONFIG_Model_Settings!$A$11:$B$13,2,0),0))),"")</f>
        <v/>
      </c>
      <c r="AO48">
        <f>IF($AL48="","",MAX(0,ROUND($AN48-$AL48,2)))</f>
        <v/>
      </c>
      <c r="AP48">
        <f>IFERROR(SUMIFS(_REF_Model_Content!$E$1:$E$157,_REF_Model_Content!$A$1:$A$157,'Company Profile'!$B$9,_REF_Model_Content!$B$1:$B$157,"Strategy GTM"),1)</f>
        <v/>
      </c>
      <c r="AQ48">
        <f>IF($AO48="","",ROUND($AO48*$AP48*($G48/5),2))</f>
        <v/>
      </c>
      <c r="AR48">
        <f>IF($AO48="","",IF($AO48&gt;=2,"Critical industry gap",IF($AO48&gt;=1,"High industry gap",IF($AO48&gt;=0.5,"Moderate industry gap","Within target"))))</f>
        <v/>
      </c>
      <c r="AS48">
        <f>IF(OR($H48="",$H48="N/A"),0,VALUE($H48)*(($AJ48+$AK48)/2)*$AV48)</f>
        <v/>
      </c>
      <c r="AT48">
        <f>IF(OR($H48="",$H48="N/A"),0,($AJ48+$AK48)/2)</f>
        <v/>
      </c>
      <c r="AU48">
        <f>'Assessment Questions'!AX48</f>
        <v/>
      </c>
      <c r="AV48">
        <f>IF(OR($H48="",$H48="N/A"),"",IF(OR($AU48="",$AU48="Everywhere",$AU48="Not applicable"),1,IF($AU48="Pilot / one team",0.4,IF($AU48="One unit or site",0.7,0.9))))</f>
        <v/>
      </c>
      <c r="AW48" t="inlineStr">
        <is>
          <t>Strategy GTM</t>
        </is>
      </c>
      <c r="AX48" t="inlineStr">
        <is>
          <t>Strategy GTM</t>
        </is>
      </c>
      <c r="AY48" t="n">
        <v>29</v>
      </c>
      <c r="AZ48" t="n">
        <v>48</v>
      </c>
    </row>
    <row r="49">
      <c r="A49" t="inlineStr">
        <is>
          <t>STRA-028</t>
        </is>
      </c>
      <c r="B49" t="inlineStr">
        <is>
          <t>External relations and partnerships</t>
        </is>
      </c>
      <c r="C49" t="inlineStr">
        <is>
          <t>How mature is the organization in managing owner, investor and lender communication discipline including bad-news protocols and crisis updates, including ownership, evidence, metrics, fallback procedures and crisis stress testing?</t>
        </is>
      </c>
      <c r="D49" t="inlineStr">
        <is>
          <t>This topic affects exposure to Financial/liquidity crisis; Reputation crisis. It helps identify how disruption may impact operations, people, revenue, systems, legal exposure or recovery time.</t>
        </is>
      </c>
      <c r="E49" t="inlineStr">
        <is>
          <t>APQC PCF 12.2; ISO 37000; COSO</t>
        </is>
      </c>
      <c r="F49" t="inlineStr">
        <is>
          <t>Policy/SOP; owner/RACI; system report; dashboard; contracts; test records; incident history; interview evidence related to documented strategy translated into objectives, KPIs, budgets and accountable owners.</t>
        </is>
      </c>
      <c r="G49">
        <f>'Assessment Questions'!J49</f>
        <v/>
      </c>
      <c r="H49">
        <f>IF($Z49="","",IF($Z49="N/A","N/A",VALUE(LEFT($Z49,1))))</f>
        <v/>
      </c>
      <c r="I49">
        <f>IF($H49="","",IF($H49="N/A","",VALUE($H49)/5*$G49))</f>
        <v/>
      </c>
      <c r="J49">
        <f>IF(OR($H49="",$H49="N/A"),"",$G49)</f>
        <v/>
      </c>
      <c r="K49">
        <f>IF(OR($H49="",$H49="N/A"),"",$J49-$I49)</f>
        <v/>
      </c>
      <c r="L49">
        <f>IF($H49="","",IF($H49="N/A","N/A",IF(VALUE($H49)&lt;=1,"Critical",IF(VALUE($H49)&lt;=2,"High",IF(VALUE($H49)&lt;=3,"Medium",IF(VALUE($H49)&lt;=4,"Low","Resilient"))))))</f>
        <v/>
      </c>
      <c r="M49" t="inlineStr">
        <is>
          <t>No reliable evidence that owner, investor and lender communication discipline including bad-news protocols and crisis updates is defined, owned or managed.</t>
        </is>
      </c>
      <c r="N49" t="inlineStr">
        <is>
          <t>Owner, investor and lender communication discipline including bad-news protocols and crisis updates is handled informally and depends on individual knowledge or heroic effort.</t>
        </is>
      </c>
      <c r="O49" t="inlineStr">
        <is>
          <t>Owner, investor and lender communication discipline including bad-news protocols and crisis updates is partially documented or implemented, but coverage is inconsistent and not crisis-tested.</t>
        </is>
      </c>
      <c r="P49" t="inlineStr">
        <is>
          <t>Owner, investor and lender communication discipline including bad-news protocols and crisis updates is documented, owned, used in normal operations and supported by basic evidence or metrics.</t>
        </is>
      </c>
      <c r="Q49" t="inlineStr">
        <is>
          <t>Owner, investor and lender communication discipline including bad-news protocols and crisis updates is measured, periodically reviewed, integrated with related processes and tested against relevant disruption scenarios.</t>
        </is>
      </c>
      <c r="R49" t="inlineStr">
        <is>
          <t>Owner, investor and lender communication discipline including bad-news protocols and crisis updates is optimized, continuously improved, automated where practical and demonstrably supports crisis resilience.</t>
        </is>
      </c>
      <c r="S49" t="inlineStr">
        <is>
          <t>Financial/liquidity crisis; Reputation crisis</t>
        </is>
      </c>
      <c r="T49">
        <f>'Assessment Questions'!W49</f>
        <v/>
      </c>
      <c r="U49">
        <f>'Assessment Questions'!X49</f>
        <v/>
      </c>
      <c r="V49">
        <f>'Assessment Questions'!Y49</f>
        <v/>
      </c>
      <c r="W49" t="n">
        <v>2</v>
      </c>
      <c r="X49" t="n">
        <v>4</v>
      </c>
      <c r="Y49" t="n">
        <v>4</v>
      </c>
      <c r="Z49">
        <f>'Assessment Questions'!AC49</f>
        <v/>
      </c>
      <c r="AB49">
        <f>COUNTIF($B$24:$B$49,$AA49)</f>
        <v/>
      </c>
      <c r="AC49">
        <f>IFERROR(SUMPRODUCT(($B$24:$B$49=$AA49)*($H$24:$H$49&lt;&gt;"")*($H$24:$H$49&lt;&gt;"N/A")*IFERROR(VALUE($H$24:$H$49),0))/SUMPRODUCT(($B$24:$B$49=$AA49)*($H$24:$H$49&lt;&gt;"")*($H$24:$H$49&lt;&gt;"N/A")),0)</f>
        <v/>
      </c>
      <c r="AD49">
        <f>AC49/5</f>
        <v/>
      </c>
      <c r="AE49">
        <f>COUNTIFS($B$24:$B$49,$AA49,$L$24:$L$49,"Critical")+COUNTIFS($B$24:$B$49,$AA49,$L$24:$L$49,"High")</f>
        <v/>
      </c>
      <c r="AF49">
        <f>5-AC49</f>
        <v/>
      </c>
      <c r="AG49">
        <f>SUMPRODUCT(($B$24:$B$49=$AA49)*(ISNUMBER($H$24:$H$49)+($H$24:$H$49="N/A")))</f>
        <v/>
      </c>
      <c r="AH49">
        <f>'Assessment Questions'!AK49</f>
        <v/>
      </c>
      <c r="AI49">
        <f>'Assessment Questions'!AL49</f>
        <v/>
      </c>
      <c r="AJ49">
        <f>IF(OR($H49="",$H49="N/A"),"",IF($AH49="",VLOOKUP('Company Profile'!$B$40,_CONFIG_Model_Settings!$A$5:$B$8,2,FALSE),_xlfn.IFNA(VLOOKUP($AH49,_CONFIG_Model_Settings!$A$5:$B$8,2,FALSE),0.9)))</f>
        <v/>
      </c>
      <c r="AK49">
        <f>IF(OR($H49="",$H49="N/A"),"",IF($AI49="",VLOOKUP('Company Profile'!$B$41,_CONFIG_Model_Settings!$A$5:$B$8,2,FALSE),_xlfn.IFNA(VLOOKUP($AI49,_CONFIG_Model_Settings!$A$5:$B$8,2,FALSE),0.9)))</f>
        <v/>
      </c>
      <c r="AL49">
        <f>IF(OR($H49="",$H49="N/A"),"",ROUND(VALUE($H49)*$AJ49*$AK49*$AV49,2))</f>
        <v/>
      </c>
      <c r="AM49">
        <f>IF($AL49="","",ROUND($AL49/5*100,1))</f>
        <v/>
      </c>
      <c r="AN49">
        <f>IFERROR(MIN(5,MAX(0,(SUMIFS(_REF_Model_Content!$D$1:$D$157,_REF_Model_Content!$A$1:$A$157,'Company Profile'!$B$9,_REF_Model_Content!$B$1:$B$157,"Strategy GTM"))+_xlfn.IFNA(VLOOKUP('Company Profile'!$B$35,_CONFIG_Model_Settings!$A$11:$B$13,2,0),0))),"")</f>
        <v/>
      </c>
      <c r="AO49">
        <f>IF($AL49="","",MAX(0,ROUND($AN49-$AL49,2)))</f>
        <v/>
      </c>
      <c r="AP49">
        <f>IFERROR(SUMIFS(_REF_Model_Content!$E$1:$E$157,_REF_Model_Content!$A$1:$A$157,'Company Profile'!$B$9,_REF_Model_Content!$B$1:$B$157,"Strategy GTM"),1)</f>
        <v/>
      </c>
      <c r="AQ49">
        <f>IF($AO49="","",ROUND($AO49*$AP49*($G49/5),2))</f>
        <v/>
      </c>
      <c r="AR49">
        <f>IF($AO49="","",IF($AO49&gt;=2,"Critical industry gap",IF($AO49&gt;=1,"High industry gap",IF($AO49&gt;=0.5,"Moderate industry gap","Within target"))))</f>
        <v/>
      </c>
      <c r="AS49">
        <f>IF(OR($H49="",$H49="N/A"),0,VALUE($H49)*(($AJ49+$AK49)/2)*$AV49)</f>
        <v/>
      </c>
      <c r="AT49">
        <f>IF(OR($H49="",$H49="N/A"),0,($AJ49+$AK49)/2)</f>
        <v/>
      </c>
      <c r="AU49">
        <f>'Assessment Questions'!AX49</f>
        <v/>
      </c>
      <c r="AV49">
        <f>IF(OR($H49="",$H49="N/A"),"",IF(OR($AU49="",$AU49="Everywhere",$AU49="Not applicable"),1,IF($AU49="Pilot / one team",0.4,IF($AU49="One unit or site",0.7,0.9))))</f>
        <v/>
      </c>
      <c r="AW49" t="inlineStr">
        <is>
          <t>Strategy GTM</t>
        </is>
      </c>
      <c r="AX49" t="inlineStr">
        <is>
          <t>Strategy GTM</t>
        </is>
      </c>
      <c r="AY49" t="n">
        <v>30</v>
      </c>
      <c r="AZ49" t="n">
        <v>49</v>
      </c>
    </row>
    <row r="50">
      <c r="A50" t="inlineStr">
        <is>
          <t>GOVE-001</t>
        </is>
      </c>
      <c r="B50" t="inlineStr">
        <is>
          <t>Crisis governance</t>
        </is>
      </c>
      <c r="C50" t="inlineStr">
        <is>
          <t>How mature is the organization in managing formal crisis management structure with named roles, deputies, escalation paths and decision authority, including ownership, evidence, metrics, fallback procedures and crisis stress testing?</t>
        </is>
      </c>
      <c r="D50" t="inlineStr">
        <is>
          <t>This topic affects exposure to All crisis types. It helps identify how disruption may impact operations, people, revenue, systems, legal exposure or recovery time.</t>
        </is>
      </c>
      <c r="E50" t="inlineStr">
        <is>
          <t>ISO 22301; ISO 22320; ISO 31000; ISO 37000; NIST SP 800-34; BCI Good Practice Guidelines; Bain RAPID</t>
        </is>
      </c>
      <c r="F50" t="inlineStr">
        <is>
          <t>Policy/SOP; owner/RACI; system report; dashboard; contracts; test records; incident history; interview evidence related to formal crisis management structure with named roles, deputies, escalation paths and decision authority.</t>
        </is>
      </c>
      <c r="G50">
        <f>'Assessment Questions'!J50</f>
        <v/>
      </c>
      <c r="H50">
        <f>IF($Z50="","",IF($Z50="N/A","N/A",VALUE(LEFT($Z50,1))))</f>
        <v/>
      </c>
      <c r="I50">
        <f>IF($H50="","",IF($H50="N/A","",VALUE($H50)/5*$G50))</f>
        <v/>
      </c>
      <c r="J50">
        <f>IF(OR($H50="",$H50="N/A"),"",$G50)</f>
        <v/>
      </c>
      <c r="K50">
        <f>IF(OR($H50="",$H50="N/A"),"",$J50-$I50)</f>
        <v/>
      </c>
      <c r="L50">
        <f>IF($H50="","",IF($H50="N/A","N/A",IF(VALUE($H50)&lt;=1,"Critical",IF(VALUE($H50)&lt;=2,"High",IF(VALUE($H50)&lt;=3,"Medium",IF(VALUE($H50)&lt;=4,"Low","Resilient"))))))</f>
        <v/>
      </c>
      <c r="M50" t="inlineStr">
        <is>
          <t>Does not exist; no owner, no documentation, no practice.</t>
        </is>
      </c>
      <c r="N50" t="inlineStr">
        <is>
          <t>Ad hoc; depends entirely on specific individuals.</t>
        </is>
      </c>
      <c r="O50" t="inlineStr">
        <is>
          <t>Partially documented or implemented; coverage inconsistent; never tested under stress.</t>
        </is>
      </c>
      <c r="P50" t="inlineStr">
        <is>
          <t>Documented, owned, executed consistently; basic evidence and metrics exist.</t>
        </is>
      </c>
      <c r="Q50" t="inlineStr">
        <is>
          <t>Measured and periodically tested/audited; integrated with adjacent processes.</t>
        </is>
      </c>
      <c r="R50" t="inlineStr">
        <is>
          <t>Optimized and automated where practical; stress-tested; benchmarked externally.</t>
        </is>
      </c>
      <c r="S50" t="inlineStr">
        <is>
          <t>All crisis types</t>
        </is>
      </c>
      <c r="T50">
        <f>'Assessment Questions'!W50</f>
        <v/>
      </c>
      <c r="U50">
        <f>'Assessment Questions'!X50</f>
        <v/>
      </c>
      <c r="V50">
        <f>'Assessment Questions'!Y50</f>
        <v/>
      </c>
      <c r="W50" t="n">
        <v>4</v>
      </c>
      <c r="X50" t="n">
        <v>5</v>
      </c>
      <c r="Y50" t="n">
        <v>5</v>
      </c>
      <c r="Z50">
        <f>'Assessment Questions'!AC50</f>
        <v/>
      </c>
      <c r="AA50" t="inlineStr">
        <is>
          <t>Crisis governance</t>
        </is>
      </c>
      <c r="AB50">
        <f>COUNTIF($B$50:$B$71,$AA50)</f>
        <v/>
      </c>
      <c r="AC50">
        <f>IFERROR(SUMPRODUCT(($B$50:$B$71=$AA50)*($H$50:$H$71&lt;&gt;"")*($H$50:$H$71&lt;&gt;"N/A")*IFERROR(VALUE($H$50:$H$71),0))/SUMPRODUCT(($B$50:$B$71=$AA50)*($H$50:$H$71&lt;&gt;"")*($H$50:$H$71&lt;&gt;"N/A")),0)</f>
        <v/>
      </c>
      <c r="AD50">
        <f>AC50/5</f>
        <v/>
      </c>
      <c r="AE50">
        <f>COUNTIFS($B$50:$B$71,$AA50,$L$50:$L$71,"Critical")+COUNTIFS($B$50:$B$71,$AA50,$L$50:$L$71,"High")</f>
        <v/>
      </c>
      <c r="AF50">
        <f>5-AC50</f>
        <v/>
      </c>
      <c r="AG50">
        <f>SUMPRODUCT(($B$50:$B$71=$AA50)*(ISNUMBER($H$50:$H$71)+($H$50:$H$71="N/A")))</f>
        <v/>
      </c>
      <c r="AH50">
        <f>'Assessment Questions'!AK50</f>
        <v/>
      </c>
      <c r="AI50">
        <f>'Assessment Questions'!AL50</f>
        <v/>
      </c>
      <c r="AJ50">
        <f>IF(OR($H50="",$H50="N/A"),"",IF($AH50="",VLOOKUP('Company Profile'!$B$40,_CONFIG_Model_Settings!$A$5:$B$8,2,FALSE),_xlfn.IFNA(VLOOKUP($AH50,_CONFIG_Model_Settings!$A$5:$B$8,2,FALSE),0.9)))</f>
        <v/>
      </c>
      <c r="AK50">
        <f>IF(OR($H50="",$H50="N/A"),"",IF($AI50="",VLOOKUP('Company Profile'!$B$41,_CONFIG_Model_Settings!$A$5:$B$8,2,FALSE),_xlfn.IFNA(VLOOKUP($AI50,_CONFIG_Model_Settings!$A$5:$B$8,2,FALSE),0.9)))</f>
        <v/>
      </c>
      <c r="AL50">
        <f>IF(OR($H50="",$H50="N/A"),"",ROUND(VALUE($H50)*$AJ50*$AK50*$AV50,2))</f>
        <v/>
      </c>
      <c r="AM50">
        <f>IF($AL50="","",ROUND($AL50/5*100,1))</f>
        <v/>
      </c>
      <c r="AN50">
        <f>IFERROR(MIN(5,MAX(0,(SUMIFS(_REF_Model_Content!$D$1:$D$157,_REF_Model_Content!$A$1:$A$157,'Company Profile'!$B$9,_REF_Model_Content!$B$1:$B$157,"Governance Crisis"))+_xlfn.IFNA(VLOOKUP('Company Profile'!$B$35,_CONFIG_Model_Settings!$A$11:$B$13,2,0),0))),"")</f>
        <v/>
      </c>
      <c r="AO50">
        <f>IF($AL50="","",MAX(0,ROUND($AN50-$AL50,2)))</f>
        <v/>
      </c>
      <c r="AP50">
        <f>IFERROR(SUMIFS(_REF_Model_Content!$E$1:$E$157,_REF_Model_Content!$A$1:$A$157,'Company Profile'!$B$9,_REF_Model_Content!$B$1:$B$157,"Governance Crisis"),1)</f>
        <v/>
      </c>
      <c r="AQ50">
        <f>IF($AO50="","",ROUND($AO50*$AP50*($G50/5),2))</f>
        <v/>
      </c>
      <c r="AR50">
        <f>IF($AO50="","",IF($AO50&gt;=2,"Critical industry gap",IF($AO50&gt;=1,"High industry gap",IF($AO50&gt;=0.5,"Moderate industry gap","Within target"))))</f>
        <v/>
      </c>
      <c r="AS50">
        <f>IF(OR($H50="",$H50="N/A"),0,VALUE($H50)*(($AJ50+$AK50)/2)*$AV50)</f>
        <v/>
      </c>
      <c r="AT50">
        <f>IF(OR($H50="",$H50="N/A"),0,($AJ50+$AK50)/2)</f>
        <v/>
      </c>
      <c r="AU50">
        <f>'Assessment Questions'!AX50</f>
        <v/>
      </c>
      <c r="AV50">
        <f>IF(OR($H50="",$H50="N/A"),"",IF(OR($AU50="",$AU50="Everywhere",$AU50="Not applicable"),1,IF($AU50="Pilot / one team",0.4,IF($AU50="One unit or site",0.7,0.9))))</f>
        <v/>
      </c>
      <c r="AW50" t="inlineStr">
        <is>
          <t>Governance Crisis</t>
        </is>
      </c>
      <c r="AX50" t="inlineStr">
        <is>
          <t>Governance Crisis</t>
        </is>
      </c>
      <c r="AY50" t="n">
        <v>5</v>
      </c>
      <c r="AZ50" t="n">
        <v>50</v>
      </c>
    </row>
    <row r="51">
      <c r="A51" t="inlineStr">
        <is>
          <t>GOVE-002</t>
        </is>
      </c>
      <c r="B51" t="inlineStr">
        <is>
          <t>Crisis governance</t>
        </is>
      </c>
      <c r="C51" t="inlineStr">
        <is>
          <t>How mature is the organization in managing executive crisis team trained for cross-functional crisis response, including ownership, evidence, metrics, fallback procedures and crisis stress testing?</t>
        </is>
      </c>
      <c r="D51" t="inlineStr">
        <is>
          <t>This topic affects exposure to All crisis types. It helps identify how disruption may impact operations, people, revenue, systems, legal exposure or recovery time.</t>
        </is>
      </c>
      <c r="E51" t="inlineStr">
        <is>
          <t>ISO 22301; ISO 22320; ISO 31000; ISO 37000; NIST SP 800-34; BCI Good Practice Guidelines; Bain RAPID</t>
        </is>
      </c>
      <c r="F51" t="inlineStr">
        <is>
          <t>Policy/SOP; owner/RACI; system report; dashboard; contracts; test records; incident history; interview evidence related to executive crisis team trained for cross-functional crisis response.</t>
        </is>
      </c>
      <c r="G51">
        <f>'Assessment Questions'!J51</f>
        <v/>
      </c>
      <c r="H51">
        <f>IF($Z51="","",IF($Z51="N/A","N/A",VALUE(LEFT($Z51,1))))</f>
        <v/>
      </c>
      <c r="I51">
        <f>IF($H51="","",IF($H51="N/A","",VALUE($H51)/5*$G51))</f>
        <v/>
      </c>
      <c r="J51">
        <f>IF(OR($H51="",$H51="N/A"),"",$G51)</f>
        <v/>
      </c>
      <c r="K51">
        <f>IF(OR($H51="",$H51="N/A"),"",$J51-$I51)</f>
        <v/>
      </c>
      <c r="L51">
        <f>IF($H51="","",IF($H51="N/A","N/A",IF(VALUE($H51)&lt;=1,"Critical",IF(VALUE($H51)&lt;=2,"High",IF(VALUE($H51)&lt;=3,"Medium",IF(VALUE($H51)&lt;=4,"Low","Resilient"))))))</f>
        <v/>
      </c>
      <c r="M51" t="inlineStr">
        <is>
          <t>Does not exist; no owner, no documentation, no practice.</t>
        </is>
      </c>
      <c r="N51" t="inlineStr">
        <is>
          <t>Ad hoc; depends entirely on specific individuals.</t>
        </is>
      </c>
      <c r="O51" t="inlineStr">
        <is>
          <t>Partially documented or implemented; coverage inconsistent; never tested under stress.</t>
        </is>
      </c>
      <c r="P51" t="inlineStr">
        <is>
          <t>Documented, owned, executed consistently; basic evidence and metrics exist.</t>
        </is>
      </c>
      <c r="Q51" t="inlineStr">
        <is>
          <t>Measured and periodically tested/audited; integrated with adjacent processes.</t>
        </is>
      </c>
      <c r="R51" t="inlineStr">
        <is>
          <t>Optimized and automated where practical; stress-tested; benchmarked externally.</t>
        </is>
      </c>
      <c r="S51" t="inlineStr">
        <is>
          <t>All crisis types</t>
        </is>
      </c>
      <c r="T51">
        <f>'Assessment Questions'!W51</f>
        <v/>
      </c>
      <c r="U51">
        <f>'Assessment Questions'!X51</f>
        <v/>
      </c>
      <c r="V51">
        <f>'Assessment Questions'!Y51</f>
        <v/>
      </c>
      <c r="W51" t="n">
        <v>4</v>
      </c>
      <c r="X51" t="n">
        <v>5</v>
      </c>
      <c r="Y51" t="n">
        <v>5</v>
      </c>
      <c r="Z51">
        <f>'Assessment Questions'!AC51</f>
        <v/>
      </c>
      <c r="AA51" t="inlineStr">
        <is>
          <t>Risk and continuity</t>
        </is>
      </c>
      <c r="AB51">
        <f>COUNTIF($B$50:$B$71,$AA51)</f>
        <v/>
      </c>
      <c r="AC51">
        <f>IFERROR(SUMPRODUCT(($B$50:$B$71=$AA51)*($H$50:$H$71&lt;&gt;"")*($H$50:$H$71&lt;&gt;"N/A")*IFERROR(VALUE($H$50:$H$71),0))/SUMPRODUCT(($B$50:$B$71=$AA51)*($H$50:$H$71&lt;&gt;"")*($H$50:$H$71&lt;&gt;"N/A")),0)</f>
        <v/>
      </c>
      <c r="AD51">
        <f>AC51/5</f>
        <v/>
      </c>
      <c r="AE51">
        <f>COUNTIFS($B$50:$B$71,$AA51,$L$50:$L$71,"Critical")+COUNTIFS($B$50:$B$71,$AA51,$L$50:$L$71,"High")</f>
        <v/>
      </c>
      <c r="AF51">
        <f>5-AC51</f>
        <v/>
      </c>
      <c r="AG51">
        <f>SUMPRODUCT(($B$50:$B$71=$AA51)*(ISNUMBER($H$50:$H$71)+($H$50:$H$71="N/A")))</f>
        <v/>
      </c>
      <c r="AH51">
        <f>'Assessment Questions'!AK51</f>
        <v/>
      </c>
      <c r="AI51">
        <f>'Assessment Questions'!AL51</f>
        <v/>
      </c>
      <c r="AJ51">
        <f>IF(OR($H51="",$H51="N/A"),"",IF($AH51="",VLOOKUP('Company Profile'!$B$40,_CONFIG_Model_Settings!$A$5:$B$8,2,FALSE),_xlfn.IFNA(VLOOKUP($AH51,_CONFIG_Model_Settings!$A$5:$B$8,2,FALSE),0.9)))</f>
        <v/>
      </c>
      <c r="AK51">
        <f>IF(OR($H51="",$H51="N/A"),"",IF($AI51="",VLOOKUP('Company Profile'!$B$41,_CONFIG_Model_Settings!$A$5:$B$8,2,FALSE),_xlfn.IFNA(VLOOKUP($AI51,_CONFIG_Model_Settings!$A$5:$B$8,2,FALSE),0.9)))</f>
        <v/>
      </c>
      <c r="AL51">
        <f>IF(OR($H51="",$H51="N/A"),"",ROUND(VALUE($H51)*$AJ51*$AK51*$AV51,2))</f>
        <v/>
      </c>
      <c r="AM51">
        <f>IF($AL51="","",ROUND($AL51/5*100,1))</f>
        <v/>
      </c>
      <c r="AN51">
        <f>IFERROR(MIN(5,MAX(0,(SUMIFS(_REF_Model_Content!$D$1:$D$157,_REF_Model_Content!$A$1:$A$157,'Company Profile'!$B$9,_REF_Model_Content!$B$1:$B$157,"Governance Crisis"))+_xlfn.IFNA(VLOOKUP('Company Profile'!$B$35,_CONFIG_Model_Settings!$A$11:$B$13,2,0),0))),"")</f>
        <v/>
      </c>
      <c r="AO51">
        <f>IF($AL51="","",MAX(0,ROUND($AN51-$AL51,2)))</f>
        <v/>
      </c>
      <c r="AP51">
        <f>IFERROR(SUMIFS(_REF_Model_Content!$E$1:$E$157,_REF_Model_Content!$A$1:$A$157,'Company Profile'!$B$9,_REF_Model_Content!$B$1:$B$157,"Governance Crisis"),1)</f>
        <v/>
      </c>
      <c r="AQ51">
        <f>IF($AO51="","",ROUND($AO51*$AP51*($G51/5),2))</f>
        <v/>
      </c>
      <c r="AR51">
        <f>IF($AO51="","",IF($AO51&gt;=2,"Critical industry gap",IF($AO51&gt;=1,"High industry gap",IF($AO51&gt;=0.5,"Moderate industry gap","Within target"))))</f>
        <v/>
      </c>
      <c r="AS51">
        <f>IF(OR($H51="",$H51="N/A"),0,VALUE($H51)*(($AJ51+$AK51)/2)*$AV51)</f>
        <v/>
      </c>
      <c r="AT51">
        <f>IF(OR($H51="",$H51="N/A"),0,($AJ51+$AK51)/2)</f>
        <v/>
      </c>
      <c r="AU51">
        <f>'Assessment Questions'!AX51</f>
        <v/>
      </c>
      <c r="AV51">
        <f>IF(OR($H51="",$H51="N/A"),"",IF(OR($AU51="",$AU51="Everywhere",$AU51="Not applicable"),1,IF($AU51="Pilot / one team",0.4,IF($AU51="One unit or site",0.7,0.9))))</f>
        <v/>
      </c>
      <c r="AW51" t="inlineStr">
        <is>
          <t>Governance Crisis</t>
        </is>
      </c>
      <c r="AX51" t="inlineStr">
        <is>
          <t>Governance Crisis</t>
        </is>
      </c>
      <c r="AY51" t="n">
        <v>6</v>
      </c>
      <c r="AZ51" t="n">
        <v>51</v>
      </c>
    </row>
    <row r="52">
      <c r="A52" t="inlineStr">
        <is>
          <t>GOVE-003</t>
        </is>
      </c>
      <c r="B52" t="inlineStr">
        <is>
          <t>Crisis governance</t>
        </is>
      </c>
      <c r="C52" t="inlineStr">
        <is>
          <t>How mature is the organization in managing clear crisis decision rights for finance, people, operations, IT, legal, safety and communications, including ownership, evidence, metrics, fallback procedures and crisis stress testing?</t>
        </is>
      </c>
      <c r="D52" t="inlineStr">
        <is>
          <t>This topic affects exposure to All crisis types. It helps identify how disruption may impact operations, people, revenue, systems, legal exposure or recovery time.</t>
        </is>
      </c>
      <c r="E52" t="inlineStr">
        <is>
          <t>ISO 22301; ISO 22320; ISO 31000; ISO 37000; NIST SP 800-34; BCI Good Practice Guidelines; Bain RAPID</t>
        </is>
      </c>
      <c r="F52" t="inlineStr">
        <is>
          <t>Policy/SOP; owner/RACI; system report; dashboard; contracts; test records; incident history; interview evidence related to clear crisis decision rights for finance, people, operations, IT, legal, safety and communications.</t>
        </is>
      </c>
      <c r="G52">
        <f>'Assessment Questions'!J52</f>
        <v/>
      </c>
      <c r="H52">
        <f>IF($Z52="","",IF($Z52="N/A","N/A",VALUE(LEFT($Z52,1))))</f>
        <v/>
      </c>
      <c r="I52">
        <f>IF($H52="","",IF($H52="N/A","",VALUE($H52)/5*$G52))</f>
        <v/>
      </c>
      <c r="J52">
        <f>IF(OR($H52="",$H52="N/A"),"",$G52)</f>
        <v/>
      </c>
      <c r="K52">
        <f>IF(OR($H52="",$H52="N/A"),"",$J52-$I52)</f>
        <v/>
      </c>
      <c r="L52">
        <f>IF($H52="","",IF($H52="N/A","N/A",IF(VALUE($H52)&lt;=1,"Critical",IF(VALUE($H52)&lt;=2,"High",IF(VALUE($H52)&lt;=3,"Medium",IF(VALUE($H52)&lt;=4,"Low","Resilient"))))))</f>
        <v/>
      </c>
      <c r="M52" t="inlineStr">
        <is>
          <t>Does not exist; no owner, no documentation, no practice.</t>
        </is>
      </c>
      <c r="N52" t="inlineStr">
        <is>
          <t>Ad hoc; depends entirely on specific individuals.</t>
        </is>
      </c>
      <c r="O52" t="inlineStr">
        <is>
          <t>Partially documented or implemented; coverage inconsistent; never tested under stress.</t>
        </is>
      </c>
      <c r="P52" t="inlineStr">
        <is>
          <t>Documented, owned, executed consistently; basic evidence and metrics exist.</t>
        </is>
      </c>
      <c r="Q52" t="inlineStr">
        <is>
          <t>Measured and periodically tested/audited; integrated with adjacent processes.</t>
        </is>
      </c>
      <c r="R52" t="inlineStr">
        <is>
          <t>Optimized and automated where practical; stress-tested; benchmarked externally.</t>
        </is>
      </c>
      <c r="S52" t="inlineStr">
        <is>
          <t>All crisis types</t>
        </is>
      </c>
      <c r="T52">
        <f>'Assessment Questions'!W52</f>
        <v/>
      </c>
      <c r="U52">
        <f>'Assessment Questions'!X52</f>
        <v/>
      </c>
      <c r="V52">
        <f>'Assessment Questions'!Y52</f>
        <v/>
      </c>
      <c r="W52" t="n">
        <v>4</v>
      </c>
      <c r="X52" t="n">
        <v>5</v>
      </c>
      <c r="Y52" t="n">
        <v>5</v>
      </c>
      <c r="Z52">
        <f>'Assessment Questions'!AC52</f>
        <v/>
      </c>
      <c r="AA52" t="inlineStr">
        <is>
          <t>Incident management</t>
        </is>
      </c>
      <c r="AB52">
        <f>COUNTIF($B$50:$B$71,$AA52)</f>
        <v/>
      </c>
      <c r="AC52">
        <f>IFERROR(SUMPRODUCT(($B$50:$B$71=$AA52)*($H$50:$H$71&lt;&gt;"")*($H$50:$H$71&lt;&gt;"N/A")*IFERROR(VALUE($H$50:$H$71),0))/SUMPRODUCT(($B$50:$B$71=$AA52)*($H$50:$H$71&lt;&gt;"")*($H$50:$H$71&lt;&gt;"N/A")),0)</f>
        <v/>
      </c>
      <c r="AD52">
        <f>AC52/5</f>
        <v/>
      </c>
      <c r="AE52">
        <f>COUNTIFS($B$50:$B$71,$AA52,$L$50:$L$71,"Critical")+COUNTIFS($B$50:$B$71,$AA52,$L$50:$L$71,"High")</f>
        <v/>
      </c>
      <c r="AF52">
        <f>5-AC52</f>
        <v/>
      </c>
      <c r="AG52">
        <f>SUMPRODUCT(($B$50:$B$71=$AA52)*(ISNUMBER($H$50:$H$71)+($H$50:$H$71="N/A")))</f>
        <v/>
      </c>
      <c r="AH52">
        <f>'Assessment Questions'!AK52</f>
        <v/>
      </c>
      <c r="AI52">
        <f>'Assessment Questions'!AL52</f>
        <v/>
      </c>
      <c r="AJ52">
        <f>IF(OR($H52="",$H52="N/A"),"",IF($AH52="",VLOOKUP('Company Profile'!$B$40,_CONFIG_Model_Settings!$A$5:$B$8,2,FALSE),_xlfn.IFNA(VLOOKUP($AH52,_CONFIG_Model_Settings!$A$5:$B$8,2,FALSE),0.9)))</f>
        <v/>
      </c>
      <c r="AK52">
        <f>IF(OR($H52="",$H52="N/A"),"",IF($AI52="",VLOOKUP('Company Profile'!$B$41,_CONFIG_Model_Settings!$A$5:$B$8,2,FALSE),_xlfn.IFNA(VLOOKUP($AI52,_CONFIG_Model_Settings!$A$5:$B$8,2,FALSE),0.9)))</f>
        <v/>
      </c>
      <c r="AL52">
        <f>IF(OR($H52="",$H52="N/A"),"",ROUND(VALUE($H52)*$AJ52*$AK52*$AV52,2))</f>
        <v/>
      </c>
      <c r="AM52">
        <f>IF($AL52="","",ROUND($AL52/5*100,1))</f>
        <v/>
      </c>
      <c r="AN52">
        <f>IFERROR(MIN(5,MAX(0,(SUMIFS(_REF_Model_Content!$D$1:$D$157,_REF_Model_Content!$A$1:$A$157,'Company Profile'!$B$9,_REF_Model_Content!$B$1:$B$157,"Governance Crisis"))+_xlfn.IFNA(VLOOKUP('Company Profile'!$B$35,_CONFIG_Model_Settings!$A$11:$B$13,2,0),0))),"")</f>
        <v/>
      </c>
      <c r="AO52">
        <f>IF($AL52="","",MAX(0,ROUND($AN52-$AL52,2)))</f>
        <v/>
      </c>
      <c r="AP52">
        <f>IFERROR(SUMIFS(_REF_Model_Content!$E$1:$E$157,_REF_Model_Content!$A$1:$A$157,'Company Profile'!$B$9,_REF_Model_Content!$B$1:$B$157,"Governance Crisis"),1)</f>
        <v/>
      </c>
      <c r="AQ52">
        <f>IF($AO52="","",ROUND($AO52*$AP52*($G52/5),2))</f>
        <v/>
      </c>
      <c r="AR52">
        <f>IF($AO52="","",IF($AO52&gt;=2,"Critical industry gap",IF($AO52&gt;=1,"High industry gap",IF($AO52&gt;=0.5,"Moderate industry gap","Within target"))))</f>
        <v/>
      </c>
      <c r="AS52">
        <f>IF(OR($H52="",$H52="N/A"),0,VALUE($H52)*(($AJ52+$AK52)/2)*$AV52)</f>
        <v/>
      </c>
      <c r="AT52">
        <f>IF(OR($H52="",$H52="N/A"),0,($AJ52+$AK52)/2)</f>
        <v/>
      </c>
      <c r="AU52">
        <f>'Assessment Questions'!AX52</f>
        <v/>
      </c>
      <c r="AV52">
        <f>IF(OR($H52="",$H52="N/A"),"",IF(OR($AU52="",$AU52="Everywhere",$AU52="Not applicable"),1,IF($AU52="Pilot / one team",0.4,IF($AU52="One unit or site",0.7,0.9))))</f>
        <v/>
      </c>
      <c r="AW52" t="inlineStr">
        <is>
          <t>Governance Crisis</t>
        </is>
      </c>
      <c r="AX52" t="inlineStr">
        <is>
          <t>Governance Crisis</t>
        </is>
      </c>
      <c r="AY52" t="n">
        <v>7</v>
      </c>
      <c r="AZ52" t="n">
        <v>52</v>
      </c>
    </row>
    <row r="53">
      <c r="A53" t="inlineStr">
        <is>
          <t>GOVE-004</t>
        </is>
      </c>
      <c r="B53" t="inlineStr">
        <is>
          <t>Crisis governance</t>
        </is>
      </c>
      <c r="C53" t="inlineStr">
        <is>
          <t>How mature is the organization in managing crisis cadence for situation reports, decisions, action owners, deadlines and follow-up, including ownership, evidence, metrics, fallback procedures and crisis stress testing?</t>
        </is>
      </c>
      <c r="D53" t="inlineStr">
        <is>
          <t>This topic affects exposure to All crisis types. It helps identify how disruption may impact operations, people, revenue, systems, legal exposure or recovery time.</t>
        </is>
      </c>
      <c r="E53" t="inlineStr">
        <is>
          <t>ISO 22301; ISO 22320; ISO 31000; ISO 37000; NIST SP 800-34; BCI Good Practice Guidelines; Bain RAPID</t>
        </is>
      </c>
      <c r="F53" t="inlineStr">
        <is>
          <t>Policy/SOP; owner/RACI; system report; dashboard; contracts; test records; incident history; interview evidence related to crisis cadence for situation reports, decisions, action owners, deadlines and follow-up.</t>
        </is>
      </c>
      <c r="G53">
        <f>'Assessment Questions'!J53</f>
        <v/>
      </c>
      <c r="H53">
        <f>IF($Z53="","",IF($Z53="N/A","N/A",VALUE(LEFT($Z53,1))))</f>
        <v/>
      </c>
      <c r="I53">
        <f>IF($H53="","",IF($H53="N/A","",VALUE($H53)/5*$G53))</f>
        <v/>
      </c>
      <c r="J53">
        <f>IF(OR($H53="",$H53="N/A"),"",$G53)</f>
        <v/>
      </c>
      <c r="K53">
        <f>IF(OR($H53="",$H53="N/A"),"",$J53-$I53)</f>
        <v/>
      </c>
      <c r="L53">
        <f>IF($H53="","",IF($H53="N/A","N/A",IF(VALUE($H53)&lt;=1,"Critical",IF(VALUE($H53)&lt;=2,"High",IF(VALUE($H53)&lt;=3,"Medium",IF(VALUE($H53)&lt;=4,"Low","Resilient"))))))</f>
        <v/>
      </c>
      <c r="M53" t="inlineStr">
        <is>
          <t>Does not exist; no owner, no documentation, no practice.</t>
        </is>
      </c>
      <c r="N53" t="inlineStr">
        <is>
          <t>Ad hoc; depends entirely on specific individuals.</t>
        </is>
      </c>
      <c r="O53" t="inlineStr">
        <is>
          <t>Partially documented or implemented; coverage inconsistent; never tested under stress.</t>
        </is>
      </c>
      <c r="P53" t="inlineStr">
        <is>
          <t>Documented, owned, executed consistently; basic evidence and metrics exist.</t>
        </is>
      </c>
      <c r="Q53" t="inlineStr">
        <is>
          <t>Measured and periodically tested/audited; integrated with adjacent processes.</t>
        </is>
      </c>
      <c r="R53" t="inlineStr">
        <is>
          <t>Optimized and automated where practical; stress-tested; benchmarked externally.</t>
        </is>
      </c>
      <c r="S53" t="inlineStr">
        <is>
          <t>All crisis types</t>
        </is>
      </c>
      <c r="T53">
        <f>'Assessment Questions'!W53</f>
        <v/>
      </c>
      <c r="U53">
        <f>'Assessment Questions'!X53</f>
        <v/>
      </c>
      <c r="V53">
        <f>'Assessment Questions'!Y53</f>
        <v/>
      </c>
      <c r="W53" t="n">
        <v>4</v>
      </c>
      <c r="X53" t="n">
        <v>5</v>
      </c>
      <c r="Y53" t="n">
        <v>5</v>
      </c>
      <c r="Z53">
        <f>'Assessment Questions'!AC53</f>
        <v/>
      </c>
      <c r="AB53">
        <f>COUNTIF($B$50:$B$71,$AA53)</f>
        <v/>
      </c>
      <c r="AC53">
        <f>IFERROR(SUMPRODUCT(($B$50:$B$71=$AA53)*($H$50:$H$71&lt;&gt;"")*($H$50:$H$71&lt;&gt;"N/A")*IFERROR(VALUE($H$50:$H$71),0))/SUMPRODUCT(($B$50:$B$71=$AA53)*($H$50:$H$71&lt;&gt;"")*($H$50:$H$71&lt;&gt;"N/A")),0)</f>
        <v/>
      </c>
      <c r="AD53">
        <f>AC53/5</f>
        <v/>
      </c>
      <c r="AE53">
        <f>COUNTIFS($B$50:$B$71,$AA53,$L$50:$L$71,"Critical")+COUNTIFS($B$50:$B$71,$AA53,$L$50:$L$71,"High")</f>
        <v/>
      </c>
      <c r="AF53">
        <f>5-AC53</f>
        <v/>
      </c>
      <c r="AG53">
        <f>SUMPRODUCT(($B$50:$B$71=$AA53)*(ISNUMBER($H$50:$H$71)+($H$50:$H$71="N/A")))</f>
        <v/>
      </c>
      <c r="AH53">
        <f>'Assessment Questions'!AK53</f>
        <v/>
      </c>
      <c r="AI53">
        <f>'Assessment Questions'!AL53</f>
        <v/>
      </c>
      <c r="AJ53">
        <f>IF(OR($H53="",$H53="N/A"),"",IF($AH53="",VLOOKUP('Company Profile'!$B$40,_CONFIG_Model_Settings!$A$5:$B$8,2,FALSE),_xlfn.IFNA(VLOOKUP($AH53,_CONFIG_Model_Settings!$A$5:$B$8,2,FALSE),0.9)))</f>
        <v/>
      </c>
      <c r="AK53">
        <f>IF(OR($H53="",$H53="N/A"),"",IF($AI53="",VLOOKUP('Company Profile'!$B$41,_CONFIG_Model_Settings!$A$5:$B$8,2,FALSE),_xlfn.IFNA(VLOOKUP($AI53,_CONFIG_Model_Settings!$A$5:$B$8,2,FALSE),0.9)))</f>
        <v/>
      </c>
      <c r="AL53">
        <f>IF(OR($H53="",$H53="N/A"),"",ROUND(VALUE($H53)*$AJ53*$AK53*$AV53,2))</f>
        <v/>
      </c>
      <c r="AM53">
        <f>IF($AL53="","",ROUND($AL53/5*100,1))</f>
        <v/>
      </c>
      <c r="AN53">
        <f>IFERROR(MIN(5,MAX(0,(SUMIFS(_REF_Model_Content!$D$1:$D$157,_REF_Model_Content!$A$1:$A$157,'Company Profile'!$B$9,_REF_Model_Content!$B$1:$B$157,"Governance Crisis"))+_xlfn.IFNA(VLOOKUP('Company Profile'!$B$35,_CONFIG_Model_Settings!$A$11:$B$13,2,0),0))),"")</f>
        <v/>
      </c>
      <c r="AO53">
        <f>IF($AL53="","",MAX(0,ROUND($AN53-$AL53,2)))</f>
        <v/>
      </c>
      <c r="AP53">
        <f>IFERROR(SUMIFS(_REF_Model_Content!$E$1:$E$157,_REF_Model_Content!$A$1:$A$157,'Company Profile'!$B$9,_REF_Model_Content!$B$1:$B$157,"Governance Crisis"),1)</f>
        <v/>
      </c>
      <c r="AQ53">
        <f>IF($AO53="","",ROUND($AO53*$AP53*($G53/5),2))</f>
        <v/>
      </c>
      <c r="AR53">
        <f>IF($AO53="","",IF($AO53&gt;=2,"Critical industry gap",IF($AO53&gt;=1,"High industry gap",IF($AO53&gt;=0.5,"Moderate industry gap","Within target"))))</f>
        <v/>
      </c>
      <c r="AS53">
        <f>IF(OR($H53="",$H53="N/A"),0,VALUE($H53)*(($AJ53+$AK53)/2)*$AV53)</f>
        <v/>
      </c>
      <c r="AT53">
        <f>IF(OR($H53="",$H53="N/A"),0,($AJ53+$AK53)/2)</f>
        <v/>
      </c>
      <c r="AU53">
        <f>'Assessment Questions'!AX53</f>
        <v/>
      </c>
      <c r="AV53">
        <f>IF(OR($H53="",$H53="N/A"),"",IF(OR($AU53="",$AU53="Everywhere",$AU53="Not applicable"),1,IF($AU53="Pilot / one team",0.4,IF($AU53="One unit or site",0.7,0.9))))</f>
        <v/>
      </c>
      <c r="AW53" t="inlineStr">
        <is>
          <t>Governance Crisis</t>
        </is>
      </c>
      <c r="AX53" t="inlineStr">
        <is>
          <t>Governance Crisis</t>
        </is>
      </c>
      <c r="AY53" t="n">
        <v>8</v>
      </c>
      <c r="AZ53" t="n">
        <v>53</v>
      </c>
    </row>
    <row r="54">
      <c r="A54" t="inlineStr">
        <is>
          <t>GOVE-005</t>
        </is>
      </c>
      <c r="B54" t="inlineStr">
        <is>
          <t>Crisis governance</t>
        </is>
      </c>
      <c r="C54" t="inlineStr">
        <is>
          <t>How mature is the organization in managing board or owner-level oversight of resilience, continuity and enterprise risk, including ownership, evidence, metrics, fallback procedures and crisis stress testing?</t>
        </is>
      </c>
      <c r="D54" t="inlineStr">
        <is>
          <t>This topic affects exposure to All crisis types. It helps identify how disruption may impact operations, people, revenue, systems, legal exposure or recovery time.</t>
        </is>
      </c>
      <c r="E54" t="inlineStr">
        <is>
          <t>ISO 22301; ISO 22320; ISO 31000; ISO 37000; NIST SP 800-34; BCI Good Practice Guidelines; Bain RAPID</t>
        </is>
      </c>
      <c r="F54" t="inlineStr">
        <is>
          <t>Policy/SOP; owner/RACI; system report; dashboard; contracts; test records; incident history; interview evidence related to board or owner-level oversight of resilience, continuity and enterprise risk.</t>
        </is>
      </c>
      <c r="G54">
        <f>'Assessment Questions'!J54</f>
        <v/>
      </c>
      <c r="H54">
        <f>IF($Z54="","",IF($Z54="N/A","N/A",VALUE(LEFT($Z54,1))))</f>
        <v/>
      </c>
      <c r="I54">
        <f>IF($H54="","",IF($H54="N/A","",VALUE($H54)/5*$G54))</f>
        <v/>
      </c>
      <c r="J54">
        <f>IF(OR($H54="",$H54="N/A"),"",$G54)</f>
        <v/>
      </c>
      <c r="K54">
        <f>IF(OR($H54="",$H54="N/A"),"",$J54-$I54)</f>
        <v/>
      </c>
      <c r="L54">
        <f>IF($H54="","",IF($H54="N/A","N/A",IF(VALUE($H54)&lt;=1,"Critical",IF(VALUE($H54)&lt;=2,"High",IF(VALUE($H54)&lt;=3,"Medium",IF(VALUE($H54)&lt;=4,"Low","Resilient"))))))</f>
        <v/>
      </c>
      <c r="M54" t="inlineStr">
        <is>
          <t>Does not exist; no owner, no documentation, no practice.</t>
        </is>
      </c>
      <c r="N54" t="inlineStr">
        <is>
          <t>Ad hoc; depends entirely on specific individuals.</t>
        </is>
      </c>
      <c r="O54" t="inlineStr">
        <is>
          <t>Partially documented or implemented; coverage inconsistent; never tested under stress.</t>
        </is>
      </c>
      <c r="P54" t="inlineStr">
        <is>
          <t>Documented, owned, executed consistently; basic evidence and metrics exist.</t>
        </is>
      </c>
      <c r="Q54" t="inlineStr">
        <is>
          <t>Measured and periodically tested/audited; integrated with adjacent processes.</t>
        </is>
      </c>
      <c r="R54" t="inlineStr">
        <is>
          <t>Optimized and automated where practical; stress-tested; benchmarked externally.</t>
        </is>
      </c>
      <c r="S54" t="inlineStr">
        <is>
          <t>All crisis types</t>
        </is>
      </c>
      <c r="T54">
        <f>'Assessment Questions'!W54</f>
        <v/>
      </c>
      <c r="U54">
        <f>'Assessment Questions'!X54</f>
        <v/>
      </c>
      <c r="V54">
        <f>'Assessment Questions'!Y54</f>
        <v/>
      </c>
      <c r="W54" t="n">
        <v>4</v>
      </c>
      <c r="X54" t="n">
        <v>5</v>
      </c>
      <c r="Y54" t="n">
        <v>5</v>
      </c>
      <c r="Z54">
        <f>'Assessment Questions'!AC54</f>
        <v/>
      </c>
      <c r="AB54">
        <f>COUNTIF($B$50:$B$71,$AA54)</f>
        <v/>
      </c>
      <c r="AC54">
        <f>IFERROR(SUMPRODUCT(($B$50:$B$71=$AA54)*($H$50:$H$71&lt;&gt;"")*($H$50:$H$71&lt;&gt;"N/A")*IFERROR(VALUE($H$50:$H$71),0))/SUMPRODUCT(($B$50:$B$71=$AA54)*($H$50:$H$71&lt;&gt;"")*($H$50:$H$71&lt;&gt;"N/A")),0)</f>
        <v/>
      </c>
      <c r="AD54">
        <f>AC54/5</f>
        <v/>
      </c>
      <c r="AE54">
        <f>COUNTIFS($B$50:$B$71,$AA54,$L$50:$L$71,"Critical")+COUNTIFS($B$50:$B$71,$AA54,$L$50:$L$71,"High")</f>
        <v/>
      </c>
      <c r="AF54">
        <f>5-AC54</f>
        <v/>
      </c>
      <c r="AG54">
        <f>SUMPRODUCT(($B$50:$B$71=$AA54)*(ISNUMBER($H$50:$H$71)+($H$50:$H$71="N/A")))</f>
        <v/>
      </c>
      <c r="AH54">
        <f>'Assessment Questions'!AK54</f>
        <v/>
      </c>
      <c r="AI54">
        <f>'Assessment Questions'!AL54</f>
        <v/>
      </c>
      <c r="AJ54">
        <f>IF(OR($H54="",$H54="N/A"),"",IF($AH54="",VLOOKUP('Company Profile'!$B$40,_CONFIG_Model_Settings!$A$5:$B$8,2,FALSE),_xlfn.IFNA(VLOOKUP($AH54,_CONFIG_Model_Settings!$A$5:$B$8,2,FALSE),0.9)))</f>
        <v/>
      </c>
      <c r="AK54">
        <f>IF(OR($H54="",$H54="N/A"),"",IF($AI54="",VLOOKUP('Company Profile'!$B$41,_CONFIG_Model_Settings!$A$5:$B$8,2,FALSE),_xlfn.IFNA(VLOOKUP($AI54,_CONFIG_Model_Settings!$A$5:$B$8,2,FALSE),0.9)))</f>
        <v/>
      </c>
      <c r="AL54">
        <f>IF(OR($H54="",$H54="N/A"),"",ROUND(VALUE($H54)*$AJ54*$AK54*$AV54,2))</f>
        <v/>
      </c>
      <c r="AM54">
        <f>IF($AL54="","",ROUND($AL54/5*100,1))</f>
        <v/>
      </c>
      <c r="AN54">
        <f>IFERROR(MIN(5,MAX(0,(SUMIFS(_REF_Model_Content!$D$1:$D$157,_REF_Model_Content!$A$1:$A$157,'Company Profile'!$B$9,_REF_Model_Content!$B$1:$B$157,"Governance Crisis"))+_xlfn.IFNA(VLOOKUP('Company Profile'!$B$35,_CONFIG_Model_Settings!$A$11:$B$13,2,0),0))),"")</f>
        <v/>
      </c>
      <c r="AO54">
        <f>IF($AL54="","",MAX(0,ROUND($AN54-$AL54,2)))</f>
        <v/>
      </c>
      <c r="AP54">
        <f>IFERROR(SUMIFS(_REF_Model_Content!$E$1:$E$157,_REF_Model_Content!$A$1:$A$157,'Company Profile'!$B$9,_REF_Model_Content!$B$1:$B$157,"Governance Crisis"),1)</f>
        <v/>
      </c>
      <c r="AQ54">
        <f>IF($AO54="","",ROUND($AO54*$AP54*($G54/5),2))</f>
        <v/>
      </c>
      <c r="AR54">
        <f>IF($AO54="","",IF($AO54&gt;=2,"Critical industry gap",IF($AO54&gt;=1,"High industry gap",IF($AO54&gt;=0.5,"Moderate industry gap","Within target"))))</f>
        <v/>
      </c>
      <c r="AS54">
        <f>IF(OR($H54="",$H54="N/A"),0,VALUE($H54)*(($AJ54+$AK54)/2)*$AV54)</f>
        <v/>
      </c>
      <c r="AT54">
        <f>IF(OR($H54="",$H54="N/A"),0,($AJ54+$AK54)/2)</f>
        <v/>
      </c>
      <c r="AU54">
        <f>'Assessment Questions'!AX54</f>
        <v/>
      </c>
      <c r="AV54">
        <f>IF(OR($H54="",$H54="N/A"),"",IF(OR($AU54="",$AU54="Everywhere",$AU54="Not applicable"),1,IF($AU54="Pilot / one team",0.4,IF($AU54="One unit or site",0.7,0.9))))</f>
        <v/>
      </c>
      <c r="AW54" t="inlineStr">
        <is>
          <t>Governance Crisis</t>
        </is>
      </c>
      <c r="AX54" t="inlineStr">
        <is>
          <t>Governance Crisis</t>
        </is>
      </c>
      <c r="AY54" t="n">
        <v>9</v>
      </c>
      <c r="AZ54" t="n">
        <v>54</v>
      </c>
    </row>
    <row r="55">
      <c r="A55" t="inlineStr">
        <is>
          <t>GOVE-006</t>
        </is>
      </c>
      <c r="B55" t="inlineStr">
        <is>
          <t>Crisis governance</t>
        </is>
      </c>
      <c r="C55" t="inlineStr">
        <is>
          <t>How mature is the organization in managing emergency spending authority and budget release rules, including ownership, evidence, metrics, fallback procedures and crisis stress testing?</t>
        </is>
      </c>
      <c r="D55" t="inlineStr">
        <is>
          <t>This topic affects exposure to All crisis types. It helps identify how disruption may impact operations, people, revenue, systems, legal exposure or recovery time.</t>
        </is>
      </c>
      <c r="E55" t="inlineStr">
        <is>
          <t>ISO 22301; ISO 22320; ISO 31000; ISO 37000; NIST SP 800-34; BCI Good Practice Guidelines; Bain RAPID</t>
        </is>
      </c>
      <c r="F55" t="inlineStr">
        <is>
          <t>Policy/SOP; owner/RACI; system report; dashboard; contracts; test records; incident history; interview evidence related to emergency spending authority and budget release rules.</t>
        </is>
      </c>
      <c r="G55">
        <f>'Assessment Questions'!J55</f>
        <v/>
      </c>
      <c r="H55">
        <f>IF($Z55="","",IF($Z55="N/A","N/A",VALUE(LEFT($Z55,1))))</f>
        <v/>
      </c>
      <c r="I55">
        <f>IF($H55="","",IF($H55="N/A","",VALUE($H55)/5*$G55))</f>
        <v/>
      </c>
      <c r="J55">
        <f>IF(OR($H55="",$H55="N/A"),"",$G55)</f>
        <v/>
      </c>
      <c r="K55">
        <f>IF(OR($H55="",$H55="N/A"),"",$J55-$I55)</f>
        <v/>
      </c>
      <c r="L55">
        <f>IF($H55="","",IF($H55="N/A","N/A",IF(VALUE($H55)&lt;=1,"Critical",IF(VALUE($H55)&lt;=2,"High",IF(VALUE($H55)&lt;=3,"Medium",IF(VALUE($H55)&lt;=4,"Low","Resilient"))))))</f>
        <v/>
      </c>
      <c r="M55" t="inlineStr">
        <is>
          <t>No reliable evidence that emergency spending authority and budget release rules is defined, owned or managed.</t>
        </is>
      </c>
      <c r="N55" t="inlineStr">
        <is>
          <t>Emergency spending authority and budget release rules is handled informally and depends on individual knowledge or heroic effort.</t>
        </is>
      </c>
      <c r="O55" t="inlineStr">
        <is>
          <t>Emergency spending authority and budget release rules is partially documented or implemented, but coverage is inconsistent and not crisis-tested.</t>
        </is>
      </c>
      <c r="P55" t="inlineStr">
        <is>
          <t>Emergency spending authority and budget release rules is documented, owned, used in normal operations and supported by basic evidence or metrics.</t>
        </is>
      </c>
      <c r="Q55" t="inlineStr">
        <is>
          <t>Emergency spending authority and budget release rules is measured, periodically reviewed, integrated with related processes and tested against relevant disruption scenarios.</t>
        </is>
      </c>
      <c r="R55" t="inlineStr">
        <is>
          <t>Emergency spending authority and budget release rules is optimized, continuously improved, automated where practical and demonstrably supports crisis resilience.</t>
        </is>
      </c>
      <c r="S55" t="inlineStr">
        <is>
          <t>All crisis types</t>
        </is>
      </c>
      <c r="T55">
        <f>'Assessment Questions'!W55</f>
        <v/>
      </c>
      <c r="U55">
        <f>'Assessment Questions'!X55</f>
        <v/>
      </c>
      <c r="V55">
        <f>'Assessment Questions'!Y55</f>
        <v/>
      </c>
      <c r="W55" t="n">
        <v>4</v>
      </c>
      <c r="X55" t="n">
        <v>5</v>
      </c>
      <c r="Y55" t="n">
        <v>5</v>
      </c>
      <c r="Z55">
        <f>'Assessment Questions'!AC55</f>
        <v/>
      </c>
      <c r="AB55">
        <f>COUNTIF($B$50:$B$71,$AA55)</f>
        <v/>
      </c>
      <c r="AC55">
        <f>IFERROR(SUMPRODUCT(($B$50:$B$71=$AA55)*($H$50:$H$71&lt;&gt;"")*($H$50:$H$71&lt;&gt;"N/A")*IFERROR(VALUE($H$50:$H$71),0))/SUMPRODUCT(($B$50:$B$71=$AA55)*($H$50:$H$71&lt;&gt;"")*($H$50:$H$71&lt;&gt;"N/A")),0)</f>
        <v/>
      </c>
      <c r="AD55">
        <f>AC55/5</f>
        <v/>
      </c>
      <c r="AE55">
        <f>COUNTIFS($B$50:$B$71,$AA55,$L$50:$L$71,"Critical")+COUNTIFS($B$50:$B$71,$AA55,$L$50:$L$71,"High")</f>
        <v/>
      </c>
      <c r="AF55">
        <f>5-AC55</f>
        <v/>
      </c>
      <c r="AG55">
        <f>SUMPRODUCT(($B$50:$B$71=$AA55)*(ISNUMBER($H$50:$H$71)+($H$50:$H$71="N/A")))</f>
        <v/>
      </c>
      <c r="AH55">
        <f>'Assessment Questions'!AK55</f>
        <v/>
      </c>
      <c r="AI55">
        <f>'Assessment Questions'!AL55</f>
        <v/>
      </c>
      <c r="AJ55">
        <f>IF(OR($H55="",$H55="N/A"),"",IF($AH55="",VLOOKUP('Company Profile'!$B$40,_CONFIG_Model_Settings!$A$5:$B$8,2,FALSE),_xlfn.IFNA(VLOOKUP($AH55,_CONFIG_Model_Settings!$A$5:$B$8,2,FALSE),0.9)))</f>
        <v/>
      </c>
      <c r="AK55">
        <f>IF(OR($H55="",$H55="N/A"),"",IF($AI55="",VLOOKUP('Company Profile'!$B$41,_CONFIG_Model_Settings!$A$5:$B$8,2,FALSE),_xlfn.IFNA(VLOOKUP($AI55,_CONFIG_Model_Settings!$A$5:$B$8,2,FALSE),0.9)))</f>
        <v/>
      </c>
      <c r="AL55">
        <f>IF(OR($H55="",$H55="N/A"),"",ROUND(VALUE($H55)*$AJ55*$AK55*$AV55,2))</f>
        <v/>
      </c>
      <c r="AM55">
        <f>IF($AL55="","",ROUND($AL55/5*100,1))</f>
        <v/>
      </c>
      <c r="AN55">
        <f>IFERROR(MIN(5,MAX(0,(SUMIFS(_REF_Model_Content!$D$1:$D$157,_REF_Model_Content!$A$1:$A$157,'Company Profile'!$B$9,_REF_Model_Content!$B$1:$B$157,"Governance Crisis"))+_xlfn.IFNA(VLOOKUP('Company Profile'!$B$35,_CONFIG_Model_Settings!$A$11:$B$13,2,0),0))),"")</f>
        <v/>
      </c>
      <c r="AO55">
        <f>IF($AL55="","",MAX(0,ROUND($AN55-$AL55,2)))</f>
        <v/>
      </c>
      <c r="AP55">
        <f>IFERROR(SUMIFS(_REF_Model_Content!$E$1:$E$157,_REF_Model_Content!$A$1:$A$157,'Company Profile'!$B$9,_REF_Model_Content!$B$1:$B$157,"Governance Crisis"),1)</f>
        <v/>
      </c>
      <c r="AQ55">
        <f>IF($AO55="","",ROUND($AO55*$AP55*($G55/5),2))</f>
        <v/>
      </c>
      <c r="AR55">
        <f>IF($AO55="","",IF($AO55&gt;=2,"Critical industry gap",IF($AO55&gt;=1,"High industry gap",IF($AO55&gt;=0.5,"Moderate industry gap","Within target"))))</f>
        <v/>
      </c>
      <c r="AS55">
        <f>IF(OR($H55="",$H55="N/A"),0,VALUE($H55)*(($AJ55+$AK55)/2)*$AV55)</f>
        <v/>
      </c>
      <c r="AT55">
        <f>IF(OR($H55="",$H55="N/A"),0,($AJ55+$AK55)/2)</f>
        <v/>
      </c>
      <c r="AU55">
        <f>'Assessment Questions'!AX55</f>
        <v/>
      </c>
      <c r="AV55">
        <f>IF(OR($H55="",$H55="N/A"),"",IF(OR($AU55="",$AU55="Everywhere",$AU55="Not applicable"),1,IF($AU55="Pilot / one team",0.4,IF($AU55="One unit or site",0.7,0.9))))</f>
        <v/>
      </c>
      <c r="AW55" t="inlineStr">
        <is>
          <t>Governance Crisis</t>
        </is>
      </c>
      <c r="AX55" t="inlineStr">
        <is>
          <t>Governance Crisis</t>
        </is>
      </c>
      <c r="AY55" t="n">
        <v>10</v>
      </c>
      <c r="AZ55" t="n">
        <v>55</v>
      </c>
    </row>
    <row r="56">
      <c r="A56" t="inlineStr">
        <is>
          <t>GOVE-007</t>
        </is>
      </c>
      <c r="B56" t="inlineStr">
        <is>
          <t>Risk and continuity</t>
        </is>
      </c>
      <c r="C56" t="inlineStr">
        <is>
          <t>How mature is the organization in managing enterprise risk register with owners, likelihood, impact, controls, triggers and residual risk, including ownership, evidence, metrics, fallback procedures and crisis stress testing?</t>
        </is>
      </c>
      <c r="D56" t="inlineStr">
        <is>
          <t>This topic affects exposure to All crisis types. It helps identify how disruption may impact operations, people, revenue, systems, legal exposure or recovery time.</t>
        </is>
      </c>
      <c r="E56" t="inlineStr">
        <is>
          <t>ISO 22301; ISO 22320; ISO 31000; ISO 37000; NIST SP 800-34; BCI Good Practice Guidelines; Bain RAPID</t>
        </is>
      </c>
      <c r="F56" t="inlineStr">
        <is>
          <t>Policy/SOP; owner/RACI; system report; dashboard; contracts; test records; incident history; interview evidence related to enterprise risk register with owners, likelihood, impact, controls, triggers and residual risk.</t>
        </is>
      </c>
      <c r="G56">
        <f>'Assessment Questions'!J56</f>
        <v/>
      </c>
      <c r="H56">
        <f>IF($Z56="","",IF($Z56="N/A","N/A",VALUE(LEFT($Z56,1))))</f>
        <v/>
      </c>
      <c r="I56">
        <f>IF($H56="","",IF($H56="N/A","",VALUE($H56)/5*$G56))</f>
        <v/>
      </c>
      <c r="J56">
        <f>IF(OR($H56="",$H56="N/A"),"",$G56)</f>
        <v/>
      </c>
      <c r="K56">
        <f>IF(OR($H56="",$H56="N/A"),"",$J56-$I56)</f>
        <v/>
      </c>
      <c r="L56">
        <f>IF($H56="","",IF($H56="N/A","N/A",IF(VALUE($H56)&lt;=1,"Critical",IF(VALUE($H56)&lt;=2,"High",IF(VALUE($H56)&lt;=3,"Medium",IF(VALUE($H56)&lt;=4,"Low","Resilient"))))))</f>
        <v/>
      </c>
      <c r="M56" t="inlineStr">
        <is>
          <t>No inventory/register exists.</t>
        </is>
      </c>
      <c r="N56" t="inlineStr">
        <is>
          <t>Partial lists live in individuals' heads or personal files.</t>
        </is>
      </c>
      <c r="O56" t="inlineStr">
        <is>
          <t>A register exists but is incomplete or outdated (&gt;1 year) and has no owner.</t>
        </is>
      </c>
      <c r="P56" t="inlineStr">
        <is>
          <t>Owned, documented, updated on a defined schedule, covers the main scope.</t>
        </is>
      </c>
      <c r="Q56" t="inlineStr">
        <is>
          <t>Complete and periodically reviewed; integrated with related processes; completeness measured.</t>
        </is>
      </c>
      <c r="R56" t="inlineStr">
        <is>
          <t>Maintained automatically or synced with systems; drives decisions; audited.</t>
        </is>
      </c>
      <c r="S56" t="inlineStr">
        <is>
          <t>All crisis types</t>
        </is>
      </c>
      <c r="T56">
        <f>'Assessment Questions'!W56</f>
        <v/>
      </c>
      <c r="U56">
        <f>'Assessment Questions'!X56</f>
        <v/>
      </c>
      <c r="V56">
        <f>'Assessment Questions'!Y56</f>
        <v/>
      </c>
      <c r="W56" t="n">
        <v>4</v>
      </c>
      <c r="X56" t="n">
        <v>5</v>
      </c>
      <c r="Y56" t="n">
        <v>5</v>
      </c>
      <c r="Z56">
        <f>'Assessment Questions'!AC56</f>
        <v/>
      </c>
      <c r="AB56">
        <f>COUNTIF($B$50:$B$71,$AA56)</f>
        <v/>
      </c>
      <c r="AC56">
        <f>IFERROR(SUMPRODUCT(($B$50:$B$71=$AA56)*($H$50:$H$71&lt;&gt;"")*($H$50:$H$71&lt;&gt;"N/A")*IFERROR(VALUE($H$50:$H$71),0))/SUMPRODUCT(($B$50:$B$71=$AA56)*($H$50:$H$71&lt;&gt;"")*($H$50:$H$71&lt;&gt;"N/A")),0)</f>
        <v/>
      </c>
      <c r="AD56">
        <f>AC56/5</f>
        <v/>
      </c>
      <c r="AE56">
        <f>COUNTIFS($B$50:$B$71,$AA56,$L$50:$L$71,"Critical")+COUNTIFS($B$50:$B$71,$AA56,$L$50:$L$71,"High")</f>
        <v/>
      </c>
      <c r="AF56">
        <f>5-AC56</f>
        <v/>
      </c>
      <c r="AG56">
        <f>SUMPRODUCT(($B$50:$B$71=$AA56)*(ISNUMBER($H$50:$H$71)+($H$50:$H$71="N/A")))</f>
        <v/>
      </c>
      <c r="AH56">
        <f>'Assessment Questions'!AK56</f>
        <v/>
      </c>
      <c r="AI56">
        <f>'Assessment Questions'!AL56</f>
        <v/>
      </c>
      <c r="AJ56">
        <f>IF(OR($H56="",$H56="N/A"),"",IF($AH56="",VLOOKUP('Company Profile'!$B$40,_CONFIG_Model_Settings!$A$5:$B$8,2,FALSE),_xlfn.IFNA(VLOOKUP($AH56,_CONFIG_Model_Settings!$A$5:$B$8,2,FALSE),0.9)))</f>
        <v/>
      </c>
      <c r="AK56">
        <f>IF(OR($H56="",$H56="N/A"),"",IF($AI56="",VLOOKUP('Company Profile'!$B$41,_CONFIG_Model_Settings!$A$5:$B$8,2,FALSE),_xlfn.IFNA(VLOOKUP($AI56,_CONFIG_Model_Settings!$A$5:$B$8,2,FALSE),0.9)))</f>
        <v/>
      </c>
      <c r="AL56">
        <f>IF(OR($H56="",$H56="N/A"),"",ROUND(VALUE($H56)*$AJ56*$AK56*$AV56,2))</f>
        <v/>
      </c>
      <c r="AM56">
        <f>IF($AL56="","",ROUND($AL56/5*100,1))</f>
        <v/>
      </c>
      <c r="AN56">
        <f>IFERROR(MIN(5,MAX(0,(SUMIFS(_REF_Model_Content!$D$1:$D$157,_REF_Model_Content!$A$1:$A$157,'Company Profile'!$B$9,_REF_Model_Content!$B$1:$B$157,"Governance Crisis"))+_xlfn.IFNA(VLOOKUP('Company Profile'!$B$35,_CONFIG_Model_Settings!$A$11:$B$13,2,0),0))),"")</f>
        <v/>
      </c>
      <c r="AO56">
        <f>IF($AL56="","",MAX(0,ROUND($AN56-$AL56,2)))</f>
        <v/>
      </c>
      <c r="AP56">
        <f>IFERROR(SUMIFS(_REF_Model_Content!$E$1:$E$157,_REF_Model_Content!$A$1:$A$157,'Company Profile'!$B$9,_REF_Model_Content!$B$1:$B$157,"Governance Crisis"),1)</f>
        <v/>
      </c>
      <c r="AQ56">
        <f>IF($AO56="","",ROUND($AO56*$AP56*($G56/5),2))</f>
        <v/>
      </c>
      <c r="AR56">
        <f>IF($AO56="","",IF($AO56&gt;=2,"Critical industry gap",IF($AO56&gt;=1,"High industry gap",IF($AO56&gt;=0.5,"Moderate industry gap","Within target"))))</f>
        <v/>
      </c>
      <c r="AS56">
        <f>IF(OR($H56="",$H56="N/A"),0,VALUE($H56)*(($AJ56+$AK56)/2)*$AV56)</f>
        <v/>
      </c>
      <c r="AT56">
        <f>IF(OR($H56="",$H56="N/A"),0,($AJ56+$AK56)/2)</f>
        <v/>
      </c>
      <c r="AU56">
        <f>'Assessment Questions'!AX56</f>
        <v/>
      </c>
      <c r="AV56">
        <f>IF(OR($H56="",$H56="N/A"),"",IF(OR($AU56="",$AU56="Everywhere",$AU56="Not applicable"),1,IF($AU56="Pilot / one team",0.4,IF($AU56="One unit or site",0.7,0.9))))</f>
        <v/>
      </c>
      <c r="AW56" t="inlineStr">
        <is>
          <t>Governance Crisis</t>
        </is>
      </c>
      <c r="AX56" t="inlineStr">
        <is>
          <t>Governance Crisis</t>
        </is>
      </c>
      <c r="AY56" t="n">
        <v>11</v>
      </c>
      <c r="AZ56" t="n">
        <v>56</v>
      </c>
    </row>
    <row r="57">
      <c r="A57" t="inlineStr">
        <is>
          <t>GOVE-008</t>
        </is>
      </c>
      <c r="B57" t="inlineStr">
        <is>
          <t>Risk and continuity</t>
        </is>
      </c>
      <c r="C57" t="inlineStr">
        <is>
          <t>How mature is the organization in managing risk appetite for safety, cash, cyber, delivery, compliance, reputation and operational continuity, including ownership, evidence, metrics, fallback procedures and crisis stress testing?</t>
        </is>
      </c>
      <c r="D57" t="inlineStr">
        <is>
          <t>This topic affects exposure to All crisis types. It helps identify how disruption may impact operations, people, revenue, systems, legal exposure or recovery time.</t>
        </is>
      </c>
      <c r="E57" t="inlineStr">
        <is>
          <t>ISO 22301; ISO 22320; ISO 31000; ISO 37000; NIST SP 800-34; BCI Good Practice Guidelines; Bain RAPID</t>
        </is>
      </c>
      <c r="F57" t="inlineStr">
        <is>
          <t>Policy/SOP; owner/RACI; system report; dashboard; contracts; test records; incident history; interview evidence related to risk appetite for safety, cash, cyber, delivery, compliance, reputation and operational continuity.</t>
        </is>
      </c>
      <c r="G57">
        <f>'Assessment Questions'!J57</f>
        <v/>
      </c>
      <c r="H57">
        <f>IF($Z57="","",IF($Z57="N/A","N/A",VALUE(LEFT($Z57,1))))</f>
        <v/>
      </c>
      <c r="I57">
        <f>IF($H57="","",IF($H57="N/A","",VALUE($H57)/5*$G57))</f>
        <v/>
      </c>
      <c r="J57">
        <f>IF(OR($H57="",$H57="N/A"),"",$G57)</f>
        <v/>
      </c>
      <c r="K57">
        <f>IF(OR($H57="",$H57="N/A"),"",$J57-$I57)</f>
        <v/>
      </c>
      <c r="L57">
        <f>IF($H57="","",IF($H57="N/A","N/A",IF(VALUE($H57)&lt;=1,"Critical",IF(VALUE($H57)&lt;=2,"High",IF(VALUE($H57)&lt;=3,"Medium",IF(VALUE($H57)&lt;=4,"Low","Resilient"))))))</f>
        <v/>
      </c>
      <c r="M57" t="inlineStr">
        <is>
          <t>Does not exist; no owner, no documentation, no practice.</t>
        </is>
      </c>
      <c r="N57" t="inlineStr">
        <is>
          <t>Ad hoc; depends entirely on specific individuals.</t>
        </is>
      </c>
      <c r="O57" t="inlineStr">
        <is>
          <t>Partially documented or implemented; coverage inconsistent; never tested under stress.</t>
        </is>
      </c>
      <c r="P57" t="inlineStr">
        <is>
          <t>Documented, owned, executed consistently; basic evidence and metrics exist.</t>
        </is>
      </c>
      <c r="Q57" t="inlineStr">
        <is>
          <t>Measured and periodically tested/audited; integrated with adjacent processes.</t>
        </is>
      </c>
      <c r="R57" t="inlineStr">
        <is>
          <t>Optimized and automated where practical; stress-tested; benchmarked externally.</t>
        </is>
      </c>
      <c r="S57" t="inlineStr">
        <is>
          <t>All crisis types</t>
        </is>
      </c>
      <c r="T57">
        <f>'Assessment Questions'!W57</f>
        <v/>
      </c>
      <c r="U57">
        <f>'Assessment Questions'!X57</f>
        <v/>
      </c>
      <c r="V57">
        <f>'Assessment Questions'!Y57</f>
        <v/>
      </c>
      <c r="W57" t="n">
        <v>5</v>
      </c>
      <c r="X57" t="n">
        <v>5</v>
      </c>
      <c r="Y57" t="n">
        <v>5</v>
      </c>
      <c r="Z57">
        <f>'Assessment Questions'!AC57</f>
        <v/>
      </c>
      <c r="AB57">
        <f>COUNTIF($B$50:$B$71,$AA57)</f>
        <v/>
      </c>
      <c r="AC57">
        <f>IFERROR(SUMPRODUCT(($B$50:$B$71=$AA57)*($H$50:$H$71&lt;&gt;"")*($H$50:$H$71&lt;&gt;"N/A")*IFERROR(VALUE($H$50:$H$71),0))/SUMPRODUCT(($B$50:$B$71=$AA57)*($H$50:$H$71&lt;&gt;"")*($H$50:$H$71&lt;&gt;"N/A")),0)</f>
        <v/>
      </c>
      <c r="AD57">
        <f>AC57/5</f>
        <v/>
      </c>
      <c r="AE57">
        <f>COUNTIFS($B$50:$B$71,$AA57,$L$50:$L$71,"Critical")+COUNTIFS($B$50:$B$71,$AA57,$L$50:$L$71,"High")</f>
        <v/>
      </c>
      <c r="AF57">
        <f>5-AC57</f>
        <v/>
      </c>
      <c r="AG57">
        <f>SUMPRODUCT(($B$50:$B$71=$AA57)*(ISNUMBER($H$50:$H$71)+($H$50:$H$71="N/A")))</f>
        <v/>
      </c>
      <c r="AH57">
        <f>'Assessment Questions'!AK57</f>
        <v/>
      </c>
      <c r="AI57">
        <f>'Assessment Questions'!AL57</f>
        <v/>
      </c>
      <c r="AJ57">
        <f>IF(OR($H57="",$H57="N/A"),"",IF($AH57="",VLOOKUP('Company Profile'!$B$40,_CONFIG_Model_Settings!$A$5:$B$8,2,FALSE),_xlfn.IFNA(VLOOKUP($AH57,_CONFIG_Model_Settings!$A$5:$B$8,2,FALSE),0.9)))</f>
        <v/>
      </c>
      <c r="AK57">
        <f>IF(OR($H57="",$H57="N/A"),"",IF($AI57="",VLOOKUP('Company Profile'!$B$41,_CONFIG_Model_Settings!$A$5:$B$8,2,FALSE),_xlfn.IFNA(VLOOKUP($AI57,_CONFIG_Model_Settings!$A$5:$B$8,2,FALSE),0.9)))</f>
        <v/>
      </c>
      <c r="AL57">
        <f>IF(OR($H57="",$H57="N/A"),"",ROUND(VALUE($H57)*$AJ57*$AK57*$AV57,2))</f>
        <v/>
      </c>
      <c r="AM57">
        <f>IF($AL57="","",ROUND($AL57/5*100,1))</f>
        <v/>
      </c>
      <c r="AN57">
        <f>IFERROR(MIN(5,MAX(0,(SUMIFS(_REF_Model_Content!$D$1:$D$157,_REF_Model_Content!$A$1:$A$157,'Company Profile'!$B$9,_REF_Model_Content!$B$1:$B$157,"Governance Crisis"))+_xlfn.IFNA(VLOOKUP('Company Profile'!$B$35,_CONFIG_Model_Settings!$A$11:$B$13,2,0),0))),"")</f>
        <v/>
      </c>
      <c r="AO57">
        <f>IF($AL57="","",MAX(0,ROUND($AN57-$AL57,2)))</f>
        <v/>
      </c>
      <c r="AP57">
        <f>IFERROR(SUMIFS(_REF_Model_Content!$E$1:$E$157,_REF_Model_Content!$A$1:$A$157,'Company Profile'!$B$9,_REF_Model_Content!$B$1:$B$157,"Governance Crisis"),1)</f>
        <v/>
      </c>
      <c r="AQ57">
        <f>IF($AO57="","",ROUND($AO57*$AP57*($G57/5),2))</f>
        <v/>
      </c>
      <c r="AR57">
        <f>IF($AO57="","",IF($AO57&gt;=2,"Critical industry gap",IF($AO57&gt;=1,"High industry gap",IF($AO57&gt;=0.5,"Moderate industry gap","Within target"))))</f>
        <v/>
      </c>
      <c r="AS57">
        <f>IF(OR($H57="",$H57="N/A"),0,VALUE($H57)*(($AJ57+$AK57)/2)*$AV57)</f>
        <v/>
      </c>
      <c r="AT57">
        <f>IF(OR($H57="",$H57="N/A"),0,($AJ57+$AK57)/2)</f>
        <v/>
      </c>
      <c r="AU57">
        <f>'Assessment Questions'!AX57</f>
        <v/>
      </c>
      <c r="AV57">
        <f>IF(OR($H57="",$H57="N/A"),"",IF(OR($AU57="",$AU57="Everywhere",$AU57="Not applicable"),1,IF($AU57="Pilot / one team",0.4,IF($AU57="One unit or site",0.7,0.9))))</f>
        <v/>
      </c>
      <c r="AW57" t="inlineStr">
        <is>
          <t>Governance Crisis</t>
        </is>
      </c>
      <c r="AX57" t="inlineStr">
        <is>
          <t>Governance Crisis</t>
        </is>
      </c>
      <c r="AY57" t="n">
        <v>12</v>
      </c>
      <c r="AZ57" t="n">
        <v>57</v>
      </c>
    </row>
    <row r="58">
      <c r="A58" t="inlineStr">
        <is>
          <t>GOVE-009</t>
        </is>
      </c>
      <c r="B58" t="inlineStr">
        <is>
          <t>Risk and continuity</t>
        </is>
      </c>
      <c r="C58" t="inlineStr">
        <is>
          <t>How mature is the organization in managing early warning indicators for major crisis types and objective crisis activation triggers, including ownership, evidence, metrics, fallback procedures and crisis stress testing?</t>
        </is>
      </c>
      <c r="D58" t="inlineStr">
        <is>
          <t>This topic affects exposure to All crisis types. It helps identify how disruption may impact operations, people, revenue, systems, legal exposure or recovery time.</t>
        </is>
      </c>
      <c r="E58" t="inlineStr">
        <is>
          <t>ISO 22301; ISO 22320; ISO 31000; ISO 37000; NIST SP 800-34; BCI Good Practice Guidelines; Bain RAPID</t>
        </is>
      </c>
      <c r="F58" t="inlineStr">
        <is>
          <t>Policy/SOP; owner/RACI; system report; dashboard; contracts; test records; incident history; interview evidence related to early warning indicators for major crisis types and objective crisis activation triggers.</t>
        </is>
      </c>
      <c r="G58">
        <f>'Assessment Questions'!J58</f>
        <v/>
      </c>
      <c r="H58">
        <f>IF($Z58="","",IF($Z58="N/A","N/A",VALUE(LEFT($Z58,1))))</f>
        <v/>
      </c>
      <c r="I58">
        <f>IF($H58="","",IF($H58="N/A","",VALUE($H58)/5*$G58))</f>
        <v/>
      </c>
      <c r="J58">
        <f>IF(OR($H58="",$H58="N/A"),"",$G58)</f>
        <v/>
      </c>
      <c r="K58">
        <f>IF(OR($H58="",$H58="N/A"),"",$J58-$I58)</f>
        <v/>
      </c>
      <c r="L58">
        <f>IF($H58="","",IF($H58="N/A","N/A",IF(VALUE($H58)&lt;=1,"Critical",IF(VALUE($H58)&lt;=2,"High",IF(VALUE($H58)&lt;=3,"Medium",IF(VALUE($H58)&lt;=4,"Low","Resilient"))))))</f>
        <v/>
      </c>
      <c r="M58" t="inlineStr">
        <is>
          <t>Nothing is monitored or measured.</t>
        </is>
      </c>
      <c r="N58" t="inlineStr">
        <is>
          <t>Occasional manual checks by individuals.</t>
        </is>
      </c>
      <c r="O58" t="inlineStr">
        <is>
          <t>Some metrics exist but are not reviewed regularly and trigger no action.</t>
        </is>
      </c>
      <c r="P58" t="inlineStr">
        <is>
          <t>Defined metrics with an owner, reviewed on a set cadence.</t>
        </is>
      </c>
      <c r="Q58" t="inlineStr">
        <is>
          <t>Thresholds and alerts in place; deviations trigger documented action; trends analyzed.</t>
        </is>
      </c>
      <c r="R58" t="inlineStr">
        <is>
          <t>Automated monitoring with leading indicators, integrated into management decisions.</t>
        </is>
      </c>
      <c r="S58" t="inlineStr">
        <is>
          <t>All crisis types</t>
        </is>
      </c>
      <c r="T58">
        <f>'Assessment Questions'!W58</f>
        <v/>
      </c>
      <c r="U58">
        <f>'Assessment Questions'!X58</f>
        <v/>
      </c>
      <c r="V58">
        <f>'Assessment Questions'!Y58</f>
        <v/>
      </c>
      <c r="W58" t="n">
        <v>4</v>
      </c>
      <c r="X58" t="n">
        <v>5</v>
      </c>
      <c r="Y58" t="n">
        <v>5</v>
      </c>
      <c r="Z58">
        <f>'Assessment Questions'!AC58</f>
        <v/>
      </c>
      <c r="AB58">
        <f>COUNTIF($B$50:$B$71,$AA58)</f>
        <v/>
      </c>
      <c r="AC58">
        <f>IFERROR(SUMPRODUCT(($B$50:$B$71=$AA58)*($H$50:$H$71&lt;&gt;"")*($H$50:$H$71&lt;&gt;"N/A")*IFERROR(VALUE($H$50:$H$71),0))/SUMPRODUCT(($B$50:$B$71=$AA58)*($H$50:$H$71&lt;&gt;"")*($H$50:$H$71&lt;&gt;"N/A")),0)</f>
        <v/>
      </c>
      <c r="AD58">
        <f>AC58/5</f>
        <v/>
      </c>
      <c r="AE58">
        <f>COUNTIFS($B$50:$B$71,$AA58,$L$50:$L$71,"Critical")+COUNTIFS($B$50:$B$71,$AA58,$L$50:$L$71,"High")</f>
        <v/>
      </c>
      <c r="AF58">
        <f>5-AC58</f>
        <v/>
      </c>
      <c r="AG58">
        <f>SUMPRODUCT(($B$50:$B$71=$AA58)*(ISNUMBER($H$50:$H$71)+($H$50:$H$71="N/A")))</f>
        <v/>
      </c>
      <c r="AH58">
        <f>'Assessment Questions'!AK58</f>
        <v/>
      </c>
      <c r="AI58">
        <f>'Assessment Questions'!AL58</f>
        <v/>
      </c>
      <c r="AJ58">
        <f>IF(OR($H58="",$H58="N/A"),"",IF($AH58="",VLOOKUP('Company Profile'!$B$40,_CONFIG_Model_Settings!$A$5:$B$8,2,FALSE),_xlfn.IFNA(VLOOKUP($AH58,_CONFIG_Model_Settings!$A$5:$B$8,2,FALSE),0.9)))</f>
        <v/>
      </c>
      <c r="AK58">
        <f>IF(OR($H58="",$H58="N/A"),"",IF($AI58="",VLOOKUP('Company Profile'!$B$41,_CONFIG_Model_Settings!$A$5:$B$8,2,FALSE),_xlfn.IFNA(VLOOKUP($AI58,_CONFIG_Model_Settings!$A$5:$B$8,2,FALSE),0.9)))</f>
        <v/>
      </c>
      <c r="AL58">
        <f>IF(OR($H58="",$H58="N/A"),"",ROUND(VALUE($H58)*$AJ58*$AK58*$AV58,2))</f>
        <v/>
      </c>
      <c r="AM58">
        <f>IF($AL58="","",ROUND($AL58/5*100,1))</f>
        <v/>
      </c>
      <c r="AN58">
        <f>IFERROR(MIN(5,MAX(0,(SUMIFS(_REF_Model_Content!$D$1:$D$157,_REF_Model_Content!$A$1:$A$157,'Company Profile'!$B$9,_REF_Model_Content!$B$1:$B$157,"Governance Crisis"))+_xlfn.IFNA(VLOOKUP('Company Profile'!$B$35,_CONFIG_Model_Settings!$A$11:$B$13,2,0),0))),"")</f>
        <v/>
      </c>
      <c r="AO58">
        <f>IF($AL58="","",MAX(0,ROUND($AN58-$AL58,2)))</f>
        <v/>
      </c>
      <c r="AP58">
        <f>IFERROR(SUMIFS(_REF_Model_Content!$E$1:$E$157,_REF_Model_Content!$A$1:$A$157,'Company Profile'!$B$9,_REF_Model_Content!$B$1:$B$157,"Governance Crisis"),1)</f>
        <v/>
      </c>
      <c r="AQ58">
        <f>IF($AO58="","",ROUND($AO58*$AP58*($G58/5),2))</f>
        <v/>
      </c>
      <c r="AR58">
        <f>IF($AO58="","",IF($AO58&gt;=2,"Critical industry gap",IF($AO58&gt;=1,"High industry gap",IF($AO58&gt;=0.5,"Moderate industry gap","Within target"))))</f>
        <v/>
      </c>
      <c r="AS58">
        <f>IF(OR($H58="",$H58="N/A"),0,VALUE($H58)*(($AJ58+$AK58)/2)*$AV58)</f>
        <v/>
      </c>
      <c r="AT58">
        <f>IF(OR($H58="",$H58="N/A"),0,($AJ58+$AK58)/2)</f>
        <v/>
      </c>
      <c r="AU58">
        <f>'Assessment Questions'!AX58</f>
        <v/>
      </c>
      <c r="AV58">
        <f>IF(OR($H58="",$H58="N/A"),"",IF(OR($AU58="",$AU58="Everywhere",$AU58="Not applicable"),1,IF($AU58="Pilot / one team",0.4,IF($AU58="One unit or site",0.7,0.9))))</f>
        <v/>
      </c>
      <c r="AW58" t="inlineStr">
        <is>
          <t>Governance Crisis</t>
        </is>
      </c>
      <c r="AX58" t="inlineStr">
        <is>
          <t>Governance Crisis</t>
        </is>
      </c>
      <c r="AY58" t="n">
        <v>13</v>
      </c>
      <c r="AZ58" t="n">
        <v>58</v>
      </c>
    </row>
    <row r="59">
      <c r="A59" t="inlineStr">
        <is>
          <t>GOVE-010</t>
        </is>
      </c>
      <c r="B59" t="inlineStr">
        <is>
          <t>Risk and continuity</t>
        </is>
      </c>
      <c r="C59" t="inlineStr">
        <is>
          <t>How mature is the organization in managing business impact analysis across functions, sites, systems, people and suppliers, including ownership, evidence, metrics, fallback procedures and crisis stress testing?</t>
        </is>
      </c>
      <c r="D59" t="inlineStr">
        <is>
          <t>This topic affects exposure to All crisis types. It helps identify how disruption may impact operations, people, revenue, systems, legal exposure or recovery time.</t>
        </is>
      </c>
      <c r="E59" t="inlineStr">
        <is>
          <t>ISO 22301; ISO 22320; ISO 31000; ISO 37000; NIST SP 800-34; BCI Good Practice Guidelines; Bain RAPID</t>
        </is>
      </c>
      <c r="F59" t="inlineStr">
        <is>
          <t>Policy/SOP; owner/RACI; system report; dashboard; contracts; test records; incident history; interview evidence related to business impact analysis across functions, sites, systems, people and suppliers.</t>
        </is>
      </c>
      <c r="G59">
        <f>'Assessment Questions'!J59</f>
        <v/>
      </c>
      <c r="H59">
        <f>IF($Z59="","",IF($Z59="N/A","N/A",VALUE(LEFT($Z59,1))))</f>
        <v/>
      </c>
      <c r="I59">
        <f>IF($H59="","",IF($H59="N/A","",VALUE($H59)/5*$G59))</f>
        <v/>
      </c>
      <c r="J59">
        <f>IF(OR($H59="",$H59="N/A"),"",$G59)</f>
        <v/>
      </c>
      <c r="K59">
        <f>IF(OR($H59="",$H59="N/A"),"",$J59-$I59)</f>
        <v/>
      </c>
      <c r="L59">
        <f>IF($H59="","",IF($H59="N/A","N/A",IF(VALUE($H59)&lt;=1,"Critical",IF(VALUE($H59)&lt;=2,"High",IF(VALUE($H59)&lt;=3,"Medium",IF(VALUE($H59)&lt;=4,"Low","Resilient"))))))</f>
        <v/>
      </c>
      <c r="M59" t="inlineStr">
        <is>
          <t>Does not exist; no owner, no documentation, no practice.</t>
        </is>
      </c>
      <c r="N59" t="inlineStr">
        <is>
          <t>Ad hoc; depends entirely on specific individuals.</t>
        </is>
      </c>
      <c r="O59" t="inlineStr">
        <is>
          <t>Partially documented or implemented; coverage inconsistent; never tested under stress.</t>
        </is>
      </c>
      <c r="P59" t="inlineStr">
        <is>
          <t>Documented, owned, executed consistently; basic evidence and metrics exist.</t>
        </is>
      </c>
      <c r="Q59" t="inlineStr">
        <is>
          <t>Measured and periodically tested/audited; integrated with adjacent processes.</t>
        </is>
      </c>
      <c r="R59" t="inlineStr">
        <is>
          <t>Optimized and automated where practical; stress-tested; benchmarked externally.</t>
        </is>
      </c>
      <c r="S59" t="inlineStr">
        <is>
          <t>All crisis types</t>
        </is>
      </c>
      <c r="T59">
        <f>'Assessment Questions'!W59</f>
        <v/>
      </c>
      <c r="U59">
        <f>'Assessment Questions'!X59</f>
        <v/>
      </c>
      <c r="V59">
        <f>'Assessment Questions'!Y59</f>
        <v/>
      </c>
      <c r="W59" t="n">
        <v>4</v>
      </c>
      <c r="X59" t="n">
        <v>5</v>
      </c>
      <c r="Y59" t="n">
        <v>5</v>
      </c>
      <c r="Z59">
        <f>'Assessment Questions'!AC59</f>
        <v/>
      </c>
      <c r="AB59">
        <f>COUNTIF($B$50:$B$71,$AA59)</f>
        <v/>
      </c>
      <c r="AC59">
        <f>IFERROR(SUMPRODUCT(($B$50:$B$71=$AA59)*($H$50:$H$71&lt;&gt;"")*($H$50:$H$71&lt;&gt;"N/A")*IFERROR(VALUE($H$50:$H$71),0))/SUMPRODUCT(($B$50:$B$71=$AA59)*($H$50:$H$71&lt;&gt;"")*($H$50:$H$71&lt;&gt;"N/A")),0)</f>
        <v/>
      </c>
      <c r="AD59">
        <f>AC59/5</f>
        <v/>
      </c>
      <c r="AE59">
        <f>COUNTIFS($B$50:$B$71,$AA59,$L$50:$L$71,"Critical")+COUNTIFS($B$50:$B$71,$AA59,$L$50:$L$71,"High")</f>
        <v/>
      </c>
      <c r="AF59">
        <f>5-AC59</f>
        <v/>
      </c>
      <c r="AG59">
        <f>SUMPRODUCT(($B$50:$B$71=$AA59)*(ISNUMBER($H$50:$H$71)+($H$50:$H$71="N/A")))</f>
        <v/>
      </c>
      <c r="AH59">
        <f>'Assessment Questions'!AK59</f>
        <v/>
      </c>
      <c r="AI59">
        <f>'Assessment Questions'!AL59</f>
        <v/>
      </c>
      <c r="AJ59">
        <f>IF(OR($H59="",$H59="N/A"),"",IF($AH59="",VLOOKUP('Company Profile'!$B$40,_CONFIG_Model_Settings!$A$5:$B$8,2,FALSE),_xlfn.IFNA(VLOOKUP($AH59,_CONFIG_Model_Settings!$A$5:$B$8,2,FALSE),0.9)))</f>
        <v/>
      </c>
      <c r="AK59">
        <f>IF(OR($H59="",$H59="N/A"),"",IF($AI59="",VLOOKUP('Company Profile'!$B$41,_CONFIG_Model_Settings!$A$5:$B$8,2,FALSE),_xlfn.IFNA(VLOOKUP($AI59,_CONFIG_Model_Settings!$A$5:$B$8,2,FALSE),0.9)))</f>
        <v/>
      </c>
      <c r="AL59">
        <f>IF(OR($H59="",$H59="N/A"),"",ROUND(VALUE($H59)*$AJ59*$AK59*$AV59,2))</f>
        <v/>
      </c>
      <c r="AM59">
        <f>IF($AL59="","",ROUND($AL59/5*100,1))</f>
        <v/>
      </c>
      <c r="AN59">
        <f>IFERROR(MIN(5,MAX(0,(SUMIFS(_REF_Model_Content!$D$1:$D$157,_REF_Model_Content!$A$1:$A$157,'Company Profile'!$B$9,_REF_Model_Content!$B$1:$B$157,"Governance Crisis"))+_xlfn.IFNA(VLOOKUP('Company Profile'!$B$35,_CONFIG_Model_Settings!$A$11:$B$13,2,0),0))),"")</f>
        <v/>
      </c>
      <c r="AO59">
        <f>IF($AL59="","",MAX(0,ROUND($AN59-$AL59,2)))</f>
        <v/>
      </c>
      <c r="AP59">
        <f>IFERROR(SUMIFS(_REF_Model_Content!$E$1:$E$157,_REF_Model_Content!$A$1:$A$157,'Company Profile'!$B$9,_REF_Model_Content!$B$1:$B$157,"Governance Crisis"),1)</f>
        <v/>
      </c>
      <c r="AQ59">
        <f>IF($AO59="","",ROUND($AO59*$AP59*($G59/5),2))</f>
        <v/>
      </c>
      <c r="AR59">
        <f>IF($AO59="","",IF($AO59&gt;=2,"Critical industry gap",IF($AO59&gt;=1,"High industry gap",IF($AO59&gt;=0.5,"Moderate industry gap","Within target"))))</f>
        <v/>
      </c>
      <c r="AS59">
        <f>IF(OR($H59="",$H59="N/A"),0,VALUE($H59)*(($AJ59+$AK59)/2)*$AV59)</f>
        <v/>
      </c>
      <c r="AT59">
        <f>IF(OR($H59="",$H59="N/A"),0,($AJ59+$AK59)/2)</f>
        <v/>
      </c>
      <c r="AU59">
        <f>'Assessment Questions'!AX59</f>
        <v/>
      </c>
      <c r="AV59">
        <f>IF(OR($H59="",$H59="N/A"),"",IF(OR($AU59="",$AU59="Everywhere",$AU59="Not applicable"),1,IF($AU59="Pilot / one team",0.4,IF($AU59="One unit or site",0.7,0.9))))</f>
        <v/>
      </c>
      <c r="AW59" t="inlineStr">
        <is>
          <t>Governance Crisis</t>
        </is>
      </c>
      <c r="AX59" t="inlineStr">
        <is>
          <t>Governance Crisis</t>
        </is>
      </c>
      <c r="AY59" t="n">
        <v>14</v>
      </c>
      <c r="AZ59" t="n">
        <v>59</v>
      </c>
    </row>
    <row r="60">
      <c r="A60" t="inlineStr">
        <is>
          <t>GOVE-011</t>
        </is>
      </c>
      <c r="B60" t="inlineStr">
        <is>
          <t>Risk and continuity</t>
        </is>
      </c>
      <c r="C60" t="inlineStr">
        <is>
          <t>How mature is the organization in managing business continuity plans covering critical processes, people, systems, sites, suppliers and communication, including ownership, evidence, metrics, fallback procedures and crisis stress testing?</t>
        </is>
      </c>
      <c r="D60" t="inlineStr">
        <is>
          <t>This topic affects exposure to All crisis types. It helps identify how disruption may impact operations, people, revenue, systems, legal exposure or recovery time.</t>
        </is>
      </c>
      <c r="E60" t="inlineStr">
        <is>
          <t>ISO 22301; ISO 22320; ISO 31000; ISO 37000; NIST SP 800-34; BCI Good Practice Guidelines; Bain RAPID</t>
        </is>
      </c>
      <c r="F60" t="inlineStr">
        <is>
          <t>Policy/SOP; owner/RACI; system report; dashboard; contracts; test records; incident history; interview evidence related to business continuity plans covering critical processes, people, systems, sites, suppliers and communication.</t>
        </is>
      </c>
      <c r="G60">
        <f>'Assessment Questions'!J60</f>
        <v/>
      </c>
      <c r="H60">
        <f>IF($Z60="","",IF($Z60="N/A","N/A",VALUE(LEFT($Z60,1))))</f>
        <v/>
      </c>
      <c r="I60">
        <f>IF($H60="","",IF($H60="N/A","",VALUE($H60)/5*$G60))</f>
        <v/>
      </c>
      <c r="J60">
        <f>IF(OR($H60="",$H60="N/A"),"",$G60)</f>
        <v/>
      </c>
      <c r="K60">
        <f>IF(OR($H60="",$H60="N/A"),"",$J60-$I60)</f>
        <v/>
      </c>
      <c r="L60">
        <f>IF($H60="","",IF($H60="N/A","N/A",IF(VALUE($H60)&lt;=1,"Critical",IF(VALUE($H60)&lt;=2,"High",IF(VALUE($H60)&lt;=3,"Medium",IF(VALUE($H60)&lt;=4,"Low","Resilient"))))))</f>
        <v/>
      </c>
      <c r="M60" t="inlineStr">
        <is>
          <t>No plan or procedure exists.</t>
        </is>
      </c>
      <c r="N60" t="inlineStr">
        <is>
          <t>Knowledge lives with individuals; nothing usable is written down.</t>
        </is>
      </c>
      <c r="O60" t="inlineStr">
        <is>
          <t>Drafted but outdated, not approved, or unknown to the people who must use it.</t>
        </is>
      </c>
      <c r="P60" t="inlineStr">
        <is>
          <t>Approved and current; owners assigned; affected staff know it exists and where to find it.</t>
        </is>
      </c>
      <c r="Q60" t="inlineStr">
        <is>
          <t>Tested against realistic scenarios; updated after each test or real incident.</t>
        </is>
      </c>
      <c r="R60" t="inlineStr">
        <is>
          <t>Exercised regularly including external parties; readiness measured; continuously improved.</t>
        </is>
      </c>
      <c r="S60" t="inlineStr">
        <is>
          <t>All crisis types</t>
        </is>
      </c>
      <c r="T60">
        <f>'Assessment Questions'!W60</f>
        <v/>
      </c>
      <c r="U60">
        <f>'Assessment Questions'!X60</f>
        <v/>
      </c>
      <c r="V60">
        <f>'Assessment Questions'!Y60</f>
        <v/>
      </c>
      <c r="W60" t="n">
        <v>4</v>
      </c>
      <c r="X60" t="n">
        <v>5</v>
      </c>
      <c r="Y60" t="n">
        <v>5</v>
      </c>
      <c r="Z60">
        <f>'Assessment Questions'!AC60</f>
        <v/>
      </c>
      <c r="AB60">
        <f>COUNTIF($B$50:$B$71,$AA60)</f>
        <v/>
      </c>
      <c r="AC60">
        <f>IFERROR(SUMPRODUCT(($B$50:$B$71=$AA60)*($H$50:$H$71&lt;&gt;"")*($H$50:$H$71&lt;&gt;"N/A")*IFERROR(VALUE($H$50:$H$71),0))/SUMPRODUCT(($B$50:$B$71=$AA60)*($H$50:$H$71&lt;&gt;"")*($H$50:$H$71&lt;&gt;"N/A")),0)</f>
        <v/>
      </c>
      <c r="AD60">
        <f>AC60/5</f>
        <v/>
      </c>
      <c r="AE60">
        <f>COUNTIFS($B$50:$B$71,$AA60,$L$50:$L$71,"Critical")+COUNTIFS($B$50:$B$71,$AA60,$L$50:$L$71,"High")</f>
        <v/>
      </c>
      <c r="AF60">
        <f>5-AC60</f>
        <v/>
      </c>
      <c r="AG60">
        <f>SUMPRODUCT(($B$50:$B$71=$AA60)*(ISNUMBER($H$50:$H$71)+($H$50:$H$71="N/A")))</f>
        <v/>
      </c>
      <c r="AH60">
        <f>'Assessment Questions'!AK60</f>
        <v/>
      </c>
      <c r="AI60">
        <f>'Assessment Questions'!AL60</f>
        <v/>
      </c>
      <c r="AJ60">
        <f>IF(OR($H60="",$H60="N/A"),"",IF($AH60="",VLOOKUP('Company Profile'!$B$40,_CONFIG_Model_Settings!$A$5:$B$8,2,FALSE),_xlfn.IFNA(VLOOKUP($AH60,_CONFIG_Model_Settings!$A$5:$B$8,2,FALSE),0.9)))</f>
        <v/>
      </c>
      <c r="AK60">
        <f>IF(OR($H60="",$H60="N/A"),"",IF($AI60="",VLOOKUP('Company Profile'!$B$41,_CONFIG_Model_Settings!$A$5:$B$8,2,FALSE),_xlfn.IFNA(VLOOKUP($AI60,_CONFIG_Model_Settings!$A$5:$B$8,2,FALSE),0.9)))</f>
        <v/>
      </c>
      <c r="AL60">
        <f>IF(OR($H60="",$H60="N/A"),"",ROUND(VALUE($H60)*$AJ60*$AK60*$AV60,2))</f>
        <v/>
      </c>
      <c r="AM60">
        <f>IF($AL60="","",ROUND($AL60/5*100,1))</f>
        <v/>
      </c>
      <c r="AN60">
        <f>IFERROR(MIN(5,MAX(0,(SUMIFS(_REF_Model_Content!$D$1:$D$157,_REF_Model_Content!$A$1:$A$157,'Company Profile'!$B$9,_REF_Model_Content!$B$1:$B$157,"Governance Crisis"))+_xlfn.IFNA(VLOOKUP('Company Profile'!$B$35,_CONFIG_Model_Settings!$A$11:$B$13,2,0),0))),"")</f>
        <v/>
      </c>
      <c r="AO60">
        <f>IF($AL60="","",MAX(0,ROUND($AN60-$AL60,2)))</f>
        <v/>
      </c>
      <c r="AP60">
        <f>IFERROR(SUMIFS(_REF_Model_Content!$E$1:$E$157,_REF_Model_Content!$A$1:$A$157,'Company Profile'!$B$9,_REF_Model_Content!$B$1:$B$157,"Governance Crisis"),1)</f>
        <v/>
      </c>
      <c r="AQ60">
        <f>IF($AO60="","",ROUND($AO60*$AP60*($G60/5),2))</f>
        <v/>
      </c>
      <c r="AR60">
        <f>IF($AO60="","",IF($AO60&gt;=2,"Critical industry gap",IF($AO60&gt;=1,"High industry gap",IF($AO60&gt;=0.5,"Moderate industry gap","Within target"))))</f>
        <v/>
      </c>
      <c r="AS60">
        <f>IF(OR($H60="",$H60="N/A"),0,VALUE($H60)*(($AJ60+$AK60)/2)*$AV60)</f>
        <v/>
      </c>
      <c r="AT60">
        <f>IF(OR($H60="",$H60="N/A"),0,($AJ60+$AK60)/2)</f>
        <v/>
      </c>
      <c r="AU60">
        <f>'Assessment Questions'!AX60</f>
        <v/>
      </c>
      <c r="AV60">
        <f>IF(OR($H60="",$H60="N/A"),"",IF(OR($AU60="",$AU60="Everywhere",$AU60="Not applicable"),1,IF($AU60="Pilot / one team",0.4,IF($AU60="One unit or site",0.7,0.9))))</f>
        <v/>
      </c>
      <c r="AW60" t="inlineStr">
        <is>
          <t>Governance Crisis</t>
        </is>
      </c>
      <c r="AX60" t="inlineStr">
        <is>
          <t>Governance Crisis</t>
        </is>
      </c>
      <c r="AY60" t="n">
        <v>15</v>
      </c>
      <c r="AZ60" t="n">
        <v>60</v>
      </c>
    </row>
    <row r="61">
      <c r="A61" t="inlineStr">
        <is>
          <t>GOVE-012</t>
        </is>
      </c>
      <c r="B61" t="inlineStr">
        <is>
          <t>Risk and continuity</t>
        </is>
      </c>
      <c r="C61" t="inlineStr">
        <is>
          <t>How mature is the organization in managing scenario library covering cyberattack, war/security, site loss, supplier disruption, cloud outage, pandemic, demand shock and liquidity crisis, including ownership, evidence, metrics, fallback procedures and crisis stress testing?</t>
        </is>
      </c>
      <c r="D61" t="inlineStr">
        <is>
          <t>This topic affects exposure to All crisis types. It helps identify how disruption may impact operations, people, revenue, systems, legal exposure or recovery time.</t>
        </is>
      </c>
      <c r="E61" t="inlineStr">
        <is>
          <t>ISO 22301; ISO 22320; ISO 31000; ISO 37000; NIST SP 800-34; BCI Good Practice Guidelines; Bain RAPID</t>
        </is>
      </c>
      <c r="F61" t="inlineStr">
        <is>
          <t>Policy/SOP; owner/RACI; system report; dashboard; contracts; test records; incident history; interview evidence related to scenario library covering cyberattack, war/security, site loss, supplier disruption, cloud outage, pandemic, demand shock and liquidity crisis.</t>
        </is>
      </c>
      <c r="G61">
        <f>'Assessment Questions'!J61</f>
        <v/>
      </c>
      <c r="H61">
        <f>IF($Z61="","",IF($Z61="N/A","N/A",VALUE(LEFT($Z61,1))))</f>
        <v/>
      </c>
      <c r="I61">
        <f>IF($H61="","",IF($H61="N/A","",VALUE($H61)/5*$G61))</f>
        <v/>
      </c>
      <c r="J61">
        <f>IF(OR($H61="",$H61="N/A"),"",$G61)</f>
        <v/>
      </c>
      <c r="K61">
        <f>IF(OR($H61="",$H61="N/A"),"",$J61-$I61)</f>
        <v/>
      </c>
      <c r="L61">
        <f>IF($H61="","",IF($H61="N/A","N/A",IF(VALUE($H61)&lt;=1,"Critical",IF(VALUE($H61)&lt;=2,"High",IF(VALUE($H61)&lt;=3,"Medium",IF(VALUE($H61)&lt;=4,"Low","Resilient"))))))</f>
        <v/>
      </c>
      <c r="M61" t="inlineStr">
        <is>
          <t>Does not exist; no owner, no documentation, no practice.</t>
        </is>
      </c>
      <c r="N61" t="inlineStr">
        <is>
          <t>Ad hoc; depends entirely on specific individuals.</t>
        </is>
      </c>
      <c r="O61" t="inlineStr">
        <is>
          <t>Partially documented or implemented; coverage inconsistent; never tested under stress.</t>
        </is>
      </c>
      <c r="P61" t="inlineStr">
        <is>
          <t>Documented, owned, executed consistently; basic evidence and metrics exist.</t>
        </is>
      </c>
      <c r="Q61" t="inlineStr">
        <is>
          <t>Measured and periodically tested/audited; integrated with adjacent processes.</t>
        </is>
      </c>
      <c r="R61" t="inlineStr">
        <is>
          <t>Optimized and automated where practical; stress-tested; benchmarked externally.</t>
        </is>
      </c>
      <c r="S61" t="inlineStr">
        <is>
          <t>All crisis types</t>
        </is>
      </c>
      <c r="T61">
        <f>'Assessment Questions'!W61</f>
        <v/>
      </c>
      <c r="U61">
        <f>'Assessment Questions'!X61</f>
        <v/>
      </c>
      <c r="V61">
        <f>'Assessment Questions'!Y61</f>
        <v/>
      </c>
      <c r="W61" t="n">
        <v>5</v>
      </c>
      <c r="X61" t="n">
        <v>5</v>
      </c>
      <c r="Y61" t="n">
        <v>5</v>
      </c>
      <c r="Z61">
        <f>'Assessment Questions'!AC61</f>
        <v/>
      </c>
      <c r="AB61">
        <f>COUNTIF($B$50:$B$71,$AA61)</f>
        <v/>
      </c>
      <c r="AC61">
        <f>IFERROR(SUMPRODUCT(($B$50:$B$71=$AA61)*($H$50:$H$71&lt;&gt;"")*($H$50:$H$71&lt;&gt;"N/A")*IFERROR(VALUE($H$50:$H$71),0))/SUMPRODUCT(($B$50:$B$71=$AA61)*($H$50:$H$71&lt;&gt;"")*($H$50:$H$71&lt;&gt;"N/A")),0)</f>
        <v/>
      </c>
      <c r="AD61">
        <f>AC61/5</f>
        <v/>
      </c>
      <c r="AE61">
        <f>COUNTIFS($B$50:$B$71,$AA61,$L$50:$L$71,"Critical")+COUNTIFS($B$50:$B$71,$AA61,$L$50:$L$71,"High")</f>
        <v/>
      </c>
      <c r="AF61">
        <f>5-AC61</f>
        <v/>
      </c>
      <c r="AG61">
        <f>SUMPRODUCT(($B$50:$B$71=$AA61)*(ISNUMBER($H$50:$H$71)+($H$50:$H$71="N/A")))</f>
        <v/>
      </c>
      <c r="AH61">
        <f>'Assessment Questions'!AK61</f>
        <v/>
      </c>
      <c r="AI61">
        <f>'Assessment Questions'!AL61</f>
        <v/>
      </c>
      <c r="AJ61">
        <f>IF(OR($H61="",$H61="N/A"),"",IF($AH61="",VLOOKUP('Company Profile'!$B$40,_CONFIG_Model_Settings!$A$5:$B$8,2,FALSE),_xlfn.IFNA(VLOOKUP($AH61,_CONFIG_Model_Settings!$A$5:$B$8,2,FALSE),0.9)))</f>
        <v/>
      </c>
      <c r="AK61">
        <f>IF(OR($H61="",$H61="N/A"),"",IF($AI61="",VLOOKUP('Company Profile'!$B$41,_CONFIG_Model_Settings!$A$5:$B$8,2,FALSE),_xlfn.IFNA(VLOOKUP($AI61,_CONFIG_Model_Settings!$A$5:$B$8,2,FALSE),0.9)))</f>
        <v/>
      </c>
      <c r="AL61">
        <f>IF(OR($H61="",$H61="N/A"),"",ROUND(VALUE($H61)*$AJ61*$AK61*$AV61,2))</f>
        <v/>
      </c>
      <c r="AM61">
        <f>IF($AL61="","",ROUND($AL61/5*100,1))</f>
        <v/>
      </c>
      <c r="AN61">
        <f>IFERROR(MIN(5,MAX(0,(SUMIFS(_REF_Model_Content!$D$1:$D$157,_REF_Model_Content!$A$1:$A$157,'Company Profile'!$B$9,_REF_Model_Content!$B$1:$B$157,"Governance Crisis"))+_xlfn.IFNA(VLOOKUP('Company Profile'!$B$35,_CONFIG_Model_Settings!$A$11:$B$13,2,0),0))),"")</f>
        <v/>
      </c>
      <c r="AO61">
        <f>IF($AL61="","",MAX(0,ROUND($AN61-$AL61,2)))</f>
        <v/>
      </c>
      <c r="AP61">
        <f>IFERROR(SUMIFS(_REF_Model_Content!$E$1:$E$157,_REF_Model_Content!$A$1:$A$157,'Company Profile'!$B$9,_REF_Model_Content!$B$1:$B$157,"Governance Crisis"),1)</f>
        <v/>
      </c>
      <c r="AQ61">
        <f>IF($AO61="","",ROUND($AO61*$AP61*($G61/5),2))</f>
        <v/>
      </c>
      <c r="AR61">
        <f>IF($AO61="","",IF($AO61&gt;=2,"Critical industry gap",IF($AO61&gt;=1,"High industry gap",IF($AO61&gt;=0.5,"Moderate industry gap","Within target"))))</f>
        <v/>
      </c>
      <c r="AS61">
        <f>IF(OR($H61="",$H61="N/A"),0,VALUE($H61)*(($AJ61+$AK61)/2)*$AV61)</f>
        <v/>
      </c>
      <c r="AT61">
        <f>IF(OR($H61="",$H61="N/A"),0,($AJ61+$AK61)/2)</f>
        <v/>
      </c>
      <c r="AU61">
        <f>'Assessment Questions'!AX61</f>
        <v/>
      </c>
      <c r="AV61">
        <f>IF(OR($H61="",$H61="N/A"),"",IF(OR($AU61="",$AU61="Everywhere",$AU61="Not applicable"),1,IF($AU61="Pilot / one team",0.4,IF($AU61="One unit or site",0.7,0.9))))</f>
        <v/>
      </c>
      <c r="AW61" t="inlineStr">
        <is>
          <t>Governance Crisis</t>
        </is>
      </c>
      <c r="AX61" t="inlineStr">
        <is>
          <t>Governance Crisis</t>
        </is>
      </c>
      <c r="AY61" t="n">
        <v>16</v>
      </c>
      <c r="AZ61" t="n">
        <v>61</v>
      </c>
    </row>
    <row r="62">
      <c r="A62" t="inlineStr">
        <is>
          <t>GOVE-013</t>
        </is>
      </c>
      <c r="B62" t="inlineStr">
        <is>
          <t>Risk and continuity</t>
        </is>
      </c>
      <c r="C62" t="inlineStr">
        <is>
          <t>How mature is the organization in managing continuity testing through tabletop exercises, simulations and real incident reviews, including ownership, evidence, metrics, fallback procedures and crisis stress testing?</t>
        </is>
      </c>
      <c r="D62" t="inlineStr">
        <is>
          <t>This topic affects exposure to All crisis types. It helps identify how disruption may impact operations, people, revenue, systems, legal exposure or recovery time.</t>
        </is>
      </c>
      <c r="E62" t="inlineStr">
        <is>
          <t>ISO 22301; ISO 22320; ISO 31000; ISO 37000; NIST SP 800-34; BCI Good Practice Guidelines; Bain RAPID</t>
        </is>
      </c>
      <c r="F62" t="inlineStr">
        <is>
          <t>Policy/SOP; owner/RACI; system report; dashboard; contracts; test records; incident history; interview evidence related to continuity testing through tabletop exercises, simulations and real incident reviews.</t>
        </is>
      </c>
      <c r="G62">
        <f>'Assessment Questions'!J62</f>
        <v/>
      </c>
      <c r="H62">
        <f>IF($Z62="","",IF($Z62="N/A","N/A",VALUE(LEFT($Z62,1))))</f>
        <v/>
      </c>
      <c r="I62">
        <f>IF($H62="","",IF($H62="N/A","",VALUE($H62)/5*$G62))</f>
        <v/>
      </c>
      <c r="J62">
        <f>IF(OR($H62="",$H62="N/A"),"",$G62)</f>
        <v/>
      </c>
      <c r="K62">
        <f>IF(OR($H62="",$H62="N/A"),"",$J62-$I62)</f>
        <v/>
      </c>
      <c r="L62">
        <f>IF($H62="","",IF($H62="N/A","N/A",IF(VALUE($H62)&lt;=1,"Critical",IF(VALUE($H62)&lt;=2,"High",IF(VALUE($H62)&lt;=3,"Medium",IF(VALUE($H62)&lt;=4,"Low","Resilient"))))))</f>
        <v/>
      </c>
      <c r="M62" t="inlineStr">
        <is>
          <t>Never done; no records exist.</t>
        </is>
      </c>
      <c r="N62" t="inlineStr">
        <is>
          <t>Done once long ago or only after an incident; no schedule, no records.</t>
        </is>
      </c>
      <c r="O62" t="inlineStr">
        <is>
          <t>Done irregularly; results are not documented and findings are not tracked.</t>
        </is>
      </c>
      <c r="P62" t="inlineStr">
        <is>
          <t>Done on a defined schedule (at least annually); results documented, owner assigned.</t>
        </is>
      </c>
      <c r="Q62" t="inlineStr">
        <is>
          <t>Done quarterly/semi-annually; findings tracked to closure, effectiveness measured against targets.</t>
        </is>
      </c>
      <c r="R62" t="inlineStr">
        <is>
          <t>Continuous or automated where possible; results drive improvements and are validated externally (audit/customer).</t>
        </is>
      </c>
      <c r="S62" t="inlineStr">
        <is>
          <t>All crisis types</t>
        </is>
      </c>
      <c r="T62">
        <f>'Assessment Questions'!W62</f>
        <v/>
      </c>
      <c r="U62">
        <f>'Assessment Questions'!X62</f>
        <v/>
      </c>
      <c r="V62">
        <f>'Assessment Questions'!Y62</f>
        <v/>
      </c>
      <c r="W62" t="n">
        <v>4</v>
      </c>
      <c r="X62" t="n">
        <v>5</v>
      </c>
      <c r="Y62" t="n">
        <v>5</v>
      </c>
      <c r="Z62">
        <f>'Assessment Questions'!AC62</f>
        <v/>
      </c>
      <c r="AB62">
        <f>COUNTIF($B$50:$B$71,$AA62)</f>
        <v/>
      </c>
      <c r="AC62">
        <f>IFERROR(SUMPRODUCT(($B$50:$B$71=$AA62)*($H$50:$H$71&lt;&gt;"")*($H$50:$H$71&lt;&gt;"N/A")*IFERROR(VALUE($H$50:$H$71),0))/SUMPRODUCT(($B$50:$B$71=$AA62)*($H$50:$H$71&lt;&gt;"")*($H$50:$H$71&lt;&gt;"N/A")),0)</f>
        <v/>
      </c>
      <c r="AD62">
        <f>AC62/5</f>
        <v/>
      </c>
      <c r="AE62">
        <f>COUNTIFS($B$50:$B$71,$AA62,$L$50:$L$71,"Critical")+COUNTIFS($B$50:$B$71,$AA62,$L$50:$L$71,"High")</f>
        <v/>
      </c>
      <c r="AF62">
        <f>5-AC62</f>
        <v/>
      </c>
      <c r="AG62">
        <f>SUMPRODUCT(($B$50:$B$71=$AA62)*(ISNUMBER($H$50:$H$71)+($H$50:$H$71="N/A")))</f>
        <v/>
      </c>
      <c r="AH62">
        <f>'Assessment Questions'!AK62</f>
        <v/>
      </c>
      <c r="AI62">
        <f>'Assessment Questions'!AL62</f>
        <v/>
      </c>
      <c r="AJ62">
        <f>IF(OR($H62="",$H62="N/A"),"",IF($AH62="",VLOOKUP('Company Profile'!$B$40,_CONFIG_Model_Settings!$A$5:$B$8,2,FALSE),_xlfn.IFNA(VLOOKUP($AH62,_CONFIG_Model_Settings!$A$5:$B$8,2,FALSE),0.9)))</f>
        <v/>
      </c>
      <c r="AK62">
        <f>IF(OR($H62="",$H62="N/A"),"",IF($AI62="",VLOOKUP('Company Profile'!$B$41,_CONFIG_Model_Settings!$A$5:$B$8,2,FALSE),_xlfn.IFNA(VLOOKUP($AI62,_CONFIG_Model_Settings!$A$5:$B$8,2,FALSE),0.9)))</f>
        <v/>
      </c>
      <c r="AL62">
        <f>IF(OR($H62="",$H62="N/A"),"",ROUND(VALUE($H62)*$AJ62*$AK62*$AV62,2))</f>
        <v/>
      </c>
      <c r="AM62">
        <f>IF($AL62="","",ROUND($AL62/5*100,1))</f>
        <v/>
      </c>
      <c r="AN62">
        <f>IFERROR(MIN(5,MAX(0,(SUMIFS(_REF_Model_Content!$D$1:$D$157,_REF_Model_Content!$A$1:$A$157,'Company Profile'!$B$9,_REF_Model_Content!$B$1:$B$157,"Governance Crisis"))+_xlfn.IFNA(VLOOKUP('Company Profile'!$B$35,_CONFIG_Model_Settings!$A$11:$B$13,2,0),0))),"")</f>
        <v/>
      </c>
      <c r="AO62">
        <f>IF($AL62="","",MAX(0,ROUND($AN62-$AL62,2)))</f>
        <v/>
      </c>
      <c r="AP62">
        <f>IFERROR(SUMIFS(_REF_Model_Content!$E$1:$E$157,_REF_Model_Content!$A$1:$A$157,'Company Profile'!$B$9,_REF_Model_Content!$B$1:$B$157,"Governance Crisis"),1)</f>
        <v/>
      </c>
      <c r="AQ62">
        <f>IF($AO62="","",ROUND($AO62*$AP62*($G62/5),2))</f>
        <v/>
      </c>
      <c r="AR62">
        <f>IF($AO62="","",IF($AO62&gt;=2,"Critical industry gap",IF($AO62&gt;=1,"High industry gap",IF($AO62&gt;=0.5,"Moderate industry gap","Within target"))))</f>
        <v/>
      </c>
      <c r="AS62">
        <f>IF(OR($H62="",$H62="N/A"),0,VALUE($H62)*(($AJ62+$AK62)/2)*$AV62)</f>
        <v/>
      </c>
      <c r="AT62">
        <f>IF(OR($H62="",$H62="N/A"),0,($AJ62+$AK62)/2)</f>
        <v/>
      </c>
      <c r="AU62">
        <f>'Assessment Questions'!AX62</f>
        <v/>
      </c>
      <c r="AV62">
        <f>IF(OR($H62="",$H62="N/A"),"",IF(OR($AU62="",$AU62="Everywhere",$AU62="Not applicable"),1,IF($AU62="Pilot / one team",0.4,IF($AU62="One unit or site",0.7,0.9))))</f>
        <v/>
      </c>
      <c r="AW62" t="inlineStr">
        <is>
          <t>Governance Crisis</t>
        </is>
      </c>
      <c r="AX62" t="inlineStr">
        <is>
          <t>Governance Crisis</t>
        </is>
      </c>
      <c r="AY62" t="n">
        <v>17</v>
      </c>
      <c r="AZ62" t="n">
        <v>62</v>
      </c>
    </row>
    <row r="63">
      <c r="A63" t="inlineStr">
        <is>
          <t>GOVE-014</t>
        </is>
      </c>
      <c r="B63" t="inlineStr">
        <is>
          <t>Incident management</t>
        </is>
      </c>
      <c r="C63" t="inlineStr">
        <is>
          <t>How mature is the organization in managing common incident classification model for severity, impact, escalation and communication, including ownership, evidence, metrics, fallback procedures and crisis stress testing?</t>
        </is>
      </c>
      <c r="D63" t="inlineStr">
        <is>
          <t>This topic affects exposure to All crisis types. It helps identify how disruption may impact operations, people, revenue, systems, legal exposure or recovery time.</t>
        </is>
      </c>
      <c r="E63" t="inlineStr">
        <is>
          <t>ISO 22301; ISO 22320; ISO 31000; ISO 37000; NIST SP 800-34; BCI Good Practice Guidelines; Bain RAPID</t>
        </is>
      </c>
      <c r="F63" t="inlineStr">
        <is>
          <t>Policy/SOP; owner/RACI; system report; dashboard; contracts; test records; incident history; interview evidence related to common incident classification model for severity, impact, escalation and communication.</t>
        </is>
      </c>
      <c r="G63">
        <f>'Assessment Questions'!J63</f>
        <v/>
      </c>
      <c r="H63">
        <f>IF($Z63="","",IF($Z63="N/A","N/A",VALUE(LEFT($Z63,1))))</f>
        <v/>
      </c>
      <c r="I63">
        <f>IF($H63="","",IF($H63="N/A","",VALUE($H63)/5*$G63))</f>
        <v/>
      </c>
      <c r="J63">
        <f>IF(OR($H63="",$H63="N/A"),"",$G63)</f>
        <v/>
      </c>
      <c r="K63">
        <f>IF(OR($H63="",$H63="N/A"),"",$J63-$I63)</f>
        <v/>
      </c>
      <c r="L63">
        <f>IF($H63="","",IF($H63="N/A","N/A",IF(VALUE($H63)&lt;=1,"Critical",IF(VALUE($H63)&lt;=2,"High",IF(VALUE($H63)&lt;=3,"Medium",IF(VALUE($H63)&lt;=4,"Low","Resilient"))))))</f>
        <v/>
      </c>
      <c r="M63" t="inlineStr">
        <is>
          <t>Does not exist; no owner, no documentation, no practice.</t>
        </is>
      </c>
      <c r="N63" t="inlineStr">
        <is>
          <t>Ad hoc; depends entirely on specific individuals.</t>
        </is>
      </c>
      <c r="O63" t="inlineStr">
        <is>
          <t>Partially documented or implemented; coverage inconsistent; never tested under stress.</t>
        </is>
      </c>
      <c r="P63" t="inlineStr">
        <is>
          <t>Documented, owned, executed consistently; basic evidence and metrics exist.</t>
        </is>
      </c>
      <c r="Q63" t="inlineStr">
        <is>
          <t>Measured and periodically tested/audited; integrated with adjacent processes.</t>
        </is>
      </c>
      <c r="R63" t="inlineStr">
        <is>
          <t>Optimized and automated where practical; stress-tested; benchmarked externally.</t>
        </is>
      </c>
      <c r="S63" t="inlineStr">
        <is>
          <t>All crisis types</t>
        </is>
      </c>
      <c r="T63">
        <f>'Assessment Questions'!W63</f>
        <v/>
      </c>
      <c r="U63">
        <f>'Assessment Questions'!X63</f>
        <v/>
      </c>
      <c r="V63">
        <f>'Assessment Questions'!Y63</f>
        <v/>
      </c>
      <c r="W63" t="n">
        <v>4</v>
      </c>
      <c r="X63" t="n">
        <v>5</v>
      </c>
      <c r="Y63" t="n">
        <v>5</v>
      </c>
      <c r="Z63">
        <f>'Assessment Questions'!AC63</f>
        <v/>
      </c>
      <c r="AB63">
        <f>COUNTIF($B$50:$B$71,$AA63)</f>
        <v/>
      </c>
      <c r="AC63">
        <f>IFERROR(SUMPRODUCT(($B$50:$B$71=$AA63)*($H$50:$H$71&lt;&gt;"")*($H$50:$H$71&lt;&gt;"N/A")*IFERROR(VALUE($H$50:$H$71),0))/SUMPRODUCT(($B$50:$B$71=$AA63)*($H$50:$H$71&lt;&gt;"")*($H$50:$H$71&lt;&gt;"N/A")),0)</f>
        <v/>
      </c>
      <c r="AD63">
        <f>AC63/5</f>
        <v/>
      </c>
      <c r="AE63">
        <f>COUNTIFS($B$50:$B$71,$AA63,$L$50:$L$71,"Critical")+COUNTIFS($B$50:$B$71,$AA63,$L$50:$L$71,"High")</f>
        <v/>
      </c>
      <c r="AF63">
        <f>5-AC63</f>
        <v/>
      </c>
      <c r="AG63">
        <f>SUMPRODUCT(($B$50:$B$71=$AA63)*(ISNUMBER($H$50:$H$71)+($H$50:$H$71="N/A")))</f>
        <v/>
      </c>
      <c r="AH63">
        <f>'Assessment Questions'!AK63</f>
        <v/>
      </c>
      <c r="AI63">
        <f>'Assessment Questions'!AL63</f>
        <v/>
      </c>
      <c r="AJ63">
        <f>IF(OR($H63="",$H63="N/A"),"",IF($AH63="",VLOOKUP('Company Profile'!$B$40,_CONFIG_Model_Settings!$A$5:$B$8,2,FALSE),_xlfn.IFNA(VLOOKUP($AH63,_CONFIG_Model_Settings!$A$5:$B$8,2,FALSE),0.9)))</f>
        <v/>
      </c>
      <c r="AK63">
        <f>IF(OR($H63="",$H63="N/A"),"",IF($AI63="",VLOOKUP('Company Profile'!$B$41,_CONFIG_Model_Settings!$A$5:$B$8,2,FALSE),_xlfn.IFNA(VLOOKUP($AI63,_CONFIG_Model_Settings!$A$5:$B$8,2,FALSE),0.9)))</f>
        <v/>
      </c>
      <c r="AL63">
        <f>IF(OR($H63="",$H63="N/A"),"",ROUND(VALUE($H63)*$AJ63*$AK63*$AV63,2))</f>
        <v/>
      </c>
      <c r="AM63">
        <f>IF($AL63="","",ROUND($AL63/5*100,1))</f>
        <v/>
      </c>
      <c r="AN63">
        <f>IFERROR(MIN(5,MAX(0,(SUMIFS(_REF_Model_Content!$D$1:$D$157,_REF_Model_Content!$A$1:$A$157,'Company Profile'!$B$9,_REF_Model_Content!$B$1:$B$157,"Governance Crisis"))+_xlfn.IFNA(VLOOKUP('Company Profile'!$B$35,_CONFIG_Model_Settings!$A$11:$B$13,2,0),0))),"")</f>
        <v/>
      </c>
      <c r="AO63">
        <f>IF($AL63="","",MAX(0,ROUND($AN63-$AL63,2)))</f>
        <v/>
      </c>
      <c r="AP63">
        <f>IFERROR(SUMIFS(_REF_Model_Content!$E$1:$E$157,_REF_Model_Content!$A$1:$A$157,'Company Profile'!$B$9,_REF_Model_Content!$B$1:$B$157,"Governance Crisis"),1)</f>
        <v/>
      </c>
      <c r="AQ63">
        <f>IF($AO63="","",ROUND($AO63*$AP63*($G63/5),2))</f>
        <v/>
      </c>
      <c r="AR63">
        <f>IF($AO63="","",IF($AO63&gt;=2,"Critical industry gap",IF($AO63&gt;=1,"High industry gap",IF($AO63&gt;=0.5,"Moderate industry gap","Within target"))))</f>
        <v/>
      </c>
      <c r="AS63">
        <f>IF(OR($H63="",$H63="N/A"),0,VALUE($H63)*(($AJ63+$AK63)/2)*$AV63)</f>
        <v/>
      </c>
      <c r="AT63">
        <f>IF(OR($H63="",$H63="N/A"),0,($AJ63+$AK63)/2)</f>
        <v/>
      </c>
      <c r="AU63">
        <f>'Assessment Questions'!AX63</f>
        <v/>
      </c>
      <c r="AV63">
        <f>IF(OR($H63="",$H63="N/A"),"",IF(OR($AU63="",$AU63="Everywhere",$AU63="Not applicable"),1,IF($AU63="Pilot / one team",0.4,IF($AU63="One unit or site",0.7,0.9))))</f>
        <v/>
      </c>
      <c r="AW63" t="inlineStr">
        <is>
          <t>Governance Crisis</t>
        </is>
      </c>
      <c r="AX63" t="inlineStr">
        <is>
          <t>Governance Crisis</t>
        </is>
      </c>
      <c r="AY63" t="n">
        <v>18</v>
      </c>
      <c r="AZ63" t="n">
        <v>63</v>
      </c>
    </row>
    <row r="64">
      <c r="A64" t="inlineStr">
        <is>
          <t>GOVE-015</t>
        </is>
      </c>
      <c r="B64" t="inlineStr">
        <is>
          <t>Incident management</t>
        </is>
      </c>
      <c r="C64" t="inlineStr">
        <is>
          <t>How mature is the organization in managing post-incident review process that converts incidents into corrective and preventive actions, including ownership, evidence, metrics, fallback procedures and crisis stress testing?</t>
        </is>
      </c>
      <c r="D64" t="inlineStr">
        <is>
          <t>This topic affects exposure to All crisis types. It helps identify how disruption may impact operations, people, revenue, systems, legal exposure or recovery time.</t>
        </is>
      </c>
      <c r="E64" t="inlineStr">
        <is>
          <t>ISO 22301; ISO 22320; ISO 31000; ISO 37000; NIST SP 800-34; BCI Good Practice Guidelines; Bain RAPID</t>
        </is>
      </c>
      <c r="F64" t="inlineStr">
        <is>
          <t>Policy/SOP; owner/RACI; system report; dashboard; contracts; test records; incident history; interview evidence related to post-incident review process that converts incidents into corrective and preventive actions.</t>
        </is>
      </c>
      <c r="G64">
        <f>'Assessment Questions'!J64</f>
        <v/>
      </c>
      <c r="H64">
        <f>IF($Z64="","",IF($Z64="N/A","N/A",VALUE(LEFT($Z64,1))))</f>
        <v/>
      </c>
      <c r="I64">
        <f>IF($H64="","",IF($H64="N/A","",VALUE($H64)/5*$G64))</f>
        <v/>
      </c>
      <c r="J64">
        <f>IF(OR($H64="",$H64="N/A"),"",$G64)</f>
        <v/>
      </c>
      <c r="K64">
        <f>IF(OR($H64="",$H64="N/A"),"",$J64-$I64)</f>
        <v/>
      </c>
      <c r="L64">
        <f>IF($H64="","",IF($H64="N/A","N/A",IF(VALUE($H64)&lt;=1,"Critical",IF(VALUE($H64)&lt;=2,"High",IF(VALUE($H64)&lt;=3,"Medium",IF(VALUE($H64)&lt;=4,"Low","Resilient"))))))</f>
        <v/>
      </c>
      <c r="M64" t="inlineStr">
        <is>
          <t>Does not exist; no owner, no documentation, no practice.</t>
        </is>
      </c>
      <c r="N64" t="inlineStr">
        <is>
          <t>Ad hoc; depends entirely on specific individuals.</t>
        </is>
      </c>
      <c r="O64" t="inlineStr">
        <is>
          <t>Partially documented or implemented; coverage inconsistent; never tested under stress.</t>
        </is>
      </c>
      <c r="P64" t="inlineStr">
        <is>
          <t>Documented, owned, executed consistently; basic evidence and metrics exist.</t>
        </is>
      </c>
      <c r="Q64" t="inlineStr">
        <is>
          <t>Measured and periodically tested/audited; integrated with adjacent processes.</t>
        </is>
      </c>
      <c r="R64" t="inlineStr">
        <is>
          <t>Optimized and automated where practical; stress-tested; benchmarked externally.</t>
        </is>
      </c>
      <c r="S64" t="inlineStr">
        <is>
          <t>All crisis types</t>
        </is>
      </c>
      <c r="T64">
        <f>'Assessment Questions'!W64</f>
        <v/>
      </c>
      <c r="U64">
        <f>'Assessment Questions'!X64</f>
        <v/>
      </c>
      <c r="V64">
        <f>'Assessment Questions'!Y64</f>
        <v/>
      </c>
      <c r="W64" t="n">
        <v>4</v>
      </c>
      <c r="X64" t="n">
        <v>5</v>
      </c>
      <c r="Y64" t="n">
        <v>5</v>
      </c>
      <c r="Z64">
        <f>'Assessment Questions'!AC64</f>
        <v/>
      </c>
      <c r="AB64">
        <f>COUNTIF($B$50:$B$71,$AA64)</f>
        <v/>
      </c>
      <c r="AC64">
        <f>IFERROR(SUMPRODUCT(($B$50:$B$71=$AA64)*($H$50:$H$71&lt;&gt;"")*($H$50:$H$71&lt;&gt;"N/A")*IFERROR(VALUE($H$50:$H$71),0))/SUMPRODUCT(($B$50:$B$71=$AA64)*($H$50:$H$71&lt;&gt;"")*($H$50:$H$71&lt;&gt;"N/A")),0)</f>
        <v/>
      </c>
      <c r="AD64">
        <f>AC64/5</f>
        <v/>
      </c>
      <c r="AE64">
        <f>COUNTIFS($B$50:$B$71,$AA64,$L$50:$L$71,"Critical")+COUNTIFS($B$50:$B$71,$AA64,$L$50:$L$71,"High")</f>
        <v/>
      </c>
      <c r="AF64">
        <f>5-AC64</f>
        <v/>
      </c>
      <c r="AG64">
        <f>SUMPRODUCT(($B$50:$B$71=$AA64)*(ISNUMBER($H$50:$H$71)+($H$50:$H$71="N/A")))</f>
        <v/>
      </c>
      <c r="AH64">
        <f>'Assessment Questions'!AK64</f>
        <v/>
      </c>
      <c r="AI64">
        <f>'Assessment Questions'!AL64</f>
        <v/>
      </c>
      <c r="AJ64">
        <f>IF(OR($H64="",$H64="N/A"),"",IF($AH64="",VLOOKUP('Company Profile'!$B$40,_CONFIG_Model_Settings!$A$5:$B$8,2,FALSE),_xlfn.IFNA(VLOOKUP($AH64,_CONFIG_Model_Settings!$A$5:$B$8,2,FALSE),0.9)))</f>
        <v/>
      </c>
      <c r="AK64">
        <f>IF(OR($H64="",$H64="N/A"),"",IF($AI64="",VLOOKUP('Company Profile'!$B$41,_CONFIG_Model_Settings!$A$5:$B$8,2,FALSE),_xlfn.IFNA(VLOOKUP($AI64,_CONFIG_Model_Settings!$A$5:$B$8,2,FALSE),0.9)))</f>
        <v/>
      </c>
      <c r="AL64">
        <f>IF(OR($H64="",$H64="N/A"),"",ROUND(VALUE($H64)*$AJ64*$AK64*$AV64,2))</f>
        <v/>
      </c>
      <c r="AM64">
        <f>IF($AL64="","",ROUND($AL64/5*100,1))</f>
        <v/>
      </c>
      <c r="AN64">
        <f>IFERROR(MIN(5,MAX(0,(SUMIFS(_REF_Model_Content!$D$1:$D$157,_REF_Model_Content!$A$1:$A$157,'Company Profile'!$B$9,_REF_Model_Content!$B$1:$B$157,"Governance Crisis"))+_xlfn.IFNA(VLOOKUP('Company Profile'!$B$35,_CONFIG_Model_Settings!$A$11:$B$13,2,0),0))),"")</f>
        <v/>
      </c>
      <c r="AO64">
        <f>IF($AL64="","",MAX(0,ROUND($AN64-$AL64,2)))</f>
        <v/>
      </c>
      <c r="AP64">
        <f>IFERROR(SUMIFS(_REF_Model_Content!$E$1:$E$157,_REF_Model_Content!$A$1:$A$157,'Company Profile'!$B$9,_REF_Model_Content!$B$1:$B$157,"Governance Crisis"),1)</f>
        <v/>
      </c>
      <c r="AQ64">
        <f>IF($AO64="","",ROUND($AO64*$AP64*($G64/5),2))</f>
        <v/>
      </c>
      <c r="AR64">
        <f>IF($AO64="","",IF($AO64&gt;=2,"Critical industry gap",IF($AO64&gt;=1,"High industry gap",IF($AO64&gt;=0.5,"Moderate industry gap","Within target"))))</f>
        <v/>
      </c>
      <c r="AS64">
        <f>IF(OR($H64="",$H64="N/A"),0,VALUE($H64)*(($AJ64+$AK64)/2)*$AV64)</f>
        <v/>
      </c>
      <c r="AT64">
        <f>IF(OR($H64="",$H64="N/A"),0,($AJ64+$AK64)/2)</f>
        <v/>
      </c>
      <c r="AU64">
        <f>'Assessment Questions'!AX64</f>
        <v/>
      </c>
      <c r="AV64">
        <f>IF(OR($H64="",$H64="N/A"),"",IF(OR($AU64="",$AU64="Everywhere",$AU64="Not applicable"),1,IF($AU64="Pilot / one team",0.4,IF($AU64="One unit or site",0.7,0.9))))</f>
        <v/>
      </c>
      <c r="AW64" t="inlineStr">
        <is>
          <t>Governance Crisis</t>
        </is>
      </c>
      <c r="AX64" t="inlineStr">
        <is>
          <t>Governance Crisis</t>
        </is>
      </c>
      <c r="AY64" t="n">
        <v>19</v>
      </c>
      <c r="AZ64" t="n">
        <v>64</v>
      </c>
    </row>
    <row r="65">
      <c r="A65" t="inlineStr">
        <is>
          <t>GOVE-016</t>
        </is>
      </c>
      <c r="B65" t="inlineStr">
        <is>
          <t>Incident management</t>
        </is>
      </c>
      <c r="C65" t="inlineStr">
        <is>
          <t>How mature is the organization in managing interdependency map linking functions, sites, systems, people, suppliers and customers, including ownership, evidence, metrics, fallback procedures and crisis stress testing?</t>
        </is>
      </c>
      <c r="D65" t="inlineStr">
        <is>
          <t>This topic affects exposure to All crisis types. It helps identify how disruption may impact operations, people, revenue, systems, legal exposure or recovery time.</t>
        </is>
      </c>
      <c r="E65" t="inlineStr">
        <is>
          <t>ISO 22301; ISO 22320; ISO 31000; ISO 37000; NIST SP 800-34; BCI Good Practice Guidelines; Bain RAPID</t>
        </is>
      </c>
      <c r="F65" t="inlineStr">
        <is>
          <t>Policy/SOP; owner/RACI; system report; dashboard; contracts; test records; incident history; interview evidence related to interdependency map linking functions, sites, systems, people, suppliers and customers.</t>
        </is>
      </c>
      <c r="G65">
        <f>'Assessment Questions'!J65</f>
        <v/>
      </c>
      <c r="H65">
        <f>IF($Z65="","",IF($Z65="N/A","N/A",VALUE(LEFT($Z65,1))))</f>
        <v/>
      </c>
      <c r="I65">
        <f>IF($H65="","",IF($H65="N/A","",VALUE($H65)/5*$G65))</f>
        <v/>
      </c>
      <c r="J65">
        <f>IF(OR($H65="",$H65="N/A"),"",$G65)</f>
        <v/>
      </c>
      <c r="K65">
        <f>IF(OR($H65="",$H65="N/A"),"",$J65-$I65)</f>
        <v/>
      </c>
      <c r="L65">
        <f>IF($H65="","",IF($H65="N/A","N/A",IF(VALUE($H65)&lt;=1,"Critical",IF(VALUE($H65)&lt;=2,"High",IF(VALUE($H65)&lt;=3,"Medium",IF(VALUE($H65)&lt;=4,"Low","Resilient"))))))</f>
        <v/>
      </c>
      <c r="M65" t="inlineStr">
        <is>
          <t>No inventory/register exists.</t>
        </is>
      </c>
      <c r="N65" t="inlineStr">
        <is>
          <t>Partial lists live in individuals' heads or personal files.</t>
        </is>
      </c>
      <c r="O65" t="inlineStr">
        <is>
          <t>A register exists but is incomplete or outdated (&gt;1 year) and has no owner.</t>
        </is>
      </c>
      <c r="P65" t="inlineStr">
        <is>
          <t>Owned, documented, updated on a defined schedule, covers the main scope.</t>
        </is>
      </c>
      <c r="Q65" t="inlineStr">
        <is>
          <t>Complete and periodically reviewed; integrated with related processes; completeness measured.</t>
        </is>
      </c>
      <c r="R65" t="inlineStr">
        <is>
          <t>Maintained automatically or synced with systems; drives decisions; audited.</t>
        </is>
      </c>
      <c r="S65" t="inlineStr">
        <is>
          <t>All crisis types</t>
        </is>
      </c>
      <c r="T65">
        <f>'Assessment Questions'!W65</f>
        <v/>
      </c>
      <c r="U65">
        <f>'Assessment Questions'!X65</f>
        <v/>
      </c>
      <c r="V65">
        <f>'Assessment Questions'!Y65</f>
        <v/>
      </c>
      <c r="W65" t="n">
        <v>4</v>
      </c>
      <c r="X65" t="n">
        <v>5</v>
      </c>
      <c r="Y65" t="n">
        <v>5</v>
      </c>
      <c r="Z65">
        <f>'Assessment Questions'!AC65</f>
        <v/>
      </c>
      <c r="AB65">
        <f>COUNTIF($B$50:$B$71,$AA65)</f>
        <v/>
      </c>
      <c r="AC65">
        <f>IFERROR(SUMPRODUCT(($B$50:$B$71=$AA65)*($H$50:$H$71&lt;&gt;"")*($H$50:$H$71&lt;&gt;"N/A")*IFERROR(VALUE($H$50:$H$71),0))/SUMPRODUCT(($B$50:$B$71=$AA65)*($H$50:$H$71&lt;&gt;"")*($H$50:$H$71&lt;&gt;"N/A")),0)</f>
        <v/>
      </c>
      <c r="AD65">
        <f>AC65/5</f>
        <v/>
      </c>
      <c r="AE65">
        <f>COUNTIFS($B$50:$B$71,$AA65,$L$50:$L$71,"Critical")+COUNTIFS($B$50:$B$71,$AA65,$L$50:$L$71,"High")</f>
        <v/>
      </c>
      <c r="AF65">
        <f>5-AC65</f>
        <v/>
      </c>
      <c r="AG65">
        <f>SUMPRODUCT(($B$50:$B$71=$AA65)*(ISNUMBER($H$50:$H$71)+($H$50:$H$71="N/A")))</f>
        <v/>
      </c>
      <c r="AH65">
        <f>'Assessment Questions'!AK65</f>
        <v/>
      </c>
      <c r="AI65">
        <f>'Assessment Questions'!AL65</f>
        <v/>
      </c>
      <c r="AJ65">
        <f>IF(OR($H65="",$H65="N/A"),"",IF($AH65="",VLOOKUP('Company Profile'!$B$40,_CONFIG_Model_Settings!$A$5:$B$8,2,FALSE),_xlfn.IFNA(VLOOKUP($AH65,_CONFIG_Model_Settings!$A$5:$B$8,2,FALSE),0.9)))</f>
        <v/>
      </c>
      <c r="AK65">
        <f>IF(OR($H65="",$H65="N/A"),"",IF($AI65="",VLOOKUP('Company Profile'!$B$41,_CONFIG_Model_Settings!$A$5:$B$8,2,FALSE),_xlfn.IFNA(VLOOKUP($AI65,_CONFIG_Model_Settings!$A$5:$B$8,2,FALSE),0.9)))</f>
        <v/>
      </c>
      <c r="AL65">
        <f>IF(OR($H65="",$H65="N/A"),"",ROUND(VALUE($H65)*$AJ65*$AK65*$AV65,2))</f>
        <v/>
      </c>
      <c r="AM65">
        <f>IF($AL65="","",ROUND($AL65/5*100,1))</f>
        <v/>
      </c>
      <c r="AN65">
        <f>IFERROR(MIN(5,MAX(0,(SUMIFS(_REF_Model_Content!$D$1:$D$157,_REF_Model_Content!$A$1:$A$157,'Company Profile'!$B$9,_REF_Model_Content!$B$1:$B$157,"Governance Crisis"))+_xlfn.IFNA(VLOOKUP('Company Profile'!$B$35,_CONFIG_Model_Settings!$A$11:$B$13,2,0),0))),"")</f>
        <v/>
      </c>
      <c r="AO65">
        <f>IF($AL65="","",MAX(0,ROUND($AN65-$AL65,2)))</f>
        <v/>
      </c>
      <c r="AP65">
        <f>IFERROR(SUMIFS(_REF_Model_Content!$E$1:$E$157,_REF_Model_Content!$A$1:$A$157,'Company Profile'!$B$9,_REF_Model_Content!$B$1:$B$157,"Governance Crisis"),1)</f>
        <v/>
      </c>
      <c r="AQ65">
        <f>IF($AO65="","",ROUND($AO65*$AP65*($G65/5),2))</f>
        <v/>
      </c>
      <c r="AR65">
        <f>IF($AO65="","",IF($AO65&gt;=2,"Critical industry gap",IF($AO65&gt;=1,"High industry gap",IF($AO65&gt;=0.5,"Moderate industry gap","Within target"))))</f>
        <v/>
      </c>
      <c r="AS65">
        <f>IF(OR($H65="",$H65="N/A"),0,VALUE($H65)*(($AJ65+$AK65)/2)*$AV65)</f>
        <v/>
      </c>
      <c r="AT65">
        <f>IF(OR($H65="",$H65="N/A"),0,($AJ65+$AK65)/2)</f>
        <v/>
      </c>
      <c r="AU65">
        <f>'Assessment Questions'!AX65</f>
        <v/>
      </c>
      <c r="AV65">
        <f>IF(OR($H65="",$H65="N/A"),"",IF(OR($AU65="",$AU65="Everywhere",$AU65="Not applicable"),1,IF($AU65="Pilot / one team",0.4,IF($AU65="One unit or site",0.7,0.9))))</f>
        <v/>
      </c>
      <c r="AW65" t="inlineStr">
        <is>
          <t>Governance Crisis</t>
        </is>
      </c>
      <c r="AX65" t="inlineStr">
        <is>
          <t>Governance Crisis</t>
        </is>
      </c>
      <c r="AY65" t="n">
        <v>20</v>
      </c>
      <c r="AZ65" t="n">
        <v>65</v>
      </c>
    </row>
    <row r="66">
      <c r="A66" t="inlineStr">
        <is>
          <t>GOVE-017</t>
        </is>
      </c>
      <c r="B66" t="inlineStr">
        <is>
          <t>Incident management</t>
        </is>
      </c>
      <c r="C66" t="inlineStr">
        <is>
          <t>How mature is the organization in managing crisis communication protocol for employees, customers, suppliers, regulators, insurers and media, including ownership, evidence, metrics, fallback procedures and crisis stress testing?</t>
        </is>
      </c>
      <c r="D66" t="inlineStr">
        <is>
          <t>This topic affects exposure to All crisis types. It helps identify how disruption may impact operations, people, revenue, systems, legal exposure or recovery time.</t>
        </is>
      </c>
      <c r="E66" t="inlineStr">
        <is>
          <t>ISO 22301; ISO 22320; ISO 31000; ISO 37000; NIST SP 800-34; BCI Good Practice Guidelines; Bain RAPID</t>
        </is>
      </c>
      <c r="F66" t="inlineStr">
        <is>
          <t>Policy/SOP; owner/RACI; system report; dashboard; contracts; test records; incident history; interview evidence related to crisis communication protocol for employees, customers, suppliers, regulators, insurers and media.</t>
        </is>
      </c>
      <c r="G66">
        <f>'Assessment Questions'!J66</f>
        <v/>
      </c>
      <c r="H66">
        <f>IF($Z66="","",IF($Z66="N/A","N/A",VALUE(LEFT($Z66,1))))</f>
        <v/>
      </c>
      <c r="I66">
        <f>IF($H66="","",IF($H66="N/A","",VALUE($H66)/5*$G66))</f>
        <v/>
      </c>
      <c r="J66">
        <f>IF(OR($H66="",$H66="N/A"),"",$G66)</f>
        <v/>
      </c>
      <c r="K66">
        <f>IF(OR($H66="",$H66="N/A"),"",$J66-$I66)</f>
        <v/>
      </c>
      <c r="L66">
        <f>IF($H66="","",IF($H66="N/A","N/A",IF(VALUE($H66)&lt;=1,"Critical",IF(VALUE($H66)&lt;=2,"High",IF(VALUE($H66)&lt;=3,"Medium",IF(VALUE($H66)&lt;=4,"Low","Resilient"))))))</f>
        <v/>
      </c>
      <c r="M66" t="inlineStr">
        <is>
          <t>No plan or procedure exists.</t>
        </is>
      </c>
      <c r="N66" t="inlineStr">
        <is>
          <t>Knowledge lives with individuals; nothing usable is written down.</t>
        </is>
      </c>
      <c r="O66" t="inlineStr">
        <is>
          <t>Drafted but outdated, not approved, or unknown to the people who must use it.</t>
        </is>
      </c>
      <c r="P66" t="inlineStr">
        <is>
          <t>Approved and current; owners assigned; affected staff know it exists and where to find it.</t>
        </is>
      </c>
      <c r="Q66" t="inlineStr">
        <is>
          <t>Tested against realistic scenarios; updated after each test or real incident.</t>
        </is>
      </c>
      <c r="R66" t="inlineStr">
        <is>
          <t>Exercised regularly including external parties; readiness measured; continuously improved.</t>
        </is>
      </c>
      <c r="S66" t="inlineStr">
        <is>
          <t>All crisis types</t>
        </is>
      </c>
      <c r="T66">
        <f>'Assessment Questions'!W66</f>
        <v/>
      </c>
      <c r="U66">
        <f>'Assessment Questions'!X66</f>
        <v/>
      </c>
      <c r="V66">
        <f>'Assessment Questions'!Y66</f>
        <v/>
      </c>
      <c r="W66" t="n">
        <v>4</v>
      </c>
      <c r="X66" t="n">
        <v>5</v>
      </c>
      <c r="Y66" t="n">
        <v>5</v>
      </c>
      <c r="Z66">
        <f>'Assessment Questions'!AC66</f>
        <v/>
      </c>
      <c r="AB66">
        <f>COUNTIF($B$50:$B$71,$AA66)</f>
        <v/>
      </c>
      <c r="AC66">
        <f>IFERROR(SUMPRODUCT(($B$50:$B$71=$AA66)*($H$50:$H$71&lt;&gt;"")*($H$50:$H$71&lt;&gt;"N/A")*IFERROR(VALUE($H$50:$H$71),0))/SUMPRODUCT(($B$50:$B$71=$AA66)*($H$50:$H$71&lt;&gt;"")*($H$50:$H$71&lt;&gt;"N/A")),0)</f>
        <v/>
      </c>
      <c r="AD66">
        <f>AC66/5</f>
        <v/>
      </c>
      <c r="AE66">
        <f>COUNTIFS($B$50:$B$71,$AA66,$L$50:$L$71,"Critical")+COUNTIFS($B$50:$B$71,$AA66,$L$50:$L$71,"High")</f>
        <v/>
      </c>
      <c r="AF66">
        <f>5-AC66</f>
        <v/>
      </c>
      <c r="AG66">
        <f>SUMPRODUCT(($B$50:$B$71=$AA66)*(ISNUMBER($H$50:$H$71)+($H$50:$H$71="N/A")))</f>
        <v/>
      </c>
      <c r="AH66">
        <f>'Assessment Questions'!AK66</f>
        <v/>
      </c>
      <c r="AI66">
        <f>'Assessment Questions'!AL66</f>
        <v/>
      </c>
      <c r="AJ66">
        <f>IF(OR($H66="",$H66="N/A"),"",IF($AH66="",VLOOKUP('Company Profile'!$B$40,_CONFIG_Model_Settings!$A$5:$B$8,2,FALSE),_xlfn.IFNA(VLOOKUP($AH66,_CONFIG_Model_Settings!$A$5:$B$8,2,FALSE),0.9)))</f>
        <v/>
      </c>
      <c r="AK66">
        <f>IF(OR($H66="",$H66="N/A"),"",IF($AI66="",VLOOKUP('Company Profile'!$B$41,_CONFIG_Model_Settings!$A$5:$B$8,2,FALSE),_xlfn.IFNA(VLOOKUP($AI66,_CONFIG_Model_Settings!$A$5:$B$8,2,FALSE),0.9)))</f>
        <v/>
      </c>
      <c r="AL66">
        <f>IF(OR($H66="",$H66="N/A"),"",ROUND(VALUE($H66)*$AJ66*$AK66*$AV66,2))</f>
        <v/>
      </c>
      <c r="AM66">
        <f>IF($AL66="","",ROUND($AL66/5*100,1))</f>
        <v/>
      </c>
      <c r="AN66">
        <f>IFERROR(MIN(5,MAX(0,(SUMIFS(_REF_Model_Content!$D$1:$D$157,_REF_Model_Content!$A$1:$A$157,'Company Profile'!$B$9,_REF_Model_Content!$B$1:$B$157,"Governance Crisis"))+_xlfn.IFNA(VLOOKUP('Company Profile'!$B$35,_CONFIG_Model_Settings!$A$11:$B$13,2,0),0))),"")</f>
        <v/>
      </c>
      <c r="AO66">
        <f>IF($AL66="","",MAX(0,ROUND($AN66-$AL66,2)))</f>
        <v/>
      </c>
      <c r="AP66">
        <f>IFERROR(SUMIFS(_REF_Model_Content!$E$1:$E$157,_REF_Model_Content!$A$1:$A$157,'Company Profile'!$B$9,_REF_Model_Content!$B$1:$B$157,"Governance Crisis"),1)</f>
        <v/>
      </c>
      <c r="AQ66">
        <f>IF($AO66="","",ROUND($AO66*$AP66*($G66/5),2))</f>
        <v/>
      </c>
      <c r="AR66">
        <f>IF($AO66="","",IF($AO66&gt;=2,"Critical industry gap",IF($AO66&gt;=1,"High industry gap",IF($AO66&gt;=0.5,"Moderate industry gap","Within target"))))</f>
        <v/>
      </c>
      <c r="AS66">
        <f>IF(OR($H66="",$H66="N/A"),0,VALUE($H66)*(($AJ66+$AK66)/2)*$AV66)</f>
        <v/>
      </c>
      <c r="AT66">
        <f>IF(OR($H66="",$H66="N/A"),0,($AJ66+$AK66)/2)</f>
        <v/>
      </c>
      <c r="AU66">
        <f>'Assessment Questions'!AX66</f>
        <v/>
      </c>
      <c r="AV66">
        <f>IF(OR($H66="",$H66="N/A"),"",IF(OR($AU66="",$AU66="Everywhere",$AU66="Not applicable"),1,IF($AU66="Pilot / one team",0.4,IF($AU66="One unit or site",0.7,0.9))))</f>
        <v/>
      </c>
      <c r="AW66" t="inlineStr">
        <is>
          <t>Governance Crisis</t>
        </is>
      </c>
      <c r="AX66" t="inlineStr">
        <is>
          <t>Governance Crisis</t>
        </is>
      </c>
      <c r="AY66" t="n">
        <v>21</v>
      </c>
      <c r="AZ66" t="n">
        <v>66</v>
      </c>
    </row>
    <row r="67">
      <c r="A67" t="inlineStr">
        <is>
          <t>GOVE-018</t>
        </is>
      </c>
      <c r="B67" t="inlineStr">
        <is>
          <t>Incident management</t>
        </is>
      </c>
      <c r="C67" t="inlineStr">
        <is>
          <t>How mature is the organization in managing mass notification and emergency coordination tools, including ownership, evidence, metrics, fallback procedures and crisis stress testing?</t>
        </is>
      </c>
      <c r="D67" t="inlineStr">
        <is>
          <t>This topic affects exposure to All crisis types. It helps identify how disruption may impact operations, people, revenue, systems, legal exposure or recovery time.</t>
        </is>
      </c>
      <c r="E67" t="inlineStr">
        <is>
          <t>ISO 22301; ISO 22320; ISO 31000; ISO 37000; NIST SP 800-34; BCI Good Practice Guidelines; Bain RAPID</t>
        </is>
      </c>
      <c r="F67" t="inlineStr">
        <is>
          <t>Policy/SOP; owner/RACI; system report; dashboard; contracts; test records; incident history; interview evidence related to mass notification and emergency coordination tools.</t>
        </is>
      </c>
      <c r="G67">
        <f>'Assessment Questions'!J67</f>
        <v/>
      </c>
      <c r="H67">
        <f>IF($Z67="","",IF($Z67="N/A","N/A",VALUE(LEFT($Z67,1))))</f>
        <v/>
      </c>
      <c r="I67">
        <f>IF($H67="","",IF($H67="N/A","",VALUE($H67)/5*$G67))</f>
        <v/>
      </c>
      <c r="J67">
        <f>IF(OR($H67="",$H67="N/A"),"",$G67)</f>
        <v/>
      </c>
      <c r="K67">
        <f>IF(OR($H67="",$H67="N/A"),"",$J67-$I67)</f>
        <v/>
      </c>
      <c r="L67">
        <f>IF($H67="","",IF($H67="N/A","N/A",IF(VALUE($H67)&lt;=1,"Critical",IF(VALUE($H67)&lt;=2,"High",IF(VALUE($H67)&lt;=3,"Medium",IF(VALUE($H67)&lt;=4,"Low","Resilient"))))))</f>
        <v/>
      </c>
      <c r="M67" t="inlineStr">
        <is>
          <t>No reliable evidence that mass notification and emergency coordination tools is defined, owned or managed.</t>
        </is>
      </c>
      <c r="N67" t="inlineStr">
        <is>
          <t>Mass notification and emergency coordination tools is handled informally and depends on individual knowledge or heroic effort.</t>
        </is>
      </c>
      <c r="O67" t="inlineStr">
        <is>
          <t>Mass notification and emergency coordination tools is partially documented or implemented, but coverage is inconsistent and not crisis-tested.</t>
        </is>
      </c>
      <c r="P67" t="inlineStr">
        <is>
          <t>Mass notification and emergency coordination tools is documented, owned, used in normal operations and supported by basic evidence or metrics.</t>
        </is>
      </c>
      <c r="Q67" t="inlineStr">
        <is>
          <t>Mass notification and emergency coordination tools is measured, periodically reviewed, integrated with related processes and tested against relevant disruption scenarios.</t>
        </is>
      </c>
      <c r="R67" t="inlineStr">
        <is>
          <t>Mass notification and emergency coordination tools is optimized, continuously improved, automated where practical and demonstrably supports crisis resilience.</t>
        </is>
      </c>
      <c r="S67" t="inlineStr">
        <is>
          <t>All crisis types</t>
        </is>
      </c>
      <c r="T67">
        <f>'Assessment Questions'!W67</f>
        <v/>
      </c>
      <c r="U67">
        <f>'Assessment Questions'!X67</f>
        <v/>
      </c>
      <c r="V67">
        <f>'Assessment Questions'!Y67</f>
        <v/>
      </c>
      <c r="W67" t="n">
        <v>4</v>
      </c>
      <c r="X67" t="n">
        <v>5</v>
      </c>
      <c r="Y67" t="n">
        <v>5</v>
      </c>
      <c r="Z67">
        <f>'Assessment Questions'!AC67</f>
        <v/>
      </c>
      <c r="AB67">
        <f>COUNTIF($B$50:$B$71,$AA67)</f>
        <v/>
      </c>
      <c r="AC67">
        <f>IFERROR(SUMPRODUCT(($B$50:$B$71=$AA67)*($H$50:$H$71&lt;&gt;"")*($H$50:$H$71&lt;&gt;"N/A")*IFERROR(VALUE($H$50:$H$71),0))/SUMPRODUCT(($B$50:$B$71=$AA67)*($H$50:$H$71&lt;&gt;"")*($H$50:$H$71&lt;&gt;"N/A")),0)</f>
        <v/>
      </c>
      <c r="AD67">
        <f>AC67/5</f>
        <v/>
      </c>
      <c r="AE67">
        <f>COUNTIFS($B$50:$B$71,$AA67,$L$50:$L$71,"Critical")+COUNTIFS($B$50:$B$71,$AA67,$L$50:$L$71,"High")</f>
        <v/>
      </c>
      <c r="AF67">
        <f>5-AC67</f>
        <v/>
      </c>
      <c r="AG67">
        <f>SUMPRODUCT(($B$50:$B$71=$AA67)*(ISNUMBER($H$50:$H$71)+($H$50:$H$71="N/A")))</f>
        <v/>
      </c>
      <c r="AH67">
        <f>'Assessment Questions'!AK67</f>
        <v/>
      </c>
      <c r="AI67">
        <f>'Assessment Questions'!AL67</f>
        <v/>
      </c>
      <c r="AJ67">
        <f>IF(OR($H67="",$H67="N/A"),"",IF($AH67="",VLOOKUP('Company Profile'!$B$40,_CONFIG_Model_Settings!$A$5:$B$8,2,FALSE),_xlfn.IFNA(VLOOKUP($AH67,_CONFIG_Model_Settings!$A$5:$B$8,2,FALSE),0.9)))</f>
        <v/>
      </c>
      <c r="AK67">
        <f>IF(OR($H67="",$H67="N/A"),"",IF($AI67="",VLOOKUP('Company Profile'!$B$41,_CONFIG_Model_Settings!$A$5:$B$8,2,FALSE),_xlfn.IFNA(VLOOKUP($AI67,_CONFIG_Model_Settings!$A$5:$B$8,2,FALSE),0.9)))</f>
        <v/>
      </c>
      <c r="AL67">
        <f>IF(OR($H67="",$H67="N/A"),"",ROUND(VALUE($H67)*$AJ67*$AK67*$AV67,2))</f>
        <v/>
      </c>
      <c r="AM67">
        <f>IF($AL67="","",ROUND($AL67/5*100,1))</f>
        <v/>
      </c>
      <c r="AN67">
        <f>IFERROR(MIN(5,MAX(0,(SUMIFS(_REF_Model_Content!$D$1:$D$157,_REF_Model_Content!$A$1:$A$157,'Company Profile'!$B$9,_REF_Model_Content!$B$1:$B$157,"Governance Crisis"))+_xlfn.IFNA(VLOOKUP('Company Profile'!$B$35,_CONFIG_Model_Settings!$A$11:$B$13,2,0),0))),"")</f>
        <v/>
      </c>
      <c r="AO67">
        <f>IF($AL67="","",MAX(0,ROUND($AN67-$AL67,2)))</f>
        <v/>
      </c>
      <c r="AP67">
        <f>IFERROR(SUMIFS(_REF_Model_Content!$E$1:$E$157,_REF_Model_Content!$A$1:$A$157,'Company Profile'!$B$9,_REF_Model_Content!$B$1:$B$157,"Governance Crisis"),1)</f>
        <v/>
      </c>
      <c r="AQ67">
        <f>IF($AO67="","",ROUND($AO67*$AP67*($G67/5),2))</f>
        <v/>
      </c>
      <c r="AR67">
        <f>IF($AO67="","",IF($AO67&gt;=2,"Critical industry gap",IF($AO67&gt;=1,"High industry gap",IF($AO67&gt;=0.5,"Moderate industry gap","Within target"))))</f>
        <v/>
      </c>
      <c r="AS67">
        <f>IF(OR($H67="",$H67="N/A"),0,VALUE($H67)*(($AJ67+$AK67)/2)*$AV67)</f>
        <v/>
      </c>
      <c r="AT67">
        <f>IF(OR($H67="",$H67="N/A"),0,($AJ67+$AK67)/2)</f>
        <v/>
      </c>
      <c r="AU67">
        <f>'Assessment Questions'!AX67</f>
        <v/>
      </c>
      <c r="AV67">
        <f>IF(OR($H67="",$H67="N/A"),"",IF(OR($AU67="",$AU67="Everywhere",$AU67="Not applicable"),1,IF($AU67="Pilot / one team",0.4,IF($AU67="One unit or site",0.7,0.9))))</f>
        <v/>
      </c>
      <c r="AW67" t="inlineStr">
        <is>
          <t>Governance Crisis</t>
        </is>
      </c>
      <c r="AX67" t="inlineStr">
        <is>
          <t>Governance Crisis</t>
        </is>
      </c>
      <c r="AY67" t="n">
        <v>22</v>
      </c>
      <c r="AZ67" t="n">
        <v>67</v>
      </c>
    </row>
    <row r="68">
      <c r="A68" t="inlineStr">
        <is>
          <t>GOVE-019</t>
        </is>
      </c>
      <c r="B68" t="inlineStr">
        <is>
          <t>Incident management</t>
        </is>
      </c>
      <c r="C68" t="inlineStr">
        <is>
          <t>How mature is the organization in managing crisis lessons-learned process tied to improvement backlog and management review, including ownership, evidence, metrics, fallback procedures and crisis stress testing?</t>
        </is>
      </c>
      <c r="D68" t="inlineStr">
        <is>
          <t>This topic affects exposure to All crisis types. It helps identify how disruption may impact operations, people, revenue, systems, legal exposure or recovery time.</t>
        </is>
      </c>
      <c r="E68" t="inlineStr">
        <is>
          <t>ISO 22301; ISO 22320; ISO 31000; ISO 37000; NIST SP 800-34; BCI Good Practice Guidelines; Bain RAPID</t>
        </is>
      </c>
      <c r="F68" t="inlineStr">
        <is>
          <t>Policy/SOP; owner/RACI; system report; dashboard; contracts; test records; incident history; interview evidence related to crisis lessons-learned process tied to improvement backlog and management review.</t>
        </is>
      </c>
      <c r="G68">
        <f>'Assessment Questions'!J68</f>
        <v/>
      </c>
      <c r="H68">
        <f>IF($Z68="","",IF($Z68="N/A","N/A",VALUE(LEFT($Z68,1))))</f>
        <v/>
      </c>
      <c r="I68">
        <f>IF($H68="","",IF($H68="N/A","",VALUE($H68)/5*$G68))</f>
        <v/>
      </c>
      <c r="J68">
        <f>IF(OR($H68="",$H68="N/A"),"",$G68)</f>
        <v/>
      </c>
      <c r="K68">
        <f>IF(OR($H68="",$H68="N/A"),"",$J68-$I68)</f>
        <v/>
      </c>
      <c r="L68">
        <f>IF($H68="","",IF($H68="N/A","N/A",IF(VALUE($H68)&lt;=1,"Critical",IF(VALUE($H68)&lt;=2,"High",IF(VALUE($H68)&lt;=3,"Medium",IF(VALUE($H68)&lt;=4,"Low","Resilient"))))))</f>
        <v/>
      </c>
      <c r="M68" t="inlineStr">
        <is>
          <t>Does not exist; no owner, no documentation, no practice.</t>
        </is>
      </c>
      <c r="N68" t="inlineStr">
        <is>
          <t>Ad hoc; depends entirely on specific individuals.</t>
        </is>
      </c>
      <c r="O68" t="inlineStr">
        <is>
          <t>Partially documented or implemented; coverage inconsistent; never tested under stress.</t>
        </is>
      </c>
      <c r="P68" t="inlineStr">
        <is>
          <t>Documented, owned, executed consistently; basic evidence and metrics exist.</t>
        </is>
      </c>
      <c r="Q68" t="inlineStr">
        <is>
          <t>Measured and periodically tested/audited; integrated with adjacent processes.</t>
        </is>
      </c>
      <c r="R68" t="inlineStr">
        <is>
          <t>Optimized and automated where practical; stress-tested; benchmarked externally.</t>
        </is>
      </c>
      <c r="S68" t="inlineStr">
        <is>
          <t>All crisis types</t>
        </is>
      </c>
      <c r="T68">
        <f>'Assessment Questions'!W68</f>
        <v/>
      </c>
      <c r="U68">
        <f>'Assessment Questions'!X68</f>
        <v/>
      </c>
      <c r="V68">
        <f>'Assessment Questions'!Y68</f>
        <v/>
      </c>
      <c r="W68" t="n">
        <v>4</v>
      </c>
      <c r="X68" t="n">
        <v>5</v>
      </c>
      <c r="Y68" t="n">
        <v>5</v>
      </c>
      <c r="Z68">
        <f>'Assessment Questions'!AC68</f>
        <v/>
      </c>
      <c r="AB68">
        <f>COUNTIF($B$50:$B$71,$AA68)</f>
        <v/>
      </c>
      <c r="AC68">
        <f>IFERROR(SUMPRODUCT(($B$50:$B$71=$AA68)*($H$50:$H$71&lt;&gt;"")*($H$50:$H$71&lt;&gt;"N/A")*IFERROR(VALUE($H$50:$H$71),0))/SUMPRODUCT(($B$50:$B$71=$AA68)*($H$50:$H$71&lt;&gt;"")*($H$50:$H$71&lt;&gt;"N/A")),0)</f>
        <v/>
      </c>
      <c r="AD68">
        <f>AC68/5</f>
        <v/>
      </c>
      <c r="AE68">
        <f>COUNTIFS($B$50:$B$71,$AA68,$L$50:$L$71,"Critical")+COUNTIFS($B$50:$B$71,$AA68,$L$50:$L$71,"High")</f>
        <v/>
      </c>
      <c r="AF68">
        <f>5-AC68</f>
        <v/>
      </c>
      <c r="AG68">
        <f>SUMPRODUCT(($B$50:$B$71=$AA68)*(ISNUMBER($H$50:$H$71)+($H$50:$H$71="N/A")))</f>
        <v/>
      </c>
      <c r="AH68">
        <f>'Assessment Questions'!AK68</f>
        <v/>
      </c>
      <c r="AI68">
        <f>'Assessment Questions'!AL68</f>
        <v/>
      </c>
      <c r="AJ68">
        <f>IF(OR($H68="",$H68="N/A"),"",IF($AH68="",VLOOKUP('Company Profile'!$B$40,_CONFIG_Model_Settings!$A$5:$B$8,2,FALSE),_xlfn.IFNA(VLOOKUP($AH68,_CONFIG_Model_Settings!$A$5:$B$8,2,FALSE),0.9)))</f>
        <v/>
      </c>
      <c r="AK68">
        <f>IF(OR($H68="",$H68="N/A"),"",IF($AI68="",VLOOKUP('Company Profile'!$B$41,_CONFIG_Model_Settings!$A$5:$B$8,2,FALSE),_xlfn.IFNA(VLOOKUP($AI68,_CONFIG_Model_Settings!$A$5:$B$8,2,FALSE),0.9)))</f>
        <v/>
      </c>
      <c r="AL68">
        <f>IF(OR($H68="",$H68="N/A"),"",ROUND(VALUE($H68)*$AJ68*$AK68*$AV68,2))</f>
        <v/>
      </c>
      <c r="AM68">
        <f>IF($AL68="","",ROUND($AL68/5*100,1))</f>
        <v/>
      </c>
      <c r="AN68">
        <f>IFERROR(MIN(5,MAX(0,(SUMIFS(_REF_Model_Content!$D$1:$D$157,_REF_Model_Content!$A$1:$A$157,'Company Profile'!$B$9,_REF_Model_Content!$B$1:$B$157,"Governance Crisis"))+_xlfn.IFNA(VLOOKUP('Company Profile'!$B$35,_CONFIG_Model_Settings!$A$11:$B$13,2,0),0))),"")</f>
        <v/>
      </c>
      <c r="AO68">
        <f>IF($AL68="","",MAX(0,ROUND($AN68-$AL68,2)))</f>
        <v/>
      </c>
      <c r="AP68">
        <f>IFERROR(SUMIFS(_REF_Model_Content!$E$1:$E$157,_REF_Model_Content!$A$1:$A$157,'Company Profile'!$B$9,_REF_Model_Content!$B$1:$B$157,"Governance Crisis"),1)</f>
        <v/>
      </c>
      <c r="AQ68">
        <f>IF($AO68="","",ROUND($AO68*$AP68*($G68/5),2))</f>
        <v/>
      </c>
      <c r="AR68">
        <f>IF($AO68="","",IF($AO68&gt;=2,"Critical industry gap",IF($AO68&gt;=1,"High industry gap",IF($AO68&gt;=0.5,"Moderate industry gap","Within target"))))</f>
        <v/>
      </c>
      <c r="AS68">
        <f>IF(OR($H68="",$H68="N/A"),0,VALUE($H68)*(($AJ68+$AK68)/2)*$AV68)</f>
        <v/>
      </c>
      <c r="AT68">
        <f>IF(OR($H68="",$H68="N/A"),0,($AJ68+$AK68)/2)</f>
        <v/>
      </c>
      <c r="AU68">
        <f>'Assessment Questions'!AX68</f>
        <v/>
      </c>
      <c r="AV68">
        <f>IF(OR($H68="",$H68="N/A"),"",IF(OR($AU68="",$AU68="Everywhere",$AU68="Not applicable"),1,IF($AU68="Pilot / one team",0.4,IF($AU68="One unit or site",0.7,0.9))))</f>
        <v/>
      </c>
      <c r="AW68" t="inlineStr">
        <is>
          <t>Governance Crisis</t>
        </is>
      </c>
      <c r="AX68" t="inlineStr">
        <is>
          <t>Governance Crisis</t>
        </is>
      </c>
      <c r="AY68" t="n">
        <v>23</v>
      </c>
      <c r="AZ68" t="n">
        <v>68</v>
      </c>
    </row>
    <row r="69">
      <c r="A69" t="inlineStr">
        <is>
          <t>GOVE-020</t>
        </is>
      </c>
      <c r="B69" t="inlineStr">
        <is>
          <t>Risk and continuity</t>
        </is>
      </c>
      <c r="C69" t="inlineStr">
        <is>
          <t>How mature is the organization in managing offline availability of continuity plans, runbooks, contact lists and key contracts when core IT is unavailable, including ownership, evidence, metrics, fallback procedures and crisis stress testing?</t>
        </is>
      </c>
      <c r="D69" t="inlineStr">
        <is>
          <t>This topic affects exposure to Cyberattack/ransomware; Energy/utilities outage; Cloud/SaaS outage. It helps identify how disruption may impact operations, people, revenue, systems, legal exposure or recovery time.</t>
        </is>
      </c>
      <c r="E69" t="inlineStr">
        <is>
          <t>ISO 22301; NIST SP 800-34</t>
        </is>
      </c>
      <c r="F69" t="inlineStr">
        <is>
          <t>Policy/SOP; owner/RACI; system report; dashboard; contracts; test records; incident history; interview evidence</t>
        </is>
      </c>
      <c r="G69">
        <f>'Assessment Questions'!J69</f>
        <v/>
      </c>
      <c r="H69">
        <f>IF($Z69="","",IF($Z69="N/A","N/A",VALUE(LEFT($Z69,1))))</f>
        <v/>
      </c>
      <c r="I69">
        <f>IF($H69="","",IF($H69="N/A","",VALUE($H69)/5*$G69))</f>
        <v/>
      </c>
      <c r="J69">
        <f>IF(OR($H69="",$H69="N/A"),"",$G69)</f>
        <v/>
      </c>
      <c r="K69">
        <f>IF(OR($H69="",$H69="N/A"),"",$J69-$I69)</f>
        <v/>
      </c>
      <c r="L69">
        <f>IF($H69="","",IF($H69="N/A","N/A",IF(VALUE($H69)&lt;=1,"Critical",IF(VALUE($H69)&lt;=2,"High",IF(VALUE($H69)&lt;=3,"Medium",IF(VALUE($H69)&lt;=4,"Low","Resilient"))))))</f>
        <v/>
      </c>
      <c r="M69" t="inlineStr">
        <is>
          <t>No reliable evidence that offline availability of continuity plans, runbooks, contact lists and key contracts when core IT is unavailable is defined, owned or managed.</t>
        </is>
      </c>
      <c r="N69" t="inlineStr">
        <is>
          <t>Offline availability of continuity plans, runbooks, contact lists and key contracts when core IT is unavailable is handled informally and depends on individual knowledge or heroic effort.</t>
        </is>
      </c>
      <c r="O69" t="inlineStr">
        <is>
          <t>Offline availability of continuity plans, runbooks, contact lists and key contracts when core IT is unavailable is partially documented or implemented, but coverage is inconsistent and not crisis-tested.</t>
        </is>
      </c>
      <c r="P69" t="inlineStr">
        <is>
          <t>Offline availability of continuity plans, runbooks, contact lists and key contracts when core IT is unavailable is documented, owned, used in normal operations and supported by basic evidence or metrics.</t>
        </is>
      </c>
      <c r="Q69" t="inlineStr">
        <is>
          <t>Offline availability of continuity plans, runbooks, contact lists and key contracts when core IT is unavailable is measured, periodically reviewed, integrated with related processes and tested against relevant disruption scenarios.</t>
        </is>
      </c>
      <c r="R69" t="inlineStr">
        <is>
          <t>Offline availability of continuity plans, runbooks, contact lists and key contracts when core IT is unavailable is optimized, continuously improved, automated where practical and demonstrably supports crisis resilience.</t>
        </is>
      </c>
      <c r="S69" t="inlineStr">
        <is>
          <t>Cyberattack/ransomware; Energy/utilities outage; Cloud/SaaS outage</t>
        </is>
      </c>
      <c r="T69">
        <f>'Assessment Questions'!W69</f>
        <v/>
      </c>
      <c r="U69">
        <f>'Assessment Questions'!X69</f>
        <v/>
      </c>
      <c r="V69">
        <f>'Assessment Questions'!Y69</f>
        <v/>
      </c>
      <c r="W69" t="n">
        <v>2</v>
      </c>
      <c r="X69" t="n">
        <v>5</v>
      </c>
      <c r="Y69" t="n">
        <v>4</v>
      </c>
      <c r="Z69">
        <f>'Assessment Questions'!AC69</f>
        <v/>
      </c>
      <c r="AB69">
        <f>COUNTIF($B$50:$B$71,$AA69)</f>
        <v/>
      </c>
      <c r="AC69">
        <f>IFERROR(SUMPRODUCT(($B$50:$B$71=$AA69)*($H$50:$H$71&lt;&gt;"")*($H$50:$H$71&lt;&gt;"N/A")*IFERROR(VALUE($H$50:$H$71),0))/SUMPRODUCT(($B$50:$B$71=$AA69)*($H$50:$H$71&lt;&gt;"")*($H$50:$H$71&lt;&gt;"N/A")),0)</f>
        <v/>
      </c>
      <c r="AD69">
        <f>AC69/5</f>
        <v/>
      </c>
      <c r="AE69">
        <f>COUNTIFS($B$50:$B$71,$AA69,$L$50:$L$71,"Critical")+COUNTIFS($B$50:$B$71,$AA69,$L$50:$L$71,"High")</f>
        <v/>
      </c>
      <c r="AF69">
        <f>5-AC69</f>
        <v/>
      </c>
      <c r="AG69">
        <f>SUMPRODUCT(($B$50:$B$71=$AA69)*(ISNUMBER($H$50:$H$71)+($H$50:$H$71="N/A")))</f>
        <v/>
      </c>
      <c r="AH69">
        <f>'Assessment Questions'!AK69</f>
        <v/>
      </c>
      <c r="AI69">
        <f>'Assessment Questions'!AL69</f>
        <v/>
      </c>
      <c r="AJ69">
        <f>IF(OR($H69="",$H69="N/A"),"",IF($AH69="",VLOOKUP('Company Profile'!$B$40,_CONFIG_Model_Settings!$A$5:$B$8,2,FALSE),_xlfn.IFNA(VLOOKUP($AH69,_CONFIG_Model_Settings!$A$5:$B$8,2,FALSE),0.9)))</f>
        <v/>
      </c>
      <c r="AK69">
        <f>IF(OR($H69="",$H69="N/A"),"",IF($AI69="",VLOOKUP('Company Profile'!$B$41,_CONFIG_Model_Settings!$A$5:$B$8,2,FALSE),_xlfn.IFNA(VLOOKUP($AI69,_CONFIG_Model_Settings!$A$5:$B$8,2,FALSE),0.9)))</f>
        <v/>
      </c>
      <c r="AL69">
        <f>IF(OR($H69="",$H69="N/A"),"",ROUND(VALUE($H69)*$AJ69*$AK69*$AV69,2))</f>
        <v/>
      </c>
      <c r="AM69">
        <f>IF($AL69="","",ROUND($AL69/5*100,1))</f>
        <v/>
      </c>
      <c r="AN69">
        <f>IFERROR(MIN(5,MAX(0,(SUMIFS(_REF_Model_Content!$D$1:$D$157,_REF_Model_Content!$A$1:$A$157,'Company Profile'!$B$9,_REF_Model_Content!$B$1:$B$157,"Governance Crisis"))+_xlfn.IFNA(VLOOKUP('Company Profile'!$B$35,_CONFIG_Model_Settings!$A$11:$B$13,2,0),0))),"")</f>
        <v/>
      </c>
      <c r="AO69">
        <f>IF($AL69="","",MAX(0,ROUND($AN69-$AL69,2)))</f>
        <v/>
      </c>
      <c r="AP69">
        <f>IFERROR(SUMIFS(_REF_Model_Content!$E$1:$E$157,_REF_Model_Content!$A$1:$A$157,'Company Profile'!$B$9,_REF_Model_Content!$B$1:$B$157,"Governance Crisis"),1)</f>
        <v/>
      </c>
      <c r="AQ69">
        <f>IF($AO69="","",ROUND($AO69*$AP69*($G69/5),2))</f>
        <v/>
      </c>
      <c r="AR69">
        <f>IF($AO69="","",IF($AO69&gt;=2,"Critical industry gap",IF($AO69&gt;=1,"High industry gap",IF($AO69&gt;=0.5,"Moderate industry gap","Within target"))))</f>
        <v/>
      </c>
      <c r="AS69">
        <f>IF(OR($H69="",$H69="N/A"),0,VALUE($H69)*(($AJ69+$AK69)/2)*$AV69)</f>
        <v/>
      </c>
      <c r="AT69">
        <f>IF(OR($H69="",$H69="N/A"),0,($AJ69+$AK69)/2)</f>
        <v/>
      </c>
      <c r="AU69">
        <f>'Assessment Questions'!AX69</f>
        <v/>
      </c>
      <c r="AV69">
        <f>IF(OR($H69="",$H69="N/A"),"",IF(OR($AU69="",$AU69="Everywhere",$AU69="Not applicable"),1,IF($AU69="Pilot / one team",0.4,IF($AU69="One unit or site",0.7,0.9))))</f>
        <v/>
      </c>
      <c r="AW69" t="inlineStr">
        <is>
          <t>Governance Crisis</t>
        </is>
      </c>
      <c r="AX69" t="inlineStr">
        <is>
          <t>Governance Crisis</t>
        </is>
      </c>
      <c r="AY69" t="n">
        <v>24</v>
      </c>
      <c r="AZ69" t="n">
        <v>69</v>
      </c>
    </row>
    <row r="70">
      <c r="A70" t="inlineStr">
        <is>
          <t>GOVE-021</t>
        </is>
      </c>
      <c r="B70" t="inlineStr">
        <is>
          <t>Crisis governance</t>
        </is>
      </c>
      <c r="C70" t="inlineStr">
        <is>
          <t>How mature is the organization in managing primary and alternate crisis command arrangements with independent communications and access to crisis tools, including ownership, evidence, metrics, fallback procedures and crisis stress testing?</t>
        </is>
      </c>
      <c r="D70" t="inlineStr">
        <is>
          <t>This topic affects exposure to War/security crisis; Physical site loss; Energy/utilities outage. It helps identify how disruption may impact operations, people, revenue, systems, legal exposure or recovery time.</t>
        </is>
      </c>
      <c r="E70" t="inlineStr">
        <is>
          <t>ISO 22301; ISO 22320</t>
        </is>
      </c>
      <c r="F70" t="inlineStr">
        <is>
          <t>Policy/SOP; owner/RACI; system report; dashboard; contracts; test records; incident history; interview evidence</t>
        </is>
      </c>
      <c r="G70">
        <f>'Assessment Questions'!J70</f>
        <v/>
      </c>
      <c r="H70">
        <f>IF($Z70="","",IF($Z70="N/A","N/A",VALUE(LEFT($Z70,1))))</f>
        <v/>
      </c>
      <c r="I70">
        <f>IF($H70="","",IF($H70="N/A","",VALUE($H70)/5*$G70))</f>
        <v/>
      </c>
      <c r="J70">
        <f>IF(OR($H70="",$H70="N/A"),"",$G70)</f>
        <v/>
      </c>
      <c r="K70">
        <f>IF(OR($H70="",$H70="N/A"),"",$J70-$I70)</f>
        <v/>
      </c>
      <c r="L70">
        <f>IF($H70="","",IF($H70="N/A","N/A",IF(VALUE($H70)&lt;=1,"Critical",IF(VALUE($H70)&lt;=2,"High",IF(VALUE($H70)&lt;=3,"Medium",IF(VALUE($H70)&lt;=4,"Low","Resilient"))))))</f>
        <v/>
      </c>
      <c r="M70" t="inlineStr">
        <is>
          <t>No reliable evidence that primary and alternate crisis command arrangements with independent communications and access to crisis tools is defined, owned or managed.</t>
        </is>
      </c>
      <c r="N70" t="inlineStr">
        <is>
          <t>Primary and alternate crisis command arrangements with independent communications and access to crisis tools is handled informally and depends on individual knowledge or heroic effort.</t>
        </is>
      </c>
      <c r="O70" t="inlineStr">
        <is>
          <t>Primary and alternate crisis command arrangements with independent communications and access to crisis tools is partially documented or implemented, but coverage is inconsistent and not crisis-tested.</t>
        </is>
      </c>
      <c r="P70" t="inlineStr">
        <is>
          <t>Primary and alternate crisis command arrangements with independent communications and access to crisis tools is documented, owned, used in normal operations and supported by basic evidence or metrics.</t>
        </is>
      </c>
      <c r="Q70" t="inlineStr">
        <is>
          <t>Primary and alternate crisis command arrangements with independent communications and access to crisis tools is measured, periodically reviewed, integrated with related processes and tested against relevant disruption scenarios.</t>
        </is>
      </c>
      <c r="R70" t="inlineStr">
        <is>
          <t>Primary and alternate crisis command arrangements with independent communications and access to crisis tools is optimized, continuously improved, automated where practical and demonstrably supports crisis resilience.</t>
        </is>
      </c>
      <c r="S70" t="inlineStr">
        <is>
          <t>War/security crisis; Physical site loss; Energy/utilities outage</t>
        </is>
      </c>
      <c r="T70">
        <f>'Assessment Questions'!W70</f>
        <v/>
      </c>
      <c r="U70">
        <f>'Assessment Questions'!X70</f>
        <v/>
      </c>
      <c r="V70">
        <f>'Assessment Questions'!Y70</f>
        <v/>
      </c>
      <c r="W70" t="n">
        <v>3</v>
      </c>
      <c r="X70" t="n">
        <v>5</v>
      </c>
      <c r="Y70" t="n">
        <v>4</v>
      </c>
      <c r="Z70">
        <f>'Assessment Questions'!AC70</f>
        <v/>
      </c>
      <c r="AB70">
        <f>COUNTIF($B$50:$B$71,$AA70)</f>
        <v/>
      </c>
      <c r="AC70">
        <f>IFERROR(SUMPRODUCT(($B$50:$B$71=$AA70)*($H$50:$H$71&lt;&gt;"")*($H$50:$H$71&lt;&gt;"N/A")*IFERROR(VALUE($H$50:$H$71),0))/SUMPRODUCT(($B$50:$B$71=$AA70)*($H$50:$H$71&lt;&gt;"")*($H$50:$H$71&lt;&gt;"N/A")),0)</f>
        <v/>
      </c>
      <c r="AD70">
        <f>AC70/5</f>
        <v/>
      </c>
      <c r="AE70">
        <f>COUNTIFS($B$50:$B$71,$AA70,$L$50:$L$71,"Critical")+COUNTIFS($B$50:$B$71,$AA70,$L$50:$L$71,"High")</f>
        <v/>
      </c>
      <c r="AF70">
        <f>5-AC70</f>
        <v/>
      </c>
      <c r="AG70">
        <f>SUMPRODUCT(($B$50:$B$71=$AA70)*(ISNUMBER($H$50:$H$71)+($H$50:$H$71="N/A")))</f>
        <v/>
      </c>
      <c r="AH70">
        <f>'Assessment Questions'!AK70</f>
        <v/>
      </c>
      <c r="AI70">
        <f>'Assessment Questions'!AL70</f>
        <v/>
      </c>
      <c r="AJ70">
        <f>IF(OR($H70="",$H70="N/A"),"",IF($AH70="",VLOOKUP('Company Profile'!$B$40,_CONFIG_Model_Settings!$A$5:$B$8,2,FALSE),_xlfn.IFNA(VLOOKUP($AH70,_CONFIG_Model_Settings!$A$5:$B$8,2,FALSE),0.9)))</f>
        <v/>
      </c>
      <c r="AK70">
        <f>IF(OR($H70="",$H70="N/A"),"",IF($AI70="",VLOOKUP('Company Profile'!$B$41,_CONFIG_Model_Settings!$A$5:$B$8,2,FALSE),_xlfn.IFNA(VLOOKUP($AI70,_CONFIG_Model_Settings!$A$5:$B$8,2,FALSE),0.9)))</f>
        <v/>
      </c>
      <c r="AL70">
        <f>IF(OR($H70="",$H70="N/A"),"",ROUND(VALUE($H70)*$AJ70*$AK70*$AV70,2))</f>
        <v/>
      </c>
      <c r="AM70">
        <f>IF($AL70="","",ROUND($AL70/5*100,1))</f>
        <v/>
      </c>
      <c r="AN70">
        <f>IFERROR(MIN(5,MAX(0,(SUMIFS(_REF_Model_Content!$D$1:$D$157,_REF_Model_Content!$A$1:$A$157,'Company Profile'!$B$9,_REF_Model_Content!$B$1:$B$157,"Governance Crisis"))+_xlfn.IFNA(VLOOKUP('Company Profile'!$B$35,_CONFIG_Model_Settings!$A$11:$B$13,2,0),0))),"")</f>
        <v/>
      </c>
      <c r="AO70">
        <f>IF($AL70="","",MAX(0,ROUND($AN70-$AL70,2)))</f>
        <v/>
      </c>
      <c r="AP70">
        <f>IFERROR(SUMIFS(_REF_Model_Content!$E$1:$E$157,_REF_Model_Content!$A$1:$A$157,'Company Profile'!$B$9,_REF_Model_Content!$B$1:$B$157,"Governance Crisis"),1)</f>
        <v/>
      </c>
      <c r="AQ70">
        <f>IF($AO70="","",ROUND($AO70*$AP70*($G70/5),2))</f>
        <v/>
      </c>
      <c r="AR70">
        <f>IF($AO70="","",IF($AO70&gt;=2,"Critical industry gap",IF($AO70&gt;=1,"High industry gap",IF($AO70&gt;=0.5,"Moderate industry gap","Within target"))))</f>
        <v/>
      </c>
      <c r="AS70">
        <f>IF(OR($H70="",$H70="N/A"),0,VALUE($H70)*(($AJ70+$AK70)/2)*$AV70)</f>
        <v/>
      </c>
      <c r="AT70">
        <f>IF(OR($H70="",$H70="N/A"),0,($AJ70+$AK70)/2)</f>
        <v/>
      </c>
      <c r="AU70">
        <f>'Assessment Questions'!AX70</f>
        <v/>
      </c>
      <c r="AV70">
        <f>IF(OR($H70="",$H70="N/A"),"",IF(OR($AU70="",$AU70="Everywhere",$AU70="Not applicable"),1,IF($AU70="Pilot / one team",0.4,IF($AU70="One unit or site",0.7,0.9))))</f>
        <v/>
      </c>
      <c r="AW70" t="inlineStr">
        <is>
          <t>Governance Crisis</t>
        </is>
      </c>
      <c r="AX70" t="inlineStr">
        <is>
          <t>Governance Crisis</t>
        </is>
      </c>
      <c r="AY70" t="n">
        <v>25</v>
      </c>
      <c r="AZ70" t="n">
        <v>70</v>
      </c>
    </row>
    <row r="71">
      <c r="A71" t="inlineStr">
        <is>
          <t>GOVE-022</t>
        </is>
      </c>
      <c r="B71" t="inlineStr">
        <is>
          <t>Risk and continuity</t>
        </is>
      </c>
      <c r="C71" t="inlineStr">
        <is>
          <t>How mature is the organization in managing joint crisis exercises with critical suppliers, customers, authorities and insurers, including ownership, evidence, metrics, fallback procedures and crisis stress testing?</t>
        </is>
      </c>
      <c r="D71" t="inlineStr">
        <is>
          <t>This topic affects exposure to Supplier/logistics disruption; War/security crisis; Cyberattack/ransomware. It helps identify how disruption may impact operations, people, revenue, systems, legal exposure or recovery time.</t>
        </is>
      </c>
      <c r="E71" t="inlineStr">
        <is>
          <t>ISO 22301; ISO 22398</t>
        </is>
      </c>
      <c r="F71" t="inlineStr">
        <is>
          <t>Policy/SOP; owner/RACI; system report; dashboard; contracts; test records; incident history; interview evidence</t>
        </is>
      </c>
      <c r="G71">
        <f>'Assessment Questions'!J71</f>
        <v/>
      </c>
      <c r="H71">
        <f>IF($Z71="","",IF($Z71="N/A","N/A",VALUE(LEFT($Z71,1))))</f>
        <v/>
      </c>
      <c r="I71">
        <f>IF($H71="","",IF($H71="N/A","",VALUE($H71)/5*$G71))</f>
        <v/>
      </c>
      <c r="J71">
        <f>IF(OR($H71="",$H71="N/A"),"",$G71)</f>
        <v/>
      </c>
      <c r="K71">
        <f>IF(OR($H71="",$H71="N/A"),"",$J71-$I71)</f>
        <v/>
      </c>
      <c r="L71">
        <f>IF($H71="","",IF($H71="N/A","N/A",IF(VALUE($H71)&lt;=1,"Critical",IF(VALUE($H71)&lt;=2,"High",IF(VALUE($H71)&lt;=3,"Medium",IF(VALUE($H71)&lt;=4,"Low","Resilient"))))))</f>
        <v/>
      </c>
      <c r="M71" t="inlineStr">
        <is>
          <t>Never done; no records exist.</t>
        </is>
      </c>
      <c r="N71" t="inlineStr">
        <is>
          <t>Done once long ago or only after an incident; no schedule, no records.</t>
        </is>
      </c>
      <c r="O71" t="inlineStr">
        <is>
          <t>Done irregularly; results are not documented and findings are not tracked.</t>
        </is>
      </c>
      <c r="P71" t="inlineStr">
        <is>
          <t>Done on a defined schedule (at least annually); results documented, owner assigned.</t>
        </is>
      </c>
      <c r="Q71" t="inlineStr">
        <is>
          <t>Done quarterly/semi-annually; findings tracked to closure, effectiveness measured against targets.</t>
        </is>
      </c>
      <c r="R71" t="inlineStr">
        <is>
          <t>Continuous or automated where possible; results drive improvements and are validated externally (audit/customer).</t>
        </is>
      </c>
      <c r="S71" t="inlineStr">
        <is>
          <t>Supplier/logistics disruption; War/security crisis; Cyberattack/ransomware</t>
        </is>
      </c>
      <c r="T71">
        <f>'Assessment Questions'!W71</f>
        <v/>
      </c>
      <c r="U71">
        <f>'Assessment Questions'!X71</f>
        <v/>
      </c>
      <c r="V71">
        <f>'Assessment Questions'!Y71</f>
        <v/>
      </c>
      <c r="W71" t="n">
        <v>2</v>
      </c>
      <c r="X71" t="n">
        <v>5</v>
      </c>
      <c r="Y71" t="n">
        <v>3</v>
      </c>
      <c r="Z71">
        <f>'Assessment Questions'!AC71</f>
        <v/>
      </c>
      <c r="AB71">
        <f>COUNTIF($B$50:$B$71,$AA71)</f>
        <v/>
      </c>
      <c r="AC71">
        <f>IFERROR(SUMPRODUCT(($B$50:$B$71=$AA71)*($H$50:$H$71&lt;&gt;"")*($H$50:$H$71&lt;&gt;"N/A")*IFERROR(VALUE($H$50:$H$71),0))/SUMPRODUCT(($B$50:$B$71=$AA71)*($H$50:$H$71&lt;&gt;"")*($H$50:$H$71&lt;&gt;"N/A")),0)</f>
        <v/>
      </c>
      <c r="AD71">
        <f>AC71/5</f>
        <v/>
      </c>
      <c r="AE71">
        <f>COUNTIFS($B$50:$B$71,$AA71,$L$50:$L$71,"Critical")+COUNTIFS($B$50:$B$71,$AA71,$L$50:$L$71,"High")</f>
        <v/>
      </c>
      <c r="AF71">
        <f>5-AC71</f>
        <v/>
      </c>
      <c r="AG71">
        <f>SUMPRODUCT(($B$50:$B$71=$AA71)*(ISNUMBER($H$50:$H$71)+($H$50:$H$71="N/A")))</f>
        <v/>
      </c>
      <c r="AH71">
        <f>'Assessment Questions'!AK71</f>
        <v/>
      </c>
      <c r="AI71">
        <f>'Assessment Questions'!AL71</f>
        <v/>
      </c>
      <c r="AJ71">
        <f>IF(OR($H71="",$H71="N/A"),"",IF($AH71="",VLOOKUP('Company Profile'!$B$40,_CONFIG_Model_Settings!$A$5:$B$8,2,FALSE),_xlfn.IFNA(VLOOKUP($AH71,_CONFIG_Model_Settings!$A$5:$B$8,2,FALSE),0.9)))</f>
        <v/>
      </c>
      <c r="AK71">
        <f>IF(OR($H71="",$H71="N/A"),"",IF($AI71="",VLOOKUP('Company Profile'!$B$41,_CONFIG_Model_Settings!$A$5:$B$8,2,FALSE),_xlfn.IFNA(VLOOKUP($AI71,_CONFIG_Model_Settings!$A$5:$B$8,2,FALSE),0.9)))</f>
        <v/>
      </c>
      <c r="AL71">
        <f>IF(OR($H71="",$H71="N/A"),"",ROUND(VALUE($H71)*$AJ71*$AK71*$AV71,2))</f>
        <v/>
      </c>
      <c r="AM71">
        <f>IF($AL71="","",ROUND($AL71/5*100,1))</f>
        <v/>
      </c>
      <c r="AN71">
        <f>IFERROR(MIN(5,MAX(0,(SUMIFS(_REF_Model_Content!$D$1:$D$157,_REF_Model_Content!$A$1:$A$157,'Company Profile'!$B$9,_REF_Model_Content!$B$1:$B$157,"Governance Crisis"))+_xlfn.IFNA(VLOOKUP('Company Profile'!$B$35,_CONFIG_Model_Settings!$A$11:$B$13,2,0),0))),"")</f>
        <v/>
      </c>
      <c r="AO71">
        <f>IF($AL71="","",MAX(0,ROUND($AN71-$AL71,2)))</f>
        <v/>
      </c>
      <c r="AP71">
        <f>IFERROR(SUMIFS(_REF_Model_Content!$E$1:$E$157,_REF_Model_Content!$A$1:$A$157,'Company Profile'!$B$9,_REF_Model_Content!$B$1:$B$157,"Governance Crisis"),1)</f>
        <v/>
      </c>
      <c r="AQ71">
        <f>IF($AO71="","",ROUND($AO71*$AP71*($G71/5),2))</f>
        <v/>
      </c>
      <c r="AR71">
        <f>IF($AO71="","",IF($AO71&gt;=2,"Critical industry gap",IF($AO71&gt;=1,"High industry gap",IF($AO71&gt;=0.5,"Moderate industry gap","Within target"))))</f>
        <v/>
      </c>
      <c r="AS71">
        <f>IF(OR($H71="",$H71="N/A"),0,VALUE($H71)*(($AJ71+$AK71)/2)*$AV71)</f>
        <v/>
      </c>
      <c r="AT71">
        <f>IF(OR($H71="",$H71="N/A"),0,($AJ71+$AK71)/2)</f>
        <v/>
      </c>
      <c r="AU71">
        <f>'Assessment Questions'!AX71</f>
        <v/>
      </c>
      <c r="AV71">
        <f>IF(OR($H71="",$H71="N/A"),"",IF(OR($AU71="",$AU71="Everywhere",$AU71="Not applicable"),1,IF($AU71="Pilot / one team",0.4,IF($AU71="One unit or site",0.7,0.9))))</f>
        <v/>
      </c>
      <c r="AW71" t="inlineStr">
        <is>
          <t>Governance Crisis</t>
        </is>
      </c>
      <c r="AX71" t="inlineStr">
        <is>
          <t>Governance Crisis</t>
        </is>
      </c>
      <c r="AY71" t="n">
        <v>26</v>
      </c>
      <c r="AZ71" t="n">
        <v>71</v>
      </c>
    </row>
    <row r="72">
      <c r="A72" t="inlineStr">
        <is>
          <t>HRWO-001</t>
        </is>
      </c>
      <c r="B72" t="inlineStr">
        <is>
          <t>Workforce visibility</t>
        </is>
      </c>
      <c r="C72" t="inlineStr">
        <is>
          <t>How mature is the organization in managing workforce inventory by role, location, manager, contract type, employment entity, skill and criticality, including ownership, evidence, metrics, fallback procedures and crisis stress testing?</t>
        </is>
      </c>
      <c r="D72" t="inlineStr">
        <is>
          <t>This topic affects exposure to Workforce disruption; Pandemic/health crisis; War/security crisis. It helps identify how disruption may impact operations, people, revenue, systems, legal exposure or recovery time.</t>
        </is>
      </c>
      <c r="E72" t="inlineStr">
        <is>
          <t>ISO 30414; ISO 30405; ISO 45001; ISO 22301; CIPD; SHRM</t>
        </is>
      </c>
      <c r="F72" t="inlineStr">
        <is>
          <t>Policy/SOP; owner/RACI; system report; dashboard; contracts; test records; incident history; interview evidence related to workforce inventory by role, location, manager, contract type, employment entity, skill and criticality.</t>
        </is>
      </c>
      <c r="G72">
        <f>'Assessment Questions'!J72</f>
        <v/>
      </c>
      <c r="H72">
        <f>IF($Z72="","",IF($Z72="N/A","N/A",VALUE(LEFT($Z72,1))))</f>
        <v/>
      </c>
      <c r="I72">
        <f>IF($H72="","",IF($H72="N/A","",VALUE($H72)/5*$G72))</f>
        <v/>
      </c>
      <c r="J72">
        <f>IF(OR($H72="",$H72="N/A"),"",$G72)</f>
        <v/>
      </c>
      <c r="K72">
        <f>IF(OR($H72="",$H72="N/A"),"",$J72-$I72)</f>
        <v/>
      </c>
      <c r="L72">
        <f>IF($H72="","",IF($H72="N/A","N/A",IF(VALUE($H72)&lt;=1,"Critical",IF(VALUE($H72)&lt;=2,"High",IF(VALUE($H72)&lt;=3,"Medium",IF(VALUE($H72)&lt;=4,"Low","Resilient"))))))</f>
        <v/>
      </c>
      <c r="M72" t="inlineStr">
        <is>
          <t>No inventory/register exists.</t>
        </is>
      </c>
      <c r="N72" t="inlineStr">
        <is>
          <t>Partial lists live in individuals' heads or personal files.</t>
        </is>
      </c>
      <c r="O72" t="inlineStr">
        <is>
          <t>A register exists but is incomplete or outdated (&gt;1 year) and has no owner.</t>
        </is>
      </c>
      <c r="P72" t="inlineStr">
        <is>
          <t>Owned, documented, updated on a defined schedule, covers the main scope.</t>
        </is>
      </c>
      <c r="Q72" t="inlineStr">
        <is>
          <t>Complete and periodically reviewed; integrated with related processes; completeness measured.</t>
        </is>
      </c>
      <c r="R72" t="inlineStr">
        <is>
          <t>Maintained automatically or synced with systems; drives decisions; audited.</t>
        </is>
      </c>
      <c r="S72" t="inlineStr">
        <is>
          <t>Workforce disruption; Pandemic/health crisis; War/security crisis</t>
        </is>
      </c>
      <c r="T72">
        <f>'Assessment Questions'!W72</f>
        <v/>
      </c>
      <c r="U72">
        <f>'Assessment Questions'!X72</f>
        <v/>
      </c>
      <c r="V72">
        <f>'Assessment Questions'!Y72</f>
        <v/>
      </c>
      <c r="W72" t="n">
        <v>4</v>
      </c>
      <c r="X72" t="n">
        <v>5</v>
      </c>
      <c r="Y72" t="n">
        <v>5</v>
      </c>
      <c r="Z72">
        <f>'Assessment Questions'!AC72</f>
        <v/>
      </c>
      <c r="AA72" t="inlineStr">
        <is>
          <t>Workforce visibility</t>
        </is>
      </c>
      <c r="AB72">
        <f>COUNTIF($B$72:$B$97,$AA72)</f>
        <v/>
      </c>
      <c r="AC72">
        <f>IFERROR(SUMPRODUCT(($B$72:$B$97=$AA72)*($H$72:$H$97&lt;&gt;"")*($H$72:$H$97&lt;&gt;"N/A")*IFERROR(VALUE($H$72:$H$97),0))/SUMPRODUCT(($B$72:$B$97=$AA72)*($H$72:$H$97&lt;&gt;"")*($H$72:$H$97&lt;&gt;"N/A")),0)</f>
        <v/>
      </c>
      <c r="AD72">
        <f>AC72/5</f>
        <v/>
      </c>
      <c r="AE72">
        <f>COUNTIFS($B$72:$B$97,$AA72,$L$72:$L$97,"Critical")+COUNTIFS($B$72:$B$97,$AA72,$L$72:$L$97,"High")</f>
        <v/>
      </c>
      <c r="AF72">
        <f>5-AC72</f>
        <v/>
      </c>
      <c r="AG72">
        <f>SUMPRODUCT(($B$72:$B$97=$AA72)*(ISNUMBER($H$72:$H$97)+($H$72:$H$97="N/A")))</f>
        <v/>
      </c>
      <c r="AH72">
        <f>'Assessment Questions'!AK72</f>
        <v/>
      </c>
      <c r="AI72">
        <f>'Assessment Questions'!AL72</f>
        <v/>
      </c>
      <c r="AJ72">
        <f>IF(OR($H72="",$H72="N/A"),"",IF($AH72="",VLOOKUP('Company Profile'!$B$40,_CONFIG_Model_Settings!$A$5:$B$8,2,FALSE),_xlfn.IFNA(VLOOKUP($AH72,_CONFIG_Model_Settings!$A$5:$B$8,2,FALSE),0.9)))</f>
        <v/>
      </c>
      <c r="AK72">
        <f>IF(OR($H72="",$H72="N/A"),"",IF($AI72="",VLOOKUP('Company Profile'!$B$41,_CONFIG_Model_Settings!$A$5:$B$8,2,FALSE),_xlfn.IFNA(VLOOKUP($AI72,_CONFIG_Model_Settings!$A$5:$B$8,2,FALSE),0.9)))</f>
        <v/>
      </c>
      <c r="AL72">
        <f>IF(OR($H72="",$H72="N/A"),"",ROUND(VALUE($H72)*$AJ72*$AK72*$AV72,2))</f>
        <v/>
      </c>
      <c r="AM72">
        <f>IF($AL72="","",ROUND($AL72/5*100,1))</f>
        <v/>
      </c>
      <c r="AN72">
        <f>IFERROR(MIN(5,MAX(0,(SUMIFS(_REF_Model_Content!$D$1:$D$157,_REF_Model_Content!$A$1:$A$157,'Company Profile'!$B$9,_REF_Model_Content!$B$1:$B$157,"HR Workforce"))+_xlfn.IFNA(VLOOKUP('Company Profile'!$B$35,_CONFIG_Model_Settings!$A$11:$B$13,2,0),0))),"")</f>
        <v/>
      </c>
      <c r="AO72">
        <f>IF($AL72="","",MAX(0,ROUND($AN72-$AL72,2)))</f>
        <v/>
      </c>
      <c r="AP72">
        <f>IFERROR(SUMIFS(_REF_Model_Content!$E$1:$E$157,_REF_Model_Content!$A$1:$A$157,'Company Profile'!$B$9,_REF_Model_Content!$B$1:$B$157,"HR Workforce"),1)</f>
        <v/>
      </c>
      <c r="AQ72">
        <f>IF($AO72="","",ROUND($AO72*$AP72*($G72/5),2))</f>
        <v/>
      </c>
      <c r="AR72">
        <f>IF($AO72="","",IF($AO72&gt;=2,"Critical industry gap",IF($AO72&gt;=1,"High industry gap",IF($AO72&gt;=0.5,"Moderate industry gap","Within target"))))</f>
        <v/>
      </c>
      <c r="AS72">
        <f>IF(OR($H72="",$H72="N/A"),0,VALUE($H72)*(($AJ72+$AK72)/2)*$AV72)</f>
        <v/>
      </c>
      <c r="AT72">
        <f>IF(OR($H72="",$H72="N/A"),0,($AJ72+$AK72)/2)</f>
        <v/>
      </c>
      <c r="AU72">
        <f>'Assessment Questions'!AX72</f>
        <v/>
      </c>
      <c r="AV72">
        <f>IF(OR($H72="",$H72="N/A"),"",IF(OR($AU72="",$AU72="Everywhere",$AU72="Not applicable"),1,IF($AU72="Pilot / one team",0.4,IF($AU72="One unit or site",0.7,0.9))))</f>
        <v/>
      </c>
      <c r="AW72" t="inlineStr">
        <is>
          <t>HR Workforce</t>
        </is>
      </c>
      <c r="AX72" t="inlineStr">
        <is>
          <t>HR Workforce</t>
        </is>
      </c>
      <c r="AY72" t="n">
        <v>5</v>
      </c>
      <c r="AZ72" t="n">
        <v>72</v>
      </c>
    </row>
    <row r="73">
      <c r="A73" t="inlineStr">
        <is>
          <t>HRWO-002</t>
        </is>
      </c>
      <c r="B73" t="inlineStr">
        <is>
          <t>Workforce visibility</t>
        </is>
      </c>
      <c r="C73" t="inlineStr">
        <is>
          <t>How mature is the organization in managing critical role mapping by process dependency, customer impact, system access and knowledge concentration, including ownership, evidence, metrics, fallback procedures and crisis stress testing?</t>
        </is>
      </c>
      <c r="D73" t="inlineStr">
        <is>
          <t>This topic affects exposure to Workforce disruption; Pandemic/health crisis; War/security crisis. It helps identify how disruption may impact operations, people, revenue, systems, legal exposure or recovery time.</t>
        </is>
      </c>
      <c r="E73" t="inlineStr">
        <is>
          <t>ISO 30414; ISO 30405; ISO 45001; ISO 22301; CIPD; SHRM</t>
        </is>
      </c>
      <c r="F73" t="inlineStr">
        <is>
          <t>Policy/SOP; owner/RACI; system report; dashboard; contracts; test records; incident history; interview evidence related to critical role mapping by process dependency, customer impact, system access and knowledge concentration.</t>
        </is>
      </c>
      <c r="G73">
        <f>'Assessment Questions'!J73</f>
        <v/>
      </c>
      <c r="H73">
        <f>IF($Z73="","",IF($Z73="N/A","N/A",VALUE(LEFT($Z73,1))))</f>
        <v/>
      </c>
      <c r="I73">
        <f>IF($H73="","",IF($H73="N/A","",VALUE($H73)/5*$G73))</f>
        <v/>
      </c>
      <c r="J73">
        <f>IF(OR($H73="",$H73="N/A"),"",$G73)</f>
        <v/>
      </c>
      <c r="K73">
        <f>IF(OR($H73="",$H73="N/A"),"",$J73-$I73)</f>
        <v/>
      </c>
      <c r="L73">
        <f>IF($H73="","",IF($H73="N/A","N/A",IF(VALUE($H73)&lt;=1,"Critical",IF(VALUE($H73)&lt;=2,"High",IF(VALUE($H73)&lt;=3,"Medium",IF(VALUE($H73)&lt;=4,"Low","Resilient"))))))</f>
        <v/>
      </c>
      <c r="M73" t="inlineStr">
        <is>
          <t>No inventory/register exists.</t>
        </is>
      </c>
      <c r="N73" t="inlineStr">
        <is>
          <t>Partial lists live in individuals' heads or personal files.</t>
        </is>
      </c>
      <c r="O73" t="inlineStr">
        <is>
          <t>A register exists but is incomplete or outdated (&gt;1 year) and has no owner.</t>
        </is>
      </c>
      <c r="P73" t="inlineStr">
        <is>
          <t>Owned, documented, updated on a defined schedule, covers the main scope.</t>
        </is>
      </c>
      <c r="Q73" t="inlineStr">
        <is>
          <t>Complete and periodically reviewed; integrated with related processes; completeness measured.</t>
        </is>
      </c>
      <c r="R73" t="inlineStr">
        <is>
          <t>Maintained automatically or synced with systems; drives decisions; audited.</t>
        </is>
      </c>
      <c r="S73" t="inlineStr">
        <is>
          <t>Workforce disruption; Pandemic/health crisis; War/security crisis</t>
        </is>
      </c>
      <c r="T73">
        <f>'Assessment Questions'!W73</f>
        <v/>
      </c>
      <c r="U73">
        <f>'Assessment Questions'!X73</f>
        <v/>
      </c>
      <c r="V73">
        <f>'Assessment Questions'!Y73</f>
        <v/>
      </c>
      <c r="W73" t="n">
        <v>4</v>
      </c>
      <c r="X73" t="n">
        <v>5</v>
      </c>
      <c r="Y73" t="n">
        <v>5</v>
      </c>
      <c r="Z73">
        <f>'Assessment Questions'!AC73</f>
        <v/>
      </c>
      <c r="AA73" t="inlineStr">
        <is>
          <t>Recruitment and retention</t>
        </is>
      </c>
      <c r="AB73">
        <f>COUNTIF($B$72:$B$97,$AA73)</f>
        <v/>
      </c>
      <c r="AC73">
        <f>IFERROR(SUMPRODUCT(($B$72:$B$97=$AA73)*($H$72:$H$97&lt;&gt;"")*($H$72:$H$97&lt;&gt;"N/A")*IFERROR(VALUE($H$72:$H$97),0))/SUMPRODUCT(($B$72:$B$97=$AA73)*($H$72:$H$97&lt;&gt;"")*($H$72:$H$97&lt;&gt;"N/A")),0)</f>
        <v/>
      </c>
      <c r="AD73">
        <f>AC73/5</f>
        <v/>
      </c>
      <c r="AE73">
        <f>COUNTIFS($B$72:$B$97,$AA73,$L$72:$L$97,"Critical")+COUNTIFS($B$72:$B$97,$AA73,$L$72:$L$97,"High")</f>
        <v/>
      </c>
      <c r="AF73">
        <f>5-AC73</f>
        <v/>
      </c>
      <c r="AG73">
        <f>SUMPRODUCT(($B$72:$B$97=$AA73)*(ISNUMBER($H$72:$H$97)+($H$72:$H$97="N/A")))</f>
        <v/>
      </c>
      <c r="AH73">
        <f>'Assessment Questions'!AK73</f>
        <v/>
      </c>
      <c r="AI73">
        <f>'Assessment Questions'!AL73</f>
        <v/>
      </c>
      <c r="AJ73">
        <f>IF(OR($H73="",$H73="N/A"),"",IF($AH73="",VLOOKUP('Company Profile'!$B$40,_CONFIG_Model_Settings!$A$5:$B$8,2,FALSE),_xlfn.IFNA(VLOOKUP($AH73,_CONFIG_Model_Settings!$A$5:$B$8,2,FALSE),0.9)))</f>
        <v/>
      </c>
      <c r="AK73">
        <f>IF(OR($H73="",$H73="N/A"),"",IF($AI73="",VLOOKUP('Company Profile'!$B$41,_CONFIG_Model_Settings!$A$5:$B$8,2,FALSE),_xlfn.IFNA(VLOOKUP($AI73,_CONFIG_Model_Settings!$A$5:$B$8,2,FALSE),0.9)))</f>
        <v/>
      </c>
      <c r="AL73">
        <f>IF(OR($H73="",$H73="N/A"),"",ROUND(VALUE($H73)*$AJ73*$AK73*$AV73,2))</f>
        <v/>
      </c>
      <c r="AM73">
        <f>IF($AL73="","",ROUND($AL73/5*100,1))</f>
        <v/>
      </c>
      <c r="AN73">
        <f>IFERROR(MIN(5,MAX(0,(SUMIFS(_REF_Model_Content!$D$1:$D$157,_REF_Model_Content!$A$1:$A$157,'Company Profile'!$B$9,_REF_Model_Content!$B$1:$B$157,"HR Workforce"))+_xlfn.IFNA(VLOOKUP('Company Profile'!$B$35,_CONFIG_Model_Settings!$A$11:$B$13,2,0),0))),"")</f>
        <v/>
      </c>
      <c r="AO73">
        <f>IF($AL73="","",MAX(0,ROUND($AN73-$AL73,2)))</f>
        <v/>
      </c>
      <c r="AP73">
        <f>IFERROR(SUMIFS(_REF_Model_Content!$E$1:$E$157,_REF_Model_Content!$A$1:$A$157,'Company Profile'!$B$9,_REF_Model_Content!$B$1:$B$157,"HR Workforce"),1)</f>
        <v/>
      </c>
      <c r="AQ73">
        <f>IF($AO73="","",ROUND($AO73*$AP73*($G73/5),2))</f>
        <v/>
      </c>
      <c r="AR73">
        <f>IF($AO73="","",IF($AO73&gt;=2,"Critical industry gap",IF($AO73&gt;=1,"High industry gap",IF($AO73&gt;=0.5,"Moderate industry gap","Within target"))))</f>
        <v/>
      </c>
      <c r="AS73">
        <f>IF(OR($H73="",$H73="N/A"),0,VALUE($H73)*(($AJ73+$AK73)/2)*$AV73)</f>
        <v/>
      </c>
      <c r="AT73">
        <f>IF(OR($H73="",$H73="N/A"),0,($AJ73+$AK73)/2)</f>
        <v/>
      </c>
      <c r="AU73">
        <f>'Assessment Questions'!AX73</f>
        <v/>
      </c>
      <c r="AV73">
        <f>IF(OR($H73="",$H73="N/A"),"",IF(OR($AU73="",$AU73="Everywhere",$AU73="Not applicable"),1,IF($AU73="Pilot / one team",0.4,IF($AU73="One unit or site",0.7,0.9))))</f>
        <v/>
      </c>
      <c r="AW73" t="inlineStr">
        <is>
          <t>HR Workforce</t>
        </is>
      </c>
      <c r="AX73" t="inlineStr">
        <is>
          <t>HR Workforce</t>
        </is>
      </c>
      <c r="AY73" t="n">
        <v>6</v>
      </c>
      <c r="AZ73" t="n">
        <v>73</v>
      </c>
    </row>
    <row r="74">
      <c r="A74" t="inlineStr">
        <is>
          <t>HRWO-003</t>
        </is>
      </c>
      <c r="B74" t="inlineStr">
        <is>
          <t>Workforce visibility</t>
        </is>
      </c>
      <c r="C74" t="inlineStr">
        <is>
          <t>How mature is the organization in managing key-person risk for executives, founders, architects, plant specialists, client owners and finance signatories, including ownership, evidence, metrics, fallback procedures and crisis stress testing?</t>
        </is>
      </c>
      <c r="D74" t="inlineStr">
        <is>
          <t>This topic affects exposure to Workforce disruption; Pandemic/health crisis; War/security crisis. It helps identify how disruption may impact operations, people, revenue, systems, legal exposure or recovery time.</t>
        </is>
      </c>
      <c r="E74" t="inlineStr">
        <is>
          <t>ISO 30414; ISO 30405; ISO 45001; ISO 22301; CIPD; SHRM</t>
        </is>
      </c>
      <c r="F74" t="inlineStr">
        <is>
          <t>Policy/SOP; owner/RACI; system report; dashboard; contracts; test records; incident history; interview evidence related to key-person risk for executives, founders, architects, plant specialists, client owners and finance signatories.</t>
        </is>
      </c>
      <c r="G74">
        <f>'Assessment Questions'!J74</f>
        <v/>
      </c>
      <c r="H74">
        <f>IF($Z74="","",IF($Z74="N/A","N/A",VALUE(LEFT($Z74,1))))</f>
        <v/>
      </c>
      <c r="I74">
        <f>IF($H74="","",IF($H74="N/A","",VALUE($H74)/5*$G74))</f>
        <v/>
      </c>
      <c r="J74">
        <f>IF(OR($H74="",$H74="N/A"),"",$G74)</f>
        <v/>
      </c>
      <c r="K74">
        <f>IF(OR($H74="",$H74="N/A"),"",$J74-$I74)</f>
        <v/>
      </c>
      <c r="L74">
        <f>IF($H74="","",IF($H74="N/A","N/A",IF(VALUE($H74)&lt;=1,"Critical",IF(VALUE($H74)&lt;=2,"High",IF(VALUE($H74)&lt;=3,"Medium",IF(VALUE($H74)&lt;=4,"Low","Resilient"))))))</f>
        <v/>
      </c>
      <c r="M74" t="inlineStr">
        <is>
          <t>No plan or procedure exists.</t>
        </is>
      </c>
      <c r="N74" t="inlineStr">
        <is>
          <t>Knowledge lives with individuals; nothing usable is written down.</t>
        </is>
      </c>
      <c r="O74" t="inlineStr">
        <is>
          <t>Drafted but outdated, not approved, or unknown to the people who must use it.</t>
        </is>
      </c>
      <c r="P74" t="inlineStr">
        <is>
          <t>Approved and current; owners assigned; affected staff know it exists and where to find it.</t>
        </is>
      </c>
      <c r="Q74" t="inlineStr">
        <is>
          <t>Tested against realistic scenarios; updated after each test or real incident.</t>
        </is>
      </c>
      <c r="R74" t="inlineStr">
        <is>
          <t>Exercised regularly including external parties; readiness measured; continuously improved.</t>
        </is>
      </c>
      <c r="S74" t="inlineStr">
        <is>
          <t>Workforce disruption; Pandemic/health crisis; War/security crisis</t>
        </is>
      </c>
      <c r="T74">
        <f>'Assessment Questions'!W74</f>
        <v/>
      </c>
      <c r="U74">
        <f>'Assessment Questions'!X74</f>
        <v/>
      </c>
      <c r="V74">
        <f>'Assessment Questions'!Y74</f>
        <v/>
      </c>
      <c r="W74" t="n">
        <v>4</v>
      </c>
      <c r="X74" t="n">
        <v>5</v>
      </c>
      <c r="Y74" t="n">
        <v>5</v>
      </c>
      <c r="Z74">
        <f>'Assessment Questions'!AC74</f>
        <v/>
      </c>
      <c r="AA74" t="inlineStr">
        <is>
          <t>Continuity and wellbeing</t>
        </is>
      </c>
      <c r="AB74">
        <f>COUNTIF($B$72:$B$97,$AA74)</f>
        <v/>
      </c>
      <c r="AC74">
        <f>IFERROR(SUMPRODUCT(($B$72:$B$97=$AA74)*($H$72:$H$97&lt;&gt;"")*($H$72:$H$97&lt;&gt;"N/A")*IFERROR(VALUE($H$72:$H$97),0))/SUMPRODUCT(($B$72:$B$97=$AA74)*($H$72:$H$97&lt;&gt;"")*($H$72:$H$97&lt;&gt;"N/A")),0)</f>
        <v/>
      </c>
      <c r="AD74">
        <f>AC74/5</f>
        <v/>
      </c>
      <c r="AE74">
        <f>COUNTIFS($B$72:$B$97,$AA74,$L$72:$L$97,"Critical")+COUNTIFS($B$72:$B$97,$AA74,$L$72:$L$97,"High")</f>
        <v/>
      </c>
      <c r="AF74">
        <f>5-AC74</f>
        <v/>
      </c>
      <c r="AG74">
        <f>SUMPRODUCT(($B$72:$B$97=$AA74)*(ISNUMBER($H$72:$H$97)+($H$72:$H$97="N/A")))</f>
        <v/>
      </c>
      <c r="AH74">
        <f>'Assessment Questions'!AK74</f>
        <v/>
      </c>
      <c r="AI74">
        <f>'Assessment Questions'!AL74</f>
        <v/>
      </c>
      <c r="AJ74">
        <f>IF(OR($H74="",$H74="N/A"),"",IF($AH74="",VLOOKUP('Company Profile'!$B$40,_CONFIG_Model_Settings!$A$5:$B$8,2,FALSE),_xlfn.IFNA(VLOOKUP($AH74,_CONFIG_Model_Settings!$A$5:$B$8,2,FALSE),0.9)))</f>
        <v/>
      </c>
      <c r="AK74">
        <f>IF(OR($H74="",$H74="N/A"),"",IF($AI74="",VLOOKUP('Company Profile'!$B$41,_CONFIG_Model_Settings!$A$5:$B$8,2,FALSE),_xlfn.IFNA(VLOOKUP($AI74,_CONFIG_Model_Settings!$A$5:$B$8,2,FALSE),0.9)))</f>
        <v/>
      </c>
      <c r="AL74">
        <f>IF(OR($H74="",$H74="N/A"),"",ROUND(VALUE($H74)*$AJ74*$AK74*$AV74,2))</f>
        <v/>
      </c>
      <c r="AM74">
        <f>IF($AL74="","",ROUND($AL74/5*100,1))</f>
        <v/>
      </c>
      <c r="AN74">
        <f>IFERROR(MIN(5,MAX(0,(SUMIFS(_REF_Model_Content!$D$1:$D$157,_REF_Model_Content!$A$1:$A$157,'Company Profile'!$B$9,_REF_Model_Content!$B$1:$B$157,"HR Workforce"))+_xlfn.IFNA(VLOOKUP('Company Profile'!$B$35,_CONFIG_Model_Settings!$A$11:$B$13,2,0),0))),"")</f>
        <v/>
      </c>
      <c r="AO74">
        <f>IF($AL74="","",MAX(0,ROUND($AN74-$AL74,2)))</f>
        <v/>
      </c>
      <c r="AP74">
        <f>IFERROR(SUMIFS(_REF_Model_Content!$E$1:$E$157,_REF_Model_Content!$A$1:$A$157,'Company Profile'!$B$9,_REF_Model_Content!$B$1:$B$157,"HR Workforce"),1)</f>
        <v/>
      </c>
      <c r="AQ74">
        <f>IF($AO74="","",ROUND($AO74*$AP74*($G74/5),2))</f>
        <v/>
      </c>
      <c r="AR74">
        <f>IF($AO74="","",IF($AO74&gt;=2,"Critical industry gap",IF($AO74&gt;=1,"High industry gap",IF($AO74&gt;=0.5,"Moderate industry gap","Within target"))))</f>
        <v/>
      </c>
      <c r="AS74">
        <f>IF(OR($H74="",$H74="N/A"),0,VALUE($H74)*(($AJ74+$AK74)/2)*$AV74)</f>
        <v/>
      </c>
      <c r="AT74">
        <f>IF(OR($H74="",$H74="N/A"),0,($AJ74+$AK74)/2)</f>
        <v/>
      </c>
      <c r="AU74">
        <f>'Assessment Questions'!AX74</f>
        <v/>
      </c>
      <c r="AV74">
        <f>IF(OR($H74="",$H74="N/A"),"",IF(OR($AU74="",$AU74="Everywhere",$AU74="Not applicable"),1,IF($AU74="Pilot / one team",0.4,IF($AU74="One unit or site",0.7,0.9))))</f>
        <v/>
      </c>
      <c r="AW74" t="inlineStr">
        <is>
          <t>HR Workforce</t>
        </is>
      </c>
      <c r="AX74" t="inlineStr">
        <is>
          <t>HR Workforce</t>
        </is>
      </c>
      <c r="AY74" t="n">
        <v>7</v>
      </c>
      <c r="AZ74" t="n">
        <v>74</v>
      </c>
    </row>
    <row r="75">
      <c r="A75" t="inlineStr">
        <is>
          <t>HRWO-004</t>
        </is>
      </c>
      <c r="B75" t="inlineStr">
        <is>
          <t>Workforce visibility</t>
        </is>
      </c>
      <c r="C75" t="inlineStr">
        <is>
          <t>How mature is the organization in managing skills matrix linked to critical processes, systems, products, sites and backup coverage, including ownership, evidence, metrics, fallback procedures and crisis stress testing?</t>
        </is>
      </c>
      <c r="D75" t="inlineStr">
        <is>
          <t>This topic affects exposure to Workforce disruption; Pandemic/health crisis; War/security crisis. It helps identify how disruption may impact operations, people, revenue, systems, legal exposure or recovery time.</t>
        </is>
      </c>
      <c r="E75" t="inlineStr">
        <is>
          <t>ISO 30414; ISO 30405; ISO 45001; ISO 22301; CIPD; SHRM</t>
        </is>
      </c>
      <c r="F75" t="inlineStr">
        <is>
          <t>Policy/SOP; owner/RACI; system report; dashboard; contracts; test records; incident history; interview evidence related to skills matrix linked to critical processes, systems, products, sites and backup coverage.</t>
        </is>
      </c>
      <c r="G75">
        <f>'Assessment Questions'!J75</f>
        <v/>
      </c>
      <c r="H75">
        <f>IF($Z75="","",IF($Z75="N/A","N/A",VALUE(LEFT($Z75,1))))</f>
        <v/>
      </c>
      <c r="I75">
        <f>IF($H75="","",IF($H75="N/A","",VALUE($H75)/5*$G75))</f>
        <v/>
      </c>
      <c r="J75">
        <f>IF(OR($H75="",$H75="N/A"),"",$G75)</f>
        <v/>
      </c>
      <c r="K75">
        <f>IF(OR($H75="",$H75="N/A"),"",$J75-$I75)</f>
        <v/>
      </c>
      <c r="L75">
        <f>IF($H75="","",IF($H75="N/A","N/A",IF(VALUE($H75)&lt;=1,"Critical",IF(VALUE($H75)&lt;=2,"High",IF(VALUE($H75)&lt;=3,"Medium",IF(VALUE($H75)&lt;=4,"Low","Resilient"))))))</f>
        <v/>
      </c>
      <c r="M75" t="inlineStr">
        <is>
          <t>No inventory/register exists.</t>
        </is>
      </c>
      <c r="N75" t="inlineStr">
        <is>
          <t>Partial lists live in individuals' heads or personal files.</t>
        </is>
      </c>
      <c r="O75" t="inlineStr">
        <is>
          <t>A register exists but is incomplete or outdated (&gt;1 year) and has no owner.</t>
        </is>
      </c>
      <c r="P75" t="inlineStr">
        <is>
          <t>Owned, documented, updated on a defined schedule, covers the main scope.</t>
        </is>
      </c>
      <c r="Q75" t="inlineStr">
        <is>
          <t>Complete and periodically reviewed; integrated with related processes; completeness measured.</t>
        </is>
      </c>
      <c r="R75" t="inlineStr">
        <is>
          <t>Maintained automatically or synced with systems; drives decisions; audited.</t>
        </is>
      </c>
      <c r="S75" t="inlineStr">
        <is>
          <t>Workforce disruption; Pandemic/health crisis; War/security crisis</t>
        </is>
      </c>
      <c r="T75">
        <f>'Assessment Questions'!W75</f>
        <v/>
      </c>
      <c r="U75">
        <f>'Assessment Questions'!X75</f>
        <v/>
      </c>
      <c r="V75">
        <f>'Assessment Questions'!Y75</f>
        <v/>
      </c>
      <c r="W75" t="n">
        <v>5</v>
      </c>
      <c r="X75" t="n">
        <v>5</v>
      </c>
      <c r="Y75" t="n">
        <v>5</v>
      </c>
      <c r="Z75">
        <f>'Assessment Questions'!AC75</f>
        <v/>
      </c>
      <c r="AA75" t="inlineStr">
        <is>
          <t>HR systems and compliance</t>
        </is>
      </c>
      <c r="AB75">
        <f>COUNTIF($B$72:$B$97,$AA75)</f>
        <v/>
      </c>
      <c r="AC75">
        <f>IFERROR(SUMPRODUCT(($B$72:$B$97=$AA75)*($H$72:$H$97&lt;&gt;"")*($H$72:$H$97&lt;&gt;"N/A")*IFERROR(VALUE($H$72:$H$97),0))/SUMPRODUCT(($B$72:$B$97=$AA75)*($H$72:$H$97&lt;&gt;"")*($H$72:$H$97&lt;&gt;"N/A")),0)</f>
        <v/>
      </c>
      <c r="AD75">
        <f>AC75/5</f>
        <v/>
      </c>
      <c r="AE75">
        <f>COUNTIFS($B$72:$B$97,$AA75,$L$72:$L$97,"Critical")+COUNTIFS($B$72:$B$97,$AA75,$L$72:$L$97,"High")</f>
        <v/>
      </c>
      <c r="AF75">
        <f>5-AC75</f>
        <v/>
      </c>
      <c r="AG75">
        <f>SUMPRODUCT(($B$72:$B$97=$AA75)*(ISNUMBER($H$72:$H$97)+($H$72:$H$97="N/A")))</f>
        <v/>
      </c>
      <c r="AH75">
        <f>'Assessment Questions'!AK75</f>
        <v/>
      </c>
      <c r="AI75">
        <f>'Assessment Questions'!AL75</f>
        <v/>
      </c>
      <c r="AJ75">
        <f>IF(OR($H75="",$H75="N/A"),"",IF($AH75="",VLOOKUP('Company Profile'!$B$40,_CONFIG_Model_Settings!$A$5:$B$8,2,FALSE),_xlfn.IFNA(VLOOKUP($AH75,_CONFIG_Model_Settings!$A$5:$B$8,2,FALSE),0.9)))</f>
        <v/>
      </c>
      <c r="AK75">
        <f>IF(OR($H75="",$H75="N/A"),"",IF($AI75="",VLOOKUP('Company Profile'!$B$41,_CONFIG_Model_Settings!$A$5:$B$8,2,FALSE),_xlfn.IFNA(VLOOKUP($AI75,_CONFIG_Model_Settings!$A$5:$B$8,2,FALSE),0.9)))</f>
        <v/>
      </c>
      <c r="AL75">
        <f>IF(OR($H75="",$H75="N/A"),"",ROUND(VALUE($H75)*$AJ75*$AK75*$AV75,2))</f>
        <v/>
      </c>
      <c r="AM75">
        <f>IF($AL75="","",ROUND($AL75/5*100,1))</f>
        <v/>
      </c>
      <c r="AN75">
        <f>IFERROR(MIN(5,MAX(0,(SUMIFS(_REF_Model_Content!$D$1:$D$157,_REF_Model_Content!$A$1:$A$157,'Company Profile'!$B$9,_REF_Model_Content!$B$1:$B$157,"HR Workforce"))+_xlfn.IFNA(VLOOKUP('Company Profile'!$B$35,_CONFIG_Model_Settings!$A$11:$B$13,2,0),0))),"")</f>
        <v/>
      </c>
      <c r="AO75">
        <f>IF($AL75="","",MAX(0,ROUND($AN75-$AL75,2)))</f>
        <v/>
      </c>
      <c r="AP75">
        <f>IFERROR(SUMIFS(_REF_Model_Content!$E$1:$E$157,_REF_Model_Content!$A$1:$A$157,'Company Profile'!$B$9,_REF_Model_Content!$B$1:$B$157,"HR Workforce"),1)</f>
        <v/>
      </c>
      <c r="AQ75">
        <f>IF($AO75="","",ROUND($AO75*$AP75*($G75/5),2))</f>
        <v/>
      </c>
      <c r="AR75">
        <f>IF($AO75="","",IF($AO75&gt;=2,"Critical industry gap",IF($AO75&gt;=1,"High industry gap",IF($AO75&gt;=0.5,"Moderate industry gap","Within target"))))</f>
        <v/>
      </c>
      <c r="AS75">
        <f>IF(OR($H75="",$H75="N/A"),0,VALUE($H75)*(($AJ75+$AK75)/2)*$AV75)</f>
        <v/>
      </c>
      <c r="AT75">
        <f>IF(OR($H75="",$H75="N/A"),0,($AJ75+$AK75)/2)</f>
        <v/>
      </c>
      <c r="AU75">
        <f>'Assessment Questions'!AX75</f>
        <v/>
      </c>
      <c r="AV75">
        <f>IF(OR($H75="",$H75="N/A"),"",IF(OR($AU75="",$AU75="Everywhere",$AU75="Not applicable"),1,IF($AU75="Pilot / one team",0.4,IF($AU75="One unit or site",0.7,0.9))))</f>
        <v/>
      </c>
      <c r="AW75" t="inlineStr">
        <is>
          <t>HR Workforce</t>
        </is>
      </c>
      <c r="AX75" t="inlineStr">
        <is>
          <t>HR Workforce</t>
        </is>
      </c>
      <c r="AY75" t="n">
        <v>8</v>
      </c>
      <c r="AZ75" t="n">
        <v>75</v>
      </c>
    </row>
    <row r="76">
      <c r="A76" t="inlineStr">
        <is>
          <t>HRWO-005</t>
        </is>
      </c>
      <c r="B76" t="inlineStr">
        <is>
          <t>Workforce visibility</t>
        </is>
      </c>
      <c r="C76" t="inlineStr">
        <is>
          <t>How mature is the organization in managing minimum staffing levels for critical functions, shifts, production lines and customer support, including ownership, evidence, metrics, fallback procedures and crisis stress testing?</t>
        </is>
      </c>
      <c r="D76" t="inlineStr">
        <is>
          <t>This topic affects exposure to Workforce disruption; Pandemic/health crisis; War/security crisis. It helps identify how disruption may impact operations, people, revenue, systems, legal exposure or recovery time.</t>
        </is>
      </c>
      <c r="E76" t="inlineStr">
        <is>
          <t>ISO 30414; ISO 30405; ISO 45001; ISO 22301; CIPD; SHRM</t>
        </is>
      </c>
      <c r="F76" t="inlineStr">
        <is>
          <t>Policy/SOP; owner/RACI; system report; dashboard; contracts; test records; incident history; interview evidence related to minimum staffing levels for critical functions, shifts, production lines and customer support.</t>
        </is>
      </c>
      <c r="G76">
        <f>'Assessment Questions'!J76</f>
        <v/>
      </c>
      <c r="H76">
        <f>IF($Z76="","",IF($Z76="N/A","N/A",VALUE(LEFT($Z76,1))))</f>
        <v/>
      </c>
      <c r="I76">
        <f>IF($H76="","",IF($H76="N/A","",VALUE($H76)/5*$G76))</f>
        <v/>
      </c>
      <c r="J76">
        <f>IF(OR($H76="",$H76="N/A"),"",$G76)</f>
        <v/>
      </c>
      <c r="K76">
        <f>IF(OR($H76="",$H76="N/A"),"",$J76-$I76)</f>
        <v/>
      </c>
      <c r="L76">
        <f>IF($H76="","",IF($H76="N/A","N/A",IF(VALUE($H76)&lt;=1,"Critical",IF(VALUE($H76)&lt;=2,"High",IF(VALUE($H76)&lt;=3,"Medium",IF(VALUE($H76)&lt;=4,"Low","Resilient"))))))</f>
        <v/>
      </c>
      <c r="M76" t="inlineStr">
        <is>
          <t>Does not exist; no owner, no documentation, no practice.</t>
        </is>
      </c>
      <c r="N76" t="inlineStr">
        <is>
          <t>Ad hoc; depends entirely on specific individuals.</t>
        </is>
      </c>
      <c r="O76" t="inlineStr">
        <is>
          <t>Partially documented or implemented; coverage inconsistent; never tested under stress.</t>
        </is>
      </c>
      <c r="P76" t="inlineStr">
        <is>
          <t>Documented, owned, executed consistently; basic evidence and metrics exist.</t>
        </is>
      </c>
      <c r="Q76" t="inlineStr">
        <is>
          <t>Measured and periodically tested/audited; integrated with adjacent processes.</t>
        </is>
      </c>
      <c r="R76" t="inlineStr">
        <is>
          <t>Optimized and automated where practical; stress-tested; benchmarked externally.</t>
        </is>
      </c>
      <c r="S76" t="inlineStr">
        <is>
          <t>Workforce disruption; Pandemic/health crisis; War/security crisis</t>
        </is>
      </c>
      <c r="T76">
        <f>'Assessment Questions'!W76</f>
        <v/>
      </c>
      <c r="U76">
        <f>'Assessment Questions'!X76</f>
        <v/>
      </c>
      <c r="V76">
        <f>'Assessment Questions'!Y76</f>
        <v/>
      </c>
      <c r="W76" t="n">
        <v>4</v>
      </c>
      <c r="X76" t="n">
        <v>5</v>
      </c>
      <c r="Y76" t="n">
        <v>5</v>
      </c>
      <c r="Z76">
        <f>'Assessment Questions'!AC76</f>
        <v/>
      </c>
      <c r="AB76">
        <f>COUNTIF($B$72:$B$97,$AA76)</f>
        <v/>
      </c>
      <c r="AC76">
        <f>IFERROR(SUMPRODUCT(($B$72:$B$97=$AA76)*($H$72:$H$97&lt;&gt;"")*($H$72:$H$97&lt;&gt;"N/A")*IFERROR(VALUE($H$72:$H$97),0))/SUMPRODUCT(($B$72:$B$97=$AA76)*($H$72:$H$97&lt;&gt;"")*($H$72:$H$97&lt;&gt;"N/A")),0)</f>
        <v/>
      </c>
      <c r="AD76">
        <f>AC76/5</f>
        <v/>
      </c>
      <c r="AE76">
        <f>COUNTIFS($B$72:$B$97,$AA76,$L$72:$L$97,"Critical")+COUNTIFS($B$72:$B$97,$AA76,$L$72:$L$97,"High")</f>
        <v/>
      </c>
      <c r="AF76">
        <f>5-AC76</f>
        <v/>
      </c>
      <c r="AG76">
        <f>SUMPRODUCT(($B$72:$B$97=$AA76)*(ISNUMBER($H$72:$H$97)+($H$72:$H$97="N/A")))</f>
        <v/>
      </c>
      <c r="AH76">
        <f>'Assessment Questions'!AK76</f>
        <v/>
      </c>
      <c r="AI76">
        <f>'Assessment Questions'!AL76</f>
        <v/>
      </c>
      <c r="AJ76">
        <f>IF(OR($H76="",$H76="N/A"),"",IF($AH76="",VLOOKUP('Company Profile'!$B$40,_CONFIG_Model_Settings!$A$5:$B$8,2,FALSE),_xlfn.IFNA(VLOOKUP($AH76,_CONFIG_Model_Settings!$A$5:$B$8,2,FALSE),0.9)))</f>
        <v/>
      </c>
      <c r="AK76">
        <f>IF(OR($H76="",$H76="N/A"),"",IF($AI76="",VLOOKUP('Company Profile'!$B$41,_CONFIG_Model_Settings!$A$5:$B$8,2,FALSE),_xlfn.IFNA(VLOOKUP($AI76,_CONFIG_Model_Settings!$A$5:$B$8,2,FALSE),0.9)))</f>
        <v/>
      </c>
      <c r="AL76">
        <f>IF(OR($H76="",$H76="N/A"),"",ROUND(VALUE($H76)*$AJ76*$AK76*$AV76,2))</f>
        <v/>
      </c>
      <c r="AM76">
        <f>IF($AL76="","",ROUND($AL76/5*100,1))</f>
        <v/>
      </c>
      <c r="AN76">
        <f>IFERROR(MIN(5,MAX(0,(SUMIFS(_REF_Model_Content!$D$1:$D$157,_REF_Model_Content!$A$1:$A$157,'Company Profile'!$B$9,_REF_Model_Content!$B$1:$B$157,"HR Workforce"))+_xlfn.IFNA(VLOOKUP('Company Profile'!$B$35,_CONFIG_Model_Settings!$A$11:$B$13,2,0),0))),"")</f>
        <v/>
      </c>
      <c r="AO76">
        <f>IF($AL76="","",MAX(0,ROUND($AN76-$AL76,2)))</f>
        <v/>
      </c>
      <c r="AP76">
        <f>IFERROR(SUMIFS(_REF_Model_Content!$E$1:$E$157,_REF_Model_Content!$A$1:$A$157,'Company Profile'!$B$9,_REF_Model_Content!$B$1:$B$157,"HR Workforce"),1)</f>
        <v/>
      </c>
      <c r="AQ76">
        <f>IF($AO76="","",ROUND($AO76*$AP76*($G76/5),2))</f>
        <v/>
      </c>
      <c r="AR76">
        <f>IF($AO76="","",IF($AO76&gt;=2,"Critical industry gap",IF($AO76&gt;=1,"High industry gap",IF($AO76&gt;=0.5,"Moderate industry gap","Within target"))))</f>
        <v/>
      </c>
      <c r="AS76">
        <f>IF(OR($H76="",$H76="N/A"),0,VALUE($H76)*(($AJ76+$AK76)/2)*$AV76)</f>
        <v/>
      </c>
      <c r="AT76">
        <f>IF(OR($H76="",$H76="N/A"),0,($AJ76+$AK76)/2)</f>
        <v/>
      </c>
      <c r="AU76">
        <f>'Assessment Questions'!AX76</f>
        <v/>
      </c>
      <c r="AV76">
        <f>IF(OR($H76="",$H76="N/A"),"",IF(OR($AU76="",$AU76="Everywhere",$AU76="Not applicable"),1,IF($AU76="Pilot / one team",0.4,IF($AU76="One unit or site",0.7,0.9))))</f>
        <v/>
      </c>
      <c r="AW76" t="inlineStr">
        <is>
          <t>HR Workforce</t>
        </is>
      </c>
      <c r="AX76" t="inlineStr">
        <is>
          <t>HR Workforce</t>
        </is>
      </c>
      <c r="AY76" t="n">
        <v>9</v>
      </c>
      <c r="AZ76" t="n">
        <v>76</v>
      </c>
    </row>
    <row r="77">
      <c r="A77" t="inlineStr">
        <is>
          <t>HRWO-006</t>
        </is>
      </c>
      <c r="B77" t="inlineStr">
        <is>
          <t>Workforce visibility</t>
        </is>
      </c>
      <c r="C77" t="inlineStr">
        <is>
          <t>How mature is the organization in managing absence trends, sick leave spikes and workforce availability monitoring, including ownership, evidence, metrics, fallback procedures and crisis stress testing?</t>
        </is>
      </c>
      <c r="D77" t="inlineStr">
        <is>
          <t>This topic affects exposure to Workforce disruption; Pandemic/health crisis; War/security crisis. It helps identify how disruption may impact operations, people, revenue, systems, legal exposure or recovery time.</t>
        </is>
      </c>
      <c r="E77" t="inlineStr">
        <is>
          <t>ISO 30414; ISO 30405; ISO 45001; ISO 22301; CIPD; SHRM</t>
        </is>
      </c>
      <c r="F77" t="inlineStr">
        <is>
          <t>Policy/SOP; owner/RACI; system report; dashboard; contracts; test records; incident history; interview evidence related to absence trends, sick leave spikes and workforce availability monitoring.</t>
        </is>
      </c>
      <c r="G77">
        <f>'Assessment Questions'!J77</f>
        <v/>
      </c>
      <c r="H77">
        <f>IF($Z77="","",IF($Z77="N/A","N/A",VALUE(LEFT($Z77,1))))</f>
        <v/>
      </c>
      <c r="I77">
        <f>IF($H77="","",IF($H77="N/A","",VALUE($H77)/5*$G77))</f>
        <v/>
      </c>
      <c r="J77">
        <f>IF(OR($H77="",$H77="N/A"),"",$G77)</f>
        <v/>
      </c>
      <c r="K77">
        <f>IF(OR($H77="",$H77="N/A"),"",$J77-$I77)</f>
        <v/>
      </c>
      <c r="L77">
        <f>IF($H77="","",IF($H77="N/A","N/A",IF(VALUE($H77)&lt;=1,"Critical",IF(VALUE($H77)&lt;=2,"High",IF(VALUE($H77)&lt;=3,"Medium",IF(VALUE($H77)&lt;=4,"Low","Resilient"))))))</f>
        <v/>
      </c>
      <c r="M77" t="inlineStr">
        <is>
          <t>No reliable evidence that absence trends, sick leave spikes and workforce availability monitoring is defined, owned or managed.</t>
        </is>
      </c>
      <c r="N77" t="inlineStr">
        <is>
          <t>Absence trends, sick leave spikes and workforce availability monitoring is handled informally and depends on individual knowledge or heroic effort.</t>
        </is>
      </c>
      <c r="O77" t="inlineStr">
        <is>
          <t>Absence trends, sick leave spikes and workforce availability monitoring is partially documented or implemented, but coverage is inconsistent and not crisis-tested.</t>
        </is>
      </c>
      <c r="P77" t="inlineStr">
        <is>
          <t>Absence trends, sick leave spikes and workforce availability monitoring is documented, owned, used in normal operations and supported by basic evidence or metrics.</t>
        </is>
      </c>
      <c r="Q77" t="inlineStr">
        <is>
          <t>Absence trends, sick leave spikes and workforce availability monitoring is measured, periodically reviewed, integrated with related processes and tested against relevant disruption scenarios.</t>
        </is>
      </c>
      <c r="R77" t="inlineStr">
        <is>
          <t>Absence trends, sick leave spikes and workforce availability monitoring is optimized, continuously improved, automated where practical and demonstrably supports crisis resilience.</t>
        </is>
      </c>
      <c r="S77" t="inlineStr">
        <is>
          <t>Workforce disruption; Pandemic/health crisis; War/security crisis</t>
        </is>
      </c>
      <c r="T77">
        <f>'Assessment Questions'!W77</f>
        <v/>
      </c>
      <c r="U77">
        <f>'Assessment Questions'!X77</f>
        <v/>
      </c>
      <c r="V77">
        <f>'Assessment Questions'!Y77</f>
        <v/>
      </c>
      <c r="W77" t="n">
        <v>4</v>
      </c>
      <c r="X77" t="n">
        <v>5</v>
      </c>
      <c r="Y77" t="n">
        <v>5</v>
      </c>
      <c r="Z77">
        <f>'Assessment Questions'!AC77</f>
        <v/>
      </c>
      <c r="AB77">
        <f>COUNTIF($B$72:$B$97,$AA77)</f>
        <v/>
      </c>
      <c r="AC77">
        <f>IFERROR(SUMPRODUCT(($B$72:$B$97=$AA77)*($H$72:$H$97&lt;&gt;"")*($H$72:$H$97&lt;&gt;"N/A")*IFERROR(VALUE($H$72:$H$97),0))/SUMPRODUCT(($B$72:$B$97=$AA77)*($H$72:$H$97&lt;&gt;"")*($H$72:$H$97&lt;&gt;"N/A")),0)</f>
        <v/>
      </c>
      <c r="AD77">
        <f>AC77/5</f>
        <v/>
      </c>
      <c r="AE77">
        <f>COUNTIFS($B$72:$B$97,$AA77,$L$72:$L$97,"Critical")+COUNTIFS($B$72:$B$97,$AA77,$L$72:$L$97,"High")</f>
        <v/>
      </c>
      <c r="AF77">
        <f>5-AC77</f>
        <v/>
      </c>
      <c r="AG77">
        <f>SUMPRODUCT(($B$72:$B$97=$AA77)*(ISNUMBER($H$72:$H$97)+($H$72:$H$97="N/A")))</f>
        <v/>
      </c>
      <c r="AH77">
        <f>'Assessment Questions'!AK77</f>
        <v/>
      </c>
      <c r="AI77">
        <f>'Assessment Questions'!AL77</f>
        <v/>
      </c>
      <c r="AJ77">
        <f>IF(OR($H77="",$H77="N/A"),"",IF($AH77="",VLOOKUP('Company Profile'!$B$40,_CONFIG_Model_Settings!$A$5:$B$8,2,FALSE),_xlfn.IFNA(VLOOKUP($AH77,_CONFIG_Model_Settings!$A$5:$B$8,2,FALSE),0.9)))</f>
        <v/>
      </c>
      <c r="AK77">
        <f>IF(OR($H77="",$H77="N/A"),"",IF($AI77="",VLOOKUP('Company Profile'!$B$41,_CONFIG_Model_Settings!$A$5:$B$8,2,FALSE),_xlfn.IFNA(VLOOKUP($AI77,_CONFIG_Model_Settings!$A$5:$B$8,2,FALSE),0.9)))</f>
        <v/>
      </c>
      <c r="AL77">
        <f>IF(OR($H77="",$H77="N/A"),"",ROUND(VALUE($H77)*$AJ77*$AK77*$AV77,2))</f>
        <v/>
      </c>
      <c r="AM77">
        <f>IF($AL77="","",ROUND($AL77/5*100,1))</f>
        <v/>
      </c>
      <c r="AN77">
        <f>IFERROR(MIN(5,MAX(0,(SUMIFS(_REF_Model_Content!$D$1:$D$157,_REF_Model_Content!$A$1:$A$157,'Company Profile'!$B$9,_REF_Model_Content!$B$1:$B$157,"HR Workforce"))+_xlfn.IFNA(VLOOKUP('Company Profile'!$B$35,_CONFIG_Model_Settings!$A$11:$B$13,2,0),0))),"")</f>
        <v/>
      </c>
      <c r="AO77">
        <f>IF($AL77="","",MAX(0,ROUND($AN77-$AL77,2)))</f>
        <v/>
      </c>
      <c r="AP77">
        <f>IFERROR(SUMIFS(_REF_Model_Content!$E$1:$E$157,_REF_Model_Content!$A$1:$A$157,'Company Profile'!$B$9,_REF_Model_Content!$B$1:$B$157,"HR Workforce"),1)</f>
        <v/>
      </c>
      <c r="AQ77">
        <f>IF($AO77="","",ROUND($AO77*$AP77*($G77/5),2))</f>
        <v/>
      </c>
      <c r="AR77">
        <f>IF($AO77="","",IF($AO77&gt;=2,"Critical industry gap",IF($AO77&gt;=1,"High industry gap",IF($AO77&gt;=0.5,"Moderate industry gap","Within target"))))</f>
        <v/>
      </c>
      <c r="AS77">
        <f>IF(OR($H77="",$H77="N/A"),0,VALUE($H77)*(($AJ77+$AK77)/2)*$AV77)</f>
        <v/>
      </c>
      <c r="AT77">
        <f>IF(OR($H77="",$H77="N/A"),0,($AJ77+$AK77)/2)</f>
        <v/>
      </c>
      <c r="AU77">
        <f>'Assessment Questions'!AX77</f>
        <v/>
      </c>
      <c r="AV77">
        <f>IF(OR($H77="",$H77="N/A"),"",IF(OR($AU77="",$AU77="Everywhere",$AU77="Not applicable"),1,IF($AU77="Pilot / one team",0.4,IF($AU77="One unit or site",0.7,0.9))))</f>
        <v/>
      </c>
      <c r="AW77" t="inlineStr">
        <is>
          <t>HR Workforce</t>
        </is>
      </c>
      <c r="AX77" t="inlineStr">
        <is>
          <t>HR Workforce</t>
        </is>
      </c>
      <c r="AY77" t="n">
        <v>10</v>
      </c>
      <c r="AZ77" t="n">
        <v>77</v>
      </c>
    </row>
    <row r="78">
      <c r="A78" t="inlineStr">
        <is>
          <t>HRWO-007</t>
        </is>
      </c>
      <c r="B78" t="inlineStr">
        <is>
          <t>Recruitment and retention</t>
        </is>
      </c>
      <c r="C78" t="inlineStr">
        <is>
          <t>How mature is the organization in managing hiring pipeline resilience for critical roles under market shortage or geographic disruption, including ownership, evidence, metrics, fallback procedures and crisis stress testing?</t>
        </is>
      </c>
      <c r="D78" t="inlineStr">
        <is>
          <t>This topic affects exposure to Workforce disruption; Pandemic/health crisis; War/security crisis. It helps identify how disruption may impact operations, people, revenue, systems, legal exposure or recovery time.</t>
        </is>
      </c>
      <c r="E78" t="inlineStr">
        <is>
          <t>ISO 30414; ISO 30405; ISO 45001; ISO 22301; CIPD; SHRM</t>
        </is>
      </c>
      <c r="F78" t="inlineStr">
        <is>
          <t>Policy/SOP; owner/RACI; system report; dashboard; contracts; test records; incident history; interview evidence related to hiring pipeline resilience for critical roles under market shortage or geographic disruption.</t>
        </is>
      </c>
      <c r="G78">
        <f>'Assessment Questions'!J78</f>
        <v/>
      </c>
      <c r="H78">
        <f>IF($Z78="","",IF($Z78="N/A","N/A",VALUE(LEFT($Z78,1))))</f>
        <v/>
      </c>
      <c r="I78">
        <f>IF($H78="","",IF($H78="N/A","",VALUE($H78)/5*$G78))</f>
        <v/>
      </c>
      <c r="J78">
        <f>IF(OR($H78="",$H78="N/A"),"",$G78)</f>
        <v/>
      </c>
      <c r="K78">
        <f>IF(OR($H78="",$H78="N/A"),"",$J78-$I78)</f>
        <v/>
      </c>
      <c r="L78">
        <f>IF($H78="","",IF($H78="N/A","N/A",IF(VALUE($H78)&lt;=1,"Critical",IF(VALUE($H78)&lt;=2,"High",IF(VALUE($H78)&lt;=3,"Medium",IF(VALUE($H78)&lt;=4,"Low","Resilient"))))))</f>
        <v/>
      </c>
      <c r="M78" t="inlineStr">
        <is>
          <t>Does not exist; no owner, no documentation, no practice.</t>
        </is>
      </c>
      <c r="N78" t="inlineStr">
        <is>
          <t>Ad hoc; depends entirely on specific individuals.</t>
        </is>
      </c>
      <c r="O78" t="inlineStr">
        <is>
          <t>Partially documented or implemented; coverage inconsistent; never tested under stress.</t>
        </is>
      </c>
      <c r="P78" t="inlineStr">
        <is>
          <t>Documented, owned, executed consistently; basic evidence and metrics exist.</t>
        </is>
      </c>
      <c r="Q78" t="inlineStr">
        <is>
          <t>Measured and periodically tested/audited; integrated with adjacent processes.</t>
        </is>
      </c>
      <c r="R78" t="inlineStr">
        <is>
          <t>Optimized and automated where practical; stress-tested; benchmarked externally.</t>
        </is>
      </c>
      <c r="S78" t="inlineStr">
        <is>
          <t>Workforce disruption; Pandemic/health crisis; War/security crisis</t>
        </is>
      </c>
      <c r="T78">
        <f>'Assessment Questions'!W78</f>
        <v/>
      </c>
      <c r="U78">
        <f>'Assessment Questions'!X78</f>
        <v/>
      </c>
      <c r="V78">
        <f>'Assessment Questions'!Y78</f>
        <v/>
      </c>
      <c r="W78" t="n">
        <v>4</v>
      </c>
      <c r="X78" t="n">
        <v>5</v>
      </c>
      <c r="Y78" t="n">
        <v>5</v>
      </c>
      <c r="Z78">
        <f>'Assessment Questions'!AC78</f>
        <v/>
      </c>
      <c r="AB78">
        <f>COUNTIF($B$72:$B$97,$AA78)</f>
        <v/>
      </c>
      <c r="AC78">
        <f>IFERROR(SUMPRODUCT(($B$72:$B$97=$AA78)*($H$72:$H$97&lt;&gt;"")*($H$72:$H$97&lt;&gt;"N/A")*IFERROR(VALUE($H$72:$H$97),0))/SUMPRODUCT(($B$72:$B$97=$AA78)*($H$72:$H$97&lt;&gt;"")*($H$72:$H$97&lt;&gt;"N/A")),0)</f>
        <v/>
      </c>
      <c r="AD78">
        <f>AC78/5</f>
        <v/>
      </c>
      <c r="AE78">
        <f>COUNTIFS($B$72:$B$97,$AA78,$L$72:$L$97,"Critical")+COUNTIFS($B$72:$B$97,$AA78,$L$72:$L$97,"High")</f>
        <v/>
      </c>
      <c r="AF78">
        <f>5-AC78</f>
        <v/>
      </c>
      <c r="AG78">
        <f>SUMPRODUCT(($B$72:$B$97=$AA78)*(ISNUMBER($H$72:$H$97)+($H$72:$H$97="N/A")))</f>
        <v/>
      </c>
      <c r="AH78">
        <f>'Assessment Questions'!AK78</f>
        <v/>
      </c>
      <c r="AI78">
        <f>'Assessment Questions'!AL78</f>
        <v/>
      </c>
      <c r="AJ78">
        <f>IF(OR($H78="",$H78="N/A"),"",IF($AH78="",VLOOKUP('Company Profile'!$B$40,_CONFIG_Model_Settings!$A$5:$B$8,2,FALSE),_xlfn.IFNA(VLOOKUP($AH78,_CONFIG_Model_Settings!$A$5:$B$8,2,FALSE),0.9)))</f>
        <v/>
      </c>
      <c r="AK78">
        <f>IF(OR($H78="",$H78="N/A"),"",IF($AI78="",VLOOKUP('Company Profile'!$B$41,_CONFIG_Model_Settings!$A$5:$B$8,2,FALSE),_xlfn.IFNA(VLOOKUP($AI78,_CONFIG_Model_Settings!$A$5:$B$8,2,FALSE),0.9)))</f>
        <v/>
      </c>
      <c r="AL78">
        <f>IF(OR($H78="",$H78="N/A"),"",ROUND(VALUE($H78)*$AJ78*$AK78*$AV78,2))</f>
        <v/>
      </c>
      <c r="AM78">
        <f>IF($AL78="","",ROUND($AL78/5*100,1))</f>
        <v/>
      </c>
      <c r="AN78">
        <f>IFERROR(MIN(5,MAX(0,(SUMIFS(_REF_Model_Content!$D$1:$D$157,_REF_Model_Content!$A$1:$A$157,'Company Profile'!$B$9,_REF_Model_Content!$B$1:$B$157,"HR Workforce"))+_xlfn.IFNA(VLOOKUP('Company Profile'!$B$35,_CONFIG_Model_Settings!$A$11:$B$13,2,0),0))),"")</f>
        <v/>
      </c>
      <c r="AO78">
        <f>IF($AL78="","",MAX(0,ROUND($AN78-$AL78,2)))</f>
        <v/>
      </c>
      <c r="AP78">
        <f>IFERROR(SUMIFS(_REF_Model_Content!$E$1:$E$157,_REF_Model_Content!$A$1:$A$157,'Company Profile'!$B$9,_REF_Model_Content!$B$1:$B$157,"HR Workforce"),1)</f>
        <v/>
      </c>
      <c r="AQ78">
        <f>IF($AO78="","",ROUND($AO78*$AP78*($G78/5),2))</f>
        <v/>
      </c>
      <c r="AR78">
        <f>IF($AO78="","",IF($AO78&gt;=2,"Critical industry gap",IF($AO78&gt;=1,"High industry gap",IF($AO78&gt;=0.5,"Moderate industry gap","Within target"))))</f>
        <v/>
      </c>
      <c r="AS78">
        <f>IF(OR($H78="",$H78="N/A"),0,VALUE($H78)*(($AJ78+$AK78)/2)*$AV78)</f>
        <v/>
      </c>
      <c r="AT78">
        <f>IF(OR($H78="",$H78="N/A"),0,($AJ78+$AK78)/2)</f>
        <v/>
      </c>
      <c r="AU78">
        <f>'Assessment Questions'!AX78</f>
        <v/>
      </c>
      <c r="AV78">
        <f>IF(OR($H78="",$H78="N/A"),"",IF(OR($AU78="",$AU78="Everywhere",$AU78="Not applicable"),1,IF($AU78="Pilot / one team",0.4,IF($AU78="One unit or site",0.7,0.9))))</f>
        <v/>
      </c>
      <c r="AW78" t="inlineStr">
        <is>
          <t>HR Workforce</t>
        </is>
      </c>
      <c r="AX78" t="inlineStr">
        <is>
          <t>HR Workforce</t>
        </is>
      </c>
      <c r="AY78" t="n">
        <v>11</v>
      </c>
      <c r="AZ78" t="n">
        <v>78</v>
      </c>
    </row>
    <row r="79">
      <c r="A79" t="inlineStr">
        <is>
          <t>HRWO-008</t>
        </is>
      </c>
      <c r="B79" t="inlineStr">
        <is>
          <t>Recruitment and retention</t>
        </is>
      </c>
      <c r="C79" t="inlineStr">
        <is>
          <t>How mature is the organization in managing time-to-hire tracking by critical role, geography and seniority, including ownership, evidence, metrics, fallback procedures and crisis stress testing?</t>
        </is>
      </c>
      <c r="D79" t="inlineStr">
        <is>
          <t>This topic affects exposure to Workforce disruption; Pandemic/health crisis; War/security crisis. It helps identify how disruption may impact operations, people, revenue, systems, legal exposure or recovery time.</t>
        </is>
      </c>
      <c r="E79" t="inlineStr">
        <is>
          <t>ISO 30414; ISO 30405; ISO 45001; ISO 22301; CIPD; SHRM</t>
        </is>
      </c>
      <c r="F79" t="inlineStr">
        <is>
          <t>Policy/SOP; owner/RACI; system report; dashboard; contracts; test records; incident history; interview evidence related to time-to-hire tracking by critical role, geography and seniority.</t>
        </is>
      </c>
      <c r="G79">
        <f>'Assessment Questions'!J79</f>
        <v/>
      </c>
      <c r="H79">
        <f>IF($Z79="","",IF($Z79="N/A","N/A",VALUE(LEFT($Z79,1))))</f>
        <v/>
      </c>
      <c r="I79">
        <f>IF($H79="","",IF($H79="N/A","",VALUE($H79)/5*$G79))</f>
        <v/>
      </c>
      <c r="J79">
        <f>IF(OR($H79="",$H79="N/A"),"",$G79)</f>
        <v/>
      </c>
      <c r="K79">
        <f>IF(OR($H79="",$H79="N/A"),"",$J79-$I79)</f>
        <v/>
      </c>
      <c r="L79">
        <f>IF($H79="","",IF($H79="N/A","N/A",IF(VALUE($H79)&lt;=1,"Critical",IF(VALUE($H79)&lt;=2,"High",IF(VALUE($H79)&lt;=3,"Medium",IF(VALUE($H79)&lt;=4,"Low","Resilient"))))))</f>
        <v/>
      </c>
      <c r="M79" t="inlineStr">
        <is>
          <t>Nothing is monitored or measured.</t>
        </is>
      </c>
      <c r="N79" t="inlineStr">
        <is>
          <t>Occasional manual checks by individuals.</t>
        </is>
      </c>
      <c r="O79" t="inlineStr">
        <is>
          <t>Some metrics exist but are not reviewed regularly and trigger no action.</t>
        </is>
      </c>
      <c r="P79" t="inlineStr">
        <is>
          <t>Defined metrics with an owner, reviewed on a set cadence.</t>
        </is>
      </c>
      <c r="Q79" t="inlineStr">
        <is>
          <t>Thresholds and alerts in place; deviations trigger documented action; trends analyzed.</t>
        </is>
      </c>
      <c r="R79" t="inlineStr">
        <is>
          <t>Automated monitoring with leading indicators, integrated into management decisions.</t>
        </is>
      </c>
      <c r="S79" t="inlineStr">
        <is>
          <t>Workforce disruption; Pandemic/health crisis; War/security crisis</t>
        </is>
      </c>
      <c r="T79">
        <f>'Assessment Questions'!W79</f>
        <v/>
      </c>
      <c r="U79">
        <f>'Assessment Questions'!X79</f>
        <v/>
      </c>
      <c r="V79">
        <f>'Assessment Questions'!Y79</f>
        <v/>
      </c>
      <c r="W79" t="n">
        <v>4</v>
      </c>
      <c r="X79" t="n">
        <v>5</v>
      </c>
      <c r="Y79" t="n">
        <v>5</v>
      </c>
      <c r="Z79">
        <f>'Assessment Questions'!AC79</f>
        <v/>
      </c>
      <c r="AB79">
        <f>COUNTIF($B$72:$B$97,$AA79)</f>
        <v/>
      </c>
      <c r="AC79">
        <f>IFERROR(SUMPRODUCT(($B$72:$B$97=$AA79)*($H$72:$H$97&lt;&gt;"")*($H$72:$H$97&lt;&gt;"N/A")*IFERROR(VALUE($H$72:$H$97),0))/SUMPRODUCT(($B$72:$B$97=$AA79)*($H$72:$H$97&lt;&gt;"")*($H$72:$H$97&lt;&gt;"N/A")),0)</f>
        <v/>
      </c>
      <c r="AD79">
        <f>AC79/5</f>
        <v/>
      </c>
      <c r="AE79">
        <f>COUNTIFS($B$72:$B$97,$AA79,$L$72:$L$97,"Critical")+COUNTIFS($B$72:$B$97,$AA79,$L$72:$L$97,"High")</f>
        <v/>
      </c>
      <c r="AF79">
        <f>5-AC79</f>
        <v/>
      </c>
      <c r="AG79">
        <f>SUMPRODUCT(($B$72:$B$97=$AA79)*(ISNUMBER($H$72:$H$97)+($H$72:$H$97="N/A")))</f>
        <v/>
      </c>
      <c r="AH79">
        <f>'Assessment Questions'!AK79</f>
        <v/>
      </c>
      <c r="AI79">
        <f>'Assessment Questions'!AL79</f>
        <v/>
      </c>
      <c r="AJ79">
        <f>IF(OR($H79="",$H79="N/A"),"",IF($AH79="",VLOOKUP('Company Profile'!$B$40,_CONFIG_Model_Settings!$A$5:$B$8,2,FALSE),_xlfn.IFNA(VLOOKUP($AH79,_CONFIG_Model_Settings!$A$5:$B$8,2,FALSE),0.9)))</f>
        <v/>
      </c>
      <c r="AK79">
        <f>IF(OR($H79="",$H79="N/A"),"",IF($AI79="",VLOOKUP('Company Profile'!$B$41,_CONFIG_Model_Settings!$A$5:$B$8,2,FALSE),_xlfn.IFNA(VLOOKUP($AI79,_CONFIG_Model_Settings!$A$5:$B$8,2,FALSE),0.9)))</f>
        <v/>
      </c>
      <c r="AL79">
        <f>IF(OR($H79="",$H79="N/A"),"",ROUND(VALUE($H79)*$AJ79*$AK79*$AV79,2))</f>
        <v/>
      </c>
      <c r="AM79">
        <f>IF($AL79="","",ROUND($AL79/5*100,1))</f>
        <v/>
      </c>
      <c r="AN79">
        <f>IFERROR(MIN(5,MAX(0,(SUMIFS(_REF_Model_Content!$D$1:$D$157,_REF_Model_Content!$A$1:$A$157,'Company Profile'!$B$9,_REF_Model_Content!$B$1:$B$157,"HR Workforce"))+_xlfn.IFNA(VLOOKUP('Company Profile'!$B$35,_CONFIG_Model_Settings!$A$11:$B$13,2,0),0))),"")</f>
        <v/>
      </c>
      <c r="AO79">
        <f>IF($AL79="","",MAX(0,ROUND($AN79-$AL79,2)))</f>
        <v/>
      </c>
      <c r="AP79">
        <f>IFERROR(SUMIFS(_REF_Model_Content!$E$1:$E$157,_REF_Model_Content!$A$1:$A$157,'Company Profile'!$B$9,_REF_Model_Content!$B$1:$B$157,"HR Workforce"),1)</f>
        <v/>
      </c>
      <c r="AQ79">
        <f>IF($AO79="","",ROUND($AO79*$AP79*($G79/5),2))</f>
        <v/>
      </c>
      <c r="AR79">
        <f>IF($AO79="","",IF($AO79&gt;=2,"Critical industry gap",IF($AO79&gt;=1,"High industry gap",IF($AO79&gt;=0.5,"Moderate industry gap","Within target"))))</f>
        <v/>
      </c>
      <c r="AS79">
        <f>IF(OR($H79="",$H79="N/A"),0,VALUE($H79)*(($AJ79+$AK79)/2)*$AV79)</f>
        <v/>
      </c>
      <c r="AT79">
        <f>IF(OR($H79="",$H79="N/A"),0,($AJ79+$AK79)/2)</f>
        <v/>
      </c>
      <c r="AU79">
        <f>'Assessment Questions'!AX79</f>
        <v/>
      </c>
      <c r="AV79">
        <f>IF(OR($H79="",$H79="N/A"),"",IF(OR($AU79="",$AU79="Everywhere",$AU79="Not applicable"),1,IF($AU79="Pilot / one team",0.4,IF($AU79="One unit or site",0.7,0.9))))</f>
        <v/>
      </c>
      <c r="AW79" t="inlineStr">
        <is>
          <t>HR Workforce</t>
        </is>
      </c>
      <c r="AX79" t="inlineStr">
        <is>
          <t>HR Workforce</t>
        </is>
      </c>
      <c r="AY79" t="n">
        <v>12</v>
      </c>
      <c r="AZ79" t="n">
        <v>79</v>
      </c>
    </row>
    <row r="80">
      <c r="A80" t="inlineStr">
        <is>
          <t>HRWO-009</t>
        </is>
      </c>
      <c r="B80" t="inlineStr">
        <is>
          <t>Recruitment and retention</t>
        </is>
      </c>
      <c r="C80" t="inlineStr">
        <is>
          <t>How mature is the organization in managing alternative sourcing channels for critical roles, geographies and rare skills, including ownership, evidence, metrics, fallback procedures and crisis stress testing?</t>
        </is>
      </c>
      <c r="D80" t="inlineStr">
        <is>
          <t>This topic affects exposure to Workforce disruption; Pandemic/health crisis; War/security crisis. It helps identify how disruption may impact operations, people, revenue, systems, legal exposure or recovery time.</t>
        </is>
      </c>
      <c r="E80" t="inlineStr">
        <is>
          <t>ISO 30414; ISO 30405; ISO 45001; ISO 22301; CIPD; SHRM</t>
        </is>
      </c>
      <c r="F80" t="inlineStr">
        <is>
          <t>Policy/SOP; owner/RACI; system report; dashboard; contracts; test records; incident history; interview evidence related to alternative sourcing channels for critical roles, geographies and rare skills.</t>
        </is>
      </c>
      <c r="G80">
        <f>'Assessment Questions'!J80</f>
        <v/>
      </c>
      <c r="H80">
        <f>IF($Z80="","",IF($Z80="N/A","N/A",VALUE(LEFT($Z80,1))))</f>
        <v/>
      </c>
      <c r="I80">
        <f>IF($H80="","",IF($H80="N/A","",VALUE($H80)/5*$G80))</f>
        <v/>
      </c>
      <c r="J80">
        <f>IF(OR($H80="",$H80="N/A"),"",$G80)</f>
        <v/>
      </c>
      <c r="K80">
        <f>IF(OR($H80="",$H80="N/A"),"",$J80-$I80)</f>
        <v/>
      </c>
      <c r="L80">
        <f>IF($H80="","",IF($H80="N/A","N/A",IF(VALUE($H80)&lt;=1,"Critical",IF(VALUE($H80)&lt;=2,"High",IF(VALUE($H80)&lt;=3,"Medium",IF(VALUE($H80)&lt;=4,"Low","Resilient"))))))</f>
        <v/>
      </c>
      <c r="M80" t="inlineStr">
        <is>
          <t>Does not exist; no owner, no documentation, no practice.</t>
        </is>
      </c>
      <c r="N80" t="inlineStr">
        <is>
          <t>Ad hoc; depends entirely on specific individuals.</t>
        </is>
      </c>
      <c r="O80" t="inlineStr">
        <is>
          <t>Partially documented or implemented; coverage inconsistent; never tested under stress.</t>
        </is>
      </c>
      <c r="P80" t="inlineStr">
        <is>
          <t>Documented, owned, executed consistently; basic evidence and metrics exist.</t>
        </is>
      </c>
      <c r="Q80" t="inlineStr">
        <is>
          <t>Measured and periodically tested/audited; integrated with adjacent processes.</t>
        </is>
      </c>
      <c r="R80" t="inlineStr">
        <is>
          <t>Optimized and automated where practical; stress-tested; benchmarked externally.</t>
        </is>
      </c>
      <c r="S80" t="inlineStr">
        <is>
          <t>Workforce disruption; Pandemic/health crisis; War/security crisis</t>
        </is>
      </c>
      <c r="T80">
        <f>'Assessment Questions'!W80</f>
        <v/>
      </c>
      <c r="U80">
        <f>'Assessment Questions'!X80</f>
        <v/>
      </c>
      <c r="V80">
        <f>'Assessment Questions'!Y80</f>
        <v/>
      </c>
      <c r="W80" t="n">
        <v>4</v>
      </c>
      <c r="X80" t="n">
        <v>5</v>
      </c>
      <c r="Y80" t="n">
        <v>5</v>
      </c>
      <c r="Z80">
        <f>'Assessment Questions'!AC80</f>
        <v/>
      </c>
      <c r="AB80">
        <f>COUNTIF($B$72:$B$97,$AA80)</f>
        <v/>
      </c>
      <c r="AC80">
        <f>IFERROR(SUMPRODUCT(($B$72:$B$97=$AA80)*($H$72:$H$97&lt;&gt;"")*($H$72:$H$97&lt;&gt;"N/A")*IFERROR(VALUE($H$72:$H$97),0))/SUMPRODUCT(($B$72:$B$97=$AA80)*($H$72:$H$97&lt;&gt;"")*($H$72:$H$97&lt;&gt;"N/A")),0)</f>
        <v/>
      </c>
      <c r="AD80">
        <f>AC80/5</f>
        <v/>
      </c>
      <c r="AE80">
        <f>COUNTIFS($B$72:$B$97,$AA80,$L$72:$L$97,"Critical")+COUNTIFS($B$72:$B$97,$AA80,$L$72:$L$97,"High")</f>
        <v/>
      </c>
      <c r="AF80">
        <f>5-AC80</f>
        <v/>
      </c>
      <c r="AG80">
        <f>SUMPRODUCT(($B$72:$B$97=$AA80)*(ISNUMBER($H$72:$H$97)+($H$72:$H$97="N/A")))</f>
        <v/>
      </c>
      <c r="AH80">
        <f>'Assessment Questions'!AK80</f>
        <v/>
      </c>
      <c r="AI80">
        <f>'Assessment Questions'!AL80</f>
        <v/>
      </c>
      <c r="AJ80">
        <f>IF(OR($H80="",$H80="N/A"),"",IF($AH80="",VLOOKUP('Company Profile'!$B$40,_CONFIG_Model_Settings!$A$5:$B$8,2,FALSE),_xlfn.IFNA(VLOOKUP($AH80,_CONFIG_Model_Settings!$A$5:$B$8,2,FALSE),0.9)))</f>
        <v/>
      </c>
      <c r="AK80">
        <f>IF(OR($H80="",$H80="N/A"),"",IF($AI80="",VLOOKUP('Company Profile'!$B$41,_CONFIG_Model_Settings!$A$5:$B$8,2,FALSE),_xlfn.IFNA(VLOOKUP($AI80,_CONFIG_Model_Settings!$A$5:$B$8,2,FALSE),0.9)))</f>
        <v/>
      </c>
      <c r="AL80">
        <f>IF(OR($H80="",$H80="N/A"),"",ROUND(VALUE($H80)*$AJ80*$AK80*$AV80,2))</f>
        <v/>
      </c>
      <c r="AM80">
        <f>IF($AL80="","",ROUND($AL80/5*100,1))</f>
        <v/>
      </c>
      <c r="AN80">
        <f>IFERROR(MIN(5,MAX(0,(SUMIFS(_REF_Model_Content!$D$1:$D$157,_REF_Model_Content!$A$1:$A$157,'Company Profile'!$B$9,_REF_Model_Content!$B$1:$B$157,"HR Workforce"))+_xlfn.IFNA(VLOOKUP('Company Profile'!$B$35,_CONFIG_Model_Settings!$A$11:$B$13,2,0),0))),"")</f>
        <v/>
      </c>
      <c r="AO80">
        <f>IF($AL80="","",MAX(0,ROUND($AN80-$AL80,2)))</f>
        <v/>
      </c>
      <c r="AP80">
        <f>IFERROR(SUMIFS(_REF_Model_Content!$E$1:$E$157,_REF_Model_Content!$A$1:$A$157,'Company Profile'!$B$9,_REF_Model_Content!$B$1:$B$157,"HR Workforce"),1)</f>
        <v/>
      </c>
      <c r="AQ80">
        <f>IF($AO80="","",ROUND($AO80*$AP80*($G80/5),2))</f>
        <v/>
      </c>
      <c r="AR80">
        <f>IF($AO80="","",IF($AO80&gt;=2,"Critical industry gap",IF($AO80&gt;=1,"High industry gap",IF($AO80&gt;=0.5,"Moderate industry gap","Within target"))))</f>
        <v/>
      </c>
      <c r="AS80">
        <f>IF(OR($H80="",$H80="N/A"),0,VALUE($H80)*(($AJ80+$AK80)/2)*$AV80)</f>
        <v/>
      </c>
      <c r="AT80">
        <f>IF(OR($H80="",$H80="N/A"),0,($AJ80+$AK80)/2)</f>
        <v/>
      </c>
      <c r="AU80">
        <f>'Assessment Questions'!AX80</f>
        <v/>
      </c>
      <c r="AV80">
        <f>IF(OR($H80="",$H80="N/A"),"",IF(OR($AU80="",$AU80="Everywhere",$AU80="Not applicable"),1,IF($AU80="Pilot / one team",0.4,IF($AU80="One unit or site",0.7,0.9))))</f>
        <v/>
      </c>
      <c r="AW80" t="inlineStr">
        <is>
          <t>HR Workforce</t>
        </is>
      </c>
      <c r="AX80" t="inlineStr">
        <is>
          <t>HR Workforce</t>
        </is>
      </c>
      <c r="AY80" t="n">
        <v>13</v>
      </c>
      <c r="AZ80" t="n">
        <v>80</v>
      </c>
    </row>
    <row r="81">
      <c r="A81" t="inlineStr">
        <is>
          <t>HRWO-010</t>
        </is>
      </c>
      <c r="B81" t="inlineStr">
        <is>
          <t>Recruitment and retention</t>
        </is>
      </c>
      <c r="C81" t="inlineStr">
        <is>
          <t>How mature is the organization in managing retention risk monitoring for critical people, high performers and scarce-skill roles, including ownership, evidence, metrics, fallback procedures and crisis stress testing?</t>
        </is>
      </c>
      <c r="D81" t="inlineStr">
        <is>
          <t>This topic affects exposure to Workforce disruption; Pandemic/health crisis; War/security crisis. It helps identify how disruption may impact operations, people, revenue, systems, legal exposure or recovery time.</t>
        </is>
      </c>
      <c r="E81" t="inlineStr">
        <is>
          <t>ISO 30414; ISO 30405; ISO 45001; ISO 22301; CIPD; SHRM</t>
        </is>
      </c>
      <c r="F81" t="inlineStr">
        <is>
          <t>Policy/SOP; owner/RACI; system report; dashboard; contracts; test records; incident history; interview evidence related to retention risk monitoring for critical people, high performers and scarce-skill roles.</t>
        </is>
      </c>
      <c r="G81">
        <f>'Assessment Questions'!J81</f>
        <v/>
      </c>
      <c r="H81">
        <f>IF($Z81="","",IF($Z81="N/A","N/A",VALUE(LEFT($Z81,1))))</f>
        <v/>
      </c>
      <c r="I81">
        <f>IF($H81="","",IF($H81="N/A","",VALUE($H81)/5*$G81))</f>
        <v/>
      </c>
      <c r="J81">
        <f>IF(OR($H81="",$H81="N/A"),"",$G81)</f>
        <v/>
      </c>
      <c r="K81">
        <f>IF(OR($H81="",$H81="N/A"),"",$J81-$I81)</f>
        <v/>
      </c>
      <c r="L81">
        <f>IF($H81="","",IF($H81="N/A","N/A",IF(VALUE($H81)&lt;=1,"Critical",IF(VALUE($H81)&lt;=2,"High",IF(VALUE($H81)&lt;=3,"Medium",IF(VALUE($H81)&lt;=4,"Low","Resilient"))))))</f>
        <v/>
      </c>
      <c r="M81" t="inlineStr">
        <is>
          <t>Nothing is monitored or measured.</t>
        </is>
      </c>
      <c r="N81" t="inlineStr">
        <is>
          <t>Occasional manual checks by individuals.</t>
        </is>
      </c>
      <c r="O81" t="inlineStr">
        <is>
          <t>Some metrics exist but are not reviewed regularly and trigger no action.</t>
        </is>
      </c>
      <c r="P81" t="inlineStr">
        <is>
          <t>Defined metrics with an owner, reviewed on a set cadence.</t>
        </is>
      </c>
      <c r="Q81" t="inlineStr">
        <is>
          <t>Thresholds and alerts in place; deviations trigger documented action; trends analyzed.</t>
        </is>
      </c>
      <c r="R81" t="inlineStr">
        <is>
          <t>Automated monitoring with leading indicators, integrated into management decisions.</t>
        </is>
      </c>
      <c r="S81" t="inlineStr">
        <is>
          <t>Workforce disruption; Pandemic/health crisis; War/security crisis</t>
        </is>
      </c>
      <c r="T81">
        <f>'Assessment Questions'!W81</f>
        <v/>
      </c>
      <c r="U81">
        <f>'Assessment Questions'!X81</f>
        <v/>
      </c>
      <c r="V81">
        <f>'Assessment Questions'!Y81</f>
        <v/>
      </c>
      <c r="W81" t="n">
        <v>4</v>
      </c>
      <c r="X81" t="n">
        <v>5</v>
      </c>
      <c r="Y81" t="n">
        <v>5</v>
      </c>
      <c r="Z81">
        <f>'Assessment Questions'!AC81</f>
        <v/>
      </c>
      <c r="AB81">
        <f>COUNTIF($B$72:$B$97,$AA81)</f>
        <v/>
      </c>
      <c r="AC81">
        <f>IFERROR(SUMPRODUCT(($B$72:$B$97=$AA81)*($H$72:$H$97&lt;&gt;"")*($H$72:$H$97&lt;&gt;"N/A")*IFERROR(VALUE($H$72:$H$97),0))/SUMPRODUCT(($B$72:$B$97=$AA81)*($H$72:$H$97&lt;&gt;"")*($H$72:$H$97&lt;&gt;"N/A")),0)</f>
        <v/>
      </c>
      <c r="AD81">
        <f>AC81/5</f>
        <v/>
      </c>
      <c r="AE81">
        <f>COUNTIFS($B$72:$B$97,$AA81,$L$72:$L$97,"Critical")+COUNTIFS($B$72:$B$97,$AA81,$L$72:$L$97,"High")</f>
        <v/>
      </c>
      <c r="AF81">
        <f>5-AC81</f>
        <v/>
      </c>
      <c r="AG81">
        <f>SUMPRODUCT(($B$72:$B$97=$AA81)*(ISNUMBER($H$72:$H$97)+($H$72:$H$97="N/A")))</f>
        <v/>
      </c>
      <c r="AH81">
        <f>'Assessment Questions'!AK81</f>
        <v/>
      </c>
      <c r="AI81">
        <f>'Assessment Questions'!AL81</f>
        <v/>
      </c>
      <c r="AJ81">
        <f>IF(OR($H81="",$H81="N/A"),"",IF($AH81="",VLOOKUP('Company Profile'!$B$40,_CONFIG_Model_Settings!$A$5:$B$8,2,FALSE),_xlfn.IFNA(VLOOKUP($AH81,_CONFIG_Model_Settings!$A$5:$B$8,2,FALSE),0.9)))</f>
        <v/>
      </c>
      <c r="AK81">
        <f>IF(OR($H81="",$H81="N/A"),"",IF($AI81="",VLOOKUP('Company Profile'!$B$41,_CONFIG_Model_Settings!$A$5:$B$8,2,FALSE),_xlfn.IFNA(VLOOKUP($AI81,_CONFIG_Model_Settings!$A$5:$B$8,2,FALSE),0.9)))</f>
        <v/>
      </c>
      <c r="AL81">
        <f>IF(OR($H81="",$H81="N/A"),"",ROUND(VALUE($H81)*$AJ81*$AK81*$AV81,2))</f>
        <v/>
      </c>
      <c r="AM81">
        <f>IF($AL81="","",ROUND($AL81/5*100,1))</f>
        <v/>
      </c>
      <c r="AN81">
        <f>IFERROR(MIN(5,MAX(0,(SUMIFS(_REF_Model_Content!$D$1:$D$157,_REF_Model_Content!$A$1:$A$157,'Company Profile'!$B$9,_REF_Model_Content!$B$1:$B$157,"HR Workforce"))+_xlfn.IFNA(VLOOKUP('Company Profile'!$B$35,_CONFIG_Model_Settings!$A$11:$B$13,2,0),0))),"")</f>
        <v/>
      </c>
      <c r="AO81">
        <f>IF($AL81="","",MAX(0,ROUND($AN81-$AL81,2)))</f>
        <v/>
      </c>
      <c r="AP81">
        <f>IFERROR(SUMIFS(_REF_Model_Content!$E$1:$E$157,_REF_Model_Content!$A$1:$A$157,'Company Profile'!$B$9,_REF_Model_Content!$B$1:$B$157,"HR Workforce"),1)</f>
        <v/>
      </c>
      <c r="AQ81">
        <f>IF($AO81="","",ROUND($AO81*$AP81*($G81/5),2))</f>
        <v/>
      </c>
      <c r="AR81">
        <f>IF($AO81="","",IF($AO81&gt;=2,"Critical industry gap",IF($AO81&gt;=1,"High industry gap",IF($AO81&gt;=0.5,"Moderate industry gap","Within target"))))</f>
        <v/>
      </c>
      <c r="AS81">
        <f>IF(OR($H81="",$H81="N/A"),0,VALUE($H81)*(($AJ81+$AK81)/2)*$AV81)</f>
        <v/>
      </c>
      <c r="AT81">
        <f>IF(OR($H81="",$H81="N/A"),0,($AJ81+$AK81)/2)</f>
        <v/>
      </c>
      <c r="AU81">
        <f>'Assessment Questions'!AX81</f>
        <v/>
      </c>
      <c r="AV81">
        <f>IF(OR($H81="",$H81="N/A"),"",IF(OR($AU81="",$AU81="Everywhere",$AU81="Not applicable"),1,IF($AU81="Pilot / one team",0.4,IF($AU81="One unit or site",0.7,0.9))))</f>
        <v/>
      </c>
      <c r="AW81" t="inlineStr">
        <is>
          <t>HR Workforce</t>
        </is>
      </c>
      <c r="AX81" t="inlineStr">
        <is>
          <t>HR Workforce</t>
        </is>
      </c>
      <c r="AY81" t="n">
        <v>14</v>
      </c>
      <c r="AZ81" t="n">
        <v>81</v>
      </c>
    </row>
    <row r="82">
      <c r="A82" t="inlineStr">
        <is>
          <t>HRWO-011</t>
        </is>
      </c>
      <c r="B82" t="inlineStr">
        <is>
          <t>Recruitment and retention</t>
        </is>
      </c>
      <c r="C82" t="inlineStr">
        <is>
          <t>How mature is the organization in managing compensation and payroll continuity during banking, legal or system disruption, including ownership, evidence, metrics, fallback procedures and crisis stress testing?</t>
        </is>
      </c>
      <c r="D82" t="inlineStr">
        <is>
          <t>This topic affects exposure to Workforce disruption; Pandemic/health crisis; War/security crisis. It helps identify how disruption may impact operations, people, revenue, systems, legal exposure or recovery time.</t>
        </is>
      </c>
      <c r="E82" t="inlineStr">
        <is>
          <t>ISO 30414; ISO 30405; ISO 45001; ISO 22301; CIPD; SHRM</t>
        </is>
      </c>
      <c r="F82" t="inlineStr">
        <is>
          <t>Policy/SOP; owner/RACI; system report; dashboard; contracts; test records; incident history; interview evidence related to compensation and payroll continuity during banking, legal or system disruption.</t>
        </is>
      </c>
      <c r="G82">
        <f>'Assessment Questions'!J82</f>
        <v/>
      </c>
      <c r="H82">
        <f>IF($Z82="","",IF($Z82="N/A","N/A",VALUE(LEFT($Z82,1))))</f>
        <v/>
      </c>
      <c r="I82">
        <f>IF($H82="","",IF($H82="N/A","",VALUE($H82)/5*$G82))</f>
        <v/>
      </c>
      <c r="J82">
        <f>IF(OR($H82="",$H82="N/A"),"",$G82)</f>
        <v/>
      </c>
      <c r="K82">
        <f>IF(OR($H82="",$H82="N/A"),"",$J82-$I82)</f>
        <v/>
      </c>
      <c r="L82">
        <f>IF($H82="","",IF($H82="N/A","N/A",IF(VALUE($H82)&lt;=1,"Critical",IF(VALUE($H82)&lt;=2,"High",IF(VALUE($H82)&lt;=3,"Medium",IF(VALUE($H82)&lt;=4,"Low","Resilient"))))))</f>
        <v/>
      </c>
      <c r="M82" t="inlineStr">
        <is>
          <t>Does not exist; no owner, no documentation, no practice.</t>
        </is>
      </c>
      <c r="N82" t="inlineStr">
        <is>
          <t>Ad hoc; depends entirely on specific individuals.</t>
        </is>
      </c>
      <c r="O82" t="inlineStr">
        <is>
          <t>Partially documented or implemented; coverage inconsistent; never tested under stress.</t>
        </is>
      </c>
      <c r="P82" t="inlineStr">
        <is>
          <t>Documented, owned, executed consistently; basic evidence and metrics exist.</t>
        </is>
      </c>
      <c r="Q82" t="inlineStr">
        <is>
          <t>Measured and periodically tested/audited; integrated with adjacent processes.</t>
        </is>
      </c>
      <c r="R82" t="inlineStr">
        <is>
          <t>Optimized and automated where practical; stress-tested; benchmarked externally.</t>
        </is>
      </c>
      <c r="S82" t="inlineStr">
        <is>
          <t>Workforce disruption; Pandemic/health crisis; War/security crisis</t>
        </is>
      </c>
      <c r="T82">
        <f>'Assessment Questions'!W82</f>
        <v/>
      </c>
      <c r="U82">
        <f>'Assessment Questions'!X82</f>
        <v/>
      </c>
      <c r="V82">
        <f>'Assessment Questions'!Y82</f>
        <v/>
      </c>
      <c r="W82" t="n">
        <v>4</v>
      </c>
      <c r="X82" t="n">
        <v>5</v>
      </c>
      <c r="Y82" t="n">
        <v>5</v>
      </c>
      <c r="Z82">
        <f>'Assessment Questions'!AC82</f>
        <v/>
      </c>
      <c r="AB82">
        <f>COUNTIF($B$72:$B$97,$AA82)</f>
        <v/>
      </c>
      <c r="AC82">
        <f>IFERROR(SUMPRODUCT(($B$72:$B$97=$AA82)*($H$72:$H$97&lt;&gt;"")*($H$72:$H$97&lt;&gt;"N/A")*IFERROR(VALUE($H$72:$H$97),0))/SUMPRODUCT(($B$72:$B$97=$AA82)*($H$72:$H$97&lt;&gt;"")*($H$72:$H$97&lt;&gt;"N/A")),0)</f>
        <v/>
      </c>
      <c r="AD82">
        <f>AC82/5</f>
        <v/>
      </c>
      <c r="AE82">
        <f>COUNTIFS($B$72:$B$97,$AA82,$L$72:$L$97,"Critical")+COUNTIFS($B$72:$B$97,$AA82,$L$72:$L$97,"High")</f>
        <v/>
      </c>
      <c r="AF82">
        <f>5-AC82</f>
        <v/>
      </c>
      <c r="AG82">
        <f>SUMPRODUCT(($B$72:$B$97=$AA82)*(ISNUMBER($H$72:$H$97)+($H$72:$H$97="N/A")))</f>
        <v/>
      </c>
      <c r="AH82">
        <f>'Assessment Questions'!AK82</f>
        <v/>
      </c>
      <c r="AI82">
        <f>'Assessment Questions'!AL82</f>
        <v/>
      </c>
      <c r="AJ82">
        <f>IF(OR($H82="",$H82="N/A"),"",IF($AH82="",VLOOKUP('Company Profile'!$B$40,_CONFIG_Model_Settings!$A$5:$B$8,2,FALSE),_xlfn.IFNA(VLOOKUP($AH82,_CONFIG_Model_Settings!$A$5:$B$8,2,FALSE),0.9)))</f>
        <v/>
      </c>
      <c r="AK82">
        <f>IF(OR($H82="",$H82="N/A"),"",IF($AI82="",VLOOKUP('Company Profile'!$B$41,_CONFIG_Model_Settings!$A$5:$B$8,2,FALSE),_xlfn.IFNA(VLOOKUP($AI82,_CONFIG_Model_Settings!$A$5:$B$8,2,FALSE),0.9)))</f>
        <v/>
      </c>
      <c r="AL82">
        <f>IF(OR($H82="",$H82="N/A"),"",ROUND(VALUE($H82)*$AJ82*$AK82*$AV82,2))</f>
        <v/>
      </c>
      <c r="AM82">
        <f>IF($AL82="","",ROUND($AL82/5*100,1))</f>
        <v/>
      </c>
      <c r="AN82">
        <f>IFERROR(MIN(5,MAX(0,(SUMIFS(_REF_Model_Content!$D$1:$D$157,_REF_Model_Content!$A$1:$A$157,'Company Profile'!$B$9,_REF_Model_Content!$B$1:$B$157,"HR Workforce"))+_xlfn.IFNA(VLOOKUP('Company Profile'!$B$35,_CONFIG_Model_Settings!$A$11:$B$13,2,0),0))),"")</f>
        <v/>
      </c>
      <c r="AO82">
        <f>IF($AL82="","",MAX(0,ROUND($AN82-$AL82,2)))</f>
        <v/>
      </c>
      <c r="AP82">
        <f>IFERROR(SUMIFS(_REF_Model_Content!$E$1:$E$157,_REF_Model_Content!$A$1:$A$157,'Company Profile'!$B$9,_REF_Model_Content!$B$1:$B$157,"HR Workforce"),1)</f>
        <v/>
      </c>
      <c r="AQ82">
        <f>IF($AO82="","",ROUND($AO82*$AP82*($G82/5),2))</f>
        <v/>
      </c>
      <c r="AR82">
        <f>IF($AO82="","",IF($AO82&gt;=2,"Critical industry gap",IF($AO82&gt;=1,"High industry gap",IF($AO82&gt;=0.5,"Moderate industry gap","Within target"))))</f>
        <v/>
      </c>
      <c r="AS82">
        <f>IF(OR($H82="",$H82="N/A"),0,VALUE($H82)*(($AJ82+$AK82)/2)*$AV82)</f>
        <v/>
      </c>
      <c r="AT82">
        <f>IF(OR($H82="",$H82="N/A"),0,($AJ82+$AK82)/2)</f>
        <v/>
      </c>
      <c r="AU82">
        <f>'Assessment Questions'!AX82</f>
        <v/>
      </c>
      <c r="AV82">
        <f>IF(OR($H82="",$H82="N/A"),"",IF(OR($AU82="",$AU82="Everywhere",$AU82="Not applicable"),1,IF($AU82="Pilot / one team",0.4,IF($AU82="One unit or site",0.7,0.9))))</f>
        <v/>
      </c>
      <c r="AW82" t="inlineStr">
        <is>
          <t>HR Workforce</t>
        </is>
      </c>
      <c r="AX82" t="inlineStr">
        <is>
          <t>HR Workforce</t>
        </is>
      </c>
      <c r="AY82" t="n">
        <v>15</v>
      </c>
      <c r="AZ82" t="n">
        <v>82</v>
      </c>
    </row>
    <row r="83">
      <c r="A83" t="inlineStr">
        <is>
          <t>HRWO-012</t>
        </is>
      </c>
      <c r="B83" t="inlineStr">
        <is>
          <t>Recruitment and retention</t>
        </is>
      </c>
      <c r="C83" t="inlineStr">
        <is>
          <t>How mature is the organization in managing succession planning and deputies for all critical leadership and operational roles, including ownership, evidence, metrics, fallback procedures and crisis stress testing?</t>
        </is>
      </c>
      <c r="D83" t="inlineStr">
        <is>
          <t>This topic affects exposure to Workforce disruption; Pandemic/health crisis; War/security crisis. It helps identify how disruption may impact operations, people, revenue, systems, legal exposure or recovery time.</t>
        </is>
      </c>
      <c r="E83" t="inlineStr">
        <is>
          <t>ISO 30414; ISO 30405; ISO 45001; ISO 22301; CIPD; SHRM</t>
        </is>
      </c>
      <c r="F83" t="inlineStr">
        <is>
          <t>Policy/SOP; owner/RACI; system report; dashboard; contracts; test records; incident history; interview evidence related to succession planning and deputies for all critical leadership and operational roles.</t>
        </is>
      </c>
      <c r="G83">
        <f>'Assessment Questions'!J83</f>
        <v/>
      </c>
      <c r="H83">
        <f>IF($Z83="","",IF($Z83="N/A","N/A",VALUE(LEFT($Z83,1))))</f>
        <v/>
      </c>
      <c r="I83">
        <f>IF($H83="","",IF($H83="N/A","",VALUE($H83)/5*$G83))</f>
        <v/>
      </c>
      <c r="J83">
        <f>IF(OR($H83="",$H83="N/A"),"",$G83)</f>
        <v/>
      </c>
      <c r="K83">
        <f>IF(OR($H83="",$H83="N/A"),"",$J83-$I83)</f>
        <v/>
      </c>
      <c r="L83">
        <f>IF($H83="","",IF($H83="N/A","N/A",IF(VALUE($H83)&lt;=1,"Critical",IF(VALUE($H83)&lt;=2,"High",IF(VALUE($H83)&lt;=3,"Medium",IF(VALUE($H83)&lt;=4,"Low","Resilient"))))))</f>
        <v/>
      </c>
      <c r="M83" t="inlineStr">
        <is>
          <t>No plan or procedure exists.</t>
        </is>
      </c>
      <c r="N83" t="inlineStr">
        <is>
          <t>Knowledge lives with individuals; nothing usable is written down.</t>
        </is>
      </c>
      <c r="O83" t="inlineStr">
        <is>
          <t>Drafted but outdated, not approved, or unknown to the people who must use it.</t>
        </is>
      </c>
      <c r="P83" t="inlineStr">
        <is>
          <t>Approved and current; owners assigned; affected staff know it exists and where to find it.</t>
        </is>
      </c>
      <c r="Q83" t="inlineStr">
        <is>
          <t>Tested against realistic scenarios; updated after each test or real incident.</t>
        </is>
      </c>
      <c r="R83" t="inlineStr">
        <is>
          <t>Exercised regularly including external parties; readiness measured; continuously improved.</t>
        </is>
      </c>
      <c r="S83" t="inlineStr">
        <is>
          <t>Workforce disruption; Pandemic/health crisis; War/security crisis</t>
        </is>
      </c>
      <c r="T83">
        <f>'Assessment Questions'!W83</f>
        <v/>
      </c>
      <c r="U83">
        <f>'Assessment Questions'!X83</f>
        <v/>
      </c>
      <c r="V83">
        <f>'Assessment Questions'!Y83</f>
        <v/>
      </c>
      <c r="W83" t="n">
        <v>4</v>
      </c>
      <c r="X83" t="n">
        <v>5</v>
      </c>
      <c r="Y83" t="n">
        <v>5</v>
      </c>
      <c r="Z83">
        <f>'Assessment Questions'!AC83</f>
        <v/>
      </c>
      <c r="AB83">
        <f>COUNTIF($B$72:$B$97,$AA83)</f>
        <v/>
      </c>
      <c r="AC83">
        <f>IFERROR(SUMPRODUCT(($B$72:$B$97=$AA83)*($H$72:$H$97&lt;&gt;"")*($H$72:$H$97&lt;&gt;"N/A")*IFERROR(VALUE($H$72:$H$97),0))/SUMPRODUCT(($B$72:$B$97=$AA83)*($H$72:$H$97&lt;&gt;"")*($H$72:$H$97&lt;&gt;"N/A")),0)</f>
        <v/>
      </c>
      <c r="AD83">
        <f>AC83/5</f>
        <v/>
      </c>
      <c r="AE83">
        <f>COUNTIFS($B$72:$B$97,$AA83,$L$72:$L$97,"Critical")+COUNTIFS($B$72:$B$97,$AA83,$L$72:$L$97,"High")</f>
        <v/>
      </c>
      <c r="AF83">
        <f>5-AC83</f>
        <v/>
      </c>
      <c r="AG83">
        <f>SUMPRODUCT(($B$72:$B$97=$AA83)*(ISNUMBER($H$72:$H$97)+($H$72:$H$97="N/A")))</f>
        <v/>
      </c>
      <c r="AH83">
        <f>'Assessment Questions'!AK83</f>
        <v/>
      </c>
      <c r="AI83">
        <f>'Assessment Questions'!AL83</f>
        <v/>
      </c>
      <c r="AJ83">
        <f>IF(OR($H83="",$H83="N/A"),"",IF($AH83="",VLOOKUP('Company Profile'!$B$40,_CONFIG_Model_Settings!$A$5:$B$8,2,FALSE),_xlfn.IFNA(VLOOKUP($AH83,_CONFIG_Model_Settings!$A$5:$B$8,2,FALSE),0.9)))</f>
        <v/>
      </c>
      <c r="AK83">
        <f>IF(OR($H83="",$H83="N/A"),"",IF($AI83="",VLOOKUP('Company Profile'!$B$41,_CONFIG_Model_Settings!$A$5:$B$8,2,FALSE),_xlfn.IFNA(VLOOKUP($AI83,_CONFIG_Model_Settings!$A$5:$B$8,2,FALSE),0.9)))</f>
        <v/>
      </c>
      <c r="AL83">
        <f>IF(OR($H83="",$H83="N/A"),"",ROUND(VALUE($H83)*$AJ83*$AK83*$AV83,2))</f>
        <v/>
      </c>
      <c r="AM83">
        <f>IF($AL83="","",ROUND($AL83/5*100,1))</f>
        <v/>
      </c>
      <c r="AN83">
        <f>IFERROR(MIN(5,MAX(0,(SUMIFS(_REF_Model_Content!$D$1:$D$157,_REF_Model_Content!$A$1:$A$157,'Company Profile'!$B$9,_REF_Model_Content!$B$1:$B$157,"HR Workforce"))+_xlfn.IFNA(VLOOKUP('Company Profile'!$B$35,_CONFIG_Model_Settings!$A$11:$B$13,2,0),0))),"")</f>
        <v/>
      </c>
      <c r="AO83">
        <f>IF($AL83="","",MAX(0,ROUND($AN83-$AL83,2)))</f>
        <v/>
      </c>
      <c r="AP83">
        <f>IFERROR(SUMIFS(_REF_Model_Content!$E$1:$E$157,_REF_Model_Content!$A$1:$A$157,'Company Profile'!$B$9,_REF_Model_Content!$B$1:$B$157,"HR Workforce"),1)</f>
        <v/>
      </c>
      <c r="AQ83">
        <f>IF($AO83="","",ROUND($AO83*$AP83*($G83/5),2))</f>
        <v/>
      </c>
      <c r="AR83">
        <f>IF($AO83="","",IF($AO83&gt;=2,"Critical industry gap",IF($AO83&gt;=1,"High industry gap",IF($AO83&gt;=0.5,"Moderate industry gap","Within target"))))</f>
        <v/>
      </c>
      <c r="AS83">
        <f>IF(OR($H83="",$H83="N/A"),0,VALUE($H83)*(($AJ83+$AK83)/2)*$AV83)</f>
        <v/>
      </c>
      <c r="AT83">
        <f>IF(OR($H83="",$H83="N/A"),0,($AJ83+$AK83)/2)</f>
        <v/>
      </c>
      <c r="AU83">
        <f>'Assessment Questions'!AX83</f>
        <v/>
      </c>
      <c r="AV83">
        <f>IF(OR($H83="",$H83="N/A"),"",IF(OR($AU83="",$AU83="Everywhere",$AU83="Not applicable"),1,IF($AU83="Pilot / one team",0.4,IF($AU83="One unit or site",0.7,0.9))))</f>
        <v/>
      </c>
      <c r="AW83" t="inlineStr">
        <is>
          <t>HR Workforce</t>
        </is>
      </c>
      <c r="AX83" t="inlineStr">
        <is>
          <t>HR Workforce</t>
        </is>
      </c>
      <c r="AY83" t="n">
        <v>16</v>
      </c>
      <c r="AZ83" t="n">
        <v>83</v>
      </c>
    </row>
    <row r="84">
      <c r="A84" t="inlineStr">
        <is>
          <t>HRWO-013</t>
        </is>
      </c>
      <c r="B84" t="inlineStr">
        <is>
          <t>Continuity and wellbeing</t>
        </is>
      </c>
      <c r="C84" t="inlineStr">
        <is>
          <t>How mature is the organization in managing remote onboarding with secure access, equipment, training and manager support, including ownership, evidence, metrics, fallback procedures and crisis stress testing?</t>
        </is>
      </c>
      <c r="D84" t="inlineStr">
        <is>
          <t>This topic affects exposure to Workforce disruption; Pandemic/health crisis; War/security crisis. It helps identify how disruption may impact operations, people, revenue, systems, legal exposure or recovery time.</t>
        </is>
      </c>
      <c r="E84" t="inlineStr">
        <is>
          <t>ISO 30414; ISO 30405; ISO 45001; ISO 22301; CIPD; SHRM</t>
        </is>
      </c>
      <c r="F84" t="inlineStr">
        <is>
          <t>Policy/SOP; owner/RACI; system report; dashboard; contracts; test records; incident history; interview evidence related to remote onboarding with secure access, equipment, training and manager support.</t>
        </is>
      </c>
      <c r="G84">
        <f>'Assessment Questions'!J84</f>
        <v/>
      </c>
      <c r="H84">
        <f>IF($Z84="","",IF($Z84="N/A","N/A",VALUE(LEFT($Z84,1))))</f>
        <v/>
      </c>
      <c r="I84">
        <f>IF($H84="","",IF($H84="N/A","",VALUE($H84)/5*$G84))</f>
        <v/>
      </c>
      <c r="J84">
        <f>IF(OR($H84="",$H84="N/A"),"",$G84)</f>
        <v/>
      </c>
      <c r="K84">
        <f>IF(OR($H84="",$H84="N/A"),"",$J84-$I84)</f>
        <v/>
      </c>
      <c r="L84">
        <f>IF($H84="","",IF($H84="N/A","N/A",IF(VALUE($H84)&lt;=1,"Critical",IF(VALUE($H84)&lt;=2,"High",IF(VALUE($H84)&lt;=3,"Medium",IF(VALUE($H84)&lt;=4,"Low","Resilient"))))))</f>
        <v/>
      </c>
      <c r="M84" t="inlineStr">
        <is>
          <t>Never done; no records exist.</t>
        </is>
      </c>
      <c r="N84" t="inlineStr">
        <is>
          <t>Done once long ago or only after an incident; no schedule, no records.</t>
        </is>
      </c>
      <c r="O84" t="inlineStr">
        <is>
          <t>Done irregularly; results are not documented and findings are not tracked.</t>
        </is>
      </c>
      <c r="P84" t="inlineStr">
        <is>
          <t>Done on a defined schedule (at least annually); results documented, owner assigned.</t>
        </is>
      </c>
      <c r="Q84" t="inlineStr">
        <is>
          <t>Done quarterly/semi-annually; findings tracked to closure, effectiveness measured against targets.</t>
        </is>
      </c>
      <c r="R84" t="inlineStr">
        <is>
          <t>Continuous or automated where possible; results drive improvements and are validated externally (audit/customer).</t>
        </is>
      </c>
      <c r="S84" t="inlineStr">
        <is>
          <t>Workforce disruption; Pandemic/health crisis; War/security crisis</t>
        </is>
      </c>
      <c r="T84">
        <f>'Assessment Questions'!W84</f>
        <v/>
      </c>
      <c r="U84">
        <f>'Assessment Questions'!X84</f>
        <v/>
      </c>
      <c r="V84">
        <f>'Assessment Questions'!Y84</f>
        <v/>
      </c>
      <c r="W84" t="n">
        <v>4</v>
      </c>
      <c r="X84" t="n">
        <v>5</v>
      </c>
      <c r="Y84" t="n">
        <v>5</v>
      </c>
      <c r="Z84">
        <f>'Assessment Questions'!AC84</f>
        <v/>
      </c>
      <c r="AB84">
        <f>COUNTIF($B$72:$B$97,$AA84)</f>
        <v/>
      </c>
      <c r="AC84">
        <f>IFERROR(SUMPRODUCT(($B$72:$B$97=$AA84)*($H$72:$H$97&lt;&gt;"")*($H$72:$H$97&lt;&gt;"N/A")*IFERROR(VALUE($H$72:$H$97),0))/SUMPRODUCT(($B$72:$B$97=$AA84)*($H$72:$H$97&lt;&gt;"")*($H$72:$H$97&lt;&gt;"N/A")),0)</f>
        <v/>
      </c>
      <c r="AD84">
        <f>AC84/5</f>
        <v/>
      </c>
      <c r="AE84">
        <f>COUNTIFS($B$72:$B$97,$AA84,$L$72:$L$97,"Critical")+COUNTIFS($B$72:$B$97,$AA84,$L$72:$L$97,"High")</f>
        <v/>
      </c>
      <c r="AF84">
        <f>5-AC84</f>
        <v/>
      </c>
      <c r="AG84">
        <f>SUMPRODUCT(($B$72:$B$97=$AA84)*(ISNUMBER($H$72:$H$97)+($H$72:$H$97="N/A")))</f>
        <v/>
      </c>
      <c r="AH84">
        <f>'Assessment Questions'!AK84</f>
        <v/>
      </c>
      <c r="AI84">
        <f>'Assessment Questions'!AL84</f>
        <v/>
      </c>
      <c r="AJ84">
        <f>IF(OR($H84="",$H84="N/A"),"",IF($AH84="",VLOOKUP('Company Profile'!$B$40,_CONFIG_Model_Settings!$A$5:$B$8,2,FALSE),_xlfn.IFNA(VLOOKUP($AH84,_CONFIG_Model_Settings!$A$5:$B$8,2,FALSE),0.9)))</f>
        <v/>
      </c>
      <c r="AK84">
        <f>IF(OR($H84="",$H84="N/A"),"",IF($AI84="",VLOOKUP('Company Profile'!$B$41,_CONFIG_Model_Settings!$A$5:$B$8,2,FALSE),_xlfn.IFNA(VLOOKUP($AI84,_CONFIG_Model_Settings!$A$5:$B$8,2,FALSE),0.9)))</f>
        <v/>
      </c>
      <c r="AL84">
        <f>IF(OR($H84="",$H84="N/A"),"",ROUND(VALUE($H84)*$AJ84*$AK84*$AV84,2))</f>
        <v/>
      </c>
      <c r="AM84">
        <f>IF($AL84="","",ROUND($AL84/5*100,1))</f>
        <v/>
      </c>
      <c r="AN84">
        <f>IFERROR(MIN(5,MAX(0,(SUMIFS(_REF_Model_Content!$D$1:$D$157,_REF_Model_Content!$A$1:$A$157,'Company Profile'!$B$9,_REF_Model_Content!$B$1:$B$157,"HR Workforce"))+_xlfn.IFNA(VLOOKUP('Company Profile'!$B$35,_CONFIG_Model_Settings!$A$11:$B$13,2,0),0))),"")</f>
        <v/>
      </c>
      <c r="AO84">
        <f>IF($AL84="","",MAX(0,ROUND($AN84-$AL84,2)))</f>
        <v/>
      </c>
      <c r="AP84">
        <f>IFERROR(SUMIFS(_REF_Model_Content!$E$1:$E$157,_REF_Model_Content!$A$1:$A$157,'Company Profile'!$B$9,_REF_Model_Content!$B$1:$B$157,"HR Workforce"),1)</f>
        <v/>
      </c>
      <c r="AQ84">
        <f>IF($AO84="","",ROUND($AO84*$AP84*($G84/5),2))</f>
        <v/>
      </c>
      <c r="AR84">
        <f>IF($AO84="","",IF($AO84&gt;=2,"Critical industry gap",IF($AO84&gt;=1,"High industry gap",IF($AO84&gt;=0.5,"Moderate industry gap","Within target"))))</f>
        <v/>
      </c>
      <c r="AS84">
        <f>IF(OR($H84="",$H84="N/A"),0,VALUE($H84)*(($AJ84+$AK84)/2)*$AV84)</f>
        <v/>
      </c>
      <c r="AT84">
        <f>IF(OR($H84="",$H84="N/A"),0,($AJ84+$AK84)/2)</f>
        <v/>
      </c>
      <c r="AU84">
        <f>'Assessment Questions'!AX84</f>
        <v/>
      </c>
      <c r="AV84">
        <f>IF(OR($H84="",$H84="N/A"),"",IF(OR($AU84="",$AU84="Everywhere",$AU84="Not applicable"),1,IF($AU84="Pilot / one team",0.4,IF($AU84="One unit or site",0.7,0.9))))</f>
        <v/>
      </c>
      <c r="AW84" t="inlineStr">
        <is>
          <t>HR Workforce</t>
        </is>
      </c>
      <c r="AX84" t="inlineStr">
        <is>
          <t>HR Workforce</t>
        </is>
      </c>
      <c r="AY84" t="n">
        <v>17</v>
      </c>
      <c r="AZ84" t="n">
        <v>84</v>
      </c>
    </row>
    <row r="85">
      <c r="A85" t="inlineStr">
        <is>
          <t>HRWO-014</t>
        </is>
      </c>
      <c r="B85" t="inlineStr">
        <is>
          <t>Continuity and wellbeing</t>
        </is>
      </c>
      <c r="C85" t="inlineStr">
        <is>
          <t>How mature is the organization in managing remote work capability with secure access, connectivity, equipment and documented procedures, including ownership, evidence, metrics, fallback procedures and crisis stress testing?</t>
        </is>
      </c>
      <c r="D85" t="inlineStr">
        <is>
          <t>This topic affects exposure to Workforce disruption; Pandemic/health crisis; War/security crisis. It helps identify how disruption may impact operations, people, revenue, systems, legal exposure or recovery time.</t>
        </is>
      </c>
      <c r="E85" t="inlineStr">
        <is>
          <t>ISO 30414; ISO 30405; ISO 45001; ISO 22301; CIPD; SHRM</t>
        </is>
      </c>
      <c r="F85" t="inlineStr">
        <is>
          <t>Policy/SOP; owner/RACI; system report; dashboard; contracts; test records; incident history; interview evidence related to remote work capability with secure access, connectivity, equipment and documented procedures.</t>
        </is>
      </c>
      <c r="G85">
        <f>'Assessment Questions'!J85</f>
        <v/>
      </c>
      <c r="H85">
        <f>IF($Z85="","",IF($Z85="N/A","N/A",VALUE(LEFT($Z85,1))))</f>
        <v/>
      </c>
      <c r="I85">
        <f>IF($H85="","",IF($H85="N/A","",VALUE($H85)/5*$G85))</f>
        <v/>
      </c>
      <c r="J85">
        <f>IF(OR($H85="",$H85="N/A"),"",$G85)</f>
        <v/>
      </c>
      <c r="K85">
        <f>IF(OR($H85="",$H85="N/A"),"",$J85-$I85)</f>
        <v/>
      </c>
      <c r="L85">
        <f>IF($H85="","",IF($H85="N/A","N/A",IF(VALUE($H85)&lt;=1,"Critical",IF(VALUE($H85)&lt;=2,"High",IF(VALUE($H85)&lt;=3,"Medium",IF(VALUE($H85)&lt;=4,"Low","Resilient"))))))</f>
        <v/>
      </c>
      <c r="M85" t="inlineStr">
        <is>
          <t>No reliable evidence that remote work capability with secure access, connectivity, equipment and documented procedures is defined, owned or managed.</t>
        </is>
      </c>
      <c r="N85" t="inlineStr">
        <is>
          <t>Remote work capability with secure access, connectivity, equipment and documented procedures is handled informally and depends on individual knowledge or heroic effort.</t>
        </is>
      </c>
      <c r="O85" t="inlineStr">
        <is>
          <t>Remote work capability with secure access, connectivity, equipment and documented procedures is partially documented or implemented, but coverage is inconsistent and not crisis-tested.</t>
        </is>
      </c>
      <c r="P85" t="inlineStr">
        <is>
          <t>Remote work capability with secure access, connectivity, equipment and documented procedures is documented, owned, used in normal operations and supported by basic evidence or metrics.</t>
        </is>
      </c>
      <c r="Q85" t="inlineStr">
        <is>
          <t>Remote work capability with secure access, connectivity, equipment and documented procedures is measured, periodically reviewed, integrated with related processes and tested against relevant disruption scenarios.</t>
        </is>
      </c>
      <c r="R85" t="inlineStr">
        <is>
          <t>Remote work capability with secure access, connectivity, equipment and documented procedures is optimized, continuously improved, automated where practical and demonstrably supports crisis resilience.</t>
        </is>
      </c>
      <c r="S85" t="inlineStr">
        <is>
          <t>Workforce disruption; Pandemic/health crisis; War/security crisis</t>
        </is>
      </c>
      <c r="T85">
        <f>'Assessment Questions'!W85</f>
        <v/>
      </c>
      <c r="U85">
        <f>'Assessment Questions'!X85</f>
        <v/>
      </c>
      <c r="V85">
        <f>'Assessment Questions'!Y85</f>
        <v/>
      </c>
      <c r="W85" t="n">
        <v>4</v>
      </c>
      <c r="X85" t="n">
        <v>5</v>
      </c>
      <c r="Y85" t="n">
        <v>5</v>
      </c>
      <c r="Z85">
        <f>'Assessment Questions'!AC85</f>
        <v/>
      </c>
      <c r="AB85">
        <f>COUNTIF($B$72:$B$97,$AA85)</f>
        <v/>
      </c>
      <c r="AC85">
        <f>IFERROR(SUMPRODUCT(($B$72:$B$97=$AA85)*($H$72:$H$97&lt;&gt;"")*($H$72:$H$97&lt;&gt;"N/A")*IFERROR(VALUE($H$72:$H$97),0))/SUMPRODUCT(($B$72:$B$97=$AA85)*($H$72:$H$97&lt;&gt;"")*($H$72:$H$97&lt;&gt;"N/A")),0)</f>
        <v/>
      </c>
      <c r="AD85">
        <f>AC85/5</f>
        <v/>
      </c>
      <c r="AE85">
        <f>COUNTIFS($B$72:$B$97,$AA85,$L$72:$L$97,"Critical")+COUNTIFS($B$72:$B$97,$AA85,$L$72:$L$97,"High")</f>
        <v/>
      </c>
      <c r="AF85">
        <f>5-AC85</f>
        <v/>
      </c>
      <c r="AG85">
        <f>SUMPRODUCT(($B$72:$B$97=$AA85)*(ISNUMBER($H$72:$H$97)+($H$72:$H$97="N/A")))</f>
        <v/>
      </c>
      <c r="AH85">
        <f>'Assessment Questions'!AK85</f>
        <v/>
      </c>
      <c r="AI85">
        <f>'Assessment Questions'!AL85</f>
        <v/>
      </c>
      <c r="AJ85">
        <f>IF(OR($H85="",$H85="N/A"),"",IF($AH85="",VLOOKUP('Company Profile'!$B$40,_CONFIG_Model_Settings!$A$5:$B$8,2,FALSE),_xlfn.IFNA(VLOOKUP($AH85,_CONFIG_Model_Settings!$A$5:$B$8,2,FALSE),0.9)))</f>
        <v/>
      </c>
      <c r="AK85">
        <f>IF(OR($H85="",$H85="N/A"),"",IF($AI85="",VLOOKUP('Company Profile'!$B$41,_CONFIG_Model_Settings!$A$5:$B$8,2,FALSE),_xlfn.IFNA(VLOOKUP($AI85,_CONFIG_Model_Settings!$A$5:$B$8,2,FALSE),0.9)))</f>
        <v/>
      </c>
      <c r="AL85">
        <f>IF(OR($H85="",$H85="N/A"),"",ROUND(VALUE($H85)*$AJ85*$AK85*$AV85,2))</f>
        <v/>
      </c>
      <c r="AM85">
        <f>IF($AL85="","",ROUND($AL85/5*100,1))</f>
        <v/>
      </c>
      <c r="AN85">
        <f>IFERROR(MIN(5,MAX(0,(SUMIFS(_REF_Model_Content!$D$1:$D$157,_REF_Model_Content!$A$1:$A$157,'Company Profile'!$B$9,_REF_Model_Content!$B$1:$B$157,"HR Workforce"))+_xlfn.IFNA(VLOOKUP('Company Profile'!$B$35,_CONFIG_Model_Settings!$A$11:$B$13,2,0),0))),"")</f>
        <v/>
      </c>
      <c r="AO85">
        <f>IF($AL85="","",MAX(0,ROUND($AN85-$AL85,2)))</f>
        <v/>
      </c>
      <c r="AP85">
        <f>IFERROR(SUMIFS(_REF_Model_Content!$E$1:$E$157,_REF_Model_Content!$A$1:$A$157,'Company Profile'!$B$9,_REF_Model_Content!$B$1:$B$157,"HR Workforce"),1)</f>
        <v/>
      </c>
      <c r="AQ85">
        <f>IF($AO85="","",ROUND($AO85*$AP85*($G85/5),2))</f>
        <v/>
      </c>
      <c r="AR85">
        <f>IF($AO85="","",IF($AO85&gt;=2,"Critical industry gap",IF($AO85&gt;=1,"High industry gap",IF($AO85&gt;=0.5,"Moderate industry gap","Within target"))))</f>
        <v/>
      </c>
      <c r="AS85">
        <f>IF(OR($H85="",$H85="N/A"),0,VALUE($H85)*(($AJ85+$AK85)/2)*$AV85)</f>
        <v/>
      </c>
      <c r="AT85">
        <f>IF(OR($H85="",$H85="N/A"),0,($AJ85+$AK85)/2)</f>
        <v/>
      </c>
      <c r="AU85">
        <f>'Assessment Questions'!AX85</f>
        <v/>
      </c>
      <c r="AV85">
        <f>IF(OR($H85="",$H85="N/A"),"",IF(OR($AU85="",$AU85="Everywhere",$AU85="Not applicable"),1,IF($AU85="Pilot / one team",0.4,IF($AU85="One unit or site",0.7,0.9))))</f>
        <v/>
      </c>
      <c r="AW85" t="inlineStr">
        <is>
          <t>HR Workforce</t>
        </is>
      </c>
      <c r="AX85" t="inlineStr">
        <is>
          <t>HR Workforce</t>
        </is>
      </c>
      <c r="AY85" t="n">
        <v>18</v>
      </c>
      <c r="AZ85" t="n">
        <v>85</v>
      </c>
    </row>
    <row r="86">
      <c r="A86" t="inlineStr">
        <is>
          <t>HRWO-015</t>
        </is>
      </c>
      <c r="B86" t="inlineStr">
        <is>
          <t>Continuity and wellbeing</t>
        </is>
      </c>
      <c r="C86" t="inlineStr">
        <is>
          <t>How mature is the organization in managing backup connectivity options for critical staff and locations, including ownership, evidence, metrics, fallback procedures and crisis stress testing?</t>
        </is>
      </c>
      <c r="D86" t="inlineStr">
        <is>
          <t>This topic affects exposure to Workforce disruption; Pandemic/health crisis; War/security crisis. It helps identify how disruption may impact operations, people, revenue, systems, legal exposure or recovery time.</t>
        </is>
      </c>
      <c r="E86" t="inlineStr">
        <is>
          <t>ISO 30414; ISO 30405; ISO 45001; ISO 22301; CIPD; SHRM</t>
        </is>
      </c>
      <c r="F86" t="inlineStr">
        <is>
          <t>Policy/SOP; owner/RACI; system report; dashboard; contracts; test records; incident history; interview evidence related to backup connectivity options for critical staff and locations.</t>
        </is>
      </c>
      <c r="G86">
        <f>'Assessment Questions'!J86</f>
        <v/>
      </c>
      <c r="H86">
        <f>IF($Z86="","",IF($Z86="N/A","N/A",VALUE(LEFT($Z86,1))))</f>
        <v/>
      </c>
      <c r="I86">
        <f>IF($H86="","",IF($H86="N/A","",VALUE($H86)/5*$G86))</f>
        <v/>
      </c>
      <c r="J86">
        <f>IF(OR($H86="",$H86="N/A"),"",$G86)</f>
        <v/>
      </c>
      <c r="K86">
        <f>IF(OR($H86="",$H86="N/A"),"",$J86-$I86)</f>
        <v/>
      </c>
      <c r="L86">
        <f>IF($H86="","",IF($H86="N/A","N/A",IF(VALUE($H86)&lt;=1,"Critical",IF(VALUE($H86)&lt;=2,"High",IF(VALUE($H86)&lt;=3,"Medium",IF(VALUE($H86)&lt;=4,"Low","Resilient"))))))</f>
        <v/>
      </c>
      <c r="M86" t="inlineStr">
        <is>
          <t>Does not exist; no owner, no documentation, no practice.</t>
        </is>
      </c>
      <c r="N86" t="inlineStr">
        <is>
          <t>Ad hoc; depends entirely on specific individuals.</t>
        </is>
      </c>
      <c r="O86" t="inlineStr">
        <is>
          <t>Partially documented or implemented; coverage inconsistent; never tested under stress.</t>
        </is>
      </c>
      <c r="P86" t="inlineStr">
        <is>
          <t>Documented, owned, executed consistently; basic evidence and metrics exist.</t>
        </is>
      </c>
      <c r="Q86" t="inlineStr">
        <is>
          <t>Measured and periodically tested/audited; integrated with adjacent processes.</t>
        </is>
      </c>
      <c r="R86" t="inlineStr">
        <is>
          <t>Optimized and automated where practical; stress-tested; benchmarked externally.</t>
        </is>
      </c>
      <c r="S86" t="inlineStr">
        <is>
          <t>Workforce disruption; Pandemic/health crisis; War/security crisis</t>
        </is>
      </c>
      <c r="T86">
        <f>'Assessment Questions'!W86</f>
        <v/>
      </c>
      <c r="U86">
        <f>'Assessment Questions'!X86</f>
        <v/>
      </c>
      <c r="V86">
        <f>'Assessment Questions'!Y86</f>
        <v/>
      </c>
      <c r="W86" t="n">
        <v>5</v>
      </c>
      <c r="X86" t="n">
        <v>5</v>
      </c>
      <c r="Y86" t="n">
        <v>5</v>
      </c>
      <c r="Z86">
        <f>'Assessment Questions'!AC86</f>
        <v/>
      </c>
      <c r="AB86">
        <f>COUNTIF($B$72:$B$97,$AA86)</f>
        <v/>
      </c>
      <c r="AC86">
        <f>IFERROR(SUMPRODUCT(($B$72:$B$97=$AA86)*($H$72:$H$97&lt;&gt;"")*($H$72:$H$97&lt;&gt;"N/A")*IFERROR(VALUE($H$72:$H$97),0))/SUMPRODUCT(($B$72:$B$97=$AA86)*($H$72:$H$97&lt;&gt;"")*($H$72:$H$97&lt;&gt;"N/A")),0)</f>
        <v/>
      </c>
      <c r="AD86">
        <f>AC86/5</f>
        <v/>
      </c>
      <c r="AE86">
        <f>COUNTIFS($B$72:$B$97,$AA86,$L$72:$L$97,"Critical")+COUNTIFS($B$72:$B$97,$AA86,$L$72:$L$97,"High")</f>
        <v/>
      </c>
      <c r="AF86">
        <f>5-AC86</f>
        <v/>
      </c>
      <c r="AG86">
        <f>SUMPRODUCT(($B$72:$B$97=$AA86)*(ISNUMBER($H$72:$H$97)+($H$72:$H$97="N/A")))</f>
        <v/>
      </c>
      <c r="AH86">
        <f>'Assessment Questions'!AK86</f>
        <v/>
      </c>
      <c r="AI86">
        <f>'Assessment Questions'!AL86</f>
        <v/>
      </c>
      <c r="AJ86">
        <f>IF(OR($H86="",$H86="N/A"),"",IF($AH86="",VLOOKUP('Company Profile'!$B$40,_CONFIG_Model_Settings!$A$5:$B$8,2,FALSE),_xlfn.IFNA(VLOOKUP($AH86,_CONFIG_Model_Settings!$A$5:$B$8,2,FALSE),0.9)))</f>
        <v/>
      </c>
      <c r="AK86">
        <f>IF(OR($H86="",$H86="N/A"),"",IF($AI86="",VLOOKUP('Company Profile'!$B$41,_CONFIG_Model_Settings!$A$5:$B$8,2,FALSE),_xlfn.IFNA(VLOOKUP($AI86,_CONFIG_Model_Settings!$A$5:$B$8,2,FALSE),0.9)))</f>
        <v/>
      </c>
      <c r="AL86">
        <f>IF(OR($H86="",$H86="N/A"),"",ROUND(VALUE($H86)*$AJ86*$AK86*$AV86,2))</f>
        <v/>
      </c>
      <c r="AM86">
        <f>IF($AL86="","",ROUND($AL86/5*100,1))</f>
        <v/>
      </c>
      <c r="AN86">
        <f>IFERROR(MIN(5,MAX(0,(SUMIFS(_REF_Model_Content!$D$1:$D$157,_REF_Model_Content!$A$1:$A$157,'Company Profile'!$B$9,_REF_Model_Content!$B$1:$B$157,"HR Workforce"))+_xlfn.IFNA(VLOOKUP('Company Profile'!$B$35,_CONFIG_Model_Settings!$A$11:$B$13,2,0),0))),"")</f>
        <v/>
      </c>
      <c r="AO86">
        <f>IF($AL86="","",MAX(0,ROUND($AN86-$AL86,2)))</f>
        <v/>
      </c>
      <c r="AP86">
        <f>IFERROR(SUMIFS(_REF_Model_Content!$E$1:$E$157,_REF_Model_Content!$A$1:$A$157,'Company Profile'!$B$9,_REF_Model_Content!$B$1:$B$157,"HR Workforce"),1)</f>
        <v/>
      </c>
      <c r="AQ86">
        <f>IF($AO86="","",ROUND($AO86*$AP86*($G86/5),2))</f>
        <v/>
      </c>
      <c r="AR86">
        <f>IF($AO86="","",IF($AO86&gt;=2,"Critical industry gap",IF($AO86&gt;=1,"High industry gap",IF($AO86&gt;=0.5,"Moderate industry gap","Within target"))))</f>
        <v/>
      </c>
      <c r="AS86">
        <f>IF(OR($H86="",$H86="N/A"),0,VALUE($H86)*(($AJ86+$AK86)/2)*$AV86)</f>
        <v/>
      </c>
      <c r="AT86">
        <f>IF(OR($H86="",$H86="N/A"),0,($AJ86+$AK86)/2)</f>
        <v/>
      </c>
      <c r="AU86">
        <f>'Assessment Questions'!AX86</f>
        <v/>
      </c>
      <c r="AV86">
        <f>IF(OR($H86="",$H86="N/A"),"",IF(OR($AU86="",$AU86="Everywhere",$AU86="Not applicable"),1,IF($AU86="Pilot / one team",0.4,IF($AU86="One unit or site",0.7,0.9))))</f>
        <v/>
      </c>
      <c r="AW86" t="inlineStr">
        <is>
          <t>HR Workforce</t>
        </is>
      </c>
      <c r="AX86" t="inlineStr">
        <is>
          <t>HR Workforce</t>
        </is>
      </c>
      <c r="AY86" t="n">
        <v>19</v>
      </c>
      <c r="AZ86" t="n">
        <v>86</v>
      </c>
    </row>
    <row r="87">
      <c r="A87" t="inlineStr">
        <is>
          <t>HRWO-016</t>
        </is>
      </c>
      <c r="B87" t="inlineStr">
        <is>
          <t>Continuity and wellbeing</t>
        </is>
      </c>
      <c r="C87" t="inlineStr">
        <is>
          <t>How mature is the organization in managing employee location and safety check process during severe incidents, including ownership, evidence, metrics, fallback procedures and crisis stress testing?</t>
        </is>
      </c>
      <c r="D87" t="inlineStr">
        <is>
          <t>This topic affects exposure to Workforce disruption; Pandemic/health crisis; War/security crisis. It helps identify how disruption may impact operations, people, revenue, systems, legal exposure or recovery time.</t>
        </is>
      </c>
      <c r="E87" t="inlineStr">
        <is>
          <t>ISO 30414; ISO 30405; ISO 45001; ISO 22301; CIPD; SHRM</t>
        </is>
      </c>
      <c r="F87" t="inlineStr">
        <is>
          <t>Policy/SOP; owner/RACI; system report; dashboard; contracts; test records; incident history; interview evidence related to employee location and safety check process during severe incidents.</t>
        </is>
      </c>
      <c r="G87">
        <f>'Assessment Questions'!J87</f>
        <v/>
      </c>
      <c r="H87">
        <f>IF($Z87="","",IF($Z87="N/A","N/A",VALUE(LEFT($Z87,1))))</f>
        <v/>
      </c>
      <c r="I87">
        <f>IF($H87="","",IF($H87="N/A","",VALUE($H87)/5*$G87))</f>
        <v/>
      </c>
      <c r="J87">
        <f>IF(OR($H87="",$H87="N/A"),"",$G87)</f>
        <v/>
      </c>
      <c r="K87">
        <f>IF(OR($H87="",$H87="N/A"),"",$J87-$I87)</f>
        <v/>
      </c>
      <c r="L87">
        <f>IF($H87="","",IF($H87="N/A","N/A",IF(VALUE($H87)&lt;=1,"Critical",IF(VALUE($H87)&lt;=2,"High",IF(VALUE($H87)&lt;=3,"Medium",IF(VALUE($H87)&lt;=4,"Low","Resilient"))))))</f>
        <v/>
      </c>
      <c r="M87" t="inlineStr">
        <is>
          <t>Does not exist; no owner, no documentation, no practice.</t>
        </is>
      </c>
      <c r="N87" t="inlineStr">
        <is>
          <t>Ad hoc; depends entirely on specific individuals.</t>
        </is>
      </c>
      <c r="O87" t="inlineStr">
        <is>
          <t>Partially documented or implemented; coverage inconsistent; never tested under stress.</t>
        </is>
      </c>
      <c r="P87" t="inlineStr">
        <is>
          <t>Documented, owned, executed consistently; basic evidence and metrics exist.</t>
        </is>
      </c>
      <c r="Q87" t="inlineStr">
        <is>
          <t>Measured and periodically tested/audited; integrated with adjacent processes.</t>
        </is>
      </c>
      <c r="R87" t="inlineStr">
        <is>
          <t>Optimized and automated where practical; stress-tested; benchmarked externally.</t>
        </is>
      </c>
      <c r="S87" t="inlineStr">
        <is>
          <t>Workforce disruption; Pandemic/health crisis; War/security crisis</t>
        </is>
      </c>
      <c r="T87">
        <f>'Assessment Questions'!W87</f>
        <v/>
      </c>
      <c r="U87">
        <f>'Assessment Questions'!X87</f>
        <v/>
      </c>
      <c r="V87">
        <f>'Assessment Questions'!Y87</f>
        <v/>
      </c>
      <c r="W87" t="n">
        <v>4</v>
      </c>
      <c r="X87" t="n">
        <v>5</v>
      </c>
      <c r="Y87" t="n">
        <v>5</v>
      </c>
      <c r="Z87">
        <f>'Assessment Questions'!AC87</f>
        <v/>
      </c>
      <c r="AB87">
        <f>COUNTIF($B$72:$B$97,$AA87)</f>
        <v/>
      </c>
      <c r="AC87">
        <f>IFERROR(SUMPRODUCT(($B$72:$B$97=$AA87)*($H$72:$H$97&lt;&gt;"")*($H$72:$H$97&lt;&gt;"N/A")*IFERROR(VALUE($H$72:$H$97),0))/SUMPRODUCT(($B$72:$B$97=$AA87)*($H$72:$H$97&lt;&gt;"")*($H$72:$H$97&lt;&gt;"N/A")),0)</f>
        <v/>
      </c>
      <c r="AD87">
        <f>AC87/5</f>
        <v/>
      </c>
      <c r="AE87">
        <f>COUNTIFS($B$72:$B$97,$AA87,$L$72:$L$97,"Critical")+COUNTIFS($B$72:$B$97,$AA87,$L$72:$L$97,"High")</f>
        <v/>
      </c>
      <c r="AF87">
        <f>5-AC87</f>
        <v/>
      </c>
      <c r="AG87">
        <f>SUMPRODUCT(($B$72:$B$97=$AA87)*(ISNUMBER($H$72:$H$97)+($H$72:$H$97="N/A")))</f>
        <v/>
      </c>
      <c r="AH87">
        <f>'Assessment Questions'!AK87</f>
        <v/>
      </c>
      <c r="AI87">
        <f>'Assessment Questions'!AL87</f>
        <v/>
      </c>
      <c r="AJ87">
        <f>IF(OR($H87="",$H87="N/A"),"",IF($AH87="",VLOOKUP('Company Profile'!$B$40,_CONFIG_Model_Settings!$A$5:$B$8,2,FALSE),_xlfn.IFNA(VLOOKUP($AH87,_CONFIG_Model_Settings!$A$5:$B$8,2,FALSE),0.9)))</f>
        <v/>
      </c>
      <c r="AK87">
        <f>IF(OR($H87="",$H87="N/A"),"",IF($AI87="",VLOOKUP('Company Profile'!$B$41,_CONFIG_Model_Settings!$A$5:$B$8,2,FALSE),_xlfn.IFNA(VLOOKUP($AI87,_CONFIG_Model_Settings!$A$5:$B$8,2,FALSE),0.9)))</f>
        <v/>
      </c>
      <c r="AL87">
        <f>IF(OR($H87="",$H87="N/A"),"",ROUND(VALUE($H87)*$AJ87*$AK87*$AV87,2))</f>
        <v/>
      </c>
      <c r="AM87">
        <f>IF($AL87="","",ROUND($AL87/5*100,1))</f>
        <v/>
      </c>
      <c r="AN87">
        <f>IFERROR(MIN(5,MAX(0,(SUMIFS(_REF_Model_Content!$D$1:$D$157,_REF_Model_Content!$A$1:$A$157,'Company Profile'!$B$9,_REF_Model_Content!$B$1:$B$157,"HR Workforce"))+_xlfn.IFNA(VLOOKUP('Company Profile'!$B$35,_CONFIG_Model_Settings!$A$11:$B$13,2,0),0))),"")</f>
        <v/>
      </c>
      <c r="AO87">
        <f>IF($AL87="","",MAX(0,ROUND($AN87-$AL87,2)))</f>
        <v/>
      </c>
      <c r="AP87">
        <f>IFERROR(SUMIFS(_REF_Model_Content!$E$1:$E$157,_REF_Model_Content!$A$1:$A$157,'Company Profile'!$B$9,_REF_Model_Content!$B$1:$B$157,"HR Workforce"),1)</f>
        <v/>
      </c>
      <c r="AQ87">
        <f>IF($AO87="","",ROUND($AO87*$AP87*($G87/5),2))</f>
        <v/>
      </c>
      <c r="AR87">
        <f>IF($AO87="","",IF($AO87&gt;=2,"Critical industry gap",IF($AO87&gt;=1,"High industry gap",IF($AO87&gt;=0.5,"Moderate industry gap","Within target"))))</f>
        <v/>
      </c>
      <c r="AS87">
        <f>IF(OR($H87="",$H87="N/A"),0,VALUE($H87)*(($AJ87+$AK87)/2)*$AV87)</f>
        <v/>
      </c>
      <c r="AT87">
        <f>IF(OR($H87="",$H87="N/A"),0,($AJ87+$AK87)/2)</f>
        <v/>
      </c>
      <c r="AU87">
        <f>'Assessment Questions'!AX87</f>
        <v/>
      </c>
      <c r="AV87">
        <f>IF(OR($H87="",$H87="N/A"),"",IF(OR($AU87="",$AU87="Everywhere",$AU87="Not applicable"),1,IF($AU87="Pilot / one team",0.4,IF($AU87="One unit or site",0.7,0.9))))</f>
        <v/>
      </c>
      <c r="AW87" t="inlineStr">
        <is>
          <t>HR Workforce</t>
        </is>
      </c>
      <c r="AX87" t="inlineStr">
        <is>
          <t>HR Workforce</t>
        </is>
      </c>
      <c r="AY87" t="n">
        <v>20</v>
      </c>
      <c r="AZ87" t="n">
        <v>87</v>
      </c>
    </row>
    <row r="88">
      <c r="A88" t="inlineStr">
        <is>
          <t>HRWO-017</t>
        </is>
      </c>
      <c r="B88" t="inlineStr">
        <is>
          <t>Continuity and wellbeing</t>
        </is>
      </c>
      <c r="C88" t="inlineStr">
        <is>
          <t>How mature is the organization in managing wellbeing, fatigue, burnout and psychological safety monitoring during prolonged crisis, including ownership, evidence, metrics, fallback procedures and crisis stress testing?</t>
        </is>
      </c>
      <c r="D88" t="inlineStr">
        <is>
          <t>This topic affects exposure to Workforce disruption; Pandemic/health crisis; War/security crisis. It helps identify how disruption may impact operations, people, revenue, systems, legal exposure or recovery time.</t>
        </is>
      </c>
      <c r="E88" t="inlineStr">
        <is>
          <t>ISO 30414; ISO 30405; ISO 45001; ISO 22301; CIPD; SHRM</t>
        </is>
      </c>
      <c r="F88" t="inlineStr">
        <is>
          <t>Policy/SOP; owner/RACI; system report; dashboard; contracts; test records; incident history; interview evidence related to wellbeing, fatigue, burnout and psychological safety monitoring during prolonged crisis.</t>
        </is>
      </c>
      <c r="G88">
        <f>'Assessment Questions'!J88</f>
        <v/>
      </c>
      <c r="H88">
        <f>IF($Z88="","",IF($Z88="N/A","N/A",VALUE(LEFT($Z88,1))))</f>
        <v/>
      </c>
      <c r="I88">
        <f>IF($H88="","",IF($H88="N/A","",VALUE($H88)/5*$G88))</f>
        <v/>
      </c>
      <c r="J88">
        <f>IF(OR($H88="",$H88="N/A"),"",$G88)</f>
        <v/>
      </c>
      <c r="K88">
        <f>IF(OR($H88="",$H88="N/A"),"",$J88-$I88)</f>
        <v/>
      </c>
      <c r="L88">
        <f>IF($H88="","",IF($H88="N/A","N/A",IF(VALUE($H88)&lt;=1,"Critical",IF(VALUE($H88)&lt;=2,"High",IF(VALUE($H88)&lt;=3,"Medium",IF(VALUE($H88)&lt;=4,"Low","Resilient"))))))</f>
        <v/>
      </c>
      <c r="M88" t="inlineStr">
        <is>
          <t>Nothing is monitored or measured.</t>
        </is>
      </c>
      <c r="N88" t="inlineStr">
        <is>
          <t>Occasional manual checks by individuals.</t>
        </is>
      </c>
      <c r="O88" t="inlineStr">
        <is>
          <t>Some metrics exist but are not reviewed regularly and trigger no action.</t>
        </is>
      </c>
      <c r="P88" t="inlineStr">
        <is>
          <t>Defined metrics with an owner, reviewed on a set cadence.</t>
        </is>
      </c>
      <c r="Q88" t="inlineStr">
        <is>
          <t>Thresholds and alerts in place; deviations trigger documented action; trends analyzed.</t>
        </is>
      </c>
      <c r="R88" t="inlineStr">
        <is>
          <t>Automated monitoring with leading indicators, integrated into management decisions.</t>
        </is>
      </c>
      <c r="S88" t="inlineStr">
        <is>
          <t>Workforce disruption; Pandemic/health crisis; War/security crisis</t>
        </is>
      </c>
      <c r="T88">
        <f>'Assessment Questions'!W88</f>
        <v/>
      </c>
      <c r="U88">
        <f>'Assessment Questions'!X88</f>
        <v/>
      </c>
      <c r="V88">
        <f>'Assessment Questions'!Y88</f>
        <v/>
      </c>
      <c r="W88" t="n">
        <v>4</v>
      </c>
      <c r="X88" t="n">
        <v>5</v>
      </c>
      <c r="Y88" t="n">
        <v>5</v>
      </c>
      <c r="Z88">
        <f>'Assessment Questions'!AC88</f>
        <v/>
      </c>
      <c r="AB88">
        <f>COUNTIF($B$72:$B$97,$AA88)</f>
        <v/>
      </c>
      <c r="AC88">
        <f>IFERROR(SUMPRODUCT(($B$72:$B$97=$AA88)*($H$72:$H$97&lt;&gt;"")*($H$72:$H$97&lt;&gt;"N/A")*IFERROR(VALUE($H$72:$H$97),0))/SUMPRODUCT(($B$72:$B$97=$AA88)*($H$72:$H$97&lt;&gt;"")*($H$72:$H$97&lt;&gt;"N/A")),0)</f>
        <v/>
      </c>
      <c r="AD88">
        <f>AC88/5</f>
        <v/>
      </c>
      <c r="AE88">
        <f>COUNTIFS($B$72:$B$97,$AA88,$L$72:$L$97,"Critical")+COUNTIFS($B$72:$B$97,$AA88,$L$72:$L$97,"High")</f>
        <v/>
      </c>
      <c r="AF88">
        <f>5-AC88</f>
        <v/>
      </c>
      <c r="AG88">
        <f>SUMPRODUCT(($B$72:$B$97=$AA88)*(ISNUMBER($H$72:$H$97)+($H$72:$H$97="N/A")))</f>
        <v/>
      </c>
      <c r="AH88">
        <f>'Assessment Questions'!AK88</f>
        <v/>
      </c>
      <c r="AI88">
        <f>'Assessment Questions'!AL88</f>
        <v/>
      </c>
      <c r="AJ88">
        <f>IF(OR($H88="",$H88="N/A"),"",IF($AH88="",VLOOKUP('Company Profile'!$B$40,_CONFIG_Model_Settings!$A$5:$B$8,2,FALSE),_xlfn.IFNA(VLOOKUP($AH88,_CONFIG_Model_Settings!$A$5:$B$8,2,FALSE),0.9)))</f>
        <v/>
      </c>
      <c r="AK88">
        <f>IF(OR($H88="",$H88="N/A"),"",IF($AI88="",VLOOKUP('Company Profile'!$B$41,_CONFIG_Model_Settings!$A$5:$B$8,2,FALSE),_xlfn.IFNA(VLOOKUP($AI88,_CONFIG_Model_Settings!$A$5:$B$8,2,FALSE),0.9)))</f>
        <v/>
      </c>
      <c r="AL88">
        <f>IF(OR($H88="",$H88="N/A"),"",ROUND(VALUE($H88)*$AJ88*$AK88*$AV88,2))</f>
        <v/>
      </c>
      <c r="AM88">
        <f>IF($AL88="","",ROUND($AL88/5*100,1))</f>
        <v/>
      </c>
      <c r="AN88">
        <f>IFERROR(MIN(5,MAX(0,(SUMIFS(_REF_Model_Content!$D$1:$D$157,_REF_Model_Content!$A$1:$A$157,'Company Profile'!$B$9,_REF_Model_Content!$B$1:$B$157,"HR Workforce"))+_xlfn.IFNA(VLOOKUP('Company Profile'!$B$35,_CONFIG_Model_Settings!$A$11:$B$13,2,0),0))),"")</f>
        <v/>
      </c>
      <c r="AO88">
        <f>IF($AL88="","",MAX(0,ROUND($AN88-$AL88,2)))</f>
        <v/>
      </c>
      <c r="AP88">
        <f>IFERROR(SUMIFS(_REF_Model_Content!$E$1:$E$157,_REF_Model_Content!$A$1:$A$157,'Company Profile'!$B$9,_REF_Model_Content!$B$1:$B$157,"HR Workforce"),1)</f>
        <v/>
      </c>
      <c r="AQ88">
        <f>IF($AO88="","",ROUND($AO88*$AP88*($G88/5),2))</f>
        <v/>
      </c>
      <c r="AR88">
        <f>IF($AO88="","",IF($AO88&gt;=2,"Critical industry gap",IF($AO88&gt;=1,"High industry gap",IF($AO88&gt;=0.5,"Moderate industry gap","Within target"))))</f>
        <v/>
      </c>
      <c r="AS88">
        <f>IF(OR($H88="",$H88="N/A"),0,VALUE($H88)*(($AJ88+$AK88)/2)*$AV88)</f>
        <v/>
      </c>
      <c r="AT88">
        <f>IF(OR($H88="",$H88="N/A"),0,($AJ88+$AK88)/2)</f>
        <v/>
      </c>
      <c r="AU88">
        <f>'Assessment Questions'!AX88</f>
        <v/>
      </c>
      <c r="AV88">
        <f>IF(OR($H88="",$H88="N/A"),"",IF(OR($AU88="",$AU88="Everywhere",$AU88="Not applicable"),1,IF($AU88="Pilot / one team",0.4,IF($AU88="One unit or site",0.7,0.9))))</f>
        <v/>
      </c>
      <c r="AW88" t="inlineStr">
        <is>
          <t>HR Workforce</t>
        </is>
      </c>
      <c r="AX88" t="inlineStr">
        <is>
          <t>HR Workforce</t>
        </is>
      </c>
      <c r="AY88" t="n">
        <v>21</v>
      </c>
      <c r="AZ88" t="n">
        <v>88</v>
      </c>
    </row>
    <row r="89">
      <c r="A89" t="inlineStr">
        <is>
          <t>HRWO-018</t>
        </is>
      </c>
      <c r="B89" t="inlineStr">
        <is>
          <t>Continuity and wellbeing</t>
        </is>
      </c>
      <c r="C89" t="inlineStr">
        <is>
          <t>How mature is the organization in managing emergency HR policies for relocation, evacuation, hardship support, flexible work and temporary staffing, including ownership, evidence, metrics, fallback procedures and crisis stress testing?</t>
        </is>
      </c>
      <c r="D89" t="inlineStr">
        <is>
          <t>This topic affects exposure to Workforce disruption; Pandemic/health crisis; War/security crisis. It helps identify how disruption may impact operations, people, revenue, systems, legal exposure or recovery time.</t>
        </is>
      </c>
      <c r="E89" t="inlineStr">
        <is>
          <t>ISO 30414; ISO 30405; ISO 45001; ISO 22301; CIPD; SHRM</t>
        </is>
      </c>
      <c r="F89" t="inlineStr">
        <is>
          <t>Policy/SOP; owner/RACI; system report; dashboard; contracts; test records; incident history; interview evidence related to emergency HR policies for relocation, evacuation, hardship support, flexible work and temporary staffing.</t>
        </is>
      </c>
      <c r="G89">
        <f>'Assessment Questions'!J89</f>
        <v/>
      </c>
      <c r="H89">
        <f>IF($Z89="","",IF($Z89="N/A","N/A",VALUE(LEFT($Z89,1))))</f>
        <v/>
      </c>
      <c r="I89">
        <f>IF($H89="","",IF($H89="N/A","",VALUE($H89)/5*$G89))</f>
        <v/>
      </c>
      <c r="J89">
        <f>IF(OR($H89="",$H89="N/A"),"",$G89)</f>
        <v/>
      </c>
      <c r="K89">
        <f>IF(OR($H89="",$H89="N/A"),"",$J89-$I89)</f>
        <v/>
      </c>
      <c r="L89">
        <f>IF($H89="","",IF($H89="N/A","N/A",IF(VALUE($H89)&lt;=1,"Critical",IF(VALUE($H89)&lt;=2,"High",IF(VALUE($H89)&lt;=3,"Medium",IF(VALUE($H89)&lt;=4,"Low","Resilient"))))))</f>
        <v/>
      </c>
      <c r="M89" t="inlineStr">
        <is>
          <t>No reliable evidence that emergency hr policies for relocation, evacuation, hardship support, flexible work and temporary staffing is defined, owned or managed.</t>
        </is>
      </c>
      <c r="N89" t="inlineStr">
        <is>
          <t>Emergency HR policies for relocation, evacuation, hardship support, flexible work and temporary staffing is handled informally and depends on individual knowledge or heroic effort.</t>
        </is>
      </c>
      <c r="O89" t="inlineStr">
        <is>
          <t>Emergency HR policies for relocation, evacuation, hardship support, flexible work and temporary staffing is partially documented or implemented, but coverage is inconsistent and not crisis-tested.</t>
        </is>
      </c>
      <c r="P89" t="inlineStr">
        <is>
          <t>Emergency HR policies for relocation, evacuation, hardship support, flexible work and temporary staffing is documented, owned, used in normal operations and supported by basic evidence or metrics.</t>
        </is>
      </c>
      <c r="Q89" t="inlineStr">
        <is>
          <t>Emergency HR policies for relocation, evacuation, hardship support, flexible work and temporary staffing is measured, periodically reviewed, integrated with related processes and tested against relevant disruption scenarios.</t>
        </is>
      </c>
      <c r="R89" t="inlineStr">
        <is>
          <t>Emergency HR policies for relocation, evacuation, hardship support, flexible work and temporary staffing is optimized, continuously improved, automated where practical and demonstrably supports crisis resilience.</t>
        </is>
      </c>
      <c r="S89" t="inlineStr">
        <is>
          <t>Workforce disruption; Pandemic/health crisis; War/security crisis</t>
        </is>
      </c>
      <c r="T89">
        <f>'Assessment Questions'!W89</f>
        <v/>
      </c>
      <c r="U89">
        <f>'Assessment Questions'!X89</f>
        <v/>
      </c>
      <c r="V89">
        <f>'Assessment Questions'!Y89</f>
        <v/>
      </c>
      <c r="W89" t="n">
        <v>4</v>
      </c>
      <c r="X89" t="n">
        <v>5</v>
      </c>
      <c r="Y89" t="n">
        <v>5</v>
      </c>
      <c r="Z89">
        <f>'Assessment Questions'!AC89</f>
        <v/>
      </c>
      <c r="AB89">
        <f>COUNTIF($B$72:$B$97,$AA89)</f>
        <v/>
      </c>
      <c r="AC89">
        <f>IFERROR(SUMPRODUCT(($B$72:$B$97=$AA89)*($H$72:$H$97&lt;&gt;"")*($H$72:$H$97&lt;&gt;"N/A")*IFERROR(VALUE($H$72:$H$97),0))/SUMPRODUCT(($B$72:$B$97=$AA89)*($H$72:$H$97&lt;&gt;"")*($H$72:$H$97&lt;&gt;"N/A")),0)</f>
        <v/>
      </c>
      <c r="AD89">
        <f>AC89/5</f>
        <v/>
      </c>
      <c r="AE89">
        <f>COUNTIFS($B$72:$B$97,$AA89,$L$72:$L$97,"Critical")+COUNTIFS($B$72:$B$97,$AA89,$L$72:$L$97,"High")</f>
        <v/>
      </c>
      <c r="AF89">
        <f>5-AC89</f>
        <v/>
      </c>
      <c r="AG89">
        <f>SUMPRODUCT(($B$72:$B$97=$AA89)*(ISNUMBER($H$72:$H$97)+($H$72:$H$97="N/A")))</f>
        <v/>
      </c>
      <c r="AH89">
        <f>'Assessment Questions'!AK89</f>
        <v/>
      </c>
      <c r="AI89">
        <f>'Assessment Questions'!AL89</f>
        <v/>
      </c>
      <c r="AJ89">
        <f>IF(OR($H89="",$H89="N/A"),"",IF($AH89="",VLOOKUP('Company Profile'!$B$40,_CONFIG_Model_Settings!$A$5:$B$8,2,FALSE),_xlfn.IFNA(VLOOKUP($AH89,_CONFIG_Model_Settings!$A$5:$B$8,2,FALSE),0.9)))</f>
        <v/>
      </c>
      <c r="AK89">
        <f>IF(OR($H89="",$H89="N/A"),"",IF($AI89="",VLOOKUP('Company Profile'!$B$41,_CONFIG_Model_Settings!$A$5:$B$8,2,FALSE),_xlfn.IFNA(VLOOKUP($AI89,_CONFIG_Model_Settings!$A$5:$B$8,2,FALSE),0.9)))</f>
        <v/>
      </c>
      <c r="AL89">
        <f>IF(OR($H89="",$H89="N/A"),"",ROUND(VALUE($H89)*$AJ89*$AK89*$AV89,2))</f>
        <v/>
      </c>
      <c r="AM89">
        <f>IF($AL89="","",ROUND($AL89/5*100,1))</f>
        <v/>
      </c>
      <c r="AN89">
        <f>IFERROR(MIN(5,MAX(0,(SUMIFS(_REF_Model_Content!$D$1:$D$157,_REF_Model_Content!$A$1:$A$157,'Company Profile'!$B$9,_REF_Model_Content!$B$1:$B$157,"HR Workforce"))+_xlfn.IFNA(VLOOKUP('Company Profile'!$B$35,_CONFIG_Model_Settings!$A$11:$B$13,2,0),0))),"")</f>
        <v/>
      </c>
      <c r="AO89">
        <f>IF($AL89="","",MAX(0,ROUND($AN89-$AL89,2)))</f>
        <v/>
      </c>
      <c r="AP89">
        <f>IFERROR(SUMIFS(_REF_Model_Content!$E$1:$E$157,_REF_Model_Content!$A$1:$A$157,'Company Profile'!$B$9,_REF_Model_Content!$B$1:$B$157,"HR Workforce"),1)</f>
        <v/>
      </c>
      <c r="AQ89">
        <f>IF($AO89="","",ROUND($AO89*$AP89*($G89/5),2))</f>
        <v/>
      </c>
      <c r="AR89">
        <f>IF($AO89="","",IF($AO89&gt;=2,"Critical industry gap",IF($AO89&gt;=1,"High industry gap",IF($AO89&gt;=0.5,"Moderate industry gap","Within target"))))</f>
        <v/>
      </c>
      <c r="AS89">
        <f>IF(OR($H89="",$H89="N/A"),0,VALUE($H89)*(($AJ89+$AK89)/2)*$AV89)</f>
        <v/>
      </c>
      <c r="AT89">
        <f>IF(OR($H89="",$H89="N/A"),0,($AJ89+$AK89)/2)</f>
        <v/>
      </c>
      <c r="AU89">
        <f>'Assessment Questions'!AX89</f>
        <v/>
      </c>
      <c r="AV89">
        <f>IF(OR($H89="",$H89="N/A"),"",IF(OR($AU89="",$AU89="Everywhere",$AU89="Not applicable"),1,IF($AU89="Pilot / one team",0.4,IF($AU89="One unit or site",0.7,0.9))))</f>
        <v/>
      </c>
      <c r="AW89" t="inlineStr">
        <is>
          <t>HR Workforce</t>
        </is>
      </c>
      <c r="AX89" t="inlineStr">
        <is>
          <t>HR Workforce</t>
        </is>
      </c>
      <c r="AY89" t="n">
        <v>22</v>
      </c>
      <c r="AZ89" t="n">
        <v>89</v>
      </c>
    </row>
    <row r="90">
      <c r="A90" t="inlineStr">
        <is>
          <t>HRWO-019</t>
        </is>
      </c>
      <c r="B90" t="inlineStr">
        <is>
          <t>Continuity and wellbeing</t>
        </is>
      </c>
      <c r="C90" t="inlineStr">
        <is>
          <t>How mature is the organization in managing cross-training and knowledge transfer for critical operations and rare skills, including ownership, evidence, metrics, fallback procedures and crisis stress testing?</t>
        </is>
      </c>
      <c r="D90" t="inlineStr">
        <is>
          <t>This topic affects exposure to Workforce disruption; Pandemic/health crisis; War/security crisis. It helps identify how disruption may impact operations, people, revenue, systems, legal exposure or recovery time.</t>
        </is>
      </c>
      <c r="E90" t="inlineStr">
        <is>
          <t>ISO 30414; ISO 30405; ISO 45001; ISO 22301; CIPD; SHRM</t>
        </is>
      </c>
      <c r="F90" t="inlineStr">
        <is>
          <t>Policy/SOP; owner/RACI; system report; dashboard; contracts; test records; incident history; interview evidence related to cross-training and knowledge transfer for critical operations and rare skills.</t>
        </is>
      </c>
      <c r="G90">
        <f>'Assessment Questions'!J90</f>
        <v/>
      </c>
      <c r="H90">
        <f>IF($Z90="","",IF($Z90="N/A","N/A",VALUE(LEFT($Z90,1))))</f>
        <v/>
      </c>
      <c r="I90">
        <f>IF($H90="","",IF($H90="N/A","",VALUE($H90)/5*$G90))</f>
        <v/>
      </c>
      <c r="J90">
        <f>IF(OR($H90="",$H90="N/A"),"",$G90)</f>
        <v/>
      </c>
      <c r="K90">
        <f>IF(OR($H90="",$H90="N/A"),"",$J90-$I90)</f>
        <v/>
      </c>
      <c r="L90">
        <f>IF($H90="","",IF($H90="N/A","N/A",IF(VALUE($H90)&lt;=1,"Critical",IF(VALUE($H90)&lt;=2,"High",IF(VALUE($H90)&lt;=3,"Medium",IF(VALUE($H90)&lt;=4,"Low","Resilient"))))))</f>
        <v/>
      </c>
      <c r="M90" t="inlineStr">
        <is>
          <t>Never done; no records exist.</t>
        </is>
      </c>
      <c r="N90" t="inlineStr">
        <is>
          <t>Done once long ago or only after an incident; no schedule, no records.</t>
        </is>
      </c>
      <c r="O90" t="inlineStr">
        <is>
          <t>Done irregularly; results are not documented and findings are not tracked.</t>
        </is>
      </c>
      <c r="P90" t="inlineStr">
        <is>
          <t>Done on a defined schedule (at least annually); results documented, owner assigned.</t>
        </is>
      </c>
      <c r="Q90" t="inlineStr">
        <is>
          <t>Done quarterly/semi-annually; findings tracked to closure, effectiveness measured against targets.</t>
        </is>
      </c>
      <c r="R90" t="inlineStr">
        <is>
          <t>Continuous or automated where possible; results drive improvements and are validated externally (audit/customer).</t>
        </is>
      </c>
      <c r="S90" t="inlineStr">
        <is>
          <t>Workforce disruption; Pandemic/health crisis; War/security crisis</t>
        </is>
      </c>
      <c r="T90">
        <f>'Assessment Questions'!W90</f>
        <v/>
      </c>
      <c r="U90">
        <f>'Assessment Questions'!X90</f>
        <v/>
      </c>
      <c r="V90">
        <f>'Assessment Questions'!Y90</f>
        <v/>
      </c>
      <c r="W90" t="n">
        <v>4</v>
      </c>
      <c r="X90" t="n">
        <v>5</v>
      </c>
      <c r="Y90" t="n">
        <v>5</v>
      </c>
      <c r="Z90">
        <f>'Assessment Questions'!AC90</f>
        <v/>
      </c>
      <c r="AB90">
        <f>COUNTIF($B$72:$B$97,$AA90)</f>
        <v/>
      </c>
      <c r="AC90">
        <f>IFERROR(SUMPRODUCT(($B$72:$B$97=$AA90)*($H$72:$H$97&lt;&gt;"")*($H$72:$H$97&lt;&gt;"N/A")*IFERROR(VALUE($H$72:$H$97),0))/SUMPRODUCT(($B$72:$B$97=$AA90)*($H$72:$H$97&lt;&gt;"")*($H$72:$H$97&lt;&gt;"N/A")),0)</f>
        <v/>
      </c>
      <c r="AD90">
        <f>AC90/5</f>
        <v/>
      </c>
      <c r="AE90">
        <f>COUNTIFS($B$72:$B$97,$AA90,$L$72:$L$97,"Critical")+COUNTIFS($B$72:$B$97,$AA90,$L$72:$L$97,"High")</f>
        <v/>
      </c>
      <c r="AF90">
        <f>5-AC90</f>
        <v/>
      </c>
      <c r="AG90">
        <f>SUMPRODUCT(($B$72:$B$97=$AA90)*(ISNUMBER($H$72:$H$97)+($H$72:$H$97="N/A")))</f>
        <v/>
      </c>
      <c r="AH90">
        <f>'Assessment Questions'!AK90</f>
        <v/>
      </c>
      <c r="AI90">
        <f>'Assessment Questions'!AL90</f>
        <v/>
      </c>
      <c r="AJ90">
        <f>IF(OR($H90="",$H90="N/A"),"",IF($AH90="",VLOOKUP('Company Profile'!$B$40,_CONFIG_Model_Settings!$A$5:$B$8,2,FALSE),_xlfn.IFNA(VLOOKUP($AH90,_CONFIG_Model_Settings!$A$5:$B$8,2,FALSE),0.9)))</f>
        <v/>
      </c>
      <c r="AK90">
        <f>IF(OR($H90="",$H90="N/A"),"",IF($AI90="",VLOOKUP('Company Profile'!$B$41,_CONFIG_Model_Settings!$A$5:$B$8,2,FALSE),_xlfn.IFNA(VLOOKUP($AI90,_CONFIG_Model_Settings!$A$5:$B$8,2,FALSE),0.9)))</f>
        <v/>
      </c>
      <c r="AL90">
        <f>IF(OR($H90="",$H90="N/A"),"",ROUND(VALUE($H90)*$AJ90*$AK90*$AV90,2))</f>
        <v/>
      </c>
      <c r="AM90">
        <f>IF($AL90="","",ROUND($AL90/5*100,1))</f>
        <v/>
      </c>
      <c r="AN90">
        <f>IFERROR(MIN(5,MAX(0,(SUMIFS(_REF_Model_Content!$D$1:$D$157,_REF_Model_Content!$A$1:$A$157,'Company Profile'!$B$9,_REF_Model_Content!$B$1:$B$157,"HR Workforce"))+_xlfn.IFNA(VLOOKUP('Company Profile'!$B$35,_CONFIG_Model_Settings!$A$11:$B$13,2,0),0))),"")</f>
        <v/>
      </c>
      <c r="AO90">
        <f>IF($AL90="","",MAX(0,ROUND($AN90-$AL90,2)))</f>
        <v/>
      </c>
      <c r="AP90">
        <f>IFERROR(SUMIFS(_REF_Model_Content!$E$1:$E$157,_REF_Model_Content!$A$1:$A$157,'Company Profile'!$B$9,_REF_Model_Content!$B$1:$B$157,"HR Workforce"),1)</f>
        <v/>
      </c>
      <c r="AQ90">
        <f>IF($AO90="","",ROUND($AO90*$AP90*($G90/5),2))</f>
        <v/>
      </c>
      <c r="AR90">
        <f>IF($AO90="","",IF($AO90&gt;=2,"Critical industry gap",IF($AO90&gt;=1,"High industry gap",IF($AO90&gt;=0.5,"Moderate industry gap","Within target"))))</f>
        <v/>
      </c>
      <c r="AS90">
        <f>IF(OR($H90="",$H90="N/A"),0,VALUE($H90)*(($AJ90+$AK90)/2)*$AV90)</f>
        <v/>
      </c>
      <c r="AT90">
        <f>IF(OR($H90="",$H90="N/A"),0,($AJ90+$AK90)/2)</f>
        <v/>
      </c>
      <c r="AU90">
        <f>'Assessment Questions'!AX90</f>
        <v/>
      </c>
      <c r="AV90">
        <f>IF(OR($H90="",$H90="N/A"),"",IF(OR($AU90="",$AU90="Everywhere",$AU90="Not applicable"),1,IF($AU90="Pilot / one team",0.4,IF($AU90="One unit or site",0.7,0.9))))</f>
        <v/>
      </c>
      <c r="AW90" t="inlineStr">
        <is>
          <t>HR Workforce</t>
        </is>
      </c>
      <c r="AX90" t="inlineStr">
        <is>
          <t>HR Workforce</t>
        </is>
      </c>
      <c r="AY90" t="n">
        <v>23</v>
      </c>
      <c r="AZ90" t="n">
        <v>90</v>
      </c>
    </row>
    <row r="91">
      <c r="A91" t="inlineStr">
        <is>
          <t>HRWO-020</t>
        </is>
      </c>
      <c r="B91" t="inlineStr">
        <is>
          <t>HR systems and compliance</t>
        </is>
      </c>
      <c r="C91" t="inlineStr">
        <is>
          <t>How mature is the organization in managing HRMS reliability, backup, manual fallback and data quality for employee records and emergency contacts, including ownership, evidence, metrics, fallback procedures and crisis stress testing?</t>
        </is>
      </c>
      <c r="D91" t="inlineStr">
        <is>
          <t>This topic affects exposure to Workforce disruption; Pandemic/health crisis; War/security crisis. It helps identify how disruption may impact operations, people, revenue, systems, legal exposure or recovery time.</t>
        </is>
      </c>
      <c r="E91" t="inlineStr">
        <is>
          <t>ISO 30414; ISO 30405; ISO 45001; ISO 22301; CIPD; SHRM</t>
        </is>
      </c>
      <c r="F91" t="inlineStr">
        <is>
          <t>Policy/SOP; owner/RACI; system report; dashboard; contracts; test records; incident history; interview evidence related to HRMS reliability, backup, manual fallback and data quality for employee records and emergency contacts.</t>
        </is>
      </c>
      <c r="G91">
        <f>'Assessment Questions'!J91</f>
        <v/>
      </c>
      <c r="H91">
        <f>IF($Z91="","",IF($Z91="N/A","N/A",VALUE(LEFT($Z91,1))))</f>
        <v/>
      </c>
      <c r="I91">
        <f>IF($H91="","",IF($H91="N/A","",VALUE($H91)/5*$G91))</f>
        <v/>
      </c>
      <c r="J91">
        <f>IF(OR($H91="",$H91="N/A"),"",$G91)</f>
        <v/>
      </c>
      <c r="K91">
        <f>IF(OR($H91="",$H91="N/A"),"",$J91-$I91)</f>
        <v/>
      </c>
      <c r="L91">
        <f>IF($H91="","",IF($H91="N/A","N/A",IF(VALUE($H91)&lt;=1,"Critical",IF(VALUE($H91)&lt;=2,"High",IF(VALUE($H91)&lt;=3,"Medium",IF(VALUE($H91)&lt;=4,"Low","Resilient"))))))</f>
        <v/>
      </c>
      <c r="M91" t="inlineStr">
        <is>
          <t>Does not exist; no owner, no documentation, no practice.</t>
        </is>
      </c>
      <c r="N91" t="inlineStr">
        <is>
          <t>Ad hoc; depends entirely on specific individuals.</t>
        </is>
      </c>
      <c r="O91" t="inlineStr">
        <is>
          <t>Partially documented or implemented; coverage inconsistent; never tested under stress.</t>
        </is>
      </c>
      <c r="P91" t="inlineStr">
        <is>
          <t>Documented, owned, executed consistently; basic evidence and metrics exist.</t>
        </is>
      </c>
      <c r="Q91" t="inlineStr">
        <is>
          <t>Measured and periodically tested/audited; integrated with adjacent processes.</t>
        </is>
      </c>
      <c r="R91" t="inlineStr">
        <is>
          <t>Optimized and automated where practical; stress-tested; benchmarked externally.</t>
        </is>
      </c>
      <c r="S91" t="inlineStr">
        <is>
          <t>Workforce disruption; Pandemic/health crisis; War/security crisis</t>
        </is>
      </c>
      <c r="T91">
        <f>'Assessment Questions'!W91</f>
        <v/>
      </c>
      <c r="U91">
        <f>'Assessment Questions'!X91</f>
        <v/>
      </c>
      <c r="V91">
        <f>'Assessment Questions'!Y91</f>
        <v/>
      </c>
      <c r="W91" t="n">
        <v>5</v>
      </c>
      <c r="X91" t="n">
        <v>5</v>
      </c>
      <c r="Y91" t="n">
        <v>5</v>
      </c>
      <c r="Z91">
        <f>'Assessment Questions'!AC91</f>
        <v/>
      </c>
      <c r="AB91">
        <f>COUNTIF($B$72:$B$97,$AA91)</f>
        <v/>
      </c>
      <c r="AC91">
        <f>IFERROR(SUMPRODUCT(($B$72:$B$97=$AA91)*($H$72:$H$97&lt;&gt;"")*($H$72:$H$97&lt;&gt;"N/A")*IFERROR(VALUE($H$72:$H$97),0))/SUMPRODUCT(($B$72:$B$97=$AA91)*($H$72:$H$97&lt;&gt;"")*($H$72:$H$97&lt;&gt;"N/A")),0)</f>
        <v/>
      </c>
      <c r="AD91">
        <f>AC91/5</f>
        <v/>
      </c>
      <c r="AE91">
        <f>COUNTIFS($B$72:$B$97,$AA91,$L$72:$L$97,"Critical")+COUNTIFS($B$72:$B$97,$AA91,$L$72:$L$97,"High")</f>
        <v/>
      </c>
      <c r="AF91">
        <f>5-AC91</f>
        <v/>
      </c>
      <c r="AG91">
        <f>SUMPRODUCT(($B$72:$B$97=$AA91)*(ISNUMBER($H$72:$H$97)+($H$72:$H$97="N/A")))</f>
        <v/>
      </c>
      <c r="AH91">
        <f>'Assessment Questions'!AK91</f>
        <v/>
      </c>
      <c r="AI91">
        <f>'Assessment Questions'!AL91</f>
        <v/>
      </c>
      <c r="AJ91">
        <f>IF(OR($H91="",$H91="N/A"),"",IF($AH91="",VLOOKUP('Company Profile'!$B$40,_CONFIG_Model_Settings!$A$5:$B$8,2,FALSE),_xlfn.IFNA(VLOOKUP($AH91,_CONFIG_Model_Settings!$A$5:$B$8,2,FALSE),0.9)))</f>
        <v/>
      </c>
      <c r="AK91">
        <f>IF(OR($H91="",$H91="N/A"),"",IF($AI91="",VLOOKUP('Company Profile'!$B$41,_CONFIG_Model_Settings!$A$5:$B$8,2,FALSE),_xlfn.IFNA(VLOOKUP($AI91,_CONFIG_Model_Settings!$A$5:$B$8,2,FALSE),0.9)))</f>
        <v/>
      </c>
      <c r="AL91">
        <f>IF(OR($H91="",$H91="N/A"),"",ROUND(VALUE($H91)*$AJ91*$AK91*$AV91,2))</f>
        <v/>
      </c>
      <c r="AM91">
        <f>IF($AL91="","",ROUND($AL91/5*100,1))</f>
        <v/>
      </c>
      <c r="AN91">
        <f>IFERROR(MIN(5,MAX(0,(SUMIFS(_REF_Model_Content!$D$1:$D$157,_REF_Model_Content!$A$1:$A$157,'Company Profile'!$B$9,_REF_Model_Content!$B$1:$B$157,"HR Workforce"))+_xlfn.IFNA(VLOOKUP('Company Profile'!$B$35,_CONFIG_Model_Settings!$A$11:$B$13,2,0),0))),"")</f>
        <v/>
      </c>
      <c r="AO91">
        <f>IF($AL91="","",MAX(0,ROUND($AN91-$AL91,2)))</f>
        <v/>
      </c>
      <c r="AP91">
        <f>IFERROR(SUMIFS(_REF_Model_Content!$E$1:$E$157,_REF_Model_Content!$A$1:$A$157,'Company Profile'!$B$9,_REF_Model_Content!$B$1:$B$157,"HR Workforce"),1)</f>
        <v/>
      </c>
      <c r="AQ91">
        <f>IF($AO91="","",ROUND($AO91*$AP91*($G91/5),2))</f>
        <v/>
      </c>
      <c r="AR91">
        <f>IF($AO91="","",IF($AO91&gt;=2,"Critical industry gap",IF($AO91&gt;=1,"High industry gap",IF($AO91&gt;=0.5,"Moderate industry gap","Within target"))))</f>
        <v/>
      </c>
      <c r="AS91">
        <f>IF(OR($H91="",$H91="N/A"),0,VALUE($H91)*(($AJ91+$AK91)/2)*$AV91)</f>
        <v/>
      </c>
      <c r="AT91">
        <f>IF(OR($H91="",$H91="N/A"),0,($AJ91+$AK91)/2)</f>
        <v/>
      </c>
      <c r="AU91">
        <f>'Assessment Questions'!AX91</f>
        <v/>
      </c>
      <c r="AV91">
        <f>IF(OR($H91="",$H91="N/A"),"",IF(OR($AU91="",$AU91="Everywhere",$AU91="Not applicable"),1,IF($AU91="Pilot / one team",0.4,IF($AU91="One unit or site",0.7,0.9))))</f>
        <v/>
      </c>
      <c r="AW91" t="inlineStr">
        <is>
          <t>HR Workforce</t>
        </is>
      </c>
      <c r="AX91" t="inlineStr">
        <is>
          <t>HR Workforce</t>
        </is>
      </c>
      <c r="AY91" t="n">
        <v>24</v>
      </c>
      <c r="AZ91" t="n">
        <v>91</v>
      </c>
    </row>
    <row r="92">
      <c r="A92" t="inlineStr">
        <is>
          <t>HRWO-022</t>
        </is>
      </c>
      <c r="B92" t="inlineStr">
        <is>
          <t>HR systems and compliance</t>
        </is>
      </c>
      <c r="C92" t="inlineStr">
        <is>
          <t>How mature is the organization in managing employment compliance by country, contract type, working hours and emergency measures, including ownership, evidence, metrics, fallback procedures and crisis stress testing?</t>
        </is>
      </c>
      <c r="D92" t="inlineStr">
        <is>
          <t>This topic affects exposure to Workforce disruption; Pandemic/health crisis; War/security crisis. It helps identify how disruption may impact operations, people, revenue, systems, legal exposure or recovery time.</t>
        </is>
      </c>
      <c r="E92" t="inlineStr">
        <is>
          <t>ISO 30414; ISO 30405; ISO 45001; ISO 22301; CIPD; SHRM</t>
        </is>
      </c>
      <c r="F92" t="inlineStr">
        <is>
          <t>Policy/SOP; owner/RACI; system report; dashboard; contracts; test records; incident history; interview evidence related to employment compliance by country, contract type, working hours and emergency measures.</t>
        </is>
      </c>
      <c r="G92">
        <f>'Assessment Questions'!J92</f>
        <v/>
      </c>
      <c r="H92">
        <f>IF($Z92="","",IF($Z92="N/A","N/A",VALUE(LEFT($Z92,1))))</f>
        <v/>
      </c>
      <c r="I92">
        <f>IF($H92="","",IF($H92="N/A","",VALUE($H92)/5*$G92))</f>
        <v/>
      </c>
      <c r="J92">
        <f>IF(OR($H92="",$H92="N/A"),"",$G92)</f>
        <v/>
      </c>
      <c r="K92">
        <f>IF(OR($H92="",$H92="N/A"),"",$J92-$I92)</f>
        <v/>
      </c>
      <c r="L92">
        <f>IF($H92="","",IF($H92="N/A","N/A",IF(VALUE($H92)&lt;=1,"Critical",IF(VALUE($H92)&lt;=2,"High",IF(VALUE($H92)&lt;=3,"Medium",IF(VALUE($H92)&lt;=4,"Low","Resilient"))))))</f>
        <v/>
      </c>
      <c r="M92" t="inlineStr">
        <is>
          <t>No reliable evidence that employment compliance by country, contract type, working hours and emergency measures is defined, owned or managed.</t>
        </is>
      </c>
      <c r="N92" t="inlineStr">
        <is>
          <t>Employment compliance by country, contract type, working hours and emergency measures is handled informally and depends on individual knowledge or heroic effort.</t>
        </is>
      </c>
      <c r="O92" t="inlineStr">
        <is>
          <t>Employment compliance by country, contract type, working hours and emergency measures is partially documented or implemented, but coverage is inconsistent and not crisis-tested.</t>
        </is>
      </c>
      <c r="P92" t="inlineStr">
        <is>
          <t>Employment compliance by country, contract type, working hours and emergency measures is documented, owned, used in normal operations and supported by basic evidence or metrics.</t>
        </is>
      </c>
      <c r="Q92" t="inlineStr">
        <is>
          <t>Employment compliance by country, contract type, working hours and emergency measures is measured, periodically reviewed, integrated with related processes and tested against relevant disruption scenarios.</t>
        </is>
      </c>
      <c r="R92" t="inlineStr">
        <is>
          <t>Employment compliance by country, contract type, working hours and emergency measures is optimized, continuously improved, automated where practical and demonstrably supports crisis resilience.</t>
        </is>
      </c>
      <c r="S92" t="inlineStr">
        <is>
          <t>Workforce disruption; Pandemic/health crisis; War/security crisis</t>
        </is>
      </c>
      <c r="T92">
        <f>'Assessment Questions'!W92</f>
        <v/>
      </c>
      <c r="U92">
        <f>'Assessment Questions'!X92</f>
        <v/>
      </c>
      <c r="V92">
        <f>'Assessment Questions'!Y92</f>
        <v/>
      </c>
      <c r="W92" t="n">
        <v>4</v>
      </c>
      <c r="X92" t="n">
        <v>5</v>
      </c>
      <c r="Y92" t="n">
        <v>5</v>
      </c>
      <c r="Z92">
        <f>'Assessment Questions'!AC92</f>
        <v/>
      </c>
      <c r="AB92">
        <f>COUNTIF($B$72:$B$97,$AA92)</f>
        <v/>
      </c>
      <c r="AC92">
        <f>IFERROR(SUMPRODUCT(($B$72:$B$97=$AA92)*($H$72:$H$97&lt;&gt;"")*($H$72:$H$97&lt;&gt;"N/A")*IFERROR(VALUE($H$72:$H$97),0))/SUMPRODUCT(($B$72:$B$97=$AA92)*($H$72:$H$97&lt;&gt;"")*($H$72:$H$97&lt;&gt;"N/A")),0)</f>
        <v/>
      </c>
      <c r="AD92">
        <f>AC92/5</f>
        <v/>
      </c>
      <c r="AE92">
        <f>COUNTIFS($B$72:$B$97,$AA92,$L$72:$L$97,"Critical")+COUNTIFS($B$72:$B$97,$AA92,$L$72:$L$97,"High")</f>
        <v/>
      </c>
      <c r="AF92">
        <f>5-AC92</f>
        <v/>
      </c>
      <c r="AG92">
        <f>SUMPRODUCT(($B$72:$B$97=$AA92)*(ISNUMBER($H$72:$H$97)+($H$72:$H$97="N/A")))</f>
        <v/>
      </c>
      <c r="AH92">
        <f>'Assessment Questions'!AK92</f>
        <v/>
      </c>
      <c r="AI92">
        <f>'Assessment Questions'!AL92</f>
        <v/>
      </c>
      <c r="AJ92">
        <f>IF(OR($H92="",$H92="N/A"),"",IF($AH92="",VLOOKUP('Company Profile'!$B$40,_CONFIG_Model_Settings!$A$5:$B$8,2,FALSE),_xlfn.IFNA(VLOOKUP($AH92,_CONFIG_Model_Settings!$A$5:$B$8,2,FALSE),0.9)))</f>
        <v/>
      </c>
      <c r="AK92">
        <f>IF(OR($H92="",$H92="N/A"),"",IF($AI92="",VLOOKUP('Company Profile'!$B$41,_CONFIG_Model_Settings!$A$5:$B$8,2,FALSE),_xlfn.IFNA(VLOOKUP($AI92,_CONFIG_Model_Settings!$A$5:$B$8,2,FALSE),0.9)))</f>
        <v/>
      </c>
      <c r="AL92">
        <f>IF(OR($H92="",$H92="N/A"),"",ROUND(VALUE($H92)*$AJ92*$AK92*$AV92,2))</f>
        <v/>
      </c>
      <c r="AM92">
        <f>IF($AL92="","",ROUND($AL92/5*100,1))</f>
        <v/>
      </c>
      <c r="AN92">
        <f>IFERROR(MIN(5,MAX(0,(SUMIFS(_REF_Model_Content!$D$1:$D$157,_REF_Model_Content!$A$1:$A$157,'Company Profile'!$B$9,_REF_Model_Content!$B$1:$B$157,"HR Workforce"))+_xlfn.IFNA(VLOOKUP('Company Profile'!$B$35,_CONFIG_Model_Settings!$A$11:$B$13,2,0),0))),"")</f>
        <v/>
      </c>
      <c r="AO92">
        <f>IF($AL92="","",MAX(0,ROUND($AN92-$AL92,2)))</f>
        <v/>
      </c>
      <c r="AP92">
        <f>IFERROR(SUMIFS(_REF_Model_Content!$E$1:$E$157,_REF_Model_Content!$A$1:$A$157,'Company Profile'!$B$9,_REF_Model_Content!$B$1:$B$157,"HR Workforce"),1)</f>
        <v/>
      </c>
      <c r="AQ92">
        <f>IF($AO92="","",ROUND($AO92*$AP92*($G92/5),2))</f>
        <v/>
      </c>
      <c r="AR92">
        <f>IF($AO92="","",IF($AO92&gt;=2,"Critical industry gap",IF($AO92&gt;=1,"High industry gap",IF($AO92&gt;=0.5,"Moderate industry gap","Within target"))))</f>
        <v/>
      </c>
      <c r="AS92">
        <f>IF(OR($H92="",$H92="N/A"),0,VALUE($H92)*(($AJ92+$AK92)/2)*$AV92)</f>
        <v/>
      </c>
      <c r="AT92">
        <f>IF(OR($H92="",$H92="N/A"),0,($AJ92+$AK92)/2)</f>
        <v/>
      </c>
      <c r="AU92">
        <f>'Assessment Questions'!AX92</f>
        <v/>
      </c>
      <c r="AV92">
        <f>IF(OR($H92="",$H92="N/A"),"",IF(OR($AU92="",$AU92="Everywhere",$AU92="Not applicable"),1,IF($AU92="Pilot / one team",0.4,IF($AU92="One unit or site",0.7,0.9))))</f>
        <v/>
      </c>
      <c r="AW92" t="inlineStr">
        <is>
          <t>HR Workforce</t>
        </is>
      </c>
      <c r="AX92" t="inlineStr">
        <is>
          <t>HR Workforce</t>
        </is>
      </c>
      <c r="AY92" t="n">
        <v>25</v>
      </c>
      <c r="AZ92" t="n">
        <v>92</v>
      </c>
    </row>
    <row r="93">
      <c r="A93" t="inlineStr">
        <is>
          <t>HRWO-024</t>
        </is>
      </c>
      <c r="B93" t="inlineStr">
        <is>
          <t>HR systems and compliance</t>
        </is>
      </c>
      <c r="C93" t="inlineStr">
        <is>
          <t>How mature is the organization in managing health emergency protocols for infectious disease, injury, evacuation and return-to-work, including ownership, evidence, metrics, fallback procedures and crisis stress testing?</t>
        </is>
      </c>
      <c r="D93" t="inlineStr">
        <is>
          <t>This topic affects exposure to Workforce disruption; Pandemic/health crisis; War/security crisis. It helps identify how disruption may impact operations, people, revenue, systems, legal exposure or recovery time.</t>
        </is>
      </c>
      <c r="E93" t="inlineStr">
        <is>
          <t>ISO 30414; ISO 30405; ISO 45001; ISO 22301; CIPD; SHRM</t>
        </is>
      </c>
      <c r="F93" t="inlineStr">
        <is>
          <t>Policy/SOP; owner/RACI; system report; dashboard; contracts; test records; incident history; interview evidence related to health emergency protocols for infectious disease, injury, evacuation and return-to-work.</t>
        </is>
      </c>
      <c r="G93">
        <f>'Assessment Questions'!J93</f>
        <v/>
      </c>
      <c r="H93">
        <f>IF($Z93="","",IF($Z93="N/A","N/A",VALUE(LEFT($Z93,1))))</f>
        <v/>
      </c>
      <c r="I93">
        <f>IF($H93="","",IF($H93="N/A","",VALUE($H93)/5*$G93))</f>
        <v/>
      </c>
      <c r="J93">
        <f>IF(OR($H93="",$H93="N/A"),"",$G93)</f>
        <v/>
      </c>
      <c r="K93">
        <f>IF(OR($H93="",$H93="N/A"),"",$J93-$I93)</f>
        <v/>
      </c>
      <c r="L93">
        <f>IF($H93="","",IF($H93="N/A","N/A",IF(VALUE($H93)&lt;=1,"Critical",IF(VALUE($H93)&lt;=2,"High",IF(VALUE($H93)&lt;=3,"Medium",IF(VALUE($H93)&lt;=4,"Low","Resilient"))))))</f>
        <v/>
      </c>
      <c r="M93" t="inlineStr">
        <is>
          <t>No reliable evidence that health emergency protocols for infectious disease, injury, evacuation and return-to-work is defined, owned or managed.</t>
        </is>
      </c>
      <c r="N93" t="inlineStr">
        <is>
          <t>Health emergency protocols for infectious disease, injury, evacuation and return-to-work is handled informally and depends on individual knowledge or heroic effort.</t>
        </is>
      </c>
      <c r="O93" t="inlineStr">
        <is>
          <t>Health emergency protocols for infectious disease, injury, evacuation and return-to-work is partially documented or implemented, but coverage is inconsistent and not crisis-tested.</t>
        </is>
      </c>
      <c r="P93" t="inlineStr">
        <is>
          <t>Health emergency protocols for infectious disease, injury, evacuation and return-to-work is documented, owned, used in normal operations and supported by basic evidence or metrics.</t>
        </is>
      </c>
      <c r="Q93" t="inlineStr">
        <is>
          <t>Health emergency protocols for infectious disease, injury, evacuation and return-to-work is measured, periodically reviewed, integrated with related processes and tested against relevant disruption scenarios.</t>
        </is>
      </c>
      <c r="R93" t="inlineStr">
        <is>
          <t>Health emergency protocols for infectious disease, injury, evacuation and return-to-work is optimized, continuously improved, automated where practical and demonstrably supports crisis resilience.</t>
        </is>
      </c>
      <c r="S93" t="inlineStr">
        <is>
          <t>Workforce disruption; Pandemic/health crisis; War/security crisis</t>
        </is>
      </c>
      <c r="T93">
        <f>'Assessment Questions'!W93</f>
        <v/>
      </c>
      <c r="U93">
        <f>'Assessment Questions'!X93</f>
        <v/>
      </c>
      <c r="V93">
        <f>'Assessment Questions'!Y93</f>
        <v/>
      </c>
      <c r="W93" t="n">
        <v>4</v>
      </c>
      <c r="X93" t="n">
        <v>5</v>
      </c>
      <c r="Y93" t="n">
        <v>5</v>
      </c>
      <c r="Z93">
        <f>'Assessment Questions'!AC93</f>
        <v/>
      </c>
      <c r="AB93">
        <f>COUNTIF($B$72:$B$97,$AA93)</f>
        <v/>
      </c>
      <c r="AC93">
        <f>IFERROR(SUMPRODUCT(($B$72:$B$97=$AA93)*($H$72:$H$97&lt;&gt;"")*($H$72:$H$97&lt;&gt;"N/A")*IFERROR(VALUE($H$72:$H$97),0))/SUMPRODUCT(($B$72:$B$97=$AA93)*($H$72:$H$97&lt;&gt;"")*($H$72:$H$97&lt;&gt;"N/A")),0)</f>
        <v/>
      </c>
      <c r="AD93">
        <f>AC93/5</f>
        <v/>
      </c>
      <c r="AE93">
        <f>COUNTIFS($B$72:$B$97,$AA93,$L$72:$L$97,"Critical")+COUNTIFS($B$72:$B$97,$AA93,$L$72:$L$97,"High")</f>
        <v/>
      </c>
      <c r="AF93">
        <f>5-AC93</f>
        <v/>
      </c>
      <c r="AG93">
        <f>SUMPRODUCT(($B$72:$B$97=$AA93)*(ISNUMBER($H$72:$H$97)+($H$72:$H$97="N/A")))</f>
        <v/>
      </c>
      <c r="AH93">
        <f>'Assessment Questions'!AK93</f>
        <v/>
      </c>
      <c r="AI93">
        <f>'Assessment Questions'!AL93</f>
        <v/>
      </c>
      <c r="AJ93">
        <f>IF(OR($H93="",$H93="N/A"),"",IF($AH93="",VLOOKUP('Company Profile'!$B$40,_CONFIG_Model_Settings!$A$5:$B$8,2,FALSE),_xlfn.IFNA(VLOOKUP($AH93,_CONFIG_Model_Settings!$A$5:$B$8,2,FALSE),0.9)))</f>
        <v/>
      </c>
      <c r="AK93">
        <f>IF(OR($H93="",$H93="N/A"),"",IF($AI93="",VLOOKUP('Company Profile'!$B$41,_CONFIG_Model_Settings!$A$5:$B$8,2,FALSE),_xlfn.IFNA(VLOOKUP($AI93,_CONFIG_Model_Settings!$A$5:$B$8,2,FALSE),0.9)))</f>
        <v/>
      </c>
      <c r="AL93">
        <f>IF(OR($H93="",$H93="N/A"),"",ROUND(VALUE($H93)*$AJ93*$AK93*$AV93,2))</f>
        <v/>
      </c>
      <c r="AM93">
        <f>IF($AL93="","",ROUND($AL93/5*100,1))</f>
        <v/>
      </c>
      <c r="AN93">
        <f>IFERROR(MIN(5,MAX(0,(SUMIFS(_REF_Model_Content!$D$1:$D$157,_REF_Model_Content!$A$1:$A$157,'Company Profile'!$B$9,_REF_Model_Content!$B$1:$B$157,"HR Workforce"))+_xlfn.IFNA(VLOOKUP('Company Profile'!$B$35,_CONFIG_Model_Settings!$A$11:$B$13,2,0),0))),"")</f>
        <v/>
      </c>
      <c r="AO93">
        <f>IF($AL93="","",MAX(0,ROUND($AN93-$AL93,2)))</f>
        <v/>
      </c>
      <c r="AP93">
        <f>IFERROR(SUMIFS(_REF_Model_Content!$E$1:$E$157,_REF_Model_Content!$A$1:$A$157,'Company Profile'!$B$9,_REF_Model_Content!$B$1:$B$157,"HR Workforce"),1)</f>
        <v/>
      </c>
      <c r="AQ93">
        <f>IF($AO93="","",ROUND($AO93*$AP93*($G93/5),2))</f>
        <v/>
      </c>
      <c r="AR93">
        <f>IF($AO93="","",IF($AO93&gt;=2,"Critical industry gap",IF($AO93&gt;=1,"High industry gap",IF($AO93&gt;=0.5,"Moderate industry gap","Within target"))))</f>
        <v/>
      </c>
      <c r="AS93">
        <f>IF(OR($H93="",$H93="N/A"),0,VALUE($H93)*(($AJ93+$AK93)/2)*$AV93)</f>
        <v/>
      </c>
      <c r="AT93">
        <f>IF(OR($H93="",$H93="N/A"),0,($AJ93+$AK93)/2)</f>
        <v/>
      </c>
      <c r="AU93">
        <f>'Assessment Questions'!AX93</f>
        <v/>
      </c>
      <c r="AV93">
        <f>IF(OR($H93="",$H93="N/A"),"",IF(OR($AU93="",$AU93="Everywhere",$AU93="Not applicable"),1,IF($AU93="Pilot / one team",0.4,IF($AU93="One unit or site",0.7,0.9))))</f>
        <v/>
      </c>
      <c r="AW93" t="inlineStr">
        <is>
          <t>HR Workforce</t>
        </is>
      </c>
      <c r="AX93" t="inlineStr">
        <is>
          <t>HR Workforce</t>
        </is>
      </c>
      <c r="AY93" t="n">
        <v>26</v>
      </c>
      <c r="AZ93" t="n">
        <v>93</v>
      </c>
    </row>
    <row r="94">
      <c r="A94" t="inlineStr">
        <is>
          <t>HRWO-025</t>
        </is>
      </c>
      <c r="B94" t="inlineStr">
        <is>
          <t>HR systems and compliance</t>
        </is>
      </c>
      <c r="C94" t="inlineStr">
        <is>
          <t>How mature is the organization in managing background verification and vetting for roles with access to funds, sensitive data or critical systems, including ownership, evidence, metrics, fallback procedures and crisis stress testing?</t>
        </is>
      </c>
      <c r="D94" t="inlineStr">
        <is>
          <t>This topic affects exposure to Cyberattack/ransomware; Regulatory/legal shock. It helps identify how disruption may impact operations, people, revenue, systems, legal exposure or recovery time.</t>
        </is>
      </c>
      <c r="E94" t="inlineStr">
        <is>
          <t>C2M2 WORKFORCE; ISO 27001 HR security; customer audit requirements</t>
        </is>
      </c>
      <c r="F94" t="inlineStr">
        <is>
          <t>Policy/SOP; owner/RACI; system report; dashboard; contracts; test records; incident history; interview evidence related to workforce inventory by role, location, manager, contract type, employment entity, skill and criticality.</t>
        </is>
      </c>
      <c r="G94">
        <f>'Assessment Questions'!J94</f>
        <v/>
      </c>
      <c r="H94">
        <f>IF($Z94="","",IF($Z94="N/A","N/A",VALUE(LEFT($Z94,1))))</f>
        <v/>
      </c>
      <c r="I94">
        <f>IF($H94="","",IF($H94="N/A","",VALUE($H94)/5*$G94))</f>
        <v/>
      </c>
      <c r="J94">
        <f>IF(OR($H94="",$H94="N/A"),"",$G94)</f>
        <v/>
      </c>
      <c r="K94">
        <f>IF(OR($H94="",$H94="N/A"),"",$J94-$I94)</f>
        <v/>
      </c>
      <c r="L94">
        <f>IF($H94="","",IF($H94="N/A","N/A",IF(VALUE($H94)&lt;=1,"Critical",IF(VALUE($H94)&lt;=2,"High",IF(VALUE($H94)&lt;=3,"Medium",IF(VALUE($H94)&lt;=4,"Low","Resilient"))))))</f>
        <v/>
      </c>
      <c r="M94" t="inlineStr">
        <is>
          <t>No reliable evidence that background verification and vetting for roles with access to funds, sensitive data or critical systems is defined, owned or managed.</t>
        </is>
      </c>
      <c r="N94" t="inlineStr">
        <is>
          <t>Background verification and vetting for roles with access to funds, sensitive data or critical systems is handled informally and depends on individual knowledge or heroic effort.</t>
        </is>
      </c>
      <c r="O94" t="inlineStr">
        <is>
          <t>Background verification and vetting for roles with access to funds, sensitive data or critical systems is partially documented or implemented, but coverage is inconsistent and not crisis-tested.</t>
        </is>
      </c>
      <c r="P94" t="inlineStr">
        <is>
          <t>Background verification and vetting for roles with access to funds, sensitive data or critical systems is documented, owned, used in normal operations and supported by basic evidence or metrics.</t>
        </is>
      </c>
      <c r="Q94" t="inlineStr">
        <is>
          <t>Background verification and vetting for roles with access to funds, sensitive data or critical systems is measured, periodically reviewed, integrated with related processes and tested against relevant disruption scenarios.</t>
        </is>
      </c>
      <c r="R94" t="inlineStr">
        <is>
          <t>Background verification and vetting for roles with access to funds, sensitive data or critical systems is optimized, continuously improved, automated where practical and demonstrably supports crisis resilience.</t>
        </is>
      </c>
      <c r="S94" t="inlineStr">
        <is>
          <t>Cyberattack/ransomware; Regulatory/legal shock</t>
        </is>
      </c>
      <c r="T94">
        <f>'Assessment Questions'!W94</f>
        <v/>
      </c>
      <c r="U94">
        <f>'Assessment Questions'!X94</f>
        <v/>
      </c>
      <c r="V94">
        <f>'Assessment Questions'!Y94</f>
        <v/>
      </c>
      <c r="W94" t="n">
        <v>2</v>
      </c>
      <c r="X94" t="n">
        <v>4</v>
      </c>
      <c r="Y94" t="n">
        <v>4</v>
      </c>
      <c r="Z94">
        <f>'Assessment Questions'!AC94</f>
        <v/>
      </c>
      <c r="AB94">
        <f>COUNTIF($B$72:$B$97,$AA94)</f>
        <v/>
      </c>
      <c r="AC94">
        <f>IFERROR(SUMPRODUCT(($B$72:$B$97=$AA94)*($H$72:$H$97&lt;&gt;"")*($H$72:$H$97&lt;&gt;"N/A")*IFERROR(VALUE($H$72:$H$97),0))/SUMPRODUCT(($B$72:$B$97=$AA94)*($H$72:$H$97&lt;&gt;"")*($H$72:$H$97&lt;&gt;"N/A")),0)</f>
        <v/>
      </c>
      <c r="AD94">
        <f>AC94/5</f>
        <v/>
      </c>
      <c r="AE94">
        <f>COUNTIFS($B$72:$B$97,$AA94,$L$72:$L$97,"Critical")+COUNTIFS($B$72:$B$97,$AA94,$L$72:$L$97,"High")</f>
        <v/>
      </c>
      <c r="AF94">
        <f>5-AC94</f>
        <v/>
      </c>
      <c r="AG94">
        <f>SUMPRODUCT(($B$72:$B$97=$AA94)*(ISNUMBER($H$72:$H$97)+($H$72:$H$97="N/A")))</f>
        <v/>
      </c>
      <c r="AH94">
        <f>'Assessment Questions'!AK94</f>
        <v/>
      </c>
      <c r="AI94">
        <f>'Assessment Questions'!AL94</f>
        <v/>
      </c>
      <c r="AJ94">
        <f>IF(OR($H94="",$H94="N/A"),"",IF($AH94="",VLOOKUP('Company Profile'!$B$40,_CONFIG_Model_Settings!$A$5:$B$8,2,FALSE),_xlfn.IFNA(VLOOKUP($AH94,_CONFIG_Model_Settings!$A$5:$B$8,2,FALSE),0.9)))</f>
        <v/>
      </c>
      <c r="AK94">
        <f>IF(OR($H94="",$H94="N/A"),"",IF($AI94="",VLOOKUP('Company Profile'!$B$41,_CONFIG_Model_Settings!$A$5:$B$8,2,FALSE),_xlfn.IFNA(VLOOKUP($AI94,_CONFIG_Model_Settings!$A$5:$B$8,2,FALSE),0.9)))</f>
        <v/>
      </c>
      <c r="AL94">
        <f>IF(OR($H94="",$H94="N/A"),"",ROUND(VALUE($H94)*$AJ94*$AK94*$AV94,2))</f>
        <v/>
      </c>
      <c r="AM94">
        <f>IF($AL94="","",ROUND($AL94/5*100,1))</f>
        <v/>
      </c>
      <c r="AN94">
        <f>IFERROR(MIN(5,MAX(0,(SUMIFS(_REF_Model_Content!$D$1:$D$157,_REF_Model_Content!$A$1:$A$157,'Company Profile'!$B$9,_REF_Model_Content!$B$1:$B$157,"HR Workforce"))+_xlfn.IFNA(VLOOKUP('Company Profile'!$B$35,_CONFIG_Model_Settings!$A$11:$B$13,2,0),0))),"")</f>
        <v/>
      </c>
      <c r="AO94">
        <f>IF($AL94="","",MAX(0,ROUND($AN94-$AL94,2)))</f>
        <v/>
      </c>
      <c r="AP94">
        <f>IFERROR(SUMIFS(_REF_Model_Content!$E$1:$E$157,_REF_Model_Content!$A$1:$A$157,'Company Profile'!$B$9,_REF_Model_Content!$B$1:$B$157,"HR Workforce"),1)</f>
        <v/>
      </c>
      <c r="AQ94">
        <f>IF($AO94="","",ROUND($AO94*$AP94*($G94/5),2))</f>
        <v/>
      </c>
      <c r="AR94">
        <f>IF($AO94="","",IF($AO94&gt;=2,"Critical industry gap",IF($AO94&gt;=1,"High industry gap",IF($AO94&gt;=0.5,"Moderate industry gap","Within target"))))</f>
        <v/>
      </c>
      <c r="AS94">
        <f>IF(OR($H94="",$H94="N/A"),0,VALUE($H94)*(($AJ94+$AK94)/2)*$AV94)</f>
        <v/>
      </c>
      <c r="AT94">
        <f>IF(OR($H94="",$H94="N/A"),0,($AJ94+$AK94)/2)</f>
        <v/>
      </c>
      <c r="AU94">
        <f>'Assessment Questions'!AX94</f>
        <v/>
      </c>
      <c r="AV94">
        <f>IF(OR($H94="",$H94="N/A"),"",IF(OR($AU94="",$AU94="Everywhere",$AU94="Not applicable"),1,IF($AU94="Pilot / one team",0.4,IF($AU94="One unit or site",0.7,0.9))))</f>
        <v/>
      </c>
      <c r="AW94" t="inlineStr">
        <is>
          <t>HR Workforce</t>
        </is>
      </c>
      <c r="AX94" t="inlineStr">
        <is>
          <t>HR Workforce</t>
        </is>
      </c>
      <c r="AY94" t="n">
        <v>27</v>
      </c>
      <c r="AZ94" t="n">
        <v>94</v>
      </c>
    </row>
    <row r="95">
      <c r="A95" t="inlineStr">
        <is>
          <t>HRWO-026</t>
        </is>
      </c>
      <c r="B95" t="inlineStr">
        <is>
          <t>HR systems and compliance</t>
        </is>
      </c>
      <c r="C95" t="inlineStr">
        <is>
          <t>How mature is the organization in managing role-specific security responsibilities embedded in job descriptions with specialized training for high-risk roles, including ownership, evidence, metrics, fallback procedures and crisis stress testing?</t>
        </is>
      </c>
      <c r="D95" t="inlineStr">
        <is>
          <t>This topic affects exposure to Cyberattack/ransomware; Workforce disruption. It helps identify how disruption may impact operations, people, revenue, systems, legal exposure or recovery time.</t>
        </is>
      </c>
      <c r="E95" t="inlineStr">
        <is>
          <t>C2M2 WORKFORCE; NIST CSF 2.0 PR.AT-02; ISO 27001</t>
        </is>
      </c>
      <c r="F95" t="inlineStr">
        <is>
          <t>Policy/SOP; owner/RACI; system report; dashboard; contracts; test records; incident history; interview evidence related to workforce inventory by role, location, manager, contract type, employment entity, skill and criticality.</t>
        </is>
      </c>
      <c r="G95">
        <f>'Assessment Questions'!J95</f>
        <v/>
      </c>
      <c r="H95">
        <f>IF($Z95="","",IF($Z95="N/A","N/A",VALUE(LEFT($Z95,1))))</f>
        <v/>
      </c>
      <c r="I95">
        <f>IF($H95="","",IF($H95="N/A","",VALUE($H95)/5*$G95))</f>
        <v/>
      </c>
      <c r="J95">
        <f>IF(OR($H95="",$H95="N/A"),"",$G95)</f>
        <v/>
      </c>
      <c r="K95">
        <f>IF(OR($H95="",$H95="N/A"),"",$J95-$I95)</f>
        <v/>
      </c>
      <c r="L95">
        <f>IF($H95="","",IF($H95="N/A","N/A",IF(VALUE($H95)&lt;=1,"Critical",IF(VALUE($H95)&lt;=2,"High",IF(VALUE($H95)&lt;=3,"Medium",IF(VALUE($H95)&lt;=4,"Low","Resilient"))))))</f>
        <v/>
      </c>
      <c r="M95" t="inlineStr">
        <is>
          <t>Never done; no records exist.</t>
        </is>
      </c>
      <c r="N95" t="inlineStr">
        <is>
          <t>Done once long ago or only after an incident; no schedule, no records.</t>
        </is>
      </c>
      <c r="O95" t="inlineStr">
        <is>
          <t>Done irregularly; results are not documented and findings are not tracked.</t>
        </is>
      </c>
      <c r="P95" t="inlineStr">
        <is>
          <t>Done on a defined schedule (at least annually); results documented, owner assigned.</t>
        </is>
      </c>
      <c r="Q95" t="inlineStr">
        <is>
          <t>Done quarterly/semi-annually; findings tracked to closure, effectiveness measured against targets.</t>
        </is>
      </c>
      <c r="R95" t="inlineStr">
        <is>
          <t>Continuous or automated where possible; results drive improvements and are validated externally (audit/customer).</t>
        </is>
      </c>
      <c r="S95" t="inlineStr">
        <is>
          <t>Cyberattack/ransomware; Workforce disruption</t>
        </is>
      </c>
      <c r="T95">
        <f>'Assessment Questions'!W95</f>
        <v/>
      </c>
      <c r="U95">
        <f>'Assessment Questions'!X95</f>
        <v/>
      </c>
      <c r="V95">
        <f>'Assessment Questions'!Y95</f>
        <v/>
      </c>
      <c r="W95" t="n">
        <v>3</v>
      </c>
      <c r="X95" t="n">
        <v>4</v>
      </c>
      <c r="Y95" t="n">
        <v>4</v>
      </c>
      <c r="Z95">
        <f>'Assessment Questions'!AC95</f>
        <v/>
      </c>
      <c r="AB95">
        <f>COUNTIF($B$72:$B$97,$AA95)</f>
        <v/>
      </c>
      <c r="AC95">
        <f>IFERROR(SUMPRODUCT(($B$72:$B$97=$AA95)*($H$72:$H$97&lt;&gt;"")*($H$72:$H$97&lt;&gt;"N/A")*IFERROR(VALUE($H$72:$H$97),0))/SUMPRODUCT(($B$72:$B$97=$AA95)*($H$72:$H$97&lt;&gt;"")*($H$72:$H$97&lt;&gt;"N/A")),0)</f>
        <v/>
      </c>
      <c r="AD95">
        <f>AC95/5</f>
        <v/>
      </c>
      <c r="AE95">
        <f>COUNTIFS($B$72:$B$97,$AA95,$L$72:$L$97,"Critical")+COUNTIFS($B$72:$B$97,$AA95,$L$72:$L$97,"High")</f>
        <v/>
      </c>
      <c r="AF95">
        <f>5-AC95</f>
        <v/>
      </c>
      <c r="AG95">
        <f>SUMPRODUCT(($B$72:$B$97=$AA95)*(ISNUMBER($H$72:$H$97)+($H$72:$H$97="N/A")))</f>
        <v/>
      </c>
      <c r="AH95">
        <f>'Assessment Questions'!AK95</f>
        <v/>
      </c>
      <c r="AI95">
        <f>'Assessment Questions'!AL95</f>
        <v/>
      </c>
      <c r="AJ95">
        <f>IF(OR($H95="",$H95="N/A"),"",IF($AH95="",VLOOKUP('Company Profile'!$B$40,_CONFIG_Model_Settings!$A$5:$B$8,2,FALSE),_xlfn.IFNA(VLOOKUP($AH95,_CONFIG_Model_Settings!$A$5:$B$8,2,FALSE),0.9)))</f>
        <v/>
      </c>
      <c r="AK95">
        <f>IF(OR($H95="",$H95="N/A"),"",IF($AI95="",VLOOKUP('Company Profile'!$B$41,_CONFIG_Model_Settings!$A$5:$B$8,2,FALSE),_xlfn.IFNA(VLOOKUP($AI95,_CONFIG_Model_Settings!$A$5:$B$8,2,FALSE),0.9)))</f>
        <v/>
      </c>
      <c r="AL95">
        <f>IF(OR($H95="",$H95="N/A"),"",ROUND(VALUE($H95)*$AJ95*$AK95*$AV95,2))</f>
        <v/>
      </c>
      <c r="AM95">
        <f>IF($AL95="","",ROUND($AL95/5*100,1))</f>
        <v/>
      </c>
      <c r="AN95">
        <f>IFERROR(MIN(5,MAX(0,(SUMIFS(_REF_Model_Content!$D$1:$D$157,_REF_Model_Content!$A$1:$A$157,'Company Profile'!$B$9,_REF_Model_Content!$B$1:$B$157,"HR Workforce"))+_xlfn.IFNA(VLOOKUP('Company Profile'!$B$35,_CONFIG_Model_Settings!$A$11:$B$13,2,0),0))),"")</f>
        <v/>
      </c>
      <c r="AO95">
        <f>IF($AL95="","",MAX(0,ROUND($AN95-$AL95,2)))</f>
        <v/>
      </c>
      <c r="AP95">
        <f>IFERROR(SUMIFS(_REF_Model_Content!$E$1:$E$157,_REF_Model_Content!$A$1:$A$157,'Company Profile'!$B$9,_REF_Model_Content!$B$1:$B$157,"HR Workforce"),1)</f>
        <v/>
      </c>
      <c r="AQ95">
        <f>IF($AO95="","",ROUND($AO95*$AP95*($G95/5),2))</f>
        <v/>
      </c>
      <c r="AR95">
        <f>IF($AO95="","",IF($AO95&gt;=2,"Critical industry gap",IF($AO95&gt;=1,"High industry gap",IF($AO95&gt;=0.5,"Moderate industry gap","Within target"))))</f>
        <v/>
      </c>
      <c r="AS95">
        <f>IF(OR($H95="",$H95="N/A"),0,VALUE($H95)*(($AJ95+$AK95)/2)*$AV95)</f>
        <v/>
      </c>
      <c r="AT95">
        <f>IF(OR($H95="",$H95="N/A"),0,($AJ95+$AK95)/2)</f>
        <v/>
      </c>
      <c r="AU95">
        <f>'Assessment Questions'!AX95</f>
        <v/>
      </c>
      <c r="AV95">
        <f>IF(OR($H95="",$H95="N/A"),"",IF(OR($AU95="",$AU95="Everywhere",$AU95="Not applicable"),1,IF($AU95="Pilot / one team",0.4,IF($AU95="One unit or site",0.7,0.9))))</f>
        <v/>
      </c>
      <c r="AW95" t="inlineStr">
        <is>
          <t>HR Workforce</t>
        </is>
      </c>
      <c r="AX95" t="inlineStr">
        <is>
          <t>HR Workforce</t>
        </is>
      </c>
      <c r="AY95" t="n">
        <v>28</v>
      </c>
      <c r="AZ95" t="n">
        <v>95</v>
      </c>
    </row>
    <row r="96">
      <c r="A96" t="inlineStr">
        <is>
          <t>HRWO-027</t>
        </is>
      </c>
      <c r="B96" t="inlineStr">
        <is>
          <t>Continuity and wellbeing</t>
        </is>
      </c>
      <c r="C96" t="inlineStr">
        <is>
          <t>How mature is the organization in managing systematic employee engagement measurement with trends, segmentation and follow-up actions, including ownership, evidence, metrics, fallback procedures and crisis stress testing?</t>
        </is>
      </c>
      <c r="D96" t="inlineStr">
        <is>
          <t>This topic affects exposure to Workforce disruption; Pandemic/health crisis. It helps identify how disruption may impact operations, people, revenue, systems, legal exposure or recovery time.</t>
        </is>
      </c>
      <c r="E96" t="inlineStr">
        <is>
          <t>EFQM 2025 3.2 and Results; ISO 30414</t>
        </is>
      </c>
      <c r="F96" t="inlineStr">
        <is>
          <t>Policy/SOP; owner/RACI; system report; dashboard; contracts; test records; incident history; interview evidence related to workforce inventory by role, location, manager, contract type, employment entity, skill and criticality.</t>
        </is>
      </c>
      <c r="G96">
        <f>'Assessment Questions'!J96</f>
        <v/>
      </c>
      <c r="H96">
        <f>IF($Z96="","",IF($Z96="N/A","N/A",VALUE(LEFT($Z96,1))))</f>
        <v/>
      </c>
      <c r="I96">
        <f>IF($H96="","",IF($H96="N/A","",VALUE($H96)/5*$G96))</f>
        <v/>
      </c>
      <c r="J96">
        <f>IF(OR($H96="",$H96="N/A"),"",$G96)</f>
        <v/>
      </c>
      <c r="K96">
        <f>IF(OR($H96="",$H96="N/A"),"",$J96-$I96)</f>
        <v/>
      </c>
      <c r="L96">
        <f>IF($H96="","",IF($H96="N/A","N/A",IF(VALUE($H96)&lt;=1,"Critical",IF(VALUE($H96)&lt;=2,"High",IF(VALUE($H96)&lt;=3,"Medium",IF(VALUE($H96)&lt;=4,"Low","Resilient"))))))</f>
        <v/>
      </c>
      <c r="M96" t="inlineStr">
        <is>
          <t>No reliable evidence that systematic employee engagement measurement with trends, segmentation and follow-up actions is defined, owned or managed.</t>
        </is>
      </c>
      <c r="N96" t="inlineStr">
        <is>
          <t>Systematic employee engagement measurement with trends, segmentation and follow-up actions is handled informally and depends on individual knowledge or heroic effort.</t>
        </is>
      </c>
      <c r="O96" t="inlineStr">
        <is>
          <t>Systematic employee engagement measurement with trends, segmentation and follow-up actions is partially documented or implemented, but coverage is inconsistent and not crisis-tested.</t>
        </is>
      </c>
      <c r="P96" t="inlineStr">
        <is>
          <t>Systematic employee engagement measurement with trends, segmentation and follow-up actions is documented, owned, used in normal operations and supported by basic evidence or metrics.</t>
        </is>
      </c>
      <c r="Q96" t="inlineStr">
        <is>
          <t>Systematic employee engagement measurement with trends, segmentation and follow-up actions is measured, periodically reviewed, integrated with related processes and tested against relevant disruption scenarios.</t>
        </is>
      </c>
      <c r="R96" t="inlineStr">
        <is>
          <t>Systematic employee engagement measurement with trends, segmentation and follow-up actions is optimized, continuously improved, automated where practical and demonstrably supports crisis resilience.</t>
        </is>
      </c>
      <c r="S96" t="inlineStr">
        <is>
          <t>Workforce disruption; Pandemic/health crisis</t>
        </is>
      </c>
      <c r="T96">
        <f>'Assessment Questions'!W96</f>
        <v/>
      </c>
      <c r="U96">
        <f>'Assessment Questions'!X96</f>
        <v/>
      </c>
      <c r="V96">
        <f>'Assessment Questions'!Y96</f>
        <v/>
      </c>
      <c r="W96" t="n">
        <v>3</v>
      </c>
      <c r="X96" t="n">
        <v>3</v>
      </c>
      <c r="Y96" t="n">
        <v>4</v>
      </c>
      <c r="Z96">
        <f>'Assessment Questions'!AC96</f>
        <v/>
      </c>
      <c r="AB96">
        <f>COUNTIF($B$72:$B$97,$AA96)</f>
        <v/>
      </c>
      <c r="AC96">
        <f>IFERROR(SUMPRODUCT(($B$72:$B$97=$AA96)*($H$72:$H$97&lt;&gt;"")*($H$72:$H$97&lt;&gt;"N/A")*IFERROR(VALUE($H$72:$H$97),0))/SUMPRODUCT(($B$72:$B$97=$AA96)*($H$72:$H$97&lt;&gt;"")*($H$72:$H$97&lt;&gt;"N/A")),0)</f>
        <v/>
      </c>
      <c r="AD96">
        <f>AC96/5</f>
        <v/>
      </c>
      <c r="AE96">
        <f>COUNTIFS($B$72:$B$97,$AA96,$L$72:$L$97,"Critical")+COUNTIFS($B$72:$B$97,$AA96,$L$72:$L$97,"High")</f>
        <v/>
      </c>
      <c r="AF96">
        <f>5-AC96</f>
        <v/>
      </c>
      <c r="AG96">
        <f>SUMPRODUCT(($B$72:$B$97=$AA96)*(ISNUMBER($H$72:$H$97)+($H$72:$H$97="N/A")))</f>
        <v/>
      </c>
      <c r="AH96">
        <f>'Assessment Questions'!AK96</f>
        <v/>
      </c>
      <c r="AI96">
        <f>'Assessment Questions'!AL96</f>
        <v/>
      </c>
      <c r="AJ96">
        <f>IF(OR($H96="",$H96="N/A"),"",IF($AH96="",VLOOKUP('Company Profile'!$B$40,_CONFIG_Model_Settings!$A$5:$B$8,2,FALSE),_xlfn.IFNA(VLOOKUP($AH96,_CONFIG_Model_Settings!$A$5:$B$8,2,FALSE),0.9)))</f>
        <v/>
      </c>
      <c r="AK96">
        <f>IF(OR($H96="",$H96="N/A"),"",IF($AI96="",VLOOKUP('Company Profile'!$B$41,_CONFIG_Model_Settings!$A$5:$B$8,2,FALSE),_xlfn.IFNA(VLOOKUP($AI96,_CONFIG_Model_Settings!$A$5:$B$8,2,FALSE),0.9)))</f>
        <v/>
      </c>
      <c r="AL96">
        <f>IF(OR($H96="",$H96="N/A"),"",ROUND(VALUE($H96)*$AJ96*$AK96*$AV96,2))</f>
        <v/>
      </c>
      <c r="AM96">
        <f>IF($AL96="","",ROUND($AL96/5*100,1))</f>
        <v/>
      </c>
      <c r="AN96">
        <f>IFERROR(MIN(5,MAX(0,(SUMIFS(_REF_Model_Content!$D$1:$D$157,_REF_Model_Content!$A$1:$A$157,'Company Profile'!$B$9,_REF_Model_Content!$B$1:$B$157,"HR Workforce"))+_xlfn.IFNA(VLOOKUP('Company Profile'!$B$35,_CONFIG_Model_Settings!$A$11:$B$13,2,0),0))),"")</f>
        <v/>
      </c>
      <c r="AO96">
        <f>IF($AL96="","",MAX(0,ROUND($AN96-$AL96,2)))</f>
        <v/>
      </c>
      <c r="AP96">
        <f>IFERROR(SUMIFS(_REF_Model_Content!$E$1:$E$157,_REF_Model_Content!$A$1:$A$157,'Company Profile'!$B$9,_REF_Model_Content!$B$1:$B$157,"HR Workforce"),1)</f>
        <v/>
      </c>
      <c r="AQ96">
        <f>IF($AO96="","",ROUND($AO96*$AP96*($G96/5),2))</f>
        <v/>
      </c>
      <c r="AR96">
        <f>IF($AO96="","",IF($AO96&gt;=2,"Critical industry gap",IF($AO96&gt;=1,"High industry gap",IF($AO96&gt;=0.5,"Moderate industry gap","Within target"))))</f>
        <v/>
      </c>
      <c r="AS96">
        <f>IF(OR($H96="",$H96="N/A"),0,VALUE($H96)*(($AJ96+$AK96)/2)*$AV96)</f>
        <v/>
      </c>
      <c r="AT96">
        <f>IF(OR($H96="",$H96="N/A"),0,($AJ96+$AK96)/2)</f>
        <v/>
      </c>
      <c r="AU96">
        <f>'Assessment Questions'!AX96</f>
        <v/>
      </c>
      <c r="AV96">
        <f>IF(OR($H96="",$H96="N/A"),"",IF(OR($AU96="",$AU96="Everywhere",$AU96="Not applicable"),1,IF($AU96="Pilot / one team",0.4,IF($AU96="One unit or site",0.7,0.9))))</f>
        <v/>
      </c>
      <c r="AW96" t="inlineStr">
        <is>
          <t>HR Workforce</t>
        </is>
      </c>
      <c r="AX96" t="inlineStr">
        <is>
          <t>HR Workforce</t>
        </is>
      </c>
      <c r="AY96" t="n">
        <v>29</v>
      </c>
      <c r="AZ96" t="n">
        <v>96</v>
      </c>
    </row>
    <row r="97">
      <c r="A97" t="inlineStr">
        <is>
          <t>HRWO-028</t>
        </is>
      </c>
      <c r="B97" t="inlineStr">
        <is>
          <t>Workforce visibility</t>
        </is>
      </c>
      <c r="C97" t="inlineStr">
        <is>
          <t>How mature is the organization in managing workforce exposure to national emergency duties such as conscription, reservist service or civil mobilization, including exemption processes and continuity planning, including ownership, evidence, metrics, fallback procedures and crisis stress testing?</t>
        </is>
      </c>
      <c r="D97" t="inlineStr">
        <is>
          <t>This topic affects exposure to War/security crisis; Workforce disruption. It helps identify how disruption may impact operations, people, revenue, systems, legal exposure or recovery time.</t>
        </is>
      </c>
      <c r="E97" t="inlineStr">
        <is>
          <t>ISO 22301; national emergency and labor legislation; workforce planning</t>
        </is>
      </c>
      <c r="F97" t="inlineStr">
        <is>
          <t>Policy/SOP; owner/RACI; system report; dashboard; contracts; test records; incident history; interview evidence</t>
        </is>
      </c>
      <c r="G97">
        <f>'Assessment Questions'!J97</f>
        <v/>
      </c>
      <c r="H97">
        <f>IF($Z97="","",IF($Z97="N/A","N/A",VALUE(LEFT($Z97,1))))</f>
        <v/>
      </c>
      <c r="I97">
        <f>IF($H97="","",IF($H97="N/A","",VALUE($H97)/5*$G97))</f>
        <v/>
      </c>
      <c r="J97">
        <f>IF(OR($H97="",$H97="N/A"),"",$G97)</f>
        <v/>
      </c>
      <c r="K97">
        <f>IF(OR($H97="",$H97="N/A"),"",$J97-$I97)</f>
        <v/>
      </c>
      <c r="L97">
        <f>IF($H97="","",IF($H97="N/A","N/A",IF(VALUE($H97)&lt;=1,"Critical",IF(VALUE($H97)&lt;=2,"High",IF(VALUE($H97)&lt;=3,"Medium",IF(VALUE($H97)&lt;=4,"Low","Resilient"))))))</f>
        <v/>
      </c>
      <c r="M97" t="inlineStr">
        <is>
          <t>No reliable evidence that workforce exposure to national emergency duties such as conscription, reservist service or civil mobilization, including exemption processes and continuity planning is defined, owned or managed.</t>
        </is>
      </c>
      <c r="N97" t="inlineStr">
        <is>
          <t>Workforce exposure to national emergency duties such as conscription, reservist service or civil mobilization, including exemption processes and continuity planning is handled informally and depends on individual knowledge or heroic effort.</t>
        </is>
      </c>
      <c r="O97" t="inlineStr">
        <is>
          <t>Workforce exposure to national emergency duties such as conscription, reservist service or civil mobilization, including exemption processes and continuity planning is partially documented or implemented, but coverage is inconsistent and not crisis-tested.</t>
        </is>
      </c>
      <c r="P97" t="inlineStr">
        <is>
          <t>Workforce exposure to national emergency duties such as conscription, reservist service or civil mobilization, including exemption processes and continuity planning is documented, owned, used in normal operations and supported by basic evidence or metrics.</t>
        </is>
      </c>
      <c r="Q97" t="inlineStr">
        <is>
          <t>Workforce exposure to national emergency duties such as conscription, reservist service or civil mobilization, including exemption processes and continuity planning is measured, periodically reviewed, integrated with related processes and tested against relevant disruption scenarios.</t>
        </is>
      </c>
      <c r="R97" t="inlineStr">
        <is>
          <t>Workforce exposure to national emergency duties such as conscription, reservist service or civil mobilization, including exemption processes and continuity planning is optimized, continuously improved, automated where practical and demonstrably supports crisis resilience.</t>
        </is>
      </c>
      <c r="S97" t="inlineStr">
        <is>
          <t>War/security crisis; Workforce disruption</t>
        </is>
      </c>
      <c r="T97">
        <f>'Assessment Questions'!W97</f>
        <v/>
      </c>
      <c r="U97">
        <f>'Assessment Questions'!X97</f>
        <v/>
      </c>
      <c r="V97">
        <f>'Assessment Questions'!Y97</f>
        <v/>
      </c>
      <c r="W97" t="n">
        <v>2</v>
      </c>
      <c r="X97" t="n">
        <v>5</v>
      </c>
      <c r="Y97" t="n">
        <v>4</v>
      </c>
      <c r="Z97">
        <f>'Assessment Questions'!AC97</f>
        <v/>
      </c>
      <c r="AB97">
        <f>COUNTIF($B$72:$B$97,$AA97)</f>
        <v/>
      </c>
      <c r="AC97">
        <f>IFERROR(SUMPRODUCT(($B$72:$B$97=$AA97)*($H$72:$H$97&lt;&gt;"")*($H$72:$H$97&lt;&gt;"N/A")*IFERROR(VALUE($H$72:$H$97),0))/SUMPRODUCT(($B$72:$B$97=$AA97)*($H$72:$H$97&lt;&gt;"")*($H$72:$H$97&lt;&gt;"N/A")),0)</f>
        <v/>
      </c>
      <c r="AD97">
        <f>AC97/5</f>
        <v/>
      </c>
      <c r="AE97">
        <f>COUNTIFS($B$72:$B$97,$AA97,$L$72:$L$97,"Critical")+COUNTIFS($B$72:$B$97,$AA97,$L$72:$L$97,"High")</f>
        <v/>
      </c>
      <c r="AF97">
        <f>5-AC97</f>
        <v/>
      </c>
      <c r="AG97">
        <f>SUMPRODUCT(($B$72:$B$97=$AA97)*(ISNUMBER($H$72:$H$97)+($H$72:$H$97="N/A")))</f>
        <v/>
      </c>
      <c r="AH97">
        <f>'Assessment Questions'!AK97</f>
        <v/>
      </c>
      <c r="AI97">
        <f>'Assessment Questions'!AL97</f>
        <v/>
      </c>
      <c r="AJ97">
        <f>IF(OR($H97="",$H97="N/A"),"",IF($AH97="",VLOOKUP('Company Profile'!$B$40,_CONFIG_Model_Settings!$A$5:$B$8,2,FALSE),_xlfn.IFNA(VLOOKUP($AH97,_CONFIG_Model_Settings!$A$5:$B$8,2,FALSE),0.9)))</f>
        <v/>
      </c>
      <c r="AK97">
        <f>IF(OR($H97="",$H97="N/A"),"",IF($AI97="",VLOOKUP('Company Profile'!$B$41,_CONFIG_Model_Settings!$A$5:$B$8,2,FALSE),_xlfn.IFNA(VLOOKUP($AI97,_CONFIG_Model_Settings!$A$5:$B$8,2,FALSE),0.9)))</f>
        <v/>
      </c>
      <c r="AL97">
        <f>IF(OR($H97="",$H97="N/A"),"",ROUND(VALUE($H97)*$AJ97*$AK97*$AV97,2))</f>
        <v/>
      </c>
      <c r="AM97">
        <f>IF($AL97="","",ROUND($AL97/5*100,1))</f>
        <v/>
      </c>
      <c r="AN97">
        <f>IFERROR(MIN(5,MAX(0,(SUMIFS(_REF_Model_Content!$D$1:$D$157,_REF_Model_Content!$A$1:$A$157,'Company Profile'!$B$9,_REF_Model_Content!$B$1:$B$157,"HR Workforce"))+_xlfn.IFNA(VLOOKUP('Company Profile'!$B$35,_CONFIG_Model_Settings!$A$11:$B$13,2,0),0))),"")</f>
        <v/>
      </c>
      <c r="AO97">
        <f>IF($AL97="","",MAX(0,ROUND($AN97-$AL97,2)))</f>
        <v/>
      </c>
      <c r="AP97">
        <f>IFERROR(SUMIFS(_REF_Model_Content!$E$1:$E$157,_REF_Model_Content!$A$1:$A$157,'Company Profile'!$B$9,_REF_Model_Content!$B$1:$B$157,"HR Workforce"),1)</f>
        <v/>
      </c>
      <c r="AQ97">
        <f>IF($AO97="","",ROUND($AO97*$AP97*($G97/5),2))</f>
        <v/>
      </c>
      <c r="AR97">
        <f>IF($AO97="","",IF($AO97&gt;=2,"Critical industry gap",IF($AO97&gt;=1,"High industry gap",IF($AO97&gt;=0.5,"Moderate industry gap","Within target"))))</f>
        <v/>
      </c>
      <c r="AS97">
        <f>IF(OR($H97="",$H97="N/A"),0,VALUE($H97)*(($AJ97+$AK97)/2)*$AV97)</f>
        <v/>
      </c>
      <c r="AT97">
        <f>IF(OR($H97="",$H97="N/A"),0,($AJ97+$AK97)/2)</f>
        <v/>
      </c>
      <c r="AU97">
        <f>'Assessment Questions'!AX97</f>
        <v/>
      </c>
      <c r="AV97">
        <f>IF(OR($H97="",$H97="N/A"),"",IF(OR($AU97="",$AU97="Everywhere",$AU97="Not applicable"),1,IF($AU97="Pilot / one team",0.4,IF($AU97="One unit or site",0.7,0.9))))</f>
        <v/>
      </c>
      <c r="AW97" t="inlineStr">
        <is>
          <t>HR Workforce</t>
        </is>
      </c>
      <c r="AX97" t="inlineStr">
        <is>
          <t>HR Workforce</t>
        </is>
      </c>
      <c r="AY97" t="n">
        <v>30</v>
      </c>
      <c r="AZ97" t="n">
        <v>97</v>
      </c>
    </row>
    <row r="98">
      <c r="A98" t="inlineStr">
        <is>
          <t>FINA-001</t>
        </is>
      </c>
      <c r="B98" t="inlineStr">
        <is>
          <t>Financial resilience</t>
        </is>
      </c>
      <c r="C98" t="inlineStr">
        <is>
          <t>How mature is the organization in managing cash visibility by legal entity, bank, currency, restrictions and emergency access, including ownership, evidence, metrics, fallback procedures and crisis stress testing?</t>
        </is>
      </c>
      <c r="D98" t="inlineStr">
        <is>
          <t>This topic affects exposure to Financial liquidity crisis; Supplier disruption; Fraud risk. It helps identify how disruption may impact operations, people, revenue, systems, legal exposure or recovery time.</t>
        </is>
      </c>
      <c r="E98" t="inlineStr">
        <is>
          <t>COSO Internal Control; COSO ERM; IFRS; ISO 20400; ISO 37001; CIPS</t>
        </is>
      </c>
      <c r="F98" t="inlineStr">
        <is>
          <t>Policy/SOP; owner/RACI; system report; dashboard; contracts; test records; incident history; interview evidence related to cash visibility by legal entity, bank, currency, restrictions and emergency access.</t>
        </is>
      </c>
      <c r="G98">
        <f>'Assessment Questions'!J98</f>
        <v/>
      </c>
      <c r="H98">
        <f>IF($Z98="","",IF($Z98="N/A","N/A",VALUE(LEFT($Z98,1))))</f>
        <v/>
      </c>
      <c r="I98">
        <f>IF($H98="","",IF($H98="N/A","",VALUE($H98)/5*$G98))</f>
        <v/>
      </c>
      <c r="J98">
        <f>IF(OR($H98="",$H98="N/A"),"",$G98)</f>
        <v/>
      </c>
      <c r="K98">
        <f>IF(OR($H98="",$H98="N/A"),"",$J98-$I98)</f>
        <v/>
      </c>
      <c r="L98">
        <f>IF($H98="","",IF($H98="N/A","N/A",IF(VALUE($H98)&lt;=1,"Critical",IF(VALUE($H98)&lt;=2,"High",IF(VALUE($H98)&lt;=3,"Medium",IF(VALUE($H98)&lt;=4,"Low","Resilient"))))))</f>
        <v/>
      </c>
      <c r="M98" t="inlineStr">
        <is>
          <t>Nothing is monitored or measured.</t>
        </is>
      </c>
      <c r="N98" t="inlineStr">
        <is>
          <t>Occasional manual checks by individuals.</t>
        </is>
      </c>
      <c r="O98" t="inlineStr">
        <is>
          <t>Some metrics exist but are not reviewed regularly and trigger no action.</t>
        </is>
      </c>
      <c r="P98" t="inlineStr">
        <is>
          <t>Defined metrics with an owner, reviewed on a set cadence.</t>
        </is>
      </c>
      <c r="Q98" t="inlineStr">
        <is>
          <t>Thresholds and alerts in place; deviations trigger documented action; trends analyzed.</t>
        </is>
      </c>
      <c r="R98" t="inlineStr">
        <is>
          <t>Automated monitoring with leading indicators, integrated into management decisions.</t>
        </is>
      </c>
      <c r="S98" t="inlineStr">
        <is>
          <t>Financial liquidity crisis; Supplier disruption; Fraud risk</t>
        </is>
      </c>
      <c r="T98">
        <f>'Assessment Questions'!W98</f>
        <v/>
      </c>
      <c r="U98">
        <f>'Assessment Questions'!X98</f>
        <v/>
      </c>
      <c r="V98">
        <f>'Assessment Questions'!Y98</f>
        <v/>
      </c>
      <c r="W98" t="n">
        <v>4</v>
      </c>
      <c r="X98" t="n">
        <v>5</v>
      </c>
      <c r="Y98" t="n">
        <v>5</v>
      </c>
      <c r="Z98">
        <f>'Assessment Questions'!AC98</f>
        <v/>
      </c>
      <c r="AA98" t="inlineStr">
        <is>
          <t>Financial resilience</t>
        </is>
      </c>
      <c r="AB98">
        <f>COUNTIF($B$98:$B$123,$AA98)</f>
        <v/>
      </c>
      <c r="AC98">
        <f>IFERROR(SUMPRODUCT(($B$98:$B$123=$AA98)*($H$98:$H$123&lt;&gt;"")*($H$98:$H$123&lt;&gt;"N/A")*IFERROR(VALUE($H$98:$H$123),0))/SUMPRODUCT(($B$98:$B$123=$AA98)*($H$98:$H$123&lt;&gt;"")*($H$98:$H$123&lt;&gt;"N/A")),0)</f>
        <v/>
      </c>
      <c r="AD98">
        <f>AC98/5</f>
        <v/>
      </c>
      <c r="AE98">
        <f>COUNTIFS($B$98:$B$123,$AA98,$L$98:$L$123,"Critical")+COUNTIFS($B$98:$B$123,$AA98,$L$98:$L$123,"High")</f>
        <v/>
      </c>
      <c r="AF98">
        <f>5-AC98</f>
        <v/>
      </c>
      <c r="AG98">
        <f>SUMPRODUCT(($B$98:$B$123=$AA98)*(ISNUMBER($H$98:$H$123)+($H$98:$H$123="N/A")))</f>
        <v/>
      </c>
      <c r="AH98">
        <f>'Assessment Questions'!AK98</f>
        <v/>
      </c>
      <c r="AI98">
        <f>'Assessment Questions'!AL98</f>
        <v/>
      </c>
      <c r="AJ98">
        <f>IF(OR($H98="",$H98="N/A"),"",IF($AH98="",VLOOKUP('Company Profile'!$B$40,_CONFIG_Model_Settings!$A$5:$B$8,2,FALSE),_xlfn.IFNA(VLOOKUP($AH98,_CONFIG_Model_Settings!$A$5:$B$8,2,FALSE),0.9)))</f>
        <v/>
      </c>
      <c r="AK98">
        <f>IF(OR($H98="",$H98="N/A"),"",IF($AI98="",VLOOKUP('Company Profile'!$B$41,_CONFIG_Model_Settings!$A$5:$B$8,2,FALSE),_xlfn.IFNA(VLOOKUP($AI98,_CONFIG_Model_Settings!$A$5:$B$8,2,FALSE),0.9)))</f>
        <v/>
      </c>
      <c r="AL98">
        <f>IF(OR($H98="",$H98="N/A"),"",ROUND(VALUE($H98)*$AJ98*$AK98*$AV98,2))</f>
        <v/>
      </c>
      <c r="AM98">
        <f>IF($AL98="","",ROUND($AL98/5*100,1))</f>
        <v/>
      </c>
      <c r="AN98">
        <f>IFERROR(MIN(5,MAX(0,(SUMIFS(_REF_Model_Content!$D$1:$D$157,_REF_Model_Content!$A$1:$A$157,'Company Profile'!$B$9,_REF_Model_Content!$B$1:$B$157,"Finance Procurement"))+_xlfn.IFNA(VLOOKUP('Company Profile'!$B$35,_CONFIG_Model_Settings!$A$11:$B$13,2,0),0))),"")</f>
        <v/>
      </c>
      <c r="AO98">
        <f>IF($AL98="","",MAX(0,ROUND($AN98-$AL98,2)))</f>
        <v/>
      </c>
      <c r="AP98">
        <f>IFERROR(SUMIFS(_REF_Model_Content!$E$1:$E$157,_REF_Model_Content!$A$1:$A$157,'Company Profile'!$B$9,_REF_Model_Content!$B$1:$B$157,"Finance Procurement"),1)</f>
        <v/>
      </c>
      <c r="AQ98">
        <f>IF($AO98="","",ROUND($AO98*$AP98*($G98/5),2))</f>
        <v/>
      </c>
      <c r="AR98">
        <f>IF($AO98="","",IF($AO98&gt;=2,"Critical industry gap",IF($AO98&gt;=1,"High industry gap",IF($AO98&gt;=0.5,"Moderate industry gap","Within target"))))</f>
        <v/>
      </c>
      <c r="AS98">
        <f>IF(OR($H98="",$H98="N/A"),0,VALUE($H98)*(($AJ98+$AK98)/2)*$AV98)</f>
        <v/>
      </c>
      <c r="AT98">
        <f>IF(OR($H98="",$H98="N/A"),0,($AJ98+$AK98)/2)</f>
        <v/>
      </c>
      <c r="AU98">
        <f>'Assessment Questions'!AX98</f>
        <v/>
      </c>
      <c r="AV98">
        <f>IF(OR($H98="",$H98="N/A"),"",IF(OR($AU98="",$AU98="Everywhere",$AU98="Not applicable"),1,IF($AU98="Pilot / one team",0.4,IF($AU98="One unit or site",0.7,0.9))))</f>
        <v/>
      </c>
      <c r="AW98" t="inlineStr">
        <is>
          <t>Finance Procurement</t>
        </is>
      </c>
      <c r="AX98" t="inlineStr">
        <is>
          <t>Finance Procurement</t>
        </is>
      </c>
      <c r="AY98" t="n">
        <v>5</v>
      </c>
      <c r="AZ98" t="n">
        <v>98</v>
      </c>
    </row>
    <row r="99">
      <c r="A99" t="inlineStr">
        <is>
          <t>FINA-002</t>
        </is>
      </c>
      <c r="B99" t="inlineStr">
        <is>
          <t>Financial resilience</t>
        </is>
      </c>
      <c r="C99" t="inlineStr">
        <is>
          <t>How mature is the organization in managing cash-flow forecasting under base, downside and severe crisis scenarios, including ownership, evidence, metrics, fallback procedures and crisis stress testing?</t>
        </is>
      </c>
      <c r="D99" t="inlineStr">
        <is>
          <t>This topic affects exposure to Financial liquidity crisis; Supplier disruption; Fraud risk. It helps identify how disruption may impact operations, people, revenue, systems, legal exposure or recovery time.</t>
        </is>
      </c>
      <c r="E99" t="inlineStr">
        <is>
          <t>COSO Internal Control; COSO ERM; IFRS; ISO 20400; ISO 37001; CIPS</t>
        </is>
      </c>
      <c r="F99" t="inlineStr">
        <is>
          <t>Policy/SOP; owner/RACI; system report; dashboard; contracts; test records; incident history; interview evidence related to cash-flow forecasting under base, downside and severe crisis scenarios.</t>
        </is>
      </c>
      <c r="G99">
        <f>'Assessment Questions'!J99</f>
        <v/>
      </c>
      <c r="H99">
        <f>IF($Z99="","",IF($Z99="N/A","N/A",VALUE(LEFT($Z99,1))))</f>
        <v/>
      </c>
      <c r="I99">
        <f>IF($H99="","",IF($H99="N/A","",VALUE($H99)/5*$G99))</f>
        <v/>
      </c>
      <c r="J99">
        <f>IF(OR($H99="",$H99="N/A"),"",$G99)</f>
        <v/>
      </c>
      <c r="K99">
        <f>IF(OR($H99="",$H99="N/A"),"",$J99-$I99)</f>
        <v/>
      </c>
      <c r="L99">
        <f>IF($H99="","",IF($H99="N/A","N/A",IF(VALUE($H99)&lt;=1,"Critical",IF(VALUE($H99)&lt;=2,"High",IF(VALUE($H99)&lt;=3,"Medium",IF(VALUE($H99)&lt;=4,"Low","Resilient"))))))</f>
        <v/>
      </c>
      <c r="M99" t="inlineStr">
        <is>
          <t>Does not exist; no owner, no documentation, no practice.</t>
        </is>
      </c>
      <c r="N99" t="inlineStr">
        <is>
          <t>Ad hoc; depends entirely on specific individuals.</t>
        </is>
      </c>
      <c r="O99" t="inlineStr">
        <is>
          <t>Partially documented or implemented; coverage inconsistent; never tested under stress.</t>
        </is>
      </c>
      <c r="P99" t="inlineStr">
        <is>
          <t>Documented, owned, executed consistently; basic evidence and metrics exist.</t>
        </is>
      </c>
      <c r="Q99" t="inlineStr">
        <is>
          <t>Measured and periodically tested/audited; integrated with adjacent processes.</t>
        </is>
      </c>
      <c r="R99" t="inlineStr">
        <is>
          <t>Optimized and automated where practical; stress-tested; benchmarked externally.</t>
        </is>
      </c>
      <c r="S99" t="inlineStr">
        <is>
          <t>Financial liquidity crisis; Supplier disruption; Fraud risk</t>
        </is>
      </c>
      <c r="T99">
        <f>'Assessment Questions'!W99</f>
        <v/>
      </c>
      <c r="U99">
        <f>'Assessment Questions'!X99</f>
        <v/>
      </c>
      <c r="V99">
        <f>'Assessment Questions'!Y99</f>
        <v/>
      </c>
      <c r="W99" t="n">
        <v>4</v>
      </c>
      <c r="X99" t="n">
        <v>5</v>
      </c>
      <c r="Y99" t="n">
        <v>5</v>
      </c>
      <c r="Z99">
        <f>'Assessment Questions'!AC99</f>
        <v/>
      </c>
      <c r="AA99" t="inlineStr">
        <is>
          <t>Controls and accounting</t>
        </is>
      </c>
      <c r="AB99">
        <f>COUNTIF($B$98:$B$123,$AA99)</f>
        <v/>
      </c>
      <c r="AC99">
        <f>IFERROR(SUMPRODUCT(($B$98:$B$123=$AA99)*($H$98:$H$123&lt;&gt;"")*($H$98:$H$123&lt;&gt;"N/A")*IFERROR(VALUE($H$98:$H$123),0))/SUMPRODUCT(($B$98:$B$123=$AA99)*($H$98:$H$123&lt;&gt;"")*($H$98:$H$123&lt;&gt;"N/A")),0)</f>
        <v/>
      </c>
      <c r="AD99">
        <f>AC99/5</f>
        <v/>
      </c>
      <c r="AE99">
        <f>COUNTIFS($B$98:$B$123,$AA99,$L$98:$L$123,"Critical")+COUNTIFS($B$98:$B$123,$AA99,$L$98:$L$123,"High")</f>
        <v/>
      </c>
      <c r="AF99">
        <f>5-AC99</f>
        <v/>
      </c>
      <c r="AG99">
        <f>SUMPRODUCT(($B$98:$B$123=$AA99)*(ISNUMBER($H$98:$H$123)+($H$98:$H$123="N/A")))</f>
        <v/>
      </c>
      <c r="AH99">
        <f>'Assessment Questions'!AK99</f>
        <v/>
      </c>
      <c r="AI99">
        <f>'Assessment Questions'!AL99</f>
        <v/>
      </c>
      <c r="AJ99">
        <f>IF(OR($H99="",$H99="N/A"),"",IF($AH99="",VLOOKUP('Company Profile'!$B$40,_CONFIG_Model_Settings!$A$5:$B$8,2,FALSE),_xlfn.IFNA(VLOOKUP($AH99,_CONFIG_Model_Settings!$A$5:$B$8,2,FALSE),0.9)))</f>
        <v/>
      </c>
      <c r="AK99">
        <f>IF(OR($H99="",$H99="N/A"),"",IF($AI99="",VLOOKUP('Company Profile'!$B$41,_CONFIG_Model_Settings!$A$5:$B$8,2,FALSE),_xlfn.IFNA(VLOOKUP($AI99,_CONFIG_Model_Settings!$A$5:$B$8,2,FALSE),0.9)))</f>
        <v/>
      </c>
      <c r="AL99">
        <f>IF(OR($H99="",$H99="N/A"),"",ROUND(VALUE($H99)*$AJ99*$AK99*$AV99,2))</f>
        <v/>
      </c>
      <c r="AM99">
        <f>IF($AL99="","",ROUND($AL99/5*100,1))</f>
        <v/>
      </c>
      <c r="AN99">
        <f>IFERROR(MIN(5,MAX(0,(SUMIFS(_REF_Model_Content!$D$1:$D$157,_REF_Model_Content!$A$1:$A$157,'Company Profile'!$B$9,_REF_Model_Content!$B$1:$B$157,"Finance Procurement"))+_xlfn.IFNA(VLOOKUP('Company Profile'!$B$35,_CONFIG_Model_Settings!$A$11:$B$13,2,0),0))),"")</f>
        <v/>
      </c>
      <c r="AO99">
        <f>IF($AL99="","",MAX(0,ROUND($AN99-$AL99,2)))</f>
        <v/>
      </c>
      <c r="AP99">
        <f>IFERROR(SUMIFS(_REF_Model_Content!$E$1:$E$157,_REF_Model_Content!$A$1:$A$157,'Company Profile'!$B$9,_REF_Model_Content!$B$1:$B$157,"Finance Procurement"),1)</f>
        <v/>
      </c>
      <c r="AQ99">
        <f>IF($AO99="","",ROUND($AO99*$AP99*($G99/5),2))</f>
        <v/>
      </c>
      <c r="AR99">
        <f>IF($AO99="","",IF($AO99&gt;=2,"Critical industry gap",IF($AO99&gt;=1,"High industry gap",IF($AO99&gt;=0.5,"Moderate industry gap","Within target"))))</f>
        <v/>
      </c>
      <c r="AS99">
        <f>IF(OR($H99="",$H99="N/A"),0,VALUE($H99)*(($AJ99+$AK99)/2)*$AV99)</f>
        <v/>
      </c>
      <c r="AT99">
        <f>IF(OR($H99="",$H99="N/A"),0,($AJ99+$AK99)/2)</f>
        <v/>
      </c>
      <c r="AU99">
        <f>'Assessment Questions'!AX99</f>
        <v/>
      </c>
      <c r="AV99">
        <f>IF(OR($H99="",$H99="N/A"),"",IF(OR($AU99="",$AU99="Everywhere",$AU99="Not applicable"),1,IF($AU99="Pilot / one team",0.4,IF($AU99="One unit or site",0.7,0.9))))</f>
        <v/>
      </c>
      <c r="AW99" t="inlineStr">
        <is>
          <t>Finance Procurement</t>
        </is>
      </c>
      <c r="AX99" t="inlineStr">
        <is>
          <t>Finance Procurement</t>
        </is>
      </c>
      <c r="AY99" t="n">
        <v>6</v>
      </c>
      <c r="AZ99" t="n">
        <v>99</v>
      </c>
    </row>
    <row r="100">
      <c r="A100" t="inlineStr">
        <is>
          <t>FINA-003</t>
        </is>
      </c>
      <c r="B100" t="inlineStr">
        <is>
          <t>Financial resilience</t>
        </is>
      </c>
      <c r="C100" t="inlineStr">
        <is>
          <t>How mature is the organization in managing liquidity buffers, credit lines, emergency funding options and covenant monitoring, including ownership, evidence, metrics, fallback procedures and crisis stress testing?</t>
        </is>
      </c>
      <c r="D100" t="inlineStr">
        <is>
          <t>This topic affects exposure to Financial liquidity crisis; Supplier disruption; Fraud risk. It helps identify how disruption may impact operations, people, revenue, systems, legal exposure or recovery time.</t>
        </is>
      </c>
      <c r="E100" t="inlineStr">
        <is>
          <t>COSO Internal Control; COSO ERM; IFRS; ISO 20400; ISO 37001; CIPS</t>
        </is>
      </c>
      <c r="F100" t="inlineStr">
        <is>
          <t>Policy/SOP; owner/RACI; system report; dashboard; contracts; test records; incident history; interview evidence related to liquidity buffers, credit lines, emergency funding options and covenant monitoring.</t>
        </is>
      </c>
      <c r="G100">
        <f>'Assessment Questions'!J100</f>
        <v/>
      </c>
      <c r="H100">
        <f>IF($Z100="","",IF($Z100="N/A","N/A",VALUE(LEFT($Z100,1))))</f>
        <v/>
      </c>
      <c r="I100">
        <f>IF($H100="","",IF($H100="N/A","",VALUE($H100)/5*$G100))</f>
        <v/>
      </c>
      <c r="J100">
        <f>IF(OR($H100="",$H100="N/A"),"",$G100)</f>
        <v/>
      </c>
      <c r="K100">
        <f>IF(OR($H100="",$H100="N/A"),"",$J100-$I100)</f>
        <v/>
      </c>
      <c r="L100">
        <f>IF($H100="","",IF($H100="N/A","N/A",IF(VALUE($H100)&lt;=1,"Critical",IF(VALUE($H100)&lt;=2,"High",IF(VALUE($H100)&lt;=3,"Medium",IF(VALUE($H100)&lt;=4,"Low","Resilient"))))))</f>
        <v/>
      </c>
      <c r="M100" t="inlineStr">
        <is>
          <t>No liquidity buffer; no credit lines; cash position unclear.</t>
        </is>
      </c>
      <c r="N100" t="inlineStr">
        <is>
          <t>Buffer exists informally; size not based on analysis.</t>
        </is>
      </c>
      <c r="O100" t="inlineStr">
        <is>
          <t>Buffer or credit line exists but covers under 1 month of fixed costs or is untested.</t>
        </is>
      </c>
      <c r="P100" t="inlineStr">
        <is>
          <t>Defined buffer target (&gt;=1-3 months) plus committed credit lines; covenants monitored.</t>
        </is>
      </c>
      <c r="Q100" t="inlineStr">
        <is>
          <t>Buffer sized from stress scenarios; emergency funding options pre-negotiated and reviewed.</t>
        </is>
      </c>
      <c r="R100" t="inlineStr">
        <is>
          <t>Multi-source liquidity strategy tested in real or simulated stress; covenant headroom actively managed.</t>
        </is>
      </c>
      <c r="S100" t="inlineStr">
        <is>
          <t>Financial liquidity crisis; Supplier disruption; Fraud risk</t>
        </is>
      </c>
      <c r="T100">
        <f>'Assessment Questions'!W100</f>
        <v/>
      </c>
      <c r="U100">
        <f>'Assessment Questions'!X100</f>
        <v/>
      </c>
      <c r="V100">
        <f>'Assessment Questions'!Y100</f>
        <v/>
      </c>
      <c r="W100" t="n">
        <v>4</v>
      </c>
      <c r="X100" t="n">
        <v>5</v>
      </c>
      <c r="Y100" t="n">
        <v>5</v>
      </c>
      <c r="Z100">
        <f>'Assessment Questions'!AC100</f>
        <v/>
      </c>
      <c r="AA100" t="inlineStr">
        <is>
          <t>Procurement and suppliers</t>
        </is>
      </c>
      <c r="AB100">
        <f>COUNTIF($B$98:$B$123,$AA100)</f>
        <v/>
      </c>
      <c r="AC100">
        <f>IFERROR(SUMPRODUCT(($B$98:$B$123=$AA100)*($H$98:$H$123&lt;&gt;"")*($H$98:$H$123&lt;&gt;"N/A")*IFERROR(VALUE($H$98:$H$123),0))/SUMPRODUCT(($B$98:$B$123=$AA100)*($H$98:$H$123&lt;&gt;"")*($H$98:$H$123&lt;&gt;"N/A")),0)</f>
        <v/>
      </c>
      <c r="AD100">
        <f>AC100/5</f>
        <v/>
      </c>
      <c r="AE100">
        <f>COUNTIFS($B$98:$B$123,$AA100,$L$98:$L$123,"Critical")+COUNTIFS($B$98:$B$123,$AA100,$L$98:$L$123,"High")</f>
        <v/>
      </c>
      <c r="AF100">
        <f>5-AC100</f>
        <v/>
      </c>
      <c r="AG100">
        <f>SUMPRODUCT(($B$98:$B$123=$AA100)*(ISNUMBER($H$98:$H$123)+($H$98:$H$123="N/A")))</f>
        <v/>
      </c>
      <c r="AH100">
        <f>'Assessment Questions'!AK100</f>
        <v/>
      </c>
      <c r="AI100">
        <f>'Assessment Questions'!AL100</f>
        <v/>
      </c>
      <c r="AJ100">
        <f>IF(OR($H100="",$H100="N/A"),"",IF($AH100="",VLOOKUP('Company Profile'!$B$40,_CONFIG_Model_Settings!$A$5:$B$8,2,FALSE),_xlfn.IFNA(VLOOKUP($AH100,_CONFIG_Model_Settings!$A$5:$B$8,2,FALSE),0.9)))</f>
        <v/>
      </c>
      <c r="AK100">
        <f>IF(OR($H100="",$H100="N/A"),"",IF($AI100="",VLOOKUP('Company Profile'!$B$41,_CONFIG_Model_Settings!$A$5:$B$8,2,FALSE),_xlfn.IFNA(VLOOKUP($AI100,_CONFIG_Model_Settings!$A$5:$B$8,2,FALSE),0.9)))</f>
        <v/>
      </c>
      <c r="AL100">
        <f>IF(OR($H100="",$H100="N/A"),"",ROUND(VALUE($H100)*$AJ100*$AK100*$AV100,2))</f>
        <v/>
      </c>
      <c r="AM100">
        <f>IF($AL100="","",ROUND($AL100/5*100,1))</f>
        <v/>
      </c>
      <c r="AN100">
        <f>IFERROR(MIN(5,MAX(0,(SUMIFS(_REF_Model_Content!$D$1:$D$157,_REF_Model_Content!$A$1:$A$157,'Company Profile'!$B$9,_REF_Model_Content!$B$1:$B$157,"Finance Procurement"))+_xlfn.IFNA(VLOOKUP('Company Profile'!$B$35,_CONFIG_Model_Settings!$A$11:$B$13,2,0),0))),"")</f>
        <v/>
      </c>
      <c r="AO100">
        <f>IF($AL100="","",MAX(0,ROUND($AN100-$AL100,2)))</f>
        <v/>
      </c>
      <c r="AP100">
        <f>IFERROR(SUMIFS(_REF_Model_Content!$E$1:$E$157,_REF_Model_Content!$A$1:$A$157,'Company Profile'!$B$9,_REF_Model_Content!$B$1:$B$157,"Finance Procurement"),1)</f>
        <v/>
      </c>
      <c r="AQ100">
        <f>IF($AO100="","",ROUND($AO100*$AP100*($G100/5),2))</f>
        <v/>
      </c>
      <c r="AR100">
        <f>IF($AO100="","",IF($AO100&gt;=2,"Critical industry gap",IF($AO100&gt;=1,"High industry gap",IF($AO100&gt;=0.5,"Moderate industry gap","Within target"))))</f>
        <v/>
      </c>
      <c r="AS100">
        <f>IF(OR($H100="",$H100="N/A"),0,VALUE($H100)*(($AJ100+$AK100)/2)*$AV100)</f>
        <v/>
      </c>
      <c r="AT100">
        <f>IF(OR($H100="",$H100="N/A"),0,($AJ100+$AK100)/2)</f>
        <v/>
      </c>
      <c r="AU100">
        <f>'Assessment Questions'!AX100</f>
        <v/>
      </c>
      <c r="AV100">
        <f>IF(OR($H100="",$H100="N/A"),"",IF(OR($AU100="",$AU100="Everywhere",$AU100="Not applicable"),1,IF($AU100="Pilot / one team",0.4,IF($AU100="One unit or site",0.7,0.9))))</f>
        <v/>
      </c>
      <c r="AW100" t="inlineStr">
        <is>
          <t>Finance Procurement</t>
        </is>
      </c>
      <c r="AX100" t="inlineStr">
        <is>
          <t>Finance Procurement</t>
        </is>
      </c>
      <c r="AY100" t="n">
        <v>7</v>
      </c>
      <c r="AZ100" t="n">
        <v>100</v>
      </c>
    </row>
    <row r="101">
      <c r="A101" t="inlineStr">
        <is>
          <t>FINA-004</t>
        </is>
      </c>
      <c r="B101" t="inlineStr">
        <is>
          <t>Financial resilience</t>
        </is>
      </c>
      <c r="C101" t="inlineStr">
        <is>
          <t>How mature is the organization in managing driver-based financial forecasting linked to sales, delivery, workforce, inventory and production, including ownership, evidence, metrics, fallback procedures and crisis stress testing?</t>
        </is>
      </c>
      <c r="D101" t="inlineStr">
        <is>
          <t>This topic affects exposure to Financial liquidity crisis; Supplier disruption; Fraud risk. It helps identify how disruption may impact operations, people, revenue, systems, legal exposure or recovery time.</t>
        </is>
      </c>
      <c r="E101" t="inlineStr">
        <is>
          <t>COSO Internal Control; COSO ERM; IFRS; ISO 20400; ISO 37001; CIPS</t>
        </is>
      </c>
      <c r="F101" t="inlineStr">
        <is>
          <t>Policy/SOP; owner/RACI; system report; dashboard; contracts; test records; incident history; interview evidence related to driver-based financial forecasting linked to sales, delivery, workforce, inventory and production.</t>
        </is>
      </c>
      <c r="G101">
        <f>'Assessment Questions'!J101</f>
        <v/>
      </c>
      <c r="H101">
        <f>IF($Z101="","",IF($Z101="N/A","N/A",VALUE(LEFT($Z101,1))))</f>
        <v/>
      </c>
      <c r="I101">
        <f>IF($H101="","",IF($H101="N/A","",VALUE($H101)/5*$G101))</f>
        <v/>
      </c>
      <c r="J101">
        <f>IF(OR($H101="",$H101="N/A"),"",$G101)</f>
        <v/>
      </c>
      <c r="K101">
        <f>IF(OR($H101="",$H101="N/A"),"",$J101-$I101)</f>
        <v/>
      </c>
      <c r="L101">
        <f>IF($H101="","",IF($H101="N/A","N/A",IF(VALUE($H101)&lt;=1,"Critical",IF(VALUE($H101)&lt;=2,"High",IF(VALUE($H101)&lt;=3,"Medium",IF(VALUE($H101)&lt;=4,"Low","Resilient"))))))</f>
        <v/>
      </c>
      <c r="M101" t="inlineStr">
        <is>
          <t>No inventory/register exists.</t>
        </is>
      </c>
      <c r="N101" t="inlineStr">
        <is>
          <t>Partial lists live in individuals' heads or personal files.</t>
        </is>
      </c>
      <c r="O101" t="inlineStr">
        <is>
          <t>A register exists but is incomplete or outdated (&gt;1 year) and has no owner.</t>
        </is>
      </c>
      <c r="P101" t="inlineStr">
        <is>
          <t>Owned, documented, updated on a defined schedule, covers the main scope.</t>
        </is>
      </c>
      <c r="Q101" t="inlineStr">
        <is>
          <t>Complete and periodically reviewed; integrated with related processes; completeness measured.</t>
        </is>
      </c>
      <c r="R101" t="inlineStr">
        <is>
          <t>Maintained automatically or synced with systems; drives decisions; audited.</t>
        </is>
      </c>
      <c r="S101" t="inlineStr">
        <is>
          <t>Financial liquidity crisis; Supplier disruption; Fraud risk</t>
        </is>
      </c>
      <c r="T101">
        <f>'Assessment Questions'!W101</f>
        <v/>
      </c>
      <c r="U101">
        <f>'Assessment Questions'!X101</f>
        <v/>
      </c>
      <c r="V101">
        <f>'Assessment Questions'!Y101</f>
        <v/>
      </c>
      <c r="W101" t="n">
        <v>4</v>
      </c>
      <c r="X101" t="n">
        <v>5</v>
      </c>
      <c r="Y101" t="n">
        <v>5</v>
      </c>
      <c r="Z101">
        <f>'Assessment Questions'!AC101</f>
        <v/>
      </c>
      <c r="AA101" t="inlineStr">
        <is>
          <t>Working capital</t>
        </is>
      </c>
      <c r="AB101">
        <f>COUNTIF($B$98:$B$123,$AA101)</f>
        <v/>
      </c>
      <c r="AC101">
        <f>IFERROR(SUMPRODUCT(($B$98:$B$123=$AA101)*($H$98:$H$123&lt;&gt;"")*($H$98:$H$123&lt;&gt;"N/A")*IFERROR(VALUE($H$98:$H$123),0))/SUMPRODUCT(($B$98:$B$123=$AA101)*($H$98:$H$123&lt;&gt;"")*($H$98:$H$123&lt;&gt;"N/A")),0)</f>
        <v/>
      </c>
      <c r="AD101">
        <f>AC101/5</f>
        <v/>
      </c>
      <c r="AE101">
        <f>COUNTIFS($B$98:$B$123,$AA101,$L$98:$L$123,"Critical")+COUNTIFS($B$98:$B$123,$AA101,$L$98:$L$123,"High")</f>
        <v/>
      </c>
      <c r="AF101">
        <f>5-AC101</f>
        <v/>
      </c>
      <c r="AG101">
        <f>SUMPRODUCT(($B$98:$B$123=$AA101)*(ISNUMBER($H$98:$H$123)+($H$98:$H$123="N/A")))</f>
        <v/>
      </c>
      <c r="AH101">
        <f>'Assessment Questions'!AK101</f>
        <v/>
      </c>
      <c r="AI101">
        <f>'Assessment Questions'!AL101</f>
        <v/>
      </c>
      <c r="AJ101">
        <f>IF(OR($H101="",$H101="N/A"),"",IF($AH101="",VLOOKUP('Company Profile'!$B$40,_CONFIG_Model_Settings!$A$5:$B$8,2,FALSE),_xlfn.IFNA(VLOOKUP($AH101,_CONFIG_Model_Settings!$A$5:$B$8,2,FALSE),0.9)))</f>
        <v/>
      </c>
      <c r="AK101">
        <f>IF(OR($H101="",$H101="N/A"),"",IF($AI101="",VLOOKUP('Company Profile'!$B$41,_CONFIG_Model_Settings!$A$5:$B$8,2,FALSE),_xlfn.IFNA(VLOOKUP($AI101,_CONFIG_Model_Settings!$A$5:$B$8,2,FALSE),0.9)))</f>
        <v/>
      </c>
      <c r="AL101">
        <f>IF(OR($H101="",$H101="N/A"),"",ROUND(VALUE($H101)*$AJ101*$AK101*$AV101,2))</f>
        <v/>
      </c>
      <c r="AM101">
        <f>IF($AL101="","",ROUND($AL101/5*100,1))</f>
        <v/>
      </c>
      <c r="AN101">
        <f>IFERROR(MIN(5,MAX(0,(SUMIFS(_REF_Model_Content!$D$1:$D$157,_REF_Model_Content!$A$1:$A$157,'Company Profile'!$B$9,_REF_Model_Content!$B$1:$B$157,"Finance Procurement"))+_xlfn.IFNA(VLOOKUP('Company Profile'!$B$35,_CONFIG_Model_Settings!$A$11:$B$13,2,0),0))),"")</f>
        <v/>
      </c>
      <c r="AO101">
        <f>IF($AL101="","",MAX(0,ROUND($AN101-$AL101,2)))</f>
        <v/>
      </c>
      <c r="AP101">
        <f>IFERROR(SUMIFS(_REF_Model_Content!$E$1:$E$157,_REF_Model_Content!$A$1:$A$157,'Company Profile'!$B$9,_REF_Model_Content!$B$1:$B$157,"Finance Procurement"),1)</f>
        <v/>
      </c>
      <c r="AQ101">
        <f>IF($AO101="","",ROUND($AO101*$AP101*($G101/5),2))</f>
        <v/>
      </c>
      <c r="AR101">
        <f>IF($AO101="","",IF($AO101&gt;=2,"Critical industry gap",IF($AO101&gt;=1,"High industry gap",IF($AO101&gt;=0.5,"Moderate industry gap","Within target"))))</f>
        <v/>
      </c>
      <c r="AS101">
        <f>IF(OR($H101="",$H101="N/A"),0,VALUE($H101)*(($AJ101+$AK101)/2)*$AV101)</f>
        <v/>
      </c>
      <c r="AT101">
        <f>IF(OR($H101="",$H101="N/A"),0,($AJ101+$AK101)/2)</f>
        <v/>
      </c>
      <c r="AU101">
        <f>'Assessment Questions'!AX101</f>
        <v/>
      </c>
      <c r="AV101">
        <f>IF(OR($H101="",$H101="N/A"),"",IF(OR($AU101="",$AU101="Everywhere",$AU101="Not applicable"),1,IF($AU101="Pilot / one team",0.4,IF($AU101="One unit or site",0.7,0.9))))</f>
        <v/>
      </c>
      <c r="AW101" t="inlineStr">
        <is>
          <t>Finance Procurement</t>
        </is>
      </c>
      <c r="AX101" t="inlineStr">
        <is>
          <t>Finance Procurement</t>
        </is>
      </c>
      <c r="AY101" t="n">
        <v>8</v>
      </c>
      <c r="AZ101" t="n">
        <v>101</v>
      </c>
    </row>
    <row r="102">
      <c r="A102" t="inlineStr">
        <is>
          <t>FINA-005</t>
        </is>
      </c>
      <c r="B102" t="inlineStr">
        <is>
          <t>Financial resilience</t>
        </is>
      </c>
      <c r="C102" t="inlineStr">
        <is>
          <t>How mature is the organization in managing budget flexibility and emergency reallocation rules, including ownership, evidence, metrics, fallback procedures and crisis stress testing?</t>
        </is>
      </c>
      <c r="D102" t="inlineStr">
        <is>
          <t>This topic affects exposure to Financial liquidity crisis; Supplier disruption; Fraud risk. It helps identify how disruption may impact operations, people, revenue, systems, legal exposure or recovery time.</t>
        </is>
      </c>
      <c r="E102" t="inlineStr">
        <is>
          <t>COSO Internal Control; COSO ERM; IFRS; ISO 20400; ISO 37001; CIPS</t>
        </is>
      </c>
      <c r="F102" t="inlineStr">
        <is>
          <t>Policy/SOP; owner/RACI; system report; dashboard; contracts; test records; incident history; interview evidence related to budget flexibility and emergency reallocation rules.</t>
        </is>
      </c>
      <c r="G102">
        <f>'Assessment Questions'!J102</f>
        <v/>
      </c>
      <c r="H102">
        <f>IF($Z102="","",IF($Z102="N/A","N/A",VALUE(LEFT($Z102,1))))</f>
        <v/>
      </c>
      <c r="I102">
        <f>IF($H102="","",IF($H102="N/A","",VALUE($H102)/5*$G102))</f>
        <v/>
      </c>
      <c r="J102">
        <f>IF(OR($H102="",$H102="N/A"),"",$G102)</f>
        <v/>
      </c>
      <c r="K102">
        <f>IF(OR($H102="",$H102="N/A"),"",$J102-$I102)</f>
        <v/>
      </c>
      <c r="L102">
        <f>IF($H102="","",IF($H102="N/A","N/A",IF(VALUE($H102)&lt;=1,"Critical",IF(VALUE($H102)&lt;=2,"High",IF(VALUE($H102)&lt;=3,"Medium",IF(VALUE($H102)&lt;=4,"Low","Resilient"))))))</f>
        <v/>
      </c>
      <c r="M102" t="inlineStr">
        <is>
          <t>No reliable evidence that budget flexibility and emergency reallocation rules is defined, owned or managed.</t>
        </is>
      </c>
      <c r="N102" t="inlineStr">
        <is>
          <t>Budget flexibility and emergency reallocation rules is handled informally and depends on individual knowledge or heroic effort.</t>
        </is>
      </c>
      <c r="O102" t="inlineStr">
        <is>
          <t>Budget flexibility and emergency reallocation rules is partially documented or implemented, but coverage is inconsistent and not crisis-tested.</t>
        </is>
      </c>
      <c r="P102" t="inlineStr">
        <is>
          <t>Budget flexibility and emergency reallocation rules is documented, owned, used in normal operations and supported by basic evidence or metrics.</t>
        </is>
      </c>
      <c r="Q102" t="inlineStr">
        <is>
          <t>Budget flexibility and emergency reallocation rules is measured, periodically reviewed, integrated with related processes and tested against relevant disruption scenarios.</t>
        </is>
      </c>
      <c r="R102" t="inlineStr">
        <is>
          <t>Budget flexibility and emergency reallocation rules is optimized, continuously improved, automated where practical and demonstrably supports crisis resilience.</t>
        </is>
      </c>
      <c r="S102" t="inlineStr">
        <is>
          <t>Financial liquidity crisis; Supplier disruption; Fraud risk</t>
        </is>
      </c>
      <c r="T102">
        <f>'Assessment Questions'!W102</f>
        <v/>
      </c>
      <c r="U102">
        <f>'Assessment Questions'!X102</f>
        <v/>
      </c>
      <c r="V102">
        <f>'Assessment Questions'!Y102</f>
        <v/>
      </c>
      <c r="W102" t="n">
        <v>4</v>
      </c>
      <c r="X102" t="n">
        <v>5</v>
      </c>
      <c r="Y102" t="n">
        <v>5</v>
      </c>
      <c r="Z102">
        <f>'Assessment Questions'!AC102</f>
        <v/>
      </c>
      <c r="AB102">
        <f>COUNTIF($B$98:$B$123,$AA102)</f>
        <v/>
      </c>
      <c r="AC102">
        <f>IFERROR(SUMPRODUCT(($B$98:$B$123=$AA102)*($H$98:$H$123&lt;&gt;"")*($H$98:$H$123&lt;&gt;"N/A")*IFERROR(VALUE($H$98:$H$123),0))/SUMPRODUCT(($B$98:$B$123=$AA102)*($H$98:$H$123&lt;&gt;"")*($H$98:$H$123&lt;&gt;"N/A")),0)</f>
        <v/>
      </c>
      <c r="AD102">
        <f>AC102/5</f>
        <v/>
      </c>
      <c r="AE102">
        <f>COUNTIFS($B$98:$B$123,$AA102,$L$98:$L$123,"Critical")+COUNTIFS($B$98:$B$123,$AA102,$L$98:$L$123,"High")</f>
        <v/>
      </c>
      <c r="AF102">
        <f>5-AC102</f>
        <v/>
      </c>
      <c r="AG102">
        <f>SUMPRODUCT(($B$98:$B$123=$AA102)*(ISNUMBER($H$98:$H$123)+($H$98:$H$123="N/A")))</f>
        <v/>
      </c>
      <c r="AH102">
        <f>'Assessment Questions'!AK102</f>
        <v/>
      </c>
      <c r="AI102">
        <f>'Assessment Questions'!AL102</f>
        <v/>
      </c>
      <c r="AJ102">
        <f>IF(OR($H102="",$H102="N/A"),"",IF($AH102="",VLOOKUP('Company Profile'!$B$40,_CONFIG_Model_Settings!$A$5:$B$8,2,FALSE),_xlfn.IFNA(VLOOKUP($AH102,_CONFIG_Model_Settings!$A$5:$B$8,2,FALSE),0.9)))</f>
        <v/>
      </c>
      <c r="AK102">
        <f>IF(OR($H102="",$H102="N/A"),"",IF($AI102="",VLOOKUP('Company Profile'!$B$41,_CONFIG_Model_Settings!$A$5:$B$8,2,FALSE),_xlfn.IFNA(VLOOKUP($AI102,_CONFIG_Model_Settings!$A$5:$B$8,2,FALSE),0.9)))</f>
        <v/>
      </c>
      <c r="AL102">
        <f>IF(OR($H102="",$H102="N/A"),"",ROUND(VALUE($H102)*$AJ102*$AK102*$AV102,2))</f>
        <v/>
      </c>
      <c r="AM102">
        <f>IF($AL102="","",ROUND($AL102/5*100,1))</f>
        <v/>
      </c>
      <c r="AN102">
        <f>IFERROR(MIN(5,MAX(0,(SUMIFS(_REF_Model_Content!$D$1:$D$157,_REF_Model_Content!$A$1:$A$157,'Company Profile'!$B$9,_REF_Model_Content!$B$1:$B$157,"Finance Procurement"))+_xlfn.IFNA(VLOOKUP('Company Profile'!$B$35,_CONFIG_Model_Settings!$A$11:$B$13,2,0),0))),"")</f>
        <v/>
      </c>
      <c r="AO102">
        <f>IF($AL102="","",MAX(0,ROUND($AN102-$AL102,2)))</f>
        <v/>
      </c>
      <c r="AP102">
        <f>IFERROR(SUMIFS(_REF_Model_Content!$E$1:$E$157,_REF_Model_Content!$A$1:$A$157,'Company Profile'!$B$9,_REF_Model_Content!$B$1:$B$157,"Finance Procurement"),1)</f>
        <v/>
      </c>
      <c r="AQ102">
        <f>IF($AO102="","",ROUND($AO102*$AP102*($G102/5),2))</f>
        <v/>
      </c>
      <c r="AR102">
        <f>IF($AO102="","",IF($AO102&gt;=2,"Critical industry gap",IF($AO102&gt;=1,"High industry gap",IF($AO102&gt;=0.5,"Moderate industry gap","Within target"))))</f>
        <v/>
      </c>
      <c r="AS102">
        <f>IF(OR($H102="",$H102="N/A"),0,VALUE($H102)*(($AJ102+$AK102)/2)*$AV102)</f>
        <v/>
      </c>
      <c r="AT102">
        <f>IF(OR($H102="",$H102="N/A"),0,($AJ102+$AK102)/2)</f>
        <v/>
      </c>
      <c r="AU102">
        <f>'Assessment Questions'!AX102</f>
        <v/>
      </c>
      <c r="AV102">
        <f>IF(OR($H102="",$H102="N/A"),"",IF(OR($AU102="",$AU102="Everywhere",$AU102="Not applicable"),1,IF($AU102="Pilot / one team",0.4,IF($AU102="One unit or site",0.7,0.9))))</f>
        <v/>
      </c>
      <c r="AW102" t="inlineStr">
        <is>
          <t>Finance Procurement</t>
        </is>
      </c>
      <c r="AX102" t="inlineStr">
        <is>
          <t>Finance Procurement</t>
        </is>
      </c>
      <c r="AY102" t="n">
        <v>9</v>
      </c>
      <c r="AZ102" t="n">
        <v>102</v>
      </c>
    </row>
    <row r="103">
      <c r="A103" t="inlineStr">
        <is>
          <t>FINA-006</t>
        </is>
      </c>
      <c r="B103" t="inlineStr">
        <is>
          <t>Financial resilience</t>
        </is>
      </c>
      <c r="C103" t="inlineStr">
        <is>
          <t>How mature is the organization in managing financial stress tests for revenue collapse, currency shock, supplier price spikes, debt pressure and delayed receivables, including ownership, evidence, metrics, fallback procedures and crisis stress testing?</t>
        </is>
      </c>
      <c r="D103" t="inlineStr">
        <is>
          <t>This topic affects exposure to Financial liquidity crisis; Supplier disruption; Fraud risk. It helps identify how disruption may impact operations, people, revenue, systems, legal exposure or recovery time.</t>
        </is>
      </c>
      <c r="E103" t="inlineStr">
        <is>
          <t>COSO Internal Control; COSO ERM; IFRS; ISO 20400; ISO 37001; CIPS</t>
        </is>
      </c>
      <c r="F103" t="inlineStr">
        <is>
          <t>Policy/SOP; owner/RACI; system report; dashboard; contracts; test records; incident history; interview evidence related to financial stress tests for revenue collapse, currency shock, supplier price spikes, debt pressure and delayed receivables.</t>
        </is>
      </c>
      <c r="G103">
        <f>'Assessment Questions'!J103</f>
        <v/>
      </c>
      <c r="H103">
        <f>IF($Z103="","",IF($Z103="N/A","N/A",VALUE(LEFT($Z103,1))))</f>
        <v/>
      </c>
      <c r="I103">
        <f>IF($H103="","",IF($H103="N/A","",VALUE($H103)/5*$G103))</f>
        <v/>
      </c>
      <c r="J103">
        <f>IF(OR($H103="",$H103="N/A"),"",$G103)</f>
        <v/>
      </c>
      <c r="K103">
        <f>IF(OR($H103="",$H103="N/A"),"",$J103-$I103)</f>
        <v/>
      </c>
      <c r="L103">
        <f>IF($H103="","",IF($H103="N/A","N/A",IF(VALUE($H103)&lt;=1,"Critical",IF(VALUE($H103)&lt;=2,"High",IF(VALUE($H103)&lt;=3,"Medium",IF(VALUE($H103)&lt;=4,"Low","Resilient"))))))</f>
        <v/>
      </c>
      <c r="M103" t="inlineStr">
        <is>
          <t>Never done; no records exist.</t>
        </is>
      </c>
      <c r="N103" t="inlineStr">
        <is>
          <t>Done once long ago or only after an incident; no schedule, no records.</t>
        </is>
      </c>
      <c r="O103" t="inlineStr">
        <is>
          <t>Done irregularly; results are not documented and findings are not tracked.</t>
        </is>
      </c>
      <c r="P103" t="inlineStr">
        <is>
          <t>Done on a defined schedule (at least annually); results documented, owner assigned.</t>
        </is>
      </c>
      <c r="Q103" t="inlineStr">
        <is>
          <t>Done quarterly/semi-annually; findings tracked to closure, effectiveness measured against targets.</t>
        </is>
      </c>
      <c r="R103" t="inlineStr">
        <is>
          <t>Continuous or automated where possible; results drive improvements and are validated externally (audit/customer).</t>
        </is>
      </c>
      <c r="S103" t="inlineStr">
        <is>
          <t>Financial liquidity crisis; Supplier disruption; Fraud risk</t>
        </is>
      </c>
      <c r="T103">
        <f>'Assessment Questions'!W103</f>
        <v/>
      </c>
      <c r="U103">
        <f>'Assessment Questions'!X103</f>
        <v/>
      </c>
      <c r="V103">
        <f>'Assessment Questions'!Y103</f>
        <v/>
      </c>
      <c r="W103" t="n">
        <v>4</v>
      </c>
      <c r="X103" t="n">
        <v>5</v>
      </c>
      <c r="Y103" t="n">
        <v>5</v>
      </c>
      <c r="Z103">
        <f>'Assessment Questions'!AC103</f>
        <v/>
      </c>
      <c r="AB103">
        <f>COUNTIF($B$98:$B$123,$AA103)</f>
        <v/>
      </c>
      <c r="AC103">
        <f>IFERROR(SUMPRODUCT(($B$98:$B$123=$AA103)*($H$98:$H$123&lt;&gt;"")*($H$98:$H$123&lt;&gt;"N/A")*IFERROR(VALUE($H$98:$H$123),0))/SUMPRODUCT(($B$98:$B$123=$AA103)*($H$98:$H$123&lt;&gt;"")*($H$98:$H$123&lt;&gt;"N/A")),0)</f>
        <v/>
      </c>
      <c r="AD103">
        <f>AC103/5</f>
        <v/>
      </c>
      <c r="AE103">
        <f>COUNTIFS($B$98:$B$123,$AA103,$L$98:$L$123,"Critical")+COUNTIFS($B$98:$B$123,$AA103,$L$98:$L$123,"High")</f>
        <v/>
      </c>
      <c r="AF103">
        <f>5-AC103</f>
        <v/>
      </c>
      <c r="AG103">
        <f>SUMPRODUCT(($B$98:$B$123=$AA103)*(ISNUMBER($H$98:$H$123)+($H$98:$H$123="N/A")))</f>
        <v/>
      </c>
      <c r="AH103">
        <f>'Assessment Questions'!AK103</f>
        <v/>
      </c>
      <c r="AI103">
        <f>'Assessment Questions'!AL103</f>
        <v/>
      </c>
      <c r="AJ103">
        <f>IF(OR($H103="",$H103="N/A"),"",IF($AH103="",VLOOKUP('Company Profile'!$B$40,_CONFIG_Model_Settings!$A$5:$B$8,2,FALSE),_xlfn.IFNA(VLOOKUP($AH103,_CONFIG_Model_Settings!$A$5:$B$8,2,FALSE),0.9)))</f>
        <v/>
      </c>
      <c r="AK103">
        <f>IF(OR($H103="",$H103="N/A"),"",IF($AI103="",VLOOKUP('Company Profile'!$B$41,_CONFIG_Model_Settings!$A$5:$B$8,2,FALSE),_xlfn.IFNA(VLOOKUP($AI103,_CONFIG_Model_Settings!$A$5:$B$8,2,FALSE),0.9)))</f>
        <v/>
      </c>
      <c r="AL103">
        <f>IF(OR($H103="",$H103="N/A"),"",ROUND(VALUE($H103)*$AJ103*$AK103*$AV103,2))</f>
        <v/>
      </c>
      <c r="AM103">
        <f>IF($AL103="","",ROUND($AL103/5*100,1))</f>
        <v/>
      </c>
      <c r="AN103">
        <f>IFERROR(MIN(5,MAX(0,(SUMIFS(_REF_Model_Content!$D$1:$D$157,_REF_Model_Content!$A$1:$A$157,'Company Profile'!$B$9,_REF_Model_Content!$B$1:$B$157,"Finance Procurement"))+_xlfn.IFNA(VLOOKUP('Company Profile'!$B$35,_CONFIG_Model_Settings!$A$11:$B$13,2,0),0))),"")</f>
        <v/>
      </c>
      <c r="AO103">
        <f>IF($AL103="","",MAX(0,ROUND($AN103-$AL103,2)))</f>
        <v/>
      </c>
      <c r="AP103">
        <f>IFERROR(SUMIFS(_REF_Model_Content!$E$1:$E$157,_REF_Model_Content!$A$1:$A$157,'Company Profile'!$B$9,_REF_Model_Content!$B$1:$B$157,"Finance Procurement"),1)</f>
        <v/>
      </c>
      <c r="AQ103">
        <f>IF($AO103="","",ROUND($AO103*$AP103*($G103/5),2))</f>
        <v/>
      </c>
      <c r="AR103">
        <f>IF($AO103="","",IF($AO103&gt;=2,"Critical industry gap",IF($AO103&gt;=1,"High industry gap",IF($AO103&gt;=0.5,"Moderate industry gap","Within target"))))</f>
        <v/>
      </c>
      <c r="AS103">
        <f>IF(OR($H103="",$H103="N/A"),0,VALUE($H103)*(($AJ103+$AK103)/2)*$AV103)</f>
        <v/>
      </c>
      <c r="AT103">
        <f>IF(OR($H103="",$H103="N/A"),0,($AJ103+$AK103)/2)</f>
        <v/>
      </c>
      <c r="AU103">
        <f>'Assessment Questions'!AX103</f>
        <v/>
      </c>
      <c r="AV103">
        <f>IF(OR($H103="",$H103="N/A"),"",IF(OR($AU103="",$AU103="Everywhere",$AU103="Not applicable"),1,IF($AU103="Pilot / one team",0.4,IF($AU103="One unit or site",0.7,0.9))))</f>
        <v/>
      </c>
      <c r="AW103" t="inlineStr">
        <is>
          <t>Finance Procurement</t>
        </is>
      </c>
      <c r="AX103" t="inlineStr">
        <is>
          <t>Finance Procurement</t>
        </is>
      </c>
      <c r="AY103" t="n">
        <v>10</v>
      </c>
      <c r="AZ103" t="n">
        <v>103</v>
      </c>
    </row>
    <row r="104">
      <c r="A104" t="inlineStr">
        <is>
          <t>FINA-007</t>
        </is>
      </c>
      <c r="B104" t="inlineStr">
        <is>
          <t>Controls and accounting</t>
        </is>
      </c>
      <c r="C104" t="inlineStr">
        <is>
          <t>How mature is the organization in managing approval limits and emergency approvals resilient if key approvers are unavailable, including ownership, evidence, metrics, fallback procedures and crisis stress testing?</t>
        </is>
      </c>
      <c r="D104" t="inlineStr">
        <is>
          <t>This topic affects exposure to Financial liquidity crisis; Supplier disruption; Fraud risk. It helps identify how disruption may impact operations, people, revenue, systems, legal exposure or recovery time.</t>
        </is>
      </c>
      <c r="E104" t="inlineStr">
        <is>
          <t>COSO Internal Control; COSO ERM; IFRS; ISO 20400; ISO 37001; CIPS</t>
        </is>
      </c>
      <c r="F104" t="inlineStr">
        <is>
          <t>Policy/SOP; owner/RACI; system report; dashboard; contracts; test records; incident history; interview evidence related to approval limits and emergency approvals resilient if key approvers are unavailable.</t>
        </is>
      </c>
      <c r="G104">
        <f>'Assessment Questions'!J104</f>
        <v/>
      </c>
      <c r="H104">
        <f>IF($Z104="","",IF($Z104="N/A","N/A",VALUE(LEFT($Z104,1))))</f>
        <v/>
      </c>
      <c r="I104">
        <f>IF($H104="","",IF($H104="N/A","",VALUE($H104)/5*$G104))</f>
        <v/>
      </c>
      <c r="J104">
        <f>IF(OR($H104="",$H104="N/A"),"",$G104)</f>
        <v/>
      </c>
      <c r="K104">
        <f>IF(OR($H104="",$H104="N/A"),"",$J104-$I104)</f>
        <v/>
      </c>
      <c r="L104">
        <f>IF($H104="","",IF($H104="N/A","N/A",IF(VALUE($H104)&lt;=1,"Critical",IF(VALUE($H104)&lt;=2,"High",IF(VALUE($H104)&lt;=3,"Medium",IF(VALUE($H104)&lt;=4,"Low","Resilient"))))))</f>
        <v/>
      </c>
      <c r="M104" t="inlineStr">
        <is>
          <t>No reliable evidence that approval limits and emergency approvals resilient if key approvers are unavailable is defined, owned or managed.</t>
        </is>
      </c>
      <c r="N104" t="inlineStr">
        <is>
          <t>Approval limits and emergency approvals resilient if key approvers are unavailable is handled informally and depends on individual knowledge or heroic effort.</t>
        </is>
      </c>
      <c r="O104" t="inlineStr">
        <is>
          <t>Approval limits and emergency approvals resilient if key approvers are unavailable is partially documented or implemented, but coverage is inconsistent and not crisis-tested.</t>
        </is>
      </c>
      <c r="P104" t="inlineStr">
        <is>
          <t>Approval limits and emergency approvals resilient if key approvers are unavailable is documented, owned, used in normal operations and supported by basic evidence or metrics.</t>
        </is>
      </c>
      <c r="Q104" t="inlineStr">
        <is>
          <t>Approval limits and emergency approvals resilient if key approvers are unavailable is measured, periodically reviewed, integrated with related processes and tested against relevant disruption scenarios.</t>
        </is>
      </c>
      <c r="R104" t="inlineStr">
        <is>
          <t>Approval limits and emergency approvals resilient if key approvers are unavailable is optimized, continuously improved, automated where practical and demonstrably supports crisis resilience.</t>
        </is>
      </c>
      <c r="S104" t="inlineStr">
        <is>
          <t>Financial liquidity crisis; Supplier disruption; Fraud risk</t>
        </is>
      </c>
      <c r="T104">
        <f>'Assessment Questions'!W104</f>
        <v/>
      </c>
      <c r="U104">
        <f>'Assessment Questions'!X104</f>
        <v/>
      </c>
      <c r="V104">
        <f>'Assessment Questions'!Y104</f>
        <v/>
      </c>
      <c r="W104" t="n">
        <v>4</v>
      </c>
      <c r="X104" t="n">
        <v>5</v>
      </c>
      <c r="Y104" t="n">
        <v>5</v>
      </c>
      <c r="Z104">
        <f>'Assessment Questions'!AC104</f>
        <v/>
      </c>
      <c r="AB104">
        <f>COUNTIF($B$98:$B$123,$AA104)</f>
        <v/>
      </c>
      <c r="AC104">
        <f>IFERROR(SUMPRODUCT(($B$98:$B$123=$AA104)*($H$98:$H$123&lt;&gt;"")*($H$98:$H$123&lt;&gt;"N/A")*IFERROR(VALUE($H$98:$H$123),0))/SUMPRODUCT(($B$98:$B$123=$AA104)*($H$98:$H$123&lt;&gt;"")*($H$98:$H$123&lt;&gt;"N/A")),0)</f>
        <v/>
      </c>
      <c r="AD104">
        <f>AC104/5</f>
        <v/>
      </c>
      <c r="AE104">
        <f>COUNTIFS($B$98:$B$123,$AA104,$L$98:$L$123,"Critical")+COUNTIFS($B$98:$B$123,$AA104,$L$98:$L$123,"High")</f>
        <v/>
      </c>
      <c r="AF104">
        <f>5-AC104</f>
        <v/>
      </c>
      <c r="AG104">
        <f>SUMPRODUCT(($B$98:$B$123=$AA104)*(ISNUMBER($H$98:$H$123)+($H$98:$H$123="N/A")))</f>
        <v/>
      </c>
      <c r="AH104">
        <f>'Assessment Questions'!AK104</f>
        <v/>
      </c>
      <c r="AI104">
        <f>'Assessment Questions'!AL104</f>
        <v/>
      </c>
      <c r="AJ104">
        <f>IF(OR($H104="",$H104="N/A"),"",IF($AH104="",VLOOKUP('Company Profile'!$B$40,_CONFIG_Model_Settings!$A$5:$B$8,2,FALSE),_xlfn.IFNA(VLOOKUP($AH104,_CONFIG_Model_Settings!$A$5:$B$8,2,FALSE),0.9)))</f>
        <v/>
      </c>
      <c r="AK104">
        <f>IF(OR($H104="",$H104="N/A"),"",IF($AI104="",VLOOKUP('Company Profile'!$B$41,_CONFIG_Model_Settings!$A$5:$B$8,2,FALSE),_xlfn.IFNA(VLOOKUP($AI104,_CONFIG_Model_Settings!$A$5:$B$8,2,FALSE),0.9)))</f>
        <v/>
      </c>
      <c r="AL104">
        <f>IF(OR($H104="",$H104="N/A"),"",ROUND(VALUE($H104)*$AJ104*$AK104*$AV104,2))</f>
        <v/>
      </c>
      <c r="AM104">
        <f>IF($AL104="","",ROUND($AL104/5*100,1))</f>
        <v/>
      </c>
      <c r="AN104">
        <f>IFERROR(MIN(5,MAX(0,(SUMIFS(_REF_Model_Content!$D$1:$D$157,_REF_Model_Content!$A$1:$A$157,'Company Profile'!$B$9,_REF_Model_Content!$B$1:$B$157,"Finance Procurement"))+_xlfn.IFNA(VLOOKUP('Company Profile'!$B$35,_CONFIG_Model_Settings!$A$11:$B$13,2,0),0))),"")</f>
        <v/>
      </c>
      <c r="AO104">
        <f>IF($AL104="","",MAX(0,ROUND($AN104-$AL104,2)))</f>
        <v/>
      </c>
      <c r="AP104">
        <f>IFERROR(SUMIFS(_REF_Model_Content!$E$1:$E$157,_REF_Model_Content!$A$1:$A$157,'Company Profile'!$B$9,_REF_Model_Content!$B$1:$B$157,"Finance Procurement"),1)</f>
        <v/>
      </c>
      <c r="AQ104">
        <f>IF($AO104="","",ROUND($AO104*$AP104*($G104/5),2))</f>
        <v/>
      </c>
      <c r="AR104">
        <f>IF($AO104="","",IF($AO104&gt;=2,"Critical industry gap",IF($AO104&gt;=1,"High industry gap",IF($AO104&gt;=0.5,"Moderate industry gap","Within target"))))</f>
        <v/>
      </c>
      <c r="AS104">
        <f>IF(OR($H104="",$H104="N/A"),0,VALUE($H104)*(($AJ104+$AK104)/2)*$AV104)</f>
        <v/>
      </c>
      <c r="AT104">
        <f>IF(OR($H104="",$H104="N/A"),0,($AJ104+$AK104)/2)</f>
        <v/>
      </c>
      <c r="AU104">
        <f>'Assessment Questions'!AX104</f>
        <v/>
      </c>
      <c r="AV104">
        <f>IF(OR($H104="",$H104="N/A"),"",IF(OR($AU104="",$AU104="Everywhere",$AU104="Not applicable"),1,IF($AU104="Pilot / one team",0.4,IF($AU104="One unit or site",0.7,0.9))))</f>
        <v/>
      </c>
      <c r="AW104" t="inlineStr">
        <is>
          <t>Finance Procurement</t>
        </is>
      </c>
      <c r="AX104" t="inlineStr">
        <is>
          <t>Finance Procurement</t>
        </is>
      </c>
      <c r="AY104" t="n">
        <v>11</v>
      </c>
      <c r="AZ104" t="n">
        <v>104</v>
      </c>
    </row>
    <row r="105">
      <c r="A105" t="inlineStr">
        <is>
          <t>FINA-008</t>
        </is>
      </c>
      <c r="B105" t="inlineStr">
        <is>
          <t>Controls and accounting</t>
        </is>
      </c>
      <c r="C105" t="inlineStr">
        <is>
          <t>How mature is the organization in managing segregation of duties in finance, procurement, ERP and payment processes, including ownership, evidence, metrics, fallback procedures and crisis stress testing?</t>
        </is>
      </c>
      <c r="D105" t="inlineStr">
        <is>
          <t>This topic affects exposure to Financial liquidity crisis; Supplier disruption; Fraud risk. It helps identify how disruption may impact operations, people, revenue, systems, legal exposure or recovery time.</t>
        </is>
      </c>
      <c r="E105" t="inlineStr">
        <is>
          <t>COSO Internal Control; COSO ERM; IFRS; ISO 20400; ISO 37001; CIPS</t>
        </is>
      </c>
      <c r="F105" t="inlineStr">
        <is>
          <t>Policy/SOP; owner/RACI; system report; dashboard; contracts; test records; incident history; interview evidence related to segregation of duties in finance, procurement, ERP and payment processes.</t>
        </is>
      </c>
      <c r="G105">
        <f>'Assessment Questions'!J105</f>
        <v/>
      </c>
      <c r="H105">
        <f>IF($Z105="","",IF($Z105="N/A","N/A",VALUE(LEFT($Z105,1))))</f>
        <v/>
      </c>
      <c r="I105">
        <f>IF($H105="","",IF($H105="N/A","",VALUE($H105)/5*$G105))</f>
        <v/>
      </c>
      <c r="J105">
        <f>IF(OR($H105="",$H105="N/A"),"",$G105)</f>
        <v/>
      </c>
      <c r="K105">
        <f>IF(OR($H105="",$H105="N/A"),"",$J105-$I105)</f>
        <v/>
      </c>
      <c r="L105">
        <f>IF($H105="","",IF($H105="N/A","N/A",IF(VALUE($H105)&lt;=1,"Critical",IF(VALUE($H105)&lt;=2,"High",IF(VALUE($H105)&lt;=3,"Medium",IF(VALUE($H105)&lt;=4,"Low","Resilient"))))))</f>
        <v/>
      </c>
      <c r="M105" t="inlineStr">
        <is>
          <t>Does not exist; no owner, no documentation, no practice.</t>
        </is>
      </c>
      <c r="N105" t="inlineStr">
        <is>
          <t>Ad hoc; depends entirely on specific individuals.</t>
        </is>
      </c>
      <c r="O105" t="inlineStr">
        <is>
          <t>Partially documented or implemented; coverage inconsistent; never tested under stress.</t>
        </is>
      </c>
      <c r="P105" t="inlineStr">
        <is>
          <t>Documented, owned, executed consistently; basic evidence and metrics exist.</t>
        </is>
      </c>
      <c r="Q105" t="inlineStr">
        <is>
          <t>Measured and periodically tested/audited; integrated with adjacent processes.</t>
        </is>
      </c>
      <c r="R105" t="inlineStr">
        <is>
          <t>Optimized and automated where practical; stress-tested; benchmarked externally.</t>
        </is>
      </c>
      <c r="S105" t="inlineStr">
        <is>
          <t>Financial liquidity crisis; Supplier disruption; Fraud risk</t>
        </is>
      </c>
      <c r="T105">
        <f>'Assessment Questions'!W105</f>
        <v/>
      </c>
      <c r="U105">
        <f>'Assessment Questions'!X105</f>
        <v/>
      </c>
      <c r="V105">
        <f>'Assessment Questions'!Y105</f>
        <v/>
      </c>
      <c r="W105" t="n">
        <v>5</v>
      </c>
      <c r="X105" t="n">
        <v>5</v>
      </c>
      <c r="Y105" t="n">
        <v>5</v>
      </c>
      <c r="Z105">
        <f>'Assessment Questions'!AC105</f>
        <v/>
      </c>
      <c r="AB105">
        <f>COUNTIF($B$98:$B$123,$AA105)</f>
        <v/>
      </c>
      <c r="AC105">
        <f>IFERROR(SUMPRODUCT(($B$98:$B$123=$AA105)*($H$98:$H$123&lt;&gt;"")*($H$98:$H$123&lt;&gt;"N/A")*IFERROR(VALUE($H$98:$H$123),0))/SUMPRODUCT(($B$98:$B$123=$AA105)*($H$98:$H$123&lt;&gt;"")*($H$98:$H$123&lt;&gt;"N/A")),0)</f>
        <v/>
      </c>
      <c r="AD105">
        <f>AC105/5</f>
        <v/>
      </c>
      <c r="AE105">
        <f>COUNTIFS($B$98:$B$123,$AA105,$L$98:$L$123,"Critical")+COUNTIFS($B$98:$B$123,$AA105,$L$98:$L$123,"High")</f>
        <v/>
      </c>
      <c r="AF105">
        <f>5-AC105</f>
        <v/>
      </c>
      <c r="AG105">
        <f>SUMPRODUCT(($B$98:$B$123=$AA105)*(ISNUMBER($H$98:$H$123)+($H$98:$H$123="N/A")))</f>
        <v/>
      </c>
      <c r="AH105">
        <f>'Assessment Questions'!AK105</f>
        <v/>
      </c>
      <c r="AI105">
        <f>'Assessment Questions'!AL105</f>
        <v/>
      </c>
      <c r="AJ105">
        <f>IF(OR($H105="",$H105="N/A"),"",IF($AH105="",VLOOKUP('Company Profile'!$B$40,_CONFIG_Model_Settings!$A$5:$B$8,2,FALSE),_xlfn.IFNA(VLOOKUP($AH105,_CONFIG_Model_Settings!$A$5:$B$8,2,FALSE),0.9)))</f>
        <v/>
      </c>
      <c r="AK105">
        <f>IF(OR($H105="",$H105="N/A"),"",IF($AI105="",VLOOKUP('Company Profile'!$B$41,_CONFIG_Model_Settings!$A$5:$B$8,2,FALSE),_xlfn.IFNA(VLOOKUP($AI105,_CONFIG_Model_Settings!$A$5:$B$8,2,FALSE),0.9)))</f>
        <v/>
      </c>
      <c r="AL105">
        <f>IF(OR($H105="",$H105="N/A"),"",ROUND(VALUE($H105)*$AJ105*$AK105*$AV105,2))</f>
        <v/>
      </c>
      <c r="AM105">
        <f>IF($AL105="","",ROUND($AL105/5*100,1))</f>
        <v/>
      </c>
      <c r="AN105">
        <f>IFERROR(MIN(5,MAX(0,(SUMIFS(_REF_Model_Content!$D$1:$D$157,_REF_Model_Content!$A$1:$A$157,'Company Profile'!$B$9,_REF_Model_Content!$B$1:$B$157,"Finance Procurement"))+_xlfn.IFNA(VLOOKUP('Company Profile'!$B$35,_CONFIG_Model_Settings!$A$11:$B$13,2,0),0))),"")</f>
        <v/>
      </c>
      <c r="AO105">
        <f>IF($AL105="","",MAX(0,ROUND($AN105-$AL105,2)))</f>
        <v/>
      </c>
      <c r="AP105">
        <f>IFERROR(SUMIFS(_REF_Model_Content!$E$1:$E$157,_REF_Model_Content!$A$1:$A$157,'Company Profile'!$B$9,_REF_Model_Content!$B$1:$B$157,"Finance Procurement"),1)</f>
        <v/>
      </c>
      <c r="AQ105">
        <f>IF($AO105="","",ROUND($AO105*$AP105*($G105/5),2))</f>
        <v/>
      </c>
      <c r="AR105">
        <f>IF($AO105="","",IF($AO105&gt;=2,"Critical industry gap",IF($AO105&gt;=1,"High industry gap",IF($AO105&gt;=0.5,"Moderate industry gap","Within target"))))</f>
        <v/>
      </c>
      <c r="AS105">
        <f>IF(OR($H105="",$H105="N/A"),0,VALUE($H105)*(($AJ105+$AK105)/2)*$AV105)</f>
        <v/>
      </c>
      <c r="AT105">
        <f>IF(OR($H105="",$H105="N/A"),0,($AJ105+$AK105)/2)</f>
        <v/>
      </c>
      <c r="AU105">
        <f>'Assessment Questions'!AX105</f>
        <v/>
      </c>
      <c r="AV105">
        <f>IF(OR($H105="",$H105="N/A"),"",IF(OR($AU105="",$AU105="Everywhere",$AU105="Not applicable"),1,IF($AU105="Pilot / one team",0.4,IF($AU105="One unit or site",0.7,0.9))))</f>
        <v/>
      </c>
      <c r="AW105" t="inlineStr">
        <is>
          <t>Finance Procurement</t>
        </is>
      </c>
      <c r="AX105" t="inlineStr">
        <is>
          <t>Finance Procurement</t>
        </is>
      </c>
      <c r="AY105" t="n">
        <v>12</v>
      </c>
      <c r="AZ105" t="n">
        <v>105</v>
      </c>
    </row>
    <row r="106">
      <c r="A106" t="inlineStr">
        <is>
          <t>FINA-009</t>
        </is>
      </c>
      <c r="B106" t="inlineStr">
        <is>
          <t>Controls and accounting</t>
        </is>
      </c>
      <c r="C106" t="inlineStr">
        <is>
          <t>How mature is the organization in managing month-end close continuity under remote work, system outage or unavailable finance staff, including ownership, evidence, metrics, fallback procedures and crisis stress testing?</t>
        </is>
      </c>
      <c r="D106" t="inlineStr">
        <is>
          <t>This topic affects exposure to Financial liquidity crisis; Supplier disruption; Fraud risk. It helps identify how disruption may impact operations, people, revenue, systems, legal exposure or recovery time.</t>
        </is>
      </c>
      <c r="E106" t="inlineStr">
        <is>
          <t>COSO Internal Control; COSO ERM; IFRS; ISO 20400; ISO 37001; CIPS</t>
        </is>
      </c>
      <c r="F106" t="inlineStr">
        <is>
          <t>Policy/SOP; owner/RACI; system report; dashboard; contracts; test records; incident history; interview evidence related to month-end close continuity under remote work, system outage or unavailable finance staff.</t>
        </is>
      </c>
      <c r="G106">
        <f>'Assessment Questions'!J106</f>
        <v/>
      </c>
      <c r="H106">
        <f>IF($Z106="","",IF($Z106="N/A","N/A",VALUE(LEFT($Z106,1))))</f>
        <v/>
      </c>
      <c r="I106">
        <f>IF($H106="","",IF($H106="N/A","",VALUE($H106)/5*$G106))</f>
        <v/>
      </c>
      <c r="J106">
        <f>IF(OR($H106="",$H106="N/A"),"",$G106)</f>
        <v/>
      </c>
      <c r="K106">
        <f>IF(OR($H106="",$H106="N/A"),"",$J106-$I106)</f>
        <v/>
      </c>
      <c r="L106">
        <f>IF($H106="","",IF($H106="N/A","N/A",IF(VALUE($H106)&lt;=1,"Critical",IF(VALUE($H106)&lt;=2,"High",IF(VALUE($H106)&lt;=3,"Medium",IF(VALUE($H106)&lt;=4,"Low","Resilient"))))))</f>
        <v/>
      </c>
      <c r="M106" t="inlineStr">
        <is>
          <t>Does not exist; no owner, no documentation, no practice.</t>
        </is>
      </c>
      <c r="N106" t="inlineStr">
        <is>
          <t>Ad hoc; depends entirely on specific individuals.</t>
        </is>
      </c>
      <c r="O106" t="inlineStr">
        <is>
          <t>Partially documented or implemented; coverage inconsistent; never tested under stress.</t>
        </is>
      </c>
      <c r="P106" t="inlineStr">
        <is>
          <t>Documented, owned, executed consistently; basic evidence and metrics exist.</t>
        </is>
      </c>
      <c r="Q106" t="inlineStr">
        <is>
          <t>Measured and periodically tested/audited; integrated with adjacent processes.</t>
        </is>
      </c>
      <c r="R106" t="inlineStr">
        <is>
          <t>Optimized and automated where practical; stress-tested; benchmarked externally.</t>
        </is>
      </c>
      <c r="S106" t="inlineStr">
        <is>
          <t>Financial liquidity crisis; Supplier disruption; Fraud risk</t>
        </is>
      </c>
      <c r="T106">
        <f>'Assessment Questions'!W106</f>
        <v/>
      </c>
      <c r="U106">
        <f>'Assessment Questions'!X106</f>
        <v/>
      </c>
      <c r="V106">
        <f>'Assessment Questions'!Y106</f>
        <v/>
      </c>
      <c r="W106" t="n">
        <v>4</v>
      </c>
      <c r="X106" t="n">
        <v>5</v>
      </c>
      <c r="Y106" t="n">
        <v>5</v>
      </c>
      <c r="Z106">
        <f>'Assessment Questions'!AC106</f>
        <v/>
      </c>
      <c r="AB106">
        <f>COUNTIF($B$98:$B$123,$AA106)</f>
        <v/>
      </c>
      <c r="AC106">
        <f>IFERROR(SUMPRODUCT(($B$98:$B$123=$AA106)*($H$98:$H$123&lt;&gt;"")*($H$98:$H$123&lt;&gt;"N/A")*IFERROR(VALUE($H$98:$H$123),0))/SUMPRODUCT(($B$98:$B$123=$AA106)*($H$98:$H$123&lt;&gt;"")*($H$98:$H$123&lt;&gt;"N/A")),0)</f>
        <v/>
      </c>
      <c r="AD106">
        <f>AC106/5</f>
        <v/>
      </c>
      <c r="AE106">
        <f>COUNTIFS($B$98:$B$123,$AA106,$L$98:$L$123,"Critical")+COUNTIFS($B$98:$B$123,$AA106,$L$98:$L$123,"High")</f>
        <v/>
      </c>
      <c r="AF106">
        <f>5-AC106</f>
        <v/>
      </c>
      <c r="AG106">
        <f>SUMPRODUCT(($B$98:$B$123=$AA106)*(ISNUMBER($H$98:$H$123)+($H$98:$H$123="N/A")))</f>
        <v/>
      </c>
      <c r="AH106">
        <f>'Assessment Questions'!AK106</f>
        <v/>
      </c>
      <c r="AI106">
        <f>'Assessment Questions'!AL106</f>
        <v/>
      </c>
      <c r="AJ106">
        <f>IF(OR($H106="",$H106="N/A"),"",IF($AH106="",VLOOKUP('Company Profile'!$B$40,_CONFIG_Model_Settings!$A$5:$B$8,2,FALSE),_xlfn.IFNA(VLOOKUP($AH106,_CONFIG_Model_Settings!$A$5:$B$8,2,FALSE),0.9)))</f>
        <v/>
      </c>
      <c r="AK106">
        <f>IF(OR($H106="",$H106="N/A"),"",IF($AI106="",VLOOKUP('Company Profile'!$B$41,_CONFIG_Model_Settings!$A$5:$B$8,2,FALSE),_xlfn.IFNA(VLOOKUP($AI106,_CONFIG_Model_Settings!$A$5:$B$8,2,FALSE),0.9)))</f>
        <v/>
      </c>
      <c r="AL106">
        <f>IF(OR($H106="",$H106="N/A"),"",ROUND(VALUE($H106)*$AJ106*$AK106*$AV106,2))</f>
        <v/>
      </c>
      <c r="AM106">
        <f>IF($AL106="","",ROUND($AL106/5*100,1))</f>
        <v/>
      </c>
      <c r="AN106">
        <f>IFERROR(MIN(5,MAX(0,(SUMIFS(_REF_Model_Content!$D$1:$D$157,_REF_Model_Content!$A$1:$A$157,'Company Profile'!$B$9,_REF_Model_Content!$B$1:$B$157,"Finance Procurement"))+_xlfn.IFNA(VLOOKUP('Company Profile'!$B$35,_CONFIG_Model_Settings!$A$11:$B$13,2,0),0))),"")</f>
        <v/>
      </c>
      <c r="AO106">
        <f>IF($AL106="","",MAX(0,ROUND($AN106-$AL106,2)))</f>
        <v/>
      </c>
      <c r="AP106">
        <f>IFERROR(SUMIFS(_REF_Model_Content!$E$1:$E$157,_REF_Model_Content!$A$1:$A$157,'Company Profile'!$B$9,_REF_Model_Content!$B$1:$B$157,"Finance Procurement"),1)</f>
        <v/>
      </c>
      <c r="AQ106">
        <f>IF($AO106="","",ROUND($AO106*$AP106*($G106/5),2))</f>
        <v/>
      </c>
      <c r="AR106">
        <f>IF($AO106="","",IF($AO106&gt;=2,"Critical industry gap",IF($AO106&gt;=1,"High industry gap",IF($AO106&gt;=0.5,"Moderate industry gap","Within target"))))</f>
        <v/>
      </c>
      <c r="AS106">
        <f>IF(OR($H106="",$H106="N/A"),0,VALUE($H106)*(($AJ106+$AK106)/2)*$AV106)</f>
        <v/>
      </c>
      <c r="AT106">
        <f>IF(OR($H106="",$H106="N/A"),0,($AJ106+$AK106)/2)</f>
        <v/>
      </c>
      <c r="AU106">
        <f>'Assessment Questions'!AX106</f>
        <v/>
      </c>
      <c r="AV106">
        <f>IF(OR($H106="",$H106="N/A"),"",IF(OR($AU106="",$AU106="Everywhere",$AU106="Not applicable"),1,IF($AU106="Pilot / one team",0.4,IF($AU106="One unit or site",0.7,0.9))))</f>
        <v/>
      </c>
      <c r="AW106" t="inlineStr">
        <is>
          <t>Finance Procurement</t>
        </is>
      </c>
      <c r="AX106" t="inlineStr">
        <is>
          <t>Finance Procurement</t>
        </is>
      </c>
      <c r="AY106" t="n">
        <v>13</v>
      </c>
      <c r="AZ106" t="n">
        <v>106</v>
      </c>
    </row>
    <row r="107">
      <c r="A107" t="inlineStr">
        <is>
          <t>FINA-010</t>
        </is>
      </c>
      <c r="B107" t="inlineStr">
        <is>
          <t>Controls and accounting</t>
        </is>
      </c>
      <c r="C107" t="inlineStr">
        <is>
          <t>How mature is the organization in managing manual fallback procedures for billing, payments, payroll, procurement and accounting close, including ownership, evidence, metrics, fallback procedures and crisis stress testing?</t>
        </is>
      </c>
      <c r="D107" t="inlineStr">
        <is>
          <t>This topic affects exposure to Financial liquidity crisis; Supplier disruption; Fraud risk. It helps identify how disruption may impact operations, people, revenue, systems, legal exposure or recovery time.</t>
        </is>
      </c>
      <c r="E107" t="inlineStr">
        <is>
          <t>COSO Internal Control; COSO ERM; IFRS; ISO 20400; ISO 37001; CIPS</t>
        </is>
      </c>
      <c r="F107" t="inlineStr">
        <is>
          <t>Policy/SOP; owner/RACI; system report; dashboard; contracts; test records; incident history; interview evidence related to manual fallback procedures for billing, payments, payroll, procurement and accounting close.</t>
        </is>
      </c>
      <c r="G107">
        <f>'Assessment Questions'!J107</f>
        <v/>
      </c>
      <c r="H107">
        <f>IF($Z107="","",IF($Z107="N/A","N/A",VALUE(LEFT($Z107,1))))</f>
        <v/>
      </c>
      <c r="I107">
        <f>IF($H107="","",IF($H107="N/A","",VALUE($H107)/5*$G107))</f>
        <v/>
      </c>
      <c r="J107">
        <f>IF(OR($H107="",$H107="N/A"),"",$G107)</f>
        <v/>
      </c>
      <c r="K107">
        <f>IF(OR($H107="",$H107="N/A"),"",$J107-$I107)</f>
        <v/>
      </c>
      <c r="L107">
        <f>IF($H107="","",IF($H107="N/A","N/A",IF(VALUE($H107)&lt;=1,"Critical",IF(VALUE($H107)&lt;=2,"High",IF(VALUE($H107)&lt;=3,"Medium",IF(VALUE($H107)&lt;=4,"Low","Resilient"))))))</f>
        <v/>
      </c>
      <c r="M107" t="inlineStr">
        <is>
          <t>No plan or procedure exists.</t>
        </is>
      </c>
      <c r="N107" t="inlineStr">
        <is>
          <t>Knowledge lives with individuals; nothing usable is written down.</t>
        </is>
      </c>
      <c r="O107" t="inlineStr">
        <is>
          <t>Drafted but outdated, not approved, or unknown to the people who must use it.</t>
        </is>
      </c>
      <c r="P107" t="inlineStr">
        <is>
          <t>Approved and current; owners assigned; affected staff know it exists and where to find it.</t>
        </is>
      </c>
      <c r="Q107" t="inlineStr">
        <is>
          <t>Tested against realistic scenarios; updated after each test or real incident.</t>
        </is>
      </c>
      <c r="R107" t="inlineStr">
        <is>
          <t>Exercised regularly including external parties; readiness measured; continuously improved.</t>
        </is>
      </c>
      <c r="S107" t="inlineStr">
        <is>
          <t>Financial liquidity crisis; Supplier disruption; Fraud risk</t>
        </is>
      </c>
      <c r="T107">
        <f>'Assessment Questions'!W107</f>
        <v/>
      </c>
      <c r="U107">
        <f>'Assessment Questions'!X107</f>
        <v/>
      </c>
      <c r="V107">
        <f>'Assessment Questions'!Y107</f>
        <v/>
      </c>
      <c r="W107" t="n">
        <v>4</v>
      </c>
      <c r="X107" t="n">
        <v>5</v>
      </c>
      <c r="Y107" t="n">
        <v>5</v>
      </c>
      <c r="Z107">
        <f>'Assessment Questions'!AC107</f>
        <v/>
      </c>
      <c r="AB107">
        <f>COUNTIF($B$98:$B$123,$AA107)</f>
        <v/>
      </c>
      <c r="AC107">
        <f>IFERROR(SUMPRODUCT(($B$98:$B$123=$AA107)*($H$98:$H$123&lt;&gt;"")*($H$98:$H$123&lt;&gt;"N/A")*IFERROR(VALUE($H$98:$H$123),0))/SUMPRODUCT(($B$98:$B$123=$AA107)*($H$98:$H$123&lt;&gt;"")*($H$98:$H$123&lt;&gt;"N/A")),0)</f>
        <v/>
      </c>
      <c r="AD107">
        <f>AC107/5</f>
        <v/>
      </c>
      <c r="AE107">
        <f>COUNTIFS($B$98:$B$123,$AA107,$L$98:$L$123,"Critical")+COUNTIFS($B$98:$B$123,$AA107,$L$98:$L$123,"High")</f>
        <v/>
      </c>
      <c r="AF107">
        <f>5-AC107</f>
        <v/>
      </c>
      <c r="AG107">
        <f>SUMPRODUCT(($B$98:$B$123=$AA107)*(ISNUMBER($H$98:$H$123)+($H$98:$H$123="N/A")))</f>
        <v/>
      </c>
      <c r="AH107">
        <f>'Assessment Questions'!AK107</f>
        <v/>
      </c>
      <c r="AI107">
        <f>'Assessment Questions'!AL107</f>
        <v/>
      </c>
      <c r="AJ107">
        <f>IF(OR($H107="",$H107="N/A"),"",IF($AH107="",VLOOKUP('Company Profile'!$B$40,_CONFIG_Model_Settings!$A$5:$B$8,2,FALSE),_xlfn.IFNA(VLOOKUP($AH107,_CONFIG_Model_Settings!$A$5:$B$8,2,FALSE),0.9)))</f>
        <v/>
      </c>
      <c r="AK107">
        <f>IF(OR($H107="",$H107="N/A"),"",IF($AI107="",VLOOKUP('Company Profile'!$B$41,_CONFIG_Model_Settings!$A$5:$B$8,2,FALSE),_xlfn.IFNA(VLOOKUP($AI107,_CONFIG_Model_Settings!$A$5:$B$8,2,FALSE),0.9)))</f>
        <v/>
      </c>
      <c r="AL107">
        <f>IF(OR($H107="",$H107="N/A"),"",ROUND(VALUE($H107)*$AJ107*$AK107*$AV107,2))</f>
        <v/>
      </c>
      <c r="AM107">
        <f>IF($AL107="","",ROUND($AL107/5*100,1))</f>
        <v/>
      </c>
      <c r="AN107">
        <f>IFERROR(MIN(5,MAX(0,(SUMIFS(_REF_Model_Content!$D$1:$D$157,_REF_Model_Content!$A$1:$A$157,'Company Profile'!$B$9,_REF_Model_Content!$B$1:$B$157,"Finance Procurement"))+_xlfn.IFNA(VLOOKUP('Company Profile'!$B$35,_CONFIG_Model_Settings!$A$11:$B$13,2,0),0))),"")</f>
        <v/>
      </c>
      <c r="AO107">
        <f>IF($AL107="","",MAX(0,ROUND($AN107-$AL107,2)))</f>
        <v/>
      </c>
      <c r="AP107">
        <f>IFERROR(SUMIFS(_REF_Model_Content!$E$1:$E$157,_REF_Model_Content!$A$1:$A$157,'Company Profile'!$B$9,_REF_Model_Content!$B$1:$B$157,"Finance Procurement"),1)</f>
        <v/>
      </c>
      <c r="AQ107">
        <f>IF($AO107="","",ROUND($AO107*$AP107*($G107/5),2))</f>
        <v/>
      </c>
      <c r="AR107">
        <f>IF($AO107="","",IF($AO107&gt;=2,"Critical industry gap",IF($AO107&gt;=1,"High industry gap",IF($AO107&gt;=0.5,"Moderate industry gap","Within target"))))</f>
        <v/>
      </c>
      <c r="AS107">
        <f>IF(OR($H107="",$H107="N/A"),0,VALUE($H107)*(($AJ107+$AK107)/2)*$AV107)</f>
        <v/>
      </c>
      <c r="AT107">
        <f>IF(OR($H107="",$H107="N/A"),0,($AJ107+$AK107)/2)</f>
        <v/>
      </c>
      <c r="AU107">
        <f>'Assessment Questions'!AX107</f>
        <v/>
      </c>
      <c r="AV107">
        <f>IF(OR($H107="",$H107="N/A"),"",IF(OR($AU107="",$AU107="Everywhere",$AU107="Not applicable"),1,IF($AU107="Pilot / one team",0.4,IF($AU107="One unit or site",0.7,0.9))))</f>
        <v/>
      </c>
      <c r="AW107" t="inlineStr">
        <is>
          <t>Finance Procurement</t>
        </is>
      </c>
      <c r="AX107" t="inlineStr">
        <is>
          <t>Finance Procurement</t>
        </is>
      </c>
      <c r="AY107" t="n">
        <v>14</v>
      </c>
      <c r="AZ107" t="n">
        <v>107</v>
      </c>
    </row>
    <row r="108">
      <c r="A108" t="inlineStr">
        <is>
          <t>FINA-011</t>
        </is>
      </c>
      <c r="B108" t="inlineStr">
        <is>
          <t>Controls and accounting</t>
        </is>
      </c>
      <c r="C108" t="inlineStr">
        <is>
          <t>How mature is the organization in managing fraud risk controls for fake invoices, payment diversion, supplier impersonation and business email compromise, including ownership, evidence, metrics, fallback procedures and crisis stress testing?</t>
        </is>
      </c>
      <c r="D108" t="inlineStr">
        <is>
          <t>This topic affects exposure to Financial liquidity crisis; Supplier disruption; Fraud risk. It helps identify how disruption may impact operations, people, revenue, systems, legal exposure or recovery time.</t>
        </is>
      </c>
      <c r="E108" t="inlineStr">
        <is>
          <t>COSO Internal Control; COSO ERM; IFRS; ISO 20400; ISO 37001; CIPS</t>
        </is>
      </c>
      <c r="F108" t="inlineStr">
        <is>
          <t>Policy/SOP; owner/RACI; system report; dashboard; contracts; test records; incident history; interview evidence related to fraud risk controls for fake invoices, payment diversion, supplier impersonation and business email compromise.</t>
        </is>
      </c>
      <c r="G108">
        <f>'Assessment Questions'!J108</f>
        <v/>
      </c>
      <c r="H108">
        <f>IF($Z108="","",IF($Z108="N/A","N/A",VALUE(LEFT($Z108,1))))</f>
        <v/>
      </c>
      <c r="I108">
        <f>IF($H108="","",IF($H108="N/A","",VALUE($H108)/5*$G108))</f>
        <v/>
      </c>
      <c r="J108">
        <f>IF(OR($H108="",$H108="N/A"),"",$G108)</f>
        <v/>
      </c>
      <c r="K108">
        <f>IF(OR($H108="",$H108="N/A"),"",$J108-$I108)</f>
        <v/>
      </c>
      <c r="L108">
        <f>IF($H108="","",IF($H108="N/A","N/A",IF(VALUE($H108)&lt;=1,"Critical",IF(VALUE($H108)&lt;=2,"High",IF(VALUE($H108)&lt;=3,"Medium",IF(VALUE($H108)&lt;=4,"Low","Resilient"))))))</f>
        <v/>
      </c>
      <c r="M108" t="inlineStr">
        <is>
          <t>Does not exist; no owner, no documentation, no practice.</t>
        </is>
      </c>
      <c r="N108" t="inlineStr">
        <is>
          <t>Ad hoc; depends entirely on specific individuals.</t>
        </is>
      </c>
      <c r="O108" t="inlineStr">
        <is>
          <t>Partially documented or implemented; coverage inconsistent; never tested under stress.</t>
        </is>
      </c>
      <c r="P108" t="inlineStr">
        <is>
          <t>Documented, owned, executed consistently; basic evidence and metrics exist.</t>
        </is>
      </c>
      <c r="Q108" t="inlineStr">
        <is>
          <t>Measured and periodically tested/audited; integrated with adjacent processes.</t>
        </is>
      </c>
      <c r="R108" t="inlineStr">
        <is>
          <t>Optimized and automated where practical; stress-tested; benchmarked externally.</t>
        </is>
      </c>
      <c r="S108" t="inlineStr">
        <is>
          <t>Financial liquidity crisis; Supplier disruption; Fraud risk</t>
        </is>
      </c>
      <c r="T108">
        <f>'Assessment Questions'!W108</f>
        <v/>
      </c>
      <c r="U108">
        <f>'Assessment Questions'!X108</f>
        <v/>
      </c>
      <c r="V108">
        <f>'Assessment Questions'!Y108</f>
        <v/>
      </c>
      <c r="W108" t="n">
        <v>4</v>
      </c>
      <c r="X108" t="n">
        <v>5</v>
      </c>
      <c r="Y108" t="n">
        <v>5</v>
      </c>
      <c r="Z108">
        <f>'Assessment Questions'!AC108</f>
        <v/>
      </c>
      <c r="AB108">
        <f>COUNTIF($B$98:$B$123,$AA108)</f>
        <v/>
      </c>
      <c r="AC108">
        <f>IFERROR(SUMPRODUCT(($B$98:$B$123=$AA108)*($H$98:$H$123&lt;&gt;"")*($H$98:$H$123&lt;&gt;"N/A")*IFERROR(VALUE($H$98:$H$123),0))/SUMPRODUCT(($B$98:$B$123=$AA108)*($H$98:$H$123&lt;&gt;"")*($H$98:$H$123&lt;&gt;"N/A")),0)</f>
        <v/>
      </c>
      <c r="AD108">
        <f>AC108/5</f>
        <v/>
      </c>
      <c r="AE108">
        <f>COUNTIFS($B$98:$B$123,$AA108,$L$98:$L$123,"Critical")+COUNTIFS($B$98:$B$123,$AA108,$L$98:$L$123,"High")</f>
        <v/>
      </c>
      <c r="AF108">
        <f>5-AC108</f>
        <v/>
      </c>
      <c r="AG108">
        <f>SUMPRODUCT(($B$98:$B$123=$AA108)*(ISNUMBER($H$98:$H$123)+($H$98:$H$123="N/A")))</f>
        <v/>
      </c>
      <c r="AH108">
        <f>'Assessment Questions'!AK108</f>
        <v/>
      </c>
      <c r="AI108">
        <f>'Assessment Questions'!AL108</f>
        <v/>
      </c>
      <c r="AJ108">
        <f>IF(OR($H108="",$H108="N/A"),"",IF($AH108="",VLOOKUP('Company Profile'!$B$40,_CONFIG_Model_Settings!$A$5:$B$8,2,FALSE),_xlfn.IFNA(VLOOKUP($AH108,_CONFIG_Model_Settings!$A$5:$B$8,2,FALSE),0.9)))</f>
        <v/>
      </c>
      <c r="AK108">
        <f>IF(OR($H108="",$H108="N/A"),"",IF($AI108="",VLOOKUP('Company Profile'!$B$41,_CONFIG_Model_Settings!$A$5:$B$8,2,FALSE),_xlfn.IFNA(VLOOKUP($AI108,_CONFIG_Model_Settings!$A$5:$B$8,2,FALSE),0.9)))</f>
        <v/>
      </c>
      <c r="AL108">
        <f>IF(OR($H108="",$H108="N/A"),"",ROUND(VALUE($H108)*$AJ108*$AK108*$AV108,2))</f>
        <v/>
      </c>
      <c r="AM108">
        <f>IF($AL108="","",ROUND($AL108/5*100,1))</f>
        <v/>
      </c>
      <c r="AN108">
        <f>IFERROR(MIN(5,MAX(0,(SUMIFS(_REF_Model_Content!$D$1:$D$157,_REF_Model_Content!$A$1:$A$157,'Company Profile'!$B$9,_REF_Model_Content!$B$1:$B$157,"Finance Procurement"))+_xlfn.IFNA(VLOOKUP('Company Profile'!$B$35,_CONFIG_Model_Settings!$A$11:$B$13,2,0),0))),"")</f>
        <v/>
      </c>
      <c r="AO108">
        <f>IF($AL108="","",MAX(0,ROUND($AN108-$AL108,2)))</f>
        <v/>
      </c>
      <c r="AP108">
        <f>IFERROR(SUMIFS(_REF_Model_Content!$E$1:$E$157,_REF_Model_Content!$A$1:$A$157,'Company Profile'!$B$9,_REF_Model_Content!$B$1:$B$157,"Finance Procurement"),1)</f>
        <v/>
      </c>
      <c r="AQ108">
        <f>IF($AO108="","",ROUND($AO108*$AP108*($G108/5),2))</f>
        <v/>
      </c>
      <c r="AR108">
        <f>IF($AO108="","",IF($AO108&gt;=2,"Critical industry gap",IF($AO108&gt;=1,"High industry gap",IF($AO108&gt;=0.5,"Moderate industry gap","Within target"))))</f>
        <v/>
      </c>
      <c r="AS108">
        <f>IF(OR($H108="",$H108="N/A"),0,VALUE($H108)*(($AJ108+$AK108)/2)*$AV108)</f>
        <v/>
      </c>
      <c r="AT108">
        <f>IF(OR($H108="",$H108="N/A"),0,($AJ108+$AK108)/2)</f>
        <v/>
      </c>
      <c r="AU108">
        <f>'Assessment Questions'!AX108</f>
        <v/>
      </c>
      <c r="AV108">
        <f>IF(OR($H108="",$H108="N/A"),"",IF(OR($AU108="",$AU108="Everywhere",$AU108="Not applicable"),1,IF($AU108="Pilot / one team",0.4,IF($AU108="One unit or site",0.7,0.9))))</f>
        <v/>
      </c>
      <c r="AW108" t="inlineStr">
        <is>
          <t>Finance Procurement</t>
        </is>
      </c>
      <c r="AX108" t="inlineStr">
        <is>
          <t>Finance Procurement</t>
        </is>
      </c>
      <c r="AY108" t="n">
        <v>15</v>
      </c>
      <c r="AZ108" t="n">
        <v>108</v>
      </c>
    </row>
    <row r="109">
      <c r="A109" t="inlineStr">
        <is>
          <t>FINA-012</t>
        </is>
      </c>
      <c r="B109" t="inlineStr">
        <is>
          <t>Controls and accounting</t>
        </is>
      </c>
      <c r="C109" t="inlineStr">
        <is>
          <t>How mature is the organization in managing finance master data controls for chart of accounts, cost centers, vendors, customers and reporting dimensions, including ownership, evidence, metrics, fallback procedures and crisis stress testing?</t>
        </is>
      </c>
      <c r="D109" t="inlineStr">
        <is>
          <t>This topic affects exposure to Financial liquidity crisis; Supplier disruption; Fraud risk. It helps identify how disruption may impact operations, people, revenue, systems, legal exposure or recovery time.</t>
        </is>
      </c>
      <c r="E109" t="inlineStr">
        <is>
          <t>COSO Internal Control; COSO ERM; IFRS; ISO 20400; ISO 37001; CIPS</t>
        </is>
      </c>
      <c r="F109" t="inlineStr">
        <is>
          <t>Policy/SOP; owner/RACI; system report; dashboard; contracts; test records; incident history; interview evidence related to finance master data controls for chart of accounts, cost centers, vendors, customers and reporting dimensions.</t>
        </is>
      </c>
      <c r="G109">
        <f>'Assessment Questions'!J109</f>
        <v/>
      </c>
      <c r="H109">
        <f>IF($Z109="","",IF($Z109="N/A","N/A",VALUE(LEFT($Z109,1))))</f>
        <v/>
      </c>
      <c r="I109">
        <f>IF($H109="","",IF($H109="N/A","",VALUE($H109)/5*$G109))</f>
        <v/>
      </c>
      <c r="J109">
        <f>IF(OR($H109="",$H109="N/A"),"",$G109)</f>
        <v/>
      </c>
      <c r="K109">
        <f>IF(OR($H109="",$H109="N/A"),"",$J109-$I109)</f>
        <v/>
      </c>
      <c r="L109">
        <f>IF($H109="","",IF($H109="N/A","N/A",IF(VALUE($H109)&lt;=1,"Critical",IF(VALUE($H109)&lt;=2,"High",IF(VALUE($H109)&lt;=3,"Medium",IF(VALUE($H109)&lt;=4,"Low","Resilient"))))))</f>
        <v/>
      </c>
      <c r="M109" t="inlineStr">
        <is>
          <t>No reliable evidence that finance master data controls for chart of accounts, cost centers, vendors, customers and reporting dimensions is defined, owned or managed.</t>
        </is>
      </c>
      <c r="N109" t="inlineStr">
        <is>
          <t>Finance master data controls for chart of accounts, cost centers, vendors, customers and reporting dimensions is handled informally and depends on individual knowledge or heroic effort.</t>
        </is>
      </c>
      <c r="O109" t="inlineStr">
        <is>
          <t>Finance master data controls for chart of accounts, cost centers, vendors, customers and reporting dimensions is partially documented or implemented, but coverage is inconsistent and not crisis-tested.</t>
        </is>
      </c>
      <c r="P109" t="inlineStr">
        <is>
          <t>Finance master data controls for chart of accounts, cost centers, vendors, customers and reporting dimensions is documented, owned, used in normal operations and supported by basic evidence or metrics.</t>
        </is>
      </c>
      <c r="Q109" t="inlineStr">
        <is>
          <t>Finance master data controls for chart of accounts, cost centers, vendors, customers and reporting dimensions is measured, periodically reviewed, integrated with related processes and tested against relevant disruption scenarios.</t>
        </is>
      </c>
      <c r="R109" t="inlineStr">
        <is>
          <t>Finance master data controls for chart of accounts, cost centers, vendors, customers and reporting dimensions is optimized, continuously improved, automated where practical and demonstrably supports crisis resilience.</t>
        </is>
      </c>
      <c r="S109" t="inlineStr">
        <is>
          <t>Financial liquidity crisis; Supplier disruption; Fraud risk</t>
        </is>
      </c>
      <c r="T109">
        <f>'Assessment Questions'!W109</f>
        <v/>
      </c>
      <c r="U109">
        <f>'Assessment Questions'!X109</f>
        <v/>
      </c>
      <c r="V109">
        <f>'Assessment Questions'!Y109</f>
        <v/>
      </c>
      <c r="W109" t="n">
        <v>5</v>
      </c>
      <c r="X109" t="n">
        <v>5</v>
      </c>
      <c r="Y109" t="n">
        <v>5</v>
      </c>
      <c r="Z109">
        <f>'Assessment Questions'!AC109</f>
        <v/>
      </c>
      <c r="AB109">
        <f>COUNTIF($B$98:$B$123,$AA109)</f>
        <v/>
      </c>
      <c r="AC109">
        <f>IFERROR(SUMPRODUCT(($B$98:$B$123=$AA109)*($H$98:$H$123&lt;&gt;"")*($H$98:$H$123&lt;&gt;"N/A")*IFERROR(VALUE($H$98:$H$123),0))/SUMPRODUCT(($B$98:$B$123=$AA109)*($H$98:$H$123&lt;&gt;"")*($H$98:$H$123&lt;&gt;"N/A")),0)</f>
        <v/>
      </c>
      <c r="AD109">
        <f>AC109/5</f>
        <v/>
      </c>
      <c r="AE109">
        <f>COUNTIFS($B$98:$B$123,$AA109,$L$98:$L$123,"Critical")+COUNTIFS($B$98:$B$123,$AA109,$L$98:$L$123,"High")</f>
        <v/>
      </c>
      <c r="AF109">
        <f>5-AC109</f>
        <v/>
      </c>
      <c r="AG109">
        <f>SUMPRODUCT(($B$98:$B$123=$AA109)*(ISNUMBER($H$98:$H$123)+($H$98:$H$123="N/A")))</f>
        <v/>
      </c>
      <c r="AH109">
        <f>'Assessment Questions'!AK109</f>
        <v/>
      </c>
      <c r="AI109">
        <f>'Assessment Questions'!AL109</f>
        <v/>
      </c>
      <c r="AJ109">
        <f>IF(OR($H109="",$H109="N/A"),"",IF($AH109="",VLOOKUP('Company Profile'!$B$40,_CONFIG_Model_Settings!$A$5:$B$8,2,FALSE),_xlfn.IFNA(VLOOKUP($AH109,_CONFIG_Model_Settings!$A$5:$B$8,2,FALSE),0.9)))</f>
        <v/>
      </c>
      <c r="AK109">
        <f>IF(OR($H109="",$H109="N/A"),"",IF($AI109="",VLOOKUP('Company Profile'!$B$41,_CONFIG_Model_Settings!$A$5:$B$8,2,FALSE),_xlfn.IFNA(VLOOKUP($AI109,_CONFIG_Model_Settings!$A$5:$B$8,2,FALSE),0.9)))</f>
        <v/>
      </c>
      <c r="AL109">
        <f>IF(OR($H109="",$H109="N/A"),"",ROUND(VALUE($H109)*$AJ109*$AK109*$AV109,2))</f>
        <v/>
      </c>
      <c r="AM109">
        <f>IF($AL109="","",ROUND($AL109/5*100,1))</f>
        <v/>
      </c>
      <c r="AN109">
        <f>IFERROR(MIN(5,MAX(0,(SUMIFS(_REF_Model_Content!$D$1:$D$157,_REF_Model_Content!$A$1:$A$157,'Company Profile'!$B$9,_REF_Model_Content!$B$1:$B$157,"Finance Procurement"))+_xlfn.IFNA(VLOOKUP('Company Profile'!$B$35,_CONFIG_Model_Settings!$A$11:$B$13,2,0),0))),"")</f>
        <v/>
      </c>
      <c r="AO109">
        <f>IF($AL109="","",MAX(0,ROUND($AN109-$AL109,2)))</f>
        <v/>
      </c>
      <c r="AP109">
        <f>IFERROR(SUMIFS(_REF_Model_Content!$E$1:$E$157,_REF_Model_Content!$A$1:$A$157,'Company Profile'!$B$9,_REF_Model_Content!$B$1:$B$157,"Finance Procurement"),1)</f>
        <v/>
      </c>
      <c r="AQ109">
        <f>IF($AO109="","",ROUND($AO109*$AP109*($G109/5),2))</f>
        <v/>
      </c>
      <c r="AR109">
        <f>IF($AO109="","",IF($AO109&gt;=2,"Critical industry gap",IF($AO109&gt;=1,"High industry gap",IF($AO109&gt;=0.5,"Moderate industry gap","Within target"))))</f>
        <v/>
      </c>
      <c r="AS109">
        <f>IF(OR($H109="",$H109="N/A"),0,VALUE($H109)*(($AJ109+$AK109)/2)*$AV109)</f>
        <v/>
      </c>
      <c r="AT109">
        <f>IF(OR($H109="",$H109="N/A"),0,($AJ109+$AK109)/2)</f>
        <v/>
      </c>
      <c r="AU109">
        <f>'Assessment Questions'!AX109</f>
        <v/>
      </c>
      <c r="AV109">
        <f>IF(OR($H109="",$H109="N/A"),"",IF(OR($AU109="",$AU109="Everywhere",$AU109="Not applicable"),1,IF($AU109="Pilot / one team",0.4,IF($AU109="One unit or site",0.7,0.9))))</f>
        <v/>
      </c>
      <c r="AW109" t="inlineStr">
        <is>
          <t>Finance Procurement</t>
        </is>
      </c>
      <c r="AX109" t="inlineStr">
        <is>
          <t>Finance Procurement</t>
        </is>
      </c>
      <c r="AY109" t="n">
        <v>16</v>
      </c>
      <c r="AZ109" t="n">
        <v>109</v>
      </c>
    </row>
    <row r="110">
      <c r="A110" t="inlineStr">
        <is>
          <t>FINA-013</t>
        </is>
      </c>
      <c r="B110" t="inlineStr">
        <is>
          <t>Procurement and suppliers</t>
        </is>
      </c>
      <c r="C110" t="inlineStr">
        <is>
          <t>How mature is the organization in managing procurement policy covering sourcing, approvals, conflicts of interest and emergency purchasing, including ownership, evidence, metrics, fallback procedures and crisis stress testing?</t>
        </is>
      </c>
      <c r="D110" t="inlineStr">
        <is>
          <t>This topic affects exposure to Financial liquidity crisis; Supplier disruption; Fraud risk. It helps identify how disruption may impact operations, people, revenue, systems, legal exposure or recovery time.</t>
        </is>
      </c>
      <c r="E110" t="inlineStr">
        <is>
          <t>COSO Internal Control; COSO ERM; IFRS; ISO 20400; ISO 37001; CIPS</t>
        </is>
      </c>
      <c r="F110" t="inlineStr">
        <is>
          <t>Policy/SOP; owner/RACI; system report; dashboard; contracts; test records; incident history; interview evidence related to procurement policy covering sourcing, approvals, conflicts of interest and emergency purchasing.</t>
        </is>
      </c>
      <c r="G110">
        <f>'Assessment Questions'!J110</f>
        <v/>
      </c>
      <c r="H110">
        <f>IF($Z110="","",IF($Z110="N/A","N/A",VALUE(LEFT($Z110,1))))</f>
        <v/>
      </c>
      <c r="I110">
        <f>IF($H110="","",IF($H110="N/A","",VALUE($H110)/5*$G110))</f>
        <v/>
      </c>
      <c r="J110">
        <f>IF(OR($H110="",$H110="N/A"),"",$G110)</f>
        <v/>
      </c>
      <c r="K110">
        <f>IF(OR($H110="",$H110="N/A"),"",$J110-$I110)</f>
        <v/>
      </c>
      <c r="L110">
        <f>IF($H110="","",IF($H110="N/A","N/A",IF(VALUE($H110)&lt;=1,"Critical",IF(VALUE($H110)&lt;=2,"High",IF(VALUE($H110)&lt;=3,"Medium",IF(VALUE($H110)&lt;=4,"Low","Resilient"))))))</f>
        <v/>
      </c>
      <c r="M110" t="inlineStr">
        <is>
          <t>No reliable evidence that procurement policy covering sourcing, approvals, conflicts of interest and emergency purchasing is defined, owned or managed.</t>
        </is>
      </c>
      <c r="N110" t="inlineStr">
        <is>
          <t>Procurement policy covering sourcing, approvals, conflicts of interest and emergency purchasing is handled informally and depends on individual knowledge or heroic effort.</t>
        </is>
      </c>
      <c r="O110" t="inlineStr">
        <is>
          <t>Procurement policy covering sourcing, approvals, conflicts of interest and emergency purchasing is partially documented or implemented, but coverage is inconsistent and not crisis-tested.</t>
        </is>
      </c>
      <c r="P110" t="inlineStr">
        <is>
          <t>Procurement policy covering sourcing, approvals, conflicts of interest and emergency purchasing is documented, owned, used in normal operations and supported by basic evidence or metrics.</t>
        </is>
      </c>
      <c r="Q110" t="inlineStr">
        <is>
          <t>Procurement policy covering sourcing, approvals, conflicts of interest and emergency purchasing is measured, periodically reviewed, integrated with related processes and tested against relevant disruption scenarios.</t>
        </is>
      </c>
      <c r="R110" t="inlineStr">
        <is>
          <t>Procurement policy covering sourcing, approvals, conflicts of interest and emergency purchasing is optimized, continuously improved, automated where practical and demonstrably supports crisis resilience.</t>
        </is>
      </c>
      <c r="S110" t="inlineStr">
        <is>
          <t>Financial liquidity crisis; Supplier disruption; Fraud risk</t>
        </is>
      </c>
      <c r="T110">
        <f>'Assessment Questions'!W110</f>
        <v/>
      </c>
      <c r="U110">
        <f>'Assessment Questions'!X110</f>
        <v/>
      </c>
      <c r="V110">
        <f>'Assessment Questions'!Y110</f>
        <v/>
      </c>
      <c r="W110" t="n">
        <v>4</v>
      </c>
      <c r="X110" t="n">
        <v>5</v>
      </c>
      <c r="Y110" t="n">
        <v>5</v>
      </c>
      <c r="Z110">
        <f>'Assessment Questions'!AC110</f>
        <v/>
      </c>
      <c r="AB110">
        <f>COUNTIF($B$98:$B$123,$AA110)</f>
        <v/>
      </c>
      <c r="AC110">
        <f>IFERROR(SUMPRODUCT(($B$98:$B$123=$AA110)*($H$98:$H$123&lt;&gt;"")*($H$98:$H$123&lt;&gt;"N/A")*IFERROR(VALUE($H$98:$H$123),0))/SUMPRODUCT(($B$98:$B$123=$AA110)*($H$98:$H$123&lt;&gt;"")*($H$98:$H$123&lt;&gt;"N/A")),0)</f>
        <v/>
      </c>
      <c r="AD110">
        <f>AC110/5</f>
        <v/>
      </c>
      <c r="AE110">
        <f>COUNTIFS($B$98:$B$123,$AA110,$L$98:$L$123,"Critical")+COUNTIFS($B$98:$B$123,$AA110,$L$98:$L$123,"High")</f>
        <v/>
      </c>
      <c r="AF110">
        <f>5-AC110</f>
        <v/>
      </c>
      <c r="AG110">
        <f>SUMPRODUCT(($B$98:$B$123=$AA110)*(ISNUMBER($H$98:$H$123)+($H$98:$H$123="N/A")))</f>
        <v/>
      </c>
      <c r="AH110">
        <f>'Assessment Questions'!AK110</f>
        <v/>
      </c>
      <c r="AI110">
        <f>'Assessment Questions'!AL110</f>
        <v/>
      </c>
      <c r="AJ110">
        <f>IF(OR($H110="",$H110="N/A"),"",IF($AH110="",VLOOKUP('Company Profile'!$B$40,_CONFIG_Model_Settings!$A$5:$B$8,2,FALSE),_xlfn.IFNA(VLOOKUP($AH110,_CONFIG_Model_Settings!$A$5:$B$8,2,FALSE),0.9)))</f>
        <v/>
      </c>
      <c r="AK110">
        <f>IF(OR($H110="",$H110="N/A"),"",IF($AI110="",VLOOKUP('Company Profile'!$B$41,_CONFIG_Model_Settings!$A$5:$B$8,2,FALSE),_xlfn.IFNA(VLOOKUP($AI110,_CONFIG_Model_Settings!$A$5:$B$8,2,FALSE),0.9)))</f>
        <v/>
      </c>
      <c r="AL110">
        <f>IF(OR($H110="",$H110="N/A"),"",ROUND(VALUE($H110)*$AJ110*$AK110*$AV110,2))</f>
        <v/>
      </c>
      <c r="AM110">
        <f>IF($AL110="","",ROUND($AL110/5*100,1))</f>
        <v/>
      </c>
      <c r="AN110">
        <f>IFERROR(MIN(5,MAX(0,(SUMIFS(_REF_Model_Content!$D$1:$D$157,_REF_Model_Content!$A$1:$A$157,'Company Profile'!$B$9,_REF_Model_Content!$B$1:$B$157,"Finance Procurement"))+_xlfn.IFNA(VLOOKUP('Company Profile'!$B$35,_CONFIG_Model_Settings!$A$11:$B$13,2,0),0))),"")</f>
        <v/>
      </c>
      <c r="AO110">
        <f>IF($AL110="","",MAX(0,ROUND($AN110-$AL110,2)))</f>
        <v/>
      </c>
      <c r="AP110">
        <f>IFERROR(SUMIFS(_REF_Model_Content!$E$1:$E$157,_REF_Model_Content!$A$1:$A$157,'Company Profile'!$B$9,_REF_Model_Content!$B$1:$B$157,"Finance Procurement"),1)</f>
        <v/>
      </c>
      <c r="AQ110">
        <f>IF($AO110="","",ROUND($AO110*$AP110*($G110/5),2))</f>
        <v/>
      </c>
      <c r="AR110">
        <f>IF($AO110="","",IF($AO110&gt;=2,"Critical industry gap",IF($AO110&gt;=1,"High industry gap",IF($AO110&gt;=0.5,"Moderate industry gap","Within target"))))</f>
        <v/>
      </c>
      <c r="AS110">
        <f>IF(OR($H110="",$H110="N/A"),0,VALUE($H110)*(($AJ110+$AK110)/2)*$AV110)</f>
        <v/>
      </c>
      <c r="AT110">
        <f>IF(OR($H110="",$H110="N/A"),0,($AJ110+$AK110)/2)</f>
        <v/>
      </c>
      <c r="AU110">
        <f>'Assessment Questions'!AX110</f>
        <v/>
      </c>
      <c r="AV110">
        <f>IF(OR($H110="",$H110="N/A"),"",IF(OR($AU110="",$AU110="Everywhere",$AU110="Not applicable"),1,IF($AU110="Pilot / one team",0.4,IF($AU110="One unit or site",0.7,0.9))))</f>
        <v/>
      </c>
      <c r="AW110" t="inlineStr">
        <is>
          <t>Finance Procurement</t>
        </is>
      </c>
      <c r="AX110" t="inlineStr">
        <is>
          <t>Finance Procurement</t>
        </is>
      </c>
      <c r="AY110" t="n">
        <v>17</v>
      </c>
      <c r="AZ110" t="n">
        <v>110</v>
      </c>
    </row>
    <row r="111">
      <c r="A111" t="inlineStr">
        <is>
          <t>FINA-014</t>
        </is>
      </c>
      <c r="B111" t="inlineStr">
        <is>
          <t>Procurement and suppliers</t>
        </is>
      </c>
      <c r="C111" t="inlineStr">
        <is>
          <t>How mature is the organization in managing critical supplier classification by business impact, replaceability, geography, financial health and SLA, including ownership, evidence, metrics, fallback procedures and crisis stress testing?</t>
        </is>
      </c>
      <c r="D111" t="inlineStr">
        <is>
          <t>This topic affects exposure to Financial liquidity crisis; Supplier disruption; Fraud risk. It helps identify how disruption may impact operations, people, revenue, systems, legal exposure or recovery time.</t>
        </is>
      </c>
      <c r="E111" t="inlineStr">
        <is>
          <t>COSO Internal Control; COSO ERM; IFRS; ISO 20400; ISO 37001; CIPS</t>
        </is>
      </c>
      <c r="F111" t="inlineStr">
        <is>
          <t>Policy/SOP; owner/RACI; system report; dashboard; contracts; test records; incident history; interview evidence related to critical supplier classification by business impact, replaceability, geography, financial health and SLA.</t>
        </is>
      </c>
      <c r="G111">
        <f>'Assessment Questions'!J111</f>
        <v/>
      </c>
      <c r="H111">
        <f>IF($Z111="","",IF($Z111="N/A","N/A",VALUE(LEFT($Z111,1))))</f>
        <v/>
      </c>
      <c r="I111">
        <f>IF($H111="","",IF($H111="N/A","",VALUE($H111)/5*$G111))</f>
        <v/>
      </c>
      <c r="J111">
        <f>IF(OR($H111="",$H111="N/A"),"",$G111)</f>
        <v/>
      </c>
      <c r="K111">
        <f>IF(OR($H111="",$H111="N/A"),"",$J111-$I111)</f>
        <v/>
      </c>
      <c r="L111">
        <f>IF($H111="","",IF($H111="N/A","N/A",IF(VALUE($H111)&lt;=1,"Critical",IF(VALUE($H111)&lt;=2,"High",IF(VALUE($H111)&lt;=3,"Medium",IF(VALUE($H111)&lt;=4,"Low","Resilient"))))))</f>
        <v/>
      </c>
      <c r="M111" t="inlineStr">
        <is>
          <t>Does not exist; no owner, no documentation, no practice.</t>
        </is>
      </c>
      <c r="N111" t="inlineStr">
        <is>
          <t>Ad hoc; depends entirely on specific individuals.</t>
        </is>
      </c>
      <c r="O111" t="inlineStr">
        <is>
          <t>Partially documented or implemented; coverage inconsistent; never tested under stress.</t>
        </is>
      </c>
      <c r="P111" t="inlineStr">
        <is>
          <t>Documented, owned, executed consistently; basic evidence and metrics exist.</t>
        </is>
      </c>
      <c r="Q111" t="inlineStr">
        <is>
          <t>Measured and periodically tested/audited; integrated with adjacent processes.</t>
        </is>
      </c>
      <c r="R111" t="inlineStr">
        <is>
          <t>Optimized and automated where practical; stress-tested; benchmarked externally.</t>
        </is>
      </c>
      <c r="S111" t="inlineStr">
        <is>
          <t>Financial liquidity crisis; Supplier disruption; Fraud risk</t>
        </is>
      </c>
      <c r="T111">
        <f>'Assessment Questions'!W111</f>
        <v/>
      </c>
      <c r="U111">
        <f>'Assessment Questions'!X111</f>
        <v/>
      </c>
      <c r="V111">
        <f>'Assessment Questions'!Y111</f>
        <v/>
      </c>
      <c r="W111" t="n">
        <v>4</v>
      </c>
      <c r="X111" t="n">
        <v>5</v>
      </c>
      <c r="Y111" t="n">
        <v>5</v>
      </c>
      <c r="Z111">
        <f>'Assessment Questions'!AC111</f>
        <v/>
      </c>
      <c r="AB111">
        <f>COUNTIF($B$98:$B$123,$AA111)</f>
        <v/>
      </c>
      <c r="AC111">
        <f>IFERROR(SUMPRODUCT(($B$98:$B$123=$AA111)*($H$98:$H$123&lt;&gt;"")*($H$98:$H$123&lt;&gt;"N/A")*IFERROR(VALUE($H$98:$H$123),0))/SUMPRODUCT(($B$98:$B$123=$AA111)*($H$98:$H$123&lt;&gt;"")*($H$98:$H$123&lt;&gt;"N/A")),0)</f>
        <v/>
      </c>
      <c r="AD111">
        <f>AC111/5</f>
        <v/>
      </c>
      <c r="AE111">
        <f>COUNTIFS($B$98:$B$123,$AA111,$L$98:$L$123,"Critical")+COUNTIFS($B$98:$B$123,$AA111,$L$98:$L$123,"High")</f>
        <v/>
      </c>
      <c r="AF111">
        <f>5-AC111</f>
        <v/>
      </c>
      <c r="AG111">
        <f>SUMPRODUCT(($B$98:$B$123=$AA111)*(ISNUMBER($H$98:$H$123)+($H$98:$H$123="N/A")))</f>
        <v/>
      </c>
      <c r="AH111">
        <f>'Assessment Questions'!AK111</f>
        <v/>
      </c>
      <c r="AI111">
        <f>'Assessment Questions'!AL111</f>
        <v/>
      </c>
      <c r="AJ111">
        <f>IF(OR($H111="",$H111="N/A"),"",IF($AH111="",VLOOKUP('Company Profile'!$B$40,_CONFIG_Model_Settings!$A$5:$B$8,2,FALSE),_xlfn.IFNA(VLOOKUP($AH111,_CONFIG_Model_Settings!$A$5:$B$8,2,FALSE),0.9)))</f>
        <v/>
      </c>
      <c r="AK111">
        <f>IF(OR($H111="",$H111="N/A"),"",IF($AI111="",VLOOKUP('Company Profile'!$B$41,_CONFIG_Model_Settings!$A$5:$B$8,2,FALSE),_xlfn.IFNA(VLOOKUP($AI111,_CONFIG_Model_Settings!$A$5:$B$8,2,FALSE),0.9)))</f>
        <v/>
      </c>
      <c r="AL111">
        <f>IF(OR($H111="",$H111="N/A"),"",ROUND(VALUE($H111)*$AJ111*$AK111*$AV111,2))</f>
        <v/>
      </c>
      <c r="AM111">
        <f>IF($AL111="","",ROUND($AL111/5*100,1))</f>
        <v/>
      </c>
      <c r="AN111">
        <f>IFERROR(MIN(5,MAX(0,(SUMIFS(_REF_Model_Content!$D$1:$D$157,_REF_Model_Content!$A$1:$A$157,'Company Profile'!$B$9,_REF_Model_Content!$B$1:$B$157,"Finance Procurement"))+_xlfn.IFNA(VLOOKUP('Company Profile'!$B$35,_CONFIG_Model_Settings!$A$11:$B$13,2,0),0))),"")</f>
        <v/>
      </c>
      <c r="AO111">
        <f>IF($AL111="","",MAX(0,ROUND($AN111-$AL111,2)))</f>
        <v/>
      </c>
      <c r="AP111">
        <f>IFERROR(SUMIFS(_REF_Model_Content!$E$1:$E$157,_REF_Model_Content!$A$1:$A$157,'Company Profile'!$B$9,_REF_Model_Content!$B$1:$B$157,"Finance Procurement"),1)</f>
        <v/>
      </c>
      <c r="AQ111">
        <f>IF($AO111="","",ROUND($AO111*$AP111*($G111/5),2))</f>
        <v/>
      </c>
      <c r="AR111">
        <f>IF($AO111="","",IF($AO111&gt;=2,"Critical industry gap",IF($AO111&gt;=1,"High industry gap",IF($AO111&gt;=0.5,"Moderate industry gap","Within target"))))</f>
        <v/>
      </c>
      <c r="AS111">
        <f>IF(OR($H111="",$H111="N/A"),0,VALUE($H111)*(($AJ111+$AK111)/2)*$AV111)</f>
        <v/>
      </c>
      <c r="AT111">
        <f>IF(OR($H111="",$H111="N/A"),0,($AJ111+$AK111)/2)</f>
        <v/>
      </c>
      <c r="AU111">
        <f>'Assessment Questions'!AX111</f>
        <v/>
      </c>
      <c r="AV111">
        <f>IF(OR($H111="",$H111="N/A"),"",IF(OR($AU111="",$AU111="Everywhere",$AU111="Not applicable"),1,IF($AU111="Pilot / one team",0.4,IF($AU111="One unit or site",0.7,0.9))))</f>
        <v/>
      </c>
      <c r="AW111" t="inlineStr">
        <is>
          <t>Finance Procurement</t>
        </is>
      </c>
      <c r="AX111" t="inlineStr">
        <is>
          <t>Finance Procurement</t>
        </is>
      </c>
      <c r="AY111" t="n">
        <v>18</v>
      </c>
      <c r="AZ111" t="n">
        <v>111</v>
      </c>
    </row>
    <row r="112">
      <c r="A112" t="inlineStr">
        <is>
          <t>FINA-015</t>
        </is>
      </c>
      <c r="B112" t="inlineStr">
        <is>
          <t>Procurement and suppliers</t>
        </is>
      </c>
      <c r="C112" t="inlineStr">
        <is>
          <t>How mature is the organization in managing single-source and sole-source supplier exposure and mitigation plans, including ownership, evidence, metrics, fallback procedures and crisis stress testing?</t>
        </is>
      </c>
      <c r="D112" t="inlineStr">
        <is>
          <t>This topic affects exposure to Financial liquidity crisis; Supplier disruption; Fraud risk. It helps identify how disruption may impact operations, people, revenue, systems, legal exposure or recovery time.</t>
        </is>
      </c>
      <c r="E112" t="inlineStr">
        <is>
          <t>COSO Internal Control; COSO ERM; IFRS; ISO 20400; ISO 37001; CIPS</t>
        </is>
      </c>
      <c r="F112" t="inlineStr">
        <is>
          <t>Policy/SOP; owner/RACI; system report; dashboard; contracts; test records; incident history; interview evidence related to single-source and sole-source supplier exposure and mitigation plans.</t>
        </is>
      </c>
      <c r="G112">
        <f>'Assessment Questions'!J112</f>
        <v/>
      </c>
      <c r="H112">
        <f>IF($Z112="","",IF($Z112="N/A","N/A",VALUE(LEFT($Z112,1))))</f>
        <v/>
      </c>
      <c r="I112">
        <f>IF($H112="","",IF($H112="N/A","",VALUE($H112)/5*$G112))</f>
        <v/>
      </c>
      <c r="J112">
        <f>IF(OR($H112="",$H112="N/A"),"",$G112)</f>
        <v/>
      </c>
      <c r="K112">
        <f>IF(OR($H112="",$H112="N/A"),"",$J112-$I112)</f>
        <v/>
      </c>
      <c r="L112">
        <f>IF($H112="","",IF($H112="N/A","N/A",IF(VALUE($H112)&lt;=1,"Critical",IF(VALUE($H112)&lt;=2,"High",IF(VALUE($H112)&lt;=3,"Medium",IF(VALUE($H112)&lt;=4,"Low","Resilient"))))))</f>
        <v/>
      </c>
      <c r="M112" t="inlineStr">
        <is>
          <t>No plan or procedure exists.</t>
        </is>
      </c>
      <c r="N112" t="inlineStr">
        <is>
          <t>Knowledge lives with individuals; nothing usable is written down.</t>
        </is>
      </c>
      <c r="O112" t="inlineStr">
        <is>
          <t>Drafted but outdated, not approved, or unknown to the people who must use it.</t>
        </is>
      </c>
      <c r="P112" t="inlineStr">
        <is>
          <t>Approved and current; owners assigned; affected staff know it exists and where to find it.</t>
        </is>
      </c>
      <c r="Q112" t="inlineStr">
        <is>
          <t>Tested against realistic scenarios; updated after each test or real incident.</t>
        </is>
      </c>
      <c r="R112" t="inlineStr">
        <is>
          <t>Exercised regularly including external parties; readiness measured; continuously improved.</t>
        </is>
      </c>
      <c r="S112" t="inlineStr">
        <is>
          <t>Financial liquidity crisis; Supplier disruption; Fraud risk</t>
        </is>
      </c>
      <c r="T112">
        <f>'Assessment Questions'!W112</f>
        <v/>
      </c>
      <c r="U112">
        <f>'Assessment Questions'!X112</f>
        <v/>
      </c>
      <c r="V112">
        <f>'Assessment Questions'!Y112</f>
        <v/>
      </c>
      <c r="W112" t="n">
        <v>4</v>
      </c>
      <c r="X112" t="n">
        <v>5</v>
      </c>
      <c r="Y112" t="n">
        <v>5</v>
      </c>
      <c r="Z112">
        <f>'Assessment Questions'!AC112</f>
        <v/>
      </c>
      <c r="AB112">
        <f>COUNTIF($B$98:$B$123,$AA112)</f>
        <v/>
      </c>
      <c r="AC112">
        <f>IFERROR(SUMPRODUCT(($B$98:$B$123=$AA112)*($H$98:$H$123&lt;&gt;"")*($H$98:$H$123&lt;&gt;"N/A")*IFERROR(VALUE($H$98:$H$123),0))/SUMPRODUCT(($B$98:$B$123=$AA112)*($H$98:$H$123&lt;&gt;"")*($H$98:$H$123&lt;&gt;"N/A")),0)</f>
        <v/>
      </c>
      <c r="AD112">
        <f>AC112/5</f>
        <v/>
      </c>
      <c r="AE112">
        <f>COUNTIFS($B$98:$B$123,$AA112,$L$98:$L$123,"Critical")+COUNTIFS($B$98:$B$123,$AA112,$L$98:$L$123,"High")</f>
        <v/>
      </c>
      <c r="AF112">
        <f>5-AC112</f>
        <v/>
      </c>
      <c r="AG112">
        <f>SUMPRODUCT(($B$98:$B$123=$AA112)*(ISNUMBER($H$98:$H$123)+($H$98:$H$123="N/A")))</f>
        <v/>
      </c>
      <c r="AH112">
        <f>'Assessment Questions'!AK112</f>
        <v/>
      </c>
      <c r="AI112">
        <f>'Assessment Questions'!AL112</f>
        <v/>
      </c>
      <c r="AJ112">
        <f>IF(OR($H112="",$H112="N/A"),"",IF($AH112="",VLOOKUP('Company Profile'!$B$40,_CONFIG_Model_Settings!$A$5:$B$8,2,FALSE),_xlfn.IFNA(VLOOKUP($AH112,_CONFIG_Model_Settings!$A$5:$B$8,2,FALSE),0.9)))</f>
        <v/>
      </c>
      <c r="AK112">
        <f>IF(OR($H112="",$H112="N/A"),"",IF($AI112="",VLOOKUP('Company Profile'!$B$41,_CONFIG_Model_Settings!$A$5:$B$8,2,FALSE),_xlfn.IFNA(VLOOKUP($AI112,_CONFIG_Model_Settings!$A$5:$B$8,2,FALSE),0.9)))</f>
        <v/>
      </c>
      <c r="AL112">
        <f>IF(OR($H112="",$H112="N/A"),"",ROUND(VALUE($H112)*$AJ112*$AK112*$AV112,2))</f>
        <v/>
      </c>
      <c r="AM112">
        <f>IF($AL112="","",ROUND($AL112/5*100,1))</f>
        <v/>
      </c>
      <c r="AN112">
        <f>IFERROR(MIN(5,MAX(0,(SUMIFS(_REF_Model_Content!$D$1:$D$157,_REF_Model_Content!$A$1:$A$157,'Company Profile'!$B$9,_REF_Model_Content!$B$1:$B$157,"Finance Procurement"))+_xlfn.IFNA(VLOOKUP('Company Profile'!$B$35,_CONFIG_Model_Settings!$A$11:$B$13,2,0),0))),"")</f>
        <v/>
      </c>
      <c r="AO112">
        <f>IF($AL112="","",MAX(0,ROUND($AN112-$AL112,2)))</f>
        <v/>
      </c>
      <c r="AP112">
        <f>IFERROR(SUMIFS(_REF_Model_Content!$E$1:$E$157,_REF_Model_Content!$A$1:$A$157,'Company Profile'!$B$9,_REF_Model_Content!$B$1:$B$157,"Finance Procurement"),1)</f>
        <v/>
      </c>
      <c r="AQ112">
        <f>IF($AO112="","",ROUND($AO112*$AP112*($G112/5),2))</f>
        <v/>
      </c>
      <c r="AR112">
        <f>IF($AO112="","",IF($AO112&gt;=2,"Critical industry gap",IF($AO112&gt;=1,"High industry gap",IF($AO112&gt;=0.5,"Moderate industry gap","Within target"))))</f>
        <v/>
      </c>
      <c r="AS112">
        <f>IF(OR($H112="",$H112="N/A"),0,VALUE($H112)*(($AJ112+$AK112)/2)*$AV112)</f>
        <v/>
      </c>
      <c r="AT112">
        <f>IF(OR($H112="",$H112="N/A"),0,($AJ112+$AK112)/2)</f>
        <v/>
      </c>
      <c r="AU112">
        <f>'Assessment Questions'!AX112</f>
        <v/>
      </c>
      <c r="AV112">
        <f>IF(OR($H112="",$H112="N/A"),"",IF(OR($AU112="",$AU112="Everywhere",$AU112="Not applicable"),1,IF($AU112="Pilot / one team",0.4,IF($AU112="One unit or site",0.7,0.9))))</f>
        <v/>
      </c>
      <c r="AW112" t="inlineStr">
        <is>
          <t>Finance Procurement</t>
        </is>
      </c>
      <c r="AX112" t="inlineStr">
        <is>
          <t>Finance Procurement</t>
        </is>
      </c>
      <c r="AY112" t="n">
        <v>19</v>
      </c>
      <c r="AZ112" t="n">
        <v>112</v>
      </c>
    </row>
    <row r="113">
      <c r="A113" t="inlineStr">
        <is>
          <t>FINA-016</t>
        </is>
      </c>
      <c r="B113" t="inlineStr">
        <is>
          <t>Procurement and suppliers</t>
        </is>
      </c>
      <c r="C113" t="inlineStr">
        <is>
          <t>How mature is the organization in managing supplier financial health, sanctions, insurance, delivery reliability and crisis exposure monitoring, including ownership, evidence, metrics, fallback procedures and crisis stress testing?</t>
        </is>
      </c>
      <c r="D113" t="inlineStr">
        <is>
          <t>This topic affects exposure to Financial liquidity crisis; Supplier disruption; Fraud risk. It helps identify how disruption may impact operations, people, revenue, systems, legal exposure or recovery time.</t>
        </is>
      </c>
      <c r="E113" t="inlineStr">
        <is>
          <t>COSO Internal Control; COSO ERM; IFRS; ISO 20400; ISO 37001; CIPS</t>
        </is>
      </c>
      <c r="F113" t="inlineStr">
        <is>
          <t>Policy/SOP; owner/RACI; system report; dashboard; contracts; test records; incident history; interview evidence related to supplier financial health, sanctions, insurance, delivery reliability and crisis exposure monitoring.</t>
        </is>
      </c>
      <c r="G113">
        <f>'Assessment Questions'!J113</f>
        <v/>
      </c>
      <c r="H113">
        <f>IF($Z113="","",IF($Z113="N/A","N/A",VALUE(LEFT($Z113,1))))</f>
        <v/>
      </c>
      <c r="I113">
        <f>IF($H113="","",IF($H113="N/A","",VALUE($H113)/5*$G113))</f>
        <v/>
      </c>
      <c r="J113">
        <f>IF(OR($H113="",$H113="N/A"),"",$G113)</f>
        <v/>
      </c>
      <c r="K113">
        <f>IF(OR($H113="",$H113="N/A"),"",$J113-$I113)</f>
        <v/>
      </c>
      <c r="L113">
        <f>IF($H113="","",IF($H113="N/A","N/A",IF(VALUE($H113)&lt;=1,"Critical",IF(VALUE($H113)&lt;=2,"High",IF(VALUE($H113)&lt;=3,"Medium",IF(VALUE($H113)&lt;=4,"Low","Resilient"))))))</f>
        <v/>
      </c>
      <c r="M113" t="inlineStr">
        <is>
          <t>Nothing is monitored or measured.</t>
        </is>
      </c>
      <c r="N113" t="inlineStr">
        <is>
          <t>Occasional manual checks by individuals.</t>
        </is>
      </c>
      <c r="O113" t="inlineStr">
        <is>
          <t>Some metrics exist but are not reviewed regularly and trigger no action.</t>
        </is>
      </c>
      <c r="P113" t="inlineStr">
        <is>
          <t>Defined metrics with an owner, reviewed on a set cadence.</t>
        </is>
      </c>
      <c r="Q113" t="inlineStr">
        <is>
          <t>Thresholds and alerts in place; deviations trigger documented action; trends analyzed.</t>
        </is>
      </c>
      <c r="R113" t="inlineStr">
        <is>
          <t>Automated monitoring with leading indicators, integrated into management decisions.</t>
        </is>
      </c>
      <c r="S113" t="inlineStr">
        <is>
          <t>Financial liquidity crisis; Supplier disruption; Fraud risk</t>
        </is>
      </c>
      <c r="T113">
        <f>'Assessment Questions'!W113</f>
        <v/>
      </c>
      <c r="U113">
        <f>'Assessment Questions'!X113</f>
        <v/>
      </c>
      <c r="V113">
        <f>'Assessment Questions'!Y113</f>
        <v/>
      </c>
      <c r="W113" t="n">
        <v>4</v>
      </c>
      <c r="X113" t="n">
        <v>5</v>
      </c>
      <c r="Y113" t="n">
        <v>5</v>
      </c>
      <c r="Z113">
        <f>'Assessment Questions'!AC113</f>
        <v/>
      </c>
      <c r="AB113">
        <f>COUNTIF($B$98:$B$123,$AA113)</f>
        <v/>
      </c>
      <c r="AC113">
        <f>IFERROR(SUMPRODUCT(($B$98:$B$123=$AA113)*($H$98:$H$123&lt;&gt;"")*($H$98:$H$123&lt;&gt;"N/A")*IFERROR(VALUE($H$98:$H$123),0))/SUMPRODUCT(($B$98:$B$123=$AA113)*($H$98:$H$123&lt;&gt;"")*($H$98:$H$123&lt;&gt;"N/A")),0)</f>
        <v/>
      </c>
      <c r="AD113">
        <f>AC113/5</f>
        <v/>
      </c>
      <c r="AE113">
        <f>COUNTIFS($B$98:$B$123,$AA113,$L$98:$L$123,"Critical")+COUNTIFS($B$98:$B$123,$AA113,$L$98:$L$123,"High")</f>
        <v/>
      </c>
      <c r="AF113">
        <f>5-AC113</f>
        <v/>
      </c>
      <c r="AG113">
        <f>SUMPRODUCT(($B$98:$B$123=$AA113)*(ISNUMBER($H$98:$H$123)+($H$98:$H$123="N/A")))</f>
        <v/>
      </c>
      <c r="AH113">
        <f>'Assessment Questions'!AK113</f>
        <v/>
      </c>
      <c r="AI113">
        <f>'Assessment Questions'!AL113</f>
        <v/>
      </c>
      <c r="AJ113">
        <f>IF(OR($H113="",$H113="N/A"),"",IF($AH113="",VLOOKUP('Company Profile'!$B$40,_CONFIG_Model_Settings!$A$5:$B$8,2,FALSE),_xlfn.IFNA(VLOOKUP($AH113,_CONFIG_Model_Settings!$A$5:$B$8,2,FALSE),0.9)))</f>
        <v/>
      </c>
      <c r="AK113">
        <f>IF(OR($H113="",$H113="N/A"),"",IF($AI113="",VLOOKUP('Company Profile'!$B$41,_CONFIG_Model_Settings!$A$5:$B$8,2,FALSE),_xlfn.IFNA(VLOOKUP($AI113,_CONFIG_Model_Settings!$A$5:$B$8,2,FALSE),0.9)))</f>
        <v/>
      </c>
      <c r="AL113">
        <f>IF(OR($H113="",$H113="N/A"),"",ROUND(VALUE($H113)*$AJ113*$AK113*$AV113,2))</f>
        <v/>
      </c>
      <c r="AM113">
        <f>IF($AL113="","",ROUND($AL113/5*100,1))</f>
        <v/>
      </c>
      <c r="AN113">
        <f>IFERROR(MIN(5,MAX(0,(SUMIFS(_REF_Model_Content!$D$1:$D$157,_REF_Model_Content!$A$1:$A$157,'Company Profile'!$B$9,_REF_Model_Content!$B$1:$B$157,"Finance Procurement"))+_xlfn.IFNA(VLOOKUP('Company Profile'!$B$35,_CONFIG_Model_Settings!$A$11:$B$13,2,0),0))),"")</f>
        <v/>
      </c>
      <c r="AO113">
        <f>IF($AL113="","",MAX(0,ROUND($AN113-$AL113,2)))</f>
        <v/>
      </c>
      <c r="AP113">
        <f>IFERROR(SUMIFS(_REF_Model_Content!$E$1:$E$157,_REF_Model_Content!$A$1:$A$157,'Company Profile'!$B$9,_REF_Model_Content!$B$1:$B$157,"Finance Procurement"),1)</f>
        <v/>
      </c>
      <c r="AQ113">
        <f>IF($AO113="","",ROUND($AO113*$AP113*($G113/5),2))</f>
        <v/>
      </c>
      <c r="AR113">
        <f>IF($AO113="","",IF($AO113&gt;=2,"Critical industry gap",IF($AO113&gt;=1,"High industry gap",IF($AO113&gt;=0.5,"Moderate industry gap","Within target"))))</f>
        <v/>
      </c>
      <c r="AS113">
        <f>IF(OR($H113="",$H113="N/A"),0,VALUE($H113)*(($AJ113+$AK113)/2)*$AV113)</f>
        <v/>
      </c>
      <c r="AT113">
        <f>IF(OR($H113="",$H113="N/A"),0,($AJ113+$AK113)/2)</f>
        <v/>
      </c>
      <c r="AU113">
        <f>'Assessment Questions'!AX113</f>
        <v/>
      </c>
      <c r="AV113">
        <f>IF(OR($H113="",$H113="N/A"),"",IF(OR($AU113="",$AU113="Everywhere",$AU113="Not applicable"),1,IF($AU113="Pilot / one team",0.4,IF($AU113="One unit or site",0.7,0.9))))</f>
        <v/>
      </c>
      <c r="AW113" t="inlineStr">
        <is>
          <t>Finance Procurement</t>
        </is>
      </c>
      <c r="AX113" t="inlineStr">
        <is>
          <t>Finance Procurement</t>
        </is>
      </c>
      <c r="AY113" t="n">
        <v>20</v>
      </c>
      <c r="AZ113" t="n">
        <v>113</v>
      </c>
    </row>
    <row r="114">
      <c r="A114" t="inlineStr">
        <is>
          <t>FINA-018</t>
        </is>
      </c>
      <c r="B114" t="inlineStr">
        <is>
          <t>Procurement and suppliers</t>
        </is>
      </c>
      <c r="C114" t="inlineStr">
        <is>
          <t>How mature is the organization in managing emergency purchasing process that preserves essential controls and fraud prevention, including ownership, evidence, metrics, fallback procedures and crisis stress testing?</t>
        </is>
      </c>
      <c r="D114" t="inlineStr">
        <is>
          <t>This topic affects exposure to Financial liquidity crisis; Supplier disruption; Fraud risk. It helps identify how disruption may impact operations, people, revenue, systems, legal exposure or recovery time.</t>
        </is>
      </c>
      <c r="E114" t="inlineStr">
        <is>
          <t>COSO Internal Control; COSO ERM; IFRS; ISO 20400; ISO 37001; CIPS</t>
        </is>
      </c>
      <c r="F114" t="inlineStr">
        <is>
          <t>Policy/SOP; owner/RACI; system report; dashboard; contracts; test records; incident history; interview evidence related to emergency purchasing process that preserves essential controls and fraud prevention.</t>
        </is>
      </c>
      <c r="G114">
        <f>'Assessment Questions'!J114</f>
        <v/>
      </c>
      <c r="H114">
        <f>IF($Z114="","",IF($Z114="N/A","N/A",VALUE(LEFT($Z114,1))))</f>
        <v/>
      </c>
      <c r="I114">
        <f>IF($H114="","",IF($H114="N/A","",VALUE($H114)/5*$G114))</f>
        <v/>
      </c>
      <c r="J114">
        <f>IF(OR($H114="",$H114="N/A"),"",$G114)</f>
        <v/>
      </c>
      <c r="K114">
        <f>IF(OR($H114="",$H114="N/A"),"",$J114-$I114)</f>
        <v/>
      </c>
      <c r="L114">
        <f>IF($H114="","",IF($H114="N/A","N/A",IF(VALUE($H114)&lt;=1,"Critical",IF(VALUE($H114)&lt;=2,"High",IF(VALUE($H114)&lt;=3,"Medium",IF(VALUE($H114)&lt;=4,"Low","Resilient"))))))</f>
        <v/>
      </c>
      <c r="M114" t="inlineStr">
        <is>
          <t>No reliable evidence that emergency purchasing process that preserves essential controls and fraud prevention is defined, owned or managed.</t>
        </is>
      </c>
      <c r="N114" t="inlineStr">
        <is>
          <t>Emergency purchasing process that preserves essential controls and fraud prevention is handled informally and depends on individual knowledge or heroic effort.</t>
        </is>
      </c>
      <c r="O114" t="inlineStr">
        <is>
          <t>Emergency purchasing process that preserves essential controls and fraud prevention is partially documented or implemented, but coverage is inconsistent and not crisis-tested.</t>
        </is>
      </c>
      <c r="P114" t="inlineStr">
        <is>
          <t>Emergency purchasing process that preserves essential controls and fraud prevention is documented, owned, used in normal operations and supported by basic evidence or metrics.</t>
        </is>
      </c>
      <c r="Q114" t="inlineStr">
        <is>
          <t>Emergency purchasing process that preserves essential controls and fraud prevention is measured, periodically reviewed, integrated with related processes and tested against relevant disruption scenarios.</t>
        </is>
      </c>
      <c r="R114" t="inlineStr">
        <is>
          <t>Emergency purchasing process that preserves essential controls and fraud prevention is optimized, continuously improved, automated where practical and demonstrably supports crisis resilience.</t>
        </is>
      </c>
      <c r="S114" t="inlineStr">
        <is>
          <t>Financial liquidity crisis; Supplier disruption; Fraud risk</t>
        </is>
      </c>
      <c r="T114">
        <f>'Assessment Questions'!W114</f>
        <v/>
      </c>
      <c r="U114">
        <f>'Assessment Questions'!X114</f>
        <v/>
      </c>
      <c r="V114">
        <f>'Assessment Questions'!Y114</f>
        <v/>
      </c>
      <c r="W114" t="n">
        <v>4</v>
      </c>
      <c r="X114" t="n">
        <v>5</v>
      </c>
      <c r="Y114" t="n">
        <v>5</v>
      </c>
      <c r="Z114">
        <f>'Assessment Questions'!AC114</f>
        <v/>
      </c>
      <c r="AB114">
        <f>COUNTIF($B$98:$B$123,$AA114)</f>
        <v/>
      </c>
      <c r="AC114">
        <f>IFERROR(SUMPRODUCT(($B$98:$B$123=$AA114)*($H$98:$H$123&lt;&gt;"")*($H$98:$H$123&lt;&gt;"N/A")*IFERROR(VALUE($H$98:$H$123),0))/SUMPRODUCT(($B$98:$B$123=$AA114)*($H$98:$H$123&lt;&gt;"")*($H$98:$H$123&lt;&gt;"N/A")),0)</f>
        <v/>
      </c>
      <c r="AD114">
        <f>AC114/5</f>
        <v/>
      </c>
      <c r="AE114">
        <f>COUNTIFS($B$98:$B$123,$AA114,$L$98:$L$123,"Critical")+COUNTIFS($B$98:$B$123,$AA114,$L$98:$L$123,"High")</f>
        <v/>
      </c>
      <c r="AF114">
        <f>5-AC114</f>
        <v/>
      </c>
      <c r="AG114">
        <f>SUMPRODUCT(($B$98:$B$123=$AA114)*(ISNUMBER($H$98:$H$123)+($H$98:$H$123="N/A")))</f>
        <v/>
      </c>
      <c r="AH114">
        <f>'Assessment Questions'!AK114</f>
        <v/>
      </c>
      <c r="AI114">
        <f>'Assessment Questions'!AL114</f>
        <v/>
      </c>
      <c r="AJ114">
        <f>IF(OR($H114="",$H114="N/A"),"",IF($AH114="",VLOOKUP('Company Profile'!$B$40,_CONFIG_Model_Settings!$A$5:$B$8,2,FALSE),_xlfn.IFNA(VLOOKUP($AH114,_CONFIG_Model_Settings!$A$5:$B$8,2,FALSE),0.9)))</f>
        <v/>
      </c>
      <c r="AK114">
        <f>IF(OR($H114="",$H114="N/A"),"",IF($AI114="",VLOOKUP('Company Profile'!$B$41,_CONFIG_Model_Settings!$A$5:$B$8,2,FALSE),_xlfn.IFNA(VLOOKUP($AI114,_CONFIG_Model_Settings!$A$5:$B$8,2,FALSE),0.9)))</f>
        <v/>
      </c>
      <c r="AL114">
        <f>IF(OR($H114="",$H114="N/A"),"",ROUND(VALUE($H114)*$AJ114*$AK114*$AV114,2))</f>
        <v/>
      </c>
      <c r="AM114">
        <f>IF($AL114="","",ROUND($AL114/5*100,1))</f>
        <v/>
      </c>
      <c r="AN114">
        <f>IFERROR(MIN(5,MAX(0,(SUMIFS(_REF_Model_Content!$D$1:$D$157,_REF_Model_Content!$A$1:$A$157,'Company Profile'!$B$9,_REF_Model_Content!$B$1:$B$157,"Finance Procurement"))+_xlfn.IFNA(VLOOKUP('Company Profile'!$B$35,_CONFIG_Model_Settings!$A$11:$B$13,2,0),0))),"")</f>
        <v/>
      </c>
      <c r="AO114">
        <f>IF($AL114="","",MAX(0,ROUND($AN114-$AL114,2)))</f>
        <v/>
      </c>
      <c r="AP114">
        <f>IFERROR(SUMIFS(_REF_Model_Content!$E$1:$E$157,_REF_Model_Content!$A$1:$A$157,'Company Profile'!$B$9,_REF_Model_Content!$B$1:$B$157,"Finance Procurement"),1)</f>
        <v/>
      </c>
      <c r="AQ114">
        <f>IF($AO114="","",ROUND($AO114*$AP114*($G114/5),2))</f>
        <v/>
      </c>
      <c r="AR114">
        <f>IF($AO114="","",IF($AO114&gt;=2,"Critical industry gap",IF($AO114&gt;=1,"High industry gap",IF($AO114&gt;=0.5,"Moderate industry gap","Within target"))))</f>
        <v/>
      </c>
      <c r="AS114">
        <f>IF(OR($H114="",$H114="N/A"),0,VALUE($H114)*(($AJ114+$AK114)/2)*$AV114)</f>
        <v/>
      </c>
      <c r="AT114">
        <f>IF(OR($H114="",$H114="N/A"),0,($AJ114+$AK114)/2)</f>
        <v/>
      </c>
      <c r="AU114">
        <f>'Assessment Questions'!AX114</f>
        <v/>
      </c>
      <c r="AV114">
        <f>IF(OR($H114="",$H114="N/A"),"",IF(OR($AU114="",$AU114="Everywhere",$AU114="Not applicable"),1,IF($AU114="Pilot / one team",0.4,IF($AU114="One unit or site",0.7,0.9))))</f>
        <v/>
      </c>
      <c r="AW114" t="inlineStr">
        <is>
          <t>Finance Procurement</t>
        </is>
      </c>
      <c r="AX114" t="inlineStr">
        <is>
          <t>Finance Procurement</t>
        </is>
      </c>
      <c r="AY114" t="n">
        <v>21</v>
      </c>
      <c r="AZ114" t="n">
        <v>114</v>
      </c>
    </row>
    <row r="115">
      <c r="A115" t="inlineStr">
        <is>
          <t>FINA-019</t>
        </is>
      </c>
      <c r="B115" t="inlineStr">
        <is>
          <t>Procurement and suppliers</t>
        </is>
      </c>
      <c r="C115" t="inlineStr">
        <is>
          <t>How mature is the organization in managing purchasing triggers linked to demand, lead time, minimum stock and crisis buffers, including ownership, evidence, metrics, fallback procedures and crisis stress testing?</t>
        </is>
      </c>
      <c r="D115" t="inlineStr">
        <is>
          <t>This topic affects exposure to Financial liquidity crisis; Supplier disruption; Fraud risk. It helps identify how disruption may impact operations, people, revenue, systems, legal exposure or recovery time.</t>
        </is>
      </c>
      <c r="E115" t="inlineStr">
        <is>
          <t>COSO Internal Control; COSO ERM; IFRS; ISO 20400; ISO 37001; CIPS</t>
        </is>
      </c>
      <c r="F115" t="inlineStr">
        <is>
          <t>Policy/SOP; owner/RACI; system report; dashboard; contracts; test records; incident history; interview evidence related to purchasing triggers linked to demand, lead time, minimum stock and crisis buffers.</t>
        </is>
      </c>
      <c r="G115">
        <f>'Assessment Questions'!J115</f>
        <v/>
      </c>
      <c r="H115">
        <f>IF($Z115="","",IF($Z115="N/A","N/A",VALUE(LEFT($Z115,1))))</f>
        <v/>
      </c>
      <c r="I115">
        <f>IF($H115="","",IF($H115="N/A","",VALUE($H115)/5*$G115))</f>
        <v/>
      </c>
      <c r="J115">
        <f>IF(OR($H115="",$H115="N/A"),"",$G115)</f>
        <v/>
      </c>
      <c r="K115">
        <f>IF(OR($H115="",$H115="N/A"),"",$J115-$I115)</f>
        <v/>
      </c>
      <c r="L115">
        <f>IF($H115="","",IF($H115="N/A","N/A",IF(VALUE($H115)&lt;=1,"Critical",IF(VALUE($H115)&lt;=2,"High",IF(VALUE($H115)&lt;=3,"Medium",IF(VALUE($H115)&lt;=4,"Low","Resilient"))))))</f>
        <v/>
      </c>
      <c r="M115" t="inlineStr">
        <is>
          <t>Does not exist; no owner, no documentation, no practice.</t>
        </is>
      </c>
      <c r="N115" t="inlineStr">
        <is>
          <t>Ad hoc; depends entirely on specific individuals.</t>
        </is>
      </c>
      <c r="O115" t="inlineStr">
        <is>
          <t>Partially documented or implemented; coverage inconsistent; never tested under stress.</t>
        </is>
      </c>
      <c r="P115" t="inlineStr">
        <is>
          <t>Documented, owned, executed consistently; basic evidence and metrics exist.</t>
        </is>
      </c>
      <c r="Q115" t="inlineStr">
        <is>
          <t>Measured and periodically tested/audited; integrated with adjacent processes.</t>
        </is>
      </c>
      <c r="R115" t="inlineStr">
        <is>
          <t>Optimized and automated where practical; stress-tested; benchmarked externally.</t>
        </is>
      </c>
      <c r="S115" t="inlineStr">
        <is>
          <t>Financial liquidity crisis; Supplier disruption; Fraud risk</t>
        </is>
      </c>
      <c r="T115">
        <f>'Assessment Questions'!W115</f>
        <v/>
      </c>
      <c r="U115">
        <f>'Assessment Questions'!X115</f>
        <v/>
      </c>
      <c r="V115">
        <f>'Assessment Questions'!Y115</f>
        <v/>
      </c>
      <c r="W115" t="n">
        <v>4</v>
      </c>
      <c r="X115" t="n">
        <v>5</v>
      </c>
      <c r="Y115" t="n">
        <v>5</v>
      </c>
      <c r="Z115">
        <f>'Assessment Questions'!AC115</f>
        <v/>
      </c>
      <c r="AB115">
        <f>COUNTIF($B$98:$B$123,$AA115)</f>
        <v/>
      </c>
      <c r="AC115">
        <f>IFERROR(SUMPRODUCT(($B$98:$B$123=$AA115)*($H$98:$H$123&lt;&gt;"")*($H$98:$H$123&lt;&gt;"N/A")*IFERROR(VALUE($H$98:$H$123),0))/SUMPRODUCT(($B$98:$B$123=$AA115)*($H$98:$H$123&lt;&gt;"")*($H$98:$H$123&lt;&gt;"N/A")),0)</f>
        <v/>
      </c>
      <c r="AD115">
        <f>AC115/5</f>
        <v/>
      </c>
      <c r="AE115">
        <f>COUNTIFS($B$98:$B$123,$AA115,$L$98:$L$123,"Critical")+COUNTIFS($B$98:$B$123,$AA115,$L$98:$L$123,"High")</f>
        <v/>
      </c>
      <c r="AF115">
        <f>5-AC115</f>
        <v/>
      </c>
      <c r="AG115">
        <f>SUMPRODUCT(($B$98:$B$123=$AA115)*(ISNUMBER($H$98:$H$123)+($H$98:$H$123="N/A")))</f>
        <v/>
      </c>
      <c r="AH115">
        <f>'Assessment Questions'!AK115</f>
        <v/>
      </c>
      <c r="AI115">
        <f>'Assessment Questions'!AL115</f>
        <v/>
      </c>
      <c r="AJ115">
        <f>IF(OR($H115="",$H115="N/A"),"",IF($AH115="",VLOOKUP('Company Profile'!$B$40,_CONFIG_Model_Settings!$A$5:$B$8,2,FALSE),_xlfn.IFNA(VLOOKUP($AH115,_CONFIG_Model_Settings!$A$5:$B$8,2,FALSE),0.9)))</f>
        <v/>
      </c>
      <c r="AK115">
        <f>IF(OR($H115="",$H115="N/A"),"",IF($AI115="",VLOOKUP('Company Profile'!$B$41,_CONFIG_Model_Settings!$A$5:$B$8,2,FALSE),_xlfn.IFNA(VLOOKUP($AI115,_CONFIG_Model_Settings!$A$5:$B$8,2,FALSE),0.9)))</f>
        <v/>
      </c>
      <c r="AL115">
        <f>IF(OR($H115="",$H115="N/A"),"",ROUND(VALUE($H115)*$AJ115*$AK115*$AV115,2))</f>
        <v/>
      </c>
      <c r="AM115">
        <f>IF($AL115="","",ROUND($AL115/5*100,1))</f>
        <v/>
      </c>
      <c r="AN115">
        <f>IFERROR(MIN(5,MAX(0,(SUMIFS(_REF_Model_Content!$D$1:$D$157,_REF_Model_Content!$A$1:$A$157,'Company Profile'!$B$9,_REF_Model_Content!$B$1:$B$157,"Finance Procurement"))+_xlfn.IFNA(VLOOKUP('Company Profile'!$B$35,_CONFIG_Model_Settings!$A$11:$B$13,2,0),0))),"")</f>
        <v/>
      </c>
      <c r="AO115">
        <f>IF($AL115="","",MAX(0,ROUND($AN115-$AL115,2)))</f>
        <v/>
      </c>
      <c r="AP115">
        <f>IFERROR(SUMIFS(_REF_Model_Content!$E$1:$E$157,_REF_Model_Content!$A$1:$A$157,'Company Profile'!$B$9,_REF_Model_Content!$B$1:$B$157,"Finance Procurement"),1)</f>
        <v/>
      </c>
      <c r="AQ115">
        <f>IF($AO115="","",ROUND($AO115*$AP115*($G115/5),2))</f>
        <v/>
      </c>
      <c r="AR115">
        <f>IF($AO115="","",IF($AO115&gt;=2,"Critical industry gap",IF($AO115&gt;=1,"High industry gap",IF($AO115&gt;=0.5,"Moderate industry gap","Within target"))))</f>
        <v/>
      </c>
      <c r="AS115">
        <f>IF(OR($H115="",$H115="N/A"),0,VALUE($H115)*(($AJ115+$AK115)/2)*$AV115)</f>
        <v/>
      </c>
      <c r="AT115">
        <f>IF(OR($H115="",$H115="N/A"),0,($AJ115+$AK115)/2)</f>
        <v/>
      </c>
      <c r="AU115">
        <f>'Assessment Questions'!AX115</f>
        <v/>
      </c>
      <c r="AV115">
        <f>IF(OR($H115="",$H115="N/A"),"",IF(OR($AU115="",$AU115="Everywhere",$AU115="Not applicable"),1,IF($AU115="Pilot / one team",0.4,IF($AU115="One unit or site",0.7,0.9))))</f>
        <v/>
      </c>
      <c r="AW115" t="inlineStr">
        <is>
          <t>Finance Procurement</t>
        </is>
      </c>
      <c r="AX115" t="inlineStr">
        <is>
          <t>Finance Procurement</t>
        </is>
      </c>
      <c r="AY115" t="n">
        <v>22</v>
      </c>
      <c r="AZ115" t="n">
        <v>115</v>
      </c>
    </row>
    <row r="116">
      <c r="A116" t="inlineStr">
        <is>
          <t>FINA-020</t>
        </is>
      </c>
      <c r="B116" t="inlineStr">
        <is>
          <t>Working capital</t>
        </is>
      </c>
      <c r="C116" t="inlineStr">
        <is>
          <t>How mature is the organization in managing receivables aging, customer payment risk and collection scenarios, including ownership, evidence, metrics, fallback procedures and crisis stress testing?</t>
        </is>
      </c>
      <c r="D116" t="inlineStr">
        <is>
          <t>This topic affects exposure to Financial liquidity crisis; Supplier disruption; Fraud risk. It helps identify how disruption may impact operations, people, revenue, systems, legal exposure or recovery time.</t>
        </is>
      </c>
      <c r="E116" t="inlineStr">
        <is>
          <t>COSO Internal Control; COSO ERM; IFRS; ISO 20400; ISO 37001; CIPS</t>
        </is>
      </c>
      <c r="F116" t="inlineStr">
        <is>
          <t>Policy/SOP; owner/RACI; system report; dashboard; contracts; test records; incident history; interview evidence related to receivables aging, customer payment risk and collection scenarios.</t>
        </is>
      </c>
      <c r="G116">
        <f>'Assessment Questions'!J116</f>
        <v/>
      </c>
      <c r="H116">
        <f>IF($Z116="","",IF($Z116="N/A","N/A",VALUE(LEFT($Z116,1))))</f>
        <v/>
      </c>
      <c r="I116">
        <f>IF($H116="","",IF($H116="N/A","",VALUE($H116)/5*$G116))</f>
        <v/>
      </c>
      <c r="J116">
        <f>IF(OR($H116="",$H116="N/A"),"",$G116)</f>
        <v/>
      </c>
      <c r="K116">
        <f>IF(OR($H116="",$H116="N/A"),"",$J116-$I116)</f>
        <v/>
      </c>
      <c r="L116">
        <f>IF($H116="","",IF($H116="N/A","N/A",IF(VALUE($H116)&lt;=1,"Critical",IF(VALUE($H116)&lt;=2,"High",IF(VALUE($H116)&lt;=3,"Medium",IF(VALUE($H116)&lt;=4,"Low","Resilient"))))))</f>
        <v/>
      </c>
      <c r="M116" t="inlineStr">
        <is>
          <t>No reliable evidence that receivables aging, customer payment risk and collection scenarios is defined, owned or managed.</t>
        </is>
      </c>
      <c r="N116" t="inlineStr">
        <is>
          <t>Receivables aging, customer payment risk and collection scenarios is handled informally and depends on individual knowledge or heroic effort.</t>
        </is>
      </c>
      <c r="O116" t="inlineStr">
        <is>
          <t>Receivables aging, customer payment risk and collection scenarios is partially documented or implemented, but coverage is inconsistent and not crisis-tested.</t>
        </is>
      </c>
      <c r="P116" t="inlineStr">
        <is>
          <t>Receivables aging, customer payment risk and collection scenarios is documented, owned, used in normal operations and supported by basic evidence or metrics.</t>
        </is>
      </c>
      <c r="Q116" t="inlineStr">
        <is>
          <t>Receivables aging, customer payment risk and collection scenarios is measured, periodically reviewed, integrated with related processes and tested against relevant disruption scenarios.</t>
        </is>
      </c>
      <c r="R116" t="inlineStr">
        <is>
          <t>Receivables aging, customer payment risk and collection scenarios is optimized, continuously improved, automated where practical and demonstrably supports crisis resilience.</t>
        </is>
      </c>
      <c r="S116" t="inlineStr">
        <is>
          <t>Financial liquidity crisis; Supplier disruption; Fraud risk</t>
        </is>
      </c>
      <c r="T116">
        <f>'Assessment Questions'!W116</f>
        <v/>
      </c>
      <c r="U116">
        <f>'Assessment Questions'!X116</f>
        <v/>
      </c>
      <c r="V116">
        <f>'Assessment Questions'!Y116</f>
        <v/>
      </c>
      <c r="W116" t="n">
        <v>4</v>
      </c>
      <c r="X116" t="n">
        <v>5</v>
      </c>
      <c r="Y116" t="n">
        <v>5</v>
      </c>
      <c r="Z116">
        <f>'Assessment Questions'!AC116</f>
        <v/>
      </c>
      <c r="AB116">
        <f>COUNTIF($B$98:$B$123,$AA116)</f>
        <v/>
      </c>
      <c r="AC116">
        <f>IFERROR(SUMPRODUCT(($B$98:$B$123=$AA116)*($H$98:$H$123&lt;&gt;"")*($H$98:$H$123&lt;&gt;"N/A")*IFERROR(VALUE($H$98:$H$123),0))/SUMPRODUCT(($B$98:$B$123=$AA116)*($H$98:$H$123&lt;&gt;"")*($H$98:$H$123&lt;&gt;"N/A")),0)</f>
        <v/>
      </c>
      <c r="AD116">
        <f>AC116/5</f>
        <v/>
      </c>
      <c r="AE116">
        <f>COUNTIFS($B$98:$B$123,$AA116,$L$98:$L$123,"Critical")+COUNTIFS($B$98:$B$123,$AA116,$L$98:$L$123,"High")</f>
        <v/>
      </c>
      <c r="AF116">
        <f>5-AC116</f>
        <v/>
      </c>
      <c r="AG116">
        <f>SUMPRODUCT(($B$98:$B$123=$AA116)*(ISNUMBER($H$98:$H$123)+($H$98:$H$123="N/A")))</f>
        <v/>
      </c>
      <c r="AH116">
        <f>'Assessment Questions'!AK116</f>
        <v/>
      </c>
      <c r="AI116">
        <f>'Assessment Questions'!AL116</f>
        <v/>
      </c>
      <c r="AJ116">
        <f>IF(OR($H116="",$H116="N/A"),"",IF($AH116="",VLOOKUP('Company Profile'!$B$40,_CONFIG_Model_Settings!$A$5:$B$8,2,FALSE),_xlfn.IFNA(VLOOKUP($AH116,_CONFIG_Model_Settings!$A$5:$B$8,2,FALSE),0.9)))</f>
        <v/>
      </c>
      <c r="AK116">
        <f>IF(OR($H116="",$H116="N/A"),"",IF($AI116="",VLOOKUP('Company Profile'!$B$41,_CONFIG_Model_Settings!$A$5:$B$8,2,FALSE),_xlfn.IFNA(VLOOKUP($AI116,_CONFIG_Model_Settings!$A$5:$B$8,2,FALSE),0.9)))</f>
        <v/>
      </c>
      <c r="AL116">
        <f>IF(OR($H116="",$H116="N/A"),"",ROUND(VALUE($H116)*$AJ116*$AK116*$AV116,2))</f>
        <v/>
      </c>
      <c r="AM116">
        <f>IF($AL116="","",ROUND($AL116/5*100,1))</f>
        <v/>
      </c>
      <c r="AN116">
        <f>IFERROR(MIN(5,MAX(0,(SUMIFS(_REF_Model_Content!$D$1:$D$157,_REF_Model_Content!$A$1:$A$157,'Company Profile'!$B$9,_REF_Model_Content!$B$1:$B$157,"Finance Procurement"))+_xlfn.IFNA(VLOOKUP('Company Profile'!$B$35,_CONFIG_Model_Settings!$A$11:$B$13,2,0),0))),"")</f>
        <v/>
      </c>
      <c r="AO116">
        <f>IF($AL116="","",MAX(0,ROUND($AN116-$AL116,2)))</f>
        <v/>
      </c>
      <c r="AP116">
        <f>IFERROR(SUMIFS(_REF_Model_Content!$E$1:$E$157,_REF_Model_Content!$A$1:$A$157,'Company Profile'!$B$9,_REF_Model_Content!$B$1:$B$157,"Finance Procurement"),1)</f>
        <v/>
      </c>
      <c r="AQ116">
        <f>IF($AO116="","",ROUND($AO116*$AP116*($G116/5),2))</f>
        <v/>
      </c>
      <c r="AR116">
        <f>IF($AO116="","",IF($AO116&gt;=2,"Critical industry gap",IF($AO116&gt;=1,"High industry gap",IF($AO116&gt;=0.5,"Moderate industry gap","Within target"))))</f>
        <v/>
      </c>
      <c r="AS116">
        <f>IF(OR($H116="",$H116="N/A"),0,VALUE($H116)*(($AJ116+$AK116)/2)*$AV116)</f>
        <v/>
      </c>
      <c r="AT116">
        <f>IF(OR($H116="",$H116="N/A"),0,($AJ116+$AK116)/2)</f>
        <v/>
      </c>
      <c r="AU116">
        <f>'Assessment Questions'!AX116</f>
        <v/>
      </c>
      <c r="AV116">
        <f>IF(OR($H116="",$H116="N/A"),"",IF(OR($AU116="",$AU116="Everywhere",$AU116="Not applicable"),1,IF($AU116="Pilot / one team",0.4,IF($AU116="One unit or site",0.7,0.9))))</f>
        <v/>
      </c>
      <c r="AW116" t="inlineStr">
        <is>
          <t>Finance Procurement</t>
        </is>
      </c>
      <c r="AX116" t="inlineStr">
        <is>
          <t>Finance Procurement</t>
        </is>
      </c>
      <c r="AY116" t="n">
        <v>23</v>
      </c>
      <c r="AZ116" t="n">
        <v>116</v>
      </c>
    </row>
    <row r="117">
      <c r="A117" t="inlineStr">
        <is>
          <t>FINA-021</t>
        </is>
      </c>
      <c r="B117" t="inlineStr">
        <is>
          <t>Working capital</t>
        </is>
      </c>
      <c r="C117" t="inlineStr">
        <is>
          <t>How mature is the organization in managing supplier payment priority rules during cash constraint, including ownership, evidence, metrics, fallback procedures and crisis stress testing?</t>
        </is>
      </c>
      <c r="D117" t="inlineStr">
        <is>
          <t>This topic affects exposure to Financial liquidity crisis; Supplier disruption; Fraud risk. It helps identify how disruption may impact operations, people, revenue, systems, legal exposure or recovery time.</t>
        </is>
      </c>
      <c r="E117" t="inlineStr">
        <is>
          <t>COSO Internal Control; COSO ERM; IFRS; ISO 20400; ISO 37001; CIPS</t>
        </is>
      </c>
      <c r="F117" t="inlineStr">
        <is>
          <t>Policy/SOP; owner/RACI; system report; dashboard; contracts; test records; incident history; interview evidence related to supplier payment priority rules during cash constraint.</t>
        </is>
      </c>
      <c r="G117">
        <f>'Assessment Questions'!J117</f>
        <v/>
      </c>
      <c r="H117">
        <f>IF($Z117="","",IF($Z117="N/A","N/A",VALUE(LEFT($Z117,1))))</f>
        <v/>
      </c>
      <c r="I117">
        <f>IF($H117="","",IF($H117="N/A","",VALUE($H117)/5*$G117))</f>
        <v/>
      </c>
      <c r="J117">
        <f>IF(OR($H117="",$H117="N/A"),"",$G117)</f>
        <v/>
      </c>
      <c r="K117">
        <f>IF(OR($H117="",$H117="N/A"),"",$J117-$I117)</f>
        <v/>
      </c>
      <c r="L117">
        <f>IF($H117="","",IF($H117="N/A","N/A",IF(VALUE($H117)&lt;=1,"Critical",IF(VALUE($H117)&lt;=2,"High",IF(VALUE($H117)&lt;=3,"Medium",IF(VALUE($H117)&lt;=4,"Low","Resilient"))))))</f>
        <v/>
      </c>
      <c r="M117" t="inlineStr">
        <is>
          <t>Does not exist; no owner, no documentation, no practice.</t>
        </is>
      </c>
      <c r="N117" t="inlineStr">
        <is>
          <t>Ad hoc; depends entirely on specific individuals.</t>
        </is>
      </c>
      <c r="O117" t="inlineStr">
        <is>
          <t>Partially documented or implemented; coverage inconsistent; never tested under stress.</t>
        </is>
      </c>
      <c r="P117" t="inlineStr">
        <is>
          <t>Documented, owned, executed consistently; basic evidence and metrics exist.</t>
        </is>
      </c>
      <c r="Q117" t="inlineStr">
        <is>
          <t>Measured and periodically tested/audited; integrated with adjacent processes.</t>
        </is>
      </c>
      <c r="R117" t="inlineStr">
        <is>
          <t>Optimized and automated where practical; stress-tested; benchmarked externally.</t>
        </is>
      </c>
      <c r="S117" t="inlineStr">
        <is>
          <t>Financial liquidity crisis; Supplier disruption; Fraud risk</t>
        </is>
      </c>
      <c r="T117">
        <f>'Assessment Questions'!W117</f>
        <v/>
      </c>
      <c r="U117">
        <f>'Assessment Questions'!X117</f>
        <v/>
      </c>
      <c r="V117">
        <f>'Assessment Questions'!Y117</f>
        <v/>
      </c>
      <c r="W117" t="n">
        <v>4</v>
      </c>
      <c r="X117" t="n">
        <v>5</v>
      </c>
      <c r="Y117" t="n">
        <v>5</v>
      </c>
      <c r="Z117">
        <f>'Assessment Questions'!AC117</f>
        <v/>
      </c>
      <c r="AB117">
        <f>COUNTIF($B$98:$B$123,$AA117)</f>
        <v/>
      </c>
      <c r="AC117">
        <f>IFERROR(SUMPRODUCT(($B$98:$B$123=$AA117)*($H$98:$H$123&lt;&gt;"")*($H$98:$H$123&lt;&gt;"N/A")*IFERROR(VALUE($H$98:$H$123),0))/SUMPRODUCT(($B$98:$B$123=$AA117)*($H$98:$H$123&lt;&gt;"")*($H$98:$H$123&lt;&gt;"N/A")),0)</f>
        <v/>
      </c>
      <c r="AD117">
        <f>AC117/5</f>
        <v/>
      </c>
      <c r="AE117">
        <f>COUNTIFS($B$98:$B$123,$AA117,$L$98:$L$123,"Critical")+COUNTIFS($B$98:$B$123,$AA117,$L$98:$L$123,"High")</f>
        <v/>
      </c>
      <c r="AF117">
        <f>5-AC117</f>
        <v/>
      </c>
      <c r="AG117">
        <f>SUMPRODUCT(($B$98:$B$123=$AA117)*(ISNUMBER($H$98:$H$123)+($H$98:$H$123="N/A")))</f>
        <v/>
      </c>
      <c r="AH117">
        <f>'Assessment Questions'!AK117</f>
        <v/>
      </c>
      <c r="AI117">
        <f>'Assessment Questions'!AL117</f>
        <v/>
      </c>
      <c r="AJ117">
        <f>IF(OR($H117="",$H117="N/A"),"",IF($AH117="",VLOOKUP('Company Profile'!$B$40,_CONFIG_Model_Settings!$A$5:$B$8,2,FALSE),_xlfn.IFNA(VLOOKUP($AH117,_CONFIG_Model_Settings!$A$5:$B$8,2,FALSE),0.9)))</f>
        <v/>
      </c>
      <c r="AK117">
        <f>IF(OR($H117="",$H117="N/A"),"",IF($AI117="",VLOOKUP('Company Profile'!$B$41,_CONFIG_Model_Settings!$A$5:$B$8,2,FALSE),_xlfn.IFNA(VLOOKUP($AI117,_CONFIG_Model_Settings!$A$5:$B$8,2,FALSE),0.9)))</f>
        <v/>
      </c>
      <c r="AL117">
        <f>IF(OR($H117="",$H117="N/A"),"",ROUND(VALUE($H117)*$AJ117*$AK117*$AV117,2))</f>
        <v/>
      </c>
      <c r="AM117">
        <f>IF($AL117="","",ROUND($AL117/5*100,1))</f>
        <v/>
      </c>
      <c r="AN117">
        <f>IFERROR(MIN(5,MAX(0,(SUMIFS(_REF_Model_Content!$D$1:$D$157,_REF_Model_Content!$A$1:$A$157,'Company Profile'!$B$9,_REF_Model_Content!$B$1:$B$157,"Finance Procurement"))+_xlfn.IFNA(VLOOKUP('Company Profile'!$B$35,_CONFIG_Model_Settings!$A$11:$B$13,2,0),0))),"")</f>
        <v/>
      </c>
      <c r="AO117">
        <f>IF($AL117="","",MAX(0,ROUND($AN117-$AL117,2)))</f>
        <v/>
      </c>
      <c r="AP117">
        <f>IFERROR(SUMIFS(_REF_Model_Content!$E$1:$E$157,_REF_Model_Content!$A$1:$A$157,'Company Profile'!$B$9,_REF_Model_Content!$B$1:$B$157,"Finance Procurement"),1)</f>
        <v/>
      </c>
      <c r="AQ117">
        <f>IF($AO117="","",ROUND($AO117*$AP117*($G117/5),2))</f>
        <v/>
      </c>
      <c r="AR117">
        <f>IF($AO117="","",IF($AO117&gt;=2,"Critical industry gap",IF($AO117&gt;=1,"High industry gap",IF($AO117&gt;=0.5,"Moderate industry gap","Within target"))))</f>
        <v/>
      </c>
      <c r="AS117">
        <f>IF(OR($H117="",$H117="N/A"),0,VALUE($H117)*(($AJ117+$AK117)/2)*$AV117)</f>
        <v/>
      </c>
      <c r="AT117">
        <f>IF(OR($H117="",$H117="N/A"),0,($AJ117+$AK117)/2)</f>
        <v/>
      </c>
      <c r="AU117">
        <f>'Assessment Questions'!AX117</f>
        <v/>
      </c>
      <c r="AV117">
        <f>IF(OR($H117="",$H117="N/A"),"",IF(OR($AU117="",$AU117="Everywhere",$AU117="Not applicable"),1,IF($AU117="Pilot / one team",0.4,IF($AU117="One unit or site",0.7,0.9))))</f>
        <v/>
      </c>
      <c r="AW117" t="inlineStr">
        <is>
          <t>Finance Procurement</t>
        </is>
      </c>
      <c r="AX117" t="inlineStr">
        <is>
          <t>Finance Procurement</t>
        </is>
      </c>
      <c r="AY117" t="n">
        <v>24</v>
      </c>
      <c r="AZ117" t="n">
        <v>117</v>
      </c>
    </row>
    <row r="118">
      <c r="A118" t="inlineStr">
        <is>
          <t>FINA-022</t>
        </is>
      </c>
      <c r="B118" t="inlineStr">
        <is>
          <t>Working capital</t>
        </is>
      </c>
      <c r="C118" t="inlineStr">
        <is>
          <t>How mature is the organization in managing banking resilience with backup banks, signatories, online access and payment release fallback, including ownership, evidence, metrics, fallback procedures and crisis stress testing?</t>
        </is>
      </c>
      <c r="D118" t="inlineStr">
        <is>
          <t>This topic affects exposure to Financial liquidity crisis; Supplier disruption; Fraud risk. It helps identify how disruption may impact operations, people, revenue, systems, legal exposure or recovery time.</t>
        </is>
      </c>
      <c r="E118" t="inlineStr">
        <is>
          <t>COSO Internal Control; COSO ERM; IFRS; ISO 20400; ISO 37001; CIPS</t>
        </is>
      </c>
      <c r="F118" t="inlineStr">
        <is>
          <t>Policy/SOP; owner/RACI; system report; dashboard; contracts; test records; incident history; interview evidence related to banking resilience with backup banks, signatories, online access and payment release fallback.</t>
        </is>
      </c>
      <c r="G118">
        <f>'Assessment Questions'!J118</f>
        <v/>
      </c>
      <c r="H118">
        <f>IF($Z118="","",IF($Z118="N/A","N/A",VALUE(LEFT($Z118,1))))</f>
        <v/>
      </c>
      <c r="I118">
        <f>IF($H118="","",IF($H118="N/A","",VALUE($H118)/5*$G118))</f>
        <v/>
      </c>
      <c r="J118">
        <f>IF(OR($H118="",$H118="N/A"),"",$G118)</f>
        <v/>
      </c>
      <c r="K118">
        <f>IF(OR($H118="",$H118="N/A"),"",$J118-$I118)</f>
        <v/>
      </c>
      <c r="L118">
        <f>IF($H118="","",IF($H118="N/A","N/A",IF(VALUE($H118)&lt;=1,"Critical",IF(VALUE($H118)&lt;=2,"High",IF(VALUE($H118)&lt;=3,"Medium",IF(VALUE($H118)&lt;=4,"Low","Resilient"))))))</f>
        <v/>
      </c>
      <c r="M118" t="inlineStr">
        <is>
          <t>Does not exist; no owner, no documentation, no practice.</t>
        </is>
      </c>
      <c r="N118" t="inlineStr">
        <is>
          <t>Ad hoc; depends entirely on specific individuals.</t>
        </is>
      </c>
      <c r="O118" t="inlineStr">
        <is>
          <t>Partially documented or implemented; coverage inconsistent; never tested under stress.</t>
        </is>
      </c>
      <c r="P118" t="inlineStr">
        <is>
          <t>Documented, owned, executed consistently; basic evidence and metrics exist.</t>
        </is>
      </c>
      <c r="Q118" t="inlineStr">
        <is>
          <t>Measured and periodically tested/audited; integrated with adjacent processes.</t>
        </is>
      </c>
      <c r="R118" t="inlineStr">
        <is>
          <t>Optimized and automated where practical; stress-tested; benchmarked externally.</t>
        </is>
      </c>
      <c r="S118" t="inlineStr">
        <is>
          <t>Financial liquidity crisis; Supplier disruption; Fraud risk</t>
        </is>
      </c>
      <c r="T118">
        <f>'Assessment Questions'!W118</f>
        <v/>
      </c>
      <c r="U118">
        <f>'Assessment Questions'!X118</f>
        <v/>
      </c>
      <c r="V118">
        <f>'Assessment Questions'!Y118</f>
        <v/>
      </c>
      <c r="W118" t="n">
        <v>5</v>
      </c>
      <c r="X118" t="n">
        <v>5</v>
      </c>
      <c r="Y118" t="n">
        <v>5</v>
      </c>
      <c r="Z118">
        <f>'Assessment Questions'!AC118</f>
        <v/>
      </c>
      <c r="AB118">
        <f>COUNTIF($B$98:$B$123,$AA118)</f>
        <v/>
      </c>
      <c r="AC118">
        <f>IFERROR(SUMPRODUCT(($B$98:$B$123=$AA118)*($H$98:$H$123&lt;&gt;"")*($H$98:$H$123&lt;&gt;"N/A")*IFERROR(VALUE($H$98:$H$123),0))/SUMPRODUCT(($B$98:$B$123=$AA118)*($H$98:$H$123&lt;&gt;"")*($H$98:$H$123&lt;&gt;"N/A")),0)</f>
        <v/>
      </c>
      <c r="AD118">
        <f>AC118/5</f>
        <v/>
      </c>
      <c r="AE118">
        <f>COUNTIFS($B$98:$B$123,$AA118,$L$98:$L$123,"Critical")+COUNTIFS($B$98:$B$123,$AA118,$L$98:$L$123,"High")</f>
        <v/>
      </c>
      <c r="AF118">
        <f>5-AC118</f>
        <v/>
      </c>
      <c r="AG118">
        <f>SUMPRODUCT(($B$98:$B$123=$AA118)*(ISNUMBER($H$98:$H$123)+($H$98:$H$123="N/A")))</f>
        <v/>
      </c>
      <c r="AH118">
        <f>'Assessment Questions'!AK118</f>
        <v/>
      </c>
      <c r="AI118">
        <f>'Assessment Questions'!AL118</f>
        <v/>
      </c>
      <c r="AJ118">
        <f>IF(OR($H118="",$H118="N/A"),"",IF($AH118="",VLOOKUP('Company Profile'!$B$40,_CONFIG_Model_Settings!$A$5:$B$8,2,FALSE),_xlfn.IFNA(VLOOKUP($AH118,_CONFIG_Model_Settings!$A$5:$B$8,2,FALSE),0.9)))</f>
        <v/>
      </c>
      <c r="AK118">
        <f>IF(OR($H118="",$H118="N/A"),"",IF($AI118="",VLOOKUP('Company Profile'!$B$41,_CONFIG_Model_Settings!$A$5:$B$8,2,FALSE),_xlfn.IFNA(VLOOKUP($AI118,_CONFIG_Model_Settings!$A$5:$B$8,2,FALSE),0.9)))</f>
        <v/>
      </c>
      <c r="AL118">
        <f>IF(OR($H118="",$H118="N/A"),"",ROUND(VALUE($H118)*$AJ118*$AK118*$AV118,2))</f>
        <v/>
      </c>
      <c r="AM118">
        <f>IF($AL118="","",ROUND($AL118/5*100,1))</f>
        <v/>
      </c>
      <c r="AN118">
        <f>IFERROR(MIN(5,MAX(0,(SUMIFS(_REF_Model_Content!$D$1:$D$157,_REF_Model_Content!$A$1:$A$157,'Company Profile'!$B$9,_REF_Model_Content!$B$1:$B$157,"Finance Procurement"))+_xlfn.IFNA(VLOOKUP('Company Profile'!$B$35,_CONFIG_Model_Settings!$A$11:$B$13,2,0),0))),"")</f>
        <v/>
      </c>
      <c r="AO118">
        <f>IF($AL118="","",MAX(0,ROUND($AN118-$AL118,2)))</f>
        <v/>
      </c>
      <c r="AP118">
        <f>IFERROR(SUMIFS(_REF_Model_Content!$E$1:$E$157,_REF_Model_Content!$A$1:$A$157,'Company Profile'!$B$9,_REF_Model_Content!$B$1:$B$157,"Finance Procurement"),1)</f>
        <v/>
      </c>
      <c r="AQ118">
        <f>IF($AO118="","",ROUND($AO118*$AP118*($G118/5),2))</f>
        <v/>
      </c>
      <c r="AR118">
        <f>IF($AO118="","",IF($AO118&gt;=2,"Critical industry gap",IF($AO118&gt;=1,"High industry gap",IF($AO118&gt;=0.5,"Moderate industry gap","Within target"))))</f>
        <v/>
      </c>
      <c r="AS118">
        <f>IF(OR($H118="",$H118="N/A"),0,VALUE($H118)*(($AJ118+$AK118)/2)*$AV118)</f>
        <v/>
      </c>
      <c r="AT118">
        <f>IF(OR($H118="",$H118="N/A"),0,($AJ118+$AK118)/2)</f>
        <v/>
      </c>
      <c r="AU118">
        <f>'Assessment Questions'!AX118</f>
        <v/>
      </c>
      <c r="AV118">
        <f>IF(OR($H118="",$H118="N/A"),"",IF(OR($AU118="",$AU118="Everywhere",$AU118="Not applicable"),1,IF($AU118="Pilot / one team",0.4,IF($AU118="One unit or site",0.7,0.9))))</f>
        <v/>
      </c>
      <c r="AW118" t="inlineStr">
        <is>
          <t>Finance Procurement</t>
        </is>
      </c>
      <c r="AX118" t="inlineStr">
        <is>
          <t>Finance Procurement</t>
        </is>
      </c>
      <c r="AY118" t="n">
        <v>25</v>
      </c>
      <c r="AZ118" t="n">
        <v>118</v>
      </c>
    </row>
    <row r="119">
      <c r="A119" t="inlineStr">
        <is>
          <t>FINA-023</t>
        </is>
      </c>
      <c r="B119" t="inlineStr">
        <is>
          <t>Working capital</t>
        </is>
      </c>
      <c r="C119" t="inlineStr">
        <is>
          <t>How mature is the organization in managing tax compliance calendar and statutory reporting continuity, including ownership, evidence, metrics, fallback procedures and crisis stress testing?</t>
        </is>
      </c>
      <c r="D119" t="inlineStr">
        <is>
          <t>This topic affects exposure to Financial liquidity crisis; Supplier disruption; Fraud risk. It helps identify how disruption may impact operations, people, revenue, systems, legal exposure or recovery time.</t>
        </is>
      </c>
      <c r="E119" t="inlineStr">
        <is>
          <t>COSO Internal Control; COSO ERM; IFRS; ISO 20400; ISO 37001; CIPS</t>
        </is>
      </c>
      <c r="F119" t="inlineStr">
        <is>
          <t>Policy/SOP; owner/RACI; system report; dashboard; contracts; test records; incident history; interview evidence related to tax compliance calendar and statutory reporting continuity.</t>
        </is>
      </c>
      <c r="G119">
        <f>'Assessment Questions'!J119</f>
        <v/>
      </c>
      <c r="H119">
        <f>IF($Z119="","",IF($Z119="N/A","N/A",VALUE(LEFT($Z119,1))))</f>
        <v/>
      </c>
      <c r="I119">
        <f>IF($H119="","",IF($H119="N/A","",VALUE($H119)/5*$G119))</f>
        <v/>
      </c>
      <c r="J119">
        <f>IF(OR($H119="",$H119="N/A"),"",$G119)</f>
        <v/>
      </c>
      <c r="K119">
        <f>IF(OR($H119="",$H119="N/A"),"",$J119-$I119)</f>
        <v/>
      </c>
      <c r="L119">
        <f>IF($H119="","",IF($H119="N/A","N/A",IF(VALUE($H119)&lt;=1,"Critical",IF(VALUE($H119)&lt;=2,"High",IF(VALUE($H119)&lt;=3,"Medium",IF(VALUE($H119)&lt;=4,"Low","Resilient"))))))</f>
        <v/>
      </c>
      <c r="M119" t="inlineStr">
        <is>
          <t>Does not exist; no owner, no documentation, no practice.</t>
        </is>
      </c>
      <c r="N119" t="inlineStr">
        <is>
          <t>Ad hoc; depends entirely on specific individuals.</t>
        </is>
      </c>
      <c r="O119" t="inlineStr">
        <is>
          <t>Partially documented or implemented; coverage inconsistent; never tested under stress.</t>
        </is>
      </c>
      <c r="P119" t="inlineStr">
        <is>
          <t>Documented, owned, executed consistently; basic evidence and metrics exist.</t>
        </is>
      </c>
      <c r="Q119" t="inlineStr">
        <is>
          <t>Measured and periodically tested/audited; integrated with adjacent processes.</t>
        </is>
      </c>
      <c r="R119" t="inlineStr">
        <is>
          <t>Optimized and automated where practical; stress-tested; benchmarked externally.</t>
        </is>
      </c>
      <c r="S119" t="inlineStr">
        <is>
          <t>Financial liquidity crisis; Supplier disruption; Fraud risk</t>
        </is>
      </c>
      <c r="T119">
        <f>'Assessment Questions'!W119</f>
        <v/>
      </c>
      <c r="U119">
        <f>'Assessment Questions'!X119</f>
        <v/>
      </c>
      <c r="V119">
        <f>'Assessment Questions'!Y119</f>
        <v/>
      </c>
      <c r="W119" t="n">
        <v>4</v>
      </c>
      <c r="X119" t="n">
        <v>5</v>
      </c>
      <c r="Y119" t="n">
        <v>5</v>
      </c>
      <c r="Z119">
        <f>'Assessment Questions'!AC119</f>
        <v/>
      </c>
      <c r="AB119">
        <f>COUNTIF($B$98:$B$123,$AA119)</f>
        <v/>
      </c>
      <c r="AC119">
        <f>IFERROR(SUMPRODUCT(($B$98:$B$123=$AA119)*($H$98:$H$123&lt;&gt;"")*($H$98:$H$123&lt;&gt;"N/A")*IFERROR(VALUE($H$98:$H$123),0))/SUMPRODUCT(($B$98:$B$123=$AA119)*($H$98:$H$123&lt;&gt;"")*($H$98:$H$123&lt;&gt;"N/A")),0)</f>
        <v/>
      </c>
      <c r="AD119">
        <f>AC119/5</f>
        <v/>
      </c>
      <c r="AE119">
        <f>COUNTIFS($B$98:$B$123,$AA119,$L$98:$L$123,"Critical")+COUNTIFS($B$98:$B$123,$AA119,$L$98:$L$123,"High")</f>
        <v/>
      </c>
      <c r="AF119">
        <f>5-AC119</f>
        <v/>
      </c>
      <c r="AG119">
        <f>SUMPRODUCT(($B$98:$B$123=$AA119)*(ISNUMBER($H$98:$H$123)+($H$98:$H$123="N/A")))</f>
        <v/>
      </c>
      <c r="AH119">
        <f>'Assessment Questions'!AK119</f>
        <v/>
      </c>
      <c r="AI119">
        <f>'Assessment Questions'!AL119</f>
        <v/>
      </c>
      <c r="AJ119">
        <f>IF(OR($H119="",$H119="N/A"),"",IF($AH119="",VLOOKUP('Company Profile'!$B$40,_CONFIG_Model_Settings!$A$5:$B$8,2,FALSE),_xlfn.IFNA(VLOOKUP($AH119,_CONFIG_Model_Settings!$A$5:$B$8,2,FALSE),0.9)))</f>
        <v/>
      </c>
      <c r="AK119">
        <f>IF(OR($H119="",$H119="N/A"),"",IF($AI119="",VLOOKUP('Company Profile'!$B$41,_CONFIG_Model_Settings!$A$5:$B$8,2,FALSE),_xlfn.IFNA(VLOOKUP($AI119,_CONFIG_Model_Settings!$A$5:$B$8,2,FALSE),0.9)))</f>
        <v/>
      </c>
      <c r="AL119">
        <f>IF(OR($H119="",$H119="N/A"),"",ROUND(VALUE($H119)*$AJ119*$AK119*$AV119,2))</f>
        <v/>
      </c>
      <c r="AM119">
        <f>IF($AL119="","",ROUND($AL119/5*100,1))</f>
        <v/>
      </c>
      <c r="AN119">
        <f>IFERROR(MIN(5,MAX(0,(SUMIFS(_REF_Model_Content!$D$1:$D$157,_REF_Model_Content!$A$1:$A$157,'Company Profile'!$B$9,_REF_Model_Content!$B$1:$B$157,"Finance Procurement"))+_xlfn.IFNA(VLOOKUP('Company Profile'!$B$35,_CONFIG_Model_Settings!$A$11:$B$13,2,0),0))),"")</f>
        <v/>
      </c>
      <c r="AO119">
        <f>IF($AL119="","",MAX(0,ROUND($AN119-$AL119,2)))</f>
        <v/>
      </c>
      <c r="AP119">
        <f>IFERROR(SUMIFS(_REF_Model_Content!$E$1:$E$157,_REF_Model_Content!$A$1:$A$157,'Company Profile'!$B$9,_REF_Model_Content!$B$1:$B$157,"Finance Procurement"),1)</f>
        <v/>
      </c>
      <c r="AQ119">
        <f>IF($AO119="","",ROUND($AO119*$AP119*($G119/5),2))</f>
        <v/>
      </c>
      <c r="AR119">
        <f>IF($AO119="","",IF($AO119&gt;=2,"Critical industry gap",IF($AO119&gt;=1,"High industry gap",IF($AO119&gt;=0.5,"Moderate industry gap","Within target"))))</f>
        <v/>
      </c>
      <c r="AS119">
        <f>IF(OR($H119="",$H119="N/A"),0,VALUE($H119)*(($AJ119+$AK119)/2)*$AV119)</f>
        <v/>
      </c>
      <c r="AT119">
        <f>IF(OR($H119="",$H119="N/A"),0,($AJ119+$AK119)/2)</f>
        <v/>
      </c>
      <c r="AU119">
        <f>'Assessment Questions'!AX119</f>
        <v/>
      </c>
      <c r="AV119">
        <f>IF(OR($H119="",$H119="N/A"),"",IF(OR($AU119="",$AU119="Everywhere",$AU119="Not applicable"),1,IF($AU119="Pilot / one team",0.4,IF($AU119="One unit or site",0.7,0.9))))</f>
        <v/>
      </c>
      <c r="AW119" t="inlineStr">
        <is>
          <t>Finance Procurement</t>
        </is>
      </c>
      <c r="AX119" t="inlineStr">
        <is>
          <t>Finance Procurement</t>
        </is>
      </c>
      <c r="AY119" t="n">
        <v>26</v>
      </c>
      <c r="AZ119" t="n">
        <v>119</v>
      </c>
    </row>
    <row r="120">
      <c r="A120" t="inlineStr">
        <is>
          <t>FINA-024</t>
        </is>
      </c>
      <c r="B120" t="inlineStr">
        <is>
          <t>Working capital</t>
        </is>
      </c>
      <c r="C120" t="inlineStr">
        <is>
          <t>How mature is the organization in managing business interruption insurance fit against realistic recovery scenarios, including ownership, evidence, metrics, fallback procedures and crisis stress testing?</t>
        </is>
      </c>
      <c r="D120" t="inlineStr">
        <is>
          <t>This topic affects exposure to Financial liquidity crisis; Supplier disruption; Fraud risk. It helps identify how disruption may impact operations, people, revenue, systems, legal exposure or recovery time.</t>
        </is>
      </c>
      <c r="E120" t="inlineStr">
        <is>
          <t>COSO Internal Control; COSO ERM; IFRS; ISO 20400; ISO 37001; CIPS</t>
        </is>
      </c>
      <c r="F120" t="inlineStr">
        <is>
          <t>Policy/SOP; owner/RACI; system report; dashboard; contracts; test records; incident history; interview evidence related to business interruption insurance fit against realistic recovery scenarios.</t>
        </is>
      </c>
      <c r="G120">
        <f>'Assessment Questions'!J120</f>
        <v/>
      </c>
      <c r="H120">
        <f>IF($Z120="","",IF($Z120="N/A","N/A",VALUE(LEFT($Z120,1))))</f>
        <v/>
      </c>
      <c r="I120">
        <f>IF($H120="","",IF($H120="N/A","",VALUE($H120)/5*$G120))</f>
        <v/>
      </c>
      <c r="J120">
        <f>IF(OR($H120="",$H120="N/A"),"",$G120)</f>
        <v/>
      </c>
      <c r="K120">
        <f>IF(OR($H120="",$H120="N/A"),"",$J120-$I120)</f>
        <v/>
      </c>
      <c r="L120">
        <f>IF($H120="","",IF($H120="N/A","N/A",IF(VALUE($H120)&lt;=1,"Critical",IF(VALUE($H120)&lt;=2,"High",IF(VALUE($H120)&lt;=3,"Medium",IF(VALUE($H120)&lt;=4,"Low","Resilient"))))))</f>
        <v/>
      </c>
      <c r="M120" t="inlineStr">
        <is>
          <t>Does not exist; no owner, no documentation, no practice.</t>
        </is>
      </c>
      <c r="N120" t="inlineStr">
        <is>
          <t>Ad hoc; depends entirely on specific individuals.</t>
        </is>
      </c>
      <c r="O120" t="inlineStr">
        <is>
          <t>Partially documented or implemented; coverage inconsistent; never tested under stress.</t>
        </is>
      </c>
      <c r="P120" t="inlineStr">
        <is>
          <t>Documented, owned, executed consistently; basic evidence and metrics exist.</t>
        </is>
      </c>
      <c r="Q120" t="inlineStr">
        <is>
          <t>Measured and periodically tested/audited; integrated with adjacent processes.</t>
        </is>
      </c>
      <c r="R120" t="inlineStr">
        <is>
          <t>Optimized and automated where practical; stress-tested; benchmarked externally.</t>
        </is>
      </c>
      <c r="S120" t="inlineStr">
        <is>
          <t>Financial liquidity crisis; Supplier disruption; Fraud risk</t>
        </is>
      </c>
      <c r="T120">
        <f>'Assessment Questions'!W120</f>
        <v/>
      </c>
      <c r="U120">
        <f>'Assessment Questions'!X120</f>
        <v/>
      </c>
      <c r="V120">
        <f>'Assessment Questions'!Y120</f>
        <v/>
      </c>
      <c r="W120" t="n">
        <v>4</v>
      </c>
      <c r="X120" t="n">
        <v>5</v>
      </c>
      <c r="Y120" t="n">
        <v>5</v>
      </c>
      <c r="Z120">
        <f>'Assessment Questions'!AC120</f>
        <v/>
      </c>
      <c r="AB120">
        <f>COUNTIF($B$98:$B$123,$AA120)</f>
        <v/>
      </c>
      <c r="AC120">
        <f>IFERROR(SUMPRODUCT(($B$98:$B$123=$AA120)*($H$98:$H$123&lt;&gt;"")*($H$98:$H$123&lt;&gt;"N/A")*IFERROR(VALUE($H$98:$H$123),0))/SUMPRODUCT(($B$98:$B$123=$AA120)*($H$98:$H$123&lt;&gt;"")*($H$98:$H$123&lt;&gt;"N/A")),0)</f>
        <v/>
      </c>
      <c r="AD120">
        <f>AC120/5</f>
        <v/>
      </c>
      <c r="AE120">
        <f>COUNTIFS($B$98:$B$123,$AA120,$L$98:$L$123,"Critical")+COUNTIFS($B$98:$B$123,$AA120,$L$98:$L$123,"High")</f>
        <v/>
      </c>
      <c r="AF120">
        <f>5-AC120</f>
        <v/>
      </c>
      <c r="AG120">
        <f>SUMPRODUCT(($B$98:$B$123=$AA120)*(ISNUMBER($H$98:$H$123)+($H$98:$H$123="N/A")))</f>
        <v/>
      </c>
      <c r="AH120">
        <f>'Assessment Questions'!AK120</f>
        <v/>
      </c>
      <c r="AI120">
        <f>'Assessment Questions'!AL120</f>
        <v/>
      </c>
      <c r="AJ120">
        <f>IF(OR($H120="",$H120="N/A"),"",IF($AH120="",VLOOKUP('Company Profile'!$B$40,_CONFIG_Model_Settings!$A$5:$B$8,2,FALSE),_xlfn.IFNA(VLOOKUP($AH120,_CONFIG_Model_Settings!$A$5:$B$8,2,FALSE),0.9)))</f>
        <v/>
      </c>
      <c r="AK120">
        <f>IF(OR($H120="",$H120="N/A"),"",IF($AI120="",VLOOKUP('Company Profile'!$B$41,_CONFIG_Model_Settings!$A$5:$B$8,2,FALSE),_xlfn.IFNA(VLOOKUP($AI120,_CONFIG_Model_Settings!$A$5:$B$8,2,FALSE),0.9)))</f>
        <v/>
      </c>
      <c r="AL120">
        <f>IF(OR($H120="",$H120="N/A"),"",ROUND(VALUE($H120)*$AJ120*$AK120*$AV120,2))</f>
        <v/>
      </c>
      <c r="AM120">
        <f>IF($AL120="","",ROUND($AL120/5*100,1))</f>
        <v/>
      </c>
      <c r="AN120">
        <f>IFERROR(MIN(5,MAX(0,(SUMIFS(_REF_Model_Content!$D$1:$D$157,_REF_Model_Content!$A$1:$A$157,'Company Profile'!$B$9,_REF_Model_Content!$B$1:$B$157,"Finance Procurement"))+_xlfn.IFNA(VLOOKUP('Company Profile'!$B$35,_CONFIG_Model_Settings!$A$11:$B$13,2,0),0))),"")</f>
        <v/>
      </c>
      <c r="AO120">
        <f>IF($AL120="","",MAX(0,ROUND($AN120-$AL120,2)))</f>
        <v/>
      </c>
      <c r="AP120">
        <f>IFERROR(SUMIFS(_REF_Model_Content!$E$1:$E$157,_REF_Model_Content!$A$1:$A$157,'Company Profile'!$B$9,_REF_Model_Content!$B$1:$B$157,"Finance Procurement"),1)</f>
        <v/>
      </c>
      <c r="AQ120">
        <f>IF($AO120="","",ROUND($AO120*$AP120*($G120/5),2))</f>
        <v/>
      </c>
      <c r="AR120">
        <f>IF($AO120="","",IF($AO120&gt;=2,"Critical industry gap",IF($AO120&gt;=1,"High industry gap",IF($AO120&gt;=0.5,"Moderate industry gap","Within target"))))</f>
        <v/>
      </c>
      <c r="AS120">
        <f>IF(OR($H120="",$H120="N/A"),0,VALUE($H120)*(($AJ120+$AK120)/2)*$AV120)</f>
        <v/>
      </c>
      <c r="AT120">
        <f>IF(OR($H120="",$H120="N/A"),0,($AJ120+$AK120)/2)</f>
        <v/>
      </c>
      <c r="AU120">
        <f>'Assessment Questions'!AX120</f>
        <v/>
      </c>
      <c r="AV120">
        <f>IF(OR($H120="",$H120="N/A"),"",IF(OR($AU120="",$AU120="Everywhere",$AU120="Not applicable"),1,IF($AU120="Pilot / one team",0.4,IF($AU120="One unit or site",0.7,0.9))))</f>
        <v/>
      </c>
      <c r="AW120" t="inlineStr">
        <is>
          <t>Finance Procurement</t>
        </is>
      </c>
      <c r="AX120" t="inlineStr">
        <is>
          <t>Finance Procurement</t>
        </is>
      </c>
      <c r="AY120" t="n">
        <v>27</v>
      </c>
      <c r="AZ120" t="n">
        <v>120</v>
      </c>
    </row>
    <row r="121">
      <c r="A121" t="inlineStr">
        <is>
          <t>FINA-025</t>
        </is>
      </c>
      <c r="B121" t="inlineStr">
        <is>
          <t>Financial resilience</t>
        </is>
      </c>
      <c r="C121" t="inlineStr">
        <is>
          <t>How mature is the organization in managing currency risk management using natural hedges, contract indexation or hedging instruments, including ownership, evidence, metrics, fallback procedures and crisis stress testing?</t>
        </is>
      </c>
      <c r="D121" t="inlineStr">
        <is>
          <t>This topic affects exposure to Financial/liquidity crisis; Demand shock. It helps identify how disruption may impact operations, people, revenue, systems, legal exposure or recovery time.</t>
        </is>
      </c>
      <c r="E121" t="inlineStr">
        <is>
          <t>COSO; IFRS; treasury management practices</t>
        </is>
      </c>
      <c r="F121" t="inlineStr">
        <is>
          <t>Policy/SOP; owner/RACI; system report; dashboard; contracts; test records; incident history; interview evidence</t>
        </is>
      </c>
      <c r="G121">
        <f>'Assessment Questions'!J121</f>
        <v/>
      </c>
      <c r="H121">
        <f>IF($Z121="","",IF($Z121="N/A","N/A",VALUE(LEFT($Z121,1))))</f>
        <v/>
      </c>
      <c r="I121">
        <f>IF($H121="","",IF($H121="N/A","",VALUE($H121)/5*$G121))</f>
        <v/>
      </c>
      <c r="J121">
        <f>IF(OR($H121="",$H121="N/A"),"",$G121)</f>
        <v/>
      </c>
      <c r="K121">
        <f>IF(OR($H121="",$H121="N/A"),"",$J121-$I121)</f>
        <v/>
      </c>
      <c r="L121">
        <f>IF($H121="","",IF($H121="N/A","N/A",IF(VALUE($H121)&lt;=1,"Critical",IF(VALUE($H121)&lt;=2,"High",IF(VALUE($H121)&lt;=3,"Medium",IF(VALUE($H121)&lt;=4,"Low","Resilient"))))))</f>
        <v/>
      </c>
      <c r="M121" t="inlineStr">
        <is>
          <t>No reliable evidence that currency risk management using natural hedges, contract indexation or hedging instruments is defined, owned or managed.</t>
        </is>
      </c>
      <c r="N121" t="inlineStr">
        <is>
          <t>Currency risk management using natural hedges, contract indexation or hedging instruments is handled informally and depends on individual knowledge or heroic effort.</t>
        </is>
      </c>
      <c r="O121" t="inlineStr">
        <is>
          <t>Currency risk management using natural hedges, contract indexation or hedging instruments is partially documented or implemented, but coverage is inconsistent and not crisis-tested.</t>
        </is>
      </c>
      <c r="P121" t="inlineStr">
        <is>
          <t>Currency risk management using natural hedges, contract indexation or hedging instruments is documented, owned, used in normal operations and supported by basic evidence or metrics.</t>
        </is>
      </c>
      <c r="Q121" t="inlineStr">
        <is>
          <t>Currency risk management using natural hedges, contract indexation or hedging instruments is measured, periodically reviewed, integrated with related processes and tested against relevant disruption scenarios.</t>
        </is>
      </c>
      <c r="R121" t="inlineStr">
        <is>
          <t>Currency risk management using natural hedges, contract indexation or hedging instruments is optimized, continuously improved, automated where practical and demonstrably supports crisis resilience.</t>
        </is>
      </c>
      <c r="S121" t="inlineStr">
        <is>
          <t>Financial/liquidity crisis; Demand shock</t>
        </is>
      </c>
      <c r="T121">
        <f>'Assessment Questions'!W121</f>
        <v/>
      </c>
      <c r="U121">
        <f>'Assessment Questions'!X121</f>
        <v/>
      </c>
      <c r="V121">
        <f>'Assessment Questions'!Y121</f>
        <v/>
      </c>
      <c r="W121" t="n">
        <v>3</v>
      </c>
      <c r="X121" t="n">
        <v>4</v>
      </c>
      <c r="Y121" t="n">
        <v>4</v>
      </c>
      <c r="Z121">
        <f>'Assessment Questions'!AC121</f>
        <v/>
      </c>
      <c r="AB121">
        <f>COUNTIF($B$98:$B$123,$AA121)</f>
        <v/>
      </c>
      <c r="AC121">
        <f>IFERROR(SUMPRODUCT(($B$98:$B$123=$AA121)*($H$98:$H$123&lt;&gt;"")*($H$98:$H$123&lt;&gt;"N/A")*IFERROR(VALUE($H$98:$H$123),0))/SUMPRODUCT(($B$98:$B$123=$AA121)*($H$98:$H$123&lt;&gt;"")*($H$98:$H$123&lt;&gt;"N/A")),0)</f>
        <v/>
      </c>
      <c r="AD121">
        <f>AC121/5</f>
        <v/>
      </c>
      <c r="AE121">
        <f>COUNTIFS($B$98:$B$123,$AA121,$L$98:$L$123,"Critical")+COUNTIFS($B$98:$B$123,$AA121,$L$98:$L$123,"High")</f>
        <v/>
      </c>
      <c r="AF121">
        <f>5-AC121</f>
        <v/>
      </c>
      <c r="AG121">
        <f>SUMPRODUCT(($B$98:$B$123=$AA121)*(ISNUMBER($H$98:$H$123)+($H$98:$H$123="N/A")))</f>
        <v/>
      </c>
      <c r="AH121">
        <f>'Assessment Questions'!AK121</f>
        <v/>
      </c>
      <c r="AI121">
        <f>'Assessment Questions'!AL121</f>
        <v/>
      </c>
      <c r="AJ121">
        <f>IF(OR($H121="",$H121="N/A"),"",IF($AH121="",VLOOKUP('Company Profile'!$B$40,_CONFIG_Model_Settings!$A$5:$B$8,2,FALSE),_xlfn.IFNA(VLOOKUP($AH121,_CONFIG_Model_Settings!$A$5:$B$8,2,FALSE),0.9)))</f>
        <v/>
      </c>
      <c r="AK121">
        <f>IF(OR($H121="",$H121="N/A"),"",IF($AI121="",VLOOKUP('Company Profile'!$B$41,_CONFIG_Model_Settings!$A$5:$B$8,2,FALSE),_xlfn.IFNA(VLOOKUP($AI121,_CONFIG_Model_Settings!$A$5:$B$8,2,FALSE),0.9)))</f>
        <v/>
      </c>
      <c r="AL121">
        <f>IF(OR($H121="",$H121="N/A"),"",ROUND(VALUE($H121)*$AJ121*$AK121*$AV121,2))</f>
        <v/>
      </c>
      <c r="AM121">
        <f>IF($AL121="","",ROUND($AL121/5*100,1))</f>
        <v/>
      </c>
      <c r="AN121">
        <f>IFERROR(MIN(5,MAX(0,(SUMIFS(_REF_Model_Content!$D$1:$D$157,_REF_Model_Content!$A$1:$A$157,'Company Profile'!$B$9,_REF_Model_Content!$B$1:$B$157,"Finance Procurement"))+_xlfn.IFNA(VLOOKUP('Company Profile'!$B$35,_CONFIG_Model_Settings!$A$11:$B$13,2,0),0))),"")</f>
        <v/>
      </c>
      <c r="AO121">
        <f>IF($AL121="","",MAX(0,ROUND($AN121-$AL121,2)))</f>
        <v/>
      </c>
      <c r="AP121">
        <f>IFERROR(SUMIFS(_REF_Model_Content!$E$1:$E$157,_REF_Model_Content!$A$1:$A$157,'Company Profile'!$B$9,_REF_Model_Content!$B$1:$B$157,"Finance Procurement"),1)</f>
        <v/>
      </c>
      <c r="AQ121">
        <f>IF($AO121="","",ROUND($AO121*$AP121*($G121/5),2))</f>
        <v/>
      </c>
      <c r="AR121">
        <f>IF($AO121="","",IF($AO121&gt;=2,"Critical industry gap",IF($AO121&gt;=1,"High industry gap",IF($AO121&gt;=0.5,"Moderate industry gap","Within target"))))</f>
        <v/>
      </c>
      <c r="AS121">
        <f>IF(OR($H121="",$H121="N/A"),0,VALUE($H121)*(($AJ121+$AK121)/2)*$AV121)</f>
        <v/>
      </c>
      <c r="AT121">
        <f>IF(OR($H121="",$H121="N/A"),0,($AJ121+$AK121)/2)</f>
        <v/>
      </c>
      <c r="AU121">
        <f>'Assessment Questions'!AX121</f>
        <v/>
      </c>
      <c r="AV121">
        <f>IF(OR($H121="",$H121="N/A"),"",IF(OR($AU121="",$AU121="Everywhere",$AU121="Not applicable"),1,IF($AU121="Pilot / one team",0.4,IF($AU121="One unit or site",0.7,0.9))))</f>
        <v/>
      </c>
      <c r="AW121" t="inlineStr">
        <is>
          <t>Finance Procurement</t>
        </is>
      </c>
      <c r="AX121" t="inlineStr">
        <is>
          <t>Finance Procurement</t>
        </is>
      </c>
      <c r="AY121" t="n">
        <v>28</v>
      </c>
      <c r="AZ121" t="n">
        <v>121</v>
      </c>
    </row>
    <row r="122">
      <c r="A122" t="inlineStr">
        <is>
          <t>FINA-026</t>
        </is>
      </c>
      <c r="B122" t="inlineStr">
        <is>
          <t>Financial resilience</t>
        </is>
      </c>
      <c r="C122" t="inlineStr">
        <is>
          <t>How mature is the organization in managing cost structure flexibility with fixed-to-variable ratio visibility and cost reduction levers ranked by speed and impact, including ownership, evidence, metrics, fallback procedures and crisis stress testing?</t>
        </is>
      </c>
      <c r="D122" t="inlineStr">
        <is>
          <t>This topic affects exposure to Financial/liquidity crisis; Demand shock. It helps identify how disruption may impact operations, people, revenue, systems, legal exposure or recovery time.</t>
        </is>
      </c>
      <c r="E122" t="inlineStr">
        <is>
          <t>driver-based planning practices; COSO</t>
        </is>
      </c>
      <c r="F122" t="inlineStr">
        <is>
          <t>Policy/SOP; owner/RACI; system report; dashboard; contracts; test records; incident history; interview evidence</t>
        </is>
      </c>
      <c r="G122">
        <f>'Assessment Questions'!J122</f>
        <v/>
      </c>
      <c r="H122">
        <f>IF($Z122="","",IF($Z122="N/A","N/A",VALUE(LEFT($Z122,1))))</f>
        <v/>
      </c>
      <c r="I122">
        <f>IF($H122="","",IF($H122="N/A","",VALUE($H122)/5*$G122))</f>
        <v/>
      </c>
      <c r="J122">
        <f>IF(OR($H122="",$H122="N/A"),"",$G122)</f>
        <v/>
      </c>
      <c r="K122">
        <f>IF(OR($H122="",$H122="N/A"),"",$J122-$I122)</f>
        <v/>
      </c>
      <c r="L122">
        <f>IF($H122="","",IF($H122="N/A","N/A",IF(VALUE($H122)&lt;=1,"Critical",IF(VALUE($H122)&lt;=2,"High",IF(VALUE($H122)&lt;=3,"Medium",IF(VALUE($H122)&lt;=4,"Low","Resilient"))))))</f>
        <v/>
      </c>
      <c r="M122" t="inlineStr">
        <is>
          <t>No reliable evidence that cost structure flexibility with fixed-to-variable ratio visibility and cost reduction levers ranked by speed and impact is defined, owned or managed.</t>
        </is>
      </c>
      <c r="N122" t="inlineStr">
        <is>
          <t>Cost structure flexibility with fixed-to-variable ratio visibility and cost reduction levers ranked by speed and impact is handled informally and depends on individual knowledge or heroic effort.</t>
        </is>
      </c>
      <c r="O122" t="inlineStr">
        <is>
          <t>Cost structure flexibility with fixed-to-variable ratio visibility and cost reduction levers ranked by speed and impact is partially documented or implemented, but coverage is inconsistent and not crisis-tested.</t>
        </is>
      </c>
      <c r="P122" t="inlineStr">
        <is>
          <t>Cost structure flexibility with fixed-to-variable ratio visibility and cost reduction levers ranked by speed and impact is documented, owned, used in normal operations and supported by basic evidence or metrics.</t>
        </is>
      </c>
      <c r="Q122" t="inlineStr">
        <is>
          <t>Cost structure flexibility with fixed-to-variable ratio visibility and cost reduction levers ranked by speed and impact is measured, periodically reviewed, integrated with related processes and tested against relevant disruption scenarios.</t>
        </is>
      </c>
      <c r="R122" t="inlineStr">
        <is>
          <t>Cost structure flexibility with fixed-to-variable ratio visibility and cost reduction levers ranked by speed and impact is optimized, continuously improved, automated where practical and demonstrably supports crisis resilience.</t>
        </is>
      </c>
      <c r="S122" t="inlineStr">
        <is>
          <t>Financial/liquidity crisis; Demand shock</t>
        </is>
      </c>
      <c r="T122">
        <f>'Assessment Questions'!W122</f>
        <v/>
      </c>
      <c r="U122">
        <f>'Assessment Questions'!X122</f>
        <v/>
      </c>
      <c r="V122">
        <f>'Assessment Questions'!Y122</f>
        <v/>
      </c>
      <c r="W122" t="n">
        <v>3</v>
      </c>
      <c r="X122" t="n">
        <v>4</v>
      </c>
      <c r="Y122" t="n">
        <v>4</v>
      </c>
      <c r="Z122">
        <f>'Assessment Questions'!AC122</f>
        <v/>
      </c>
      <c r="AB122">
        <f>COUNTIF($B$98:$B$123,$AA122)</f>
        <v/>
      </c>
      <c r="AC122">
        <f>IFERROR(SUMPRODUCT(($B$98:$B$123=$AA122)*($H$98:$H$123&lt;&gt;"")*($H$98:$H$123&lt;&gt;"N/A")*IFERROR(VALUE($H$98:$H$123),0))/SUMPRODUCT(($B$98:$B$123=$AA122)*($H$98:$H$123&lt;&gt;"")*($H$98:$H$123&lt;&gt;"N/A")),0)</f>
        <v/>
      </c>
      <c r="AD122">
        <f>AC122/5</f>
        <v/>
      </c>
      <c r="AE122">
        <f>COUNTIFS($B$98:$B$123,$AA122,$L$98:$L$123,"Critical")+COUNTIFS($B$98:$B$123,$AA122,$L$98:$L$123,"High")</f>
        <v/>
      </c>
      <c r="AF122">
        <f>5-AC122</f>
        <v/>
      </c>
      <c r="AG122">
        <f>SUMPRODUCT(($B$98:$B$123=$AA122)*(ISNUMBER($H$98:$H$123)+($H$98:$H$123="N/A")))</f>
        <v/>
      </c>
      <c r="AH122">
        <f>'Assessment Questions'!AK122</f>
        <v/>
      </c>
      <c r="AI122">
        <f>'Assessment Questions'!AL122</f>
        <v/>
      </c>
      <c r="AJ122">
        <f>IF(OR($H122="",$H122="N/A"),"",IF($AH122="",VLOOKUP('Company Profile'!$B$40,_CONFIG_Model_Settings!$A$5:$B$8,2,FALSE),_xlfn.IFNA(VLOOKUP($AH122,_CONFIG_Model_Settings!$A$5:$B$8,2,FALSE),0.9)))</f>
        <v/>
      </c>
      <c r="AK122">
        <f>IF(OR($H122="",$H122="N/A"),"",IF($AI122="",VLOOKUP('Company Profile'!$B$41,_CONFIG_Model_Settings!$A$5:$B$8,2,FALSE),_xlfn.IFNA(VLOOKUP($AI122,_CONFIG_Model_Settings!$A$5:$B$8,2,FALSE),0.9)))</f>
        <v/>
      </c>
      <c r="AL122">
        <f>IF(OR($H122="",$H122="N/A"),"",ROUND(VALUE($H122)*$AJ122*$AK122*$AV122,2))</f>
        <v/>
      </c>
      <c r="AM122">
        <f>IF($AL122="","",ROUND($AL122/5*100,1))</f>
        <v/>
      </c>
      <c r="AN122">
        <f>IFERROR(MIN(5,MAX(0,(SUMIFS(_REF_Model_Content!$D$1:$D$157,_REF_Model_Content!$A$1:$A$157,'Company Profile'!$B$9,_REF_Model_Content!$B$1:$B$157,"Finance Procurement"))+_xlfn.IFNA(VLOOKUP('Company Profile'!$B$35,_CONFIG_Model_Settings!$A$11:$B$13,2,0),0))),"")</f>
        <v/>
      </c>
      <c r="AO122">
        <f>IF($AL122="","",MAX(0,ROUND($AN122-$AL122,2)))</f>
        <v/>
      </c>
      <c r="AP122">
        <f>IFERROR(SUMIFS(_REF_Model_Content!$E$1:$E$157,_REF_Model_Content!$A$1:$A$157,'Company Profile'!$B$9,_REF_Model_Content!$B$1:$B$157,"Finance Procurement"),1)</f>
        <v/>
      </c>
      <c r="AQ122">
        <f>IF($AO122="","",ROUND($AO122*$AP122*($G122/5),2))</f>
        <v/>
      </c>
      <c r="AR122">
        <f>IF($AO122="","",IF($AO122&gt;=2,"Critical industry gap",IF($AO122&gt;=1,"High industry gap",IF($AO122&gt;=0.5,"Moderate industry gap","Within target"))))</f>
        <v/>
      </c>
      <c r="AS122">
        <f>IF(OR($H122="",$H122="N/A"),0,VALUE($H122)*(($AJ122+$AK122)/2)*$AV122)</f>
        <v/>
      </c>
      <c r="AT122">
        <f>IF(OR($H122="",$H122="N/A"),0,($AJ122+$AK122)/2)</f>
        <v/>
      </c>
      <c r="AU122">
        <f>'Assessment Questions'!AX122</f>
        <v/>
      </c>
      <c r="AV122">
        <f>IF(OR($H122="",$H122="N/A"),"",IF(OR($AU122="",$AU122="Everywhere",$AU122="Not applicable"),1,IF($AU122="Pilot / one team",0.4,IF($AU122="One unit or site",0.7,0.9))))</f>
        <v/>
      </c>
      <c r="AW122" t="inlineStr">
        <is>
          <t>Finance Procurement</t>
        </is>
      </c>
      <c r="AX122" t="inlineStr">
        <is>
          <t>Finance Procurement</t>
        </is>
      </c>
      <c r="AY122" t="n">
        <v>29</v>
      </c>
      <c r="AZ122" t="n">
        <v>122</v>
      </c>
    </row>
    <row r="123">
      <c r="A123" t="inlineStr">
        <is>
          <t>FINA-027</t>
        </is>
      </c>
      <c r="B123" t="inlineStr">
        <is>
          <t>Working capital</t>
        </is>
      </c>
      <c r="C123" t="inlineStr">
        <is>
          <t>How mature is the organization in managing customer credit risk assessment with credit checks, limits and payment terms control before contracting, including ownership, evidence, metrics, fallback procedures and crisis stress testing?</t>
        </is>
      </c>
      <c r="D123" t="inlineStr">
        <is>
          <t>This topic affects exposure to Financial/liquidity crisis; Key customer loss. It helps identify how disruption may impact operations, people, revenue, systems, legal exposure or recovery time.</t>
        </is>
      </c>
      <c r="E123" t="inlineStr">
        <is>
          <t>credit management practices; COSO</t>
        </is>
      </c>
      <c r="F123" t="inlineStr">
        <is>
          <t>Policy/SOP; owner/RACI; system report; dashboard; contracts; test records; incident history; interview evidence</t>
        </is>
      </c>
      <c r="G123">
        <f>'Assessment Questions'!J123</f>
        <v/>
      </c>
      <c r="H123">
        <f>IF($Z123="","",IF($Z123="N/A","N/A",VALUE(LEFT($Z123,1))))</f>
        <v/>
      </c>
      <c r="I123">
        <f>IF($H123="","",IF($H123="N/A","",VALUE($H123)/5*$G123))</f>
        <v/>
      </c>
      <c r="J123">
        <f>IF(OR($H123="",$H123="N/A"),"",$G123)</f>
        <v/>
      </c>
      <c r="K123">
        <f>IF(OR($H123="",$H123="N/A"),"",$J123-$I123)</f>
        <v/>
      </c>
      <c r="L123">
        <f>IF($H123="","",IF($H123="N/A","N/A",IF(VALUE($H123)&lt;=1,"Critical",IF(VALUE($H123)&lt;=2,"High",IF(VALUE($H123)&lt;=3,"Medium",IF(VALUE($H123)&lt;=4,"Low","Resilient"))))))</f>
        <v/>
      </c>
      <c r="M123" t="inlineStr">
        <is>
          <t>No reliable evidence that customer credit risk assessment with credit checks, limits and payment terms control before contracting is defined, owned or managed.</t>
        </is>
      </c>
      <c r="N123" t="inlineStr">
        <is>
          <t>Customer credit risk assessment with credit checks, limits and payment terms control before contracting is handled informally and depends on individual knowledge or heroic effort.</t>
        </is>
      </c>
      <c r="O123" t="inlineStr">
        <is>
          <t>Customer credit risk assessment with credit checks, limits and payment terms control before contracting is partially documented or implemented, but coverage is inconsistent and not crisis-tested.</t>
        </is>
      </c>
      <c r="P123" t="inlineStr">
        <is>
          <t>Customer credit risk assessment with credit checks, limits and payment terms control before contracting is documented, owned, used in normal operations and supported by basic evidence or metrics.</t>
        </is>
      </c>
      <c r="Q123" t="inlineStr">
        <is>
          <t>Customer credit risk assessment with credit checks, limits and payment terms control before contracting is measured, periodically reviewed, integrated with related processes and tested against relevant disruption scenarios.</t>
        </is>
      </c>
      <c r="R123" t="inlineStr">
        <is>
          <t>Customer credit risk assessment with credit checks, limits and payment terms control before contracting is optimized, continuously improved, automated where practical and demonstrably supports crisis resilience.</t>
        </is>
      </c>
      <c r="S123" t="inlineStr">
        <is>
          <t>Financial/liquidity crisis; Key customer loss</t>
        </is>
      </c>
      <c r="T123">
        <f>'Assessment Questions'!W123</f>
        <v/>
      </c>
      <c r="U123">
        <f>'Assessment Questions'!X123</f>
        <v/>
      </c>
      <c r="V123">
        <f>'Assessment Questions'!Y123</f>
        <v/>
      </c>
      <c r="W123" t="n">
        <v>3</v>
      </c>
      <c r="X123" t="n">
        <v>3</v>
      </c>
      <c r="Y123" t="n">
        <v>4</v>
      </c>
      <c r="Z123">
        <f>'Assessment Questions'!AC123</f>
        <v/>
      </c>
      <c r="AB123">
        <f>COUNTIF($B$98:$B$123,$AA123)</f>
        <v/>
      </c>
      <c r="AC123">
        <f>IFERROR(SUMPRODUCT(($B$98:$B$123=$AA123)*($H$98:$H$123&lt;&gt;"")*($H$98:$H$123&lt;&gt;"N/A")*IFERROR(VALUE($H$98:$H$123),0))/SUMPRODUCT(($B$98:$B$123=$AA123)*($H$98:$H$123&lt;&gt;"")*($H$98:$H$123&lt;&gt;"N/A")),0)</f>
        <v/>
      </c>
      <c r="AD123">
        <f>AC123/5</f>
        <v/>
      </c>
      <c r="AE123">
        <f>COUNTIFS($B$98:$B$123,$AA123,$L$98:$L$123,"Critical")+COUNTIFS($B$98:$B$123,$AA123,$L$98:$L$123,"High")</f>
        <v/>
      </c>
      <c r="AF123">
        <f>5-AC123</f>
        <v/>
      </c>
      <c r="AG123">
        <f>SUMPRODUCT(($B$98:$B$123=$AA123)*(ISNUMBER($H$98:$H$123)+($H$98:$H$123="N/A")))</f>
        <v/>
      </c>
      <c r="AH123">
        <f>'Assessment Questions'!AK123</f>
        <v/>
      </c>
      <c r="AI123">
        <f>'Assessment Questions'!AL123</f>
        <v/>
      </c>
      <c r="AJ123">
        <f>IF(OR($H123="",$H123="N/A"),"",IF($AH123="",VLOOKUP('Company Profile'!$B$40,_CONFIG_Model_Settings!$A$5:$B$8,2,FALSE),_xlfn.IFNA(VLOOKUP($AH123,_CONFIG_Model_Settings!$A$5:$B$8,2,FALSE),0.9)))</f>
        <v/>
      </c>
      <c r="AK123">
        <f>IF(OR($H123="",$H123="N/A"),"",IF($AI123="",VLOOKUP('Company Profile'!$B$41,_CONFIG_Model_Settings!$A$5:$B$8,2,FALSE),_xlfn.IFNA(VLOOKUP($AI123,_CONFIG_Model_Settings!$A$5:$B$8,2,FALSE),0.9)))</f>
        <v/>
      </c>
      <c r="AL123">
        <f>IF(OR($H123="",$H123="N/A"),"",ROUND(VALUE($H123)*$AJ123*$AK123*$AV123,2))</f>
        <v/>
      </c>
      <c r="AM123">
        <f>IF($AL123="","",ROUND($AL123/5*100,1))</f>
        <v/>
      </c>
      <c r="AN123">
        <f>IFERROR(MIN(5,MAX(0,(SUMIFS(_REF_Model_Content!$D$1:$D$157,_REF_Model_Content!$A$1:$A$157,'Company Profile'!$B$9,_REF_Model_Content!$B$1:$B$157,"Finance Procurement"))+_xlfn.IFNA(VLOOKUP('Company Profile'!$B$35,_CONFIG_Model_Settings!$A$11:$B$13,2,0),0))),"")</f>
        <v/>
      </c>
      <c r="AO123">
        <f>IF($AL123="","",MAX(0,ROUND($AN123-$AL123,2)))</f>
        <v/>
      </c>
      <c r="AP123">
        <f>IFERROR(SUMIFS(_REF_Model_Content!$E$1:$E$157,_REF_Model_Content!$A$1:$A$157,'Company Profile'!$B$9,_REF_Model_Content!$B$1:$B$157,"Finance Procurement"),1)</f>
        <v/>
      </c>
      <c r="AQ123">
        <f>IF($AO123="","",ROUND($AO123*$AP123*($G123/5),2))</f>
        <v/>
      </c>
      <c r="AR123">
        <f>IF($AO123="","",IF($AO123&gt;=2,"Critical industry gap",IF($AO123&gt;=1,"High industry gap",IF($AO123&gt;=0.5,"Moderate industry gap","Within target"))))</f>
        <v/>
      </c>
      <c r="AS123">
        <f>IF(OR($H123="",$H123="N/A"),0,VALUE($H123)*(($AJ123+$AK123)/2)*$AV123)</f>
        <v/>
      </c>
      <c r="AT123">
        <f>IF(OR($H123="",$H123="N/A"),0,($AJ123+$AK123)/2)</f>
        <v/>
      </c>
      <c r="AU123">
        <f>'Assessment Questions'!AX123</f>
        <v/>
      </c>
      <c r="AV123">
        <f>IF(OR($H123="",$H123="N/A"),"",IF(OR($AU123="",$AU123="Everywhere",$AU123="Not applicable"),1,IF($AU123="Pilot / one team",0.4,IF($AU123="One unit or site",0.7,0.9))))</f>
        <v/>
      </c>
      <c r="AW123" t="inlineStr">
        <is>
          <t>Finance Procurement</t>
        </is>
      </c>
      <c r="AX123" t="inlineStr">
        <is>
          <t>Finance Procurement</t>
        </is>
      </c>
      <c r="AY123" t="n">
        <v>30</v>
      </c>
      <c r="AZ123" t="n">
        <v>123</v>
      </c>
    </row>
    <row r="124">
      <c r="A124" t="inlineStr">
        <is>
          <t>LEGA-001</t>
        </is>
      </c>
      <c r="B124" t="inlineStr">
        <is>
          <t>Compliance</t>
        </is>
      </c>
      <c r="C124" t="inlineStr">
        <is>
          <t>How mature is the organization in managing compliance obligations register by jurisdiction, license, customer, industry and function, including ownership, evidence, metrics, fallback procedures and crisis stress testing?</t>
        </is>
      </c>
      <c r="D124" t="inlineStr">
        <is>
          <t>This topic affects exposure to Regulatory/legal shock; Contractual exposure; Data breach. It helps identify how disruption may impact operations, people, revenue, systems, legal exposure or recovery time.</t>
        </is>
      </c>
      <c r="E124" t="inlineStr">
        <is>
          <t>ISO 37301; ISO 31000; ISO 37001; ISO/IEC 27701; GDPR; contract management best practices</t>
        </is>
      </c>
      <c r="F124" t="inlineStr">
        <is>
          <t>Policy/SOP; owner/RACI; system report; dashboard; contracts; test records; incident history; interview evidence related to compliance obligations register by jurisdiction, license, customer, industry and function.</t>
        </is>
      </c>
      <c r="G124">
        <f>'Assessment Questions'!J124</f>
        <v/>
      </c>
      <c r="H124">
        <f>IF($Z124="","",IF($Z124="N/A","N/A",VALUE(LEFT($Z124,1))))</f>
        <v/>
      </c>
      <c r="I124">
        <f>IF($H124="","",IF($H124="N/A","",VALUE($H124)/5*$G124))</f>
        <v/>
      </c>
      <c r="J124">
        <f>IF(OR($H124="",$H124="N/A"),"",$G124)</f>
        <v/>
      </c>
      <c r="K124">
        <f>IF(OR($H124="",$H124="N/A"),"",$J124-$I124)</f>
        <v/>
      </c>
      <c r="L124">
        <f>IF($H124="","",IF($H124="N/A","N/A",IF(VALUE($H124)&lt;=1,"Critical",IF(VALUE($H124)&lt;=2,"High",IF(VALUE($H124)&lt;=3,"Medium",IF(VALUE($H124)&lt;=4,"Low","Resilient"))))))</f>
        <v/>
      </c>
      <c r="M124" t="inlineStr">
        <is>
          <t>No reliable evidence that compliance obligations register by jurisdiction, license, customer, industry and function is defined, owned or managed.</t>
        </is>
      </c>
      <c r="N124" t="inlineStr">
        <is>
          <t>Compliance obligations register by jurisdiction, license, customer, industry and function is handled informally and depends on individual knowledge or heroic effort.</t>
        </is>
      </c>
      <c r="O124" t="inlineStr">
        <is>
          <t>Compliance obligations register by jurisdiction, license, customer, industry and function is partially documented or implemented, but coverage is inconsistent and not crisis-tested.</t>
        </is>
      </c>
      <c r="P124" t="inlineStr">
        <is>
          <t>Compliance obligations register by jurisdiction, license, customer, industry and function is documented, owned, used in normal operations and supported by basic evidence or metrics.</t>
        </is>
      </c>
      <c r="Q124" t="inlineStr">
        <is>
          <t>Compliance obligations register by jurisdiction, license, customer, industry and function is measured, periodically reviewed, integrated with related processes and tested against relevant disruption scenarios.</t>
        </is>
      </c>
      <c r="R124" t="inlineStr">
        <is>
          <t>Compliance obligations register by jurisdiction, license, customer, industry and function is optimized, continuously improved, automated where practical and demonstrably supports crisis resilience.</t>
        </is>
      </c>
      <c r="S124" t="inlineStr">
        <is>
          <t>Regulatory/legal shock; Contractual exposure; Data breach</t>
        </is>
      </c>
      <c r="T124">
        <f>'Assessment Questions'!W124</f>
        <v/>
      </c>
      <c r="U124">
        <f>'Assessment Questions'!X124</f>
        <v/>
      </c>
      <c r="V124">
        <f>'Assessment Questions'!Y124</f>
        <v/>
      </c>
      <c r="W124" t="n">
        <v>5</v>
      </c>
      <c r="X124" t="n">
        <v>5</v>
      </c>
      <c r="Y124" t="n">
        <v>5</v>
      </c>
      <c r="Z124">
        <f>'Assessment Questions'!AC124</f>
        <v/>
      </c>
      <c r="AA124" t="inlineStr">
        <is>
          <t>Compliance</t>
        </is>
      </c>
      <c r="AB124">
        <f>COUNTIF($B$124:$B$144,$AA124)</f>
        <v/>
      </c>
      <c r="AC124">
        <f>IFERROR(SUMPRODUCT(($B$124:$B$144=$AA124)*($H$124:$H$144&lt;&gt;"")*($H$124:$H$144&lt;&gt;"N/A")*IFERROR(VALUE($H$124:$H$144),0))/SUMPRODUCT(($B$124:$B$144=$AA124)*($H$124:$H$144&lt;&gt;"")*($H$124:$H$144&lt;&gt;"N/A")),0)</f>
        <v/>
      </c>
      <c r="AD124">
        <f>AC124/5</f>
        <v/>
      </c>
      <c r="AE124">
        <f>COUNTIFS($B$124:$B$144,$AA124,$L$124:$L$144,"Critical")+COUNTIFS($B$124:$B$144,$AA124,$L$124:$L$144,"High")</f>
        <v/>
      </c>
      <c r="AF124">
        <f>5-AC124</f>
        <v/>
      </c>
      <c r="AG124">
        <f>SUMPRODUCT(($B$124:$B$144=$AA124)*(ISNUMBER($H$124:$H$144)+($H$124:$H$144="N/A")))</f>
        <v/>
      </c>
      <c r="AH124">
        <f>'Assessment Questions'!AK124</f>
        <v/>
      </c>
      <c r="AI124">
        <f>'Assessment Questions'!AL124</f>
        <v/>
      </c>
      <c r="AJ124">
        <f>IF(OR($H124="",$H124="N/A"),"",IF($AH124="",VLOOKUP('Company Profile'!$B$40,_CONFIG_Model_Settings!$A$5:$B$8,2,FALSE),_xlfn.IFNA(VLOOKUP($AH124,_CONFIG_Model_Settings!$A$5:$B$8,2,FALSE),0.9)))</f>
        <v/>
      </c>
      <c r="AK124">
        <f>IF(OR($H124="",$H124="N/A"),"",IF($AI124="",VLOOKUP('Company Profile'!$B$41,_CONFIG_Model_Settings!$A$5:$B$8,2,FALSE),_xlfn.IFNA(VLOOKUP($AI124,_CONFIG_Model_Settings!$A$5:$B$8,2,FALSE),0.9)))</f>
        <v/>
      </c>
      <c r="AL124">
        <f>IF(OR($H124="",$H124="N/A"),"",ROUND(VALUE($H124)*$AJ124*$AK124*$AV124,2))</f>
        <v/>
      </c>
      <c r="AM124">
        <f>IF($AL124="","",ROUND($AL124/5*100,1))</f>
        <v/>
      </c>
      <c r="AN124">
        <f>IFERROR(MIN(5,MAX(0,(SUMIFS(_REF_Model_Content!$D$1:$D$157,_REF_Model_Content!$A$1:$A$157,'Company Profile'!$B$9,_REF_Model_Content!$B$1:$B$157,"Legal Risk"))+_xlfn.IFNA(VLOOKUP('Company Profile'!$B$35,_CONFIG_Model_Settings!$A$11:$B$13,2,0),0))),"")</f>
        <v/>
      </c>
      <c r="AO124">
        <f>IF($AL124="","",MAX(0,ROUND($AN124-$AL124,2)))</f>
        <v/>
      </c>
      <c r="AP124">
        <f>IFERROR(SUMIFS(_REF_Model_Content!$E$1:$E$157,_REF_Model_Content!$A$1:$A$157,'Company Profile'!$B$9,_REF_Model_Content!$B$1:$B$157,"Legal Risk"),1)</f>
        <v/>
      </c>
      <c r="AQ124">
        <f>IF($AO124="","",ROUND($AO124*$AP124*($G124/5),2))</f>
        <v/>
      </c>
      <c r="AR124">
        <f>IF($AO124="","",IF($AO124&gt;=2,"Critical industry gap",IF($AO124&gt;=1,"High industry gap",IF($AO124&gt;=0.5,"Moderate industry gap","Within target"))))</f>
        <v/>
      </c>
      <c r="AS124">
        <f>IF(OR($H124="",$H124="N/A"),0,VALUE($H124)*(($AJ124+$AK124)/2)*$AV124)</f>
        <v/>
      </c>
      <c r="AT124">
        <f>IF(OR($H124="",$H124="N/A"),0,($AJ124+$AK124)/2)</f>
        <v/>
      </c>
      <c r="AU124">
        <f>'Assessment Questions'!AX124</f>
        <v/>
      </c>
      <c r="AV124">
        <f>IF(OR($H124="",$H124="N/A"),"",IF(OR($AU124="",$AU124="Everywhere",$AU124="Not applicable"),1,IF($AU124="Pilot / one team",0.4,IF($AU124="One unit or site",0.7,0.9))))</f>
        <v/>
      </c>
      <c r="AW124" t="inlineStr">
        <is>
          <t>Legal Risk</t>
        </is>
      </c>
      <c r="AX124" t="inlineStr">
        <is>
          <t>Legal Risk</t>
        </is>
      </c>
      <c r="AY124" t="n">
        <v>5</v>
      </c>
      <c r="AZ124" t="n">
        <v>124</v>
      </c>
    </row>
    <row r="125">
      <c r="A125" t="inlineStr">
        <is>
          <t>LEGA-002</t>
        </is>
      </c>
      <c r="B125" t="inlineStr">
        <is>
          <t>Compliance</t>
        </is>
      </c>
      <c r="C125" t="inlineStr">
        <is>
          <t>How mature is the organization in managing regulatory reporting calendar and emergency reporting triggers for cyber, safety, finance, environment and privacy, including ownership, evidence, metrics, fallback procedures and crisis stress testing?</t>
        </is>
      </c>
      <c r="D125" t="inlineStr">
        <is>
          <t>This topic affects exposure to Regulatory/legal shock; Contractual exposure; Data breach. It helps identify how disruption may impact operations, people, revenue, systems, legal exposure or recovery time.</t>
        </is>
      </c>
      <c r="E125" t="inlineStr">
        <is>
          <t>ISO 37301; ISO 31000; ISO 37001; ISO/IEC 27701; GDPR; contract management best practices</t>
        </is>
      </c>
      <c r="F125" t="inlineStr">
        <is>
          <t>Policy/SOP; owner/RACI; system report; dashboard; contracts; test records; incident history; interview evidence related to regulatory reporting calendar and emergency reporting triggers for cyber, safety, finance, environment and privacy.</t>
        </is>
      </c>
      <c r="G125">
        <f>'Assessment Questions'!J125</f>
        <v/>
      </c>
      <c r="H125">
        <f>IF($Z125="","",IF($Z125="N/A","N/A",VALUE(LEFT($Z125,1))))</f>
        <v/>
      </c>
      <c r="I125">
        <f>IF($H125="","",IF($H125="N/A","",VALUE($H125)/5*$G125))</f>
        <v/>
      </c>
      <c r="J125">
        <f>IF(OR($H125="",$H125="N/A"),"",$G125)</f>
        <v/>
      </c>
      <c r="K125">
        <f>IF(OR($H125="",$H125="N/A"),"",$J125-$I125)</f>
        <v/>
      </c>
      <c r="L125">
        <f>IF($H125="","",IF($H125="N/A","N/A",IF(VALUE($H125)&lt;=1,"Critical",IF(VALUE($H125)&lt;=2,"High",IF(VALUE($H125)&lt;=3,"Medium",IF(VALUE($H125)&lt;=4,"Low","Resilient"))))))</f>
        <v/>
      </c>
      <c r="M125" t="inlineStr">
        <is>
          <t>Does not exist; no owner, no documentation, no practice.</t>
        </is>
      </c>
      <c r="N125" t="inlineStr">
        <is>
          <t>Ad hoc; depends entirely on specific individuals.</t>
        </is>
      </c>
      <c r="O125" t="inlineStr">
        <is>
          <t>Partially documented or implemented; coverage inconsistent; never tested under stress.</t>
        </is>
      </c>
      <c r="P125" t="inlineStr">
        <is>
          <t>Documented, owned, executed consistently; basic evidence and metrics exist.</t>
        </is>
      </c>
      <c r="Q125" t="inlineStr">
        <is>
          <t>Measured and periodically tested/audited; integrated with adjacent processes.</t>
        </is>
      </c>
      <c r="R125" t="inlineStr">
        <is>
          <t>Optimized and automated where practical; stress-tested; benchmarked externally.</t>
        </is>
      </c>
      <c r="S125" t="inlineStr">
        <is>
          <t>Regulatory/legal shock; Contractual exposure; Data breach</t>
        </is>
      </c>
      <c r="T125">
        <f>'Assessment Questions'!W125</f>
        <v/>
      </c>
      <c r="U125">
        <f>'Assessment Questions'!X125</f>
        <v/>
      </c>
      <c r="V125">
        <f>'Assessment Questions'!Y125</f>
        <v/>
      </c>
      <c r="W125" t="n">
        <v>5</v>
      </c>
      <c r="X125" t="n">
        <v>5</v>
      </c>
      <c r="Y125" t="n">
        <v>5</v>
      </c>
      <c r="Z125">
        <f>'Assessment Questions'!AC125</f>
        <v/>
      </c>
      <c r="AA125" t="inlineStr">
        <is>
          <t>Contracts</t>
        </is>
      </c>
      <c r="AB125">
        <f>COUNTIF($B$124:$B$144,$AA125)</f>
        <v/>
      </c>
      <c r="AC125">
        <f>IFERROR(SUMPRODUCT(($B$124:$B$144=$AA125)*($H$124:$H$144&lt;&gt;"")*($H$124:$H$144&lt;&gt;"N/A")*IFERROR(VALUE($H$124:$H$144),0))/SUMPRODUCT(($B$124:$B$144=$AA125)*($H$124:$H$144&lt;&gt;"")*($H$124:$H$144&lt;&gt;"N/A")),0)</f>
        <v/>
      </c>
      <c r="AD125">
        <f>AC125/5</f>
        <v/>
      </c>
      <c r="AE125">
        <f>COUNTIFS($B$124:$B$144,$AA125,$L$124:$L$144,"Critical")+COUNTIFS($B$124:$B$144,$AA125,$L$124:$L$144,"High")</f>
        <v/>
      </c>
      <c r="AF125">
        <f>5-AC125</f>
        <v/>
      </c>
      <c r="AG125">
        <f>SUMPRODUCT(($B$124:$B$144=$AA125)*(ISNUMBER($H$124:$H$144)+($H$124:$H$144="N/A")))</f>
        <v/>
      </c>
      <c r="AH125">
        <f>'Assessment Questions'!AK125</f>
        <v/>
      </c>
      <c r="AI125">
        <f>'Assessment Questions'!AL125</f>
        <v/>
      </c>
      <c r="AJ125">
        <f>IF(OR($H125="",$H125="N/A"),"",IF($AH125="",VLOOKUP('Company Profile'!$B$40,_CONFIG_Model_Settings!$A$5:$B$8,2,FALSE),_xlfn.IFNA(VLOOKUP($AH125,_CONFIG_Model_Settings!$A$5:$B$8,2,FALSE),0.9)))</f>
        <v/>
      </c>
      <c r="AK125">
        <f>IF(OR($H125="",$H125="N/A"),"",IF($AI125="",VLOOKUP('Company Profile'!$B$41,_CONFIG_Model_Settings!$A$5:$B$8,2,FALSE),_xlfn.IFNA(VLOOKUP($AI125,_CONFIG_Model_Settings!$A$5:$B$8,2,FALSE),0.9)))</f>
        <v/>
      </c>
      <c r="AL125">
        <f>IF(OR($H125="",$H125="N/A"),"",ROUND(VALUE($H125)*$AJ125*$AK125*$AV125,2))</f>
        <v/>
      </c>
      <c r="AM125">
        <f>IF($AL125="","",ROUND($AL125/5*100,1))</f>
        <v/>
      </c>
      <c r="AN125">
        <f>IFERROR(MIN(5,MAX(0,(SUMIFS(_REF_Model_Content!$D$1:$D$157,_REF_Model_Content!$A$1:$A$157,'Company Profile'!$B$9,_REF_Model_Content!$B$1:$B$157,"Legal Risk"))+_xlfn.IFNA(VLOOKUP('Company Profile'!$B$35,_CONFIG_Model_Settings!$A$11:$B$13,2,0),0))),"")</f>
        <v/>
      </c>
      <c r="AO125">
        <f>IF($AL125="","",MAX(0,ROUND($AN125-$AL125,2)))</f>
        <v/>
      </c>
      <c r="AP125">
        <f>IFERROR(SUMIFS(_REF_Model_Content!$E$1:$E$157,_REF_Model_Content!$A$1:$A$157,'Company Profile'!$B$9,_REF_Model_Content!$B$1:$B$157,"Legal Risk"),1)</f>
        <v/>
      </c>
      <c r="AQ125">
        <f>IF($AO125="","",ROUND($AO125*$AP125*($G125/5),2))</f>
        <v/>
      </c>
      <c r="AR125">
        <f>IF($AO125="","",IF($AO125&gt;=2,"Critical industry gap",IF($AO125&gt;=1,"High industry gap",IF($AO125&gt;=0.5,"Moderate industry gap","Within target"))))</f>
        <v/>
      </c>
      <c r="AS125">
        <f>IF(OR($H125="",$H125="N/A"),0,VALUE($H125)*(($AJ125+$AK125)/2)*$AV125)</f>
        <v/>
      </c>
      <c r="AT125">
        <f>IF(OR($H125="",$H125="N/A"),0,($AJ125+$AK125)/2)</f>
        <v/>
      </c>
      <c r="AU125">
        <f>'Assessment Questions'!AX125</f>
        <v/>
      </c>
      <c r="AV125">
        <f>IF(OR($H125="",$H125="N/A"),"",IF(OR($AU125="",$AU125="Everywhere",$AU125="Not applicable"),1,IF($AU125="Pilot / one team",0.4,IF($AU125="One unit or site",0.7,0.9))))</f>
        <v/>
      </c>
      <c r="AW125" t="inlineStr">
        <is>
          <t>Legal Risk</t>
        </is>
      </c>
      <c r="AX125" t="inlineStr">
        <is>
          <t>Legal Risk</t>
        </is>
      </c>
      <c r="AY125" t="n">
        <v>6</v>
      </c>
      <c r="AZ125" t="n">
        <v>125</v>
      </c>
    </row>
    <row r="126">
      <c r="A126" t="inlineStr">
        <is>
          <t>LEGA-003</t>
        </is>
      </c>
      <c r="B126" t="inlineStr">
        <is>
          <t>Compliance</t>
        </is>
      </c>
      <c r="C126" t="inlineStr">
        <is>
          <t>How mature is the organization in managing sanctions and restricted-party screening for customers, suppliers, owners and payments, including ownership, evidence, metrics, fallback procedures and crisis stress testing?</t>
        </is>
      </c>
      <c r="D126" t="inlineStr">
        <is>
          <t>This topic affects exposure to Regulatory/legal shock; Contractual exposure; Data breach. It helps identify how disruption may impact operations, people, revenue, systems, legal exposure or recovery time.</t>
        </is>
      </c>
      <c r="E126" t="inlineStr">
        <is>
          <t>ISO 37301; ISO 31000; ISO 37001; ISO/IEC 27701; GDPR; contract management best practices</t>
        </is>
      </c>
      <c r="F126" t="inlineStr">
        <is>
          <t>Policy/SOP; owner/RACI; system report; dashboard; contracts; test records; incident history; interview evidence related to sanctions and restricted-party screening for customers, suppliers, owners and payments.</t>
        </is>
      </c>
      <c r="G126">
        <f>'Assessment Questions'!J126</f>
        <v/>
      </c>
      <c r="H126">
        <f>IF($Z126="","",IF($Z126="N/A","N/A",VALUE(LEFT($Z126,1))))</f>
        <v/>
      </c>
      <c r="I126">
        <f>IF($H126="","",IF($H126="N/A","",VALUE($H126)/5*$G126))</f>
        <v/>
      </c>
      <c r="J126">
        <f>IF(OR($H126="",$H126="N/A"),"",$G126)</f>
        <v/>
      </c>
      <c r="K126">
        <f>IF(OR($H126="",$H126="N/A"),"",$J126-$I126)</f>
        <v/>
      </c>
      <c r="L126">
        <f>IF($H126="","",IF($H126="N/A","N/A",IF(VALUE($H126)&lt;=1,"Critical",IF(VALUE($H126)&lt;=2,"High",IF(VALUE($H126)&lt;=3,"Medium",IF(VALUE($H126)&lt;=4,"Low","Resilient"))))))</f>
        <v/>
      </c>
      <c r="M126" t="inlineStr">
        <is>
          <t>Does not exist; no owner, no documentation, no practice.</t>
        </is>
      </c>
      <c r="N126" t="inlineStr">
        <is>
          <t>Ad hoc; depends entirely on specific individuals.</t>
        </is>
      </c>
      <c r="O126" t="inlineStr">
        <is>
          <t>Partially documented or implemented; coverage inconsistent; never tested under stress.</t>
        </is>
      </c>
      <c r="P126" t="inlineStr">
        <is>
          <t>Documented, owned, executed consistently; basic evidence and metrics exist.</t>
        </is>
      </c>
      <c r="Q126" t="inlineStr">
        <is>
          <t>Measured and periodically tested/audited; integrated with adjacent processes.</t>
        </is>
      </c>
      <c r="R126" t="inlineStr">
        <is>
          <t>Optimized and automated where practical; stress-tested; benchmarked externally.</t>
        </is>
      </c>
      <c r="S126" t="inlineStr">
        <is>
          <t>Regulatory/legal shock; Contractual exposure; Data breach</t>
        </is>
      </c>
      <c r="T126">
        <f>'Assessment Questions'!W126</f>
        <v/>
      </c>
      <c r="U126">
        <f>'Assessment Questions'!X126</f>
        <v/>
      </c>
      <c r="V126">
        <f>'Assessment Questions'!Y126</f>
        <v/>
      </c>
      <c r="W126" t="n">
        <v>5</v>
      </c>
      <c r="X126" t="n">
        <v>5</v>
      </c>
      <c r="Y126" t="n">
        <v>5</v>
      </c>
      <c r="Z126">
        <f>'Assessment Questions'!AC126</f>
        <v/>
      </c>
      <c r="AA126" t="inlineStr">
        <is>
          <t>Data and IP</t>
        </is>
      </c>
      <c r="AB126">
        <f>COUNTIF($B$124:$B$144,$AA126)</f>
        <v/>
      </c>
      <c r="AC126">
        <f>IFERROR(SUMPRODUCT(($B$124:$B$144=$AA126)*($H$124:$H$144&lt;&gt;"")*($H$124:$H$144&lt;&gt;"N/A")*IFERROR(VALUE($H$124:$H$144),0))/SUMPRODUCT(($B$124:$B$144=$AA126)*($H$124:$H$144&lt;&gt;"")*($H$124:$H$144&lt;&gt;"N/A")),0)</f>
        <v/>
      </c>
      <c r="AD126">
        <f>AC126/5</f>
        <v/>
      </c>
      <c r="AE126">
        <f>COUNTIFS($B$124:$B$144,$AA126,$L$124:$L$144,"Critical")+COUNTIFS($B$124:$B$144,$AA126,$L$124:$L$144,"High")</f>
        <v/>
      </c>
      <c r="AF126">
        <f>5-AC126</f>
        <v/>
      </c>
      <c r="AG126">
        <f>SUMPRODUCT(($B$124:$B$144=$AA126)*(ISNUMBER($H$124:$H$144)+($H$124:$H$144="N/A")))</f>
        <v/>
      </c>
      <c r="AH126">
        <f>'Assessment Questions'!AK126</f>
        <v/>
      </c>
      <c r="AI126">
        <f>'Assessment Questions'!AL126</f>
        <v/>
      </c>
      <c r="AJ126">
        <f>IF(OR($H126="",$H126="N/A"),"",IF($AH126="",VLOOKUP('Company Profile'!$B$40,_CONFIG_Model_Settings!$A$5:$B$8,2,FALSE),_xlfn.IFNA(VLOOKUP($AH126,_CONFIG_Model_Settings!$A$5:$B$8,2,FALSE),0.9)))</f>
        <v/>
      </c>
      <c r="AK126">
        <f>IF(OR($H126="",$H126="N/A"),"",IF($AI126="",VLOOKUP('Company Profile'!$B$41,_CONFIG_Model_Settings!$A$5:$B$8,2,FALSE),_xlfn.IFNA(VLOOKUP($AI126,_CONFIG_Model_Settings!$A$5:$B$8,2,FALSE),0.9)))</f>
        <v/>
      </c>
      <c r="AL126">
        <f>IF(OR($H126="",$H126="N/A"),"",ROUND(VALUE($H126)*$AJ126*$AK126*$AV126,2))</f>
        <v/>
      </c>
      <c r="AM126">
        <f>IF($AL126="","",ROUND($AL126/5*100,1))</f>
        <v/>
      </c>
      <c r="AN126">
        <f>IFERROR(MIN(5,MAX(0,(SUMIFS(_REF_Model_Content!$D$1:$D$157,_REF_Model_Content!$A$1:$A$157,'Company Profile'!$B$9,_REF_Model_Content!$B$1:$B$157,"Legal Risk"))+_xlfn.IFNA(VLOOKUP('Company Profile'!$B$35,_CONFIG_Model_Settings!$A$11:$B$13,2,0),0))),"")</f>
        <v/>
      </c>
      <c r="AO126">
        <f>IF($AL126="","",MAX(0,ROUND($AN126-$AL126,2)))</f>
        <v/>
      </c>
      <c r="AP126">
        <f>IFERROR(SUMIFS(_REF_Model_Content!$E$1:$E$157,_REF_Model_Content!$A$1:$A$157,'Company Profile'!$B$9,_REF_Model_Content!$B$1:$B$157,"Legal Risk"),1)</f>
        <v/>
      </c>
      <c r="AQ126">
        <f>IF($AO126="","",ROUND($AO126*$AP126*($G126/5),2))</f>
        <v/>
      </c>
      <c r="AR126">
        <f>IF($AO126="","",IF($AO126&gt;=2,"Critical industry gap",IF($AO126&gt;=1,"High industry gap",IF($AO126&gt;=0.5,"Moderate industry gap","Within target"))))</f>
        <v/>
      </c>
      <c r="AS126">
        <f>IF(OR($H126="",$H126="N/A"),0,VALUE($H126)*(($AJ126+$AK126)/2)*$AV126)</f>
        <v/>
      </c>
      <c r="AT126">
        <f>IF(OR($H126="",$H126="N/A"),0,($AJ126+$AK126)/2)</f>
        <v/>
      </c>
      <c r="AU126">
        <f>'Assessment Questions'!AX126</f>
        <v/>
      </c>
      <c r="AV126">
        <f>IF(OR($H126="",$H126="N/A"),"",IF(OR($AU126="",$AU126="Everywhere",$AU126="Not applicable"),1,IF($AU126="Pilot / one team",0.4,IF($AU126="One unit or site",0.7,0.9))))</f>
        <v/>
      </c>
      <c r="AW126" t="inlineStr">
        <is>
          <t>Legal Risk</t>
        </is>
      </c>
      <c r="AX126" t="inlineStr">
        <is>
          <t>Legal Risk</t>
        </is>
      </c>
      <c r="AY126" t="n">
        <v>7</v>
      </c>
      <c r="AZ126" t="n">
        <v>126</v>
      </c>
    </row>
    <row r="127">
      <c r="A127" t="inlineStr">
        <is>
          <t>LEGA-004</t>
        </is>
      </c>
      <c r="B127" t="inlineStr">
        <is>
          <t>Compliance</t>
        </is>
      </c>
      <c r="C127" t="inlineStr">
        <is>
          <t>How mature is the organization in managing anti-bribery and corruption controls during emergency procurement and high-pressure sales, including ownership, evidence, metrics, fallback procedures and crisis stress testing?</t>
        </is>
      </c>
      <c r="D127" t="inlineStr">
        <is>
          <t>This topic affects exposure to Regulatory/legal shock; Contractual exposure; Data breach. It helps identify how disruption may impact operations, people, revenue, systems, legal exposure or recovery time.</t>
        </is>
      </c>
      <c r="E127" t="inlineStr">
        <is>
          <t>ISO 37301; ISO 31000; ISO 37001; ISO/IEC 27701; GDPR; contract management best practices</t>
        </is>
      </c>
      <c r="F127" t="inlineStr">
        <is>
          <t>Policy/SOP; owner/RACI; system report; dashboard; contracts; test records; incident history; interview evidence related to anti-bribery and corruption controls during emergency procurement and high-pressure sales.</t>
        </is>
      </c>
      <c r="G127">
        <f>'Assessment Questions'!J127</f>
        <v/>
      </c>
      <c r="H127">
        <f>IF($Z127="","",IF($Z127="N/A","N/A",VALUE(LEFT($Z127,1))))</f>
        <v/>
      </c>
      <c r="I127">
        <f>IF($H127="","",IF($H127="N/A","",VALUE($H127)/5*$G127))</f>
        <v/>
      </c>
      <c r="J127">
        <f>IF(OR($H127="",$H127="N/A"),"",$G127)</f>
        <v/>
      </c>
      <c r="K127">
        <f>IF(OR($H127="",$H127="N/A"),"",$J127-$I127)</f>
        <v/>
      </c>
      <c r="L127">
        <f>IF($H127="","",IF($H127="N/A","N/A",IF(VALUE($H127)&lt;=1,"Critical",IF(VALUE($H127)&lt;=2,"High",IF(VALUE($H127)&lt;=3,"Medium",IF(VALUE($H127)&lt;=4,"Low","Resilient"))))))</f>
        <v/>
      </c>
      <c r="M127" t="inlineStr">
        <is>
          <t>No reliable evidence that anti-bribery and corruption controls during emergency procurement and high-pressure sales is defined, owned or managed.</t>
        </is>
      </c>
      <c r="N127" t="inlineStr">
        <is>
          <t>Anti-bribery and corruption controls during emergency procurement and high-pressure sales is handled informally and depends on individual knowledge or heroic effort.</t>
        </is>
      </c>
      <c r="O127" t="inlineStr">
        <is>
          <t>Anti-bribery and corruption controls during emergency procurement and high-pressure sales is partially documented or implemented, but coverage is inconsistent and not crisis-tested.</t>
        </is>
      </c>
      <c r="P127" t="inlineStr">
        <is>
          <t>Anti-bribery and corruption controls during emergency procurement and high-pressure sales is documented, owned, used in normal operations and supported by basic evidence or metrics.</t>
        </is>
      </c>
      <c r="Q127" t="inlineStr">
        <is>
          <t>Anti-bribery and corruption controls during emergency procurement and high-pressure sales is measured, periodically reviewed, integrated with related processes and tested against relevant disruption scenarios.</t>
        </is>
      </c>
      <c r="R127" t="inlineStr">
        <is>
          <t>Anti-bribery and corruption controls during emergency procurement and high-pressure sales is optimized, continuously improved, automated where practical and demonstrably supports crisis resilience.</t>
        </is>
      </c>
      <c r="S127" t="inlineStr">
        <is>
          <t>Regulatory/legal shock; Contractual exposure; Data breach</t>
        </is>
      </c>
      <c r="T127">
        <f>'Assessment Questions'!W127</f>
        <v/>
      </c>
      <c r="U127">
        <f>'Assessment Questions'!X127</f>
        <v/>
      </c>
      <c r="V127">
        <f>'Assessment Questions'!Y127</f>
        <v/>
      </c>
      <c r="W127" t="n">
        <v>5</v>
      </c>
      <c r="X127" t="n">
        <v>5</v>
      </c>
      <c r="Y127" t="n">
        <v>5</v>
      </c>
      <c r="Z127">
        <f>'Assessment Questions'!AC127</f>
        <v/>
      </c>
      <c r="AA127" t="inlineStr">
        <is>
          <t>Employment law</t>
        </is>
      </c>
      <c r="AB127">
        <f>COUNTIF($B$124:$B$144,$AA127)</f>
        <v/>
      </c>
      <c r="AC127">
        <f>IFERROR(SUMPRODUCT(($B$124:$B$144=$AA127)*($H$124:$H$144&lt;&gt;"")*($H$124:$H$144&lt;&gt;"N/A")*IFERROR(VALUE($H$124:$H$144),0))/SUMPRODUCT(($B$124:$B$144=$AA127)*($H$124:$H$144&lt;&gt;"")*($H$124:$H$144&lt;&gt;"N/A")),0)</f>
        <v/>
      </c>
      <c r="AD127">
        <f>AC127/5</f>
        <v/>
      </c>
      <c r="AE127">
        <f>COUNTIFS($B$124:$B$144,$AA127,$L$124:$L$144,"Critical")+COUNTIFS($B$124:$B$144,$AA127,$L$124:$L$144,"High")</f>
        <v/>
      </c>
      <c r="AF127">
        <f>5-AC127</f>
        <v/>
      </c>
      <c r="AG127">
        <f>SUMPRODUCT(($B$124:$B$144=$AA127)*(ISNUMBER($H$124:$H$144)+($H$124:$H$144="N/A")))</f>
        <v/>
      </c>
      <c r="AH127">
        <f>'Assessment Questions'!AK127</f>
        <v/>
      </c>
      <c r="AI127">
        <f>'Assessment Questions'!AL127</f>
        <v/>
      </c>
      <c r="AJ127">
        <f>IF(OR($H127="",$H127="N/A"),"",IF($AH127="",VLOOKUP('Company Profile'!$B$40,_CONFIG_Model_Settings!$A$5:$B$8,2,FALSE),_xlfn.IFNA(VLOOKUP($AH127,_CONFIG_Model_Settings!$A$5:$B$8,2,FALSE),0.9)))</f>
        <v/>
      </c>
      <c r="AK127">
        <f>IF(OR($H127="",$H127="N/A"),"",IF($AI127="",VLOOKUP('Company Profile'!$B$41,_CONFIG_Model_Settings!$A$5:$B$8,2,FALSE),_xlfn.IFNA(VLOOKUP($AI127,_CONFIG_Model_Settings!$A$5:$B$8,2,FALSE),0.9)))</f>
        <v/>
      </c>
      <c r="AL127">
        <f>IF(OR($H127="",$H127="N/A"),"",ROUND(VALUE($H127)*$AJ127*$AK127*$AV127,2))</f>
        <v/>
      </c>
      <c r="AM127">
        <f>IF($AL127="","",ROUND($AL127/5*100,1))</f>
        <v/>
      </c>
      <c r="AN127">
        <f>IFERROR(MIN(5,MAX(0,(SUMIFS(_REF_Model_Content!$D$1:$D$157,_REF_Model_Content!$A$1:$A$157,'Company Profile'!$B$9,_REF_Model_Content!$B$1:$B$157,"Legal Risk"))+_xlfn.IFNA(VLOOKUP('Company Profile'!$B$35,_CONFIG_Model_Settings!$A$11:$B$13,2,0),0))),"")</f>
        <v/>
      </c>
      <c r="AO127">
        <f>IF($AL127="","",MAX(0,ROUND($AN127-$AL127,2)))</f>
        <v/>
      </c>
      <c r="AP127">
        <f>IFERROR(SUMIFS(_REF_Model_Content!$E$1:$E$157,_REF_Model_Content!$A$1:$A$157,'Company Profile'!$B$9,_REF_Model_Content!$B$1:$B$157,"Legal Risk"),1)</f>
        <v/>
      </c>
      <c r="AQ127">
        <f>IF($AO127="","",ROUND($AO127*$AP127*($G127/5),2))</f>
        <v/>
      </c>
      <c r="AR127">
        <f>IF($AO127="","",IF($AO127&gt;=2,"Critical industry gap",IF($AO127&gt;=1,"High industry gap",IF($AO127&gt;=0.5,"Moderate industry gap","Within target"))))</f>
        <v/>
      </c>
      <c r="AS127">
        <f>IF(OR($H127="",$H127="N/A"),0,VALUE($H127)*(($AJ127+$AK127)/2)*$AV127)</f>
        <v/>
      </c>
      <c r="AT127">
        <f>IF(OR($H127="",$H127="N/A"),0,($AJ127+$AK127)/2)</f>
        <v/>
      </c>
      <c r="AU127">
        <f>'Assessment Questions'!AX127</f>
        <v/>
      </c>
      <c r="AV127">
        <f>IF(OR($H127="",$H127="N/A"),"",IF(OR($AU127="",$AU127="Everywhere",$AU127="Not applicable"),1,IF($AU127="Pilot / one team",0.4,IF($AU127="One unit or site",0.7,0.9))))</f>
        <v/>
      </c>
      <c r="AW127" t="inlineStr">
        <is>
          <t>Legal Risk</t>
        </is>
      </c>
      <c r="AX127" t="inlineStr">
        <is>
          <t>Legal Risk</t>
        </is>
      </c>
      <c r="AY127" t="n">
        <v>8</v>
      </c>
      <c r="AZ127" t="n">
        <v>127</v>
      </c>
    </row>
    <row r="128">
      <c r="A128" t="inlineStr">
        <is>
          <t>LEGA-005</t>
        </is>
      </c>
      <c r="B128" t="inlineStr">
        <is>
          <t>Compliance</t>
        </is>
      </c>
      <c r="C128" t="inlineStr">
        <is>
          <t>How mature is the organization in managing whistleblowing and misconduct reporting mechanism with investigation process, including ownership, evidence, metrics, fallback procedures and crisis stress testing?</t>
        </is>
      </c>
      <c r="D128" t="inlineStr">
        <is>
          <t>This topic affects exposure to Regulatory/legal shock; Contractual exposure; Data breach. It helps identify how disruption may impact operations, people, revenue, systems, legal exposure or recovery time.</t>
        </is>
      </c>
      <c r="E128" t="inlineStr">
        <is>
          <t>ISO 37301; ISO 31000; ISO 37001; ISO/IEC 27701; GDPR; contract management best practices</t>
        </is>
      </c>
      <c r="F128" t="inlineStr">
        <is>
          <t>Policy/SOP; owner/RACI; system report; dashboard; contracts; test records; incident history; interview evidence related to whistleblowing and misconduct reporting mechanism with investigation process.</t>
        </is>
      </c>
      <c r="G128">
        <f>'Assessment Questions'!J128</f>
        <v/>
      </c>
      <c r="H128">
        <f>IF($Z128="","",IF($Z128="N/A","N/A",VALUE(LEFT($Z128,1))))</f>
        <v/>
      </c>
      <c r="I128">
        <f>IF($H128="","",IF($H128="N/A","",VALUE($H128)/5*$G128))</f>
        <v/>
      </c>
      <c r="J128">
        <f>IF(OR($H128="",$H128="N/A"),"",$G128)</f>
        <v/>
      </c>
      <c r="K128">
        <f>IF(OR($H128="",$H128="N/A"),"",$J128-$I128)</f>
        <v/>
      </c>
      <c r="L128">
        <f>IF($H128="","",IF($H128="N/A","N/A",IF(VALUE($H128)&lt;=1,"Critical",IF(VALUE($H128)&lt;=2,"High",IF(VALUE($H128)&lt;=3,"Medium",IF(VALUE($H128)&lt;=4,"Low","Resilient"))))))</f>
        <v/>
      </c>
      <c r="M128" t="inlineStr">
        <is>
          <t>No reliable evidence that whistleblowing and misconduct reporting mechanism with investigation process is defined, owned or managed.</t>
        </is>
      </c>
      <c r="N128" t="inlineStr">
        <is>
          <t>Whistleblowing and misconduct reporting mechanism with investigation process is handled informally and depends on individual knowledge or heroic effort.</t>
        </is>
      </c>
      <c r="O128" t="inlineStr">
        <is>
          <t>Whistleblowing and misconduct reporting mechanism with investigation process is partially documented or implemented, but coverage is inconsistent and not crisis-tested.</t>
        </is>
      </c>
      <c r="P128" t="inlineStr">
        <is>
          <t>Whistleblowing and misconduct reporting mechanism with investigation process is documented, owned, used in normal operations and supported by basic evidence or metrics.</t>
        </is>
      </c>
      <c r="Q128" t="inlineStr">
        <is>
          <t>Whistleblowing and misconduct reporting mechanism with investigation process is measured, periodically reviewed, integrated with related processes and tested against relevant disruption scenarios.</t>
        </is>
      </c>
      <c r="R128" t="inlineStr">
        <is>
          <t>Whistleblowing and misconduct reporting mechanism with investigation process is optimized, continuously improved, automated where practical and demonstrably supports crisis resilience.</t>
        </is>
      </c>
      <c r="S128" t="inlineStr">
        <is>
          <t>Regulatory/legal shock; Contractual exposure; Data breach</t>
        </is>
      </c>
      <c r="T128">
        <f>'Assessment Questions'!W128</f>
        <v/>
      </c>
      <c r="U128">
        <f>'Assessment Questions'!X128</f>
        <v/>
      </c>
      <c r="V128">
        <f>'Assessment Questions'!Y128</f>
        <v/>
      </c>
      <c r="W128" t="n">
        <v>5</v>
      </c>
      <c r="X128" t="n">
        <v>5</v>
      </c>
      <c r="Y128" t="n">
        <v>5</v>
      </c>
      <c r="Z128">
        <f>'Assessment Questions'!AC128</f>
        <v/>
      </c>
      <c r="AB128">
        <f>COUNTIF($B$124:$B$144,$AA128)</f>
        <v/>
      </c>
      <c r="AC128">
        <f>IFERROR(SUMPRODUCT(($B$124:$B$144=$AA128)*($H$124:$H$144&lt;&gt;"")*($H$124:$H$144&lt;&gt;"N/A")*IFERROR(VALUE($H$124:$H$144),0))/SUMPRODUCT(($B$124:$B$144=$AA128)*($H$124:$H$144&lt;&gt;"")*($H$124:$H$144&lt;&gt;"N/A")),0)</f>
        <v/>
      </c>
      <c r="AD128">
        <f>AC128/5</f>
        <v/>
      </c>
      <c r="AE128">
        <f>COUNTIFS($B$124:$B$144,$AA128,$L$124:$L$144,"Critical")+COUNTIFS($B$124:$B$144,$AA128,$L$124:$L$144,"High")</f>
        <v/>
      </c>
      <c r="AF128">
        <f>5-AC128</f>
        <v/>
      </c>
      <c r="AG128">
        <f>SUMPRODUCT(($B$124:$B$144=$AA128)*(ISNUMBER($H$124:$H$144)+($H$124:$H$144="N/A")))</f>
        <v/>
      </c>
      <c r="AH128">
        <f>'Assessment Questions'!AK128</f>
        <v/>
      </c>
      <c r="AI128">
        <f>'Assessment Questions'!AL128</f>
        <v/>
      </c>
      <c r="AJ128">
        <f>IF(OR($H128="",$H128="N/A"),"",IF($AH128="",VLOOKUP('Company Profile'!$B$40,_CONFIG_Model_Settings!$A$5:$B$8,2,FALSE),_xlfn.IFNA(VLOOKUP($AH128,_CONFIG_Model_Settings!$A$5:$B$8,2,FALSE),0.9)))</f>
        <v/>
      </c>
      <c r="AK128">
        <f>IF(OR($H128="",$H128="N/A"),"",IF($AI128="",VLOOKUP('Company Profile'!$B$41,_CONFIG_Model_Settings!$A$5:$B$8,2,FALSE),_xlfn.IFNA(VLOOKUP($AI128,_CONFIG_Model_Settings!$A$5:$B$8,2,FALSE),0.9)))</f>
        <v/>
      </c>
      <c r="AL128">
        <f>IF(OR($H128="",$H128="N/A"),"",ROUND(VALUE($H128)*$AJ128*$AK128*$AV128,2))</f>
        <v/>
      </c>
      <c r="AM128">
        <f>IF($AL128="","",ROUND($AL128/5*100,1))</f>
        <v/>
      </c>
      <c r="AN128">
        <f>IFERROR(MIN(5,MAX(0,(SUMIFS(_REF_Model_Content!$D$1:$D$157,_REF_Model_Content!$A$1:$A$157,'Company Profile'!$B$9,_REF_Model_Content!$B$1:$B$157,"Legal Risk"))+_xlfn.IFNA(VLOOKUP('Company Profile'!$B$35,_CONFIG_Model_Settings!$A$11:$B$13,2,0),0))),"")</f>
        <v/>
      </c>
      <c r="AO128">
        <f>IF($AL128="","",MAX(0,ROUND($AN128-$AL128,2)))</f>
        <v/>
      </c>
      <c r="AP128">
        <f>IFERROR(SUMIFS(_REF_Model_Content!$E$1:$E$157,_REF_Model_Content!$A$1:$A$157,'Company Profile'!$B$9,_REF_Model_Content!$B$1:$B$157,"Legal Risk"),1)</f>
        <v/>
      </c>
      <c r="AQ128">
        <f>IF($AO128="","",ROUND($AO128*$AP128*($G128/5),2))</f>
        <v/>
      </c>
      <c r="AR128">
        <f>IF($AO128="","",IF($AO128&gt;=2,"Critical industry gap",IF($AO128&gt;=1,"High industry gap",IF($AO128&gt;=0.5,"Moderate industry gap","Within target"))))</f>
        <v/>
      </c>
      <c r="AS128">
        <f>IF(OR($H128="",$H128="N/A"),0,VALUE($H128)*(($AJ128+$AK128)/2)*$AV128)</f>
        <v/>
      </c>
      <c r="AT128">
        <f>IF(OR($H128="",$H128="N/A"),0,($AJ128+$AK128)/2)</f>
        <v/>
      </c>
      <c r="AU128">
        <f>'Assessment Questions'!AX128</f>
        <v/>
      </c>
      <c r="AV128">
        <f>IF(OR($H128="",$H128="N/A"),"",IF(OR($AU128="",$AU128="Everywhere",$AU128="Not applicable"),1,IF($AU128="Pilot / one team",0.4,IF($AU128="One unit or site",0.7,0.9))))</f>
        <v/>
      </c>
      <c r="AW128" t="inlineStr">
        <is>
          <t>Legal Risk</t>
        </is>
      </c>
      <c r="AX128" t="inlineStr">
        <is>
          <t>Legal Risk</t>
        </is>
      </c>
      <c r="AY128" t="n">
        <v>9</v>
      </c>
      <c r="AZ128" t="n">
        <v>128</v>
      </c>
    </row>
    <row r="129">
      <c r="A129" t="inlineStr">
        <is>
          <t>LEGA-006</t>
        </is>
      </c>
      <c r="B129" t="inlineStr">
        <is>
          <t>Compliance</t>
        </is>
      </c>
      <c r="C129" t="inlineStr">
        <is>
          <t>How mature is the organization in managing legal support continuity if internal or external counsel is unavailable, including ownership, evidence, metrics, fallback procedures and crisis stress testing?</t>
        </is>
      </c>
      <c r="D129" t="inlineStr">
        <is>
          <t>This topic affects exposure to Regulatory/legal shock; Contractual exposure; Data breach. It helps identify how disruption may impact operations, people, revenue, systems, legal exposure or recovery time.</t>
        </is>
      </c>
      <c r="E129" t="inlineStr">
        <is>
          <t>ISO 37301; ISO 31000; ISO 37001; ISO/IEC 27701; GDPR; contract management best practices</t>
        </is>
      </c>
      <c r="F129" t="inlineStr">
        <is>
          <t>Policy/SOP; owner/RACI; system report; dashboard; contracts; test records; incident history; interview evidence related to legal support continuity if internal or external counsel is unavailable.</t>
        </is>
      </c>
      <c r="G129">
        <f>'Assessment Questions'!J129</f>
        <v/>
      </c>
      <c r="H129">
        <f>IF($Z129="","",IF($Z129="N/A","N/A",VALUE(LEFT($Z129,1))))</f>
        <v/>
      </c>
      <c r="I129">
        <f>IF($H129="","",IF($H129="N/A","",VALUE($H129)/5*$G129))</f>
        <v/>
      </c>
      <c r="J129">
        <f>IF(OR($H129="",$H129="N/A"),"",$G129)</f>
        <v/>
      </c>
      <c r="K129">
        <f>IF(OR($H129="",$H129="N/A"),"",$J129-$I129)</f>
        <v/>
      </c>
      <c r="L129">
        <f>IF($H129="","",IF($H129="N/A","N/A",IF(VALUE($H129)&lt;=1,"Critical",IF(VALUE($H129)&lt;=2,"High",IF(VALUE($H129)&lt;=3,"Medium",IF(VALUE($H129)&lt;=4,"Low","Resilient"))))))</f>
        <v/>
      </c>
      <c r="M129" t="inlineStr">
        <is>
          <t>Does not exist; no owner, no documentation, no practice.</t>
        </is>
      </c>
      <c r="N129" t="inlineStr">
        <is>
          <t>Ad hoc; depends entirely on specific individuals.</t>
        </is>
      </c>
      <c r="O129" t="inlineStr">
        <is>
          <t>Partially documented or implemented; coverage inconsistent; never tested under stress.</t>
        </is>
      </c>
      <c r="P129" t="inlineStr">
        <is>
          <t>Documented, owned, executed consistently; basic evidence and metrics exist.</t>
        </is>
      </c>
      <c r="Q129" t="inlineStr">
        <is>
          <t>Measured and periodically tested/audited; integrated with adjacent processes.</t>
        </is>
      </c>
      <c r="R129" t="inlineStr">
        <is>
          <t>Optimized and automated where practical; stress-tested; benchmarked externally.</t>
        </is>
      </c>
      <c r="S129" t="inlineStr">
        <is>
          <t>Regulatory/legal shock; Contractual exposure; Data breach</t>
        </is>
      </c>
      <c r="T129">
        <f>'Assessment Questions'!W129</f>
        <v/>
      </c>
      <c r="U129">
        <f>'Assessment Questions'!X129</f>
        <v/>
      </c>
      <c r="V129">
        <f>'Assessment Questions'!Y129</f>
        <v/>
      </c>
      <c r="W129" t="n">
        <v>5</v>
      </c>
      <c r="X129" t="n">
        <v>5</v>
      </c>
      <c r="Y129" t="n">
        <v>5</v>
      </c>
      <c r="Z129">
        <f>'Assessment Questions'!AC129</f>
        <v/>
      </c>
      <c r="AB129">
        <f>COUNTIF($B$124:$B$144,$AA129)</f>
        <v/>
      </c>
      <c r="AC129">
        <f>IFERROR(SUMPRODUCT(($B$124:$B$144=$AA129)*($H$124:$H$144&lt;&gt;"")*($H$124:$H$144&lt;&gt;"N/A")*IFERROR(VALUE($H$124:$H$144),0))/SUMPRODUCT(($B$124:$B$144=$AA129)*($H$124:$H$144&lt;&gt;"")*($H$124:$H$144&lt;&gt;"N/A")),0)</f>
        <v/>
      </c>
      <c r="AD129">
        <f>AC129/5</f>
        <v/>
      </c>
      <c r="AE129">
        <f>COUNTIFS($B$124:$B$144,$AA129,$L$124:$L$144,"Critical")+COUNTIFS($B$124:$B$144,$AA129,$L$124:$L$144,"High")</f>
        <v/>
      </c>
      <c r="AF129">
        <f>5-AC129</f>
        <v/>
      </c>
      <c r="AG129">
        <f>SUMPRODUCT(($B$124:$B$144=$AA129)*(ISNUMBER($H$124:$H$144)+($H$124:$H$144="N/A")))</f>
        <v/>
      </c>
      <c r="AH129">
        <f>'Assessment Questions'!AK129</f>
        <v/>
      </c>
      <c r="AI129">
        <f>'Assessment Questions'!AL129</f>
        <v/>
      </c>
      <c r="AJ129">
        <f>IF(OR($H129="",$H129="N/A"),"",IF($AH129="",VLOOKUP('Company Profile'!$B$40,_CONFIG_Model_Settings!$A$5:$B$8,2,FALSE),_xlfn.IFNA(VLOOKUP($AH129,_CONFIG_Model_Settings!$A$5:$B$8,2,FALSE),0.9)))</f>
        <v/>
      </c>
      <c r="AK129">
        <f>IF(OR($H129="",$H129="N/A"),"",IF($AI129="",VLOOKUP('Company Profile'!$B$41,_CONFIG_Model_Settings!$A$5:$B$8,2,FALSE),_xlfn.IFNA(VLOOKUP($AI129,_CONFIG_Model_Settings!$A$5:$B$8,2,FALSE),0.9)))</f>
        <v/>
      </c>
      <c r="AL129">
        <f>IF(OR($H129="",$H129="N/A"),"",ROUND(VALUE($H129)*$AJ129*$AK129*$AV129,2))</f>
        <v/>
      </c>
      <c r="AM129">
        <f>IF($AL129="","",ROUND($AL129/5*100,1))</f>
        <v/>
      </c>
      <c r="AN129">
        <f>IFERROR(MIN(5,MAX(0,(SUMIFS(_REF_Model_Content!$D$1:$D$157,_REF_Model_Content!$A$1:$A$157,'Company Profile'!$B$9,_REF_Model_Content!$B$1:$B$157,"Legal Risk"))+_xlfn.IFNA(VLOOKUP('Company Profile'!$B$35,_CONFIG_Model_Settings!$A$11:$B$13,2,0),0))),"")</f>
        <v/>
      </c>
      <c r="AO129">
        <f>IF($AL129="","",MAX(0,ROUND($AN129-$AL129,2)))</f>
        <v/>
      </c>
      <c r="AP129">
        <f>IFERROR(SUMIFS(_REF_Model_Content!$E$1:$E$157,_REF_Model_Content!$A$1:$A$157,'Company Profile'!$B$9,_REF_Model_Content!$B$1:$B$157,"Legal Risk"),1)</f>
        <v/>
      </c>
      <c r="AQ129">
        <f>IF($AO129="","",ROUND($AO129*$AP129*($G129/5),2))</f>
        <v/>
      </c>
      <c r="AR129">
        <f>IF($AO129="","",IF($AO129&gt;=2,"Critical industry gap",IF($AO129&gt;=1,"High industry gap",IF($AO129&gt;=0.5,"Moderate industry gap","Within target"))))</f>
        <v/>
      </c>
      <c r="AS129">
        <f>IF(OR($H129="",$H129="N/A"),0,VALUE($H129)*(($AJ129+$AK129)/2)*$AV129)</f>
        <v/>
      </c>
      <c r="AT129">
        <f>IF(OR($H129="",$H129="N/A"),0,($AJ129+$AK129)/2)</f>
        <v/>
      </c>
      <c r="AU129">
        <f>'Assessment Questions'!AX129</f>
        <v/>
      </c>
      <c r="AV129">
        <f>IF(OR($H129="",$H129="N/A"),"",IF(OR($AU129="",$AU129="Everywhere",$AU129="Not applicable"),1,IF($AU129="Pilot / one team",0.4,IF($AU129="One unit or site",0.7,0.9))))</f>
        <v/>
      </c>
      <c r="AW129" t="inlineStr">
        <is>
          <t>Legal Risk</t>
        </is>
      </c>
      <c r="AX129" t="inlineStr">
        <is>
          <t>Legal Risk</t>
        </is>
      </c>
      <c r="AY129" t="n">
        <v>10</v>
      </c>
      <c r="AZ129" t="n">
        <v>129</v>
      </c>
    </row>
    <row r="130">
      <c r="A130" t="inlineStr">
        <is>
          <t>LEGA-007</t>
        </is>
      </c>
      <c r="B130" t="inlineStr">
        <is>
          <t>Contracts</t>
        </is>
      </c>
      <c r="C130" t="inlineStr">
        <is>
          <t>How mature is the organization in managing complete contract register for customers, suppliers, leases, loans, employment, insurance and IP, including ownership, evidence, metrics, fallback procedures and crisis stress testing?</t>
        </is>
      </c>
      <c r="D130" t="inlineStr">
        <is>
          <t>This topic affects exposure to Regulatory/legal shock; Contractual exposure; Data breach. It helps identify how disruption may impact operations, people, revenue, systems, legal exposure or recovery time.</t>
        </is>
      </c>
      <c r="E130" t="inlineStr">
        <is>
          <t>ISO 37301; ISO 31000; ISO 37001; ISO/IEC 27701; GDPR; contract management best practices</t>
        </is>
      </c>
      <c r="F130" t="inlineStr">
        <is>
          <t>Policy/SOP; owner/RACI; system report; dashboard; contracts; test records; incident history; interview evidence related to complete contract register for customers, suppliers, leases, loans, employment, insurance and IP.</t>
        </is>
      </c>
      <c r="G130">
        <f>'Assessment Questions'!J130</f>
        <v/>
      </c>
      <c r="H130">
        <f>IF($Z130="","",IF($Z130="N/A","N/A",VALUE(LEFT($Z130,1))))</f>
        <v/>
      </c>
      <c r="I130">
        <f>IF($H130="","",IF($H130="N/A","",VALUE($H130)/5*$G130))</f>
        <v/>
      </c>
      <c r="J130">
        <f>IF(OR($H130="",$H130="N/A"),"",$G130)</f>
        <v/>
      </c>
      <c r="K130">
        <f>IF(OR($H130="",$H130="N/A"),"",$J130-$I130)</f>
        <v/>
      </c>
      <c r="L130">
        <f>IF($H130="","",IF($H130="N/A","N/A",IF(VALUE($H130)&lt;=1,"Critical",IF(VALUE($H130)&lt;=2,"High",IF(VALUE($H130)&lt;=3,"Medium",IF(VALUE($H130)&lt;=4,"Low","Resilient"))))))</f>
        <v/>
      </c>
      <c r="M130" t="inlineStr">
        <is>
          <t>No inventory/register exists.</t>
        </is>
      </c>
      <c r="N130" t="inlineStr">
        <is>
          <t>Partial lists live in individuals' heads or personal files.</t>
        </is>
      </c>
      <c r="O130" t="inlineStr">
        <is>
          <t>A register exists but is incomplete or outdated (&gt;1 year) and has no owner.</t>
        </is>
      </c>
      <c r="P130" t="inlineStr">
        <is>
          <t>Owned, documented, updated on a defined schedule, covers the main scope.</t>
        </is>
      </c>
      <c r="Q130" t="inlineStr">
        <is>
          <t>Complete and periodically reviewed; integrated with related processes; completeness measured.</t>
        </is>
      </c>
      <c r="R130" t="inlineStr">
        <is>
          <t>Maintained automatically or synced with systems; drives decisions; audited.</t>
        </is>
      </c>
      <c r="S130" t="inlineStr">
        <is>
          <t>Regulatory/legal shock; Contractual exposure; Data breach</t>
        </is>
      </c>
      <c r="T130">
        <f>'Assessment Questions'!W130</f>
        <v/>
      </c>
      <c r="U130">
        <f>'Assessment Questions'!X130</f>
        <v/>
      </c>
      <c r="V130">
        <f>'Assessment Questions'!Y130</f>
        <v/>
      </c>
      <c r="W130" t="n">
        <v>5</v>
      </c>
      <c r="X130" t="n">
        <v>5</v>
      </c>
      <c r="Y130" t="n">
        <v>5</v>
      </c>
      <c r="Z130">
        <f>'Assessment Questions'!AC130</f>
        <v/>
      </c>
      <c r="AB130">
        <f>COUNTIF($B$124:$B$144,$AA130)</f>
        <v/>
      </c>
      <c r="AC130">
        <f>IFERROR(SUMPRODUCT(($B$124:$B$144=$AA130)*($H$124:$H$144&lt;&gt;"")*($H$124:$H$144&lt;&gt;"N/A")*IFERROR(VALUE($H$124:$H$144),0))/SUMPRODUCT(($B$124:$B$144=$AA130)*($H$124:$H$144&lt;&gt;"")*($H$124:$H$144&lt;&gt;"N/A")),0)</f>
        <v/>
      </c>
      <c r="AD130">
        <f>AC130/5</f>
        <v/>
      </c>
      <c r="AE130">
        <f>COUNTIFS($B$124:$B$144,$AA130,$L$124:$L$144,"Critical")+COUNTIFS($B$124:$B$144,$AA130,$L$124:$L$144,"High")</f>
        <v/>
      </c>
      <c r="AF130">
        <f>5-AC130</f>
        <v/>
      </c>
      <c r="AG130">
        <f>SUMPRODUCT(($B$124:$B$144=$AA130)*(ISNUMBER($H$124:$H$144)+($H$124:$H$144="N/A")))</f>
        <v/>
      </c>
      <c r="AH130">
        <f>'Assessment Questions'!AK130</f>
        <v/>
      </c>
      <c r="AI130">
        <f>'Assessment Questions'!AL130</f>
        <v/>
      </c>
      <c r="AJ130">
        <f>IF(OR($H130="",$H130="N/A"),"",IF($AH130="",VLOOKUP('Company Profile'!$B$40,_CONFIG_Model_Settings!$A$5:$B$8,2,FALSE),_xlfn.IFNA(VLOOKUP($AH130,_CONFIG_Model_Settings!$A$5:$B$8,2,FALSE),0.9)))</f>
        <v/>
      </c>
      <c r="AK130">
        <f>IF(OR($H130="",$H130="N/A"),"",IF($AI130="",VLOOKUP('Company Profile'!$B$41,_CONFIG_Model_Settings!$A$5:$B$8,2,FALSE),_xlfn.IFNA(VLOOKUP($AI130,_CONFIG_Model_Settings!$A$5:$B$8,2,FALSE),0.9)))</f>
        <v/>
      </c>
      <c r="AL130">
        <f>IF(OR($H130="",$H130="N/A"),"",ROUND(VALUE($H130)*$AJ130*$AK130*$AV130,2))</f>
        <v/>
      </c>
      <c r="AM130">
        <f>IF($AL130="","",ROUND($AL130/5*100,1))</f>
        <v/>
      </c>
      <c r="AN130">
        <f>IFERROR(MIN(5,MAX(0,(SUMIFS(_REF_Model_Content!$D$1:$D$157,_REF_Model_Content!$A$1:$A$157,'Company Profile'!$B$9,_REF_Model_Content!$B$1:$B$157,"Legal Risk"))+_xlfn.IFNA(VLOOKUP('Company Profile'!$B$35,_CONFIG_Model_Settings!$A$11:$B$13,2,0),0))),"")</f>
        <v/>
      </c>
      <c r="AO130">
        <f>IF($AL130="","",MAX(0,ROUND($AN130-$AL130,2)))</f>
        <v/>
      </c>
      <c r="AP130">
        <f>IFERROR(SUMIFS(_REF_Model_Content!$E$1:$E$157,_REF_Model_Content!$A$1:$A$157,'Company Profile'!$B$9,_REF_Model_Content!$B$1:$B$157,"Legal Risk"),1)</f>
        <v/>
      </c>
      <c r="AQ130">
        <f>IF($AO130="","",ROUND($AO130*$AP130*($G130/5),2))</f>
        <v/>
      </c>
      <c r="AR130">
        <f>IF($AO130="","",IF($AO130&gt;=2,"Critical industry gap",IF($AO130&gt;=1,"High industry gap",IF($AO130&gt;=0.5,"Moderate industry gap","Within target"))))</f>
        <v/>
      </c>
      <c r="AS130">
        <f>IF(OR($H130="",$H130="N/A"),0,VALUE($H130)*(($AJ130+$AK130)/2)*$AV130)</f>
        <v/>
      </c>
      <c r="AT130">
        <f>IF(OR($H130="",$H130="N/A"),0,($AJ130+$AK130)/2)</f>
        <v/>
      </c>
      <c r="AU130">
        <f>'Assessment Questions'!AX130</f>
        <v/>
      </c>
      <c r="AV130">
        <f>IF(OR($H130="",$H130="N/A"),"",IF(OR($AU130="",$AU130="Everywhere",$AU130="Not applicable"),1,IF($AU130="Pilot / one team",0.4,IF($AU130="One unit or site",0.7,0.9))))</f>
        <v/>
      </c>
      <c r="AW130" t="inlineStr">
        <is>
          <t>Legal Risk</t>
        </is>
      </c>
      <c r="AX130" t="inlineStr">
        <is>
          <t>Legal Risk</t>
        </is>
      </c>
      <c r="AY130" t="n">
        <v>11</v>
      </c>
      <c r="AZ130" t="n">
        <v>130</v>
      </c>
    </row>
    <row r="131">
      <c r="A131" t="inlineStr">
        <is>
          <t>LEGA-008</t>
        </is>
      </c>
      <c r="B131" t="inlineStr">
        <is>
          <t>Contracts</t>
        </is>
      </c>
      <c r="C131" t="inlineStr">
        <is>
          <t>How mature is the organization in managing analysis of force majeure, hardship, termination, liability and continuity clauses in critical contracts, including ownership, evidence, metrics, fallback procedures and crisis stress testing?</t>
        </is>
      </c>
      <c r="D131" t="inlineStr">
        <is>
          <t>This topic affects exposure to Regulatory/legal shock; Contractual exposure; Data breach. It helps identify how disruption may impact operations, people, revenue, systems, legal exposure or recovery time.</t>
        </is>
      </c>
      <c r="E131" t="inlineStr">
        <is>
          <t>ISO 37301; ISO 31000; ISO 37001; ISO/IEC 27701; GDPR; contract management best practices</t>
        </is>
      </c>
      <c r="F131" t="inlineStr">
        <is>
          <t>Policy/SOP; owner/RACI; system report; dashboard; contracts; test records; incident history; interview evidence related to analysis of force majeure, hardship, termination, liability and continuity clauses in critical contracts.</t>
        </is>
      </c>
      <c r="G131">
        <f>'Assessment Questions'!J131</f>
        <v/>
      </c>
      <c r="H131">
        <f>IF($Z131="","",IF($Z131="N/A","N/A",VALUE(LEFT($Z131,1))))</f>
        <v/>
      </c>
      <c r="I131">
        <f>IF($H131="","",IF($H131="N/A","",VALUE($H131)/5*$G131))</f>
        <v/>
      </c>
      <c r="J131">
        <f>IF(OR($H131="",$H131="N/A"),"",$G131)</f>
        <v/>
      </c>
      <c r="K131">
        <f>IF(OR($H131="",$H131="N/A"),"",$J131-$I131)</f>
        <v/>
      </c>
      <c r="L131">
        <f>IF($H131="","",IF($H131="N/A","N/A",IF(VALUE($H131)&lt;=1,"Critical",IF(VALUE($H131)&lt;=2,"High",IF(VALUE($H131)&lt;=3,"Medium",IF(VALUE($H131)&lt;=4,"Low","Resilient"))))))</f>
        <v/>
      </c>
      <c r="M131" t="inlineStr">
        <is>
          <t>Does not exist; no owner, no documentation, no practice.</t>
        </is>
      </c>
      <c r="N131" t="inlineStr">
        <is>
          <t>Ad hoc; depends entirely on specific individuals.</t>
        </is>
      </c>
      <c r="O131" t="inlineStr">
        <is>
          <t>Partially documented or implemented; coverage inconsistent; never tested under stress.</t>
        </is>
      </c>
      <c r="P131" t="inlineStr">
        <is>
          <t>Documented, owned, executed consistently; basic evidence and metrics exist.</t>
        </is>
      </c>
      <c r="Q131" t="inlineStr">
        <is>
          <t>Measured and periodically tested/audited; integrated with adjacent processes.</t>
        </is>
      </c>
      <c r="R131" t="inlineStr">
        <is>
          <t>Optimized and automated where practical; stress-tested; benchmarked externally.</t>
        </is>
      </c>
      <c r="S131" t="inlineStr">
        <is>
          <t>Regulatory/legal shock; Contractual exposure; Data breach</t>
        </is>
      </c>
      <c r="T131">
        <f>'Assessment Questions'!W131</f>
        <v/>
      </c>
      <c r="U131">
        <f>'Assessment Questions'!X131</f>
        <v/>
      </c>
      <c r="V131">
        <f>'Assessment Questions'!Y131</f>
        <v/>
      </c>
      <c r="W131" t="n">
        <v>5</v>
      </c>
      <c r="X131" t="n">
        <v>5</v>
      </c>
      <c r="Y131" t="n">
        <v>5</v>
      </c>
      <c r="Z131">
        <f>'Assessment Questions'!AC131</f>
        <v/>
      </c>
      <c r="AB131">
        <f>COUNTIF($B$124:$B$144,$AA131)</f>
        <v/>
      </c>
      <c r="AC131">
        <f>IFERROR(SUMPRODUCT(($B$124:$B$144=$AA131)*($H$124:$H$144&lt;&gt;"")*($H$124:$H$144&lt;&gt;"N/A")*IFERROR(VALUE($H$124:$H$144),0))/SUMPRODUCT(($B$124:$B$144=$AA131)*($H$124:$H$144&lt;&gt;"")*($H$124:$H$144&lt;&gt;"N/A")),0)</f>
        <v/>
      </c>
      <c r="AD131">
        <f>AC131/5</f>
        <v/>
      </c>
      <c r="AE131">
        <f>COUNTIFS($B$124:$B$144,$AA131,$L$124:$L$144,"Critical")+COUNTIFS($B$124:$B$144,$AA131,$L$124:$L$144,"High")</f>
        <v/>
      </c>
      <c r="AF131">
        <f>5-AC131</f>
        <v/>
      </c>
      <c r="AG131">
        <f>SUMPRODUCT(($B$124:$B$144=$AA131)*(ISNUMBER($H$124:$H$144)+($H$124:$H$144="N/A")))</f>
        <v/>
      </c>
      <c r="AH131">
        <f>'Assessment Questions'!AK131</f>
        <v/>
      </c>
      <c r="AI131">
        <f>'Assessment Questions'!AL131</f>
        <v/>
      </c>
      <c r="AJ131">
        <f>IF(OR($H131="",$H131="N/A"),"",IF($AH131="",VLOOKUP('Company Profile'!$B$40,_CONFIG_Model_Settings!$A$5:$B$8,2,FALSE),_xlfn.IFNA(VLOOKUP($AH131,_CONFIG_Model_Settings!$A$5:$B$8,2,FALSE),0.9)))</f>
        <v/>
      </c>
      <c r="AK131">
        <f>IF(OR($H131="",$H131="N/A"),"",IF($AI131="",VLOOKUP('Company Profile'!$B$41,_CONFIG_Model_Settings!$A$5:$B$8,2,FALSE),_xlfn.IFNA(VLOOKUP($AI131,_CONFIG_Model_Settings!$A$5:$B$8,2,FALSE),0.9)))</f>
        <v/>
      </c>
      <c r="AL131">
        <f>IF(OR($H131="",$H131="N/A"),"",ROUND(VALUE($H131)*$AJ131*$AK131*$AV131,2))</f>
        <v/>
      </c>
      <c r="AM131">
        <f>IF($AL131="","",ROUND($AL131/5*100,1))</f>
        <v/>
      </c>
      <c r="AN131">
        <f>IFERROR(MIN(5,MAX(0,(SUMIFS(_REF_Model_Content!$D$1:$D$157,_REF_Model_Content!$A$1:$A$157,'Company Profile'!$B$9,_REF_Model_Content!$B$1:$B$157,"Legal Risk"))+_xlfn.IFNA(VLOOKUP('Company Profile'!$B$35,_CONFIG_Model_Settings!$A$11:$B$13,2,0),0))),"")</f>
        <v/>
      </c>
      <c r="AO131">
        <f>IF($AL131="","",MAX(0,ROUND($AN131-$AL131,2)))</f>
        <v/>
      </c>
      <c r="AP131">
        <f>IFERROR(SUMIFS(_REF_Model_Content!$E$1:$E$157,_REF_Model_Content!$A$1:$A$157,'Company Profile'!$B$9,_REF_Model_Content!$B$1:$B$157,"Legal Risk"),1)</f>
        <v/>
      </c>
      <c r="AQ131">
        <f>IF($AO131="","",ROUND($AO131*$AP131*($G131/5),2))</f>
        <v/>
      </c>
      <c r="AR131">
        <f>IF($AO131="","",IF($AO131&gt;=2,"Critical industry gap",IF($AO131&gt;=1,"High industry gap",IF($AO131&gt;=0.5,"Moderate industry gap","Within target"))))</f>
        <v/>
      </c>
      <c r="AS131">
        <f>IF(OR($H131="",$H131="N/A"),0,VALUE($H131)*(($AJ131+$AK131)/2)*$AV131)</f>
        <v/>
      </c>
      <c r="AT131">
        <f>IF(OR($H131="",$H131="N/A"),0,($AJ131+$AK131)/2)</f>
        <v/>
      </c>
      <c r="AU131">
        <f>'Assessment Questions'!AX131</f>
        <v/>
      </c>
      <c r="AV131">
        <f>IF(OR($H131="",$H131="N/A"),"",IF(OR($AU131="",$AU131="Everywhere",$AU131="Not applicable"),1,IF($AU131="Pilot / one team",0.4,IF($AU131="One unit or site",0.7,0.9))))</f>
        <v/>
      </c>
      <c r="AW131" t="inlineStr">
        <is>
          <t>Legal Risk</t>
        </is>
      </c>
      <c r="AX131" t="inlineStr">
        <is>
          <t>Legal Risk</t>
        </is>
      </c>
      <c r="AY131" t="n">
        <v>12</v>
      </c>
      <c r="AZ131" t="n">
        <v>131</v>
      </c>
    </row>
    <row r="132">
      <c r="A132" t="inlineStr">
        <is>
          <t>LEGA-009</t>
        </is>
      </c>
      <c r="B132" t="inlineStr">
        <is>
          <t>Contracts</t>
        </is>
      </c>
      <c r="C132" t="inlineStr">
        <is>
          <t>How mature is the organization in managing customer SLA obligations, penalties, notification timelines and service credits during disruption, including ownership, evidence, metrics, fallback procedures and crisis stress testing?</t>
        </is>
      </c>
      <c r="D132" t="inlineStr">
        <is>
          <t>This topic affects exposure to Regulatory/legal shock; Contractual exposure; Data breach. It helps identify how disruption may impact operations, people, revenue, systems, legal exposure or recovery time.</t>
        </is>
      </c>
      <c r="E132" t="inlineStr">
        <is>
          <t>ISO 37301; ISO 31000; ISO 37001; ISO/IEC 27701; GDPR; contract management best practices</t>
        </is>
      </c>
      <c r="F132" t="inlineStr">
        <is>
          <t>Policy/SOP; owner/RACI; system report; dashboard; contracts; test records; incident history; interview evidence related to customer SLA obligations, penalties, notification timelines and service credits during disruption.</t>
        </is>
      </c>
      <c r="G132">
        <f>'Assessment Questions'!J132</f>
        <v/>
      </c>
      <c r="H132">
        <f>IF($Z132="","",IF($Z132="N/A","N/A",VALUE(LEFT($Z132,1))))</f>
        <v/>
      </c>
      <c r="I132">
        <f>IF($H132="","",IF($H132="N/A","",VALUE($H132)/5*$G132))</f>
        <v/>
      </c>
      <c r="J132">
        <f>IF(OR($H132="",$H132="N/A"),"",$G132)</f>
        <v/>
      </c>
      <c r="K132">
        <f>IF(OR($H132="",$H132="N/A"),"",$J132-$I132)</f>
        <v/>
      </c>
      <c r="L132">
        <f>IF($H132="","",IF($H132="N/A","N/A",IF(VALUE($H132)&lt;=1,"Critical",IF(VALUE($H132)&lt;=2,"High",IF(VALUE($H132)&lt;=3,"Medium",IF(VALUE($H132)&lt;=4,"Low","Resilient"))))))</f>
        <v/>
      </c>
      <c r="M132" t="inlineStr">
        <is>
          <t>No reliable evidence that customer sla obligations, penalties, notification timelines and service credits during disruption is defined, owned or managed.</t>
        </is>
      </c>
      <c r="N132" t="inlineStr">
        <is>
          <t>Customer SLA obligations, penalties, notification timelines and service credits during disruption is handled informally and depends on individual knowledge or heroic effort.</t>
        </is>
      </c>
      <c r="O132" t="inlineStr">
        <is>
          <t>Customer SLA obligations, penalties, notification timelines and service credits during disruption is partially documented or implemented, but coverage is inconsistent and not crisis-tested.</t>
        </is>
      </c>
      <c r="P132" t="inlineStr">
        <is>
          <t>Customer SLA obligations, penalties, notification timelines and service credits during disruption is documented, owned, used in normal operations and supported by basic evidence or metrics.</t>
        </is>
      </c>
      <c r="Q132" t="inlineStr">
        <is>
          <t>Customer SLA obligations, penalties, notification timelines and service credits during disruption is measured, periodically reviewed, integrated with related processes and tested against relevant disruption scenarios.</t>
        </is>
      </c>
      <c r="R132" t="inlineStr">
        <is>
          <t>Customer SLA obligations, penalties, notification timelines and service credits during disruption is optimized, continuously improved, automated where practical and demonstrably supports crisis resilience.</t>
        </is>
      </c>
      <c r="S132" t="inlineStr">
        <is>
          <t>Regulatory/legal shock; Contractual exposure; Data breach</t>
        </is>
      </c>
      <c r="T132">
        <f>'Assessment Questions'!W132</f>
        <v/>
      </c>
      <c r="U132">
        <f>'Assessment Questions'!X132</f>
        <v/>
      </c>
      <c r="V132">
        <f>'Assessment Questions'!Y132</f>
        <v/>
      </c>
      <c r="W132" t="n">
        <v>5</v>
      </c>
      <c r="X132" t="n">
        <v>5</v>
      </c>
      <c r="Y132" t="n">
        <v>5</v>
      </c>
      <c r="Z132">
        <f>'Assessment Questions'!AC132</f>
        <v/>
      </c>
      <c r="AB132">
        <f>COUNTIF($B$124:$B$144,$AA132)</f>
        <v/>
      </c>
      <c r="AC132">
        <f>IFERROR(SUMPRODUCT(($B$124:$B$144=$AA132)*($H$124:$H$144&lt;&gt;"")*($H$124:$H$144&lt;&gt;"N/A")*IFERROR(VALUE($H$124:$H$144),0))/SUMPRODUCT(($B$124:$B$144=$AA132)*($H$124:$H$144&lt;&gt;"")*($H$124:$H$144&lt;&gt;"N/A")),0)</f>
        <v/>
      </c>
      <c r="AD132">
        <f>AC132/5</f>
        <v/>
      </c>
      <c r="AE132">
        <f>COUNTIFS($B$124:$B$144,$AA132,$L$124:$L$144,"Critical")+COUNTIFS($B$124:$B$144,$AA132,$L$124:$L$144,"High")</f>
        <v/>
      </c>
      <c r="AF132">
        <f>5-AC132</f>
        <v/>
      </c>
      <c r="AG132">
        <f>SUMPRODUCT(($B$124:$B$144=$AA132)*(ISNUMBER($H$124:$H$144)+($H$124:$H$144="N/A")))</f>
        <v/>
      </c>
      <c r="AH132">
        <f>'Assessment Questions'!AK132</f>
        <v/>
      </c>
      <c r="AI132">
        <f>'Assessment Questions'!AL132</f>
        <v/>
      </c>
      <c r="AJ132">
        <f>IF(OR($H132="",$H132="N/A"),"",IF($AH132="",VLOOKUP('Company Profile'!$B$40,_CONFIG_Model_Settings!$A$5:$B$8,2,FALSE),_xlfn.IFNA(VLOOKUP($AH132,_CONFIG_Model_Settings!$A$5:$B$8,2,FALSE),0.9)))</f>
        <v/>
      </c>
      <c r="AK132">
        <f>IF(OR($H132="",$H132="N/A"),"",IF($AI132="",VLOOKUP('Company Profile'!$B$41,_CONFIG_Model_Settings!$A$5:$B$8,2,FALSE),_xlfn.IFNA(VLOOKUP($AI132,_CONFIG_Model_Settings!$A$5:$B$8,2,FALSE),0.9)))</f>
        <v/>
      </c>
      <c r="AL132">
        <f>IF(OR($H132="",$H132="N/A"),"",ROUND(VALUE($H132)*$AJ132*$AK132*$AV132,2))</f>
        <v/>
      </c>
      <c r="AM132">
        <f>IF($AL132="","",ROUND($AL132/5*100,1))</f>
        <v/>
      </c>
      <c r="AN132">
        <f>IFERROR(MIN(5,MAX(0,(SUMIFS(_REF_Model_Content!$D$1:$D$157,_REF_Model_Content!$A$1:$A$157,'Company Profile'!$B$9,_REF_Model_Content!$B$1:$B$157,"Legal Risk"))+_xlfn.IFNA(VLOOKUP('Company Profile'!$B$35,_CONFIG_Model_Settings!$A$11:$B$13,2,0),0))),"")</f>
        <v/>
      </c>
      <c r="AO132">
        <f>IF($AL132="","",MAX(0,ROUND($AN132-$AL132,2)))</f>
        <v/>
      </c>
      <c r="AP132">
        <f>IFERROR(SUMIFS(_REF_Model_Content!$E$1:$E$157,_REF_Model_Content!$A$1:$A$157,'Company Profile'!$B$9,_REF_Model_Content!$B$1:$B$157,"Legal Risk"),1)</f>
        <v/>
      </c>
      <c r="AQ132">
        <f>IF($AO132="","",ROUND($AO132*$AP132*($G132/5),2))</f>
        <v/>
      </c>
      <c r="AR132">
        <f>IF($AO132="","",IF($AO132&gt;=2,"Critical industry gap",IF($AO132&gt;=1,"High industry gap",IF($AO132&gt;=0.5,"Moderate industry gap","Within target"))))</f>
        <v/>
      </c>
      <c r="AS132">
        <f>IF(OR($H132="",$H132="N/A"),0,VALUE($H132)*(($AJ132+$AK132)/2)*$AV132)</f>
        <v/>
      </c>
      <c r="AT132">
        <f>IF(OR($H132="",$H132="N/A"),0,($AJ132+$AK132)/2)</f>
        <v/>
      </c>
      <c r="AU132">
        <f>'Assessment Questions'!AX132</f>
        <v/>
      </c>
      <c r="AV132">
        <f>IF(OR($H132="",$H132="N/A"),"",IF(OR($AU132="",$AU132="Everywhere",$AU132="Not applicable"),1,IF($AU132="Pilot / one team",0.4,IF($AU132="One unit or site",0.7,0.9))))</f>
        <v/>
      </c>
      <c r="AW132" t="inlineStr">
        <is>
          <t>Legal Risk</t>
        </is>
      </c>
      <c r="AX132" t="inlineStr">
        <is>
          <t>Legal Risk</t>
        </is>
      </c>
      <c r="AY132" t="n">
        <v>13</v>
      </c>
      <c r="AZ132" t="n">
        <v>132</v>
      </c>
    </row>
    <row r="133">
      <c r="A133" t="inlineStr">
        <is>
          <t>LEGA-010</t>
        </is>
      </c>
      <c r="B133" t="inlineStr">
        <is>
          <t>Contracts</t>
        </is>
      </c>
      <c r="C133" t="inlineStr">
        <is>
          <t>How mature is the organization in managing supplier continuity, security, audit, subcontractor and incident notification clauses, including ownership, evidence, metrics, fallback procedures and crisis stress testing?</t>
        </is>
      </c>
      <c r="D133" t="inlineStr">
        <is>
          <t>This topic affects exposure to Regulatory/legal shock; Contractual exposure; Data breach. It helps identify how disruption may impact operations, people, revenue, systems, legal exposure or recovery time.</t>
        </is>
      </c>
      <c r="E133" t="inlineStr">
        <is>
          <t>ISO 37301; ISO 31000; ISO 37001; ISO/IEC 27701; GDPR; contract management best practices</t>
        </is>
      </c>
      <c r="F133" t="inlineStr">
        <is>
          <t>Policy/SOP; owner/RACI; system report; dashboard; contracts; test records; incident history; interview evidence related to supplier continuity, security, audit, subcontractor and incident notification clauses.</t>
        </is>
      </c>
      <c r="G133">
        <f>'Assessment Questions'!J133</f>
        <v/>
      </c>
      <c r="H133">
        <f>IF($Z133="","",IF($Z133="N/A","N/A",VALUE(LEFT($Z133,1))))</f>
        <v/>
      </c>
      <c r="I133">
        <f>IF($H133="","",IF($H133="N/A","",VALUE($H133)/5*$G133))</f>
        <v/>
      </c>
      <c r="J133">
        <f>IF(OR($H133="",$H133="N/A"),"",$G133)</f>
        <v/>
      </c>
      <c r="K133">
        <f>IF(OR($H133="",$H133="N/A"),"",$J133-$I133)</f>
        <v/>
      </c>
      <c r="L133">
        <f>IF($H133="","",IF($H133="N/A","N/A",IF(VALUE($H133)&lt;=1,"Critical",IF(VALUE($H133)&lt;=2,"High",IF(VALUE($H133)&lt;=3,"Medium",IF(VALUE($H133)&lt;=4,"Low","Resilient"))))))</f>
        <v/>
      </c>
      <c r="M133" t="inlineStr">
        <is>
          <t>Does not exist; no owner, no documentation, no practice.</t>
        </is>
      </c>
      <c r="N133" t="inlineStr">
        <is>
          <t>Ad hoc; depends entirely on specific individuals.</t>
        </is>
      </c>
      <c r="O133" t="inlineStr">
        <is>
          <t>Partially documented or implemented; coverage inconsistent; never tested under stress.</t>
        </is>
      </c>
      <c r="P133" t="inlineStr">
        <is>
          <t>Documented, owned, executed consistently; basic evidence and metrics exist.</t>
        </is>
      </c>
      <c r="Q133" t="inlineStr">
        <is>
          <t>Measured and periodically tested/audited; integrated with adjacent processes.</t>
        </is>
      </c>
      <c r="R133" t="inlineStr">
        <is>
          <t>Optimized and automated where practical; stress-tested; benchmarked externally.</t>
        </is>
      </c>
      <c r="S133" t="inlineStr">
        <is>
          <t>Regulatory/legal shock; Contractual exposure; Data breach</t>
        </is>
      </c>
      <c r="T133">
        <f>'Assessment Questions'!W133</f>
        <v/>
      </c>
      <c r="U133">
        <f>'Assessment Questions'!X133</f>
        <v/>
      </c>
      <c r="V133">
        <f>'Assessment Questions'!Y133</f>
        <v/>
      </c>
      <c r="W133" t="n">
        <v>5</v>
      </c>
      <c r="X133" t="n">
        <v>5</v>
      </c>
      <c r="Y133" t="n">
        <v>5</v>
      </c>
      <c r="Z133">
        <f>'Assessment Questions'!AC133</f>
        <v/>
      </c>
      <c r="AB133">
        <f>COUNTIF($B$124:$B$144,$AA133)</f>
        <v/>
      </c>
      <c r="AC133">
        <f>IFERROR(SUMPRODUCT(($B$124:$B$144=$AA133)*($H$124:$H$144&lt;&gt;"")*($H$124:$H$144&lt;&gt;"N/A")*IFERROR(VALUE($H$124:$H$144),0))/SUMPRODUCT(($B$124:$B$144=$AA133)*($H$124:$H$144&lt;&gt;"")*($H$124:$H$144&lt;&gt;"N/A")),0)</f>
        <v/>
      </c>
      <c r="AD133">
        <f>AC133/5</f>
        <v/>
      </c>
      <c r="AE133">
        <f>COUNTIFS($B$124:$B$144,$AA133,$L$124:$L$144,"Critical")+COUNTIFS($B$124:$B$144,$AA133,$L$124:$L$144,"High")</f>
        <v/>
      </c>
      <c r="AF133">
        <f>5-AC133</f>
        <v/>
      </c>
      <c r="AG133">
        <f>SUMPRODUCT(($B$124:$B$144=$AA133)*(ISNUMBER($H$124:$H$144)+($H$124:$H$144="N/A")))</f>
        <v/>
      </c>
      <c r="AH133">
        <f>'Assessment Questions'!AK133</f>
        <v/>
      </c>
      <c r="AI133">
        <f>'Assessment Questions'!AL133</f>
        <v/>
      </c>
      <c r="AJ133">
        <f>IF(OR($H133="",$H133="N/A"),"",IF($AH133="",VLOOKUP('Company Profile'!$B$40,_CONFIG_Model_Settings!$A$5:$B$8,2,FALSE),_xlfn.IFNA(VLOOKUP($AH133,_CONFIG_Model_Settings!$A$5:$B$8,2,FALSE),0.9)))</f>
        <v/>
      </c>
      <c r="AK133">
        <f>IF(OR($H133="",$H133="N/A"),"",IF($AI133="",VLOOKUP('Company Profile'!$B$41,_CONFIG_Model_Settings!$A$5:$B$8,2,FALSE),_xlfn.IFNA(VLOOKUP($AI133,_CONFIG_Model_Settings!$A$5:$B$8,2,FALSE),0.9)))</f>
        <v/>
      </c>
      <c r="AL133">
        <f>IF(OR($H133="",$H133="N/A"),"",ROUND(VALUE($H133)*$AJ133*$AK133*$AV133,2))</f>
        <v/>
      </c>
      <c r="AM133">
        <f>IF($AL133="","",ROUND($AL133/5*100,1))</f>
        <v/>
      </c>
      <c r="AN133">
        <f>IFERROR(MIN(5,MAX(0,(SUMIFS(_REF_Model_Content!$D$1:$D$157,_REF_Model_Content!$A$1:$A$157,'Company Profile'!$B$9,_REF_Model_Content!$B$1:$B$157,"Legal Risk"))+_xlfn.IFNA(VLOOKUP('Company Profile'!$B$35,_CONFIG_Model_Settings!$A$11:$B$13,2,0),0))),"")</f>
        <v/>
      </c>
      <c r="AO133">
        <f>IF($AL133="","",MAX(0,ROUND($AN133-$AL133,2)))</f>
        <v/>
      </c>
      <c r="AP133">
        <f>IFERROR(SUMIFS(_REF_Model_Content!$E$1:$E$157,_REF_Model_Content!$A$1:$A$157,'Company Profile'!$B$9,_REF_Model_Content!$B$1:$B$157,"Legal Risk"),1)</f>
        <v/>
      </c>
      <c r="AQ133">
        <f>IF($AO133="","",ROUND($AO133*$AP133*($G133/5),2))</f>
        <v/>
      </c>
      <c r="AR133">
        <f>IF($AO133="","",IF($AO133&gt;=2,"Critical industry gap",IF($AO133&gt;=1,"High industry gap",IF($AO133&gt;=0.5,"Moderate industry gap","Within target"))))</f>
        <v/>
      </c>
      <c r="AS133">
        <f>IF(OR($H133="",$H133="N/A"),0,VALUE($H133)*(($AJ133+$AK133)/2)*$AV133)</f>
        <v/>
      </c>
      <c r="AT133">
        <f>IF(OR($H133="",$H133="N/A"),0,($AJ133+$AK133)/2)</f>
        <v/>
      </c>
      <c r="AU133">
        <f>'Assessment Questions'!AX133</f>
        <v/>
      </c>
      <c r="AV133">
        <f>IF(OR($H133="",$H133="N/A"),"",IF(OR($AU133="",$AU133="Everywhere",$AU133="Not applicable"),1,IF($AU133="Pilot / one team",0.4,IF($AU133="One unit or site",0.7,0.9))))</f>
        <v/>
      </c>
      <c r="AW133" t="inlineStr">
        <is>
          <t>Legal Risk</t>
        </is>
      </c>
      <c r="AX133" t="inlineStr">
        <is>
          <t>Legal Risk</t>
        </is>
      </c>
      <c r="AY133" t="n">
        <v>14</v>
      </c>
      <c r="AZ133" t="n">
        <v>133</v>
      </c>
    </row>
    <row r="134">
      <c r="A134" t="inlineStr">
        <is>
          <t>LEGA-011</t>
        </is>
      </c>
      <c r="B134" t="inlineStr">
        <is>
          <t>Contracts</t>
        </is>
      </c>
      <c r="C134" t="inlineStr">
        <is>
          <t>How mature is the organization in managing signatory continuity with powers of attorney, board approvals and emergency delegation, including ownership, evidence, metrics, fallback procedures and crisis stress testing?</t>
        </is>
      </c>
      <c r="D134" t="inlineStr">
        <is>
          <t>This topic affects exposure to Regulatory/legal shock; Contractual exposure; Data breach. It helps identify how disruption may impact operations, people, revenue, systems, legal exposure or recovery time.</t>
        </is>
      </c>
      <c r="E134" t="inlineStr">
        <is>
          <t>ISO 37301; ISO 31000; ISO 37001; ISO/IEC 27701; GDPR; contract management best practices</t>
        </is>
      </c>
      <c r="F134" t="inlineStr">
        <is>
          <t>Policy/SOP; owner/RACI; system report; dashboard; contracts; test records; incident history; interview evidence related to signatory continuity with powers of attorney, board approvals and emergency delegation.</t>
        </is>
      </c>
      <c r="G134">
        <f>'Assessment Questions'!J134</f>
        <v/>
      </c>
      <c r="H134">
        <f>IF($Z134="","",IF($Z134="N/A","N/A",VALUE(LEFT($Z134,1))))</f>
        <v/>
      </c>
      <c r="I134">
        <f>IF($H134="","",IF($H134="N/A","",VALUE($H134)/5*$G134))</f>
        <v/>
      </c>
      <c r="J134">
        <f>IF(OR($H134="",$H134="N/A"),"",$G134)</f>
        <v/>
      </c>
      <c r="K134">
        <f>IF(OR($H134="",$H134="N/A"),"",$J134-$I134)</f>
        <v/>
      </c>
      <c r="L134">
        <f>IF($H134="","",IF($H134="N/A","N/A",IF(VALUE($H134)&lt;=1,"Critical",IF(VALUE($H134)&lt;=2,"High",IF(VALUE($H134)&lt;=3,"Medium",IF(VALUE($H134)&lt;=4,"Low","Resilient"))))))</f>
        <v/>
      </c>
      <c r="M134" t="inlineStr">
        <is>
          <t>Does not exist; no owner, no documentation, no practice.</t>
        </is>
      </c>
      <c r="N134" t="inlineStr">
        <is>
          <t>Ad hoc; depends entirely on specific individuals.</t>
        </is>
      </c>
      <c r="O134" t="inlineStr">
        <is>
          <t>Partially documented or implemented; coverage inconsistent; never tested under stress.</t>
        </is>
      </c>
      <c r="P134" t="inlineStr">
        <is>
          <t>Documented, owned, executed consistently; basic evidence and metrics exist.</t>
        </is>
      </c>
      <c r="Q134" t="inlineStr">
        <is>
          <t>Measured and periodically tested/audited; integrated with adjacent processes.</t>
        </is>
      </c>
      <c r="R134" t="inlineStr">
        <is>
          <t>Optimized and automated where practical; stress-tested; benchmarked externally.</t>
        </is>
      </c>
      <c r="S134" t="inlineStr">
        <is>
          <t>Regulatory/legal shock; Contractual exposure; Data breach</t>
        </is>
      </c>
      <c r="T134">
        <f>'Assessment Questions'!W134</f>
        <v/>
      </c>
      <c r="U134">
        <f>'Assessment Questions'!X134</f>
        <v/>
      </c>
      <c r="V134">
        <f>'Assessment Questions'!Y134</f>
        <v/>
      </c>
      <c r="W134" t="n">
        <v>5</v>
      </c>
      <c r="X134" t="n">
        <v>5</v>
      </c>
      <c r="Y134" t="n">
        <v>5</v>
      </c>
      <c r="Z134">
        <f>'Assessment Questions'!AC134</f>
        <v/>
      </c>
      <c r="AB134">
        <f>COUNTIF($B$124:$B$144,$AA134)</f>
        <v/>
      </c>
      <c r="AC134">
        <f>IFERROR(SUMPRODUCT(($B$124:$B$144=$AA134)*($H$124:$H$144&lt;&gt;"")*($H$124:$H$144&lt;&gt;"N/A")*IFERROR(VALUE($H$124:$H$144),0))/SUMPRODUCT(($B$124:$B$144=$AA134)*($H$124:$H$144&lt;&gt;"")*($H$124:$H$144&lt;&gt;"N/A")),0)</f>
        <v/>
      </c>
      <c r="AD134">
        <f>AC134/5</f>
        <v/>
      </c>
      <c r="AE134">
        <f>COUNTIFS($B$124:$B$144,$AA134,$L$124:$L$144,"Critical")+COUNTIFS($B$124:$B$144,$AA134,$L$124:$L$144,"High")</f>
        <v/>
      </c>
      <c r="AF134">
        <f>5-AC134</f>
        <v/>
      </c>
      <c r="AG134">
        <f>SUMPRODUCT(($B$124:$B$144=$AA134)*(ISNUMBER($H$124:$H$144)+($H$124:$H$144="N/A")))</f>
        <v/>
      </c>
      <c r="AH134">
        <f>'Assessment Questions'!AK134</f>
        <v/>
      </c>
      <c r="AI134">
        <f>'Assessment Questions'!AL134</f>
        <v/>
      </c>
      <c r="AJ134">
        <f>IF(OR($H134="",$H134="N/A"),"",IF($AH134="",VLOOKUP('Company Profile'!$B$40,_CONFIG_Model_Settings!$A$5:$B$8,2,FALSE),_xlfn.IFNA(VLOOKUP($AH134,_CONFIG_Model_Settings!$A$5:$B$8,2,FALSE),0.9)))</f>
        <v/>
      </c>
      <c r="AK134">
        <f>IF(OR($H134="",$H134="N/A"),"",IF($AI134="",VLOOKUP('Company Profile'!$B$41,_CONFIG_Model_Settings!$A$5:$B$8,2,FALSE),_xlfn.IFNA(VLOOKUP($AI134,_CONFIG_Model_Settings!$A$5:$B$8,2,FALSE),0.9)))</f>
        <v/>
      </c>
      <c r="AL134">
        <f>IF(OR($H134="",$H134="N/A"),"",ROUND(VALUE($H134)*$AJ134*$AK134*$AV134,2))</f>
        <v/>
      </c>
      <c r="AM134">
        <f>IF($AL134="","",ROUND($AL134/5*100,1))</f>
        <v/>
      </c>
      <c r="AN134">
        <f>IFERROR(MIN(5,MAX(0,(SUMIFS(_REF_Model_Content!$D$1:$D$157,_REF_Model_Content!$A$1:$A$157,'Company Profile'!$B$9,_REF_Model_Content!$B$1:$B$157,"Legal Risk"))+_xlfn.IFNA(VLOOKUP('Company Profile'!$B$35,_CONFIG_Model_Settings!$A$11:$B$13,2,0),0))),"")</f>
        <v/>
      </c>
      <c r="AO134">
        <f>IF($AL134="","",MAX(0,ROUND($AN134-$AL134,2)))</f>
        <v/>
      </c>
      <c r="AP134">
        <f>IFERROR(SUMIFS(_REF_Model_Content!$E$1:$E$157,_REF_Model_Content!$A$1:$A$157,'Company Profile'!$B$9,_REF_Model_Content!$B$1:$B$157,"Legal Risk"),1)</f>
        <v/>
      </c>
      <c r="AQ134">
        <f>IF($AO134="","",ROUND($AO134*$AP134*($G134/5),2))</f>
        <v/>
      </c>
      <c r="AR134">
        <f>IF($AO134="","",IF($AO134&gt;=2,"Critical industry gap",IF($AO134&gt;=1,"High industry gap",IF($AO134&gt;=0.5,"Moderate industry gap","Within target"))))</f>
        <v/>
      </c>
      <c r="AS134">
        <f>IF(OR($H134="",$H134="N/A"),0,VALUE($H134)*(($AJ134+$AK134)/2)*$AV134)</f>
        <v/>
      </c>
      <c r="AT134">
        <f>IF(OR($H134="",$H134="N/A"),0,($AJ134+$AK134)/2)</f>
        <v/>
      </c>
      <c r="AU134">
        <f>'Assessment Questions'!AX134</f>
        <v/>
      </c>
      <c r="AV134">
        <f>IF(OR($H134="",$H134="N/A"),"",IF(OR($AU134="",$AU134="Everywhere",$AU134="Not applicable"),1,IF($AU134="Pilot / one team",0.4,IF($AU134="One unit or site",0.7,0.9))))</f>
        <v/>
      </c>
      <c r="AW134" t="inlineStr">
        <is>
          <t>Legal Risk</t>
        </is>
      </c>
      <c r="AX134" t="inlineStr">
        <is>
          <t>Legal Risk</t>
        </is>
      </c>
      <c r="AY134" t="n">
        <v>15</v>
      </c>
      <c r="AZ134" t="n">
        <v>134</v>
      </c>
    </row>
    <row r="135">
      <c r="A135" t="inlineStr">
        <is>
          <t>LEGA-012</t>
        </is>
      </c>
      <c r="B135" t="inlineStr">
        <is>
          <t>Contracts</t>
        </is>
      </c>
      <c r="C135" t="inlineStr">
        <is>
          <t>How mature is the organization in managing insurance claims process linked to incident evidence collection, including ownership, evidence, metrics, fallback procedures and crisis stress testing?</t>
        </is>
      </c>
      <c r="D135" t="inlineStr">
        <is>
          <t>This topic affects exposure to Regulatory/legal shock; Contractual exposure; Data breach. It helps identify how disruption may impact operations, people, revenue, systems, legal exposure or recovery time.</t>
        </is>
      </c>
      <c r="E135" t="inlineStr">
        <is>
          <t>ISO 37301; ISO 31000; ISO 37001; ISO/IEC 27701; GDPR; contract management best practices</t>
        </is>
      </c>
      <c r="F135" t="inlineStr">
        <is>
          <t>Policy/SOP; owner/RACI; system report; dashboard; contracts; test records; incident history; interview evidence related to insurance claims process linked to incident evidence collection.</t>
        </is>
      </c>
      <c r="G135">
        <f>'Assessment Questions'!J135</f>
        <v/>
      </c>
      <c r="H135">
        <f>IF($Z135="","",IF($Z135="N/A","N/A",VALUE(LEFT($Z135,1))))</f>
        <v/>
      </c>
      <c r="I135">
        <f>IF($H135="","",IF($H135="N/A","",VALUE($H135)/5*$G135))</f>
        <v/>
      </c>
      <c r="J135">
        <f>IF(OR($H135="",$H135="N/A"),"",$G135)</f>
        <v/>
      </c>
      <c r="K135">
        <f>IF(OR($H135="",$H135="N/A"),"",$J135-$I135)</f>
        <v/>
      </c>
      <c r="L135">
        <f>IF($H135="","",IF($H135="N/A","N/A",IF(VALUE($H135)&lt;=1,"Critical",IF(VALUE($H135)&lt;=2,"High",IF(VALUE($H135)&lt;=3,"Medium",IF(VALUE($H135)&lt;=4,"Low","Resilient"))))))</f>
        <v/>
      </c>
      <c r="M135" t="inlineStr">
        <is>
          <t>Does not exist; no owner, no documentation, no practice.</t>
        </is>
      </c>
      <c r="N135" t="inlineStr">
        <is>
          <t>Ad hoc; depends entirely on specific individuals.</t>
        </is>
      </c>
      <c r="O135" t="inlineStr">
        <is>
          <t>Partially documented or implemented; coverage inconsistent; never tested under stress.</t>
        </is>
      </c>
      <c r="P135" t="inlineStr">
        <is>
          <t>Documented, owned, executed consistently; basic evidence and metrics exist.</t>
        </is>
      </c>
      <c r="Q135" t="inlineStr">
        <is>
          <t>Measured and periodically tested/audited; integrated with adjacent processes.</t>
        </is>
      </c>
      <c r="R135" t="inlineStr">
        <is>
          <t>Optimized and automated where practical; stress-tested; benchmarked externally.</t>
        </is>
      </c>
      <c r="S135" t="inlineStr">
        <is>
          <t>Regulatory/legal shock; Contractual exposure; Data breach</t>
        </is>
      </c>
      <c r="T135">
        <f>'Assessment Questions'!W135</f>
        <v/>
      </c>
      <c r="U135">
        <f>'Assessment Questions'!X135</f>
        <v/>
      </c>
      <c r="V135">
        <f>'Assessment Questions'!Y135</f>
        <v/>
      </c>
      <c r="W135" t="n">
        <v>5</v>
      </c>
      <c r="X135" t="n">
        <v>5</v>
      </c>
      <c r="Y135" t="n">
        <v>5</v>
      </c>
      <c r="Z135">
        <f>'Assessment Questions'!AC135</f>
        <v/>
      </c>
      <c r="AB135">
        <f>COUNTIF($B$124:$B$144,$AA135)</f>
        <v/>
      </c>
      <c r="AC135">
        <f>IFERROR(SUMPRODUCT(($B$124:$B$144=$AA135)*($H$124:$H$144&lt;&gt;"")*($H$124:$H$144&lt;&gt;"N/A")*IFERROR(VALUE($H$124:$H$144),0))/SUMPRODUCT(($B$124:$B$144=$AA135)*($H$124:$H$144&lt;&gt;"")*($H$124:$H$144&lt;&gt;"N/A")),0)</f>
        <v/>
      </c>
      <c r="AD135">
        <f>AC135/5</f>
        <v/>
      </c>
      <c r="AE135">
        <f>COUNTIFS($B$124:$B$144,$AA135,$L$124:$L$144,"Critical")+COUNTIFS($B$124:$B$144,$AA135,$L$124:$L$144,"High")</f>
        <v/>
      </c>
      <c r="AF135">
        <f>5-AC135</f>
        <v/>
      </c>
      <c r="AG135">
        <f>SUMPRODUCT(($B$124:$B$144=$AA135)*(ISNUMBER($H$124:$H$144)+($H$124:$H$144="N/A")))</f>
        <v/>
      </c>
      <c r="AH135">
        <f>'Assessment Questions'!AK135</f>
        <v/>
      </c>
      <c r="AI135">
        <f>'Assessment Questions'!AL135</f>
        <v/>
      </c>
      <c r="AJ135">
        <f>IF(OR($H135="",$H135="N/A"),"",IF($AH135="",VLOOKUP('Company Profile'!$B$40,_CONFIG_Model_Settings!$A$5:$B$8,2,FALSE),_xlfn.IFNA(VLOOKUP($AH135,_CONFIG_Model_Settings!$A$5:$B$8,2,FALSE),0.9)))</f>
        <v/>
      </c>
      <c r="AK135">
        <f>IF(OR($H135="",$H135="N/A"),"",IF($AI135="",VLOOKUP('Company Profile'!$B$41,_CONFIG_Model_Settings!$A$5:$B$8,2,FALSE),_xlfn.IFNA(VLOOKUP($AI135,_CONFIG_Model_Settings!$A$5:$B$8,2,FALSE),0.9)))</f>
        <v/>
      </c>
      <c r="AL135">
        <f>IF(OR($H135="",$H135="N/A"),"",ROUND(VALUE($H135)*$AJ135*$AK135*$AV135,2))</f>
        <v/>
      </c>
      <c r="AM135">
        <f>IF($AL135="","",ROUND($AL135/5*100,1))</f>
        <v/>
      </c>
      <c r="AN135">
        <f>IFERROR(MIN(5,MAX(0,(SUMIFS(_REF_Model_Content!$D$1:$D$157,_REF_Model_Content!$A$1:$A$157,'Company Profile'!$B$9,_REF_Model_Content!$B$1:$B$157,"Legal Risk"))+_xlfn.IFNA(VLOOKUP('Company Profile'!$B$35,_CONFIG_Model_Settings!$A$11:$B$13,2,0),0))),"")</f>
        <v/>
      </c>
      <c r="AO135">
        <f>IF($AL135="","",MAX(0,ROUND($AN135-$AL135,2)))</f>
        <v/>
      </c>
      <c r="AP135">
        <f>IFERROR(SUMIFS(_REF_Model_Content!$E$1:$E$157,_REF_Model_Content!$A$1:$A$157,'Company Profile'!$B$9,_REF_Model_Content!$B$1:$B$157,"Legal Risk"),1)</f>
        <v/>
      </c>
      <c r="AQ135">
        <f>IF($AO135="","",ROUND($AO135*$AP135*($G135/5),2))</f>
        <v/>
      </c>
      <c r="AR135">
        <f>IF($AO135="","",IF($AO135&gt;=2,"Critical industry gap",IF($AO135&gt;=1,"High industry gap",IF($AO135&gt;=0.5,"Moderate industry gap","Within target"))))</f>
        <v/>
      </c>
      <c r="AS135">
        <f>IF(OR($H135="",$H135="N/A"),0,VALUE($H135)*(($AJ135+$AK135)/2)*$AV135)</f>
        <v/>
      </c>
      <c r="AT135">
        <f>IF(OR($H135="",$H135="N/A"),0,($AJ135+$AK135)/2)</f>
        <v/>
      </c>
      <c r="AU135">
        <f>'Assessment Questions'!AX135</f>
        <v/>
      </c>
      <c r="AV135">
        <f>IF(OR($H135="",$H135="N/A"),"",IF(OR($AU135="",$AU135="Everywhere",$AU135="Not applicable"),1,IF($AU135="Pilot / one team",0.4,IF($AU135="One unit or site",0.7,0.9))))</f>
        <v/>
      </c>
      <c r="AW135" t="inlineStr">
        <is>
          <t>Legal Risk</t>
        </is>
      </c>
      <c r="AX135" t="inlineStr">
        <is>
          <t>Legal Risk</t>
        </is>
      </c>
      <c r="AY135" t="n">
        <v>16</v>
      </c>
      <c r="AZ135" t="n">
        <v>135</v>
      </c>
    </row>
    <row r="136">
      <c r="A136" t="inlineStr">
        <is>
          <t>LEGA-013</t>
        </is>
      </c>
      <c r="B136" t="inlineStr">
        <is>
          <t>Data and IP</t>
        </is>
      </c>
      <c r="C136" t="inlineStr">
        <is>
          <t>How mature is the organization in managing personal data processing map by system, purpose, location, processor and transfer mechanism, including ownership, evidence, metrics, fallback procedures and crisis stress testing?</t>
        </is>
      </c>
      <c r="D136" t="inlineStr">
        <is>
          <t>This topic affects exposure to Regulatory/legal shock; Contractual exposure; Data breach. It helps identify how disruption may impact operations, people, revenue, systems, legal exposure or recovery time.</t>
        </is>
      </c>
      <c r="E136" t="inlineStr">
        <is>
          <t>ISO 37301; ISO 31000; ISO 37001; ISO/IEC 27701; GDPR; contract management best practices</t>
        </is>
      </c>
      <c r="F136" t="inlineStr">
        <is>
          <t>Policy/SOP; owner/RACI; system report; dashboard; contracts; test records; incident history; interview evidence related to personal data processing map by system, purpose, location, processor and transfer mechanism.</t>
        </is>
      </c>
      <c r="G136">
        <f>'Assessment Questions'!J136</f>
        <v/>
      </c>
      <c r="H136">
        <f>IF($Z136="","",IF($Z136="N/A","N/A",VALUE(LEFT($Z136,1))))</f>
        <v/>
      </c>
      <c r="I136">
        <f>IF($H136="","",IF($H136="N/A","",VALUE($H136)/5*$G136))</f>
        <v/>
      </c>
      <c r="J136">
        <f>IF(OR($H136="",$H136="N/A"),"",$G136)</f>
        <v/>
      </c>
      <c r="K136">
        <f>IF(OR($H136="",$H136="N/A"),"",$J136-$I136)</f>
        <v/>
      </c>
      <c r="L136">
        <f>IF($H136="","",IF($H136="N/A","N/A",IF(VALUE($H136)&lt;=1,"Critical",IF(VALUE($H136)&lt;=2,"High",IF(VALUE($H136)&lt;=3,"Medium",IF(VALUE($H136)&lt;=4,"Low","Resilient"))))))</f>
        <v/>
      </c>
      <c r="M136" t="inlineStr">
        <is>
          <t>No inventory/register exists.</t>
        </is>
      </c>
      <c r="N136" t="inlineStr">
        <is>
          <t>Partial lists live in individuals' heads or personal files.</t>
        </is>
      </c>
      <c r="O136" t="inlineStr">
        <is>
          <t>A register exists but is incomplete or outdated (&gt;1 year) and has no owner.</t>
        </is>
      </c>
      <c r="P136" t="inlineStr">
        <is>
          <t>Owned, documented, updated on a defined schedule, covers the main scope.</t>
        </is>
      </c>
      <c r="Q136" t="inlineStr">
        <is>
          <t>Complete and periodically reviewed; integrated with related processes; completeness measured.</t>
        </is>
      </c>
      <c r="R136" t="inlineStr">
        <is>
          <t>Maintained automatically or synced with systems; drives decisions; audited.</t>
        </is>
      </c>
      <c r="S136" t="inlineStr">
        <is>
          <t>Regulatory/legal shock; Contractual exposure; Data breach</t>
        </is>
      </c>
      <c r="T136">
        <f>'Assessment Questions'!W136</f>
        <v/>
      </c>
      <c r="U136">
        <f>'Assessment Questions'!X136</f>
        <v/>
      </c>
      <c r="V136">
        <f>'Assessment Questions'!Y136</f>
        <v/>
      </c>
      <c r="W136" t="n">
        <v>5</v>
      </c>
      <c r="X136" t="n">
        <v>5</v>
      </c>
      <c r="Y136" t="n">
        <v>5</v>
      </c>
      <c r="Z136">
        <f>'Assessment Questions'!AC136</f>
        <v/>
      </c>
      <c r="AB136">
        <f>COUNTIF($B$124:$B$144,$AA136)</f>
        <v/>
      </c>
      <c r="AC136">
        <f>IFERROR(SUMPRODUCT(($B$124:$B$144=$AA136)*($H$124:$H$144&lt;&gt;"")*($H$124:$H$144&lt;&gt;"N/A")*IFERROR(VALUE($H$124:$H$144),0))/SUMPRODUCT(($B$124:$B$144=$AA136)*($H$124:$H$144&lt;&gt;"")*($H$124:$H$144&lt;&gt;"N/A")),0)</f>
        <v/>
      </c>
      <c r="AD136">
        <f>AC136/5</f>
        <v/>
      </c>
      <c r="AE136">
        <f>COUNTIFS($B$124:$B$144,$AA136,$L$124:$L$144,"Critical")+COUNTIFS($B$124:$B$144,$AA136,$L$124:$L$144,"High")</f>
        <v/>
      </c>
      <c r="AF136">
        <f>5-AC136</f>
        <v/>
      </c>
      <c r="AG136">
        <f>SUMPRODUCT(($B$124:$B$144=$AA136)*(ISNUMBER($H$124:$H$144)+($H$124:$H$144="N/A")))</f>
        <v/>
      </c>
      <c r="AH136">
        <f>'Assessment Questions'!AK136</f>
        <v/>
      </c>
      <c r="AI136">
        <f>'Assessment Questions'!AL136</f>
        <v/>
      </c>
      <c r="AJ136">
        <f>IF(OR($H136="",$H136="N/A"),"",IF($AH136="",VLOOKUP('Company Profile'!$B$40,_CONFIG_Model_Settings!$A$5:$B$8,2,FALSE),_xlfn.IFNA(VLOOKUP($AH136,_CONFIG_Model_Settings!$A$5:$B$8,2,FALSE),0.9)))</f>
        <v/>
      </c>
      <c r="AK136">
        <f>IF(OR($H136="",$H136="N/A"),"",IF($AI136="",VLOOKUP('Company Profile'!$B$41,_CONFIG_Model_Settings!$A$5:$B$8,2,FALSE),_xlfn.IFNA(VLOOKUP($AI136,_CONFIG_Model_Settings!$A$5:$B$8,2,FALSE),0.9)))</f>
        <v/>
      </c>
      <c r="AL136">
        <f>IF(OR($H136="",$H136="N/A"),"",ROUND(VALUE($H136)*$AJ136*$AK136*$AV136,2))</f>
        <v/>
      </c>
      <c r="AM136">
        <f>IF($AL136="","",ROUND($AL136/5*100,1))</f>
        <v/>
      </c>
      <c r="AN136">
        <f>IFERROR(MIN(5,MAX(0,(SUMIFS(_REF_Model_Content!$D$1:$D$157,_REF_Model_Content!$A$1:$A$157,'Company Profile'!$B$9,_REF_Model_Content!$B$1:$B$157,"Legal Risk"))+_xlfn.IFNA(VLOOKUP('Company Profile'!$B$35,_CONFIG_Model_Settings!$A$11:$B$13,2,0),0))),"")</f>
        <v/>
      </c>
      <c r="AO136">
        <f>IF($AL136="","",MAX(0,ROUND($AN136-$AL136,2)))</f>
        <v/>
      </c>
      <c r="AP136">
        <f>IFERROR(SUMIFS(_REF_Model_Content!$E$1:$E$157,_REF_Model_Content!$A$1:$A$157,'Company Profile'!$B$9,_REF_Model_Content!$B$1:$B$157,"Legal Risk"),1)</f>
        <v/>
      </c>
      <c r="AQ136">
        <f>IF($AO136="","",ROUND($AO136*$AP136*($G136/5),2))</f>
        <v/>
      </c>
      <c r="AR136">
        <f>IF($AO136="","",IF($AO136&gt;=2,"Critical industry gap",IF($AO136&gt;=1,"High industry gap",IF($AO136&gt;=0.5,"Moderate industry gap","Within target"))))</f>
        <v/>
      </c>
      <c r="AS136">
        <f>IF(OR($H136="",$H136="N/A"),0,VALUE($H136)*(($AJ136+$AK136)/2)*$AV136)</f>
        <v/>
      </c>
      <c r="AT136">
        <f>IF(OR($H136="",$H136="N/A"),0,($AJ136+$AK136)/2)</f>
        <v/>
      </c>
      <c r="AU136">
        <f>'Assessment Questions'!AX136</f>
        <v/>
      </c>
      <c r="AV136">
        <f>IF(OR($H136="",$H136="N/A"),"",IF(OR($AU136="",$AU136="Everywhere",$AU136="Not applicable"),1,IF($AU136="Pilot / one team",0.4,IF($AU136="One unit or site",0.7,0.9))))</f>
        <v/>
      </c>
      <c r="AW136" t="inlineStr">
        <is>
          <t>Legal Risk</t>
        </is>
      </c>
      <c r="AX136" t="inlineStr">
        <is>
          <t>Legal Risk</t>
        </is>
      </c>
      <c r="AY136" t="n">
        <v>17</v>
      </c>
      <c r="AZ136" t="n">
        <v>136</v>
      </c>
    </row>
    <row r="137">
      <c r="A137" t="inlineStr">
        <is>
          <t>LEGA-014</t>
        </is>
      </c>
      <c r="B137" t="inlineStr">
        <is>
          <t>Data and IP</t>
        </is>
      </c>
      <c r="C137" t="inlineStr">
        <is>
          <t>How mature is the organization in managing breach notification readiness for personal data and customer contractual obligations, including ownership, evidence, metrics, fallback procedures and crisis stress testing?</t>
        </is>
      </c>
      <c r="D137" t="inlineStr">
        <is>
          <t>This topic affects exposure to Regulatory/legal shock; Contractual exposure; Data breach. It helps identify how disruption may impact operations, people, revenue, systems, legal exposure or recovery time.</t>
        </is>
      </c>
      <c r="E137" t="inlineStr">
        <is>
          <t>ISO 37301; ISO 31000; ISO 37001; ISO/IEC 27701; GDPR; contract management best practices</t>
        </is>
      </c>
      <c r="F137" t="inlineStr">
        <is>
          <t>Policy/SOP; owner/RACI; system report; dashboard; contracts; test records; incident history; interview evidence related to breach notification readiness for personal data and customer contractual obligations.</t>
        </is>
      </c>
      <c r="G137">
        <f>'Assessment Questions'!J137</f>
        <v/>
      </c>
      <c r="H137">
        <f>IF($Z137="","",IF($Z137="N/A","N/A",VALUE(LEFT($Z137,1))))</f>
        <v/>
      </c>
      <c r="I137">
        <f>IF($H137="","",IF($H137="N/A","",VALUE($H137)/5*$G137))</f>
        <v/>
      </c>
      <c r="J137">
        <f>IF(OR($H137="",$H137="N/A"),"",$G137)</f>
        <v/>
      </c>
      <c r="K137">
        <f>IF(OR($H137="",$H137="N/A"),"",$J137-$I137)</f>
        <v/>
      </c>
      <c r="L137">
        <f>IF($H137="","",IF($H137="N/A","N/A",IF(VALUE($H137)&lt;=1,"Critical",IF(VALUE($H137)&lt;=2,"High",IF(VALUE($H137)&lt;=3,"Medium",IF(VALUE($H137)&lt;=4,"Low","Resilient"))))))</f>
        <v/>
      </c>
      <c r="M137" t="inlineStr">
        <is>
          <t>No reliable evidence that breach notification readiness for personal data and customer contractual obligations is defined, owned or managed.</t>
        </is>
      </c>
      <c r="N137" t="inlineStr">
        <is>
          <t>Breach notification readiness for personal data and customer contractual obligations is handled informally and depends on individual knowledge or heroic effort.</t>
        </is>
      </c>
      <c r="O137" t="inlineStr">
        <is>
          <t>Breach notification readiness for personal data and customer contractual obligations is partially documented or implemented, but coverage is inconsistent and not crisis-tested.</t>
        </is>
      </c>
      <c r="P137" t="inlineStr">
        <is>
          <t>Breach notification readiness for personal data and customer contractual obligations is documented, owned, used in normal operations and supported by basic evidence or metrics.</t>
        </is>
      </c>
      <c r="Q137" t="inlineStr">
        <is>
          <t>Breach notification readiness for personal data and customer contractual obligations is measured, periodically reviewed, integrated with related processes and tested against relevant disruption scenarios.</t>
        </is>
      </c>
      <c r="R137" t="inlineStr">
        <is>
          <t>Breach notification readiness for personal data and customer contractual obligations is optimized, continuously improved, automated where practical and demonstrably supports crisis resilience.</t>
        </is>
      </c>
      <c r="S137" t="inlineStr">
        <is>
          <t>Regulatory/legal shock; Contractual exposure; Data breach</t>
        </is>
      </c>
      <c r="T137">
        <f>'Assessment Questions'!W137</f>
        <v/>
      </c>
      <c r="U137">
        <f>'Assessment Questions'!X137</f>
        <v/>
      </c>
      <c r="V137">
        <f>'Assessment Questions'!Y137</f>
        <v/>
      </c>
      <c r="W137" t="n">
        <v>5</v>
      </c>
      <c r="X137" t="n">
        <v>5</v>
      </c>
      <c r="Y137" t="n">
        <v>5</v>
      </c>
      <c r="Z137">
        <f>'Assessment Questions'!AC137</f>
        <v/>
      </c>
      <c r="AB137">
        <f>COUNTIF($B$124:$B$144,$AA137)</f>
        <v/>
      </c>
      <c r="AC137">
        <f>IFERROR(SUMPRODUCT(($B$124:$B$144=$AA137)*($H$124:$H$144&lt;&gt;"")*($H$124:$H$144&lt;&gt;"N/A")*IFERROR(VALUE($H$124:$H$144),0))/SUMPRODUCT(($B$124:$B$144=$AA137)*($H$124:$H$144&lt;&gt;"")*($H$124:$H$144&lt;&gt;"N/A")),0)</f>
        <v/>
      </c>
      <c r="AD137">
        <f>AC137/5</f>
        <v/>
      </c>
      <c r="AE137">
        <f>COUNTIFS($B$124:$B$144,$AA137,$L$124:$L$144,"Critical")+COUNTIFS($B$124:$B$144,$AA137,$L$124:$L$144,"High")</f>
        <v/>
      </c>
      <c r="AF137">
        <f>5-AC137</f>
        <v/>
      </c>
      <c r="AG137">
        <f>SUMPRODUCT(($B$124:$B$144=$AA137)*(ISNUMBER($H$124:$H$144)+($H$124:$H$144="N/A")))</f>
        <v/>
      </c>
      <c r="AH137">
        <f>'Assessment Questions'!AK137</f>
        <v/>
      </c>
      <c r="AI137">
        <f>'Assessment Questions'!AL137</f>
        <v/>
      </c>
      <c r="AJ137">
        <f>IF(OR($H137="",$H137="N/A"),"",IF($AH137="",VLOOKUP('Company Profile'!$B$40,_CONFIG_Model_Settings!$A$5:$B$8,2,FALSE),_xlfn.IFNA(VLOOKUP($AH137,_CONFIG_Model_Settings!$A$5:$B$8,2,FALSE),0.9)))</f>
        <v/>
      </c>
      <c r="AK137">
        <f>IF(OR($H137="",$H137="N/A"),"",IF($AI137="",VLOOKUP('Company Profile'!$B$41,_CONFIG_Model_Settings!$A$5:$B$8,2,FALSE),_xlfn.IFNA(VLOOKUP($AI137,_CONFIG_Model_Settings!$A$5:$B$8,2,FALSE),0.9)))</f>
        <v/>
      </c>
      <c r="AL137">
        <f>IF(OR($H137="",$H137="N/A"),"",ROUND(VALUE($H137)*$AJ137*$AK137*$AV137,2))</f>
        <v/>
      </c>
      <c r="AM137">
        <f>IF($AL137="","",ROUND($AL137/5*100,1))</f>
        <v/>
      </c>
      <c r="AN137">
        <f>IFERROR(MIN(5,MAX(0,(SUMIFS(_REF_Model_Content!$D$1:$D$157,_REF_Model_Content!$A$1:$A$157,'Company Profile'!$B$9,_REF_Model_Content!$B$1:$B$157,"Legal Risk"))+_xlfn.IFNA(VLOOKUP('Company Profile'!$B$35,_CONFIG_Model_Settings!$A$11:$B$13,2,0),0))),"")</f>
        <v/>
      </c>
      <c r="AO137">
        <f>IF($AL137="","",MAX(0,ROUND($AN137-$AL137,2)))</f>
        <v/>
      </c>
      <c r="AP137">
        <f>IFERROR(SUMIFS(_REF_Model_Content!$E$1:$E$157,_REF_Model_Content!$A$1:$A$157,'Company Profile'!$B$9,_REF_Model_Content!$B$1:$B$157,"Legal Risk"),1)</f>
        <v/>
      </c>
      <c r="AQ137">
        <f>IF($AO137="","",ROUND($AO137*$AP137*($G137/5),2))</f>
        <v/>
      </c>
      <c r="AR137">
        <f>IF($AO137="","",IF($AO137&gt;=2,"Critical industry gap",IF($AO137&gt;=1,"High industry gap",IF($AO137&gt;=0.5,"Moderate industry gap","Within target"))))</f>
        <v/>
      </c>
      <c r="AS137">
        <f>IF(OR($H137="",$H137="N/A"),0,VALUE($H137)*(($AJ137+$AK137)/2)*$AV137)</f>
        <v/>
      </c>
      <c r="AT137">
        <f>IF(OR($H137="",$H137="N/A"),0,($AJ137+$AK137)/2)</f>
        <v/>
      </c>
      <c r="AU137">
        <f>'Assessment Questions'!AX137</f>
        <v/>
      </c>
      <c r="AV137">
        <f>IF(OR($H137="",$H137="N/A"),"",IF(OR($AU137="",$AU137="Everywhere",$AU137="Not applicable"),1,IF($AU137="Pilot / one team",0.4,IF($AU137="One unit or site",0.7,0.9))))</f>
        <v/>
      </c>
      <c r="AW137" t="inlineStr">
        <is>
          <t>Legal Risk</t>
        </is>
      </c>
      <c r="AX137" t="inlineStr">
        <is>
          <t>Legal Risk</t>
        </is>
      </c>
      <c r="AY137" t="n">
        <v>18</v>
      </c>
      <c r="AZ137" t="n">
        <v>137</v>
      </c>
    </row>
    <row r="138">
      <c r="A138" t="inlineStr">
        <is>
          <t>LEGA-015</t>
        </is>
      </c>
      <c r="B138" t="inlineStr">
        <is>
          <t>Data and IP</t>
        </is>
      </c>
      <c r="C138" t="inlineStr">
        <is>
          <t>How mature is the organization in managing data processing agreements with vendors covering security, incident response, sub-processors and continuity, including ownership, evidence, metrics, fallback procedures and crisis stress testing?</t>
        </is>
      </c>
      <c r="D138" t="inlineStr">
        <is>
          <t>This topic affects exposure to Regulatory/legal shock; Contractual exposure; Data breach. It helps identify how disruption may impact operations, people, revenue, systems, legal exposure or recovery time.</t>
        </is>
      </c>
      <c r="E138" t="inlineStr">
        <is>
          <t>ISO 37301; ISO 31000; ISO 37001; ISO/IEC 27701; GDPR; contract management best practices</t>
        </is>
      </c>
      <c r="F138" t="inlineStr">
        <is>
          <t>Policy/SOP; owner/RACI; system report; dashboard; contracts; test records; incident history; interview evidence related to data processing agreements with vendors covering security, incident response, sub-processors and continuity.</t>
        </is>
      </c>
      <c r="G138">
        <f>'Assessment Questions'!J138</f>
        <v/>
      </c>
      <c r="H138">
        <f>IF($Z138="","",IF($Z138="N/A","N/A",VALUE(LEFT($Z138,1))))</f>
        <v/>
      </c>
      <c r="I138">
        <f>IF($H138="","",IF($H138="N/A","",VALUE($H138)/5*$G138))</f>
        <v/>
      </c>
      <c r="J138">
        <f>IF(OR($H138="",$H138="N/A"),"",$G138)</f>
        <v/>
      </c>
      <c r="K138">
        <f>IF(OR($H138="",$H138="N/A"),"",$J138-$I138)</f>
        <v/>
      </c>
      <c r="L138">
        <f>IF($H138="","",IF($H138="N/A","N/A",IF(VALUE($H138)&lt;=1,"Critical",IF(VALUE($H138)&lt;=2,"High",IF(VALUE($H138)&lt;=3,"Medium",IF(VALUE($H138)&lt;=4,"Low","Resilient"))))))</f>
        <v/>
      </c>
      <c r="M138" t="inlineStr">
        <is>
          <t>Does not exist; no owner, no documentation, no practice.</t>
        </is>
      </c>
      <c r="N138" t="inlineStr">
        <is>
          <t>Ad hoc; depends entirely on specific individuals.</t>
        </is>
      </c>
      <c r="O138" t="inlineStr">
        <is>
          <t>Partially documented or implemented; coverage inconsistent; never tested under stress.</t>
        </is>
      </c>
      <c r="P138" t="inlineStr">
        <is>
          <t>Documented, owned, executed consistently; basic evidence and metrics exist.</t>
        </is>
      </c>
      <c r="Q138" t="inlineStr">
        <is>
          <t>Measured and periodically tested/audited; integrated with adjacent processes.</t>
        </is>
      </c>
      <c r="R138" t="inlineStr">
        <is>
          <t>Optimized and automated where practical; stress-tested; benchmarked externally.</t>
        </is>
      </c>
      <c r="S138" t="inlineStr">
        <is>
          <t>Regulatory/legal shock; Contractual exposure; Data breach</t>
        </is>
      </c>
      <c r="T138">
        <f>'Assessment Questions'!W138</f>
        <v/>
      </c>
      <c r="U138">
        <f>'Assessment Questions'!X138</f>
        <v/>
      </c>
      <c r="V138">
        <f>'Assessment Questions'!Y138</f>
        <v/>
      </c>
      <c r="W138" t="n">
        <v>5</v>
      </c>
      <c r="X138" t="n">
        <v>5</v>
      </c>
      <c r="Y138" t="n">
        <v>5</v>
      </c>
      <c r="Z138">
        <f>'Assessment Questions'!AC138</f>
        <v/>
      </c>
      <c r="AB138">
        <f>COUNTIF($B$124:$B$144,$AA138)</f>
        <v/>
      </c>
      <c r="AC138">
        <f>IFERROR(SUMPRODUCT(($B$124:$B$144=$AA138)*($H$124:$H$144&lt;&gt;"")*($H$124:$H$144&lt;&gt;"N/A")*IFERROR(VALUE($H$124:$H$144),0))/SUMPRODUCT(($B$124:$B$144=$AA138)*($H$124:$H$144&lt;&gt;"")*($H$124:$H$144&lt;&gt;"N/A")),0)</f>
        <v/>
      </c>
      <c r="AD138">
        <f>AC138/5</f>
        <v/>
      </c>
      <c r="AE138">
        <f>COUNTIFS($B$124:$B$144,$AA138,$L$124:$L$144,"Critical")+COUNTIFS($B$124:$B$144,$AA138,$L$124:$L$144,"High")</f>
        <v/>
      </c>
      <c r="AF138">
        <f>5-AC138</f>
        <v/>
      </c>
      <c r="AG138">
        <f>SUMPRODUCT(($B$124:$B$144=$AA138)*(ISNUMBER($H$124:$H$144)+($H$124:$H$144="N/A")))</f>
        <v/>
      </c>
      <c r="AH138">
        <f>'Assessment Questions'!AK138</f>
        <v/>
      </c>
      <c r="AI138">
        <f>'Assessment Questions'!AL138</f>
        <v/>
      </c>
      <c r="AJ138">
        <f>IF(OR($H138="",$H138="N/A"),"",IF($AH138="",VLOOKUP('Company Profile'!$B$40,_CONFIG_Model_Settings!$A$5:$B$8,2,FALSE),_xlfn.IFNA(VLOOKUP($AH138,_CONFIG_Model_Settings!$A$5:$B$8,2,FALSE),0.9)))</f>
        <v/>
      </c>
      <c r="AK138">
        <f>IF(OR($H138="",$H138="N/A"),"",IF($AI138="",VLOOKUP('Company Profile'!$B$41,_CONFIG_Model_Settings!$A$5:$B$8,2,FALSE),_xlfn.IFNA(VLOOKUP($AI138,_CONFIG_Model_Settings!$A$5:$B$8,2,FALSE),0.9)))</f>
        <v/>
      </c>
      <c r="AL138">
        <f>IF(OR($H138="",$H138="N/A"),"",ROUND(VALUE($H138)*$AJ138*$AK138*$AV138,2))</f>
        <v/>
      </c>
      <c r="AM138">
        <f>IF($AL138="","",ROUND($AL138/5*100,1))</f>
        <v/>
      </c>
      <c r="AN138">
        <f>IFERROR(MIN(5,MAX(0,(SUMIFS(_REF_Model_Content!$D$1:$D$157,_REF_Model_Content!$A$1:$A$157,'Company Profile'!$B$9,_REF_Model_Content!$B$1:$B$157,"Legal Risk"))+_xlfn.IFNA(VLOOKUP('Company Profile'!$B$35,_CONFIG_Model_Settings!$A$11:$B$13,2,0),0))),"")</f>
        <v/>
      </c>
      <c r="AO138">
        <f>IF($AL138="","",MAX(0,ROUND($AN138-$AL138,2)))</f>
        <v/>
      </c>
      <c r="AP138">
        <f>IFERROR(SUMIFS(_REF_Model_Content!$E$1:$E$157,_REF_Model_Content!$A$1:$A$157,'Company Profile'!$B$9,_REF_Model_Content!$B$1:$B$157,"Legal Risk"),1)</f>
        <v/>
      </c>
      <c r="AQ138">
        <f>IF($AO138="","",ROUND($AO138*$AP138*($G138/5),2))</f>
        <v/>
      </c>
      <c r="AR138">
        <f>IF($AO138="","",IF($AO138&gt;=2,"Critical industry gap",IF($AO138&gt;=1,"High industry gap",IF($AO138&gt;=0.5,"Moderate industry gap","Within target"))))</f>
        <v/>
      </c>
      <c r="AS138">
        <f>IF(OR($H138="",$H138="N/A"),0,VALUE($H138)*(($AJ138+$AK138)/2)*$AV138)</f>
        <v/>
      </c>
      <c r="AT138">
        <f>IF(OR($H138="",$H138="N/A"),0,($AJ138+$AK138)/2)</f>
        <v/>
      </c>
      <c r="AU138">
        <f>'Assessment Questions'!AX138</f>
        <v/>
      </c>
      <c r="AV138">
        <f>IF(OR($H138="",$H138="N/A"),"",IF(OR($AU138="",$AU138="Everywhere",$AU138="Not applicable"),1,IF($AU138="Pilot / one team",0.4,IF($AU138="One unit or site",0.7,0.9))))</f>
        <v/>
      </c>
      <c r="AW138" t="inlineStr">
        <is>
          <t>Legal Risk</t>
        </is>
      </c>
      <c r="AX138" t="inlineStr">
        <is>
          <t>Legal Risk</t>
        </is>
      </c>
      <c r="AY138" t="n">
        <v>19</v>
      </c>
      <c r="AZ138" t="n">
        <v>138</v>
      </c>
    </row>
    <row r="139">
      <c r="A139" t="inlineStr">
        <is>
          <t>LEGA-016</t>
        </is>
      </c>
      <c r="B139" t="inlineStr">
        <is>
          <t>Data and IP</t>
        </is>
      </c>
      <c r="C139" t="inlineStr">
        <is>
          <t>How mature is the organization in managing intellectual property ownership for employees, contractors, suppliers, software, designs, data and AI models, including ownership, evidence, metrics, fallback procedures and crisis stress testing?</t>
        </is>
      </c>
      <c r="D139" t="inlineStr">
        <is>
          <t>This topic affects exposure to Regulatory/legal shock; Contractual exposure; Data breach. It helps identify how disruption may impact operations, people, revenue, systems, legal exposure or recovery time.</t>
        </is>
      </c>
      <c r="E139" t="inlineStr">
        <is>
          <t>ISO 37301; ISO 31000; ISO 37001; ISO/IEC 27701; GDPR; contract management best practices</t>
        </is>
      </c>
      <c r="F139" t="inlineStr">
        <is>
          <t>Policy/SOP; owner/RACI; system report; dashboard; contracts; test records; incident history; interview evidence related to intellectual property ownership for employees, contractors, suppliers, software, designs, data and AI models.</t>
        </is>
      </c>
      <c r="G139">
        <f>'Assessment Questions'!J139</f>
        <v/>
      </c>
      <c r="H139">
        <f>IF($Z139="","",IF($Z139="N/A","N/A",VALUE(LEFT($Z139,1))))</f>
        <v/>
      </c>
      <c r="I139">
        <f>IF($H139="","",IF($H139="N/A","",VALUE($H139)/5*$G139))</f>
        <v/>
      </c>
      <c r="J139">
        <f>IF(OR($H139="",$H139="N/A"),"",$G139)</f>
        <v/>
      </c>
      <c r="K139">
        <f>IF(OR($H139="",$H139="N/A"),"",$J139-$I139)</f>
        <v/>
      </c>
      <c r="L139">
        <f>IF($H139="","",IF($H139="N/A","N/A",IF(VALUE($H139)&lt;=1,"Critical",IF(VALUE($H139)&lt;=2,"High",IF(VALUE($H139)&lt;=3,"Medium",IF(VALUE($H139)&lt;=4,"Low","Resilient"))))))</f>
        <v/>
      </c>
      <c r="M139" t="inlineStr">
        <is>
          <t>Does not exist; no owner, no documentation, no practice.</t>
        </is>
      </c>
      <c r="N139" t="inlineStr">
        <is>
          <t>Ad hoc; depends entirely on specific individuals.</t>
        </is>
      </c>
      <c r="O139" t="inlineStr">
        <is>
          <t>Partially documented or implemented; coverage inconsistent; never tested under stress.</t>
        </is>
      </c>
      <c r="P139" t="inlineStr">
        <is>
          <t>Documented, owned, executed consistently; basic evidence and metrics exist.</t>
        </is>
      </c>
      <c r="Q139" t="inlineStr">
        <is>
          <t>Measured and periodically tested/audited; integrated with adjacent processes.</t>
        </is>
      </c>
      <c r="R139" t="inlineStr">
        <is>
          <t>Optimized and automated where practical; stress-tested; benchmarked externally.</t>
        </is>
      </c>
      <c r="S139" t="inlineStr">
        <is>
          <t>Regulatory/legal shock; Contractual exposure; Data breach</t>
        </is>
      </c>
      <c r="T139">
        <f>'Assessment Questions'!W139</f>
        <v/>
      </c>
      <c r="U139">
        <f>'Assessment Questions'!X139</f>
        <v/>
      </c>
      <c r="V139">
        <f>'Assessment Questions'!Y139</f>
        <v/>
      </c>
      <c r="W139" t="n">
        <v>5</v>
      </c>
      <c r="X139" t="n">
        <v>5</v>
      </c>
      <c r="Y139" t="n">
        <v>5</v>
      </c>
      <c r="Z139">
        <f>'Assessment Questions'!AC139</f>
        <v/>
      </c>
      <c r="AB139">
        <f>COUNTIF($B$124:$B$144,$AA139)</f>
        <v/>
      </c>
      <c r="AC139">
        <f>IFERROR(SUMPRODUCT(($B$124:$B$144=$AA139)*($H$124:$H$144&lt;&gt;"")*($H$124:$H$144&lt;&gt;"N/A")*IFERROR(VALUE($H$124:$H$144),0))/SUMPRODUCT(($B$124:$B$144=$AA139)*($H$124:$H$144&lt;&gt;"")*($H$124:$H$144&lt;&gt;"N/A")),0)</f>
        <v/>
      </c>
      <c r="AD139">
        <f>AC139/5</f>
        <v/>
      </c>
      <c r="AE139">
        <f>COUNTIFS($B$124:$B$144,$AA139,$L$124:$L$144,"Critical")+COUNTIFS($B$124:$B$144,$AA139,$L$124:$L$144,"High")</f>
        <v/>
      </c>
      <c r="AF139">
        <f>5-AC139</f>
        <v/>
      </c>
      <c r="AG139">
        <f>SUMPRODUCT(($B$124:$B$144=$AA139)*(ISNUMBER($H$124:$H$144)+($H$124:$H$144="N/A")))</f>
        <v/>
      </c>
      <c r="AH139">
        <f>'Assessment Questions'!AK139</f>
        <v/>
      </c>
      <c r="AI139">
        <f>'Assessment Questions'!AL139</f>
        <v/>
      </c>
      <c r="AJ139">
        <f>IF(OR($H139="",$H139="N/A"),"",IF($AH139="",VLOOKUP('Company Profile'!$B$40,_CONFIG_Model_Settings!$A$5:$B$8,2,FALSE),_xlfn.IFNA(VLOOKUP($AH139,_CONFIG_Model_Settings!$A$5:$B$8,2,FALSE),0.9)))</f>
        <v/>
      </c>
      <c r="AK139">
        <f>IF(OR($H139="",$H139="N/A"),"",IF($AI139="",VLOOKUP('Company Profile'!$B$41,_CONFIG_Model_Settings!$A$5:$B$8,2,FALSE),_xlfn.IFNA(VLOOKUP($AI139,_CONFIG_Model_Settings!$A$5:$B$8,2,FALSE),0.9)))</f>
        <v/>
      </c>
      <c r="AL139">
        <f>IF(OR($H139="",$H139="N/A"),"",ROUND(VALUE($H139)*$AJ139*$AK139*$AV139,2))</f>
        <v/>
      </c>
      <c r="AM139">
        <f>IF($AL139="","",ROUND($AL139/5*100,1))</f>
        <v/>
      </c>
      <c r="AN139">
        <f>IFERROR(MIN(5,MAX(0,(SUMIFS(_REF_Model_Content!$D$1:$D$157,_REF_Model_Content!$A$1:$A$157,'Company Profile'!$B$9,_REF_Model_Content!$B$1:$B$157,"Legal Risk"))+_xlfn.IFNA(VLOOKUP('Company Profile'!$B$35,_CONFIG_Model_Settings!$A$11:$B$13,2,0),0))),"")</f>
        <v/>
      </c>
      <c r="AO139">
        <f>IF($AL139="","",MAX(0,ROUND($AN139-$AL139,2)))</f>
        <v/>
      </c>
      <c r="AP139">
        <f>IFERROR(SUMIFS(_REF_Model_Content!$E$1:$E$157,_REF_Model_Content!$A$1:$A$157,'Company Profile'!$B$9,_REF_Model_Content!$B$1:$B$157,"Legal Risk"),1)</f>
        <v/>
      </c>
      <c r="AQ139">
        <f>IF($AO139="","",ROUND($AO139*$AP139*($G139/5),2))</f>
        <v/>
      </c>
      <c r="AR139">
        <f>IF($AO139="","",IF($AO139&gt;=2,"Critical industry gap",IF($AO139&gt;=1,"High industry gap",IF($AO139&gt;=0.5,"Moderate industry gap","Within target"))))</f>
        <v/>
      </c>
      <c r="AS139">
        <f>IF(OR($H139="",$H139="N/A"),0,VALUE($H139)*(($AJ139+$AK139)/2)*$AV139)</f>
        <v/>
      </c>
      <c r="AT139">
        <f>IF(OR($H139="",$H139="N/A"),0,($AJ139+$AK139)/2)</f>
        <v/>
      </c>
      <c r="AU139">
        <f>'Assessment Questions'!AX139</f>
        <v/>
      </c>
      <c r="AV139">
        <f>IF(OR($H139="",$H139="N/A"),"",IF(OR($AU139="",$AU139="Everywhere",$AU139="Not applicable"),1,IF($AU139="Pilot / one team",0.4,IF($AU139="One unit or site",0.7,0.9))))</f>
        <v/>
      </c>
      <c r="AW139" t="inlineStr">
        <is>
          <t>Legal Risk</t>
        </is>
      </c>
      <c r="AX139" t="inlineStr">
        <is>
          <t>Legal Risk</t>
        </is>
      </c>
      <c r="AY139" t="n">
        <v>20</v>
      </c>
      <c r="AZ139" t="n">
        <v>139</v>
      </c>
    </row>
    <row r="140">
      <c r="A140" t="inlineStr">
        <is>
          <t>LEGA-017</t>
        </is>
      </c>
      <c r="B140" t="inlineStr">
        <is>
          <t>Data and IP</t>
        </is>
      </c>
      <c r="C140" t="inlineStr">
        <is>
          <t>How mature is the organization in managing software license and open-source compliance for critical systems and products, including ownership, evidence, metrics, fallback procedures and crisis stress testing?</t>
        </is>
      </c>
      <c r="D140" t="inlineStr">
        <is>
          <t>This topic affects exposure to Regulatory/legal shock; Contractual exposure; Data breach. It helps identify how disruption may impact operations, people, revenue, systems, legal exposure or recovery time.</t>
        </is>
      </c>
      <c r="E140" t="inlineStr">
        <is>
          <t>ISO 37301; ISO 31000; ISO 37001; ISO/IEC 27701; GDPR; contract management best practices</t>
        </is>
      </c>
      <c r="F140" t="inlineStr">
        <is>
          <t>Policy/SOP; owner/RACI; system report; dashboard; contracts; test records; incident history; interview evidence related to software license and open-source compliance for critical systems and products.</t>
        </is>
      </c>
      <c r="G140">
        <f>'Assessment Questions'!J140</f>
        <v/>
      </c>
      <c r="H140">
        <f>IF($Z140="","",IF($Z140="N/A","N/A",VALUE(LEFT($Z140,1))))</f>
        <v/>
      </c>
      <c r="I140">
        <f>IF($H140="","",IF($H140="N/A","",VALUE($H140)/5*$G140))</f>
        <v/>
      </c>
      <c r="J140">
        <f>IF(OR($H140="",$H140="N/A"),"",$G140)</f>
        <v/>
      </c>
      <c r="K140">
        <f>IF(OR($H140="",$H140="N/A"),"",$J140-$I140)</f>
        <v/>
      </c>
      <c r="L140">
        <f>IF($H140="","",IF($H140="N/A","N/A",IF(VALUE($H140)&lt;=1,"Critical",IF(VALUE($H140)&lt;=2,"High",IF(VALUE($H140)&lt;=3,"Medium",IF(VALUE($H140)&lt;=4,"Low","Resilient"))))))</f>
        <v/>
      </c>
      <c r="M140" t="inlineStr">
        <is>
          <t>Does not exist; no owner, no documentation, no practice.</t>
        </is>
      </c>
      <c r="N140" t="inlineStr">
        <is>
          <t>Ad hoc; depends entirely on specific individuals.</t>
        </is>
      </c>
      <c r="O140" t="inlineStr">
        <is>
          <t>Partially documented or implemented; coverage inconsistent; never tested under stress.</t>
        </is>
      </c>
      <c r="P140" t="inlineStr">
        <is>
          <t>Documented, owned, executed consistently; basic evidence and metrics exist.</t>
        </is>
      </c>
      <c r="Q140" t="inlineStr">
        <is>
          <t>Measured and periodically tested/audited; integrated with adjacent processes.</t>
        </is>
      </c>
      <c r="R140" t="inlineStr">
        <is>
          <t>Optimized and automated where practical; stress-tested; benchmarked externally.</t>
        </is>
      </c>
      <c r="S140" t="inlineStr">
        <is>
          <t>Regulatory/legal shock; Contractual exposure; Data breach</t>
        </is>
      </c>
      <c r="T140">
        <f>'Assessment Questions'!W140</f>
        <v/>
      </c>
      <c r="U140">
        <f>'Assessment Questions'!X140</f>
        <v/>
      </c>
      <c r="V140">
        <f>'Assessment Questions'!Y140</f>
        <v/>
      </c>
      <c r="W140" t="n">
        <v>5</v>
      </c>
      <c r="X140" t="n">
        <v>5</v>
      </c>
      <c r="Y140" t="n">
        <v>5</v>
      </c>
      <c r="Z140">
        <f>'Assessment Questions'!AC140</f>
        <v/>
      </c>
      <c r="AB140">
        <f>COUNTIF($B$124:$B$144,$AA140)</f>
        <v/>
      </c>
      <c r="AC140">
        <f>IFERROR(SUMPRODUCT(($B$124:$B$144=$AA140)*($H$124:$H$144&lt;&gt;"")*($H$124:$H$144&lt;&gt;"N/A")*IFERROR(VALUE($H$124:$H$144),0))/SUMPRODUCT(($B$124:$B$144=$AA140)*($H$124:$H$144&lt;&gt;"")*($H$124:$H$144&lt;&gt;"N/A")),0)</f>
        <v/>
      </c>
      <c r="AD140">
        <f>AC140/5</f>
        <v/>
      </c>
      <c r="AE140">
        <f>COUNTIFS($B$124:$B$144,$AA140,$L$124:$L$144,"Critical")+COUNTIFS($B$124:$B$144,$AA140,$L$124:$L$144,"High")</f>
        <v/>
      </c>
      <c r="AF140">
        <f>5-AC140</f>
        <v/>
      </c>
      <c r="AG140">
        <f>SUMPRODUCT(($B$124:$B$144=$AA140)*(ISNUMBER($H$124:$H$144)+($H$124:$H$144="N/A")))</f>
        <v/>
      </c>
      <c r="AH140">
        <f>'Assessment Questions'!AK140</f>
        <v/>
      </c>
      <c r="AI140">
        <f>'Assessment Questions'!AL140</f>
        <v/>
      </c>
      <c r="AJ140">
        <f>IF(OR($H140="",$H140="N/A"),"",IF($AH140="",VLOOKUP('Company Profile'!$B$40,_CONFIG_Model_Settings!$A$5:$B$8,2,FALSE),_xlfn.IFNA(VLOOKUP($AH140,_CONFIG_Model_Settings!$A$5:$B$8,2,FALSE),0.9)))</f>
        <v/>
      </c>
      <c r="AK140">
        <f>IF(OR($H140="",$H140="N/A"),"",IF($AI140="",VLOOKUP('Company Profile'!$B$41,_CONFIG_Model_Settings!$A$5:$B$8,2,FALSE),_xlfn.IFNA(VLOOKUP($AI140,_CONFIG_Model_Settings!$A$5:$B$8,2,FALSE),0.9)))</f>
        <v/>
      </c>
      <c r="AL140">
        <f>IF(OR($H140="",$H140="N/A"),"",ROUND(VALUE($H140)*$AJ140*$AK140*$AV140,2))</f>
        <v/>
      </c>
      <c r="AM140">
        <f>IF($AL140="","",ROUND($AL140/5*100,1))</f>
        <v/>
      </c>
      <c r="AN140">
        <f>IFERROR(MIN(5,MAX(0,(SUMIFS(_REF_Model_Content!$D$1:$D$157,_REF_Model_Content!$A$1:$A$157,'Company Profile'!$B$9,_REF_Model_Content!$B$1:$B$157,"Legal Risk"))+_xlfn.IFNA(VLOOKUP('Company Profile'!$B$35,_CONFIG_Model_Settings!$A$11:$B$13,2,0),0))),"")</f>
        <v/>
      </c>
      <c r="AO140">
        <f>IF($AL140="","",MAX(0,ROUND($AN140-$AL140,2)))</f>
        <v/>
      </c>
      <c r="AP140">
        <f>IFERROR(SUMIFS(_REF_Model_Content!$E$1:$E$157,_REF_Model_Content!$A$1:$A$157,'Company Profile'!$B$9,_REF_Model_Content!$B$1:$B$157,"Legal Risk"),1)</f>
        <v/>
      </c>
      <c r="AQ140">
        <f>IF($AO140="","",ROUND($AO140*$AP140*($G140/5),2))</f>
        <v/>
      </c>
      <c r="AR140">
        <f>IF($AO140="","",IF($AO140&gt;=2,"Critical industry gap",IF($AO140&gt;=1,"High industry gap",IF($AO140&gt;=0.5,"Moderate industry gap","Within target"))))</f>
        <v/>
      </c>
      <c r="AS140">
        <f>IF(OR($H140="",$H140="N/A"),0,VALUE($H140)*(($AJ140+$AK140)/2)*$AV140)</f>
        <v/>
      </c>
      <c r="AT140">
        <f>IF(OR($H140="",$H140="N/A"),0,($AJ140+$AK140)/2)</f>
        <v/>
      </c>
      <c r="AU140">
        <f>'Assessment Questions'!AX140</f>
        <v/>
      </c>
      <c r="AV140">
        <f>IF(OR($H140="",$H140="N/A"),"",IF(OR($AU140="",$AU140="Everywhere",$AU140="Not applicable"),1,IF($AU140="Pilot / one team",0.4,IF($AU140="One unit or site",0.7,0.9))))</f>
        <v/>
      </c>
      <c r="AW140" t="inlineStr">
        <is>
          <t>Legal Risk</t>
        </is>
      </c>
      <c r="AX140" t="inlineStr">
        <is>
          <t>Legal Risk</t>
        </is>
      </c>
      <c r="AY140" t="n">
        <v>21</v>
      </c>
      <c r="AZ140" t="n">
        <v>140</v>
      </c>
    </row>
    <row r="141">
      <c r="A141" t="inlineStr">
        <is>
          <t>LEGA-018</t>
        </is>
      </c>
      <c r="B141" t="inlineStr">
        <is>
          <t>Data and IP</t>
        </is>
      </c>
      <c r="C141" t="inlineStr">
        <is>
          <t>How mature is the organization in managing records retention rules for legal, finance, HR, contracts, safety, customer and technical records, including ownership, evidence, metrics, fallback procedures and crisis stress testing?</t>
        </is>
      </c>
      <c r="D141" t="inlineStr">
        <is>
          <t>This topic affects exposure to Regulatory/legal shock; Contractual exposure; Data breach. It helps identify how disruption may impact operations, people, revenue, systems, legal exposure or recovery time.</t>
        </is>
      </c>
      <c r="E141" t="inlineStr">
        <is>
          <t>ISO 37301; ISO 31000; ISO 37001; ISO/IEC 27701; GDPR; contract management best practices</t>
        </is>
      </c>
      <c r="F141" t="inlineStr">
        <is>
          <t>Policy/SOP; owner/RACI; system report; dashboard; contracts; test records; incident history; interview evidence related to records retention rules for legal, finance, HR, contracts, safety, customer and technical records.</t>
        </is>
      </c>
      <c r="G141">
        <f>'Assessment Questions'!J141</f>
        <v/>
      </c>
      <c r="H141">
        <f>IF($Z141="","",IF($Z141="N/A","N/A",VALUE(LEFT($Z141,1))))</f>
        <v/>
      </c>
      <c r="I141">
        <f>IF($H141="","",IF($H141="N/A","",VALUE($H141)/5*$G141))</f>
        <v/>
      </c>
      <c r="J141">
        <f>IF(OR($H141="",$H141="N/A"),"",$G141)</f>
        <v/>
      </c>
      <c r="K141">
        <f>IF(OR($H141="",$H141="N/A"),"",$J141-$I141)</f>
        <v/>
      </c>
      <c r="L141">
        <f>IF($H141="","",IF($H141="N/A","N/A",IF(VALUE($H141)&lt;=1,"Critical",IF(VALUE($H141)&lt;=2,"High",IF(VALUE($H141)&lt;=3,"Medium",IF(VALUE($H141)&lt;=4,"Low","Resilient"))))))</f>
        <v/>
      </c>
      <c r="M141" t="inlineStr">
        <is>
          <t>Does not exist; no owner, no documentation, no practice.</t>
        </is>
      </c>
      <c r="N141" t="inlineStr">
        <is>
          <t>Ad hoc; depends entirely on specific individuals.</t>
        </is>
      </c>
      <c r="O141" t="inlineStr">
        <is>
          <t>Partially documented or implemented; coverage inconsistent; never tested under stress.</t>
        </is>
      </c>
      <c r="P141" t="inlineStr">
        <is>
          <t>Documented, owned, executed consistently; basic evidence and metrics exist.</t>
        </is>
      </c>
      <c r="Q141" t="inlineStr">
        <is>
          <t>Measured and periodically tested/audited; integrated with adjacent processes.</t>
        </is>
      </c>
      <c r="R141" t="inlineStr">
        <is>
          <t>Optimized and automated where practical; stress-tested; benchmarked externally.</t>
        </is>
      </c>
      <c r="S141" t="inlineStr">
        <is>
          <t>Regulatory/legal shock; Contractual exposure; Data breach</t>
        </is>
      </c>
      <c r="T141">
        <f>'Assessment Questions'!W141</f>
        <v/>
      </c>
      <c r="U141">
        <f>'Assessment Questions'!X141</f>
        <v/>
      </c>
      <c r="V141">
        <f>'Assessment Questions'!Y141</f>
        <v/>
      </c>
      <c r="W141" t="n">
        <v>5</v>
      </c>
      <c r="X141" t="n">
        <v>5</v>
      </c>
      <c r="Y141" t="n">
        <v>5</v>
      </c>
      <c r="Z141">
        <f>'Assessment Questions'!AC141</f>
        <v/>
      </c>
      <c r="AB141">
        <f>COUNTIF($B$124:$B$144,$AA141)</f>
        <v/>
      </c>
      <c r="AC141">
        <f>IFERROR(SUMPRODUCT(($B$124:$B$144=$AA141)*($H$124:$H$144&lt;&gt;"")*($H$124:$H$144&lt;&gt;"N/A")*IFERROR(VALUE($H$124:$H$144),0))/SUMPRODUCT(($B$124:$B$144=$AA141)*($H$124:$H$144&lt;&gt;"")*($H$124:$H$144&lt;&gt;"N/A")),0)</f>
        <v/>
      </c>
      <c r="AD141">
        <f>AC141/5</f>
        <v/>
      </c>
      <c r="AE141">
        <f>COUNTIFS($B$124:$B$144,$AA141,$L$124:$L$144,"Critical")+COUNTIFS($B$124:$B$144,$AA141,$L$124:$L$144,"High")</f>
        <v/>
      </c>
      <c r="AF141">
        <f>5-AC141</f>
        <v/>
      </c>
      <c r="AG141">
        <f>SUMPRODUCT(($B$124:$B$144=$AA141)*(ISNUMBER($H$124:$H$144)+($H$124:$H$144="N/A")))</f>
        <v/>
      </c>
      <c r="AH141">
        <f>'Assessment Questions'!AK141</f>
        <v/>
      </c>
      <c r="AI141">
        <f>'Assessment Questions'!AL141</f>
        <v/>
      </c>
      <c r="AJ141">
        <f>IF(OR($H141="",$H141="N/A"),"",IF($AH141="",VLOOKUP('Company Profile'!$B$40,_CONFIG_Model_Settings!$A$5:$B$8,2,FALSE),_xlfn.IFNA(VLOOKUP($AH141,_CONFIG_Model_Settings!$A$5:$B$8,2,FALSE),0.9)))</f>
        <v/>
      </c>
      <c r="AK141">
        <f>IF(OR($H141="",$H141="N/A"),"",IF($AI141="",VLOOKUP('Company Profile'!$B$41,_CONFIG_Model_Settings!$A$5:$B$8,2,FALSE),_xlfn.IFNA(VLOOKUP($AI141,_CONFIG_Model_Settings!$A$5:$B$8,2,FALSE),0.9)))</f>
        <v/>
      </c>
      <c r="AL141">
        <f>IF(OR($H141="",$H141="N/A"),"",ROUND(VALUE($H141)*$AJ141*$AK141*$AV141,2))</f>
        <v/>
      </c>
      <c r="AM141">
        <f>IF($AL141="","",ROUND($AL141/5*100,1))</f>
        <v/>
      </c>
      <c r="AN141">
        <f>IFERROR(MIN(5,MAX(0,(SUMIFS(_REF_Model_Content!$D$1:$D$157,_REF_Model_Content!$A$1:$A$157,'Company Profile'!$B$9,_REF_Model_Content!$B$1:$B$157,"Legal Risk"))+_xlfn.IFNA(VLOOKUP('Company Profile'!$B$35,_CONFIG_Model_Settings!$A$11:$B$13,2,0),0))),"")</f>
        <v/>
      </c>
      <c r="AO141">
        <f>IF($AL141="","",MAX(0,ROUND($AN141-$AL141,2)))</f>
        <v/>
      </c>
      <c r="AP141">
        <f>IFERROR(SUMIFS(_REF_Model_Content!$E$1:$E$157,_REF_Model_Content!$A$1:$A$157,'Company Profile'!$B$9,_REF_Model_Content!$B$1:$B$157,"Legal Risk"),1)</f>
        <v/>
      </c>
      <c r="AQ141">
        <f>IF($AO141="","",ROUND($AO141*$AP141*($G141/5),2))</f>
        <v/>
      </c>
      <c r="AR141">
        <f>IF($AO141="","",IF($AO141&gt;=2,"Critical industry gap",IF($AO141&gt;=1,"High industry gap",IF($AO141&gt;=0.5,"Moderate industry gap","Within target"))))</f>
        <v/>
      </c>
      <c r="AS141">
        <f>IF(OR($H141="",$H141="N/A"),0,VALUE($H141)*(($AJ141+$AK141)/2)*$AV141)</f>
        <v/>
      </c>
      <c r="AT141">
        <f>IF(OR($H141="",$H141="N/A"),0,($AJ141+$AK141)/2)</f>
        <v/>
      </c>
      <c r="AU141">
        <f>'Assessment Questions'!AX141</f>
        <v/>
      </c>
      <c r="AV141">
        <f>IF(OR($H141="",$H141="N/A"),"",IF(OR($AU141="",$AU141="Everywhere",$AU141="Not applicable"),1,IF($AU141="Pilot / one team",0.4,IF($AU141="One unit or site",0.7,0.9))))</f>
        <v/>
      </c>
      <c r="AW141" t="inlineStr">
        <is>
          <t>Legal Risk</t>
        </is>
      </c>
      <c r="AX141" t="inlineStr">
        <is>
          <t>Legal Risk</t>
        </is>
      </c>
      <c r="AY141" t="n">
        <v>22</v>
      </c>
      <c r="AZ141" t="n">
        <v>141</v>
      </c>
    </row>
    <row r="142">
      <c r="A142" t="inlineStr">
        <is>
          <t>LEGA-019</t>
        </is>
      </c>
      <c r="B142" t="inlineStr">
        <is>
          <t>Employment law</t>
        </is>
      </c>
      <c r="C142" t="inlineStr">
        <is>
          <t>How mature is the organization in managing legal options for relocation, evacuation, furlough, flexible work, terminations or hardship support by country, including ownership, evidence, metrics, fallback procedures and crisis stress testing?</t>
        </is>
      </c>
      <c r="D142" t="inlineStr">
        <is>
          <t>This topic affects exposure to Regulatory/legal shock; Contractual exposure; Data breach. It helps identify how disruption may impact operations, people, revenue, systems, legal exposure or recovery time.</t>
        </is>
      </c>
      <c r="E142" t="inlineStr">
        <is>
          <t>ISO 37301; ISO 31000; ISO 37001; ISO/IEC 27701; GDPR; contract management best practices</t>
        </is>
      </c>
      <c r="F142" t="inlineStr">
        <is>
          <t>Policy/SOP; owner/RACI; system report; dashboard; contracts; test records; incident history; interview evidence related to legal options for relocation, evacuation, furlough, flexible work, terminations or hardship support by country.</t>
        </is>
      </c>
      <c r="G142">
        <f>'Assessment Questions'!J142</f>
        <v/>
      </c>
      <c r="H142">
        <f>IF($Z142="","",IF($Z142="N/A","N/A",VALUE(LEFT($Z142,1))))</f>
        <v/>
      </c>
      <c r="I142">
        <f>IF($H142="","",IF($H142="N/A","",VALUE($H142)/5*$G142))</f>
        <v/>
      </c>
      <c r="J142">
        <f>IF(OR($H142="",$H142="N/A"),"",$G142)</f>
        <v/>
      </c>
      <c r="K142">
        <f>IF(OR($H142="",$H142="N/A"),"",$J142-$I142)</f>
        <v/>
      </c>
      <c r="L142">
        <f>IF($H142="","",IF($H142="N/A","N/A",IF(VALUE($H142)&lt;=1,"Critical",IF(VALUE($H142)&lt;=2,"High",IF(VALUE($H142)&lt;=3,"Medium",IF(VALUE($H142)&lt;=4,"Low","Resilient"))))))</f>
        <v/>
      </c>
      <c r="M142" t="inlineStr">
        <is>
          <t>No reliable evidence that legal options for relocation, evacuation, furlough, flexible work, terminations or hardship support by country is defined, owned or managed.</t>
        </is>
      </c>
      <c r="N142" t="inlineStr">
        <is>
          <t>Legal options for relocation, evacuation, furlough, flexible work, terminations or hardship support by country is handled informally and depends on individual knowledge or heroic effort.</t>
        </is>
      </c>
      <c r="O142" t="inlineStr">
        <is>
          <t>Legal options for relocation, evacuation, furlough, flexible work, terminations or hardship support by country is partially documented or implemented, but coverage is inconsistent and not crisis-tested.</t>
        </is>
      </c>
      <c r="P142" t="inlineStr">
        <is>
          <t>Legal options for relocation, evacuation, furlough, flexible work, terminations or hardship support by country is documented, owned, used in normal operations and supported by basic evidence or metrics.</t>
        </is>
      </c>
      <c r="Q142" t="inlineStr">
        <is>
          <t>Legal options for relocation, evacuation, furlough, flexible work, terminations or hardship support by country is measured, periodically reviewed, integrated with related processes and tested against relevant disruption scenarios.</t>
        </is>
      </c>
      <c r="R142" t="inlineStr">
        <is>
          <t>Legal options for relocation, evacuation, furlough, flexible work, terminations or hardship support by country is optimized, continuously improved, automated where practical and demonstrably supports crisis resilience.</t>
        </is>
      </c>
      <c r="S142" t="inlineStr">
        <is>
          <t>Regulatory/legal shock; Contractual exposure; Data breach</t>
        </is>
      </c>
      <c r="T142">
        <f>'Assessment Questions'!W142</f>
        <v/>
      </c>
      <c r="U142">
        <f>'Assessment Questions'!X142</f>
        <v/>
      </c>
      <c r="V142">
        <f>'Assessment Questions'!Y142</f>
        <v/>
      </c>
      <c r="W142" t="n">
        <v>5</v>
      </c>
      <c r="X142" t="n">
        <v>5</v>
      </c>
      <c r="Y142" t="n">
        <v>5</v>
      </c>
      <c r="Z142">
        <f>'Assessment Questions'!AC142</f>
        <v/>
      </c>
      <c r="AB142">
        <f>COUNTIF($B$124:$B$144,$AA142)</f>
        <v/>
      </c>
      <c r="AC142">
        <f>IFERROR(SUMPRODUCT(($B$124:$B$144=$AA142)*($H$124:$H$144&lt;&gt;"")*($H$124:$H$144&lt;&gt;"N/A")*IFERROR(VALUE($H$124:$H$144),0))/SUMPRODUCT(($B$124:$B$144=$AA142)*($H$124:$H$144&lt;&gt;"")*($H$124:$H$144&lt;&gt;"N/A")),0)</f>
        <v/>
      </c>
      <c r="AD142">
        <f>AC142/5</f>
        <v/>
      </c>
      <c r="AE142">
        <f>COUNTIFS($B$124:$B$144,$AA142,$L$124:$L$144,"Critical")+COUNTIFS($B$124:$B$144,$AA142,$L$124:$L$144,"High")</f>
        <v/>
      </c>
      <c r="AF142">
        <f>5-AC142</f>
        <v/>
      </c>
      <c r="AG142">
        <f>SUMPRODUCT(($B$124:$B$144=$AA142)*(ISNUMBER($H$124:$H$144)+($H$124:$H$144="N/A")))</f>
        <v/>
      </c>
      <c r="AH142">
        <f>'Assessment Questions'!AK142</f>
        <v/>
      </c>
      <c r="AI142">
        <f>'Assessment Questions'!AL142</f>
        <v/>
      </c>
      <c r="AJ142">
        <f>IF(OR($H142="",$H142="N/A"),"",IF($AH142="",VLOOKUP('Company Profile'!$B$40,_CONFIG_Model_Settings!$A$5:$B$8,2,FALSE),_xlfn.IFNA(VLOOKUP($AH142,_CONFIG_Model_Settings!$A$5:$B$8,2,FALSE),0.9)))</f>
        <v/>
      </c>
      <c r="AK142">
        <f>IF(OR($H142="",$H142="N/A"),"",IF($AI142="",VLOOKUP('Company Profile'!$B$41,_CONFIG_Model_Settings!$A$5:$B$8,2,FALSE),_xlfn.IFNA(VLOOKUP($AI142,_CONFIG_Model_Settings!$A$5:$B$8,2,FALSE),0.9)))</f>
        <v/>
      </c>
      <c r="AL142">
        <f>IF(OR($H142="",$H142="N/A"),"",ROUND(VALUE($H142)*$AJ142*$AK142*$AV142,2))</f>
        <v/>
      </c>
      <c r="AM142">
        <f>IF($AL142="","",ROUND($AL142/5*100,1))</f>
        <v/>
      </c>
      <c r="AN142">
        <f>IFERROR(MIN(5,MAX(0,(SUMIFS(_REF_Model_Content!$D$1:$D$157,_REF_Model_Content!$A$1:$A$157,'Company Profile'!$B$9,_REF_Model_Content!$B$1:$B$157,"Legal Risk"))+_xlfn.IFNA(VLOOKUP('Company Profile'!$B$35,_CONFIG_Model_Settings!$A$11:$B$13,2,0),0))),"")</f>
        <v/>
      </c>
      <c r="AO142">
        <f>IF($AL142="","",MAX(0,ROUND($AN142-$AL142,2)))</f>
        <v/>
      </c>
      <c r="AP142">
        <f>IFERROR(SUMIFS(_REF_Model_Content!$E$1:$E$157,_REF_Model_Content!$A$1:$A$157,'Company Profile'!$B$9,_REF_Model_Content!$B$1:$B$157,"Legal Risk"),1)</f>
        <v/>
      </c>
      <c r="AQ142">
        <f>IF($AO142="","",ROUND($AO142*$AP142*($G142/5),2))</f>
        <v/>
      </c>
      <c r="AR142">
        <f>IF($AO142="","",IF($AO142&gt;=2,"Critical industry gap",IF($AO142&gt;=1,"High industry gap",IF($AO142&gt;=0.5,"Moderate industry gap","Within target"))))</f>
        <v/>
      </c>
      <c r="AS142">
        <f>IF(OR($H142="",$H142="N/A"),0,VALUE($H142)*(($AJ142+$AK142)/2)*$AV142)</f>
        <v/>
      </c>
      <c r="AT142">
        <f>IF(OR($H142="",$H142="N/A"),0,($AJ142+$AK142)/2)</f>
        <v/>
      </c>
      <c r="AU142">
        <f>'Assessment Questions'!AX142</f>
        <v/>
      </c>
      <c r="AV142">
        <f>IF(OR($H142="",$H142="N/A"),"",IF(OR($AU142="",$AU142="Everywhere",$AU142="Not applicable"),1,IF($AU142="Pilot / one team",0.4,IF($AU142="One unit or site",0.7,0.9))))</f>
        <v/>
      </c>
      <c r="AW142" t="inlineStr">
        <is>
          <t>Legal Risk</t>
        </is>
      </c>
      <c r="AX142" t="inlineStr">
        <is>
          <t>Legal Risk</t>
        </is>
      </c>
      <c r="AY142" t="n">
        <v>23</v>
      </c>
      <c r="AZ142" t="n">
        <v>142</v>
      </c>
    </row>
    <row r="143">
      <c r="A143" t="inlineStr">
        <is>
          <t>LEGA-020</t>
        </is>
      </c>
      <c r="B143" t="inlineStr">
        <is>
          <t>Employment law</t>
        </is>
      </c>
      <c r="C143" t="inlineStr">
        <is>
          <t>How mature is the organization in managing labor relations, works council or union obligations during restructuring or crisis measures, including ownership, evidence, metrics, fallback procedures and crisis stress testing?</t>
        </is>
      </c>
      <c r="D143" t="inlineStr">
        <is>
          <t>This topic affects exposure to Regulatory/legal shock; Contractual exposure; Data breach. It helps identify how disruption may impact operations, people, revenue, systems, legal exposure or recovery time.</t>
        </is>
      </c>
      <c r="E143" t="inlineStr">
        <is>
          <t>ISO 37301; ISO 31000; ISO 37001; ISO/IEC 27701; GDPR; contract management best practices</t>
        </is>
      </c>
      <c r="F143" t="inlineStr">
        <is>
          <t>Policy/SOP; owner/RACI; system report; dashboard; contracts; test records; incident history; interview evidence related to labor relations, works council or union obligations during restructuring or crisis measures.</t>
        </is>
      </c>
      <c r="G143">
        <f>'Assessment Questions'!J143</f>
        <v/>
      </c>
      <c r="H143">
        <f>IF($Z143="","",IF($Z143="N/A","N/A",VALUE(LEFT($Z143,1))))</f>
        <v/>
      </c>
      <c r="I143">
        <f>IF($H143="","",IF($H143="N/A","",VALUE($H143)/5*$G143))</f>
        <v/>
      </c>
      <c r="J143">
        <f>IF(OR($H143="",$H143="N/A"),"",$G143)</f>
        <v/>
      </c>
      <c r="K143">
        <f>IF(OR($H143="",$H143="N/A"),"",$J143-$I143)</f>
        <v/>
      </c>
      <c r="L143">
        <f>IF($H143="","",IF($H143="N/A","N/A",IF(VALUE($H143)&lt;=1,"Critical",IF(VALUE($H143)&lt;=2,"High",IF(VALUE($H143)&lt;=3,"Medium",IF(VALUE($H143)&lt;=4,"Low","Resilient"))))))</f>
        <v/>
      </c>
      <c r="M143" t="inlineStr">
        <is>
          <t>Nothing is monitored or measured.</t>
        </is>
      </c>
      <c r="N143" t="inlineStr">
        <is>
          <t>Occasional manual checks by individuals.</t>
        </is>
      </c>
      <c r="O143" t="inlineStr">
        <is>
          <t>Some metrics exist but are not reviewed regularly and trigger no action.</t>
        </is>
      </c>
      <c r="P143" t="inlineStr">
        <is>
          <t>Defined metrics with an owner, reviewed on a set cadence.</t>
        </is>
      </c>
      <c r="Q143" t="inlineStr">
        <is>
          <t>Thresholds and alerts in place; deviations trigger documented action; trends analyzed.</t>
        </is>
      </c>
      <c r="R143" t="inlineStr">
        <is>
          <t>Automated monitoring with leading indicators, integrated into management decisions.</t>
        </is>
      </c>
      <c r="S143" t="inlineStr">
        <is>
          <t>Regulatory/legal shock; Contractual exposure; Data breach</t>
        </is>
      </c>
      <c r="T143">
        <f>'Assessment Questions'!W143</f>
        <v/>
      </c>
      <c r="U143">
        <f>'Assessment Questions'!X143</f>
        <v/>
      </c>
      <c r="V143">
        <f>'Assessment Questions'!Y143</f>
        <v/>
      </c>
      <c r="W143" t="n">
        <v>5</v>
      </c>
      <c r="X143" t="n">
        <v>5</v>
      </c>
      <c r="Y143" t="n">
        <v>5</v>
      </c>
      <c r="Z143">
        <f>'Assessment Questions'!AC143</f>
        <v/>
      </c>
      <c r="AB143">
        <f>COUNTIF($B$124:$B$144,$AA143)</f>
        <v/>
      </c>
      <c r="AC143">
        <f>IFERROR(SUMPRODUCT(($B$124:$B$144=$AA143)*($H$124:$H$144&lt;&gt;"")*($H$124:$H$144&lt;&gt;"N/A")*IFERROR(VALUE($H$124:$H$144),0))/SUMPRODUCT(($B$124:$B$144=$AA143)*($H$124:$H$144&lt;&gt;"")*($H$124:$H$144&lt;&gt;"N/A")),0)</f>
        <v/>
      </c>
      <c r="AD143">
        <f>AC143/5</f>
        <v/>
      </c>
      <c r="AE143">
        <f>COUNTIFS($B$124:$B$144,$AA143,$L$124:$L$144,"Critical")+COUNTIFS($B$124:$B$144,$AA143,$L$124:$L$144,"High")</f>
        <v/>
      </c>
      <c r="AF143">
        <f>5-AC143</f>
        <v/>
      </c>
      <c r="AG143">
        <f>SUMPRODUCT(($B$124:$B$144=$AA143)*(ISNUMBER($H$124:$H$144)+($H$124:$H$144="N/A")))</f>
        <v/>
      </c>
      <c r="AH143">
        <f>'Assessment Questions'!AK143</f>
        <v/>
      </c>
      <c r="AI143">
        <f>'Assessment Questions'!AL143</f>
        <v/>
      </c>
      <c r="AJ143">
        <f>IF(OR($H143="",$H143="N/A"),"",IF($AH143="",VLOOKUP('Company Profile'!$B$40,_CONFIG_Model_Settings!$A$5:$B$8,2,FALSE),_xlfn.IFNA(VLOOKUP($AH143,_CONFIG_Model_Settings!$A$5:$B$8,2,FALSE),0.9)))</f>
        <v/>
      </c>
      <c r="AK143">
        <f>IF(OR($H143="",$H143="N/A"),"",IF($AI143="",VLOOKUP('Company Profile'!$B$41,_CONFIG_Model_Settings!$A$5:$B$8,2,FALSE),_xlfn.IFNA(VLOOKUP($AI143,_CONFIG_Model_Settings!$A$5:$B$8,2,FALSE),0.9)))</f>
        <v/>
      </c>
      <c r="AL143">
        <f>IF(OR($H143="",$H143="N/A"),"",ROUND(VALUE($H143)*$AJ143*$AK143*$AV143,2))</f>
        <v/>
      </c>
      <c r="AM143">
        <f>IF($AL143="","",ROUND($AL143/5*100,1))</f>
        <v/>
      </c>
      <c r="AN143">
        <f>IFERROR(MIN(5,MAX(0,(SUMIFS(_REF_Model_Content!$D$1:$D$157,_REF_Model_Content!$A$1:$A$157,'Company Profile'!$B$9,_REF_Model_Content!$B$1:$B$157,"Legal Risk"))+_xlfn.IFNA(VLOOKUP('Company Profile'!$B$35,_CONFIG_Model_Settings!$A$11:$B$13,2,0),0))),"")</f>
        <v/>
      </c>
      <c r="AO143">
        <f>IF($AL143="","",MAX(0,ROUND($AN143-$AL143,2)))</f>
        <v/>
      </c>
      <c r="AP143">
        <f>IFERROR(SUMIFS(_REF_Model_Content!$E$1:$E$157,_REF_Model_Content!$A$1:$A$157,'Company Profile'!$B$9,_REF_Model_Content!$B$1:$B$157,"Legal Risk"),1)</f>
        <v/>
      </c>
      <c r="AQ143">
        <f>IF($AO143="","",ROUND($AO143*$AP143*($G143/5),2))</f>
        <v/>
      </c>
      <c r="AR143">
        <f>IF($AO143="","",IF($AO143&gt;=2,"Critical industry gap",IF($AO143&gt;=1,"High industry gap",IF($AO143&gt;=0.5,"Moderate industry gap","Within target"))))</f>
        <v/>
      </c>
      <c r="AS143">
        <f>IF(OR($H143="",$H143="N/A"),0,VALUE($H143)*(($AJ143+$AK143)/2)*$AV143)</f>
        <v/>
      </c>
      <c r="AT143">
        <f>IF(OR($H143="",$H143="N/A"),0,($AJ143+$AK143)/2)</f>
        <v/>
      </c>
      <c r="AU143">
        <f>'Assessment Questions'!AX143</f>
        <v/>
      </c>
      <c r="AV143">
        <f>IF(OR($H143="",$H143="N/A"),"",IF(OR($AU143="",$AU143="Everywhere",$AU143="Not applicable"),1,IF($AU143="Pilot / one team",0.4,IF($AU143="One unit or site",0.7,0.9))))</f>
        <v/>
      </c>
      <c r="AW143" t="inlineStr">
        <is>
          <t>Legal Risk</t>
        </is>
      </c>
      <c r="AX143" t="inlineStr">
        <is>
          <t>Legal Risk</t>
        </is>
      </c>
      <c r="AY143" t="n">
        <v>24</v>
      </c>
      <c r="AZ143" t="n">
        <v>143</v>
      </c>
    </row>
    <row r="144">
      <c r="A144" t="inlineStr">
        <is>
          <t>LEGA-021</t>
        </is>
      </c>
      <c r="B144" t="inlineStr">
        <is>
          <t>Compliance</t>
        </is>
      </c>
      <c r="C144" t="inlineStr">
        <is>
          <t>How mature is the organization in managing litigation and dispute portfolio management with a dispute register, external counsel panel and budget control, including ownership, evidence, metrics, fallback procedures and crisis stress testing?</t>
        </is>
      </c>
      <c r="D144" t="inlineStr">
        <is>
          <t>This topic affects exposure to Regulatory/legal shock; Financial/liquidity crisis. It helps identify how disruption may impact operations, people, revenue, systems, legal exposure or recovery time.</t>
        </is>
      </c>
      <c r="E144" t="inlineStr">
        <is>
          <t>legal operations practices; ISO 31000</t>
        </is>
      </c>
      <c r="F144" t="inlineStr">
        <is>
          <t>Policy/SOP; owner/RACI; system report; dashboard; contracts; test records; incident history; interview evidence</t>
        </is>
      </c>
      <c r="G144">
        <f>'Assessment Questions'!J144</f>
        <v/>
      </c>
      <c r="H144">
        <f>IF($Z144="","",IF($Z144="N/A","N/A",VALUE(LEFT($Z144,1))))</f>
        <v/>
      </c>
      <c r="I144">
        <f>IF($H144="","",IF($H144="N/A","",VALUE($H144)/5*$G144))</f>
        <v/>
      </c>
      <c r="J144">
        <f>IF(OR($H144="",$H144="N/A"),"",$G144)</f>
        <v/>
      </c>
      <c r="K144">
        <f>IF(OR($H144="",$H144="N/A"),"",$J144-$I144)</f>
        <v/>
      </c>
      <c r="L144">
        <f>IF($H144="","",IF($H144="N/A","N/A",IF(VALUE($H144)&lt;=1,"Critical",IF(VALUE($H144)&lt;=2,"High",IF(VALUE($H144)&lt;=3,"Medium",IF(VALUE($H144)&lt;=4,"Low","Resilient"))))))</f>
        <v/>
      </c>
      <c r="M144" t="inlineStr">
        <is>
          <t>No reliable evidence that litigation and dispute portfolio management with a dispute register, external counsel panel and budget control is defined, owned or managed.</t>
        </is>
      </c>
      <c r="N144" t="inlineStr">
        <is>
          <t>Litigation and dispute portfolio management with a dispute register, external counsel panel and budget control is handled informally and depends on individual knowledge or heroic effort.</t>
        </is>
      </c>
      <c r="O144" t="inlineStr">
        <is>
          <t>Litigation and dispute portfolio management with a dispute register, external counsel panel and budget control is partially documented or implemented, but coverage is inconsistent and not crisis-tested.</t>
        </is>
      </c>
      <c r="P144" t="inlineStr">
        <is>
          <t>Litigation and dispute portfolio management with a dispute register, external counsel panel and budget control is documented, owned, used in normal operations and supported by basic evidence or metrics.</t>
        </is>
      </c>
      <c r="Q144" t="inlineStr">
        <is>
          <t>Litigation and dispute portfolio management with a dispute register, external counsel panel and budget control is measured, periodically reviewed, integrated with related processes and tested against relevant disruption scenarios.</t>
        </is>
      </c>
      <c r="R144" t="inlineStr">
        <is>
          <t>Litigation and dispute portfolio management with a dispute register, external counsel panel and budget control is optimized, continuously improved, automated where practical and demonstrably supports crisis resilience.</t>
        </is>
      </c>
      <c r="S144" t="inlineStr">
        <is>
          <t>Regulatory/legal shock; Financial/liquidity crisis</t>
        </is>
      </c>
      <c r="T144">
        <f>'Assessment Questions'!W144</f>
        <v/>
      </c>
      <c r="U144">
        <f>'Assessment Questions'!X144</f>
        <v/>
      </c>
      <c r="V144">
        <f>'Assessment Questions'!Y144</f>
        <v/>
      </c>
      <c r="W144" t="n">
        <v>3</v>
      </c>
      <c r="X144" t="n">
        <v>3</v>
      </c>
      <c r="Y144" t="n">
        <v>4</v>
      </c>
      <c r="Z144">
        <f>'Assessment Questions'!AC144</f>
        <v/>
      </c>
      <c r="AB144">
        <f>COUNTIF($B$124:$B$144,$AA144)</f>
        <v/>
      </c>
      <c r="AC144">
        <f>IFERROR(SUMPRODUCT(($B$124:$B$144=$AA144)*($H$124:$H$144&lt;&gt;"")*($H$124:$H$144&lt;&gt;"N/A")*IFERROR(VALUE($H$124:$H$144),0))/SUMPRODUCT(($B$124:$B$144=$AA144)*($H$124:$H$144&lt;&gt;"")*($H$124:$H$144&lt;&gt;"N/A")),0)</f>
        <v/>
      </c>
      <c r="AD144">
        <f>AC144/5</f>
        <v/>
      </c>
      <c r="AE144">
        <f>COUNTIFS($B$124:$B$144,$AA144,$L$124:$L$144,"Critical")+COUNTIFS($B$124:$B$144,$AA144,$L$124:$L$144,"High")</f>
        <v/>
      </c>
      <c r="AF144">
        <f>5-AC144</f>
        <v/>
      </c>
      <c r="AG144">
        <f>SUMPRODUCT(($B$124:$B$144=$AA144)*(ISNUMBER($H$124:$H$144)+($H$124:$H$144="N/A")))</f>
        <v/>
      </c>
      <c r="AH144">
        <f>'Assessment Questions'!AK144</f>
        <v/>
      </c>
      <c r="AI144">
        <f>'Assessment Questions'!AL144</f>
        <v/>
      </c>
      <c r="AJ144">
        <f>IF(OR($H144="",$H144="N/A"),"",IF($AH144="",VLOOKUP('Company Profile'!$B$40,_CONFIG_Model_Settings!$A$5:$B$8,2,FALSE),_xlfn.IFNA(VLOOKUP($AH144,_CONFIG_Model_Settings!$A$5:$B$8,2,FALSE),0.9)))</f>
        <v/>
      </c>
      <c r="AK144">
        <f>IF(OR($H144="",$H144="N/A"),"",IF($AI144="",VLOOKUP('Company Profile'!$B$41,_CONFIG_Model_Settings!$A$5:$B$8,2,FALSE),_xlfn.IFNA(VLOOKUP($AI144,_CONFIG_Model_Settings!$A$5:$B$8,2,FALSE),0.9)))</f>
        <v/>
      </c>
      <c r="AL144">
        <f>IF(OR($H144="",$H144="N/A"),"",ROUND(VALUE($H144)*$AJ144*$AK144*$AV144,2))</f>
        <v/>
      </c>
      <c r="AM144">
        <f>IF($AL144="","",ROUND($AL144/5*100,1))</f>
        <v/>
      </c>
      <c r="AN144">
        <f>IFERROR(MIN(5,MAX(0,(SUMIFS(_REF_Model_Content!$D$1:$D$157,_REF_Model_Content!$A$1:$A$157,'Company Profile'!$B$9,_REF_Model_Content!$B$1:$B$157,"Legal Risk"))+_xlfn.IFNA(VLOOKUP('Company Profile'!$B$35,_CONFIG_Model_Settings!$A$11:$B$13,2,0),0))),"")</f>
        <v/>
      </c>
      <c r="AO144">
        <f>IF($AL144="","",MAX(0,ROUND($AN144-$AL144,2)))</f>
        <v/>
      </c>
      <c r="AP144">
        <f>IFERROR(SUMIFS(_REF_Model_Content!$E$1:$E$157,_REF_Model_Content!$A$1:$A$157,'Company Profile'!$B$9,_REF_Model_Content!$B$1:$B$157,"Legal Risk"),1)</f>
        <v/>
      </c>
      <c r="AQ144">
        <f>IF($AO144="","",ROUND($AO144*$AP144*($G144/5),2))</f>
        <v/>
      </c>
      <c r="AR144">
        <f>IF($AO144="","",IF($AO144&gt;=2,"Critical industry gap",IF($AO144&gt;=1,"High industry gap",IF($AO144&gt;=0.5,"Moderate industry gap","Within target"))))</f>
        <v/>
      </c>
      <c r="AS144">
        <f>IF(OR($H144="",$H144="N/A"),0,VALUE($H144)*(($AJ144+$AK144)/2)*$AV144)</f>
        <v/>
      </c>
      <c r="AT144">
        <f>IF(OR($H144="",$H144="N/A"),0,($AJ144+$AK144)/2)</f>
        <v/>
      </c>
      <c r="AU144">
        <f>'Assessment Questions'!AX144</f>
        <v/>
      </c>
      <c r="AV144">
        <f>IF(OR($H144="",$H144="N/A"),"",IF(OR($AU144="",$AU144="Everywhere",$AU144="Not applicable"),1,IF($AU144="Pilot / one team",0.4,IF($AU144="One unit or site",0.7,0.9))))</f>
        <v/>
      </c>
      <c r="AW144" t="inlineStr">
        <is>
          <t>Legal Risk</t>
        </is>
      </c>
      <c r="AX144" t="inlineStr">
        <is>
          <t>Legal Risk</t>
        </is>
      </c>
      <c r="AY144" t="n">
        <v>25</v>
      </c>
      <c r="AZ144" t="n">
        <v>144</v>
      </c>
    </row>
    <row r="145">
      <c r="A145" t="inlineStr">
        <is>
          <t>PHYS-001</t>
        </is>
      </c>
      <c r="B145" t="inlineStr">
        <is>
          <t>OH&amp;S governance</t>
        </is>
      </c>
      <c r="C145" t="inlineStr">
        <is>
          <t>How mature is the organization in managing occupational health and safety management system with owners, objectives, audits and management review, including ownership, evidence, metrics, fallback procedures and crisis stress testing?</t>
        </is>
      </c>
      <c r="D145" t="inlineStr">
        <is>
          <t>This topic affects exposure to Safety incident; Physical site loss; War/security crisis; Natural disaster. It helps identify how disruption may impact operations, people, revenue, systems, legal exposure or recovery time.</t>
        </is>
      </c>
      <c r="E145" t="inlineStr">
        <is>
          <t>ISO 45001; ISO 22320; ISO 31030; ISO 18788; ISO 22301; NFPA; local OH&amp;S rules</t>
        </is>
      </c>
      <c r="F145" t="inlineStr">
        <is>
          <t>Policy/SOP; owner/RACI; system report; dashboard; contracts; test records; incident history; interview evidence related to occupational health and safety management system with owners, objectives, audits and management review.</t>
        </is>
      </c>
      <c r="G145">
        <f>'Assessment Questions'!J145</f>
        <v/>
      </c>
      <c r="H145">
        <f>IF($Z145="","",IF($Z145="N/A","N/A",VALUE(LEFT($Z145,1))))</f>
        <v/>
      </c>
      <c r="I145">
        <f>IF($H145="","",IF($H145="N/A","",VALUE($H145)/5*$G145))</f>
        <v/>
      </c>
      <c r="J145">
        <f>IF(OR($H145="",$H145="N/A"),"",$G145)</f>
        <v/>
      </c>
      <c r="K145">
        <f>IF(OR($H145="",$H145="N/A"),"",$J145-$I145)</f>
        <v/>
      </c>
      <c r="L145">
        <f>IF($H145="","",IF($H145="N/A","N/A",IF(VALUE($H145)&lt;=1,"Critical",IF(VALUE($H145)&lt;=2,"High",IF(VALUE($H145)&lt;=3,"Medium",IF(VALUE($H145)&lt;=4,"Low","Resilient"))))))</f>
        <v/>
      </c>
      <c r="M145" t="inlineStr">
        <is>
          <t>Does not exist; no owner, no documentation, no practice.</t>
        </is>
      </c>
      <c r="N145" t="inlineStr">
        <is>
          <t>Ad hoc; depends entirely on specific individuals.</t>
        </is>
      </c>
      <c r="O145" t="inlineStr">
        <is>
          <t>Partially documented or implemented; coverage inconsistent; never tested under stress.</t>
        </is>
      </c>
      <c r="P145" t="inlineStr">
        <is>
          <t>Documented, owned, executed consistently; basic evidence and metrics exist.</t>
        </is>
      </c>
      <c r="Q145" t="inlineStr">
        <is>
          <t>Measured and periodically tested/audited; integrated with adjacent processes.</t>
        </is>
      </c>
      <c r="R145" t="inlineStr">
        <is>
          <t>Optimized and automated where practical; stress-tested; benchmarked externally.</t>
        </is>
      </c>
      <c r="S145" t="inlineStr">
        <is>
          <t>Safety incident; Physical site loss; War/security crisis; Natural disaster</t>
        </is>
      </c>
      <c r="T145">
        <f>'Assessment Questions'!W145</f>
        <v/>
      </c>
      <c r="U145">
        <f>'Assessment Questions'!X145</f>
        <v/>
      </c>
      <c r="V145">
        <f>'Assessment Questions'!Y145</f>
        <v/>
      </c>
      <c r="W145" t="n">
        <v>4</v>
      </c>
      <c r="X145" t="n">
        <v>5</v>
      </c>
      <c r="Y145" t="n">
        <v>5</v>
      </c>
      <c r="Z145">
        <f>'Assessment Questions'!AC145</f>
        <v/>
      </c>
      <c r="AA145" t="inlineStr">
        <is>
          <t>OH&amp;S governance</t>
        </is>
      </c>
      <c r="AB145">
        <f>COUNTIF($B$145:$B$175,$AA145)</f>
        <v/>
      </c>
      <c r="AC145">
        <f>IFERROR(SUMPRODUCT(($B$145:$B$175=$AA145)*($H$145:$H$175&lt;&gt;"")*($H$145:$H$175&lt;&gt;"N/A")*IFERROR(VALUE($H$145:$H$175),0))/SUMPRODUCT(($B$145:$B$175=$AA145)*($H$145:$H$175&lt;&gt;"")*($H$145:$H$175&lt;&gt;"N/A")),0)</f>
        <v/>
      </c>
      <c r="AD145">
        <f>AC145/5</f>
        <v/>
      </c>
      <c r="AE145">
        <f>COUNTIFS($B$145:$B$175,$AA145,$L$145:$L$175,"Critical")+COUNTIFS($B$145:$B$175,$AA145,$L$145:$L$175,"High")</f>
        <v/>
      </c>
      <c r="AF145">
        <f>5-AC145</f>
        <v/>
      </c>
      <c r="AG145">
        <f>SUMPRODUCT(($B$145:$B$175=$AA145)*(ISNUMBER($H$145:$H$175)+($H$145:$H$175="N/A")))</f>
        <v/>
      </c>
      <c r="AH145">
        <f>'Assessment Questions'!AK145</f>
        <v/>
      </c>
      <c r="AI145">
        <f>'Assessment Questions'!AL145</f>
        <v/>
      </c>
      <c r="AJ145">
        <f>IF(OR($H145="",$H145="N/A"),"",IF($AH145="",VLOOKUP('Company Profile'!$B$40,_CONFIG_Model_Settings!$A$5:$B$8,2,FALSE),_xlfn.IFNA(VLOOKUP($AH145,_CONFIG_Model_Settings!$A$5:$B$8,2,FALSE),0.9)))</f>
        <v/>
      </c>
      <c r="AK145">
        <f>IF(OR($H145="",$H145="N/A"),"",IF($AI145="",VLOOKUP('Company Profile'!$B$41,_CONFIG_Model_Settings!$A$5:$B$8,2,FALSE),_xlfn.IFNA(VLOOKUP($AI145,_CONFIG_Model_Settings!$A$5:$B$8,2,FALSE),0.9)))</f>
        <v/>
      </c>
      <c r="AL145">
        <f>IF(OR($H145="",$H145="N/A"),"",ROUND(VALUE($H145)*$AJ145*$AK145*$AV145,2))</f>
        <v/>
      </c>
      <c r="AM145">
        <f>IF($AL145="","",ROUND($AL145/5*100,1))</f>
        <v/>
      </c>
      <c r="AN145">
        <f>IFERROR(MIN(5,MAX(0,(SUMIFS(_REF_Model_Content!$D$1:$D$157,_REF_Model_Content!$A$1:$A$157,'Company Profile'!$B$9,_REF_Model_Content!$B$1:$B$157,"Physical Safety"))+_xlfn.IFNA(VLOOKUP('Company Profile'!$B$35,_CONFIG_Model_Settings!$A$11:$B$13,2,0),0))),"")</f>
        <v/>
      </c>
      <c r="AO145">
        <f>IF($AL145="","",MAX(0,ROUND($AN145-$AL145,2)))</f>
        <v/>
      </c>
      <c r="AP145">
        <f>IFERROR(SUMIFS(_REF_Model_Content!$E$1:$E$157,_REF_Model_Content!$A$1:$A$157,'Company Profile'!$B$9,_REF_Model_Content!$B$1:$B$157,"Physical Safety"),1)</f>
        <v/>
      </c>
      <c r="AQ145">
        <f>IF($AO145="","",ROUND($AO145*$AP145*($G145/5),2))</f>
        <v/>
      </c>
      <c r="AR145">
        <f>IF($AO145="","",IF($AO145&gt;=2,"Critical industry gap",IF($AO145&gt;=1,"High industry gap",IF($AO145&gt;=0.5,"Moderate industry gap","Within target"))))</f>
        <v/>
      </c>
      <c r="AS145">
        <f>IF(OR($H145="",$H145="N/A"),0,VALUE($H145)*(($AJ145+$AK145)/2)*$AV145)</f>
        <v/>
      </c>
      <c r="AT145">
        <f>IF(OR($H145="",$H145="N/A"),0,($AJ145+$AK145)/2)</f>
        <v/>
      </c>
      <c r="AU145">
        <f>'Assessment Questions'!AX145</f>
        <v/>
      </c>
      <c r="AV145">
        <f>IF(OR($H145="",$H145="N/A"),"",IF(OR($AU145="",$AU145="Everywhere",$AU145="Not applicable"),1,IF($AU145="Pilot / one team",0.4,IF($AU145="One unit or site",0.7,0.9))))</f>
        <v/>
      </c>
      <c r="AW145" t="inlineStr">
        <is>
          <t>Physical Safety</t>
        </is>
      </c>
      <c r="AX145" t="inlineStr">
        <is>
          <t>Physical Safety</t>
        </is>
      </c>
      <c r="AY145" t="n">
        <v>5</v>
      </c>
      <c r="AZ145" t="n">
        <v>145</v>
      </c>
    </row>
    <row r="146">
      <c r="A146" t="inlineStr">
        <is>
          <t>PHYS-002</t>
        </is>
      </c>
      <c r="B146" t="inlineStr">
        <is>
          <t>OH&amp;S governance</t>
        </is>
      </c>
      <c r="C146" t="inlineStr">
        <is>
          <t>How mature is the organization in managing site risk assessments for fire, structure, utilities, hazardous materials, crime, weather, war/security and access, including ownership, evidence, metrics, fallback procedures and crisis stress testing?</t>
        </is>
      </c>
      <c r="D146" t="inlineStr">
        <is>
          <t>This topic affects exposure to Safety incident; Physical site loss; War/security crisis; Natural disaster. It helps identify how disruption may impact operations, people, revenue, systems, legal exposure or recovery time.</t>
        </is>
      </c>
      <c r="E146" t="inlineStr">
        <is>
          <t>ISO 45001; ISO 22320; ISO 31030; ISO 18788; ISO 22301; NFPA; local OH&amp;S rules</t>
        </is>
      </c>
      <c r="F146" t="inlineStr">
        <is>
          <t>Policy/SOP; owner/RACI; system report; dashboard; contracts; test records; incident history; interview evidence related to site risk assessments for fire, structure, utilities, hazardous materials, crime, weather, war/security and access.</t>
        </is>
      </c>
      <c r="G146">
        <f>'Assessment Questions'!J146</f>
        <v/>
      </c>
      <c r="H146">
        <f>IF($Z146="","",IF($Z146="N/A","N/A",VALUE(LEFT($Z146,1))))</f>
        <v/>
      </c>
      <c r="I146">
        <f>IF($H146="","",IF($H146="N/A","",VALUE($H146)/5*$G146))</f>
        <v/>
      </c>
      <c r="J146">
        <f>IF(OR($H146="",$H146="N/A"),"",$G146)</f>
        <v/>
      </c>
      <c r="K146">
        <f>IF(OR($H146="",$H146="N/A"),"",$J146-$I146)</f>
        <v/>
      </c>
      <c r="L146">
        <f>IF($H146="","",IF($H146="N/A","N/A",IF(VALUE($H146)&lt;=1,"Critical",IF(VALUE($H146)&lt;=2,"High",IF(VALUE($H146)&lt;=3,"Medium",IF(VALUE($H146)&lt;=4,"Low","Resilient"))))))</f>
        <v/>
      </c>
      <c r="M146" t="inlineStr">
        <is>
          <t>Does not exist; no owner, no documentation, no practice.</t>
        </is>
      </c>
      <c r="N146" t="inlineStr">
        <is>
          <t>Ad hoc; depends entirely on specific individuals.</t>
        </is>
      </c>
      <c r="O146" t="inlineStr">
        <is>
          <t>Partially documented or implemented; coverage inconsistent; never tested under stress.</t>
        </is>
      </c>
      <c r="P146" t="inlineStr">
        <is>
          <t>Documented, owned, executed consistently; basic evidence and metrics exist.</t>
        </is>
      </c>
      <c r="Q146" t="inlineStr">
        <is>
          <t>Measured and periodically tested/audited; integrated with adjacent processes.</t>
        </is>
      </c>
      <c r="R146" t="inlineStr">
        <is>
          <t>Optimized and automated where practical; stress-tested; benchmarked externally.</t>
        </is>
      </c>
      <c r="S146" t="inlineStr">
        <is>
          <t>Safety incident; Physical site loss; War/security crisis; Natural disaster</t>
        </is>
      </c>
      <c r="T146">
        <f>'Assessment Questions'!W146</f>
        <v/>
      </c>
      <c r="U146">
        <f>'Assessment Questions'!X146</f>
        <v/>
      </c>
      <c r="V146">
        <f>'Assessment Questions'!Y146</f>
        <v/>
      </c>
      <c r="W146" t="n">
        <v>4</v>
      </c>
      <c r="X146" t="n">
        <v>5</v>
      </c>
      <c r="Y146" t="n">
        <v>5</v>
      </c>
      <c r="Z146">
        <f>'Assessment Questions'!AC146</f>
        <v/>
      </c>
      <c r="AA146" t="inlineStr">
        <is>
          <t>Facilities and access</t>
        </is>
      </c>
      <c r="AB146">
        <f>COUNTIF($B$145:$B$175,$AA146)</f>
        <v/>
      </c>
      <c r="AC146">
        <f>IFERROR(SUMPRODUCT(($B$145:$B$175=$AA146)*($H$145:$H$175&lt;&gt;"")*($H$145:$H$175&lt;&gt;"N/A")*IFERROR(VALUE($H$145:$H$175),0))/SUMPRODUCT(($B$145:$B$175=$AA146)*($H$145:$H$175&lt;&gt;"")*($H$145:$H$175&lt;&gt;"N/A")),0)</f>
        <v/>
      </c>
      <c r="AD146">
        <f>AC146/5</f>
        <v/>
      </c>
      <c r="AE146">
        <f>COUNTIFS($B$145:$B$175,$AA146,$L$145:$L$175,"Critical")+COUNTIFS($B$145:$B$175,$AA146,$L$145:$L$175,"High")</f>
        <v/>
      </c>
      <c r="AF146">
        <f>5-AC146</f>
        <v/>
      </c>
      <c r="AG146">
        <f>SUMPRODUCT(($B$145:$B$175=$AA146)*(ISNUMBER($H$145:$H$175)+($H$145:$H$175="N/A")))</f>
        <v/>
      </c>
      <c r="AH146">
        <f>'Assessment Questions'!AK146</f>
        <v/>
      </c>
      <c r="AI146">
        <f>'Assessment Questions'!AL146</f>
        <v/>
      </c>
      <c r="AJ146">
        <f>IF(OR($H146="",$H146="N/A"),"",IF($AH146="",VLOOKUP('Company Profile'!$B$40,_CONFIG_Model_Settings!$A$5:$B$8,2,FALSE),_xlfn.IFNA(VLOOKUP($AH146,_CONFIG_Model_Settings!$A$5:$B$8,2,FALSE),0.9)))</f>
        <v/>
      </c>
      <c r="AK146">
        <f>IF(OR($H146="",$H146="N/A"),"",IF($AI146="",VLOOKUP('Company Profile'!$B$41,_CONFIG_Model_Settings!$A$5:$B$8,2,FALSE),_xlfn.IFNA(VLOOKUP($AI146,_CONFIG_Model_Settings!$A$5:$B$8,2,FALSE),0.9)))</f>
        <v/>
      </c>
      <c r="AL146">
        <f>IF(OR($H146="",$H146="N/A"),"",ROUND(VALUE($H146)*$AJ146*$AK146*$AV146,2))</f>
        <v/>
      </c>
      <c r="AM146">
        <f>IF($AL146="","",ROUND($AL146/5*100,1))</f>
        <v/>
      </c>
      <c r="AN146">
        <f>IFERROR(MIN(5,MAX(0,(SUMIFS(_REF_Model_Content!$D$1:$D$157,_REF_Model_Content!$A$1:$A$157,'Company Profile'!$B$9,_REF_Model_Content!$B$1:$B$157,"Physical Safety"))+_xlfn.IFNA(VLOOKUP('Company Profile'!$B$35,_CONFIG_Model_Settings!$A$11:$B$13,2,0),0))),"")</f>
        <v/>
      </c>
      <c r="AO146">
        <f>IF($AL146="","",MAX(0,ROUND($AN146-$AL146,2)))</f>
        <v/>
      </c>
      <c r="AP146">
        <f>IFERROR(SUMIFS(_REF_Model_Content!$E$1:$E$157,_REF_Model_Content!$A$1:$A$157,'Company Profile'!$B$9,_REF_Model_Content!$B$1:$B$157,"Physical Safety"),1)</f>
        <v/>
      </c>
      <c r="AQ146">
        <f>IF($AO146="","",ROUND($AO146*$AP146*($G146/5),2))</f>
        <v/>
      </c>
      <c r="AR146">
        <f>IF($AO146="","",IF($AO146&gt;=2,"Critical industry gap",IF($AO146&gt;=1,"High industry gap",IF($AO146&gt;=0.5,"Moderate industry gap","Within target"))))</f>
        <v/>
      </c>
      <c r="AS146">
        <f>IF(OR($H146="",$H146="N/A"),0,VALUE($H146)*(($AJ146+$AK146)/2)*$AV146)</f>
        <v/>
      </c>
      <c r="AT146">
        <f>IF(OR($H146="",$H146="N/A"),0,($AJ146+$AK146)/2)</f>
        <v/>
      </c>
      <c r="AU146">
        <f>'Assessment Questions'!AX146</f>
        <v/>
      </c>
      <c r="AV146">
        <f>IF(OR($H146="",$H146="N/A"),"",IF(OR($AU146="",$AU146="Everywhere",$AU146="Not applicable"),1,IF($AU146="Pilot / one team",0.4,IF($AU146="One unit or site",0.7,0.9))))</f>
        <v/>
      </c>
      <c r="AW146" t="inlineStr">
        <is>
          <t>Physical Safety</t>
        </is>
      </c>
      <c r="AX146" t="inlineStr">
        <is>
          <t>Physical Safety</t>
        </is>
      </c>
      <c r="AY146" t="n">
        <v>6</v>
      </c>
      <c r="AZ146" t="n">
        <v>146</v>
      </c>
    </row>
    <row r="147">
      <c r="A147" t="inlineStr">
        <is>
          <t>PHYS-003</t>
        </is>
      </c>
      <c r="B147" t="inlineStr">
        <is>
          <t>OH&amp;S governance</t>
        </is>
      </c>
      <c r="C147" t="inlineStr">
        <is>
          <t>How mature is the organization in managing job hazard analysis for roles, tasks, production activities and field work, including ownership, evidence, metrics, fallback procedures and crisis stress testing?</t>
        </is>
      </c>
      <c r="D147" t="inlineStr">
        <is>
          <t>This topic affects exposure to Safety incident; Physical site loss; War/security crisis; Natural disaster. It helps identify how disruption may impact operations, people, revenue, systems, legal exposure or recovery time.</t>
        </is>
      </c>
      <c r="E147" t="inlineStr">
        <is>
          <t>ISO 45001; ISO 22320; ISO 31030; ISO 18788; ISO 22301; NFPA; local OH&amp;S rules</t>
        </is>
      </c>
      <c r="F147" t="inlineStr">
        <is>
          <t>Policy/SOP; owner/RACI; system report; dashboard; contracts; test records; incident history; interview evidence related to job hazard analysis for roles, tasks, production activities and field work.</t>
        </is>
      </c>
      <c r="G147">
        <f>'Assessment Questions'!J147</f>
        <v/>
      </c>
      <c r="H147">
        <f>IF($Z147="","",IF($Z147="N/A","N/A",VALUE(LEFT($Z147,1))))</f>
        <v/>
      </c>
      <c r="I147">
        <f>IF($H147="","",IF($H147="N/A","",VALUE($H147)/5*$G147))</f>
        <v/>
      </c>
      <c r="J147">
        <f>IF(OR($H147="",$H147="N/A"),"",$G147)</f>
        <v/>
      </c>
      <c r="K147">
        <f>IF(OR($H147="",$H147="N/A"),"",$J147-$I147)</f>
        <v/>
      </c>
      <c r="L147">
        <f>IF($H147="","",IF($H147="N/A","N/A",IF(VALUE($H147)&lt;=1,"Critical",IF(VALUE($H147)&lt;=2,"High",IF(VALUE($H147)&lt;=3,"Medium",IF(VALUE($H147)&lt;=4,"Low","Resilient"))))))</f>
        <v/>
      </c>
      <c r="M147" t="inlineStr">
        <is>
          <t>Does not exist; no owner, no documentation, no practice.</t>
        </is>
      </c>
      <c r="N147" t="inlineStr">
        <is>
          <t>Ad hoc; depends entirely on specific individuals.</t>
        </is>
      </c>
      <c r="O147" t="inlineStr">
        <is>
          <t>Partially documented or implemented; coverage inconsistent; never tested under stress.</t>
        </is>
      </c>
      <c r="P147" t="inlineStr">
        <is>
          <t>Documented, owned, executed consistently; basic evidence and metrics exist.</t>
        </is>
      </c>
      <c r="Q147" t="inlineStr">
        <is>
          <t>Measured and periodically tested/audited; integrated with adjacent processes.</t>
        </is>
      </c>
      <c r="R147" t="inlineStr">
        <is>
          <t>Optimized and automated where practical; stress-tested; benchmarked externally.</t>
        </is>
      </c>
      <c r="S147" t="inlineStr">
        <is>
          <t>Safety incident; Physical site loss; War/security crisis; Natural disaster</t>
        </is>
      </c>
      <c r="T147">
        <f>'Assessment Questions'!W147</f>
        <v/>
      </c>
      <c r="U147">
        <f>'Assessment Questions'!X147</f>
        <v/>
      </c>
      <c r="V147">
        <f>'Assessment Questions'!Y147</f>
        <v/>
      </c>
      <c r="W147" t="n">
        <v>4</v>
      </c>
      <c r="X147" t="n">
        <v>5</v>
      </c>
      <c r="Y147" t="n">
        <v>5</v>
      </c>
      <c r="Z147">
        <f>'Assessment Questions'!AC147</f>
        <v/>
      </c>
      <c r="AA147" t="inlineStr">
        <is>
          <t>Emergency response</t>
        </is>
      </c>
      <c r="AB147">
        <f>COUNTIF($B$145:$B$175,$AA147)</f>
        <v/>
      </c>
      <c r="AC147">
        <f>IFERROR(SUMPRODUCT(($B$145:$B$175=$AA147)*($H$145:$H$175&lt;&gt;"")*($H$145:$H$175&lt;&gt;"N/A")*IFERROR(VALUE($H$145:$H$175),0))/SUMPRODUCT(($B$145:$B$175=$AA147)*($H$145:$H$175&lt;&gt;"")*($H$145:$H$175&lt;&gt;"N/A")),0)</f>
        <v/>
      </c>
      <c r="AD147">
        <f>AC147/5</f>
        <v/>
      </c>
      <c r="AE147">
        <f>COUNTIFS($B$145:$B$175,$AA147,$L$145:$L$175,"Critical")+COUNTIFS($B$145:$B$175,$AA147,$L$145:$L$175,"High")</f>
        <v/>
      </c>
      <c r="AF147">
        <f>5-AC147</f>
        <v/>
      </c>
      <c r="AG147">
        <f>SUMPRODUCT(($B$145:$B$175=$AA147)*(ISNUMBER($H$145:$H$175)+($H$145:$H$175="N/A")))</f>
        <v/>
      </c>
      <c r="AH147">
        <f>'Assessment Questions'!AK147</f>
        <v/>
      </c>
      <c r="AI147">
        <f>'Assessment Questions'!AL147</f>
        <v/>
      </c>
      <c r="AJ147">
        <f>IF(OR($H147="",$H147="N/A"),"",IF($AH147="",VLOOKUP('Company Profile'!$B$40,_CONFIG_Model_Settings!$A$5:$B$8,2,FALSE),_xlfn.IFNA(VLOOKUP($AH147,_CONFIG_Model_Settings!$A$5:$B$8,2,FALSE),0.9)))</f>
        <v/>
      </c>
      <c r="AK147">
        <f>IF(OR($H147="",$H147="N/A"),"",IF($AI147="",VLOOKUP('Company Profile'!$B$41,_CONFIG_Model_Settings!$A$5:$B$8,2,FALSE),_xlfn.IFNA(VLOOKUP($AI147,_CONFIG_Model_Settings!$A$5:$B$8,2,FALSE),0.9)))</f>
        <v/>
      </c>
      <c r="AL147">
        <f>IF(OR($H147="",$H147="N/A"),"",ROUND(VALUE($H147)*$AJ147*$AK147*$AV147,2))</f>
        <v/>
      </c>
      <c r="AM147">
        <f>IF($AL147="","",ROUND($AL147/5*100,1))</f>
        <v/>
      </c>
      <c r="AN147">
        <f>IFERROR(MIN(5,MAX(0,(SUMIFS(_REF_Model_Content!$D$1:$D$157,_REF_Model_Content!$A$1:$A$157,'Company Profile'!$B$9,_REF_Model_Content!$B$1:$B$157,"Physical Safety"))+_xlfn.IFNA(VLOOKUP('Company Profile'!$B$35,_CONFIG_Model_Settings!$A$11:$B$13,2,0),0))),"")</f>
        <v/>
      </c>
      <c r="AO147">
        <f>IF($AL147="","",MAX(0,ROUND($AN147-$AL147,2)))</f>
        <v/>
      </c>
      <c r="AP147">
        <f>IFERROR(SUMIFS(_REF_Model_Content!$E$1:$E$157,_REF_Model_Content!$A$1:$A$157,'Company Profile'!$B$9,_REF_Model_Content!$B$1:$B$157,"Physical Safety"),1)</f>
        <v/>
      </c>
      <c r="AQ147">
        <f>IF($AO147="","",ROUND($AO147*$AP147*($G147/5),2))</f>
        <v/>
      </c>
      <c r="AR147">
        <f>IF($AO147="","",IF($AO147&gt;=2,"Critical industry gap",IF($AO147&gt;=1,"High industry gap",IF($AO147&gt;=0.5,"Moderate industry gap","Within target"))))</f>
        <v/>
      </c>
      <c r="AS147">
        <f>IF(OR($H147="",$H147="N/A"),0,VALUE($H147)*(($AJ147+$AK147)/2)*$AV147)</f>
        <v/>
      </c>
      <c r="AT147">
        <f>IF(OR($H147="",$H147="N/A"),0,($AJ147+$AK147)/2)</f>
        <v/>
      </c>
      <c r="AU147">
        <f>'Assessment Questions'!AX147</f>
        <v/>
      </c>
      <c r="AV147">
        <f>IF(OR($H147="",$H147="N/A"),"",IF(OR($AU147="",$AU147="Everywhere",$AU147="Not applicable"),1,IF($AU147="Pilot / one team",0.4,IF($AU147="One unit or site",0.7,0.9))))</f>
        <v/>
      </c>
      <c r="AW147" t="inlineStr">
        <is>
          <t>Physical Safety</t>
        </is>
      </c>
      <c r="AX147" t="inlineStr">
        <is>
          <t>Physical Safety</t>
        </is>
      </c>
      <c r="AY147" t="n">
        <v>7</v>
      </c>
      <c r="AZ147" t="n">
        <v>147</v>
      </c>
    </row>
    <row r="148">
      <c r="A148" t="inlineStr">
        <is>
          <t>PHYS-004</t>
        </is>
      </c>
      <c r="B148" t="inlineStr">
        <is>
          <t>OH&amp;S governance</t>
        </is>
      </c>
      <c r="C148" t="inlineStr">
        <is>
          <t>How mature is the organization in managing contractor and visitor safety induction, permits-to-work, site rules and emergency procedures, including ownership, evidence, metrics, fallback procedures and crisis stress testing?</t>
        </is>
      </c>
      <c r="D148" t="inlineStr">
        <is>
          <t>This topic affects exposure to Safety incident; Physical site loss; War/security crisis; Natural disaster. It helps identify how disruption may impact operations, people, revenue, systems, legal exposure or recovery time.</t>
        </is>
      </c>
      <c r="E148" t="inlineStr">
        <is>
          <t>ISO 45001; ISO 22320; ISO 31030; ISO 18788; ISO 22301; NFPA; local OH&amp;S rules</t>
        </is>
      </c>
      <c r="F148" t="inlineStr">
        <is>
          <t>Policy/SOP; owner/RACI; system report; dashboard; contracts; test records; incident history; interview evidence related to contractor and visitor safety induction, permits-to-work, site rules and emergency procedures.</t>
        </is>
      </c>
      <c r="G148">
        <f>'Assessment Questions'!J148</f>
        <v/>
      </c>
      <c r="H148">
        <f>IF($Z148="","",IF($Z148="N/A","N/A",VALUE(LEFT($Z148,1))))</f>
        <v/>
      </c>
      <c r="I148">
        <f>IF($H148="","",IF($H148="N/A","",VALUE($H148)/5*$G148))</f>
        <v/>
      </c>
      <c r="J148">
        <f>IF(OR($H148="",$H148="N/A"),"",$G148)</f>
        <v/>
      </c>
      <c r="K148">
        <f>IF(OR($H148="",$H148="N/A"),"",$J148-$I148)</f>
        <v/>
      </c>
      <c r="L148">
        <f>IF($H148="","",IF($H148="N/A","N/A",IF(VALUE($H148)&lt;=1,"Critical",IF(VALUE($H148)&lt;=2,"High",IF(VALUE($H148)&lt;=3,"Medium",IF(VALUE($H148)&lt;=4,"Low","Resilient"))))))</f>
        <v/>
      </c>
      <c r="M148" t="inlineStr">
        <is>
          <t>No plan or procedure exists.</t>
        </is>
      </c>
      <c r="N148" t="inlineStr">
        <is>
          <t>Knowledge lives with individuals; nothing usable is written down.</t>
        </is>
      </c>
      <c r="O148" t="inlineStr">
        <is>
          <t>Drafted but outdated, not approved, or unknown to the people who must use it.</t>
        </is>
      </c>
      <c r="P148" t="inlineStr">
        <is>
          <t>Approved and current; owners assigned; affected staff know it exists and where to find it.</t>
        </is>
      </c>
      <c r="Q148" t="inlineStr">
        <is>
          <t>Tested against realistic scenarios; updated after each test or real incident.</t>
        </is>
      </c>
      <c r="R148" t="inlineStr">
        <is>
          <t>Exercised regularly including external parties; readiness measured; continuously improved.</t>
        </is>
      </c>
      <c r="S148" t="inlineStr">
        <is>
          <t>Safety incident; Physical site loss; War/security crisis; Natural disaster</t>
        </is>
      </c>
      <c r="T148">
        <f>'Assessment Questions'!W148</f>
        <v/>
      </c>
      <c r="U148">
        <f>'Assessment Questions'!X148</f>
        <v/>
      </c>
      <c r="V148">
        <f>'Assessment Questions'!Y148</f>
        <v/>
      </c>
      <c r="W148" t="n">
        <v>4</v>
      </c>
      <c r="X148" t="n">
        <v>5</v>
      </c>
      <c r="Y148" t="n">
        <v>5</v>
      </c>
      <c r="Z148">
        <f>'Assessment Questions'!AC148</f>
        <v/>
      </c>
      <c r="AA148" t="inlineStr">
        <is>
          <t>Security and travel</t>
        </is>
      </c>
      <c r="AB148">
        <f>COUNTIF($B$145:$B$175,$AA148)</f>
        <v/>
      </c>
      <c r="AC148">
        <f>IFERROR(SUMPRODUCT(($B$145:$B$175=$AA148)*($H$145:$H$175&lt;&gt;"")*($H$145:$H$175&lt;&gt;"N/A")*IFERROR(VALUE($H$145:$H$175),0))/SUMPRODUCT(($B$145:$B$175=$AA148)*($H$145:$H$175&lt;&gt;"")*($H$145:$H$175&lt;&gt;"N/A")),0)</f>
        <v/>
      </c>
      <c r="AD148">
        <f>AC148/5</f>
        <v/>
      </c>
      <c r="AE148">
        <f>COUNTIFS($B$145:$B$175,$AA148,$L$145:$L$175,"Critical")+COUNTIFS($B$145:$B$175,$AA148,$L$145:$L$175,"High")</f>
        <v/>
      </c>
      <c r="AF148">
        <f>5-AC148</f>
        <v/>
      </c>
      <c r="AG148">
        <f>SUMPRODUCT(($B$145:$B$175=$AA148)*(ISNUMBER($H$145:$H$175)+($H$145:$H$175="N/A")))</f>
        <v/>
      </c>
      <c r="AH148">
        <f>'Assessment Questions'!AK148</f>
        <v/>
      </c>
      <c r="AI148">
        <f>'Assessment Questions'!AL148</f>
        <v/>
      </c>
      <c r="AJ148">
        <f>IF(OR($H148="",$H148="N/A"),"",IF($AH148="",VLOOKUP('Company Profile'!$B$40,_CONFIG_Model_Settings!$A$5:$B$8,2,FALSE),_xlfn.IFNA(VLOOKUP($AH148,_CONFIG_Model_Settings!$A$5:$B$8,2,FALSE),0.9)))</f>
        <v/>
      </c>
      <c r="AK148">
        <f>IF(OR($H148="",$H148="N/A"),"",IF($AI148="",VLOOKUP('Company Profile'!$B$41,_CONFIG_Model_Settings!$A$5:$B$8,2,FALSE),_xlfn.IFNA(VLOOKUP($AI148,_CONFIG_Model_Settings!$A$5:$B$8,2,FALSE),0.9)))</f>
        <v/>
      </c>
      <c r="AL148">
        <f>IF(OR($H148="",$H148="N/A"),"",ROUND(VALUE($H148)*$AJ148*$AK148*$AV148,2))</f>
        <v/>
      </c>
      <c r="AM148">
        <f>IF($AL148="","",ROUND($AL148/5*100,1))</f>
        <v/>
      </c>
      <c r="AN148">
        <f>IFERROR(MIN(5,MAX(0,(SUMIFS(_REF_Model_Content!$D$1:$D$157,_REF_Model_Content!$A$1:$A$157,'Company Profile'!$B$9,_REF_Model_Content!$B$1:$B$157,"Physical Safety"))+_xlfn.IFNA(VLOOKUP('Company Profile'!$B$35,_CONFIG_Model_Settings!$A$11:$B$13,2,0),0))),"")</f>
        <v/>
      </c>
      <c r="AO148">
        <f>IF($AL148="","",MAX(0,ROUND($AN148-$AL148,2)))</f>
        <v/>
      </c>
      <c r="AP148">
        <f>IFERROR(SUMIFS(_REF_Model_Content!$E$1:$E$157,_REF_Model_Content!$A$1:$A$157,'Company Profile'!$B$9,_REF_Model_Content!$B$1:$B$157,"Physical Safety"),1)</f>
        <v/>
      </c>
      <c r="AQ148">
        <f>IF($AO148="","",ROUND($AO148*$AP148*($G148/5),2))</f>
        <v/>
      </c>
      <c r="AR148">
        <f>IF($AO148="","",IF($AO148&gt;=2,"Critical industry gap",IF($AO148&gt;=1,"High industry gap",IF($AO148&gt;=0.5,"Moderate industry gap","Within target"))))</f>
        <v/>
      </c>
      <c r="AS148">
        <f>IF(OR($H148="",$H148="N/A"),0,VALUE($H148)*(($AJ148+$AK148)/2)*$AV148)</f>
        <v/>
      </c>
      <c r="AT148">
        <f>IF(OR($H148="",$H148="N/A"),0,($AJ148+$AK148)/2)</f>
        <v/>
      </c>
      <c r="AU148">
        <f>'Assessment Questions'!AX148</f>
        <v/>
      </c>
      <c r="AV148">
        <f>IF(OR($H148="",$H148="N/A"),"",IF(OR($AU148="",$AU148="Everywhere",$AU148="Not applicable"),1,IF($AU148="Pilot / one team",0.4,IF($AU148="One unit or site",0.7,0.9))))</f>
        <v/>
      </c>
      <c r="AW148" t="inlineStr">
        <is>
          <t>Physical Safety</t>
        </is>
      </c>
      <c r="AX148" t="inlineStr">
        <is>
          <t>Physical Safety</t>
        </is>
      </c>
      <c r="AY148" t="n">
        <v>8</v>
      </c>
      <c r="AZ148" t="n">
        <v>148</v>
      </c>
    </row>
    <row r="149">
      <c r="A149" t="inlineStr">
        <is>
          <t>PHYS-005</t>
        </is>
      </c>
      <c r="B149" t="inlineStr">
        <is>
          <t>OH&amp;S governance</t>
        </is>
      </c>
      <c r="C149" t="inlineStr">
        <is>
          <t>How mature is the organization in managing near-miss and safety incident reporting, investigation and corrective action, including ownership, evidence, metrics, fallback procedures and crisis stress testing?</t>
        </is>
      </c>
      <c r="D149" t="inlineStr">
        <is>
          <t>This topic affects exposure to Safety incident; Physical site loss; War/security crisis; Natural disaster. It helps identify how disruption may impact operations, people, revenue, systems, legal exposure or recovery time.</t>
        </is>
      </c>
      <c r="E149" t="inlineStr">
        <is>
          <t>ISO 45001; ISO 22320; ISO 31030; ISO 18788; ISO 22301; NFPA; local OH&amp;S rules</t>
        </is>
      </c>
      <c r="F149" t="inlineStr">
        <is>
          <t>Policy/SOP; owner/RACI; system report; dashboard; contracts; test records; incident history; interview evidence related to near-miss and safety incident reporting, investigation and corrective action.</t>
        </is>
      </c>
      <c r="G149">
        <f>'Assessment Questions'!J149</f>
        <v/>
      </c>
      <c r="H149">
        <f>IF($Z149="","",IF($Z149="N/A","N/A",VALUE(LEFT($Z149,1))))</f>
        <v/>
      </c>
      <c r="I149">
        <f>IF($H149="","",IF($H149="N/A","",VALUE($H149)/5*$G149))</f>
        <v/>
      </c>
      <c r="J149">
        <f>IF(OR($H149="",$H149="N/A"),"",$G149)</f>
        <v/>
      </c>
      <c r="K149">
        <f>IF(OR($H149="",$H149="N/A"),"",$J149-$I149)</f>
        <v/>
      </c>
      <c r="L149">
        <f>IF($H149="","",IF($H149="N/A","N/A",IF(VALUE($H149)&lt;=1,"Critical",IF(VALUE($H149)&lt;=2,"High",IF(VALUE($H149)&lt;=3,"Medium",IF(VALUE($H149)&lt;=4,"Low","Resilient"))))))</f>
        <v/>
      </c>
      <c r="M149" t="inlineStr">
        <is>
          <t>Does not exist; no owner, no documentation, no practice.</t>
        </is>
      </c>
      <c r="N149" t="inlineStr">
        <is>
          <t>Ad hoc; depends entirely on specific individuals.</t>
        </is>
      </c>
      <c r="O149" t="inlineStr">
        <is>
          <t>Partially documented or implemented; coverage inconsistent; never tested under stress.</t>
        </is>
      </c>
      <c r="P149" t="inlineStr">
        <is>
          <t>Documented, owned, executed consistently; basic evidence and metrics exist.</t>
        </is>
      </c>
      <c r="Q149" t="inlineStr">
        <is>
          <t>Measured and periodically tested/audited; integrated with adjacent processes.</t>
        </is>
      </c>
      <c r="R149" t="inlineStr">
        <is>
          <t>Optimized and automated where practical; stress-tested; benchmarked externally.</t>
        </is>
      </c>
      <c r="S149" t="inlineStr">
        <is>
          <t>Safety incident; Physical site loss; War/security crisis; Natural disaster</t>
        </is>
      </c>
      <c r="T149">
        <f>'Assessment Questions'!W149</f>
        <v/>
      </c>
      <c r="U149">
        <f>'Assessment Questions'!X149</f>
        <v/>
      </c>
      <c r="V149">
        <f>'Assessment Questions'!Y149</f>
        <v/>
      </c>
      <c r="W149" t="n">
        <v>4</v>
      </c>
      <c r="X149" t="n">
        <v>5</v>
      </c>
      <c r="Y149" t="n">
        <v>5</v>
      </c>
      <c r="Z149">
        <f>'Assessment Questions'!AC149</f>
        <v/>
      </c>
      <c r="AA149" t="inlineStr">
        <is>
          <t>Utilities and resilience</t>
        </is>
      </c>
      <c r="AB149">
        <f>COUNTIF($B$145:$B$175,$AA149)</f>
        <v/>
      </c>
      <c r="AC149">
        <f>IFERROR(SUMPRODUCT(($B$145:$B$175=$AA149)*($H$145:$H$175&lt;&gt;"")*($H$145:$H$175&lt;&gt;"N/A")*IFERROR(VALUE($H$145:$H$175),0))/SUMPRODUCT(($B$145:$B$175=$AA149)*($H$145:$H$175&lt;&gt;"")*($H$145:$H$175&lt;&gt;"N/A")),0)</f>
        <v/>
      </c>
      <c r="AD149">
        <f>AC149/5</f>
        <v/>
      </c>
      <c r="AE149">
        <f>COUNTIFS($B$145:$B$175,$AA149,$L$145:$L$175,"Critical")+COUNTIFS($B$145:$B$175,$AA149,$L$145:$L$175,"High")</f>
        <v/>
      </c>
      <c r="AF149">
        <f>5-AC149</f>
        <v/>
      </c>
      <c r="AG149">
        <f>SUMPRODUCT(($B$145:$B$175=$AA149)*(ISNUMBER($H$145:$H$175)+($H$145:$H$175="N/A")))</f>
        <v/>
      </c>
      <c r="AH149">
        <f>'Assessment Questions'!AK149</f>
        <v/>
      </c>
      <c r="AI149">
        <f>'Assessment Questions'!AL149</f>
        <v/>
      </c>
      <c r="AJ149">
        <f>IF(OR($H149="",$H149="N/A"),"",IF($AH149="",VLOOKUP('Company Profile'!$B$40,_CONFIG_Model_Settings!$A$5:$B$8,2,FALSE),_xlfn.IFNA(VLOOKUP($AH149,_CONFIG_Model_Settings!$A$5:$B$8,2,FALSE),0.9)))</f>
        <v/>
      </c>
      <c r="AK149">
        <f>IF(OR($H149="",$H149="N/A"),"",IF($AI149="",VLOOKUP('Company Profile'!$B$41,_CONFIG_Model_Settings!$A$5:$B$8,2,FALSE),_xlfn.IFNA(VLOOKUP($AI149,_CONFIG_Model_Settings!$A$5:$B$8,2,FALSE),0.9)))</f>
        <v/>
      </c>
      <c r="AL149">
        <f>IF(OR($H149="",$H149="N/A"),"",ROUND(VALUE($H149)*$AJ149*$AK149*$AV149,2))</f>
        <v/>
      </c>
      <c r="AM149">
        <f>IF($AL149="","",ROUND($AL149/5*100,1))</f>
        <v/>
      </c>
      <c r="AN149">
        <f>IFERROR(MIN(5,MAX(0,(SUMIFS(_REF_Model_Content!$D$1:$D$157,_REF_Model_Content!$A$1:$A$157,'Company Profile'!$B$9,_REF_Model_Content!$B$1:$B$157,"Physical Safety"))+_xlfn.IFNA(VLOOKUP('Company Profile'!$B$35,_CONFIG_Model_Settings!$A$11:$B$13,2,0),0))),"")</f>
        <v/>
      </c>
      <c r="AO149">
        <f>IF($AL149="","",MAX(0,ROUND($AN149-$AL149,2)))</f>
        <v/>
      </c>
      <c r="AP149">
        <f>IFERROR(SUMIFS(_REF_Model_Content!$E$1:$E$157,_REF_Model_Content!$A$1:$A$157,'Company Profile'!$B$9,_REF_Model_Content!$B$1:$B$157,"Physical Safety"),1)</f>
        <v/>
      </c>
      <c r="AQ149">
        <f>IF($AO149="","",ROUND($AO149*$AP149*($G149/5),2))</f>
        <v/>
      </c>
      <c r="AR149">
        <f>IF($AO149="","",IF($AO149&gt;=2,"Critical industry gap",IF($AO149&gt;=1,"High industry gap",IF($AO149&gt;=0.5,"Moderate industry gap","Within target"))))</f>
        <v/>
      </c>
      <c r="AS149">
        <f>IF(OR($H149="",$H149="N/A"),0,VALUE($H149)*(($AJ149+$AK149)/2)*$AV149)</f>
        <v/>
      </c>
      <c r="AT149">
        <f>IF(OR($H149="",$H149="N/A"),0,($AJ149+$AK149)/2)</f>
        <v/>
      </c>
      <c r="AU149">
        <f>'Assessment Questions'!AX149</f>
        <v/>
      </c>
      <c r="AV149">
        <f>IF(OR($H149="",$H149="N/A"),"",IF(OR($AU149="",$AU149="Everywhere",$AU149="Not applicable"),1,IF($AU149="Pilot / one team",0.4,IF($AU149="One unit or site",0.7,0.9))))</f>
        <v/>
      </c>
      <c r="AW149" t="inlineStr">
        <is>
          <t>Physical Safety</t>
        </is>
      </c>
      <c r="AX149" t="inlineStr">
        <is>
          <t>Physical Safety</t>
        </is>
      </c>
      <c r="AY149" t="n">
        <v>9</v>
      </c>
      <c r="AZ149" t="n">
        <v>149</v>
      </c>
    </row>
    <row r="150">
      <c r="A150" t="inlineStr">
        <is>
          <t>PHYS-006</t>
        </is>
      </c>
      <c r="B150" t="inlineStr">
        <is>
          <t>OH&amp;S governance</t>
        </is>
      </c>
      <c r="C150" t="inlineStr">
        <is>
          <t>How mature is the organization in managing serious incident escalation to executives, legal, insurers and regulators, including ownership, evidence, metrics, fallback procedures and crisis stress testing?</t>
        </is>
      </c>
      <c r="D150" t="inlineStr">
        <is>
          <t>This topic affects exposure to Safety incident; Physical site loss; War/security crisis; Natural disaster. It helps identify how disruption may impact operations, people, revenue, systems, legal exposure or recovery time.</t>
        </is>
      </c>
      <c r="E150" t="inlineStr">
        <is>
          <t>ISO 45001; ISO 22320; ISO 31030; ISO 18788; ISO 22301; NFPA; local OH&amp;S rules</t>
        </is>
      </c>
      <c r="F150" t="inlineStr">
        <is>
          <t>Policy/SOP; owner/RACI; system report; dashboard; contracts; test records; incident history; interview evidence related to serious incident escalation to executives, legal, insurers and regulators.</t>
        </is>
      </c>
      <c r="G150">
        <f>'Assessment Questions'!J150</f>
        <v/>
      </c>
      <c r="H150">
        <f>IF($Z150="","",IF($Z150="N/A","N/A",VALUE(LEFT($Z150,1))))</f>
        <v/>
      </c>
      <c r="I150">
        <f>IF($H150="","",IF($H150="N/A","",VALUE($H150)/5*$G150))</f>
        <v/>
      </c>
      <c r="J150">
        <f>IF(OR($H150="",$H150="N/A"),"",$G150)</f>
        <v/>
      </c>
      <c r="K150">
        <f>IF(OR($H150="",$H150="N/A"),"",$J150-$I150)</f>
        <v/>
      </c>
      <c r="L150">
        <f>IF($H150="","",IF($H150="N/A","N/A",IF(VALUE($H150)&lt;=1,"Critical",IF(VALUE($H150)&lt;=2,"High",IF(VALUE($H150)&lt;=3,"Medium",IF(VALUE($H150)&lt;=4,"Low","Resilient"))))))</f>
        <v/>
      </c>
      <c r="M150" t="inlineStr">
        <is>
          <t>Does not exist; no owner, no documentation, no practice.</t>
        </is>
      </c>
      <c r="N150" t="inlineStr">
        <is>
          <t>Ad hoc; depends entirely on specific individuals.</t>
        </is>
      </c>
      <c r="O150" t="inlineStr">
        <is>
          <t>Partially documented or implemented; coverage inconsistent; never tested under stress.</t>
        </is>
      </c>
      <c r="P150" t="inlineStr">
        <is>
          <t>Documented, owned, executed consistently; basic evidence and metrics exist.</t>
        </is>
      </c>
      <c r="Q150" t="inlineStr">
        <is>
          <t>Measured and periodically tested/audited; integrated with adjacent processes.</t>
        </is>
      </c>
      <c r="R150" t="inlineStr">
        <is>
          <t>Optimized and automated where practical; stress-tested; benchmarked externally.</t>
        </is>
      </c>
      <c r="S150" t="inlineStr">
        <is>
          <t>Safety incident; Physical site loss; War/security crisis; Natural disaster</t>
        </is>
      </c>
      <c r="T150">
        <f>'Assessment Questions'!W150</f>
        <v/>
      </c>
      <c r="U150">
        <f>'Assessment Questions'!X150</f>
        <v/>
      </c>
      <c r="V150">
        <f>'Assessment Questions'!Y150</f>
        <v/>
      </c>
      <c r="W150" t="n">
        <v>4</v>
      </c>
      <c r="X150" t="n">
        <v>5</v>
      </c>
      <c r="Y150" t="n">
        <v>5</v>
      </c>
      <c r="Z150">
        <f>'Assessment Questions'!AC150</f>
        <v/>
      </c>
      <c r="AA150" t="inlineStr">
        <is>
          <t>Asset management</t>
        </is>
      </c>
      <c r="AB150">
        <f>COUNTIF($B$145:$B$175,$AA150)</f>
        <v/>
      </c>
      <c r="AC150">
        <f>IFERROR(SUMPRODUCT(($B$145:$B$175=$AA150)*($H$145:$H$175&lt;&gt;"")*($H$145:$H$175&lt;&gt;"N/A")*IFERROR(VALUE($H$145:$H$175),0))/SUMPRODUCT(($B$145:$B$175=$AA150)*($H$145:$H$175&lt;&gt;"")*($H$145:$H$175&lt;&gt;"N/A")),0)</f>
        <v/>
      </c>
      <c r="AD150">
        <f>AC150/5</f>
        <v/>
      </c>
      <c r="AE150">
        <f>COUNTIFS($B$145:$B$175,$AA150,$L$145:$L$175,"Critical")+COUNTIFS($B$145:$B$175,$AA150,$L$145:$L$175,"High")</f>
        <v/>
      </c>
      <c r="AF150">
        <f>5-AC150</f>
        <v/>
      </c>
      <c r="AG150">
        <f>SUMPRODUCT(($B$145:$B$175=$AA150)*(ISNUMBER($H$145:$H$175)+($H$145:$H$175="N/A")))</f>
        <v/>
      </c>
      <c r="AH150">
        <f>'Assessment Questions'!AK150</f>
        <v/>
      </c>
      <c r="AI150">
        <f>'Assessment Questions'!AL150</f>
        <v/>
      </c>
      <c r="AJ150">
        <f>IF(OR($H150="",$H150="N/A"),"",IF($AH150="",VLOOKUP('Company Profile'!$B$40,_CONFIG_Model_Settings!$A$5:$B$8,2,FALSE),_xlfn.IFNA(VLOOKUP($AH150,_CONFIG_Model_Settings!$A$5:$B$8,2,FALSE),0.9)))</f>
        <v/>
      </c>
      <c r="AK150">
        <f>IF(OR($H150="",$H150="N/A"),"",IF($AI150="",VLOOKUP('Company Profile'!$B$41,_CONFIG_Model_Settings!$A$5:$B$8,2,FALSE),_xlfn.IFNA(VLOOKUP($AI150,_CONFIG_Model_Settings!$A$5:$B$8,2,FALSE),0.9)))</f>
        <v/>
      </c>
      <c r="AL150">
        <f>IF(OR($H150="",$H150="N/A"),"",ROUND(VALUE($H150)*$AJ150*$AK150*$AV150,2))</f>
        <v/>
      </c>
      <c r="AM150">
        <f>IF($AL150="","",ROUND($AL150/5*100,1))</f>
        <v/>
      </c>
      <c r="AN150">
        <f>IFERROR(MIN(5,MAX(0,(SUMIFS(_REF_Model_Content!$D$1:$D$157,_REF_Model_Content!$A$1:$A$157,'Company Profile'!$B$9,_REF_Model_Content!$B$1:$B$157,"Physical Safety"))+_xlfn.IFNA(VLOOKUP('Company Profile'!$B$35,_CONFIG_Model_Settings!$A$11:$B$13,2,0),0))),"")</f>
        <v/>
      </c>
      <c r="AO150">
        <f>IF($AL150="","",MAX(0,ROUND($AN150-$AL150,2)))</f>
        <v/>
      </c>
      <c r="AP150">
        <f>IFERROR(SUMIFS(_REF_Model_Content!$E$1:$E$157,_REF_Model_Content!$A$1:$A$157,'Company Profile'!$B$9,_REF_Model_Content!$B$1:$B$157,"Physical Safety"),1)</f>
        <v/>
      </c>
      <c r="AQ150">
        <f>IF($AO150="","",ROUND($AO150*$AP150*($G150/5),2))</f>
        <v/>
      </c>
      <c r="AR150">
        <f>IF($AO150="","",IF($AO150&gt;=2,"Critical industry gap",IF($AO150&gt;=1,"High industry gap",IF($AO150&gt;=0.5,"Moderate industry gap","Within target"))))</f>
        <v/>
      </c>
      <c r="AS150">
        <f>IF(OR($H150="",$H150="N/A"),0,VALUE($H150)*(($AJ150+$AK150)/2)*$AV150)</f>
        <v/>
      </c>
      <c r="AT150">
        <f>IF(OR($H150="",$H150="N/A"),0,($AJ150+$AK150)/2)</f>
        <v/>
      </c>
      <c r="AU150">
        <f>'Assessment Questions'!AX150</f>
        <v/>
      </c>
      <c r="AV150">
        <f>IF(OR($H150="",$H150="N/A"),"",IF(OR($AU150="",$AU150="Everywhere",$AU150="Not applicable"),1,IF($AU150="Pilot / one team",0.4,IF($AU150="One unit or site",0.7,0.9))))</f>
        <v/>
      </c>
      <c r="AW150" t="inlineStr">
        <is>
          <t>Physical Safety</t>
        </is>
      </c>
      <c r="AX150" t="inlineStr">
        <is>
          <t>Physical Safety</t>
        </is>
      </c>
      <c r="AY150" t="n">
        <v>10</v>
      </c>
      <c r="AZ150" t="n">
        <v>150</v>
      </c>
    </row>
    <row r="151">
      <c r="A151" t="inlineStr">
        <is>
          <t>PHYS-007</t>
        </is>
      </c>
      <c r="B151" t="inlineStr">
        <is>
          <t>Facilities and access</t>
        </is>
      </c>
      <c r="C151" t="inlineStr">
        <is>
          <t>How mature is the organization in managing critical facility register with occupancy, business processes, utilities, safety risks and recovery priority, including ownership, evidence, metrics, fallback procedures and crisis stress testing?</t>
        </is>
      </c>
      <c r="D151" t="inlineStr">
        <is>
          <t>This topic affects exposure to Safety incident; Physical site loss; War/security crisis; Natural disaster. It helps identify how disruption may impact operations, people, revenue, systems, legal exposure or recovery time.</t>
        </is>
      </c>
      <c r="E151" t="inlineStr">
        <is>
          <t>ISO 45001; ISO 22320; ISO 31030; ISO 18788; ISO 22301; NFPA; local OH&amp;S rules</t>
        </is>
      </c>
      <c r="F151" t="inlineStr">
        <is>
          <t>Policy/SOP; owner/RACI; system report; dashboard; contracts; test records; incident history; interview evidence related to critical facility register with occupancy, business processes, utilities, safety risks and recovery priority.</t>
        </is>
      </c>
      <c r="G151">
        <f>'Assessment Questions'!J151</f>
        <v/>
      </c>
      <c r="H151">
        <f>IF($Z151="","",IF($Z151="N/A","N/A",VALUE(LEFT($Z151,1))))</f>
        <v/>
      </c>
      <c r="I151">
        <f>IF($H151="","",IF($H151="N/A","",VALUE($H151)/5*$G151))</f>
        <v/>
      </c>
      <c r="J151">
        <f>IF(OR($H151="",$H151="N/A"),"",$G151)</f>
        <v/>
      </c>
      <c r="K151">
        <f>IF(OR($H151="",$H151="N/A"),"",$J151-$I151)</f>
        <v/>
      </c>
      <c r="L151">
        <f>IF($H151="","",IF($H151="N/A","N/A",IF(VALUE($H151)&lt;=1,"Critical",IF(VALUE($H151)&lt;=2,"High",IF(VALUE($H151)&lt;=3,"Medium",IF(VALUE($H151)&lt;=4,"Low","Resilient"))))))</f>
        <v/>
      </c>
      <c r="M151" t="inlineStr">
        <is>
          <t>No inventory/register exists.</t>
        </is>
      </c>
      <c r="N151" t="inlineStr">
        <is>
          <t>Partial lists live in individuals' heads or personal files.</t>
        </is>
      </c>
      <c r="O151" t="inlineStr">
        <is>
          <t>A register exists but is incomplete or outdated (&gt;1 year) and has no owner.</t>
        </is>
      </c>
      <c r="P151" t="inlineStr">
        <is>
          <t>Owned, documented, updated on a defined schedule, covers the main scope.</t>
        </is>
      </c>
      <c r="Q151" t="inlineStr">
        <is>
          <t>Complete and periodically reviewed; integrated with related processes; completeness measured.</t>
        </is>
      </c>
      <c r="R151" t="inlineStr">
        <is>
          <t>Maintained automatically or synced with systems; drives decisions; audited.</t>
        </is>
      </c>
      <c r="S151" t="inlineStr">
        <is>
          <t>Safety incident; Physical site loss; War/security crisis; Natural disaster</t>
        </is>
      </c>
      <c r="T151">
        <f>'Assessment Questions'!W151</f>
        <v/>
      </c>
      <c r="U151">
        <f>'Assessment Questions'!X151</f>
        <v/>
      </c>
      <c r="V151">
        <f>'Assessment Questions'!Y151</f>
        <v/>
      </c>
      <c r="W151" t="n">
        <v>4</v>
      </c>
      <c r="X151" t="n">
        <v>5</v>
      </c>
      <c r="Y151" t="n">
        <v>5</v>
      </c>
      <c r="Z151">
        <f>'Assessment Questions'!AC151</f>
        <v/>
      </c>
      <c r="AB151">
        <f>COUNTIF($B$145:$B$175,$AA151)</f>
        <v/>
      </c>
      <c r="AC151">
        <f>IFERROR(SUMPRODUCT(($B$145:$B$175=$AA151)*($H$145:$H$175&lt;&gt;"")*($H$145:$H$175&lt;&gt;"N/A")*IFERROR(VALUE($H$145:$H$175),0))/SUMPRODUCT(($B$145:$B$175=$AA151)*($H$145:$H$175&lt;&gt;"")*($H$145:$H$175&lt;&gt;"N/A")),0)</f>
        <v/>
      </c>
      <c r="AD151">
        <f>AC151/5</f>
        <v/>
      </c>
      <c r="AE151">
        <f>COUNTIFS($B$145:$B$175,$AA151,$L$145:$L$175,"Critical")+COUNTIFS($B$145:$B$175,$AA151,$L$145:$L$175,"High")</f>
        <v/>
      </c>
      <c r="AF151">
        <f>5-AC151</f>
        <v/>
      </c>
      <c r="AG151">
        <f>SUMPRODUCT(($B$145:$B$175=$AA151)*(ISNUMBER($H$145:$H$175)+($H$145:$H$175="N/A")))</f>
        <v/>
      </c>
      <c r="AH151">
        <f>'Assessment Questions'!AK151</f>
        <v/>
      </c>
      <c r="AI151">
        <f>'Assessment Questions'!AL151</f>
        <v/>
      </c>
      <c r="AJ151">
        <f>IF(OR($H151="",$H151="N/A"),"",IF($AH151="",VLOOKUP('Company Profile'!$B$40,_CONFIG_Model_Settings!$A$5:$B$8,2,FALSE),_xlfn.IFNA(VLOOKUP($AH151,_CONFIG_Model_Settings!$A$5:$B$8,2,FALSE),0.9)))</f>
        <v/>
      </c>
      <c r="AK151">
        <f>IF(OR($H151="",$H151="N/A"),"",IF($AI151="",VLOOKUP('Company Profile'!$B$41,_CONFIG_Model_Settings!$A$5:$B$8,2,FALSE),_xlfn.IFNA(VLOOKUP($AI151,_CONFIG_Model_Settings!$A$5:$B$8,2,FALSE),0.9)))</f>
        <v/>
      </c>
      <c r="AL151">
        <f>IF(OR($H151="",$H151="N/A"),"",ROUND(VALUE($H151)*$AJ151*$AK151*$AV151,2))</f>
        <v/>
      </c>
      <c r="AM151">
        <f>IF($AL151="","",ROUND($AL151/5*100,1))</f>
        <v/>
      </c>
      <c r="AN151">
        <f>IFERROR(MIN(5,MAX(0,(SUMIFS(_REF_Model_Content!$D$1:$D$157,_REF_Model_Content!$A$1:$A$157,'Company Profile'!$B$9,_REF_Model_Content!$B$1:$B$157,"Physical Safety"))+_xlfn.IFNA(VLOOKUP('Company Profile'!$B$35,_CONFIG_Model_Settings!$A$11:$B$13,2,0),0))),"")</f>
        <v/>
      </c>
      <c r="AO151">
        <f>IF($AL151="","",MAX(0,ROUND($AN151-$AL151,2)))</f>
        <v/>
      </c>
      <c r="AP151">
        <f>IFERROR(SUMIFS(_REF_Model_Content!$E$1:$E$157,_REF_Model_Content!$A$1:$A$157,'Company Profile'!$B$9,_REF_Model_Content!$B$1:$B$157,"Physical Safety"),1)</f>
        <v/>
      </c>
      <c r="AQ151">
        <f>IF($AO151="","",ROUND($AO151*$AP151*($G151/5),2))</f>
        <v/>
      </c>
      <c r="AR151">
        <f>IF($AO151="","",IF($AO151&gt;=2,"Critical industry gap",IF($AO151&gt;=1,"High industry gap",IF($AO151&gt;=0.5,"Moderate industry gap","Within target"))))</f>
        <v/>
      </c>
      <c r="AS151">
        <f>IF(OR($H151="",$H151="N/A"),0,VALUE($H151)*(($AJ151+$AK151)/2)*$AV151)</f>
        <v/>
      </c>
      <c r="AT151">
        <f>IF(OR($H151="",$H151="N/A"),0,($AJ151+$AK151)/2)</f>
        <v/>
      </c>
      <c r="AU151">
        <f>'Assessment Questions'!AX151</f>
        <v/>
      </c>
      <c r="AV151">
        <f>IF(OR($H151="",$H151="N/A"),"",IF(OR($AU151="",$AU151="Everywhere",$AU151="Not applicable"),1,IF($AU151="Pilot / one team",0.4,IF($AU151="One unit or site",0.7,0.9))))</f>
        <v/>
      </c>
      <c r="AW151" t="inlineStr">
        <is>
          <t>Physical Safety</t>
        </is>
      </c>
      <c r="AX151" t="inlineStr">
        <is>
          <t>Physical Safety</t>
        </is>
      </c>
      <c r="AY151" t="n">
        <v>11</v>
      </c>
      <c r="AZ151" t="n">
        <v>151</v>
      </c>
    </row>
    <row r="152">
      <c r="A152" t="inlineStr">
        <is>
          <t>PHYS-008</t>
        </is>
      </c>
      <c r="B152" t="inlineStr">
        <is>
          <t>Facilities and access</t>
        </is>
      </c>
      <c r="C152" t="inlineStr">
        <is>
          <t>How mature is the organization in managing building integrity, fire systems, emergency exits, shelters, alarms, lighting and backup power inspection, including ownership, evidence, metrics, fallback procedures and crisis stress testing?</t>
        </is>
      </c>
      <c r="D152" t="inlineStr">
        <is>
          <t>This topic affects exposure to Safety incident; Physical site loss; War/security crisis; Natural disaster. It helps identify how disruption may impact operations, people, revenue, systems, legal exposure or recovery time.</t>
        </is>
      </c>
      <c r="E152" t="inlineStr">
        <is>
          <t>ISO 45001; ISO 22320; ISO 31030; ISO 18788; ISO 22301; NFPA; local OH&amp;S rules</t>
        </is>
      </c>
      <c r="F152" t="inlineStr">
        <is>
          <t>Policy/SOP; owner/RACI; system report; dashboard; contracts; test records; incident history; interview evidence related to building integrity, fire systems, emergency exits, shelters, alarms, lighting and backup power inspection.</t>
        </is>
      </c>
      <c r="G152">
        <f>'Assessment Questions'!J152</f>
        <v/>
      </c>
      <c r="H152">
        <f>IF($Z152="","",IF($Z152="N/A","N/A",VALUE(LEFT($Z152,1))))</f>
        <v/>
      </c>
      <c r="I152">
        <f>IF($H152="","",IF($H152="N/A","",VALUE($H152)/5*$G152))</f>
        <v/>
      </c>
      <c r="J152">
        <f>IF(OR($H152="",$H152="N/A"),"",$G152)</f>
        <v/>
      </c>
      <c r="K152">
        <f>IF(OR($H152="",$H152="N/A"),"",$J152-$I152)</f>
        <v/>
      </c>
      <c r="L152">
        <f>IF($H152="","",IF($H152="N/A","N/A",IF(VALUE($H152)&lt;=1,"Critical",IF(VALUE($H152)&lt;=2,"High",IF(VALUE($H152)&lt;=3,"Medium",IF(VALUE($H152)&lt;=4,"Low","Resilient"))))))</f>
        <v/>
      </c>
      <c r="M152" t="inlineStr">
        <is>
          <t>Does not exist; no owner, no documentation, no practice.</t>
        </is>
      </c>
      <c r="N152" t="inlineStr">
        <is>
          <t>Ad hoc; depends entirely on specific individuals.</t>
        </is>
      </c>
      <c r="O152" t="inlineStr">
        <is>
          <t>Partially documented or implemented; coverage inconsistent; never tested under stress.</t>
        </is>
      </c>
      <c r="P152" t="inlineStr">
        <is>
          <t>Documented, owned, executed consistently; basic evidence and metrics exist.</t>
        </is>
      </c>
      <c r="Q152" t="inlineStr">
        <is>
          <t>Measured and periodically tested/audited; integrated with adjacent processes.</t>
        </is>
      </c>
      <c r="R152" t="inlineStr">
        <is>
          <t>Optimized and automated where practical; stress-tested; benchmarked externally.</t>
        </is>
      </c>
      <c r="S152" t="inlineStr">
        <is>
          <t>Safety incident; Physical site loss; War/security crisis; Natural disaster</t>
        </is>
      </c>
      <c r="T152">
        <f>'Assessment Questions'!W152</f>
        <v/>
      </c>
      <c r="U152">
        <f>'Assessment Questions'!X152</f>
        <v/>
      </c>
      <c r="V152">
        <f>'Assessment Questions'!Y152</f>
        <v/>
      </c>
      <c r="W152" t="n">
        <v>5</v>
      </c>
      <c r="X152" t="n">
        <v>5</v>
      </c>
      <c r="Y152" t="n">
        <v>5</v>
      </c>
      <c r="Z152">
        <f>'Assessment Questions'!AC152</f>
        <v/>
      </c>
      <c r="AB152">
        <f>COUNTIF($B$145:$B$175,$AA152)</f>
        <v/>
      </c>
      <c r="AC152">
        <f>IFERROR(SUMPRODUCT(($B$145:$B$175=$AA152)*($H$145:$H$175&lt;&gt;"")*($H$145:$H$175&lt;&gt;"N/A")*IFERROR(VALUE($H$145:$H$175),0))/SUMPRODUCT(($B$145:$B$175=$AA152)*($H$145:$H$175&lt;&gt;"")*($H$145:$H$175&lt;&gt;"N/A")),0)</f>
        <v/>
      </c>
      <c r="AD152">
        <f>AC152/5</f>
        <v/>
      </c>
      <c r="AE152">
        <f>COUNTIFS($B$145:$B$175,$AA152,$L$145:$L$175,"Critical")+COUNTIFS($B$145:$B$175,$AA152,$L$145:$L$175,"High")</f>
        <v/>
      </c>
      <c r="AF152">
        <f>5-AC152</f>
        <v/>
      </c>
      <c r="AG152">
        <f>SUMPRODUCT(($B$145:$B$175=$AA152)*(ISNUMBER($H$145:$H$175)+($H$145:$H$175="N/A")))</f>
        <v/>
      </c>
      <c r="AH152">
        <f>'Assessment Questions'!AK152</f>
        <v/>
      </c>
      <c r="AI152">
        <f>'Assessment Questions'!AL152</f>
        <v/>
      </c>
      <c r="AJ152">
        <f>IF(OR($H152="",$H152="N/A"),"",IF($AH152="",VLOOKUP('Company Profile'!$B$40,_CONFIG_Model_Settings!$A$5:$B$8,2,FALSE),_xlfn.IFNA(VLOOKUP($AH152,_CONFIG_Model_Settings!$A$5:$B$8,2,FALSE),0.9)))</f>
        <v/>
      </c>
      <c r="AK152">
        <f>IF(OR($H152="",$H152="N/A"),"",IF($AI152="",VLOOKUP('Company Profile'!$B$41,_CONFIG_Model_Settings!$A$5:$B$8,2,FALSE),_xlfn.IFNA(VLOOKUP($AI152,_CONFIG_Model_Settings!$A$5:$B$8,2,FALSE),0.9)))</f>
        <v/>
      </c>
      <c r="AL152">
        <f>IF(OR($H152="",$H152="N/A"),"",ROUND(VALUE($H152)*$AJ152*$AK152*$AV152,2))</f>
        <v/>
      </c>
      <c r="AM152">
        <f>IF($AL152="","",ROUND($AL152/5*100,1))</f>
        <v/>
      </c>
      <c r="AN152">
        <f>IFERROR(MIN(5,MAX(0,(SUMIFS(_REF_Model_Content!$D$1:$D$157,_REF_Model_Content!$A$1:$A$157,'Company Profile'!$B$9,_REF_Model_Content!$B$1:$B$157,"Physical Safety"))+_xlfn.IFNA(VLOOKUP('Company Profile'!$B$35,_CONFIG_Model_Settings!$A$11:$B$13,2,0),0))),"")</f>
        <v/>
      </c>
      <c r="AO152">
        <f>IF($AL152="","",MAX(0,ROUND($AN152-$AL152,2)))</f>
        <v/>
      </c>
      <c r="AP152">
        <f>IFERROR(SUMIFS(_REF_Model_Content!$E$1:$E$157,_REF_Model_Content!$A$1:$A$157,'Company Profile'!$B$9,_REF_Model_Content!$B$1:$B$157,"Physical Safety"),1)</f>
        <v/>
      </c>
      <c r="AQ152">
        <f>IF($AO152="","",ROUND($AO152*$AP152*($G152/5),2))</f>
        <v/>
      </c>
      <c r="AR152">
        <f>IF($AO152="","",IF($AO152&gt;=2,"Critical industry gap",IF($AO152&gt;=1,"High industry gap",IF($AO152&gt;=0.5,"Moderate industry gap","Within target"))))</f>
        <v/>
      </c>
      <c r="AS152">
        <f>IF(OR($H152="",$H152="N/A"),0,VALUE($H152)*(($AJ152+$AK152)/2)*$AV152)</f>
        <v/>
      </c>
      <c r="AT152">
        <f>IF(OR($H152="",$H152="N/A"),0,($AJ152+$AK152)/2)</f>
        <v/>
      </c>
      <c r="AU152">
        <f>'Assessment Questions'!AX152</f>
        <v/>
      </c>
      <c r="AV152">
        <f>IF(OR($H152="",$H152="N/A"),"",IF(OR($AU152="",$AU152="Everywhere",$AU152="Not applicable"),1,IF($AU152="Pilot / one team",0.4,IF($AU152="One unit or site",0.7,0.9))))</f>
        <v/>
      </c>
      <c r="AW152" t="inlineStr">
        <is>
          <t>Physical Safety</t>
        </is>
      </c>
      <c r="AX152" t="inlineStr">
        <is>
          <t>Physical Safety</t>
        </is>
      </c>
      <c r="AY152" t="n">
        <v>12</v>
      </c>
      <c r="AZ152" t="n">
        <v>152</v>
      </c>
    </row>
    <row r="153">
      <c r="A153" t="inlineStr">
        <is>
          <t>PHYS-009</t>
        </is>
      </c>
      <c r="B153" t="inlineStr">
        <is>
          <t>Facilities and access</t>
        </is>
      </c>
      <c r="C153" t="inlineStr">
        <is>
          <t>How mature is the organization in managing physical access control linked to HR onboarding, offboarding and periodic access review, including ownership, evidence, metrics, fallback procedures and crisis stress testing?</t>
        </is>
      </c>
      <c r="D153" t="inlineStr">
        <is>
          <t>This topic affects exposure to Safety incident; Physical site loss; War/security crisis; Natural disaster. It helps identify how disruption may impact operations, people, revenue, systems, legal exposure or recovery time.</t>
        </is>
      </c>
      <c r="E153" t="inlineStr">
        <is>
          <t>ISO 45001; ISO 22320; ISO 31030; ISO 18788; ISO 22301; NFPA; local OH&amp;S rules</t>
        </is>
      </c>
      <c r="F153" t="inlineStr">
        <is>
          <t>Policy/SOP; owner/RACI; system report; dashboard; contracts; test records; incident history; interview evidence related to physical access control linked to HR onboarding, offboarding and periodic access review.</t>
        </is>
      </c>
      <c r="G153">
        <f>'Assessment Questions'!J153</f>
        <v/>
      </c>
      <c r="H153">
        <f>IF($Z153="","",IF($Z153="N/A","N/A",VALUE(LEFT($Z153,1))))</f>
        <v/>
      </c>
      <c r="I153">
        <f>IF($H153="","",IF($H153="N/A","",VALUE($H153)/5*$G153))</f>
        <v/>
      </c>
      <c r="J153">
        <f>IF(OR($H153="",$H153="N/A"),"",$G153)</f>
        <v/>
      </c>
      <c r="K153">
        <f>IF(OR($H153="",$H153="N/A"),"",$J153-$I153)</f>
        <v/>
      </c>
      <c r="L153">
        <f>IF($H153="","",IF($H153="N/A","N/A",IF(VALUE($H153)&lt;=1,"Critical",IF(VALUE($H153)&lt;=2,"High",IF(VALUE($H153)&lt;=3,"Medium",IF(VALUE($H153)&lt;=4,"Low","Resilient"))))))</f>
        <v/>
      </c>
      <c r="M153" t="inlineStr">
        <is>
          <t>No reliable evidence that physical access control linked to hr onboarding, offboarding and periodic access review is defined, owned or managed.</t>
        </is>
      </c>
      <c r="N153" t="inlineStr">
        <is>
          <t>Physical access control linked to HR onboarding, offboarding and periodic access review is handled informally and depends on individual knowledge or heroic effort.</t>
        </is>
      </c>
      <c r="O153" t="inlineStr">
        <is>
          <t>Physical access control linked to HR onboarding, offboarding and periodic access review is partially documented or implemented, but coverage is inconsistent and not crisis-tested.</t>
        </is>
      </c>
      <c r="P153" t="inlineStr">
        <is>
          <t>Physical access control linked to HR onboarding, offboarding and periodic access review is documented, owned, used in normal operations and supported by basic evidence or metrics.</t>
        </is>
      </c>
      <c r="Q153" t="inlineStr">
        <is>
          <t>Physical access control linked to HR onboarding, offboarding and periodic access review is measured, periodically reviewed, integrated with related processes and tested against relevant disruption scenarios.</t>
        </is>
      </c>
      <c r="R153" t="inlineStr">
        <is>
          <t>Physical access control linked to HR onboarding, offboarding and periodic access review is optimized, continuously improved, automated where practical and demonstrably supports crisis resilience.</t>
        </is>
      </c>
      <c r="S153" t="inlineStr">
        <is>
          <t>Safety incident; Physical site loss; War/security crisis; Natural disaster</t>
        </is>
      </c>
      <c r="T153">
        <f>'Assessment Questions'!W153</f>
        <v/>
      </c>
      <c r="U153">
        <f>'Assessment Questions'!X153</f>
        <v/>
      </c>
      <c r="V153">
        <f>'Assessment Questions'!Y153</f>
        <v/>
      </c>
      <c r="W153" t="n">
        <v>4</v>
      </c>
      <c r="X153" t="n">
        <v>5</v>
      </c>
      <c r="Y153" t="n">
        <v>5</v>
      </c>
      <c r="Z153">
        <f>'Assessment Questions'!AC153</f>
        <v/>
      </c>
      <c r="AB153">
        <f>COUNTIF($B$145:$B$175,$AA153)</f>
        <v/>
      </c>
      <c r="AC153">
        <f>IFERROR(SUMPRODUCT(($B$145:$B$175=$AA153)*($H$145:$H$175&lt;&gt;"")*($H$145:$H$175&lt;&gt;"N/A")*IFERROR(VALUE($H$145:$H$175),0))/SUMPRODUCT(($B$145:$B$175=$AA153)*($H$145:$H$175&lt;&gt;"")*($H$145:$H$175&lt;&gt;"N/A")),0)</f>
        <v/>
      </c>
      <c r="AD153">
        <f>AC153/5</f>
        <v/>
      </c>
      <c r="AE153">
        <f>COUNTIFS($B$145:$B$175,$AA153,$L$145:$L$175,"Critical")+COUNTIFS($B$145:$B$175,$AA153,$L$145:$L$175,"High")</f>
        <v/>
      </c>
      <c r="AF153">
        <f>5-AC153</f>
        <v/>
      </c>
      <c r="AG153">
        <f>SUMPRODUCT(($B$145:$B$175=$AA153)*(ISNUMBER($H$145:$H$175)+($H$145:$H$175="N/A")))</f>
        <v/>
      </c>
      <c r="AH153">
        <f>'Assessment Questions'!AK153</f>
        <v/>
      </c>
      <c r="AI153">
        <f>'Assessment Questions'!AL153</f>
        <v/>
      </c>
      <c r="AJ153">
        <f>IF(OR($H153="",$H153="N/A"),"",IF($AH153="",VLOOKUP('Company Profile'!$B$40,_CONFIG_Model_Settings!$A$5:$B$8,2,FALSE),_xlfn.IFNA(VLOOKUP($AH153,_CONFIG_Model_Settings!$A$5:$B$8,2,FALSE),0.9)))</f>
        <v/>
      </c>
      <c r="AK153">
        <f>IF(OR($H153="",$H153="N/A"),"",IF($AI153="",VLOOKUP('Company Profile'!$B$41,_CONFIG_Model_Settings!$A$5:$B$8,2,FALSE),_xlfn.IFNA(VLOOKUP($AI153,_CONFIG_Model_Settings!$A$5:$B$8,2,FALSE),0.9)))</f>
        <v/>
      </c>
      <c r="AL153">
        <f>IF(OR($H153="",$H153="N/A"),"",ROUND(VALUE($H153)*$AJ153*$AK153*$AV153,2))</f>
        <v/>
      </c>
      <c r="AM153">
        <f>IF($AL153="","",ROUND($AL153/5*100,1))</f>
        <v/>
      </c>
      <c r="AN153">
        <f>IFERROR(MIN(5,MAX(0,(SUMIFS(_REF_Model_Content!$D$1:$D$157,_REF_Model_Content!$A$1:$A$157,'Company Profile'!$B$9,_REF_Model_Content!$B$1:$B$157,"Physical Safety"))+_xlfn.IFNA(VLOOKUP('Company Profile'!$B$35,_CONFIG_Model_Settings!$A$11:$B$13,2,0),0))),"")</f>
        <v/>
      </c>
      <c r="AO153">
        <f>IF($AL153="","",MAX(0,ROUND($AN153-$AL153,2)))</f>
        <v/>
      </c>
      <c r="AP153">
        <f>IFERROR(SUMIFS(_REF_Model_Content!$E$1:$E$157,_REF_Model_Content!$A$1:$A$157,'Company Profile'!$B$9,_REF_Model_Content!$B$1:$B$157,"Physical Safety"),1)</f>
        <v/>
      </c>
      <c r="AQ153">
        <f>IF($AO153="","",ROUND($AO153*$AP153*($G153/5),2))</f>
        <v/>
      </c>
      <c r="AR153">
        <f>IF($AO153="","",IF($AO153&gt;=2,"Critical industry gap",IF($AO153&gt;=1,"High industry gap",IF($AO153&gt;=0.5,"Moderate industry gap","Within target"))))</f>
        <v/>
      </c>
      <c r="AS153">
        <f>IF(OR($H153="",$H153="N/A"),0,VALUE($H153)*(($AJ153+$AK153)/2)*$AV153)</f>
        <v/>
      </c>
      <c r="AT153">
        <f>IF(OR($H153="",$H153="N/A"),0,($AJ153+$AK153)/2)</f>
        <v/>
      </c>
      <c r="AU153">
        <f>'Assessment Questions'!AX153</f>
        <v/>
      </c>
      <c r="AV153">
        <f>IF(OR($H153="",$H153="N/A"),"",IF(OR($AU153="",$AU153="Everywhere",$AU153="Not applicable"),1,IF($AU153="Pilot / one team",0.4,IF($AU153="One unit or site",0.7,0.9))))</f>
        <v/>
      </c>
      <c r="AW153" t="inlineStr">
        <is>
          <t>Physical Safety</t>
        </is>
      </c>
      <c r="AX153" t="inlineStr">
        <is>
          <t>Physical Safety</t>
        </is>
      </c>
      <c r="AY153" t="n">
        <v>13</v>
      </c>
      <c r="AZ153" t="n">
        <v>153</v>
      </c>
    </row>
    <row r="154">
      <c r="A154" t="inlineStr">
        <is>
          <t>PHYS-010</t>
        </is>
      </c>
      <c r="B154" t="inlineStr">
        <is>
          <t>Facilities and access</t>
        </is>
      </c>
      <c r="C154" t="inlineStr">
        <is>
          <t>How mature is the organization in managing visitor management covering identity checks, escorting, sensitive areas and evacuation accountability, including ownership, evidence, metrics, fallback procedures and crisis stress testing?</t>
        </is>
      </c>
      <c r="D154" t="inlineStr">
        <is>
          <t>This topic affects exposure to Safety incident; Physical site loss; War/security crisis; Natural disaster. It helps identify how disruption may impact operations, people, revenue, systems, legal exposure or recovery time.</t>
        </is>
      </c>
      <c r="E154" t="inlineStr">
        <is>
          <t>ISO 45001; ISO 22320; ISO 31030; ISO 18788; ISO 22301; NFPA; local OH&amp;S rules</t>
        </is>
      </c>
      <c r="F154" t="inlineStr">
        <is>
          <t>Policy/SOP; owner/RACI; system report; dashboard; contracts; test records; incident history; interview evidence related to visitor management covering identity checks, escorting, sensitive areas and evacuation accountability.</t>
        </is>
      </c>
      <c r="G154">
        <f>'Assessment Questions'!J154</f>
        <v/>
      </c>
      <c r="H154">
        <f>IF($Z154="","",IF($Z154="N/A","N/A",VALUE(LEFT($Z154,1))))</f>
        <v/>
      </c>
      <c r="I154">
        <f>IF($H154="","",IF($H154="N/A","",VALUE($H154)/5*$G154))</f>
        <v/>
      </c>
      <c r="J154">
        <f>IF(OR($H154="",$H154="N/A"),"",$G154)</f>
        <v/>
      </c>
      <c r="K154">
        <f>IF(OR($H154="",$H154="N/A"),"",$J154-$I154)</f>
        <v/>
      </c>
      <c r="L154">
        <f>IF($H154="","",IF($H154="N/A","N/A",IF(VALUE($H154)&lt;=1,"Critical",IF(VALUE($H154)&lt;=2,"High",IF(VALUE($H154)&lt;=3,"Medium",IF(VALUE($H154)&lt;=4,"Low","Resilient"))))))</f>
        <v/>
      </c>
      <c r="M154" t="inlineStr">
        <is>
          <t>No reliable evidence that visitor management covering identity checks, escorting, sensitive areas and evacuation accountability is defined, owned or managed.</t>
        </is>
      </c>
      <c r="N154" t="inlineStr">
        <is>
          <t>Visitor management covering identity checks, escorting, sensitive areas and evacuation accountability is handled informally and depends on individual knowledge or heroic effort.</t>
        </is>
      </c>
      <c r="O154" t="inlineStr">
        <is>
          <t>Visitor management covering identity checks, escorting, sensitive areas and evacuation accountability is partially documented or implemented, but coverage is inconsistent and not crisis-tested.</t>
        </is>
      </c>
      <c r="P154" t="inlineStr">
        <is>
          <t>Visitor management covering identity checks, escorting, sensitive areas and evacuation accountability is documented, owned, used in normal operations and supported by basic evidence or metrics.</t>
        </is>
      </c>
      <c r="Q154" t="inlineStr">
        <is>
          <t>Visitor management covering identity checks, escorting, sensitive areas and evacuation accountability is measured, periodically reviewed, integrated with related processes and tested against relevant disruption scenarios.</t>
        </is>
      </c>
      <c r="R154" t="inlineStr">
        <is>
          <t>Visitor management covering identity checks, escorting, sensitive areas and evacuation accountability is optimized, continuously improved, automated where practical and demonstrably supports crisis resilience.</t>
        </is>
      </c>
      <c r="S154" t="inlineStr">
        <is>
          <t>Safety incident; Physical site loss; War/security crisis; Natural disaster</t>
        </is>
      </c>
      <c r="T154">
        <f>'Assessment Questions'!W154</f>
        <v/>
      </c>
      <c r="U154">
        <f>'Assessment Questions'!X154</f>
        <v/>
      </c>
      <c r="V154">
        <f>'Assessment Questions'!Y154</f>
        <v/>
      </c>
      <c r="W154" t="n">
        <v>4</v>
      </c>
      <c r="X154" t="n">
        <v>5</v>
      </c>
      <c r="Y154" t="n">
        <v>5</v>
      </c>
      <c r="Z154">
        <f>'Assessment Questions'!AC154</f>
        <v/>
      </c>
      <c r="AB154">
        <f>COUNTIF($B$145:$B$175,$AA154)</f>
        <v/>
      </c>
      <c r="AC154">
        <f>IFERROR(SUMPRODUCT(($B$145:$B$175=$AA154)*($H$145:$H$175&lt;&gt;"")*($H$145:$H$175&lt;&gt;"N/A")*IFERROR(VALUE($H$145:$H$175),0))/SUMPRODUCT(($B$145:$B$175=$AA154)*($H$145:$H$175&lt;&gt;"")*($H$145:$H$175&lt;&gt;"N/A")),0)</f>
        <v/>
      </c>
      <c r="AD154">
        <f>AC154/5</f>
        <v/>
      </c>
      <c r="AE154">
        <f>COUNTIFS($B$145:$B$175,$AA154,$L$145:$L$175,"Critical")+COUNTIFS($B$145:$B$175,$AA154,$L$145:$L$175,"High")</f>
        <v/>
      </c>
      <c r="AF154">
        <f>5-AC154</f>
        <v/>
      </c>
      <c r="AG154">
        <f>SUMPRODUCT(($B$145:$B$175=$AA154)*(ISNUMBER($H$145:$H$175)+($H$145:$H$175="N/A")))</f>
        <v/>
      </c>
      <c r="AH154">
        <f>'Assessment Questions'!AK154</f>
        <v/>
      </c>
      <c r="AI154">
        <f>'Assessment Questions'!AL154</f>
        <v/>
      </c>
      <c r="AJ154">
        <f>IF(OR($H154="",$H154="N/A"),"",IF($AH154="",VLOOKUP('Company Profile'!$B$40,_CONFIG_Model_Settings!$A$5:$B$8,2,FALSE),_xlfn.IFNA(VLOOKUP($AH154,_CONFIG_Model_Settings!$A$5:$B$8,2,FALSE),0.9)))</f>
        <v/>
      </c>
      <c r="AK154">
        <f>IF(OR($H154="",$H154="N/A"),"",IF($AI154="",VLOOKUP('Company Profile'!$B$41,_CONFIG_Model_Settings!$A$5:$B$8,2,FALSE),_xlfn.IFNA(VLOOKUP($AI154,_CONFIG_Model_Settings!$A$5:$B$8,2,FALSE),0.9)))</f>
        <v/>
      </c>
      <c r="AL154">
        <f>IF(OR($H154="",$H154="N/A"),"",ROUND(VALUE($H154)*$AJ154*$AK154*$AV154,2))</f>
        <v/>
      </c>
      <c r="AM154">
        <f>IF($AL154="","",ROUND($AL154/5*100,1))</f>
        <v/>
      </c>
      <c r="AN154">
        <f>IFERROR(MIN(5,MAX(0,(SUMIFS(_REF_Model_Content!$D$1:$D$157,_REF_Model_Content!$A$1:$A$157,'Company Profile'!$B$9,_REF_Model_Content!$B$1:$B$157,"Physical Safety"))+_xlfn.IFNA(VLOOKUP('Company Profile'!$B$35,_CONFIG_Model_Settings!$A$11:$B$13,2,0),0))),"")</f>
        <v/>
      </c>
      <c r="AO154">
        <f>IF($AL154="","",MAX(0,ROUND($AN154-$AL154,2)))</f>
        <v/>
      </c>
      <c r="AP154">
        <f>IFERROR(SUMIFS(_REF_Model_Content!$E$1:$E$157,_REF_Model_Content!$A$1:$A$157,'Company Profile'!$B$9,_REF_Model_Content!$B$1:$B$157,"Physical Safety"),1)</f>
        <v/>
      </c>
      <c r="AQ154">
        <f>IF($AO154="","",ROUND($AO154*$AP154*($G154/5),2))</f>
        <v/>
      </c>
      <c r="AR154">
        <f>IF($AO154="","",IF($AO154&gt;=2,"Critical industry gap",IF($AO154&gt;=1,"High industry gap",IF($AO154&gt;=0.5,"Moderate industry gap","Within target"))))</f>
        <v/>
      </c>
      <c r="AS154">
        <f>IF(OR($H154="",$H154="N/A"),0,VALUE($H154)*(($AJ154+$AK154)/2)*$AV154)</f>
        <v/>
      </c>
      <c r="AT154">
        <f>IF(OR($H154="",$H154="N/A"),0,($AJ154+$AK154)/2)</f>
        <v/>
      </c>
      <c r="AU154">
        <f>'Assessment Questions'!AX154</f>
        <v/>
      </c>
      <c r="AV154">
        <f>IF(OR($H154="",$H154="N/A"),"",IF(OR($AU154="",$AU154="Everywhere",$AU154="Not applicable"),1,IF($AU154="Pilot / one team",0.4,IF($AU154="One unit or site",0.7,0.9))))</f>
        <v/>
      </c>
      <c r="AW154" t="inlineStr">
        <is>
          <t>Physical Safety</t>
        </is>
      </c>
      <c r="AX154" t="inlineStr">
        <is>
          <t>Physical Safety</t>
        </is>
      </c>
      <c r="AY154" t="n">
        <v>14</v>
      </c>
      <c r="AZ154" t="n">
        <v>154</v>
      </c>
    </row>
    <row r="155">
      <c r="A155" t="inlineStr">
        <is>
          <t>PHYS-011</t>
        </is>
      </c>
      <c r="B155" t="inlineStr">
        <is>
          <t>Facilities and access</t>
        </is>
      </c>
      <c r="C155" t="inlineStr">
        <is>
          <t>How mature is the organization in managing security guarding, CCTV, alarm monitoring and response procedures, including ownership, evidence, metrics, fallback procedures and crisis stress testing?</t>
        </is>
      </c>
      <c r="D155" t="inlineStr">
        <is>
          <t>This topic affects exposure to Safety incident; Physical site loss; War/security crisis; Natural disaster. It helps identify how disruption may impact operations, people, revenue, systems, legal exposure or recovery time.</t>
        </is>
      </c>
      <c r="E155" t="inlineStr">
        <is>
          <t>ISO 45001; ISO 22320; ISO 31030; ISO 18788; ISO 22301; NFPA; local OH&amp;S rules</t>
        </is>
      </c>
      <c r="F155" t="inlineStr">
        <is>
          <t>Policy/SOP; owner/RACI; system report; dashboard; contracts; test records; incident history; interview evidence related to security guarding, CCTV, alarm monitoring and response procedures.</t>
        </is>
      </c>
      <c r="G155">
        <f>'Assessment Questions'!J155</f>
        <v/>
      </c>
      <c r="H155">
        <f>IF($Z155="","",IF($Z155="N/A","N/A",VALUE(LEFT($Z155,1))))</f>
        <v/>
      </c>
      <c r="I155">
        <f>IF($H155="","",IF($H155="N/A","",VALUE($H155)/5*$G155))</f>
        <v/>
      </c>
      <c r="J155">
        <f>IF(OR($H155="",$H155="N/A"),"",$G155)</f>
        <v/>
      </c>
      <c r="K155">
        <f>IF(OR($H155="",$H155="N/A"),"",$J155-$I155)</f>
        <v/>
      </c>
      <c r="L155">
        <f>IF($H155="","",IF($H155="N/A","N/A",IF(VALUE($H155)&lt;=1,"Critical",IF(VALUE($H155)&lt;=2,"High",IF(VALUE($H155)&lt;=3,"Medium",IF(VALUE($H155)&lt;=4,"Low","Resilient"))))))</f>
        <v/>
      </c>
      <c r="M155" t="inlineStr">
        <is>
          <t>No reliable evidence that security guarding, cctv, alarm monitoring and response procedures is defined, owned or managed.</t>
        </is>
      </c>
      <c r="N155" t="inlineStr">
        <is>
          <t>Security guarding, CCTV, alarm monitoring and response procedures is handled informally and depends on individual knowledge or heroic effort.</t>
        </is>
      </c>
      <c r="O155" t="inlineStr">
        <is>
          <t>Security guarding, CCTV, alarm monitoring and response procedures is partially documented or implemented, but coverage is inconsistent and not crisis-tested.</t>
        </is>
      </c>
      <c r="P155" t="inlineStr">
        <is>
          <t>Security guarding, CCTV, alarm monitoring and response procedures is documented, owned, used in normal operations and supported by basic evidence or metrics.</t>
        </is>
      </c>
      <c r="Q155" t="inlineStr">
        <is>
          <t>Security guarding, CCTV, alarm monitoring and response procedures is measured, periodically reviewed, integrated with related processes and tested against relevant disruption scenarios.</t>
        </is>
      </c>
      <c r="R155" t="inlineStr">
        <is>
          <t>Security guarding, CCTV, alarm monitoring and response procedures is optimized, continuously improved, automated where practical and demonstrably supports crisis resilience.</t>
        </is>
      </c>
      <c r="S155" t="inlineStr">
        <is>
          <t>Safety incident; Physical site loss; War/security crisis; Natural disaster</t>
        </is>
      </c>
      <c r="T155">
        <f>'Assessment Questions'!W155</f>
        <v/>
      </c>
      <c r="U155">
        <f>'Assessment Questions'!X155</f>
        <v/>
      </c>
      <c r="V155">
        <f>'Assessment Questions'!Y155</f>
        <v/>
      </c>
      <c r="W155" t="n">
        <v>4</v>
      </c>
      <c r="X155" t="n">
        <v>5</v>
      </c>
      <c r="Y155" t="n">
        <v>5</v>
      </c>
      <c r="Z155">
        <f>'Assessment Questions'!AC155</f>
        <v/>
      </c>
      <c r="AB155">
        <f>COUNTIF($B$145:$B$175,$AA155)</f>
        <v/>
      </c>
      <c r="AC155">
        <f>IFERROR(SUMPRODUCT(($B$145:$B$175=$AA155)*($H$145:$H$175&lt;&gt;"")*($H$145:$H$175&lt;&gt;"N/A")*IFERROR(VALUE($H$145:$H$175),0))/SUMPRODUCT(($B$145:$B$175=$AA155)*($H$145:$H$175&lt;&gt;"")*($H$145:$H$175&lt;&gt;"N/A")),0)</f>
        <v/>
      </c>
      <c r="AD155">
        <f>AC155/5</f>
        <v/>
      </c>
      <c r="AE155">
        <f>COUNTIFS($B$145:$B$175,$AA155,$L$145:$L$175,"Critical")+COUNTIFS($B$145:$B$175,$AA155,$L$145:$L$175,"High")</f>
        <v/>
      </c>
      <c r="AF155">
        <f>5-AC155</f>
        <v/>
      </c>
      <c r="AG155">
        <f>SUMPRODUCT(($B$145:$B$175=$AA155)*(ISNUMBER($H$145:$H$175)+($H$145:$H$175="N/A")))</f>
        <v/>
      </c>
      <c r="AH155">
        <f>'Assessment Questions'!AK155</f>
        <v/>
      </c>
      <c r="AI155">
        <f>'Assessment Questions'!AL155</f>
        <v/>
      </c>
      <c r="AJ155">
        <f>IF(OR($H155="",$H155="N/A"),"",IF($AH155="",VLOOKUP('Company Profile'!$B$40,_CONFIG_Model_Settings!$A$5:$B$8,2,FALSE),_xlfn.IFNA(VLOOKUP($AH155,_CONFIG_Model_Settings!$A$5:$B$8,2,FALSE),0.9)))</f>
        <v/>
      </c>
      <c r="AK155">
        <f>IF(OR($H155="",$H155="N/A"),"",IF($AI155="",VLOOKUP('Company Profile'!$B$41,_CONFIG_Model_Settings!$A$5:$B$8,2,FALSE),_xlfn.IFNA(VLOOKUP($AI155,_CONFIG_Model_Settings!$A$5:$B$8,2,FALSE),0.9)))</f>
        <v/>
      </c>
      <c r="AL155">
        <f>IF(OR($H155="",$H155="N/A"),"",ROUND(VALUE($H155)*$AJ155*$AK155*$AV155,2))</f>
        <v/>
      </c>
      <c r="AM155">
        <f>IF($AL155="","",ROUND($AL155/5*100,1))</f>
        <v/>
      </c>
      <c r="AN155">
        <f>IFERROR(MIN(5,MAX(0,(SUMIFS(_REF_Model_Content!$D$1:$D$157,_REF_Model_Content!$A$1:$A$157,'Company Profile'!$B$9,_REF_Model_Content!$B$1:$B$157,"Physical Safety"))+_xlfn.IFNA(VLOOKUP('Company Profile'!$B$35,_CONFIG_Model_Settings!$A$11:$B$13,2,0),0))),"")</f>
        <v/>
      </c>
      <c r="AO155">
        <f>IF($AL155="","",MAX(0,ROUND($AN155-$AL155,2)))</f>
        <v/>
      </c>
      <c r="AP155">
        <f>IFERROR(SUMIFS(_REF_Model_Content!$E$1:$E$157,_REF_Model_Content!$A$1:$A$157,'Company Profile'!$B$9,_REF_Model_Content!$B$1:$B$157,"Physical Safety"),1)</f>
        <v/>
      </c>
      <c r="AQ155">
        <f>IF($AO155="","",ROUND($AO155*$AP155*($G155/5),2))</f>
        <v/>
      </c>
      <c r="AR155">
        <f>IF($AO155="","",IF($AO155&gt;=2,"Critical industry gap",IF($AO155&gt;=1,"High industry gap",IF($AO155&gt;=0.5,"Moderate industry gap","Within target"))))</f>
        <v/>
      </c>
      <c r="AS155">
        <f>IF(OR($H155="",$H155="N/A"),0,VALUE($H155)*(($AJ155+$AK155)/2)*$AV155)</f>
        <v/>
      </c>
      <c r="AT155">
        <f>IF(OR($H155="",$H155="N/A"),0,($AJ155+$AK155)/2)</f>
        <v/>
      </c>
      <c r="AU155">
        <f>'Assessment Questions'!AX155</f>
        <v/>
      </c>
      <c r="AV155">
        <f>IF(OR($H155="",$H155="N/A"),"",IF(OR($AU155="",$AU155="Everywhere",$AU155="Not applicable"),1,IF($AU155="Pilot / one team",0.4,IF($AU155="One unit or site",0.7,0.9))))</f>
        <v/>
      </c>
      <c r="AW155" t="inlineStr">
        <is>
          <t>Physical Safety</t>
        </is>
      </c>
      <c r="AX155" t="inlineStr">
        <is>
          <t>Physical Safety</t>
        </is>
      </c>
      <c r="AY155" t="n">
        <v>15</v>
      </c>
      <c r="AZ155" t="n">
        <v>155</v>
      </c>
    </row>
    <row r="156">
      <c r="A156" t="inlineStr">
        <is>
          <t>PHYS-012</t>
        </is>
      </c>
      <c r="B156" t="inlineStr">
        <is>
          <t>Facilities and access</t>
        </is>
      </c>
      <c r="C156" t="inlineStr">
        <is>
          <t>How mature is the organization in managing physical asset protection against theft, sabotage, environmental damage and unauthorized access, including ownership, evidence, metrics, fallback procedures and crisis stress testing?</t>
        </is>
      </c>
      <c r="D156" t="inlineStr">
        <is>
          <t>This topic affects exposure to Safety incident; Physical site loss; War/security crisis; Natural disaster. It helps identify how disruption may impact operations, people, revenue, systems, legal exposure or recovery time.</t>
        </is>
      </c>
      <c r="E156" t="inlineStr">
        <is>
          <t>ISO 45001; ISO 22320; ISO 31030; ISO 18788; ISO 22301; NFPA; local OH&amp;S rules</t>
        </is>
      </c>
      <c r="F156" t="inlineStr">
        <is>
          <t>Policy/SOP; owner/RACI; system report; dashboard; contracts; test records; incident history; interview evidence related to physical asset protection against theft, sabotage, environmental damage and unauthorized access.</t>
        </is>
      </c>
      <c r="G156">
        <f>'Assessment Questions'!J156</f>
        <v/>
      </c>
      <c r="H156">
        <f>IF($Z156="","",IF($Z156="N/A","N/A",VALUE(LEFT($Z156,1))))</f>
        <v/>
      </c>
      <c r="I156">
        <f>IF($H156="","",IF($H156="N/A","",VALUE($H156)/5*$G156))</f>
        <v/>
      </c>
      <c r="J156">
        <f>IF(OR($H156="",$H156="N/A"),"",$G156)</f>
        <v/>
      </c>
      <c r="K156">
        <f>IF(OR($H156="",$H156="N/A"),"",$J156-$I156)</f>
        <v/>
      </c>
      <c r="L156">
        <f>IF($H156="","",IF($H156="N/A","N/A",IF(VALUE($H156)&lt;=1,"Critical",IF(VALUE($H156)&lt;=2,"High",IF(VALUE($H156)&lt;=3,"Medium",IF(VALUE($H156)&lt;=4,"Low","Resilient"))))))</f>
        <v/>
      </c>
      <c r="M156" t="inlineStr">
        <is>
          <t>No reliable evidence that physical asset protection against theft, sabotage, environmental damage and unauthorized access is defined, owned or managed.</t>
        </is>
      </c>
      <c r="N156" t="inlineStr">
        <is>
          <t>Physical asset protection against theft, sabotage, environmental damage and unauthorized access is handled informally and depends on individual knowledge or heroic effort.</t>
        </is>
      </c>
      <c r="O156" t="inlineStr">
        <is>
          <t>Physical asset protection against theft, sabotage, environmental damage and unauthorized access is partially documented or implemented, but coverage is inconsistent and not crisis-tested.</t>
        </is>
      </c>
      <c r="P156" t="inlineStr">
        <is>
          <t>Physical asset protection against theft, sabotage, environmental damage and unauthorized access is documented, owned, used in normal operations and supported by basic evidence or metrics.</t>
        </is>
      </c>
      <c r="Q156" t="inlineStr">
        <is>
          <t>Physical asset protection against theft, sabotage, environmental damage and unauthorized access is measured, periodically reviewed, integrated with related processes and tested against relevant disruption scenarios.</t>
        </is>
      </c>
      <c r="R156" t="inlineStr">
        <is>
          <t>Physical asset protection against theft, sabotage, environmental damage and unauthorized access is optimized, continuously improved, automated where practical and demonstrably supports crisis resilience.</t>
        </is>
      </c>
      <c r="S156" t="inlineStr">
        <is>
          <t>Safety incident; Physical site loss; War/security crisis; Natural disaster</t>
        </is>
      </c>
      <c r="T156">
        <f>'Assessment Questions'!W156</f>
        <v/>
      </c>
      <c r="U156">
        <f>'Assessment Questions'!X156</f>
        <v/>
      </c>
      <c r="V156">
        <f>'Assessment Questions'!Y156</f>
        <v/>
      </c>
      <c r="W156" t="n">
        <v>4</v>
      </c>
      <c r="X156" t="n">
        <v>5</v>
      </c>
      <c r="Y156" t="n">
        <v>5</v>
      </c>
      <c r="Z156">
        <f>'Assessment Questions'!AC156</f>
        <v/>
      </c>
      <c r="AB156">
        <f>COUNTIF($B$145:$B$175,$AA156)</f>
        <v/>
      </c>
      <c r="AC156">
        <f>IFERROR(SUMPRODUCT(($B$145:$B$175=$AA156)*($H$145:$H$175&lt;&gt;"")*($H$145:$H$175&lt;&gt;"N/A")*IFERROR(VALUE($H$145:$H$175),0))/SUMPRODUCT(($B$145:$B$175=$AA156)*($H$145:$H$175&lt;&gt;"")*($H$145:$H$175&lt;&gt;"N/A")),0)</f>
        <v/>
      </c>
      <c r="AD156">
        <f>AC156/5</f>
        <v/>
      </c>
      <c r="AE156">
        <f>COUNTIFS($B$145:$B$175,$AA156,$L$145:$L$175,"Critical")+COUNTIFS($B$145:$B$175,$AA156,$L$145:$L$175,"High")</f>
        <v/>
      </c>
      <c r="AF156">
        <f>5-AC156</f>
        <v/>
      </c>
      <c r="AG156">
        <f>SUMPRODUCT(($B$145:$B$175=$AA156)*(ISNUMBER($H$145:$H$175)+($H$145:$H$175="N/A")))</f>
        <v/>
      </c>
      <c r="AH156">
        <f>'Assessment Questions'!AK156</f>
        <v/>
      </c>
      <c r="AI156">
        <f>'Assessment Questions'!AL156</f>
        <v/>
      </c>
      <c r="AJ156">
        <f>IF(OR($H156="",$H156="N/A"),"",IF($AH156="",VLOOKUP('Company Profile'!$B$40,_CONFIG_Model_Settings!$A$5:$B$8,2,FALSE),_xlfn.IFNA(VLOOKUP($AH156,_CONFIG_Model_Settings!$A$5:$B$8,2,FALSE),0.9)))</f>
        <v/>
      </c>
      <c r="AK156">
        <f>IF(OR($H156="",$H156="N/A"),"",IF($AI156="",VLOOKUP('Company Profile'!$B$41,_CONFIG_Model_Settings!$A$5:$B$8,2,FALSE),_xlfn.IFNA(VLOOKUP($AI156,_CONFIG_Model_Settings!$A$5:$B$8,2,FALSE),0.9)))</f>
        <v/>
      </c>
      <c r="AL156">
        <f>IF(OR($H156="",$H156="N/A"),"",ROUND(VALUE($H156)*$AJ156*$AK156*$AV156,2))</f>
        <v/>
      </c>
      <c r="AM156">
        <f>IF($AL156="","",ROUND($AL156/5*100,1))</f>
        <v/>
      </c>
      <c r="AN156">
        <f>IFERROR(MIN(5,MAX(0,(SUMIFS(_REF_Model_Content!$D$1:$D$157,_REF_Model_Content!$A$1:$A$157,'Company Profile'!$B$9,_REF_Model_Content!$B$1:$B$157,"Physical Safety"))+_xlfn.IFNA(VLOOKUP('Company Profile'!$B$35,_CONFIG_Model_Settings!$A$11:$B$13,2,0),0))),"")</f>
        <v/>
      </c>
      <c r="AO156">
        <f>IF($AL156="","",MAX(0,ROUND($AN156-$AL156,2)))</f>
        <v/>
      </c>
      <c r="AP156">
        <f>IFERROR(SUMIFS(_REF_Model_Content!$E$1:$E$157,_REF_Model_Content!$A$1:$A$157,'Company Profile'!$B$9,_REF_Model_Content!$B$1:$B$157,"Physical Safety"),1)</f>
        <v/>
      </c>
      <c r="AQ156">
        <f>IF($AO156="","",ROUND($AO156*$AP156*($G156/5),2))</f>
        <v/>
      </c>
      <c r="AR156">
        <f>IF($AO156="","",IF($AO156&gt;=2,"Critical industry gap",IF($AO156&gt;=1,"High industry gap",IF($AO156&gt;=0.5,"Moderate industry gap","Within target"))))</f>
        <v/>
      </c>
      <c r="AS156">
        <f>IF(OR($H156="",$H156="N/A"),0,VALUE($H156)*(($AJ156+$AK156)/2)*$AV156)</f>
        <v/>
      </c>
      <c r="AT156">
        <f>IF(OR($H156="",$H156="N/A"),0,($AJ156+$AK156)/2)</f>
        <v/>
      </c>
      <c r="AU156">
        <f>'Assessment Questions'!AX156</f>
        <v/>
      </c>
      <c r="AV156">
        <f>IF(OR($H156="",$H156="N/A"),"",IF(OR($AU156="",$AU156="Everywhere",$AU156="Not applicable"),1,IF($AU156="Pilot / one team",0.4,IF($AU156="One unit or site",0.7,0.9))))</f>
        <v/>
      </c>
      <c r="AW156" t="inlineStr">
        <is>
          <t>Physical Safety</t>
        </is>
      </c>
      <c r="AX156" t="inlineStr">
        <is>
          <t>Physical Safety</t>
        </is>
      </c>
      <c r="AY156" t="n">
        <v>16</v>
      </c>
      <c r="AZ156" t="n">
        <v>156</v>
      </c>
    </row>
    <row r="157">
      <c r="A157" t="inlineStr">
        <is>
          <t>PHYS-013</t>
        </is>
      </c>
      <c r="B157" t="inlineStr">
        <is>
          <t>Emergency response</t>
        </is>
      </c>
      <c r="C157" t="inlineStr">
        <is>
          <t>How mature is the organization in managing emergency response plans for fire, medical emergency, violence, bomb threat, shelling, evacuation, shelter-in-place and utility failure, including ownership, evidence, metrics, fallback procedures and crisis stress testing?</t>
        </is>
      </c>
      <c r="D157" t="inlineStr">
        <is>
          <t>This topic affects exposure to Safety incident; Physical site loss; War/security crisis; Natural disaster. It helps identify how disruption may impact operations, people, revenue, systems, legal exposure or recovery time.</t>
        </is>
      </c>
      <c r="E157" t="inlineStr">
        <is>
          <t>ISO 45001; ISO 22320; ISO 31030; ISO 18788; ISO 22301; NFPA; local OH&amp;S rules</t>
        </is>
      </c>
      <c r="F157" t="inlineStr">
        <is>
          <t>Policy/SOP; owner/RACI; system report; dashboard; contracts; test records; incident history; interview evidence related to emergency response plans for fire, medical emergency, violence, bomb threat, shelling, evacuation, shelter-in-place and utility failure.</t>
        </is>
      </c>
      <c r="G157">
        <f>'Assessment Questions'!J157</f>
        <v/>
      </c>
      <c r="H157">
        <f>IF($Z157="","",IF($Z157="N/A","N/A",VALUE(LEFT($Z157,1))))</f>
        <v/>
      </c>
      <c r="I157">
        <f>IF($H157="","",IF($H157="N/A","",VALUE($H157)/5*$G157))</f>
        <v/>
      </c>
      <c r="J157">
        <f>IF(OR($H157="",$H157="N/A"),"",$G157)</f>
        <v/>
      </c>
      <c r="K157">
        <f>IF(OR($H157="",$H157="N/A"),"",$J157-$I157)</f>
        <v/>
      </c>
      <c r="L157">
        <f>IF($H157="","",IF($H157="N/A","N/A",IF(VALUE($H157)&lt;=1,"Critical",IF(VALUE($H157)&lt;=2,"High",IF(VALUE($H157)&lt;=3,"Medium",IF(VALUE($H157)&lt;=4,"Low","Resilient"))))))</f>
        <v/>
      </c>
      <c r="M157" t="inlineStr">
        <is>
          <t>No reliable evidence that emergency response plans for fire, medical emergency, violence, bomb threat, shelling, evacuation, shelter-in-place and utility failure is defined, owned or managed.</t>
        </is>
      </c>
      <c r="N157" t="inlineStr">
        <is>
          <t>Emergency response plans for fire, medical emergency, violence, bomb threat, shelling, evacuation, shelter-in-place and utility failure is handled informally and depends on individual knowledge or heroic effort.</t>
        </is>
      </c>
      <c r="O157" t="inlineStr">
        <is>
          <t>Emergency response plans for fire, medical emergency, violence, bomb threat, shelling, evacuation, shelter-in-place and utility failure is partially documented or implemented, but coverage is inconsistent and not crisis-tested.</t>
        </is>
      </c>
      <c r="P157" t="inlineStr">
        <is>
          <t>Emergency response plans for fire, medical emergency, violence, bomb threat, shelling, evacuation, shelter-in-place and utility failure is documented, owned, used in normal operations and supported by basic evidence or metrics.</t>
        </is>
      </c>
      <c r="Q157" t="inlineStr">
        <is>
          <t>Emergency response plans for fire, medical emergency, violence, bomb threat, shelling, evacuation, shelter-in-place and utility failure is measured, periodically reviewed, integrated with related processes and tested against relevant disruption scenarios.</t>
        </is>
      </c>
      <c r="R157" t="inlineStr">
        <is>
          <t>Emergency response plans for fire, medical emergency, violence, bomb threat, shelling, evacuation, shelter-in-place and utility failure is optimized, continuously improved, automated where practical and demonstrably supports crisis resilience.</t>
        </is>
      </c>
      <c r="S157" t="inlineStr">
        <is>
          <t>Safety incident; Physical site loss; War/security crisis; Natural disaster</t>
        </is>
      </c>
      <c r="T157">
        <f>'Assessment Questions'!W157</f>
        <v/>
      </c>
      <c r="U157">
        <f>'Assessment Questions'!X157</f>
        <v/>
      </c>
      <c r="V157">
        <f>'Assessment Questions'!Y157</f>
        <v/>
      </c>
      <c r="W157" t="n">
        <v>4</v>
      </c>
      <c r="X157" t="n">
        <v>5</v>
      </c>
      <c r="Y157" t="n">
        <v>5</v>
      </c>
      <c r="Z157">
        <f>'Assessment Questions'!AC157</f>
        <v/>
      </c>
      <c r="AB157">
        <f>COUNTIF($B$145:$B$175,$AA157)</f>
        <v/>
      </c>
      <c r="AC157">
        <f>IFERROR(SUMPRODUCT(($B$145:$B$175=$AA157)*($H$145:$H$175&lt;&gt;"")*($H$145:$H$175&lt;&gt;"N/A")*IFERROR(VALUE($H$145:$H$175),0))/SUMPRODUCT(($B$145:$B$175=$AA157)*($H$145:$H$175&lt;&gt;"")*($H$145:$H$175&lt;&gt;"N/A")),0)</f>
        <v/>
      </c>
      <c r="AD157">
        <f>AC157/5</f>
        <v/>
      </c>
      <c r="AE157">
        <f>COUNTIFS($B$145:$B$175,$AA157,$L$145:$L$175,"Critical")+COUNTIFS($B$145:$B$175,$AA157,$L$145:$L$175,"High")</f>
        <v/>
      </c>
      <c r="AF157">
        <f>5-AC157</f>
        <v/>
      </c>
      <c r="AG157">
        <f>SUMPRODUCT(($B$145:$B$175=$AA157)*(ISNUMBER($H$145:$H$175)+($H$145:$H$175="N/A")))</f>
        <v/>
      </c>
      <c r="AH157">
        <f>'Assessment Questions'!AK157</f>
        <v/>
      </c>
      <c r="AI157">
        <f>'Assessment Questions'!AL157</f>
        <v/>
      </c>
      <c r="AJ157">
        <f>IF(OR($H157="",$H157="N/A"),"",IF($AH157="",VLOOKUP('Company Profile'!$B$40,_CONFIG_Model_Settings!$A$5:$B$8,2,FALSE),_xlfn.IFNA(VLOOKUP($AH157,_CONFIG_Model_Settings!$A$5:$B$8,2,FALSE),0.9)))</f>
        <v/>
      </c>
      <c r="AK157">
        <f>IF(OR($H157="",$H157="N/A"),"",IF($AI157="",VLOOKUP('Company Profile'!$B$41,_CONFIG_Model_Settings!$A$5:$B$8,2,FALSE),_xlfn.IFNA(VLOOKUP($AI157,_CONFIG_Model_Settings!$A$5:$B$8,2,FALSE),0.9)))</f>
        <v/>
      </c>
      <c r="AL157">
        <f>IF(OR($H157="",$H157="N/A"),"",ROUND(VALUE($H157)*$AJ157*$AK157*$AV157,2))</f>
        <v/>
      </c>
      <c r="AM157">
        <f>IF($AL157="","",ROUND($AL157/5*100,1))</f>
        <v/>
      </c>
      <c r="AN157">
        <f>IFERROR(MIN(5,MAX(0,(SUMIFS(_REF_Model_Content!$D$1:$D$157,_REF_Model_Content!$A$1:$A$157,'Company Profile'!$B$9,_REF_Model_Content!$B$1:$B$157,"Physical Safety"))+_xlfn.IFNA(VLOOKUP('Company Profile'!$B$35,_CONFIG_Model_Settings!$A$11:$B$13,2,0),0))),"")</f>
        <v/>
      </c>
      <c r="AO157">
        <f>IF($AL157="","",MAX(0,ROUND($AN157-$AL157,2)))</f>
        <v/>
      </c>
      <c r="AP157">
        <f>IFERROR(SUMIFS(_REF_Model_Content!$E$1:$E$157,_REF_Model_Content!$A$1:$A$157,'Company Profile'!$B$9,_REF_Model_Content!$B$1:$B$157,"Physical Safety"),1)</f>
        <v/>
      </c>
      <c r="AQ157">
        <f>IF($AO157="","",ROUND($AO157*$AP157*($G157/5),2))</f>
        <v/>
      </c>
      <c r="AR157">
        <f>IF($AO157="","",IF($AO157&gt;=2,"Critical industry gap",IF($AO157&gt;=1,"High industry gap",IF($AO157&gt;=0.5,"Moderate industry gap","Within target"))))</f>
        <v/>
      </c>
      <c r="AS157">
        <f>IF(OR($H157="",$H157="N/A"),0,VALUE($H157)*(($AJ157+$AK157)/2)*$AV157)</f>
        <v/>
      </c>
      <c r="AT157">
        <f>IF(OR($H157="",$H157="N/A"),0,($AJ157+$AK157)/2)</f>
        <v/>
      </c>
      <c r="AU157">
        <f>'Assessment Questions'!AX157</f>
        <v/>
      </c>
      <c r="AV157">
        <f>IF(OR($H157="",$H157="N/A"),"",IF(OR($AU157="",$AU157="Everywhere",$AU157="Not applicable"),1,IF($AU157="Pilot / one team",0.4,IF($AU157="One unit or site",0.7,0.9))))</f>
        <v/>
      </c>
      <c r="AW157" t="inlineStr">
        <is>
          <t>Physical Safety</t>
        </is>
      </c>
      <c r="AX157" t="inlineStr">
        <is>
          <t>Physical Safety</t>
        </is>
      </c>
      <c r="AY157" t="n">
        <v>17</v>
      </c>
      <c r="AZ157" t="n">
        <v>157</v>
      </c>
    </row>
    <row r="158">
      <c r="A158" t="inlineStr">
        <is>
          <t>PHYS-014</t>
        </is>
      </c>
      <c r="B158" t="inlineStr">
        <is>
          <t>Emergency response</t>
        </is>
      </c>
      <c r="C158" t="inlineStr">
        <is>
          <t>How mature is the organization in managing evacuation and shelter drills with attendance, outcomes and corrective actions, including ownership, evidence, metrics, fallback procedures and crisis stress testing?</t>
        </is>
      </c>
      <c r="D158" t="inlineStr">
        <is>
          <t>This topic affects exposure to Safety incident; Physical site loss; War/security crisis; Natural disaster. It helps identify how disruption may impact operations, people, revenue, systems, legal exposure or recovery time.</t>
        </is>
      </c>
      <c r="E158" t="inlineStr">
        <is>
          <t>ISO 45001; ISO 22320; ISO 31030; ISO 18788; ISO 22301; NFPA; local OH&amp;S rules</t>
        </is>
      </c>
      <c r="F158" t="inlineStr">
        <is>
          <t>Policy/SOP; owner/RACI; system report; dashboard; contracts; test records; incident history; interview evidence related to evacuation and shelter drills with attendance, outcomes and corrective actions.</t>
        </is>
      </c>
      <c r="G158">
        <f>'Assessment Questions'!J158</f>
        <v/>
      </c>
      <c r="H158">
        <f>IF($Z158="","",IF($Z158="N/A","N/A",VALUE(LEFT($Z158,1))))</f>
        <v/>
      </c>
      <c r="I158">
        <f>IF($H158="","",IF($H158="N/A","",VALUE($H158)/5*$G158))</f>
        <v/>
      </c>
      <c r="J158">
        <f>IF(OR($H158="",$H158="N/A"),"",$G158)</f>
        <v/>
      </c>
      <c r="K158">
        <f>IF(OR($H158="",$H158="N/A"),"",$J158-$I158)</f>
        <v/>
      </c>
      <c r="L158">
        <f>IF($H158="","",IF($H158="N/A","N/A",IF(VALUE($H158)&lt;=1,"Critical",IF(VALUE($H158)&lt;=2,"High",IF(VALUE($H158)&lt;=3,"Medium",IF(VALUE($H158)&lt;=4,"Low","Resilient"))))))</f>
        <v/>
      </c>
      <c r="M158" t="inlineStr">
        <is>
          <t>Never conducted.</t>
        </is>
      </c>
      <c r="N158" t="inlineStr">
        <is>
          <t>Conducted once, long ago; no records.</t>
        </is>
      </c>
      <c r="O158" t="inlineStr">
        <is>
          <t>Conducted irregularly; attendance and outcomes not recorded.</t>
        </is>
      </c>
      <c r="P158" t="inlineStr">
        <is>
          <t>Conducted at least annually with recorded attendance and outcomes.</t>
        </is>
      </c>
      <c r="Q158" t="inlineStr">
        <is>
          <t>Conducted per site at least semi-annually; corrective actions tracked to closure.</t>
        </is>
      </c>
      <c r="R158" t="inlineStr">
        <is>
          <t>Realistic scenario drills incl. out-of-hours; results measured and drive facility/procedure changes.</t>
        </is>
      </c>
      <c r="S158" t="inlineStr">
        <is>
          <t>Safety incident; Physical site loss; War/security crisis; Natural disaster</t>
        </is>
      </c>
      <c r="T158">
        <f>'Assessment Questions'!W158</f>
        <v/>
      </c>
      <c r="U158">
        <f>'Assessment Questions'!X158</f>
        <v/>
      </c>
      <c r="V158">
        <f>'Assessment Questions'!Y158</f>
        <v/>
      </c>
      <c r="W158" t="n">
        <v>4</v>
      </c>
      <c r="X158" t="n">
        <v>5</v>
      </c>
      <c r="Y158" t="n">
        <v>5</v>
      </c>
      <c r="Z158">
        <f>'Assessment Questions'!AC158</f>
        <v/>
      </c>
      <c r="AB158">
        <f>COUNTIF($B$145:$B$175,$AA158)</f>
        <v/>
      </c>
      <c r="AC158">
        <f>IFERROR(SUMPRODUCT(($B$145:$B$175=$AA158)*($H$145:$H$175&lt;&gt;"")*($H$145:$H$175&lt;&gt;"N/A")*IFERROR(VALUE($H$145:$H$175),0))/SUMPRODUCT(($B$145:$B$175=$AA158)*($H$145:$H$175&lt;&gt;"")*($H$145:$H$175&lt;&gt;"N/A")),0)</f>
        <v/>
      </c>
      <c r="AD158">
        <f>AC158/5</f>
        <v/>
      </c>
      <c r="AE158">
        <f>COUNTIFS($B$145:$B$175,$AA158,$L$145:$L$175,"Critical")+COUNTIFS($B$145:$B$175,$AA158,$L$145:$L$175,"High")</f>
        <v/>
      </c>
      <c r="AF158">
        <f>5-AC158</f>
        <v/>
      </c>
      <c r="AG158">
        <f>SUMPRODUCT(($B$145:$B$175=$AA158)*(ISNUMBER($H$145:$H$175)+($H$145:$H$175="N/A")))</f>
        <v/>
      </c>
      <c r="AH158">
        <f>'Assessment Questions'!AK158</f>
        <v/>
      </c>
      <c r="AI158">
        <f>'Assessment Questions'!AL158</f>
        <v/>
      </c>
      <c r="AJ158">
        <f>IF(OR($H158="",$H158="N/A"),"",IF($AH158="",VLOOKUP('Company Profile'!$B$40,_CONFIG_Model_Settings!$A$5:$B$8,2,FALSE),_xlfn.IFNA(VLOOKUP($AH158,_CONFIG_Model_Settings!$A$5:$B$8,2,FALSE),0.9)))</f>
        <v/>
      </c>
      <c r="AK158">
        <f>IF(OR($H158="",$H158="N/A"),"",IF($AI158="",VLOOKUP('Company Profile'!$B$41,_CONFIG_Model_Settings!$A$5:$B$8,2,FALSE),_xlfn.IFNA(VLOOKUP($AI158,_CONFIG_Model_Settings!$A$5:$B$8,2,FALSE),0.9)))</f>
        <v/>
      </c>
      <c r="AL158">
        <f>IF(OR($H158="",$H158="N/A"),"",ROUND(VALUE($H158)*$AJ158*$AK158*$AV158,2))</f>
        <v/>
      </c>
      <c r="AM158">
        <f>IF($AL158="","",ROUND($AL158/5*100,1))</f>
        <v/>
      </c>
      <c r="AN158">
        <f>IFERROR(MIN(5,MAX(0,(SUMIFS(_REF_Model_Content!$D$1:$D$157,_REF_Model_Content!$A$1:$A$157,'Company Profile'!$B$9,_REF_Model_Content!$B$1:$B$157,"Physical Safety"))+_xlfn.IFNA(VLOOKUP('Company Profile'!$B$35,_CONFIG_Model_Settings!$A$11:$B$13,2,0),0))),"")</f>
        <v/>
      </c>
      <c r="AO158">
        <f>IF($AL158="","",MAX(0,ROUND($AN158-$AL158,2)))</f>
        <v/>
      </c>
      <c r="AP158">
        <f>IFERROR(SUMIFS(_REF_Model_Content!$E$1:$E$157,_REF_Model_Content!$A$1:$A$157,'Company Profile'!$B$9,_REF_Model_Content!$B$1:$B$157,"Physical Safety"),1)</f>
        <v/>
      </c>
      <c r="AQ158">
        <f>IF($AO158="","",ROUND($AO158*$AP158*($G158/5),2))</f>
        <v/>
      </c>
      <c r="AR158">
        <f>IF($AO158="","",IF($AO158&gt;=2,"Critical industry gap",IF($AO158&gt;=1,"High industry gap",IF($AO158&gt;=0.5,"Moderate industry gap","Within target"))))</f>
        <v/>
      </c>
      <c r="AS158">
        <f>IF(OR($H158="",$H158="N/A"),0,VALUE($H158)*(($AJ158+$AK158)/2)*$AV158)</f>
        <v/>
      </c>
      <c r="AT158">
        <f>IF(OR($H158="",$H158="N/A"),0,($AJ158+$AK158)/2)</f>
        <v/>
      </c>
      <c r="AU158">
        <f>'Assessment Questions'!AX158</f>
        <v/>
      </c>
      <c r="AV158">
        <f>IF(OR($H158="",$H158="N/A"),"",IF(OR($AU158="",$AU158="Everywhere",$AU158="Not applicable"),1,IF($AU158="Pilot / one team",0.4,IF($AU158="One unit or site",0.7,0.9))))</f>
        <v/>
      </c>
      <c r="AW158" t="inlineStr">
        <is>
          <t>Physical Safety</t>
        </is>
      </c>
      <c r="AX158" t="inlineStr">
        <is>
          <t>Physical Safety</t>
        </is>
      </c>
      <c r="AY158" t="n">
        <v>18</v>
      </c>
      <c r="AZ158" t="n">
        <v>158</v>
      </c>
    </row>
    <row r="159">
      <c r="A159" t="inlineStr">
        <is>
          <t>PHYS-015</t>
        </is>
      </c>
      <c r="B159" t="inlineStr">
        <is>
          <t>Emergency response</t>
        </is>
      </c>
      <c r="C159" t="inlineStr">
        <is>
          <t>How mature is the organization in managing first aid readiness with trained responders, AEDs, medical contacts and first aid supplies, including ownership, evidence, metrics, fallback procedures and crisis stress testing?</t>
        </is>
      </c>
      <c r="D159" t="inlineStr">
        <is>
          <t>This topic affects exposure to Safety incident; Physical site loss; War/security crisis; Natural disaster. It helps identify how disruption may impact operations, people, revenue, systems, legal exposure or recovery time.</t>
        </is>
      </c>
      <c r="E159" t="inlineStr">
        <is>
          <t>ISO 45001; ISO 22320; ISO 31030; ISO 18788; ISO 22301; NFPA; local OH&amp;S rules</t>
        </is>
      </c>
      <c r="F159" t="inlineStr">
        <is>
          <t>Policy/SOP; owner/RACI; system report; dashboard; contracts; test records; incident history; interview evidence related to first aid readiness with trained responders, AEDs, medical contacts and first aid supplies.</t>
        </is>
      </c>
      <c r="G159">
        <f>'Assessment Questions'!J159</f>
        <v/>
      </c>
      <c r="H159">
        <f>IF($Z159="","",IF($Z159="N/A","N/A",VALUE(LEFT($Z159,1))))</f>
        <v/>
      </c>
      <c r="I159">
        <f>IF($H159="","",IF($H159="N/A","",VALUE($H159)/5*$G159))</f>
        <v/>
      </c>
      <c r="J159">
        <f>IF(OR($H159="",$H159="N/A"),"",$G159)</f>
        <v/>
      </c>
      <c r="K159">
        <f>IF(OR($H159="",$H159="N/A"),"",$J159-$I159)</f>
        <v/>
      </c>
      <c r="L159">
        <f>IF($H159="","",IF($H159="N/A","N/A",IF(VALUE($H159)&lt;=1,"Critical",IF(VALUE($H159)&lt;=2,"High",IF(VALUE($H159)&lt;=3,"Medium",IF(VALUE($H159)&lt;=4,"Low","Resilient"))))))</f>
        <v/>
      </c>
      <c r="M159" t="inlineStr">
        <is>
          <t>No reliable evidence that first aid readiness with trained responders, aeds, medical contacts and first aid supplies is defined, owned or managed.</t>
        </is>
      </c>
      <c r="N159" t="inlineStr">
        <is>
          <t>First aid readiness with trained responders, AEDs, medical contacts and first aid supplies is handled informally and depends on individual knowledge or heroic effort.</t>
        </is>
      </c>
      <c r="O159" t="inlineStr">
        <is>
          <t>First aid readiness with trained responders, AEDs, medical contacts and first aid supplies is partially documented or implemented, but coverage is inconsistent and not crisis-tested.</t>
        </is>
      </c>
      <c r="P159" t="inlineStr">
        <is>
          <t>First aid readiness with trained responders, AEDs, medical contacts and first aid supplies is documented, owned, used in normal operations and supported by basic evidence or metrics.</t>
        </is>
      </c>
      <c r="Q159" t="inlineStr">
        <is>
          <t>First aid readiness with trained responders, AEDs, medical contacts and first aid supplies is measured, periodically reviewed, integrated with related processes and tested against relevant disruption scenarios.</t>
        </is>
      </c>
      <c r="R159" t="inlineStr">
        <is>
          <t>First aid readiness with trained responders, AEDs, medical contacts and first aid supplies is optimized, continuously improved, automated where practical and demonstrably supports crisis resilience.</t>
        </is>
      </c>
      <c r="S159" t="inlineStr">
        <is>
          <t>Safety incident; Physical site loss; War/security crisis; Natural disaster</t>
        </is>
      </c>
      <c r="T159">
        <f>'Assessment Questions'!W159</f>
        <v/>
      </c>
      <c r="U159">
        <f>'Assessment Questions'!X159</f>
        <v/>
      </c>
      <c r="V159">
        <f>'Assessment Questions'!Y159</f>
        <v/>
      </c>
      <c r="W159" t="n">
        <v>4</v>
      </c>
      <c r="X159" t="n">
        <v>5</v>
      </c>
      <c r="Y159" t="n">
        <v>5</v>
      </c>
      <c r="Z159">
        <f>'Assessment Questions'!AC159</f>
        <v/>
      </c>
      <c r="AB159">
        <f>COUNTIF($B$145:$B$175,$AA159)</f>
        <v/>
      </c>
      <c r="AC159">
        <f>IFERROR(SUMPRODUCT(($B$145:$B$175=$AA159)*($H$145:$H$175&lt;&gt;"")*($H$145:$H$175&lt;&gt;"N/A")*IFERROR(VALUE($H$145:$H$175),0))/SUMPRODUCT(($B$145:$B$175=$AA159)*($H$145:$H$175&lt;&gt;"")*($H$145:$H$175&lt;&gt;"N/A")),0)</f>
        <v/>
      </c>
      <c r="AD159">
        <f>AC159/5</f>
        <v/>
      </c>
      <c r="AE159">
        <f>COUNTIFS($B$145:$B$175,$AA159,$L$145:$L$175,"Critical")+COUNTIFS($B$145:$B$175,$AA159,$L$145:$L$175,"High")</f>
        <v/>
      </c>
      <c r="AF159">
        <f>5-AC159</f>
        <v/>
      </c>
      <c r="AG159">
        <f>SUMPRODUCT(($B$145:$B$175=$AA159)*(ISNUMBER($H$145:$H$175)+($H$145:$H$175="N/A")))</f>
        <v/>
      </c>
      <c r="AH159">
        <f>'Assessment Questions'!AK159</f>
        <v/>
      </c>
      <c r="AI159">
        <f>'Assessment Questions'!AL159</f>
        <v/>
      </c>
      <c r="AJ159">
        <f>IF(OR($H159="",$H159="N/A"),"",IF($AH159="",VLOOKUP('Company Profile'!$B$40,_CONFIG_Model_Settings!$A$5:$B$8,2,FALSE),_xlfn.IFNA(VLOOKUP($AH159,_CONFIG_Model_Settings!$A$5:$B$8,2,FALSE),0.9)))</f>
        <v/>
      </c>
      <c r="AK159">
        <f>IF(OR($H159="",$H159="N/A"),"",IF($AI159="",VLOOKUP('Company Profile'!$B$41,_CONFIG_Model_Settings!$A$5:$B$8,2,FALSE),_xlfn.IFNA(VLOOKUP($AI159,_CONFIG_Model_Settings!$A$5:$B$8,2,FALSE),0.9)))</f>
        <v/>
      </c>
      <c r="AL159">
        <f>IF(OR($H159="",$H159="N/A"),"",ROUND(VALUE($H159)*$AJ159*$AK159*$AV159,2))</f>
        <v/>
      </c>
      <c r="AM159">
        <f>IF($AL159="","",ROUND($AL159/5*100,1))</f>
        <v/>
      </c>
      <c r="AN159">
        <f>IFERROR(MIN(5,MAX(0,(SUMIFS(_REF_Model_Content!$D$1:$D$157,_REF_Model_Content!$A$1:$A$157,'Company Profile'!$B$9,_REF_Model_Content!$B$1:$B$157,"Physical Safety"))+_xlfn.IFNA(VLOOKUP('Company Profile'!$B$35,_CONFIG_Model_Settings!$A$11:$B$13,2,0),0))),"")</f>
        <v/>
      </c>
      <c r="AO159">
        <f>IF($AL159="","",MAX(0,ROUND($AN159-$AL159,2)))</f>
        <v/>
      </c>
      <c r="AP159">
        <f>IFERROR(SUMIFS(_REF_Model_Content!$E$1:$E$157,_REF_Model_Content!$A$1:$A$157,'Company Profile'!$B$9,_REF_Model_Content!$B$1:$B$157,"Physical Safety"),1)</f>
        <v/>
      </c>
      <c r="AQ159">
        <f>IF($AO159="","",ROUND($AO159*$AP159*($G159/5),2))</f>
        <v/>
      </c>
      <c r="AR159">
        <f>IF($AO159="","",IF($AO159&gt;=2,"Critical industry gap",IF($AO159&gt;=1,"High industry gap",IF($AO159&gt;=0.5,"Moderate industry gap","Within target"))))</f>
        <v/>
      </c>
      <c r="AS159">
        <f>IF(OR($H159="",$H159="N/A"),0,VALUE($H159)*(($AJ159+$AK159)/2)*$AV159)</f>
        <v/>
      </c>
      <c r="AT159">
        <f>IF(OR($H159="",$H159="N/A"),0,($AJ159+$AK159)/2)</f>
        <v/>
      </c>
      <c r="AU159">
        <f>'Assessment Questions'!AX159</f>
        <v/>
      </c>
      <c r="AV159">
        <f>IF(OR($H159="",$H159="N/A"),"",IF(OR($AU159="",$AU159="Everywhere",$AU159="Not applicable"),1,IF($AU159="Pilot / one team",0.4,IF($AU159="One unit or site",0.7,0.9))))</f>
        <v/>
      </c>
      <c r="AW159" t="inlineStr">
        <is>
          <t>Physical Safety</t>
        </is>
      </c>
      <c r="AX159" t="inlineStr">
        <is>
          <t>Physical Safety</t>
        </is>
      </c>
      <c r="AY159" t="n">
        <v>19</v>
      </c>
      <c r="AZ159" t="n">
        <v>159</v>
      </c>
    </row>
    <row r="160">
      <c r="A160" t="inlineStr">
        <is>
          <t>PHYS-016</t>
        </is>
      </c>
      <c r="B160" t="inlineStr">
        <is>
          <t>Emergency response</t>
        </is>
      </c>
      <c r="C160" t="inlineStr">
        <is>
          <t>How mature is the organization in managing mass notification to employees, visitors and contractors during site emergencies, including ownership, evidence, metrics, fallback procedures and crisis stress testing?</t>
        </is>
      </c>
      <c r="D160" t="inlineStr">
        <is>
          <t>This topic affects exposure to Safety incident; Physical site loss; War/security crisis; Natural disaster. It helps identify how disruption may impact operations, people, revenue, systems, legal exposure or recovery time.</t>
        </is>
      </c>
      <c r="E160" t="inlineStr">
        <is>
          <t>ISO 45001; ISO 22320; ISO 31030; ISO 18788; ISO 22301; NFPA; local OH&amp;S rules</t>
        </is>
      </c>
      <c r="F160" t="inlineStr">
        <is>
          <t>Policy/SOP; owner/RACI; system report; dashboard; contracts; test records; incident history; interview evidence related to mass notification to employees, visitors and contractors during site emergencies.</t>
        </is>
      </c>
      <c r="G160">
        <f>'Assessment Questions'!J160</f>
        <v/>
      </c>
      <c r="H160">
        <f>IF($Z160="","",IF($Z160="N/A","N/A",VALUE(LEFT($Z160,1))))</f>
        <v/>
      </c>
      <c r="I160">
        <f>IF($H160="","",IF($H160="N/A","",VALUE($H160)/5*$G160))</f>
        <v/>
      </c>
      <c r="J160">
        <f>IF(OR($H160="",$H160="N/A"),"",$G160)</f>
        <v/>
      </c>
      <c r="K160">
        <f>IF(OR($H160="",$H160="N/A"),"",$J160-$I160)</f>
        <v/>
      </c>
      <c r="L160">
        <f>IF($H160="","",IF($H160="N/A","N/A",IF(VALUE($H160)&lt;=1,"Critical",IF(VALUE($H160)&lt;=2,"High",IF(VALUE($H160)&lt;=3,"Medium",IF(VALUE($H160)&lt;=4,"Low","Resilient"))))))</f>
        <v/>
      </c>
      <c r="M160" t="inlineStr">
        <is>
          <t>Does not exist; no owner, no documentation, no practice.</t>
        </is>
      </c>
      <c r="N160" t="inlineStr">
        <is>
          <t>Ad hoc; depends entirely on specific individuals.</t>
        </is>
      </c>
      <c r="O160" t="inlineStr">
        <is>
          <t>Partially documented or implemented; coverage inconsistent; never tested under stress.</t>
        </is>
      </c>
      <c r="P160" t="inlineStr">
        <is>
          <t>Documented, owned, executed consistently; basic evidence and metrics exist.</t>
        </is>
      </c>
      <c r="Q160" t="inlineStr">
        <is>
          <t>Measured and periodically tested/audited; integrated with adjacent processes.</t>
        </is>
      </c>
      <c r="R160" t="inlineStr">
        <is>
          <t>Optimized and automated where practical; stress-tested; benchmarked externally.</t>
        </is>
      </c>
      <c r="S160" t="inlineStr">
        <is>
          <t>Safety incident; Physical site loss; War/security crisis; Natural disaster</t>
        </is>
      </c>
      <c r="T160">
        <f>'Assessment Questions'!W160</f>
        <v/>
      </c>
      <c r="U160">
        <f>'Assessment Questions'!X160</f>
        <v/>
      </c>
      <c r="V160">
        <f>'Assessment Questions'!Y160</f>
        <v/>
      </c>
      <c r="W160" t="n">
        <v>4</v>
      </c>
      <c r="X160" t="n">
        <v>5</v>
      </c>
      <c r="Y160" t="n">
        <v>5</v>
      </c>
      <c r="Z160">
        <f>'Assessment Questions'!AC160</f>
        <v/>
      </c>
      <c r="AB160">
        <f>COUNTIF($B$145:$B$175,$AA160)</f>
        <v/>
      </c>
      <c r="AC160">
        <f>IFERROR(SUMPRODUCT(($B$145:$B$175=$AA160)*($H$145:$H$175&lt;&gt;"")*($H$145:$H$175&lt;&gt;"N/A")*IFERROR(VALUE($H$145:$H$175),0))/SUMPRODUCT(($B$145:$B$175=$AA160)*($H$145:$H$175&lt;&gt;"")*($H$145:$H$175&lt;&gt;"N/A")),0)</f>
        <v/>
      </c>
      <c r="AD160">
        <f>AC160/5</f>
        <v/>
      </c>
      <c r="AE160">
        <f>COUNTIFS($B$145:$B$175,$AA160,$L$145:$L$175,"Critical")+COUNTIFS($B$145:$B$175,$AA160,$L$145:$L$175,"High")</f>
        <v/>
      </c>
      <c r="AF160">
        <f>5-AC160</f>
        <v/>
      </c>
      <c r="AG160">
        <f>SUMPRODUCT(($B$145:$B$175=$AA160)*(ISNUMBER($H$145:$H$175)+($H$145:$H$175="N/A")))</f>
        <v/>
      </c>
      <c r="AH160">
        <f>'Assessment Questions'!AK160</f>
        <v/>
      </c>
      <c r="AI160">
        <f>'Assessment Questions'!AL160</f>
        <v/>
      </c>
      <c r="AJ160">
        <f>IF(OR($H160="",$H160="N/A"),"",IF($AH160="",VLOOKUP('Company Profile'!$B$40,_CONFIG_Model_Settings!$A$5:$B$8,2,FALSE),_xlfn.IFNA(VLOOKUP($AH160,_CONFIG_Model_Settings!$A$5:$B$8,2,FALSE),0.9)))</f>
        <v/>
      </c>
      <c r="AK160">
        <f>IF(OR($H160="",$H160="N/A"),"",IF($AI160="",VLOOKUP('Company Profile'!$B$41,_CONFIG_Model_Settings!$A$5:$B$8,2,FALSE),_xlfn.IFNA(VLOOKUP($AI160,_CONFIG_Model_Settings!$A$5:$B$8,2,FALSE),0.9)))</f>
        <v/>
      </c>
      <c r="AL160">
        <f>IF(OR($H160="",$H160="N/A"),"",ROUND(VALUE($H160)*$AJ160*$AK160*$AV160,2))</f>
        <v/>
      </c>
      <c r="AM160">
        <f>IF($AL160="","",ROUND($AL160/5*100,1))</f>
        <v/>
      </c>
      <c r="AN160">
        <f>IFERROR(MIN(5,MAX(0,(SUMIFS(_REF_Model_Content!$D$1:$D$157,_REF_Model_Content!$A$1:$A$157,'Company Profile'!$B$9,_REF_Model_Content!$B$1:$B$157,"Physical Safety"))+_xlfn.IFNA(VLOOKUP('Company Profile'!$B$35,_CONFIG_Model_Settings!$A$11:$B$13,2,0),0))),"")</f>
        <v/>
      </c>
      <c r="AO160">
        <f>IF($AL160="","",MAX(0,ROUND($AN160-$AL160,2)))</f>
        <v/>
      </c>
      <c r="AP160">
        <f>IFERROR(SUMIFS(_REF_Model_Content!$E$1:$E$157,_REF_Model_Content!$A$1:$A$157,'Company Profile'!$B$9,_REF_Model_Content!$B$1:$B$157,"Physical Safety"),1)</f>
        <v/>
      </c>
      <c r="AQ160">
        <f>IF($AO160="","",ROUND($AO160*$AP160*($G160/5),2))</f>
        <v/>
      </c>
      <c r="AR160">
        <f>IF($AO160="","",IF($AO160&gt;=2,"Critical industry gap",IF($AO160&gt;=1,"High industry gap",IF($AO160&gt;=0.5,"Moderate industry gap","Within target"))))</f>
        <v/>
      </c>
      <c r="AS160">
        <f>IF(OR($H160="",$H160="N/A"),0,VALUE($H160)*(($AJ160+$AK160)/2)*$AV160)</f>
        <v/>
      </c>
      <c r="AT160">
        <f>IF(OR($H160="",$H160="N/A"),0,($AJ160+$AK160)/2)</f>
        <v/>
      </c>
      <c r="AU160">
        <f>'Assessment Questions'!AX160</f>
        <v/>
      </c>
      <c r="AV160">
        <f>IF(OR($H160="",$H160="N/A"),"",IF(OR($AU160="",$AU160="Everywhere",$AU160="Not applicable"),1,IF($AU160="Pilot / one team",0.4,IF($AU160="One unit or site",0.7,0.9))))</f>
        <v/>
      </c>
      <c r="AW160" t="inlineStr">
        <is>
          <t>Physical Safety</t>
        </is>
      </c>
      <c r="AX160" t="inlineStr">
        <is>
          <t>Physical Safety</t>
        </is>
      </c>
      <c r="AY160" t="n">
        <v>20</v>
      </c>
      <c r="AZ160" t="n">
        <v>160</v>
      </c>
    </row>
    <row r="161">
      <c r="A161" t="inlineStr">
        <is>
          <t>PHYS-017</t>
        </is>
      </c>
      <c r="B161" t="inlineStr">
        <is>
          <t>Emergency response</t>
        </is>
      </c>
      <c r="C161" t="inlineStr">
        <is>
          <t>How mature is the organization in managing employee and visitor accountability after evacuation or sheltering, including ownership, evidence, metrics, fallback procedures and crisis stress testing?</t>
        </is>
      </c>
      <c r="D161" t="inlineStr">
        <is>
          <t>This topic affects exposure to Safety incident; Physical site loss; War/security crisis; Natural disaster. It helps identify how disruption may impact operations, people, revenue, systems, legal exposure or recovery time.</t>
        </is>
      </c>
      <c r="E161" t="inlineStr">
        <is>
          <t>ISO 45001; ISO 22320; ISO 31030; ISO 18788; ISO 22301; NFPA; local OH&amp;S rules</t>
        </is>
      </c>
      <c r="F161" t="inlineStr">
        <is>
          <t>Policy/SOP; owner/RACI; system report; dashboard; contracts; test records; incident history; interview evidence related to employee and visitor accountability after evacuation or sheltering.</t>
        </is>
      </c>
      <c r="G161">
        <f>'Assessment Questions'!J161</f>
        <v/>
      </c>
      <c r="H161">
        <f>IF($Z161="","",IF($Z161="N/A","N/A",VALUE(LEFT($Z161,1))))</f>
        <v/>
      </c>
      <c r="I161">
        <f>IF($H161="","",IF($H161="N/A","",VALUE($H161)/5*$G161))</f>
        <v/>
      </c>
      <c r="J161">
        <f>IF(OR($H161="",$H161="N/A"),"",$G161)</f>
        <v/>
      </c>
      <c r="K161">
        <f>IF(OR($H161="",$H161="N/A"),"",$J161-$I161)</f>
        <v/>
      </c>
      <c r="L161">
        <f>IF($H161="","",IF($H161="N/A","N/A",IF(VALUE($H161)&lt;=1,"Critical",IF(VALUE($H161)&lt;=2,"High",IF(VALUE($H161)&lt;=3,"Medium",IF(VALUE($H161)&lt;=4,"Low","Resilient"))))))</f>
        <v/>
      </c>
      <c r="M161" t="inlineStr">
        <is>
          <t>No reliable evidence that employee and visitor accountability after evacuation or sheltering is defined, owned or managed.</t>
        </is>
      </c>
      <c r="N161" t="inlineStr">
        <is>
          <t>Employee and visitor accountability after evacuation or sheltering is handled informally and depends on individual knowledge or heroic effort.</t>
        </is>
      </c>
      <c r="O161" t="inlineStr">
        <is>
          <t>Employee and visitor accountability after evacuation or sheltering is partially documented or implemented, but coverage is inconsistent and not crisis-tested.</t>
        </is>
      </c>
      <c r="P161" t="inlineStr">
        <is>
          <t>Employee and visitor accountability after evacuation or sheltering is documented, owned, used in normal operations and supported by basic evidence or metrics.</t>
        </is>
      </c>
      <c r="Q161" t="inlineStr">
        <is>
          <t>Employee and visitor accountability after evacuation or sheltering is measured, periodically reviewed, integrated with related processes and tested against relevant disruption scenarios.</t>
        </is>
      </c>
      <c r="R161" t="inlineStr">
        <is>
          <t>Employee and visitor accountability after evacuation or sheltering is optimized, continuously improved, automated where practical and demonstrably supports crisis resilience.</t>
        </is>
      </c>
      <c r="S161" t="inlineStr">
        <is>
          <t>Safety incident; Physical site loss; War/security crisis; Natural disaster</t>
        </is>
      </c>
      <c r="T161">
        <f>'Assessment Questions'!W161</f>
        <v/>
      </c>
      <c r="U161">
        <f>'Assessment Questions'!X161</f>
        <v/>
      </c>
      <c r="V161">
        <f>'Assessment Questions'!Y161</f>
        <v/>
      </c>
      <c r="W161" t="n">
        <v>4</v>
      </c>
      <c r="X161" t="n">
        <v>5</v>
      </c>
      <c r="Y161" t="n">
        <v>5</v>
      </c>
      <c r="Z161">
        <f>'Assessment Questions'!AC161</f>
        <v/>
      </c>
      <c r="AB161">
        <f>COUNTIF($B$145:$B$175,$AA161)</f>
        <v/>
      </c>
      <c r="AC161">
        <f>IFERROR(SUMPRODUCT(($B$145:$B$175=$AA161)*($H$145:$H$175&lt;&gt;"")*($H$145:$H$175&lt;&gt;"N/A")*IFERROR(VALUE($H$145:$H$175),0))/SUMPRODUCT(($B$145:$B$175=$AA161)*($H$145:$H$175&lt;&gt;"")*($H$145:$H$175&lt;&gt;"N/A")),0)</f>
        <v/>
      </c>
      <c r="AD161">
        <f>AC161/5</f>
        <v/>
      </c>
      <c r="AE161">
        <f>COUNTIFS($B$145:$B$175,$AA161,$L$145:$L$175,"Critical")+COUNTIFS($B$145:$B$175,$AA161,$L$145:$L$175,"High")</f>
        <v/>
      </c>
      <c r="AF161">
        <f>5-AC161</f>
        <v/>
      </c>
      <c r="AG161">
        <f>SUMPRODUCT(($B$145:$B$175=$AA161)*(ISNUMBER($H$145:$H$175)+($H$145:$H$175="N/A")))</f>
        <v/>
      </c>
      <c r="AH161">
        <f>'Assessment Questions'!AK161</f>
        <v/>
      </c>
      <c r="AI161">
        <f>'Assessment Questions'!AL161</f>
        <v/>
      </c>
      <c r="AJ161">
        <f>IF(OR($H161="",$H161="N/A"),"",IF($AH161="",VLOOKUP('Company Profile'!$B$40,_CONFIG_Model_Settings!$A$5:$B$8,2,FALSE),_xlfn.IFNA(VLOOKUP($AH161,_CONFIG_Model_Settings!$A$5:$B$8,2,FALSE),0.9)))</f>
        <v/>
      </c>
      <c r="AK161">
        <f>IF(OR($H161="",$H161="N/A"),"",IF($AI161="",VLOOKUP('Company Profile'!$B$41,_CONFIG_Model_Settings!$A$5:$B$8,2,FALSE),_xlfn.IFNA(VLOOKUP($AI161,_CONFIG_Model_Settings!$A$5:$B$8,2,FALSE),0.9)))</f>
        <v/>
      </c>
      <c r="AL161">
        <f>IF(OR($H161="",$H161="N/A"),"",ROUND(VALUE($H161)*$AJ161*$AK161*$AV161,2))</f>
        <v/>
      </c>
      <c r="AM161">
        <f>IF($AL161="","",ROUND($AL161/5*100,1))</f>
        <v/>
      </c>
      <c r="AN161">
        <f>IFERROR(MIN(5,MAX(0,(SUMIFS(_REF_Model_Content!$D$1:$D$157,_REF_Model_Content!$A$1:$A$157,'Company Profile'!$B$9,_REF_Model_Content!$B$1:$B$157,"Physical Safety"))+_xlfn.IFNA(VLOOKUP('Company Profile'!$B$35,_CONFIG_Model_Settings!$A$11:$B$13,2,0),0))),"")</f>
        <v/>
      </c>
      <c r="AO161">
        <f>IF($AL161="","",MAX(0,ROUND($AN161-$AL161,2)))</f>
        <v/>
      </c>
      <c r="AP161">
        <f>IFERROR(SUMIFS(_REF_Model_Content!$E$1:$E$157,_REF_Model_Content!$A$1:$A$157,'Company Profile'!$B$9,_REF_Model_Content!$B$1:$B$157,"Physical Safety"),1)</f>
        <v/>
      </c>
      <c r="AQ161">
        <f>IF($AO161="","",ROUND($AO161*$AP161*($G161/5),2))</f>
        <v/>
      </c>
      <c r="AR161">
        <f>IF($AO161="","",IF($AO161&gt;=2,"Critical industry gap",IF($AO161&gt;=1,"High industry gap",IF($AO161&gt;=0.5,"Moderate industry gap","Within target"))))</f>
        <v/>
      </c>
      <c r="AS161">
        <f>IF(OR($H161="",$H161="N/A"),0,VALUE($H161)*(($AJ161+$AK161)/2)*$AV161)</f>
        <v/>
      </c>
      <c r="AT161">
        <f>IF(OR($H161="",$H161="N/A"),0,($AJ161+$AK161)/2)</f>
        <v/>
      </c>
      <c r="AU161">
        <f>'Assessment Questions'!AX161</f>
        <v/>
      </c>
      <c r="AV161">
        <f>IF(OR($H161="",$H161="N/A"),"",IF(OR($AU161="",$AU161="Everywhere",$AU161="Not applicable"),1,IF($AU161="Pilot / one team",0.4,IF($AU161="One unit or site",0.7,0.9))))</f>
        <v/>
      </c>
      <c r="AW161" t="inlineStr">
        <is>
          <t>Physical Safety</t>
        </is>
      </c>
      <c r="AX161" t="inlineStr">
        <is>
          <t>Physical Safety</t>
        </is>
      </c>
      <c r="AY161" t="n">
        <v>21</v>
      </c>
      <c r="AZ161" t="n">
        <v>161</v>
      </c>
    </row>
    <row r="162">
      <c r="A162" t="inlineStr">
        <is>
          <t>PHYS-018</t>
        </is>
      </c>
      <c r="B162" t="inlineStr">
        <is>
          <t>Emergency response</t>
        </is>
      </c>
      <c r="C162" t="inlineStr">
        <is>
          <t>How mature is the organization in managing emergency supplies such as water, batteries, power banks, fuel, PPE, radios and flashlights, including ownership, evidence, metrics, fallback procedures and crisis stress testing?</t>
        </is>
      </c>
      <c r="D162" t="inlineStr">
        <is>
          <t>This topic affects exposure to Safety incident; Physical site loss; War/security crisis; Natural disaster. It helps identify how disruption may impact operations, people, revenue, systems, legal exposure or recovery time.</t>
        </is>
      </c>
      <c r="E162" t="inlineStr">
        <is>
          <t>ISO 45001; ISO 22320; ISO 31030; ISO 18788; ISO 22301; NFPA; local OH&amp;S rules</t>
        </is>
      </c>
      <c r="F162" t="inlineStr">
        <is>
          <t>Policy/SOP; owner/RACI; system report; dashboard; contracts; test records; incident history; interview evidence related to emergency supplies such as water, batteries, power banks, fuel, PPE, radios and flashlights.</t>
        </is>
      </c>
      <c r="G162">
        <f>'Assessment Questions'!J162</f>
        <v/>
      </c>
      <c r="H162">
        <f>IF($Z162="","",IF($Z162="N/A","N/A",VALUE(LEFT($Z162,1))))</f>
        <v/>
      </c>
      <c r="I162">
        <f>IF($H162="","",IF($H162="N/A","",VALUE($H162)/5*$G162))</f>
        <v/>
      </c>
      <c r="J162">
        <f>IF(OR($H162="",$H162="N/A"),"",$G162)</f>
        <v/>
      </c>
      <c r="K162">
        <f>IF(OR($H162="",$H162="N/A"),"",$J162-$I162)</f>
        <v/>
      </c>
      <c r="L162">
        <f>IF($H162="","",IF($H162="N/A","N/A",IF(VALUE($H162)&lt;=1,"Critical",IF(VALUE($H162)&lt;=2,"High",IF(VALUE($H162)&lt;=3,"Medium",IF(VALUE($H162)&lt;=4,"Low","Resilient"))))))</f>
        <v/>
      </c>
      <c r="M162" t="inlineStr">
        <is>
          <t>No reliable evidence that emergency supplies such as water, batteries, power banks, fuel, ppe, radios and flashlights is defined, owned or managed.</t>
        </is>
      </c>
      <c r="N162" t="inlineStr">
        <is>
          <t>Emergency supplies such as water, batteries, power banks, fuel, PPE, radios and flashlights is handled informally and depends on individual knowledge or heroic effort.</t>
        </is>
      </c>
      <c r="O162" t="inlineStr">
        <is>
          <t>Emergency supplies such as water, batteries, power banks, fuel, PPE, radios and flashlights is partially documented or implemented, but coverage is inconsistent and not crisis-tested.</t>
        </is>
      </c>
      <c r="P162" t="inlineStr">
        <is>
          <t>Emergency supplies such as water, batteries, power banks, fuel, PPE, radios and flashlights is documented, owned, used in normal operations and supported by basic evidence or metrics.</t>
        </is>
      </c>
      <c r="Q162" t="inlineStr">
        <is>
          <t>Emergency supplies such as water, batteries, power banks, fuel, PPE, radios and flashlights is measured, periodically reviewed, integrated with related processes and tested against relevant disruption scenarios.</t>
        </is>
      </c>
      <c r="R162" t="inlineStr">
        <is>
          <t>Emergency supplies such as water, batteries, power banks, fuel, PPE, radios and flashlights is optimized, continuously improved, automated where practical and demonstrably supports crisis resilience.</t>
        </is>
      </c>
      <c r="S162" t="inlineStr">
        <is>
          <t>Safety incident; Physical site loss; War/security crisis; Natural disaster</t>
        </is>
      </c>
      <c r="T162">
        <f>'Assessment Questions'!W162</f>
        <v/>
      </c>
      <c r="U162">
        <f>'Assessment Questions'!X162</f>
        <v/>
      </c>
      <c r="V162">
        <f>'Assessment Questions'!Y162</f>
        <v/>
      </c>
      <c r="W162" t="n">
        <v>4</v>
      </c>
      <c r="X162" t="n">
        <v>5</v>
      </c>
      <c r="Y162" t="n">
        <v>5</v>
      </c>
      <c r="Z162">
        <f>'Assessment Questions'!AC162</f>
        <v/>
      </c>
      <c r="AB162">
        <f>COUNTIF($B$145:$B$175,$AA162)</f>
        <v/>
      </c>
      <c r="AC162">
        <f>IFERROR(SUMPRODUCT(($B$145:$B$175=$AA162)*($H$145:$H$175&lt;&gt;"")*($H$145:$H$175&lt;&gt;"N/A")*IFERROR(VALUE($H$145:$H$175),0))/SUMPRODUCT(($B$145:$B$175=$AA162)*($H$145:$H$175&lt;&gt;"")*($H$145:$H$175&lt;&gt;"N/A")),0)</f>
        <v/>
      </c>
      <c r="AD162">
        <f>AC162/5</f>
        <v/>
      </c>
      <c r="AE162">
        <f>COUNTIFS($B$145:$B$175,$AA162,$L$145:$L$175,"Critical")+COUNTIFS($B$145:$B$175,$AA162,$L$145:$L$175,"High")</f>
        <v/>
      </c>
      <c r="AF162">
        <f>5-AC162</f>
        <v/>
      </c>
      <c r="AG162">
        <f>SUMPRODUCT(($B$145:$B$175=$AA162)*(ISNUMBER($H$145:$H$175)+($H$145:$H$175="N/A")))</f>
        <v/>
      </c>
      <c r="AH162">
        <f>'Assessment Questions'!AK162</f>
        <v/>
      </c>
      <c r="AI162">
        <f>'Assessment Questions'!AL162</f>
        <v/>
      </c>
      <c r="AJ162">
        <f>IF(OR($H162="",$H162="N/A"),"",IF($AH162="",VLOOKUP('Company Profile'!$B$40,_CONFIG_Model_Settings!$A$5:$B$8,2,FALSE),_xlfn.IFNA(VLOOKUP($AH162,_CONFIG_Model_Settings!$A$5:$B$8,2,FALSE),0.9)))</f>
        <v/>
      </c>
      <c r="AK162">
        <f>IF(OR($H162="",$H162="N/A"),"",IF($AI162="",VLOOKUP('Company Profile'!$B$41,_CONFIG_Model_Settings!$A$5:$B$8,2,FALSE),_xlfn.IFNA(VLOOKUP($AI162,_CONFIG_Model_Settings!$A$5:$B$8,2,FALSE),0.9)))</f>
        <v/>
      </c>
      <c r="AL162">
        <f>IF(OR($H162="",$H162="N/A"),"",ROUND(VALUE($H162)*$AJ162*$AK162*$AV162,2))</f>
        <v/>
      </c>
      <c r="AM162">
        <f>IF($AL162="","",ROUND($AL162/5*100,1))</f>
        <v/>
      </c>
      <c r="AN162">
        <f>IFERROR(MIN(5,MAX(0,(SUMIFS(_REF_Model_Content!$D$1:$D$157,_REF_Model_Content!$A$1:$A$157,'Company Profile'!$B$9,_REF_Model_Content!$B$1:$B$157,"Physical Safety"))+_xlfn.IFNA(VLOOKUP('Company Profile'!$B$35,_CONFIG_Model_Settings!$A$11:$B$13,2,0),0))),"")</f>
        <v/>
      </c>
      <c r="AO162">
        <f>IF($AL162="","",MAX(0,ROUND($AN162-$AL162,2)))</f>
        <v/>
      </c>
      <c r="AP162">
        <f>IFERROR(SUMIFS(_REF_Model_Content!$E$1:$E$157,_REF_Model_Content!$A$1:$A$157,'Company Profile'!$B$9,_REF_Model_Content!$B$1:$B$157,"Physical Safety"),1)</f>
        <v/>
      </c>
      <c r="AQ162">
        <f>IF($AO162="","",ROUND($AO162*$AP162*($G162/5),2))</f>
        <v/>
      </c>
      <c r="AR162">
        <f>IF($AO162="","",IF($AO162&gt;=2,"Critical industry gap",IF($AO162&gt;=1,"High industry gap",IF($AO162&gt;=0.5,"Moderate industry gap","Within target"))))</f>
        <v/>
      </c>
      <c r="AS162">
        <f>IF(OR($H162="",$H162="N/A"),0,VALUE($H162)*(($AJ162+$AK162)/2)*$AV162)</f>
        <v/>
      </c>
      <c r="AT162">
        <f>IF(OR($H162="",$H162="N/A"),0,($AJ162+$AK162)/2)</f>
        <v/>
      </c>
      <c r="AU162">
        <f>'Assessment Questions'!AX162</f>
        <v/>
      </c>
      <c r="AV162">
        <f>IF(OR($H162="",$H162="N/A"),"",IF(OR($AU162="",$AU162="Everywhere",$AU162="Not applicable"),1,IF($AU162="Pilot / one team",0.4,IF($AU162="One unit or site",0.7,0.9))))</f>
        <v/>
      </c>
      <c r="AW162" t="inlineStr">
        <is>
          <t>Physical Safety</t>
        </is>
      </c>
      <c r="AX162" t="inlineStr">
        <is>
          <t>Physical Safety</t>
        </is>
      </c>
      <c r="AY162" t="n">
        <v>22</v>
      </c>
      <c r="AZ162" t="n">
        <v>162</v>
      </c>
    </row>
    <row r="163">
      <c r="A163" t="inlineStr">
        <is>
          <t>PHYS-019</t>
        </is>
      </c>
      <c r="B163" t="inlineStr">
        <is>
          <t>Security and travel</t>
        </is>
      </c>
      <c r="C163" t="inlineStr">
        <is>
          <t>How mature is the organization in managing air raid, shelling, curfew, checkpoints, movement restriction and shelter procedures for high-risk geographies, including ownership, evidence, metrics, fallback procedures and crisis stress testing?</t>
        </is>
      </c>
      <c r="D163" t="inlineStr">
        <is>
          <t>This topic affects exposure to Safety incident; Physical site loss; War/security crisis; Natural disaster. It helps identify how disruption may impact operations, people, revenue, systems, legal exposure or recovery time.</t>
        </is>
      </c>
      <c r="E163" t="inlineStr">
        <is>
          <t>ISO 45001; ISO 22320; ISO 31030; ISO 18788; ISO 22301; NFPA; local OH&amp;S rules</t>
        </is>
      </c>
      <c r="F163" t="inlineStr">
        <is>
          <t>Policy/SOP; owner/RACI; system report; dashboard; contracts; test records; incident history; interview evidence related to air raid, shelling, curfew, checkpoints, movement restriction and shelter procedures for high-risk geographies.</t>
        </is>
      </c>
      <c r="G163">
        <f>'Assessment Questions'!J163</f>
        <v/>
      </c>
      <c r="H163">
        <f>IF($Z163="","",IF($Z163="N/A","N/A",VALUE(LEFT($Z163,1))))</f>
        <v/>
      </c>
      <c r="I163">
        <f>IF($H163="","",IF($H163="N/A","",VALUE($H163)/5*$G163))</f>
        <v/>
      </c>
      <c r="J163">
        <f>IF(OR($H163="",$H163="N/A"),"",$G163)</f>
        <v/>
      </c>
      <c r="K163">
        <f>IF(OR($H163="",$H163="N/A"),"",$J163-$I163)</f>
        <v/>
      </c>
      <c r="L163">
        <f>IF($H163="","",IF($H163="N/A","N/A",IF(VALUE($H163)&lt;=1,"Critical",IF(VALUE($H163)&lt;=2,"High",IF(VALUE($H163)&lt;=3,"Medium",IF(VALUE($H163)&lt;=4,"Low","Resilient"))))))</f>
        <v/>
      </c>
      <c r="M163" t="inlineStr">
        <is>
          <t>No reliable evidence that air raid, shelling, curfew, checkpoints, movement restriction and shelter procedures for high-risk geographies is defined, owned or managed.</t>
        </is>
      </c>
      <c r="N163" t="inlineStr">
        <is>
          <t>Air raid, shelling, curfew, checkpoints, movement restriction and shelter procedures for high-risk geographies is handled informally and depends on individual knowledge or heroic effort.</t>
        </is>
      </c>
      <c r="O163" t="inlineStr">
        <is>
          <t>Air raid, shelling, curfew, checkpoints, movement restriction and shelter procedures for high-risk geographies is partially documented or implemented, but coverage is inconsistent and not crisis-tested.</t>
        </is>
      </c>
      <c r="P163" t="inlineStr">
        <is>
          <t>Air raid, shelling, curfew, checkpoints, movement restriction and shelter procedures for high-risk geographies is documented, owned, used in normal operations and supported by basic evidence or metrics.</t>
        </is>
      </c>
      <c r="Q163" t="inlineStr">
        <is>
          <t>Air raid, shelling, curfew, checkpoints, movement restriction and shelter procedures for high-risk geographies is measured, periodically reviewed, integrated with related processes and tested against relevant disruption scenarios.</t>
        </is>
      </c>
      <c r="R163" t="inlineStr">
        <is>
          <t>Air raid, shelling, curfew, checkpoints, movement restriction and shelter procedures for high-risk geographies is optimized, continuously improved, automated where practical and demonstrably supports crisis resilience.</t>
        </is>
      </c>
      <c r="S163" t="inlineStr">
        <is>
          <t>Safety incident; Physical site loss; War/security crisis; Natural disaster</t>
        </is>
      </c>
      <c r="T163">
        <f>'Assessment Questions'!W163</f>
        <v/>
      </c>
      <c r="U163">
        <f>'Assessment Questions'!X163</f>
        <v/>
      </c>
      <c r="V163">
        <f>'Assessment Questions'!Y163</f>
        <v/>
      </c>
      <c r="W163" t="n">
        <v>4</v>
      </c>
      <c r="X163" t="n">
        <v>5</v>
      </c>
      <c r="Y163" t="n">
        <v>5</v>
      </c>
      <c r="Z163">
        <f>'Assessment Questions'!AC163</f>
        <v/>
      </c>
      <c r="AB163">
        <f>COUNTIF($B$145:$B$175,$AA163)</f>
        <v/>
      </c>
      <c r="AC163">
        <f>IFERROR(SUMPRODUCT(($B$145:$B$175=$AA163)*($H$145:$H$175&lt;&gt;"")*($H$145:$H$175&lt;&gt;"N/A")*IFERROR(VALUE($H$145:$H$175),0))/SUMPRODUCT(($B$145:$B$175=$AA163)*($H$145:$H$175&lt;&gt;"")*($H$145:$H$175&lt;&gt;"N/A")),0)</f>
        <v/>
      </c>
      <c r="AD163">
        <f>AC163/5</f>
        <v/>
      </c>
      <c r="AE163">
        <f>COUNTIFS($B$145:$B$175,$AA163,$L$145:$L$175,"Critical")+COUNTIFS($B$145:$B$175,$AA163,$L$145:$L$175,"High")</f>
        <v/>
      </c>
      <c r="AF163">
        <f>5-AC163</f>
        <v/>
      </c>
      <c r="AG163">
        <f>SUMPRODUCT(($B$145:$B$175=$AA163)*(ISNUMBER($H$145:$H$175)+($H$145:$H$175="N/A")))</f>
        <v/>
      </c>
      <c r="AH163">
        <f>'Assessment Questions'!AK163</f>
        <v/>
      </c>
      <c r="AI163">
        <f>'Assessment Questions'!AL163</f>
        <v/>
      </c>
      <c r="AJ163">
        <f>IF(OR($H163="",$H163="N/A"),"",IF($AH163="",VLOOKUP('Company Profile'!$B$40,_CONFIG_Model_Settings!$A$5:$B$8,2,FALSE),_xlfn.IFNA(VLOOKUP($AH163,_CONFIG_Model_Settings!$A$5:$B$8,2,FALSE),0.9)))</f>
        <v/>
      </c>
      <c r="AK163">
        <f>IF(OR($H163="",$H163="N/A"),"",IF($AI163="",VLOOKUP('Company Profile'!$B$41,_CONFIG_Model_Settings!$A$5:$B$8,2,FALSE),_xlfn.IFNA(VLOOKUP($AI163,_CONFIG_Model_Settings!$A$5:$B$8,2,FALSE),0.9)))</f>
        <v/>
      </c>
      <c r="AL163">
        <f>IF(OR($H163="",$H163="N/A"),"",ROUND(VALUE($H163)*$AJ163*$AK163*$AV163,2))</f>
        <v/>
      </c>
      <c r="AM163">
        <f>IF($AL163="","",ROUND($AL163/5*100,1))</f>
        <v/>
      </c>
      <c r="AN163">
        <f>IFERROR(MIN(5,MAX(0,(SUMIFS(_REF_Model_Content!$D$1:$D$157,_REF_Model_Content!$A$1:$A$157,'Company Profile'!$B$9,_REF_Model_Content!$B$1:$B$157,"Physical Safety"))+_xlfn.IFNA(VLOOKUP('Company Profile'!$B$35,_CONFIG_Model_Settings!$A$11:$B$13,2,0),0))),"")</f>
        <v/>
      </c>
      <c r="AO163">
        <f>IF($AL163="","",MAX(0,ROUND($AN163-$AL163,2)))</f>
        <v/>
      </c>
      <c r="AP163">
        <f>IFERROR(SUMIFS(_REF_Model_Content!$E$1:$E$157,_REF_Model_Content!$A$1:$A$157,'Company Profile'!$B$9,_REF_Model_Content!$B$1:$B$157,"Physical Safety"),1)</f>
        <v/>
      </c>
      <c r="AQ163">
        <f>IF($AO163="","",ROUND($AO163*$AP163*($G163/5),2))</f>
        <v/>
      </c>
      <c r="AR163">
        <f>IF($AO163="","",IF($AO163&gt;=2,"Critical industry gap",IF($AO163&gt;=1,"High industry gap",IF($AO163&gt;=0.5,"Moderate industry gap","Within target"))))</f>
        <v/>
      </c>
      <c r="AS163">
        <f>IF(OR($H163="",$H163="N/A"),0,VALUE($H163)*(($AJ163+$AK163)/2)*$AV163)</f>
        <v/>
      </c>
      <c r="AT163">
        <f>IF(OR($H163="",$H163="N/A"),0,($AJ163+$AK163)/2)</f>
        <v/>
      </c>
      <c r="AU163">
        <f>'Assessment Questions'!AX163</f>
        <v/>
      </c>
      <c r="AV163">
        <f>IF(OR($H163="",$H163="N/A"),"",IF(OR($AU163="",$AU163="Everywhere",$AU163="Not applicable"),1,IF($AU163="Pilot / one team",0.4,IF($AU163="One unit or site",0.7,0.9))))</f>
        <v/>
      </c>
      <c r="AW163" t="inlineStr">
        <is>
          <t>Physical Safety</t>
        </is>
      </c>
      <c r="AX163" t="inlineStr">
        <is>
          <t>Physical Safety</t>
        </is>
      </c>
      <c r="AY163" t="n">
        <v>23</v>
      </c>
      <c r="AZ163" t="n">
        <v>163</v>
      </c>
    </row>
    <row r="164">
      <c r="A164" t="inlineStr">
        <is>
          <t>PHYS-020</t>
        </is>
      </c>
      <c r="B164" t="inlineStr">
        <is>
          <t>Security and travel</t>
        </is>
      </c>
      <c r="C164" t="inlineStr">
        <is>
          <t>How mature is the organization in managing relocation and evacuation options for employees and critical teams, including ownership, evidence, metrics, fallback procedures and crisis stress testing?</t>
        </is>
      </c>
      <c r="D164" t="inlineStr">
        <is>
          <t>This topic affects exposure to Safety incident; Physical site loss; War/security crisis; Natural disaster. It helps identify how disruption may impact operations, people, revenue, systems, legal exposure or recovery time.</t>
        </is>
      </c>
      <c r="E164" t="inlineStr">
        <is>
          <t>ISO 45001; ISO 22320; ISO 31030; ISO 18788; ISO 22301; NFPA; local OH&amp;S rules</t>
        </is>
      </c>
      <c r="F164" t="inlineStr">
        <is>
          <t>Policy/SOP; owner/RACI; system report; dashboard; contracts; test records; incident history; interview evidence related to relocation and evacuation options for employees and critical teams.</t>
        </is>
      </c>
      <c r="G164">
        <f>'Assessment Questions'!J164</f>
        <v/>
      </c>
      <c r="H164">
        <f>IF($Z164="","",IF($Z164="N/A","N/A",VALUE(LEFT($Z164,1))))</f>
        <v/>
      </c>
      <c r="I164">
        <f>IF($H164="","",IF($H164="N/A","",VALUE($H164)/5*$G164))</f>
        <v/>
      </c>
      <c r="J164">
        <f>IF(OR($H164="",$H164="N/A"),"",$G164)</f>
        <v/>
      </c>
      <c r="K164">
        <f>IF(OR($H164="",$H164="N/A"),"",$J164-$I164)</f>
        <v/>
      </c>
      <c r="L164">
        <f>IF($H164="","",IF($H164="N/A","N/A",IF(VALUE($H164)&lt;=1,"Critical",IF(VALUE($H164)&lt;=2,"High",IF(VALUE($H164)&lt;=3,"Medium",IF(VALUE($H164)&lt;=4,"Low","Resilient"))))))</f>
        <v/>
      </c>
      <c r="M164" t="inlineStr">
        <is>
          <t>Does not exist; no owner, no documentation, no practice.</t>
        </is>
      </c>
      <c r="N164" t="inlineStr">
        <is>
          <t>Ad hoc; depends entirely on specific individuals.</t>
        </is>
      </c>
      <c r="O164" t="inlineStr">
        <is>
          <t>Partially documented or implemented; coverage inconsistent; never tested under stress.</t>
        </is>
      </c>
      <c r="P164" t="inlineStr">
        <is>
          <t>Documented, owned, executed consistently; basic evidence and metrics exist.</t>
        </is>
      </c>
      <c r="Q164" t="inlineStr">
        <is>
          <t>Measured and periodically tested/audited; integrated with adjacent processes.</t>
        </is>
      </c>
      <c r="R164" t="inlineStr">
        <is>
          <t>Optimized and automated where practical; stress-tested; benchmarked externally.</t>
        </is>
      </c>
      <c r="S164" t="inlineStr">
        <is>
          <t>Safety incident; Physical site loss; War/security crisis; Natural disaster</t>
        </is>
      </c>
      <c r="T164">
        <f>'Assessment Questions'!W164</f>
        <v/>
      </c>
      <c r="U164">
        <f>'Assessment Questions'!X164</f>
        <v/>
      </c>
      <c r="V164">
        <f>'Assessment Questions'!Y164</f>
        <v/>
      </c>
      <c r="W164" t="n">
        <v>4</v>
      </c>
      <c r="X164" t="n">
        <v>5</v>
      </c>
      <c r="Y164" t="n">
        <v>5</v>
      </c>
      <c r="Z164">
        <f>'Assessment Questions'!AC164</f>
        <v/>
      </c>
      <c r="AB164">
        <f>COUNTIF($B$145:$B$175,$AA164)</f>
        <v/>
      </c>
      <c r="AC164">
        <f>IFERROR(SUMPRODUCT(($B$145:$B$175=$AA164)*($H$145:$H$175&lt;&gt;"")*($H$145:$H$175&lt;&gt;"N/A")*IFERROR(VALUE($H$145:$H$175),0))/SUMPRODUCT(($B$145:$B$175=$AA164)*($H$145:$H$175&lt;&gt;"")*($H$145:$H$175&lt;&gt;"N/A")),0)</f>
        <v/>
      </c>
      <c r="AD164">
        <f>AC164/5</f>
        <v/>
      </c>
      <c r="AE164">
        <f>COUNTIFS($B$145:$B$175,$AA164,$L$145:$L$175,"Critical")+COUNTIFS($B$145:$B$175,$AA164,$L$145:$L$175,"High")</f>
        <v/>
      </c>
      <c r="AF164">
        <f>5-AC164</f>
        <v/>
      </c>
      <c r="AG164">
        <f>SUMPRODUCT(($B$145:$B$175=$AA164)*(ISNUMBER($H$145:$H$175)+($H$145:$H$175="N/A")))</f>
        <v/>
      </c>
      <c r="AH164">
        <f>'Assessment Questions'!AK164</f>
        <v/>
      </c>
      <c r="AI164">
        <f>'Assessment Questions'!AL164</f>
        <v/>
      </c>
      <c r="AJ164">
        <f>IF(OR($H164="",$H164="N/A"),"",IF($AH164="",VLOOKUP('Company Profile'!$B$40,_CONFIG_Model_Settings!$A$5:$B$8,2,FALSE),_xlfn.IFNA(VLOOKUP($AH164,_CONFIG_Model_Settings!$A$5:$B$8,2,FALSE),0.9)))</f>
        <v/>
      </c>
      <c r="AK164">
        <f>IF(OR($H164="",$H164="N/A"),"",IF($AI164="",VLOOKUP('Company Profile'!$B$41,_CONFIG_Model_Settings!$A$5:$B$8,2,FALSE),_xlfn.IFNA(VLOOKUP($AI164,_CONFIG_Model_Settings!$A$5:$B$8,2,FALSE),0.9)))</f>
        <v/>
      </c>
      <c r="AL164">
        <f>IF(OR($H164="",$H164="N/A"),"",ROUND(VALUE($H164)*$AJ164*$AK164*$AV164,2))</f>
        <v/>
      </c>
      <c r="AM164">
        <f>IF($AL164="","",ROUND($AL164/5*100,1))</f>
        <v/>
      </c>
      <c r="AN164">
        <f>IFERROR(MIN(5,MAX(0,(SUMIFS(_REF_Model_Content!$D$1:$D$157,_REF_Model_Content!$A$1:$A$157,'Company Profile'!$B$9,_REF_Model_Content!$B$1:$B$157,"Physical Safety"))+_xlfn.IFNA(VLOOKUP('Company Profile'!$B$35,_CONFIG_Model_Settings!$A$11:$B$13,2,0),0))),"")</f>
        <v/>
      </c>
      <c r="AO164">
        <f>IF($AL164="","",MAX(0,ROUND($AN164-$AL164,2)))</f>
        <v/>
      </c>
      <c r="AP164">
        <f>IFERROR(SUMIFS(_REF_Model_Content!$E$1:$E$157,_REF_Model_Content!$A$1:$A$157,'Company Profile'!$B$9,_REF_Model_Content!$B$1:$B$157,"Physical Safety"),1)</f>
        <v/>
      </c>
      <c r="AQ164">
        <f>IF($AO164="","",ROUND($AO164*$AP164*($G164/5),2))</f>
        <v/>
      </c>
      <c r="AR164">
        <f>IF($AO164="","",IF($AO164&gt;=2,"Critical industry gap",IF($AO164&gt;=1,"High industry gap",IF($AO164&gt;=0.5,"Moderate industry gap","Within target"))))</f>
        <v/>
      </c>
      <c r="AS164">
        <f>IF(OR($H164="",$H164="N/A"),0,VALUE($H164)*(($AJ164+$AK164)/2)*$AV164)</f>
        <v/>
      </c>
      <c r="AT164">
        <f>IF(OR($H164="",$H164="N/A"),0,($AJ164+$AK164)/2)</f>
        <v/>
      </c>
      <c r="AU164">
        <f>'Assessment Questions'!AX164</f>
        <v/>
      </c>
      <c r="AV164">
        <f>IF(OR($H164="",$H164="N/A"),"",IF(OR($AU164="",$AU164="Everywhere",$AU164="Not applicable"),1,IF($AU164="Pilot / one team",0.4,IF($AU164="One unit or site",0.7,0.9))))</f>
        <v/>
      </c>
      <c r="AW164" t="inlineStr">
        <is>
          <t>Physical Safety</t>
        </is>
      </c>
      <c r="AX164" t="inlineStr">
        <is>
          <t>Physical Safety</t>
        </is>
      </c>
      <c r="AY164" t="n">
        <v>24</v>
      </c>
      <c r="AZ164" t="n">
        <v>164</v>
      </c>
    </row>
    <row r="165">
      <c r="A165" t="inlineStr">
        <is>
          <t>PHYS-021</t>
        </is>
      </c>
      <c r="B165" t="inlineStr">
        <is>
          <t>Security and travel</t>
        </is>
      </c>
      <c r="C165" t="inlineStr">
        <is>
          <t>How mature is the organization in managing travel risk assessment by destination, route, purpose, employee profile and emergency support, including ownership, evidence, metrics, fallback procedures and crisis stress testing?</t>
        </is>
      </c>
      <c r="D165" t="inlineStr">
        <is>
          <t>This topic affects exposure to Safety incident; Physical site loss; War/security crisis; Natural disaster. It helps identify how disruption may impact operations, people, revenue, systems, legal exposure or recovery time.</t>
        </is>
      </c>
      <c r="E165" t="inlineStr">
        <is>
          <t>ISO 45001; ISO 22320; ISO 31030; ISO 18788; ISO 22301; NFPA; local OH&amp;S rules</t>
        </is>
      </c>
      <c r="F165" t="inlineStr">
        <is>
          <t>Policy/SOP; owner/RACI; system report; dashboard; contracts; test records; incident history; interview evidence related to travel risk assessment by destination, route, purpose, employee profile and emergency support.</t>
        </is>
      </c>
      <c r="G165">
        <f>'Assessment Questions'!J165</f>
        <v/>
      </c>
      <c r="H165">
        <f>IF($Z165="","",IF($Z165="N/A","N/A",VALUE(LEFT($Z165,1))))</f>
        <v/>
      </c>
      <c r="I165">
        <f>IF($H165="","",IF($H165="N/A","",VALUE($H165)/5*$G165))</f>
        <v/>
      </c>
      <c r="J165">
        <f>IF(OR($H165="",$H165="N/A"),"",$G165)</f>
        <v/>
      </c>
      <c r="K165">
        <f>IF(OR($H165="",$H165="N/A"),"",$J165-$I165)</f>
        <v/>
      </c>
      <c r="L165">
        <f>IF($H165="","",IF($H165="N/A","N/A",IF(VALUE($H165)&lt;=1,"Critical",IF(VALUE($H165)&lt;=2,"High",IF(VALUE($H165)&lt;=3,"Medium",IF(VALUE($H165)&lt;=4,"Low","Resilient"))))))</f>
        <v/>
      </c>
      <c r="M165" t="inlineStr">
        <is>
          <t>Does not exist; no owner, no documentation, no practice.</t>
        </is>
      </c>
      <c r="N165" t="inlineStr">
        <is>
          <t>Ad hoc; depends entirely on specific individuals.</t>
        </is>
      </c>
      <c r="O165" t="inlineStr">
        <is>
          <t>Partially documented or implemented; coverage inconsistent; never tested under stress.</t>
        </is>
      </c>
      <c r="P165" t="inlineStr">
        <is>
          <t>Documented, owned, executed consistently; basic evidence and metrics exist.</t>
        </is>
      </c>
      <c r="Q165" t="inlineStr">
        <is>
          <t>Measured and periodically tested/audited; integrated with adjacent processes.</t>
        </is>
      </c>
      <c r="R165" t="inlineStr">
        <is>
          <t>Optimized and automated where practical; stress-tested; benchmarked externally.</t>
        </is>
      </c>
      <c r="S165" t="inlineStr">
        <is>
          <t>Safety incident; Physical site loss; War/security crisis; Natural disaster</t>
        </is>
      </c>
      <c r="T165">
        <f>'Assessment Questions'!W165</f>
        <v/>
      </c>
      <c r="U165">
        <f>'Assessment Questions'!X165</f>
        <v/>
      </c>
      <c r="V165">
        <f>'Assessment Questions'!Y165</f>
        <v/>
      </c>
      <c r="W165" t="n">
        <v>4</v>
      </c>
      <c r="X165" t="n">
        <v>5</v>
      </c>
      <c r="Y165" t="n">
        <v>5</v>
      </c>
      <c r="Z165">
        <f>'Assessment Questions'!AC165</f>
        <v/>
      </c>
      <c r="AB165">
        <f>COUNTIF($B$145:$B$175,$AA165)</f>
        <v/>
      </c>
      <c r="AC165">
        <f>IFERROR(SUMPRODUCT(($B$145:$B$175=$AA165)*($H$145:$H$175&lt;&gt;"")*($H$145:$H$175&lt;&gt;"N/A")*IFERROR(VALUE($H$145:$H$175),0))/SUMPRODUCT(($B$145:$B$175=$AA165)*($H$145:$H$175&lt;&gt;"")*($H$145:$H$175&lt;&gt;"N/A")),0)</f>
        <v/>
      </c>
      <c r="AD165">
        <f>AC165/5</f>
        <v/>
      </c>
      <c r="AE165">
        <f>COUNTIFS($B$145:$B$175,$AA165,$L$145:$L$175,"Critical")+COUNTIFS($B$145:$B$175,$AA165,$L$145:$L$175,"High")</f>
        <v/>
      </c>
      <c r="AF165">
        <f>5-AC165</f>
        <v/>
      </c>
      <c r="AG165">
        <f>SUMPRODUCT(($B$145:$B$175=$AA165)*(ISNUMBER($H$145:$H$175)+($H$145:$H$175="N/A")))</f>
        <v/>
      </c>
      <c r="AH165">
        <f>'Assessment Questions'!AK165</f>
        <v/>
      </c>
      <c r="AI165">
        <f>'Assessment Questions'!AL165</f>
        <v/>
      </c>
      <c r="AJ165">
        <f>IF(OR($H165="",$H165="N/A"),"",IF($AH165="",VLOOKUP('Company Profile'!$B$40,_CONFIG_Model_Settings!$A$5:$B$8,2,FALSE),_xlfn.IFNA(VLOOKUP($AH165,_CONFIG_Model_Settings!$A$5:$B$8,2,FALSE),0.9)))</f>
        <v/>
      </c>
      <c r="AK165">
        <f>IF(OR($H165="",$H165="N/A"),"",IF($AI165="",VLOOKUP('Company Profile'!$B$41,_CONFIG_Model_Settings!$A$5:$B$8,2,FALSE),_xlfn.IFNA(VLOOKUP($AI165,_CONFIG_Model_Settings!$A$5:$B$8,2,FALSE),0.9)))</f>
        <v/>
      </c>
      <c r="AL165">
        <f>IF(OR($H165="",$H165="N/A"),"",ROUND(VALUE($H165)*$AJ165*$AK165*$AV165,2))</f>
        <v/>
      </c>
      <c r="AM165">
        <f>IF($AL165="","",ROUND($AL165/5*100,1))</f>
        <v/>
      </c>
      <c r="AN165">
        <f>IFERROR(MIN(5,MAX(0,(SUMIFS(_REF_Model_Content!$D$1:$D$157,_REF_Model_Content!$A$1:$A$157,'Company Profile'!$B$9,_REF_Model_Content!$B$1:$B$157,"Physical Safety"))+_xlfn.IFNA(VLOOKUP('Company Profile'!$B$35,_CONFIG_Model_Settings!$A$11:$B$13,2,0),0))),"")</f>
        <v/>
      </c>
      <c r="AO165">
        <f>IF($AL165="","",MAX(0,ROUND($AN165-$AL165,2)))</f>
        <v/>
      </c>
      <c r="AP165">
        <f>IFERROR(SUMIFS(_REF_Model_Content!$E$1:$E$157,_REF_Model_Content!$A$1:$A$157,'Company Profile'!$B$9,_REF_Model_Content!$B$1:$B$157,"Physical Safety"),1)</f>
        <v/>
      </c>
      <c r="AQ165">
        <f>IF($AO165="","",ROUND($AO165*$AP165*($G165/5),2))</f>
        <v/>
      </c>
      <c r="AR165">
        <f>IF($AO165="","",IF($AO165&gt;=2,"Critical industry gap",IF($AO165&gt;=1,"High industry gap",IF($AO165&gt;=0.5,"Moderate industry gap","Within target"))))</f>
        <v/>
      </c>
      <c r="AS165">
        <f>IF(OR($H165="",$H165="N/A"),0,VALUE($H165)*(($AJ165+$AK165)/2)*$AV165)</f>
        <v/>
      </c>
      <c r="AT165">
        <f>IF(OR($H165="",$H165="N/A"),0,($AJ165+$AK165)/2)</f>
        <v/>
      </c>
      <c r="AU165">
        <f>'Assessment Questions'!AX165</f>
        <v/>
      </c>
      <c r="AV165">
        <f>IF(OR($H165="",$H165="N/A"),"",IF(OR($AU165="",$AU165="Everywhere",$AU165="Not applicable"),1,IF($AU165="Pilot / one team",0.4,IF($AU165="One unit or site",0.7,0.9))))</f>
        <v/>
      </c>
      <c r="AW165" t="inlineStr">
        <is>
          <t>Physical Safety</t>
        </is>
      </c>
      <c r="AX165" t="inlineStr">
        <is>
          <t>Physical Safety</t>
        </is>
      </c>
      <c r="AY165" t="n">
        <v>25</v>
      </c>
      <c r="AZ165" t="n">
        <v>165</v>
      </c>
    </row>
    <row r="166">
      <c r="A166" t="inlineStr">
        <is>
          <t>PHYS-022</t>
        </is>
      </c>
      <c r="B166" t="inlineStr">
        <is>
          <t>Security and travel</t>
        </is>
      </c>
      <c r="C166" t="inlineStr">
        <is>
          <t>How mature is the organization in managing local threat monitoring for critical sites and geographies, including ownership, evidence, metrics, fallback procedures and crisis stress testing?</t>
        </is>
      </c>
      <c r="D166" t="inlineStr">
        <is>
          <t>This topic affects exposure to Safety incident; Physical site loss; War/security crisis; Natural disaster. It helps identify how disruption may impact operations, people, revenue, systems, legal exposure or recovery time.</t>
        </is>
      </c>
      <c r="E166" t="inlineStr">
        <is>
          <t>ISO 45001; ISO 22320; ISO 31030; ISO 18788; ISO 22301; NFPA; local OH&amp;S rules</t>
        </is>
      </c>
      <c r="F166" t="inlineStr">
        <is>
          <t>Policy/SOP; owner/RACI; system report; dashboard; contracts; test records; incident history; interview evidence related to local threat monitoring for critical sites and geographies.</t>
        </is>
      </c>
      <c r="G166">
        <f>'Assessment Questions'!J166</f>
        <v/>
      </c>
      <c r="H166">
        <f>IF($Z166="","",IF($Z166="N/A","N/A",VALUE(LEFT($Z166,1))))</f>
        <v/>
      </c>
      <c r="I166">
        <f>IF($H166="","",IF($H166="N/A","",VALUE($H166)/5*$G166))</f>
        <v/>
      </c>
      <c r="J166">
        <f>IF(OR($H166="",$H166="N/A"),"",$G166)</f>
        <v/>
      </c>
      <c r="K166">
        <f>IF(OR($H166="",$H166="N/A"),"",$J166-$I166)</f>
        <v/>
      </c>
      <c r="L166">
        <f>IF($H166="","",IF($H166="N/A","N/A",IF(VALUE($H166)&lt;=1,"Critical",IF(VALUE($H166)&lt;=2,"High",IF(VALUE($H166)&lt;=3,"Medium",IF(VALUE($H166)&lt;=4,"Low","Resilient"))))))</f>
        <v/>
      </c>
      <c r="M166" t="inlineStr">
        <is>
          <t>Nothing is monitored or measured.</t>
        </is>
      </c>
      <c r="N166" t="inlineStr">
        <is>
          <t>Occasional manual checks by individuals.</t>
        </is>
      </c>
      <c r="O166" t="inlineStr">
        <is>
          <t>Some metrics exist but are not reviewed regularly and trigger no action.</t>
        </is>
      </c>
      <c r="P166" t="inlineStr">
        <is>
          <t>Defined metrics with an owner, reviewed on a set cadence.</t>
        </is>
      </c>
      <c r="Q166" t="inlineStr">
        <is>
          <t>Thresholds and alerts in place; deviations trigger documented action; trends analyzed.</t>
        </is>
      </c>
      <c r="R166" t="inlineStr">
        <is>
          <t>Automated monitoring with leading indicators, integrated into management decisions.</t>
        </is>
      </c>
      <c r="S166" t="inlineStr">
        <is>
          <t>Safety incident; Physical site loss; War/security crisis; Natural disaster</t>
        </is>
      </c>
      <c r="T166">
        <f>'Assessment Questions'!W166</f>
        <v/>
      </c>
      <c r="U166">
        <f>'Assessment Questions'!X166</f>
        <v/>
      </c>
      <c r="V166">
        <f>'Assessment Questions'!Y166</f>
        <v/>
      </c>
      <c r="W166" t="n">
        <v>4</v>
      </c>
      <c r="X166" t="n">
        <v>5</v>
      </c>
      <c r="Y166" t="n">
        <v>5</v>
      </c>
      <c r="Z166">
        <f>'Assessment Questions'!AC166</f>
        <v/>
      </c>
      <c r="AB166">
        <f>COUNTIF($B$145:$B$175,$AA166)</f>
        <v/>
      </c>
      <c r="AC166">
        <f>IFERROR(SUMPRODUCT(($B$145:$B$175=$AA166)*($H$145:$H$175&lt;&gt;"")*($H$145:$H$175&lt;&gt;"N/A")*IFERROR(VALUE($H$145:$H$175),0))/SUMPRODUCT(($B$145:$B$175=$AA166)*($H$145:$H$175&lt;&gt;"")*($H$145:$H$175&lt;&gt;"N/A")),0)</f>
        <v/>
      </c>
      <c r="AD166">
        <f>AC166/5</f>
        <v/>
      </c>
      <c r="AE166">
        <f>COUNTIFS($B$145:$B$175,$AA166,$L$145:$L$175,"Critical")+COUNTIFS($B$145:$B$175,$AA166,$L$145:$L$175,"High")</f>
        <v/>
      </c>
      <c r="AF166">
        <f>5-AC166</f>
        <v/>
      </c>
      <c r="AG166">
        <f>SUMPRODUCT(($B$145:$B$175=$AA166)*(ISNUMBER($H$145:$H$175)+($H$145:$H$175="N/A")))</f>
        <v/>
      </c>
      <c r="AH166">
        <f>'Assessment Questions'!AK166</f>
        <v/>
      </c>
      <c r="AI166">
        <f>'Assessment Questions'!AL166</f>
        <v/>
      </c>
      <c r="AJ166">
        <f>IF(OR($H166="",$H166="N/A"),"",IF($AH166="",VLOOKUP('Company Profile'!$B$40,_CONFIG_Model_Settings!$A$5:$B$8,2,FALSE),_xlfn.IFNA(VLOOKUP($AH166,_CONFIG_Model_Settings!$A$5:$B$8,2,FALSE),0.9)))</f>
        <v/>
      </c>
      <c r="AK166">
        <f>IF(OR($H166="",$H166="N/A"),"",IF($AI166="",VLOOKUP('Company Profile'!$B$41,_CONFIG_Model_Settings!$A$5:$B$8,2,FALSE),_xlfn.IFNA(VLOOKUP($AI166,_CONFIG_Model_Settings!$A$5:$B$8,2,FALSE),0.9)))</f>
        <v/>
      </c>
      <c r="AL166">
        <f>IF(OR($H166="",$H166="N/A"),"",ROUND(VALUE($H166)*$AJ166*$AK166*$AV166,2))</f>
        <v/>
      </c>
      <c r="AM166">
        <f>IF($AL166="","",ROUND($AL166/5*100,1))</f>
        <v/>
      </c>
      <c r="AN166">
        <f>IFERROR(MIN(5,MAX(0,(SUMIFS(_REF_Model_Content!$D$1:$D$157,_REF_Model_Content!$A$1:$A$157,'Company Profile'!$B$9,_REF_Model_Content!$B$1:$B$157,"Physical Safety"))+_xlfn.IFNA(VLOOKUP('Company Profile'!$B$35,_CONFIG_Model_Settings!$A$11:$B$13,2,0),0))),"")</f>
        <v/>
      </c>
      <c r="AO166">
        <f>IF($AL166="","",MAX(0,ROUND($AN166-$AL166,2)))</f>
        <v/>
      </c>
      <c r="AP166">
        <f>IFERROR(SUMIFS(_REF_Model_Content!$E$1:$E$157,_REF_Model_Content!$A$1:$A$157,'Company Profile'!$B$9,_REF_Model_Content!$B$1:$B$157,"Physical Safety"),1)</f>
        <v/>
      </c>
      <c r="AQ166">
        <f>IF($AO166="","",ROUND($AO166*$AP166*($G166/5),2))</f>
        <v/>
      </c>
      <c r="AR166">
        <f>IF($AO166="","",IF($AO166&gt;=2,"Critical industry gap",IF($AO166&gt;=1,"High industry gap",IF($AO166&gt;=0.5,"Moderate industry gap","Within target"))))</f>
        <v/>
      </c>
      <c r="AS166">
        <f>IF(OR($H166="",$H166="N/A"),0,VALUE($H166)*(($AJ166+$AK166)/2)*$AV166)</f>
        <v/>
      </c>
      <c r="AT166">
        <f>IF(OR($H166="",$H166="N/A"),0,($AJ166+$AK166)/2)</f>
        <v/>
      </c>
      <c r="AU166">
        <f>'Assessment Questions'!AX166</f>
        <v/>
      </c>
      <c r="AV166">
        <f>IF(OR($H166="",$H166="N/A"),"",IF(OR($AU166="",$AU166="Everywhere",$AU166="Not applicable"),1,IF($AU166="Pilot / one team",0.4,IF($AU166="One unit or site",0.7,0.9))))</f>
        <v/>
      </c>
      <c r="AW166" t="inlineStr">
        <is>
          <t>Physical Safety</t>
        </is>
      </c>
      <c r="AX166" t="inlineStr">
        <is>
          <t>Physical Safety</t>
        </is>
      </c>
      <c r="AY166" t="n">
        <v>26</v>
      </c>
      <c r="AZ166" t="n">
        <v>166</v>
      </c>
    </row>
    <row r="167">
      <c r="A167" t="inlineStr">
        <is>
          <t>PHYS-023</t>
        </is>
      </c>
      <c r="B167" t="inlineStr">
        <is>
          <t>Security and travel</t>
        </is>
      </c>
      <c r="C167" t="inlineStr">
        <is>
          <t>How mature is the organization in managing coordination with fire, police, medical, local administration and utility providers, including ownership, evidence, metrics, fallback procedures and crisis stress testing?</t>
        </is>
      </c>
      <c r="D167" t="inlineStr">
        <is>
          <t>This topic affects exposure to Safety incident; Physical site loss; War/security crisis; Natural disaster. It helps identify how disruption may impact operations, people, revenue, systems, legal exposure or recovery time.</t>
        </is>
      </c>
      <c r="E167" t="inlineStr">
        <is>
          <t>ISO 45001; ISO 22320; ISO 31030; ISO 18788; ISO 22301; NFPA; local OH&amp;S rules</t>
        </is>
      </c>
      <c r="F167" t="inlineStr">
        <is>
          <t>Policy/SOP; owner/RACI; system report; dashboard; contracts; test records; incident history; interview evidence related to coordination with fire, police, medical, local administration and utility providers.</t>
        </is>
      </c>
      <c r="G167">
        <f>'Assessment Questions'!J167</f>
        <v/>
      </c>
      <c r="H167">
        <f>IF($Z167="","",IF($Z167="N/A","N/A",VALUE(LEFT($Z167,1))))</f>
        <v/>
      </c>
      <c r="I167">
        <f>IF($H167="","",IF($H167="N/A","",VALUE($H167)/5*$G167))</f>
        <v/>
      </c>
      <c r="J167">
        <f>IF(OR($H167="",$H167="N/A"),"",$G167)</f>
        <v/>
      </c>
      <c r="K167">
        <f>IF(OR($H167="",$H167="N/A"),"",$J167-$I167)</f>
        <v/>
      </c>
      <c r="L167">
        <f>IF($H167="","",IF($H167="N/A","N/A",IF(VALUE($H167)&lt;=1,"Critical",IF(VALUE($H167)&lt;=2,"High",IF(VALUE($H167)&lt;=3,"Medium",IF(VALUE($H167)&lt;=4,"Low","Resilient"))))))</f>
        <v/>
      </c>
      <c r="M167" t="inlineStr">
        <is>
          <t>No reliable evidence that coordination with fire, police, medical, local administration and utility providers is defined, owned or managed.</t>
        </is>
      </c>
      <c r="N167" t="inlineStr">
        <is>
          <t>Coordination with fire, police, medical, local administration and utility providers is handled informally and depends on individual knowledge or heroic effort.</t>
        </is>
      </c>
      <c r="O167" t="inlineStr">
        <is>
          <t>Coordination with fire, police, medical, local administration and utility providers is partially documented or implemented, but coverage is inconsistent and not crisis-tested.</t>
        </is>
      </c>
      <c r="P167" t="inlineStr">
        <is>
          <t>Coordination with fire, police, medical, local administration and utility providers is documented, owned, used in normal operations and supported by basic evidence or metrics.</t>
        </is>
      </c>
      <c r="Q167" t="inlineStr">
        <is>
          <t>Coordination with fire, police, medical, local administration and utility providers is measured, periodically reviewed, integrated with related processes and tested against relevant disruption scenarios.</t>
        </is>
      </c>
      <c r="R167" t="inlineStr">
        <is>
          <t>Coordination with fire, police, medical, local administration and utility providers is optimized, continuously improved, automated where practical and demonstrably supports crisis resilience.</t>
        </is>
      </c>
      <c r="S167" t="inlineStr">
        <is>
          <t>Safety incident; Physical site loss; War/security crisis; Natural disaster</t>
        </is>
      </c>
      <c r="T167">
        <f>'Assessment Questions'!W167</f>
        <v/>
      </c>
      <c r="U167">
        <f>'Assessment Questions'!X167</f>
        <v/>
      </c>
      <c r="V167">
        <f>'Assessment Questions'!Y167</f>
        <v/>
      </c>
      <c r="W167" t="n">
        <v>4</v>
      </c>
      <c r="X167" t="n">
        <v>5</v>
      </c>
      <c r="Y167" t="n">
        <v>5</v>
      </c>
      <c r="Z167">
        <f>'Assessment Questions'!AC167</f>
        <v/>
      </c>
      <c r="AB167">
        <f>COUNTIF($B$145:$B$175,$AA167)</f>
        <v/>
      </c>
      <c r="AC167">
        <f>IFERROR(SUMPRODUCT(($B$145:$B$175=$AA167)*($H$145:$H$175&lt;&gt;"")*($H$145:$H$175&lt;&gt;"N/A")*IFERROR(VALUE($H$145:$H$175),0))/SUMPRODUCT(($B$145:$B$175=$AA167)*($H$145:$H$175&lt;&gt;"")*($H$145:$H$175&lt;&gt;"N/A")),0)</f>
        <v/>
      </c>
      <c r="AD167">
        <f>AC167/5</f>
        <v/>
      </c>
      <c r="AE167">
        <f>COUNTIFS($B$145:$B$175,$AA167,$L$145:$L$175,"Critical")+COUNTIFS($B$145:$B$175,$AA167,$L$145:$L$175,"High")</f>
        <v/>
      </c>
      <c r="AF167">
        <f>5-AC167</f>
        <v/>
      </c>
      <c r="AG167">
        <f>SUMPRODUCT(($B$145:$B$175=$AA167)*(ISNUMBER($H$145:$H$175)+($H$145:$H$175="N/A")))</f>
        <v/>
      </c>
      <c r="AH167">
        <f>'Assessment Questions'!AK167</f>
        <v/>
      </c>
      <c r="AI167">
        <f>'Assessment Questions'!AL167</f>
        <v/>
      </c>
      <c r="AJ167">
        <f>IF(OR($H167="",$H167="N/A"),"",IF($AH167="",VLOOKUP('Company Profile'!$B$40,_CONFIG_Model_Settings!$A$5:$B$8,2,FALSE),_xlfn.IFNA(VLOOKUP($AH167,_CONFIG_Model_Settings!$A$5:$B$8,2,FALSE),0.9)))</f>
        <v/>
      </c>
      <c r="AK167">
        <f>IF(OR($H167="",$H167="N/A"),"",IF($AI167="",VLOOKUP('Company Profile'!$B$41,_CONFIG_Model_Settings!$A$5:$B$8,2,FALSE),_xlfn.IFNA(VLOOKUP($AI167,_CONFIG_Model_Settings!$A$5:$B$8,2,FALSE),0.9)))</f>
        <v/>
      </c>
      <c r="AL167">
        <f>IF(OR($H167="",$H167="N/A"),"",ROUND(VALUE($H167)*$AJ167*$AK167*$AV167,2))</f>
        <v/>
      </c>
      <c r="AM167">
        <f>IF($AL167="","",ROUND($AL167/5*100,1))</f>
        <v/>
      </c>
      <c r="AN167">
        <f>IFERROR(MIN(5,MAX(0,(SUMIFS(_REF_Model_Content!$D$1:$D$157,_REF_Model_Content!$A$1:$A$157,'Company Profile'!$B$9,_REF_Model_Content!$B$1:$B$157,"Physical Safety"))+_xlfn.IFNA(VLOOKUP('Company Profile'!$B$35,_CONFIG_Model_Settings!$A$11:$B$13,2,0),0))),"")</f>
        <v/>
      </c>
      <c r="AO167">
        <f>IF($AL167="","",MAX(0,ROUND($AN167-$AL167,2)))</f>
        <v/>
      </c>
      <c r="AP167">
        <f>IFERROR(SUMIFS(_REF_Model_Content!$E$1:$E$157,_REF_Model_Content!$A$1:$A$157,'Company Profile'!$B$9,_REF_Model_Content!$B$1:$B$157,"Physical Safety"),1)</f>
        <v/>
      </c>
      <c r="AQ167">
        <f>IF($AO167="","",ROUND($AO167*$AP167*($G167/5),2))</f>
        <v/>
      </c>
      <c r="AR167">
        <f>IF($AO167="","",IF($AO167&gt;=2,"Critical industry gap",IF($AO167&gt;=1,"High industry gap",IF($AO167&gt;=0.5,"Moderate industry gap","Within target"))))</f>
        <v/>
      </c>
      <c r="AS167">
        <f>IF(OR($H167="",$H167="N/A"),0,VALUE($H167)*(($AJ167+$AK167)/2)*$AV167)</f>
        <v/>
      </c>
      <c r="AT167">
        <f>IF(OR($H167="",$H167="N/A"),0,($AJ167+$AK167)/2)</f>
        <v/>
      </c>
      <c r="AU167">
        <f>'Assessment Questions'!AX167</f>
        <v/>
      </c>
      <c r="AV167">
        <f>IF(OR($H167="",$H167="N/A"),"",IF(OR($AU167="",$AU167="Everywhere",$AU167="Not applicable"),1,IF($AU167="Pilot / one team",0.4,IF($AU167="One unit or site",0.7,0.9))))</f>
        <v/>
      </c>
      <c r="AW167" t="inlineStr">
        <is>
          <t>Physical Safety</t>
        </is>
      </c>
      <c r="AX167" t="inlineStr">
        <is>
          <t>Physical Safety</t>
        </is>
      </c>
      <c r="AY167" t="n">
        <v>27</v>
      </c>
      <c r="AZ167" t="n">
        <v>167</v>
      </c>
    </row>
    <row r="168">
      <c r="A168" t="inlineStr">
        <is>
          <t>PHYS-024</t>
        </is>
      </c>
      <c r="B168" t="inlineStr">
        <is>
          <t>Utilities and resilience</t>
        </is>
      </c>
      <c r="C168" t="inlineStr">
        <is>
          <t>How mature is the organization in managing backup power for critical sites with capacity, maintenance, fuel and test records, including ownership, evidence, metrics, fallback procedures and crisis stress testing?</t>
        </is>
      </c>
      <c r="D168" t="inlineStr">
        <is>
          <t>This topic affects exposure to Safety incident; Physical site loss; War/security crisis; Natural disaster. It helps identify how disruption may impact operations, people, revenue, systems, legal exposure or recovery time.</t>
        </is>
      </c>
      <c r="E168" t="inlineStr">
        <is>
          <t>ISO 45001; ISO 22320; ISO 31030; ISO 18788; ISO 22301; NFPA; local OH&amp;S rules</t>
        </is>
      </c>
      <c r="F168" t="inlineStr">
        <is>
          <t>Policy/SOP; owner/RACI; system report; dashboard; contracts; test records; incident history; interview evidence related to backup power for critical sites with capacity, maintenance, fuel and test records.</t>
        </is>
      </c>
      <c r="G168">
        <f>'Assessment Questions'!J168</f>
        <v/>
      </c>
      <c r="H168">
        <f>IF($Z168="","",IF($Z168="N/A","N/A",VALUE(LEFT($Z168,1))))</f>
        <v/>
      </c>
      <c r="I168">
        <f>IF($H168="","",IF($H168="N/A","",VALUE($H168)/5*$G168))</f>
        <v/>
      </c>
      <c r="J168">
        <f>IF(OR($H168="",$H168="N/A"),"",$G168)</f>
        <v/>
      </c>
      <c r="K168">
        <f>IF(OR($H168="",$H168="N/A"),"",$J168-$I168)</f>
        <v/>
      </c>
      <c r="L168">
        <f>IF($H168="","",IF($H168="N/A","N/A",IF(VALUE($H168)&lt;=1,"Critical",IF(VALUE($H168)&lt;=2,"High",IF(VALUE($H168)&lt;=3,"Medium",IF(VALUE($H168)&lt;=4,"Low","Resilient"))))))</f>
        <v/>
      </c>
      <c r="M168" t="inlineStr">
        <is>
          <t>Never done; no records exist.</t>
        </is>
      </c>
      <c r="N168" t="inlineStr">
        <is>
          <t>Done once long ago or only after an incident; no schedule, no records.</t>
        </is>
      </c>
      <c r="O168" t="inlineStr">
        <is>
          <t>Done irregularly; results are not documented and findings are not tracked.</t>
        </is>
      </c>
      <c r="P168" t="inlineStr">
        <is>
          <t>Done on a defined schedule (at least annually); results documented, owner assigned.</t>
        </is>
      </c>
      <c r="Q168" t="inlineStr">
        <is>
          <t>Done quarterly/semi-annually; findings tracked to closure, effectiveness measured against targets.</t>
        </is>
      </c>
      <c r="R168" t="inlineStr">
        <is>
          <t>Continuous or automated where possible; results drive improvements and are validated externally (audit/customer).</t>
        </is>
      </c>
      <c r="S168" t="inlineStr">
        <is>
          <t>Safety incident; Physical site loss; War/security crisis; Natural disaster</t>
        </is>
      </c>
      <c r="T168">
        <f>'Assessment Questions'!W168</f>
        <v/>
      </c>
      <c r="U168">
        <f>'Assessment Questions'!X168</f>
        <v/>
      </c>
      <c r="V168">
        <f>'Assessment Questions'!Y168</f>
        <v/>
      </c>
      <c r="W168" t="n">
        <v>5</v>
      </c>
      <c r="X168" t="n">
        <v>5</v>
      </c>
      <c r="Y168" t="n">
        <v>5</v>
      </c>
      <c r="Z168">
        <f>'Assessment Questions'!AC168</f>
        <v/>
      </c>
      <c r="AB168">
        <f>COUNTIF($B$145:$B$175,$AA168)</f>
        <v/>
      </c>
      <c r="AC168">
        <f>IFERROR(SUMPRODUCT(($B$145:$B$175=$AA168)*($H$145:$H$175&lt;&gt;"")*($H$145:$H$175&lt;&gt;"N/A")*IFERROR(VALUE($H$145:$H$175),0))/SUMPRODUCT(($B$145:$B$175=$AA168)*($H$145:$H$175&lt;&gt;"")*($H$145:$H$175&lt;&gt;"N/A")),0)</f>
        <v/>
      </c>
      <c r="AD168">
        <f>AC168/5</f>
        <v/>
      </c>
      <c r="AE168">
        <f>COUNTIFS($B$145:$B$175,$AA168,$L$145:$L$175,"Critical")+COUNTIFS($B$145:$B$175,$AA168,$L$145:$L$175,"High")</f>
        <v/>
      </c>
      <c r="AF168">
        <f>5-AC168</f>
        <v/>
      </c>
      <c r="AG168">
        <f>SUMPRODUCT(($B$145:$B$175=$AA168)*(ISNUMBER($H$145:$H$175)+($H$145:$H$175="N/A")))</f>
        <v/>
      </c>
      <c r="AH168">
        <f>'Assessment Questions'!AK168</f>
        <v/>
      </c>
      <c r="AI168">
        <f>'Assessment Questions'!AL168</f>
        <v/>
      </c>
      <c r="AJ168">
        <f>IF(OR($H168="",$H168="N/A"),"",IF($AH168="",VLOOKUP('Company Profile'!$B$40,_CONFIG_Model_Settings!$A$5:$B$8,2,FALSE),_xlfn.IFNA(VLOOKUP($AH168,_CONFIG_Model_Settings!$A$5:$B$8,2,FALSE),0.9)))</f>
        <v/>
      </c>
      <c r="AK168">
        <f>IF(OR($H168="",$H168="N/A"),"",IF($AI168="",VLOOKUP('Company Profile'!$B$41,_CONFIG_Model_Settings!$A$5:$B$8,2,FALSE),_xlfn.IFNA(VLOOKUP($AI168,_CONFIG_Model_Settings!$A$5:$B$8,2,FALSE),0.9)))</f>
        <v/>
      </c>
      <c r="AL168">
        <f>IF(OR($H168="",$H168="N/A"),"",ROUND(VALUE($H168)*$AJ168*$AK168*$AV168,2))</f>
        <v/>
      </c>
      <c r="AM168">
        <f>IF($AL168="","",ROUND($AL168/5*100,1))</f>
        <v/>
      </c>
      <c r="AN168">
        <f>IFERROR(MIN(5,MAX(0,(SUMIFS(_REF_Model_Content!$D$1:$D$157,_REF_Model_Content!$A$1:$A$157,'Company Profile'!$B$9,_REF_Model_Content!$B$1:$B$157,"Physical Safety"))+_xlfn.IFNA(VLOOKUP('Company Profile'!$B$35,_CONFIG_Model_Settings!$A$11:$B$13,2,0),0))),"")</f>
        <v/>
      </c>
      <c r="AO168">
        <f>IF($AL168="","",MAX(0,ROUND($AN168-$AL168,2)))</f>
        <v/>
      </c>
      <c r="AP168">
        <f>IFERROR(SUMIFS(_REF_Model_Content!$E$1:$E$157,_REF_Model_Content!$A$1:$A$157,'Company Profile'!$B$9,_REF_Model_Content!$B$1:$B$157,"Physical Safety"),1)</f>
        <v/>
      </c>
      <c r="AQ168">
        <f>IF($AO168="","",ROUND($AO168*$AP168*($G168/5),2))</f>
        <v/>
      </c>
      <c r="AR168">
        <f>IF($AO168="","",IF($AO168&gt;=2,"Critical industry gap",IF($AO168&gt;=1,"High industry gap",IF($AO168&gt;=0.5,"Moderate industry gap","Within target"))))</f>
        <v/>
      </c>
      <c r="AS168">
        <f>IF(OR($H168="",$H168="N/A"),0,VALUE($H168)*(($AJ168+$AK168)/2)*$AV168)</f>
        <v/>
      </c>
      <c r="AT168">
        <f>IF(OR($H168="",$H168="N/A"),0,($AJ168+$AK168)/2)</f>
        <v/>
      </c>
      <c r="AU168">
        <f>'Assessment Questions'!AX168</f>
        <v/>
      </c>
      <c r="AV168">
        <f>IF(OR($H168="",$H168="N/A"),"",IF(OR($AU168="",$AU168="Everywhere",$AU168="Not applicable"),1,IF($AU168="Pilot / one team",0.4,IF($AU168="One unit or site",0.7,0.9))))</f>
        <v/>
      </c>
      <c r="AW168" t="inlineStr">
        <is>
          <t>Physical Safety</t>
        </is>
      </c>
      <c r="AX168" t="inlineStr">
        <is>
          <t>Physical Safety</t>
        </is>
      </c>
      <c r="AY168" t="n">
        <v>28</v>
      </c>
      <c r="AZ168" t="n">
        <v>168</v>
      </c>
    </row>
    <row r="169">
      <c r="A169" t="inlineStr">
        <is>
          <t>PHYS-025</t>
        </is>
      </c>
      <c r="B169" t="inlineStr">
        <is>
          <t>Utilities and resilience</t>
        </is>
      </c>
      <c r="C169" t="inlineStr">
        <is>
          <t>How mature is the organization in managing water, sanitation, HVAC and environmental controls in facility continuity plans, including ownership, evidence, metrics, fallback procedures and crisis stress testing?</t>
        </is>
      </c>
      <c r="D169" t="inlineStr">
        <is>
          <t>This topic affects exposure to Safety incident; Physical site loss; War/security crisis; Natural disaster. It helps identify how disruption may impact operations, people, revenue, systems, legal exposure or recovery time.</t>
        </is>
      </c>
      <c r="E169" t="inlineStr">
        <is>
          <t>ISO 45001; ISO 22320; ISO 31030; ISO 18788; ISO 22301; NFPA; local OH&amp;S rules</t>
        </is>
      </c>
      <c r="F169" t="inlineStr">
        <is>
          <t>Policy/SOP; owner/RACI; system report; dashboard; contracts; test records; incident history; interview evidence related to water, sanitation, HVAC and environmental controls in facility continuity plans.</t>
        </is>
      </c>
      <c r="G169">
        <f>'Assessment Questions'!J169</f>
        <v/>
      </c>
      <c r="H169">
        <f>IF($Z169="","",IF($Z169="N/A","N/A",VALUE(LEFT($Z169,1))))</f>
        <v/>
      </c>
      <c r="I169">
        <f>IF($H169="","",IF($H169="N/A","",VALUE($H169)/5*$G169))</f>
        <v/>
      </c>
      <c r="J169">
        <f>IF(OR($H169="",$H169="N/A"),"",$G169)</f>
        <v/>
      </c>
      <c r="K169">
        <f>IF(OR($H169="",$H169="N/A"),"",$J169-$I169)</f>
        <v/>
      </c>
      <c r="L169">
        <f>IF($H169="","",IF($H169="N/A","N/A",IF(VALUE($H169)&lt;=1,"Critical",IF(VALUE($H169)&lt;=2,"High",IF(VALUE($H169)&lt;=3,"Medium",IF(VALUE($H169)&lt;=4,"Low","Resilient"))))))</f>
        <v/>
      </c>
      <c r="M169" t="inlineStr">
        <is>
          <t>No plan or procedure exists.</t>
        </is>
      </c>
      <c r="N169" t="inlineStr">
        <is>
          <t>Knowledge lives with individuals; nothing usable is written down.</t>
        </is>
      </c>
      <c r="O169" t="inlineStr">
        <is>
          <t>Drafted but outdated, not approved, or unknown to the people who must use it.</t>
        </is>
      </c>
      <c r="P169" t="inlineStr">
        <is>
          <t>Approved and current; owners assigned; affected staff know it exists and where to find it.</t>
        </is>
      </c>
      <c r="Q169" t="inlineStr">
        <is>
          <t>Tested against realistic scenarios; updated after each test or real incident.</t>
        </is>
      </c>
      <c r="R169" t="inlineStr">
        <is>
          <t>Exercised regularly including external parties; readiness measured; continuously improved.</t>
        </is>
      </c>
      <c r="S169" t="inlineStr">
        <is>
          <t>Safety incident; Physical site loss; War/security crisis; Natural disaster</t>
        </is>
      </c>
      <c r="T169">
        <f>'Assessment Questions'!W169</f>
        <v/>
      </c>
      <c r="U169">
        <f>'Assessment Questions'!X169</f>
        <v/>
      </c>
      <c r="V169">
        <f>'Assessment Questions'!Y169</f>
        <v/>
      </c>
      <c r="W169" t="n">
        <v>4</v>
      </c>
      <c r="X169" t="n">
        <v>5</v>
      </c>
      <c r="Y169" t="n">
        <v>5</v>
      </c>
      <c r="Z169">
        <f>'Assessment Questions'!AC169</f>
        <v/>
      </c>
      <c r="AB169">
        <f>COUNTIF($B$145:$B$175,$AA169)</f>
        <v/>
      </c>
      <c r="AC169">
        <f>IFERROR(SUMPRODUCT(($B$145:$B$175=$AA169)*($H$145:$H$175&lt;&gt;"")*($H$145:$H$175&lt;&gt;"N/A")*IFERROR(VALUE($H$145:$H$175),0))/SUMPRODUCT(($B$145:$B$175=$AA169)*($H$145:$H$175&lt;&gt;"")*($H$145:$H$175&lt;&gt;"N/A")),0)</f>
        <v/>
      </c>
      <c r="AD169">
        <f>AC169/5</f>
        <v/>
      </c>
      <c r="AE169">
        <f>COUNTIFS($B$145:$B$175,$AA169,$L$145:$L$175,"Critical")+COUNTIFS($B$145:$B$175,$AA169,$L$145:$L$175,"High")</f>
        <v/>
      </c>
      <c r="AF169">
        <f>5-AC169</f>
        <v/>
      </c>
      <c r="AG169">
        <f>SUMPRODUCT(($B$145:$B$175=$AA169)*(ISNUMBER($H$145:$H$175)+($H$145:$H$175="N/A")))</f>
        <v/>
      </c>
      <c r="AH169">
        <f>'Assessment Questions'!AK169</f>
        <v/>
      </c>
      <c r="AI169">
        <f>'Assessment Questions'!AL169</f>
        <v/>
      </c>
      <c r="AJ169">
        <f>IF(OR($H169="",$H169="N/A"),"",IF($AH169="",VLOOKUP('Company Profile'!$B$40,_CONFIG_Model_Settings!$A$5:$B$8,2,FALSE),_xlfn.IFNA(VLOOKUP($AH169,_CONFIG_Model_Settings!$A$5:$B$8,2,FALSE),0.9)))</f>
        <v/>
      </c>
      <c r="AK169">
        <f>IF(OR($H169="",$H169="N/A"),"",IF($AI169="",VLOOKUP('Company Profile'!$B$41,_CONFIG_Model_Settings!$A$5:$B$8,2,FALSE),_xlfn.IFNA(VLOOKUP($AI169,_CONFIG_Model_Settings!$A$5:$B$8,2,FALSE),0.9)))</f>
        <v/>
      </c>
      <c r="AL169">
        <f>IF(OR($H169="",$H169="N/A"),"",ROUND(VALUE($H169)*$AJ169*$AK169*$AV169,2))</f>
        <v/>
      </c>
      <c r="AM169">
        <f>IF($AL169="","",ROUND($AL169/5*100,1))</f>
        <v/>
      </c>
      <c r="AN169">
        <f>IFERROR(MIN(5,MAX(0,(SUMIFS(_REF_Model_Content!$D$1:$D$157,_REF_Model_Content!$A$1:$A$157,'Company Profile'!$B$9,_REF_Model_Content!$B$1:$B$157,"Physical Safety"))+_xlfn.IFNA(VLOOKUP('Company Profile'!$B$35,_CONFIG_Model_Settings!$A$11:$B$13,2,0),0))),"")</f>
        <v/>
      </c>
      <c r="AO169">
        <f>IF($AL169="","",MAX(0,ROUND($AN169-$AL169,2)))</f>
        <v/>
      </c>
      <c r="AP169">
        <f>IFERROR(SUMIFS(_REF_Model_Content!$E$1:$E$157,_REF_Model_Content!$A$1:$A$157,'Company Profile'!$B$9,_REF_Model_Content!$B$1:$B$157,"Physical Safety"),1)</f>
        <v/>
      </c>
      <c r="AQ169">
        <f>IF($AO169="","",ROUND($AO169*$AP169*($G169/5),2))</f>
        <v/>
      </c>
      <c r="AR169">
        <f>IF($AO169="","",IF($AO169&gt;=2,"Critical industry gap",IF($AO169&gt;=1,"High industry gap",IF($AO169&gt;=0.5,"Moderate industry gap","Within target"))))</f>
        <v/>
      </c>
      <c r="AS169">
        <f>IF(OR($H169="",$H169="N/A"),0,VALUE($H169)*(($AJ169+$AK169)/2)*$AV169)</f>
        <v/>
      </c>
      <c r="AT169">
        <f>IF(OR($H169="",$H169="N/A"),0,($AJ169+$AK169)/2)</f>
        <v/>
      </c>
      <c r="AU169">
        <f>'Assessment Questions'!AX169</f>
        <v/>
      </c>
      <c r="AV169">
        <f>IF(OR($H169="",$H169="N/A"),"",IF(OR($AU169="",$AU169="Everywhere",$AU169="Not applicable"),1,IF($AU169="Pilot / one team",0.4,IF($AU169="One unit or site",0.7,0.9))))</f>
        <v/>
      </c>
      <c r="AW169" t="inlineStr">
        <is>
          <t>Physical Safety</t>
        </is>
      </c>
      <c r="AX169" t="inlineStr">
        <is>
          <t>Physical Safety</t>
        </is>
      </c>
      <c r="AY169" t="n">
        <v>29</v>
      </c>
      <c r="AZ169" t="n">
        <v>169</v>
      </c>
    </row>
    <row r="170">
      <c r="A170" t="inlineStr">
        <is>
          <t>PHYS-026</t>
        </is>
      </c>
      <c r="B170" t="inlineStr">
        <is>
          <t>Utilities and resilience</t>
        </is>
      </c>
      <c r="C170" t="inlineStr">
        <is>
          <t>How mature is the organization in managing backup internet and telecom connectivity at critical sites, including ownership, evidence, metrics, fallback procedures and crisis stress testing?</t>
        </is>
      </c>
      <c r="D170" t="inlineStr">
        <is>
          <t>This topic affects exposure to Safety incident; Physical site loss; War/security crisis; Natural disaster. It helps identify how disruption may impact operations, people, revenue, systems, legal exposure or recovery time.</t>
        </is>
      </c>
      <c r="E170" t="inlineStr">
        <is>
          <t>ISO 45001; ISO 22320; ISO 31030; ISO 18788; ISO 22301; NFPA; local OH&amp;S rules</t>
        </is>
      </c>
      <c r="F170" t="inlineStr">
        <is>
          <t>Policy/SOP; owner/RACI; system report; dashboard; contracts; test records; incident history; interview evidence related to backup internet and telecom connectivity at critical sites.</t>
        </is>
      </c>
      <c r="G170">
        <f>'Assessment Questions'!J170</f>
        <v/>
      </c>
      <c r="H170">
        <f>IF($Z170="","",IF($Z170="N/A","N/A",VALUE(LEFT($Z170,1))))</f>
        <v/>
      </c>
      <c r="I170">
        <f>IF($H170="","",IF($H170="N/A","",VALUE($H170)/5*$G170))</f>
        <v/>
      </c>
      <c r="J170">
        <f>IF(OR($H170="",$H170="N/A"),"",$G170)</f>
        <v/>
      </c>
      <c r="K170">
        <f>IF(OR($H170="",$H170="N/A"),"",$J170-$I170)</f>
        <v/>
      </c>
      <c r="L170">
        <f>IF($H170="","",IF($H170="N/A","N/A",IF(VALUE($H170)&lt;=1,"Critical",IF(VALUE($H170)&lt;=2,"High",IF(VALUE($H170)&lt;=3,"Medium",IF(VALUE($H170)&lt;=4,"Low","Resilient"))))))</f>
        <v/>
      </c>
      <c r="M170" t="inlineStr">
        <is>
          <t>Does not exist; no owner, no documentation, no practice.</t>
        </is>
      </c>
      <c r="N170" t="inlineStr">
        <is>
          <t>Ad hoc; depends entirely on specific individuals.</t>
        </is>
      </c>
      <c r="O170" t="inlineStr">
        <is>
          <t>Partially documented or implemented; coverage inconsistent; never tested under stress.</t>
        </is>
      </c>
      <c r="P170" t="inlineStr">
        <is>
          <t>Documented, owned, executed consistently; basic evidence and metrics exist.</t>
        </is>
      </c>
      <c r="Q170" t="inlineStr">
        <is>
          <t>Measured and periodically tested/audited; integrated with adjacent processes.</t>
        </is>
      </c>
      <c r="R170" t="inlineStr">
        <is>
          <t>Optimized and automated where practical; stress-tested; benchmarked externally.</t>
        </is>
      </c>
      <c r="S170" t="inlineStr">
        <is>
          <t>Safety incident; Physical site loss; War/security crisis; Natural disaster</t>
        </is>
      </c>
      <c r="T170">
        <f>'Assessment Questions'!W170</f>
        <v/>
      </c>
      <c r="U170">
        <f>'Assessment Questions'!X170</f>
        <v/>
      </c>
      <c r="V170">
        <f>'Assessment Questions'!Y170</f>
        <v/>
      </c>
      <c r="W170" t="n">
        <v>5</v>
      </c>
      <c r="X170" t="n">
        <v>5</v>
      </c>
      <c r="Y170" t="n">
        <v>5</v>
      </c>
      <c r="Z170">
        <f>'Assessment Questions'!AC170</f>
        <v/>
      </c>
      <c r="AB170">
        <f>COUNTIF($B$145:$B$175,$AA170)</f>
        <v/>
      </c>
      <c r="AC170">
        <f>IFERROR(SUMPRODUCT(($B$145:$B$175=$AA170)*($H$145:$H$175&lt;&gt;"")*($H$145:$H$175&lt;&gt;"N/A")*IFERROR(VALUE($H$145:$H$175),0))/SUMPRODUCT(($B$145:$B$175=$AA170)*($H$145:$H$175&lt;&gt;"")*($H$145:$H$175&lt;&gt;"N/A")),0)</f>
        <v/>
      </c>
      <c r="AD170">
        <f>AC170/5</f>
        <v/>
      </c>
      <c r="AE170">
        <f>COUNTIFS($B$145:$B$175,$AA170,$L$145:$L$175,"Critical")+COUNTIFS($B$145:$B$175,$AA170,$L$145:$L$175,"High")</f>
        <v/>
      </c>
      <c r="AF170">
        <f>5-AC170</f>
        <v/>
      </c>
      <c r="AG170">
        <f>SUMPRODUCT(($B$145:$B$175=$AA170)*(ISNUMBER($H$145:$H$175)+($H$145:$H$175="N/A")))</f>
        <v/>
      </c>
      <c r="AH170">
        <f>'Assessment Questions'!AK170</f>
        <v/>
      </c>
      <c r="AI170">
        <f>'Assessment Questions'!AL170</f>
        <v/>
      </c>
      <c r="AJ170">
        <f>IF(OR($H170="",$H170="N/A"),"",IF($AH170="",VLOOKUP('Company Profile'!$B$40,_CONFIG_Model_Settings!$A$5:$B$8,2,FALSE),_xlfn.IFNA(VLOOKUP($AH170,_CONFIG_Model_Settings!$A$5:$B$8,2,FALSE),0.9)))</f>
        <v/>
      </c>
      <c r="AK170">
        <f>IF(OR($H170="",$H170="N/A"),"",IF($AI170="",VLOOKUP('Company Profile'!$B$41,_CONFIG_Model_Settings!$A$5:$B$8,2,FALSE),_xlfn.IFNA(VLOOKUP($AI170,_CONFIG_Model_Settings!$A$5:$B$8,2,FALSE),0.9)))</f>
        <v/>
      </c>
      <c r="AL170">
        <f>IF(OR($H170="",$H170="N/A"),"",ROUND(VALUE($H170)*$AJ170*$AK170*$AV170,2))</f>
        <v/>
      </c>
      <c r="AM170">
        <f>IF($AL170="","",ROUND($AL170/5*100,1))</f>
        <v/>
      </c>
      <c r="AN170">
        <f>IFERROR(MIN(5,MAX(0,(SUMIFS(_REF_Model_Content!$D$1:$D$157,_REF_Model_Content!$A$1:$A$157,'Company Profile'!$B$9,_REF_Model_Content!$B$1:$B$157,"Physical Safety"))+_xlfn.IFNA(VLOOKUP('Company Profile'!$B$35,_CONFIG_Model_Settings!$A$11:$B$13,2,0),0))),"")</f>
        <v/>
      </c>
      <c r="AO170">
        <f>IF($AL170="","",MAX(0,ROUND($AN170-$AL170,2)))</f>
        <v/>
      </c>
      <c r="AP170">
        <f>IFERROR(SUMIFS(_REF_Model_Content!$E$1:$E$157,_REF_Model_Content!$A$1:$A$157,'Company Profile'!$B$9,_REF_Model_Content!$B$1:$B$157,"Physical Safety"),1)</f>
        <v/>
      </c>
      <c r="AQ170">
        <f>IF($AO170="","",ROUND($AO170*$AP170*($G170/5),2))</f>
        <v/>
      </c>
      <c r="AR170">
        <f>IF($AO170="","",IF($AO170&gt;=2,"Critical industry gap",IF($AO170&gt;=1,"High industry gap",IF($AO170&gt;=0.5,"Moderate industry gap","Within target"))))</f>
        <v/>
      </c>
      <c r="AS170">
        <f>IF(OR($H170="",$H170="N/A"),0,VALUE($H170)*(($AJ170+$AK170)/2)*$AV170)</f>
        <v/>
      </c>
      <c r="AT170">
        <f>IF(OR($H170="",$H170="N/A"),0,($AJ170+$AK170)/2)</f>
        <v/>
      </c>
      <c r="AU170">
        <f>'Assessment Questions'!AX170</f>
        <v/>
      </c>
      <c r="AV170">
        <f>IF(OR($H170="",$H170="N/A"),"",IF(OR($AU170="",$AU170="Everywhere",$AU170="Not applicable"),1,IF($AU170="Pilot / one team",0.4,IF($AU170="One unit or site",0.7,0.9))))</f>
        <v/>
      </c>
      <c r="AW170" t="inlineStr">
        <is>
          <t>Physical Safety</t>
        </is>
      </c>
      <c r="AX170" t="inlineStr">
        <is>
          <t>Physical Safety</t>
        </is>
      </c>
      <c r="AY170" t="n">
        <v>30</v>
      </c>
      <c r="AZ170" t="n">
        <v>170</v>
      </c>
    </row>
    <row r="171">
      <c r="A171" t="inlineStr">
        <is>
          <t>PHYS-027</t>
        </is>
      </c>
      <c r="B171" t="inlineStr">
        <is>
          <t>Utilities and resilience</t>
        </is>
      </c>
      <c r="C171" t="inlineStr">
        <is>
          <t>How mature is the organization in managing preventive maintenance for safety-critical facility systems, including ownership, evidence, metrics, fallback procedures and crisis stress testing?</t>
        </is>
      </c>
      <c r="D171" t="inlineStr">
        <is>
          <t>This topic affects exposure to Safety incident; Physical site loss; War/security crisis; Natural disaster. It helps identify how disruption may impact operations, people, revenue, systems, legal exposure or recovery time.</t>
        </is>
      </c>
      <c r="E171" t="inlineStr">
        <is>
          <t>ISO 45001; ISO 22320; ISO 31030; ISO 18788; ISO 22301; NFPA; local OH&amp;S rules</t>
        </is>
      </c>
      <c r="F171" t="inlineStr">
        <is>
          <t>Policy/SOP; owner/RACI; system report; dashboard; contracts; test records; incident history; interview evidence related to preventive maintenance for safety-critical facility systems.</t>
        </is>
      </c>
      <c r="G171">
        <f>'Assessment Questions'!J171</f>
        <v/>
      </c>
      <c r="H171">
        <f>IF($Z171="","",IF($Z171="N/A","N/A",VALUE(LEFT($Z171,1))))</f>
        <v/>
      </c>
      <c r="I171">
        <f>IF($H171="","",IF($H171="N/A","",VALUE($H171)/5*$G171))</f>
        <v/>
      </c>
      <c r="J171">
        <f>IF(OR($H171="",$H171="N/A"),"",$G171)</f>
        <v/>
      </c>
      <c r="K171">
        <f>IF(OR($H171="",$H171="N/A"),"",$J171-$I171)</f>
        <v/>
      </c>
      <c r="L171">
        <f>IF($H171="","",IF($H171="N/A","N/A",IF(VALUE($H171)&lt;=1,"Critical",IF(VALUE($H171)&lt;=2,"High",IF(VALUE($H171)&lt;=3,"Medium",IF(VALUE($H171)&lt;=4,"Low","Resilient"))))))</f>
        <v/>
      </c>
      <c r="M171" t="inlineStr">
        <is>
          <t>Does not exist; no owner, no documentation, no practice.</t>
        </is>
      </c>
      <c r="N171" t="inlineStr">
        <is>
          <t>Ad hoc; depends entirely on specific individuals.</t>
        </is>
      </c>
      <c r="O171" t="inlineStr">
        <is>
          <t>Partially documented or implemented; coverage inconsistent; never tested under stress.</t>
        </is>
      </c>
      <c r="P171" t="inlineStr">
        <is>
          <t>Documented, owned, executed consistently; basic evidence and metrics exist.</t>
        </is>
      </c>
      <c r="Q171" t="inlineStr">
        <is>
          <t>Measured and periodically tested/audited; integrated with adjacent processes.</t>
        </is>
      </c>
      <c r="R171" t="inlineStr">
        <is>
          <t>Optimized and automated where practical; stress-tested; benchmarked externally.</t>
        </is>
      </c>
      <c r="S171" t="inlineStr">
        <is>
          <t>Safety incident; Physical site loss; War/security crisis; Natural disaster</t>
        </is>
      </c>
      <c r="T171">
        <f>'Assessment Questions'!W171</f>
        <v/>
      </c>
      <c r="U171">
        <f>'Assessment Questions'!X171</f>
        <v/>
      </c>
      <c r="V171">
        <f>'Assessment Questions'!Y171</f>
        <v/>
      </c>
      <c r="W171" t="n">
        <v>4</v>
      </c>
      <c r="X171" t="n">
        <v>5</v>
      </c>
      <c r="Y171" t="n">
        <v>5</v>
      </c>
      <c r="Z171">
        <f>'Assessment Questions'!AC171</f>
        <v/>
      </c>
      <c r="AB171">
        <f>COUNTIF($B$145:$B$175,$AA171)</f>
        <v/>
      </c>
      <c r="AC171">
        <f>IFERROR(SUMPRODUCT(($B$145:$B$175=$AA171)*($H$145:$H$175&lt;&gt;"")*($H$145:$H$175&lt;&gt;"N/A")*IFERROR(VALUE($H$145:$H$175),0))/SUMPRODUCT(($B$145:$B$175=$AA171)*($H$145:$H$175&lt;&gt;"")*($H$145:$H$175&lt;&gt;"N/A")),0)</f>
        <v/>
      </c>
      <c r="AD171">
        <f>AC171/5</f>
        <v/>
      </c>
      <c r="AE171">
        <f>COUNTIFS($B$145:$B$175,$AA171,$L$145:$L$175,"Critical")+COUNTIFS($B$145:$B$175,$AA171,$L$145:$L$175,"High")</f>
        <v/>
      </c>
      <c r="AF171">
        <f>5-AC171</f>
        <v/>
      </c>
      <c r="AG171">
        <f>SUMPRODUCT(($B$145:$B$175=$AA171)*(ISNUMBER($H$145:$H$175)+($H$145:$H$175="N/A")))</f>
        <v/>
      </c>
      <c r="AH171">
        <f>'Assessment Questions'!AK171</f>
        <v/>
      </c>
      <c r="AI171">
        <f>'Assessment Questions'!AL171</f>
        <v/>
      </c>
      <c r="AJ171">
        <f>IF(OR($H171="",$H171="N/A"),"",IF($AH171="",VLOOKUP('Company Profile'!$B$40,_CONFIG_Model_Settings!$A$5:$B$8,2,FALSE),_xlfn.IFNA(VLOOKUP($AH171,_CONFIG_Model_Settings!$A$5:$B$8,2,FALSE),0.9)))</f>
        <v/>
      </c>
      <c r="AK171">
        <f>IF(OR($H171="",$H171="N/A"),"",IF($AI171="",VLOOKUP('Company Profile'!$B$41,_CONFIG_Model_Settings!$A$5:$B$8,2,FALSE),_xlfn.IFNA(VLOOKUP($AI171,_CONFIG_Model_Settings!$A$5:$B$8,2,FALSE),0.9)))</f>
        <v/>
      </c>
      <c r="AL171">
        <f>IF(OR($H171="",$H171="N/A"),"",ROUND(VALUE($H171)*$AJ171*$AK171*$AV171,2))</f>
        <v/>
      </c>
      <c r="AM171">
        <f>IF($AL171="","",ROUND($AL171/5*100,1))</f>
        <v/>
      </c>
      <c r="AN171">
        <f>IFERROR(MIN(5,MAX(0,(SUMIFS(_REF_Model_Content!$D$1:$D$157,_REF_Model_Content!$A$1:$A$157,'Company Profile'!$B$9,_REF_Model_Content!$B$1:$B$157,"Physical Safety"))+_xlfn.IFNA(VLOOKUP('Company Profile'!$B$35,_CONFIG_Model_Settings!$A$11:$B$13,2,0),0))),"")</f>
        <v/>
      </c>
      <c r="AO171">
        <f>IF($AL171="","",MAX(0,ROUND($AN171-$AL171,2)))</f>
        <v/>
      </c>
      <c r="AP171">
        <f>IFERROR(SUMIFS(_REF_Model_Content!$E$1:$E$157,_REF_Model_Content!$A$1:$A$157,'Company Profile'!$B$9,_REF_Model_Content!$B$1:$B$157,"Physical Safety"),1)</f>
        <v/>
      </c>
      <c r="AQ171">
        <f>IF($AO171="","",ROUND($AO171*$AP171*($G171/5),2))</f>
        <v/>
      </c>
      <c r="AR171">
        <f>IF($AO171="","",IF($AO171&gt;=2,"Critical industry gap",IF($AO171&gt;=1,"High industry gap",IF($AO171&gt;=0.5,"Moderate industry gap","Within target"))))</f>
        <v/>
      </c>
      <c r="AS171">
        <f>IF(OR($H171="",$H171="N/A"),0,VALUE($H171)*(($AJ171+$AK171)/2)*$AV171)</f>
        <v/>
      </c>
      <c r="AT171">
        <f>IF(OR($H171="",$H171="N/A"),0,($AJ171+$AK171)/2)</f>
        <v/>
      </c>
      <c r="AU171">
        <f>'Assessment Questions'!AX171</f>
        <v/>
      </c>
      <c r="AV171">
        <f>IF(OR($H171="",$H171="N/A"),"",IF(OR($AU171="",$AU171="Everywhere",$AU171="Not applicable"),1,IF($AU171="Pilot / one team",0.4,IF($AU171="One unit or site",0.7,0.9))))</f>
        <v/>
      </c>
      <c r="AW171" t="inlineStr">
        <is>
          <t>Physical Safety</t>
        </is>
      </c>
      <c r="AX171" t="inlineStr">
        <is>
          <t>Physical Safety</t>
        </is>
      </c>
      <c r="AY171" t="n">
        <v>31</v>
      </c>
      <c r="AZ171" t="n">
        <v>171</v>
      </c>
    </row>
    <row r="172">
      <c r="A172" t="inlineStr">
        <is>
          <t>PHYS-028</t>
        </is>
      </c>
      <c r="B172" t="inlineStr">
        <is>
          <t>Utilities and resilience</t>
        </is>
      </c>
      <c r="C172" t="inlineStr">
        <is>
          <t>How mature is the organization in managing alternative worksites, temporary facilities, coworking spaces or remote-work options if a site is lost, including ownership, evidence, metrics, fallback procedures and crisis stress testing?</t>
        </is>
      </c>
      <c r="D172" t="inlineStr">
        <is>
          <t>This topic affects exposure to Safety incident; Physical site loss; War/security crisis; Natural disaster. It helps identify how disruption may impact operations, people, revenue, systems, legal exposure or recovery time.</t>
        </is>
      </c>
      <c r="E172" t="inlineStr">
        <is>
          <t>ISO 45001; ISO 22320; ISO 31030; ISO 18788; ISO 22301; NFPA; local OH&amp;S rules</t>
        </is>
      </c>
      <c r="F172" t="inlineStr">
        <is>
          <t>Policy/SOP; owner/RACI; system report; dashboard; contracts; test records; incident history; interview evidence related to alternative worksites, temporary facilities, coworking spaces or remote-work options if a site is lost.</t>
        </is>
      </c>
      <c r="G172">
        <f>'Assessment Questions'!J172</f>
        <v/>
      </c>
      <c r="H172">
        <f>IF($Z172="","",IF($Z172="N/A","N/A",VALUE(LEFT($Z172,1))))</f>
        <v/>
      </c>
      <c r="I172">
        <f>IF($H172="","",IF($H172="N/A","",VALUE($H172)/5*$G172))</f>
        <v/>
      </c>
      <c r="J172">
        <f>IF(OR($H172="",$H172="N/A"),"",$G172)</f>
        <v/>
      </c>
      <c r="K172">
        <f>IF(OR($H172="",$H172="N/A"),"",$J172-$I172)</f>
        <v/>
      </c>
      <c r="L172">
        <f>IF($H172="","",IF($H172="N/A","N/A",IF(VALUE($H172)&lt;=1,"Critical",IF(VALUE($H172)&lt;=2,"High",IF(VALUE($H172)&lt;=3,"Medium",IF(VALUE($H172)&lt;=4,"Low","Resilient"))))))</f>
        <v/>
      </c>
      <c r="M172" t="inlineStr">
        <is>
          <t>Does not exist; no owner, no documentation, no practice.</t>
        </is>
      </c>
      <c r="N172" t="inlineStr">
        <is>
          <t>Ad hoc; depends entirely on specific individuals.</t>
        </is>
      </c>
      <c r="O172" t="inlineStr">
        <is>
          <t>Partially documented or implemented; coverage inconsistent; never tested under stress.</t>
        </is>
      </c>
      <c r="P172" t="inlineStr">
        <is>
          <t>Documented, owned, executed consistently; basic evidence and metrics exist.</t>
        </is>
      </c>
      <c r="Q172" t="inlineStr">
        <is>
          <t>Measured and periodically tested/audited; integrated with adjacent processes.</t>
        </is>
      </c>
      <c r="R172" t="inlineStr">
        <is>
          <t>Optimized and automated where practical; stress-tested; benchmarked externally.</t>
        </is>
      </c>
      <c r="S172" t="inlineStr">
        <is>
          <t>Safety incident; Physical site loss; War/security crisis; Natural disaster</t>
        </is>
      </c>
      <c r="T172">
        <f>'Assessment Questions'!W172</f>
        <v/>
      </c>
      <c r="U172">
        <f>'Assessment Questions'!X172</f>
        <v/>
      </c>
      <c r="V172">
        <f>'Assessment Questions'!Y172</f>
        <v/>
      </c>
      <c r="W172" t="n">
        <v>4</v>
      </c>
      <c r="X172" t="n">
        <v>5</v>
      </c>
      <c r="Y172" t="n">
        <v>5</v>
      </c>
      <c r="Z172">
        <f>'Assessment Questions'!AC172</f>
        <v/>
      </c>
      <c r="AB172">
        <f>COUNTIF($B$145:$B$175,$AA172)</f>
        <v/>
      </c>
      <c r="AC172">
        <f>IFERROR(SUMPRODUCT(($B$145:$B$175=$AA172)*($H$145:$H$175&lt;&gt;"")*($H$145:$H$175&lt;&gt;"N/A")*IFERROR(VALUE($H$145:$H$175),0))/SUMPRODUCT(($B$145:$B$175=$AA172)*($H$145:$H$175&lt;&gt;"")*($H$145:$H$175&lt;&gt;"N/A")),0)</f>
        <v/>
      </c>
      <c r="AD172">
        <f>AC172/5</f>
        <v/>
      </c>
      <c r="AE172">
        <f>COUNTIFS($B$145:$B$175,$AA172,$L$145:$L$175,"Critical")+COUNTIFS($B$145:$B$175,$AA172,$L$145:$L$175,"High")</f>
        <v/>
      </c>
      <c r="AF172">
        <f>5-AC172</f>
        <v/>
      </c>
      <c r="AG172">
        <f>SUMPRODUCT(($B$145:$B$175=$AA172)*(ISNUMBER($H$145:$H$175)+($H$145:$H$175="N/A")))</f>
        <v/>
      </c>
      <c r="AH172">
        <f>'Assessment Questions'!AK172</f>
        <v/>
      </c>
      <c r="AI172">
        <f>'Assessment Questions'!AL172</f>
        <v/>
      </c>
      <c r="AJ172">
        <f>IF(OR($H172="",$H172="N/A"),"",IF($AH172="",VLOOKUP('Company Profile'!$B$40,_CONFIG_Model_Settings!$A$5:$B$8,2,FALSE),_xlfn.IFNA(VLOOKUP($AH172,_CONFIG_Model_Settings!$A$5:$B$8,2,FALSE),0.9)))</f>
        <v/>
      </c>
      <c r="AK172">
        <f>IF(OR($H172="",$H172="N/A"),"",IF($AI172="",VLOOKUP('Company Profile'!$B$41,_CONFIG_Model_Settings!$A$5:$B$8,2,FALSE),_xlfn.IFNA(VLOOKUP($AI172,_CONFIG_Model_Settings!$A$5:$B$8,2,FALSE),0.9)))</f>
        <v/>
      </c>
      <c r="AL172">
        <f>IF(OR($H172="",$H172="N/A"),"",ROUND(VALUE($H172)*$AJ172*$AK172*$AV172,2))</f>
        <v/>
      </c>
      <c r="AM172">
        <f>IF($AL172="","",ROUND($AL172/5*100,1))</f>
        <v/>
      </c>
      <c r="AN172">
        <f>IFERROR(MIN(5,MAX(0,(SUMIFS(_REF_Model_Content!$D$1:$D$157,_REF_Model_Content!$A$1:$A$157,'Company Profile'!$B$9,_REF_Model_Content!$B$1:$B$157,"Physical Safety"))+_xlfn.IFNA(VLOOKUP('Company Profile'!$B$35,_CONFIG_Model_Settings!$A$11:$B$13,2,0),0))),"")</f>
        <v/>
      </c>
      <c r="AO172">
        <f>IF($AL172="","",MAX(0,ROUND($AN172-$AL172,2)))</f>
        <v/>
      </c>
      <c r="AP172">
        <f>IFERROR(SUMIFS(_REF_Model_Content!$E$1:$E$157,_REF_Model_Content!$A$1:$A$157,'Company Profile'!$B$9,_REF_Model_Content!$B$1:$B$157,"Physical Safety"),1)</f>
        <v/>
      </c>
      <c r="AQ172">
        <f>IF($AO172="","",ROUND($AO172*$AP172*($G172/5),2))</f>
        <v/>
      </c>
      <c r="AR172">
        <f>IF($AO172="","",IF($AO172&gt;=2,"Critical industry gap",IF($AO172&gt;=1,"High industry gap",IF($AO172&gt;=0.5,"Moderate industry gap","Within target"))))</f>
        <v/>
      </c>
      <c r="AS172">
        <f>IF(OR($H172="",$H172="N/A"),0,VALUE($H172)*(($AJ172+$AK172)/2)*$AV172)</f>
        <v/>
      </c>
      <c r="AT172">
        <f>IF(OR($H172="",$H172="N/A"),0,($AJ172+$AK172)/2)</f>
        <v/>
      </c>
      <c r="AU172">
        <f>'Assessment Questions'!AX172</f>
        <v/>
      </c>
      <c r="AV172">
        <f>IF(OR($H172="",$H172="N/A"),"",IF(OR($AU172="",$AU172="Everywhere",$AU172="Not applicable"),1,IF($AU172="Pilot / one team",0.4,IF($AU172="One unit or site",0.7,0.9))))</f>
        <v/>
      </c>
      <c r="AW172" t="inlineStr">
        <is>
          <t>Physical Safety</t>
        </is>
      </c>
      <c r="AX172" t="inlineStr">
        <is>
          <t>Physical Safety</t>
        </is>
      </c>
      <c r="AY172" t="n">
        <v>32</v>
      </c>
      <c r="AZ172" t="n">
        <v>172</v>
      </c>
    </row>
    <row r="173">
      <c r="A173" t="inlineStr">
        <is>
          <t>PHYS-029</t>
        </is>
      </c>
      <c r="B173" t="inlineStr">
        <is>
          <t>Asset management</t>
        </is>
      </c>
      <c r="C173" t="inlineStr">
        <is>
          <t>How mature is the organization in managing enterprise asset register covering ownership, location, condition, replacement value and insurance linkage, including ownership, evidence, metrics, fallback procedures and crisis stress testing?</t>
        </is>
      </c>
      <c r="D173" t="inlineStr">
        <is>
          <t>This topic affects exposure to Physical site loss; Natural disaster; War/security crisis. It helps identify how disruption may impact operations, people, revenue, systems, legal exposure or recovery time.</t>
        </is>
      </c>
      <c r="E173" t="inlineStr">
        <is>
          <t>APQC PCF 10.2; ISO 55000; ISO 22301</t>
        </is>
      </c>
      <c r="F173" t="inlineStr">
        <is>
          <t>Policy/SOP; owner/RACI; system report; dashboard; contracts; test records; incident history; interview evidence related to occupational health and safety management system with owners, objectives, audits and management review.</t>
        </is>
      </c>
      <c r="G173">
        <f>'Assessment Questions'!J173</f>
        <v/>
      </c>
      <c r="H173">
        <f>IF($Z173="","",IF($Z173="N/A","N/A",VALUE(LEFT($Z173,1))))</f>
        <v/>
      </c>
      <c r="I173">
        <f>IF($H173="","",IF($H173="N/A","",VALUE($H173)/5*$G173))</f>
        <v/>
      </c>
      <c r="J173">
        <f>IF(OR($H173="",$H173="N/A"),"",$G173)</f>
        <v/>
      </c>
      <c r="K173">
        <f>IF(OR($H173="",$H173="N/A"),"",$J173-$I173)</f>
        <v/>
      </c>
      <c r="L173">
        <f>IF($H173="","",IF($H173="N/A","N/A",IF(VALUE($H173)&lt;=1,"Critical",IF(VALUE($H173)&lt;=2,"High",IF(VALUE($H173)&lt;=3,"Medium",IF(VALUE($H173)&lt;=4,"Low","Resilient"))))))</f>
        <v/>
      </c>
      <c r="M173" t="inlineStr">
        <is>
          <t>No reliable evidence that enterprise asset register covering ownership, location, condition, replacement value and insurance linkage is defined, owned or managed.</t>
        </is>
      </c>
      <c r="N173" t="inlineStr">
        <is>
          <t>Enterprise asset register covering ownership, location, condition, replacement value and insurance linkage is handled informally and depends on individual knowledge or heroic effort.</t>
        </is>
      </c>
      <c r="O173" t="inlineStr">
        <is>
          <t>Enterprise asset register covering ownership, location, condition, replacement value and insurance linkage is partially documented or implemented, but coverage is inconsistent and not crisis-tested.</t>
        </is>
      </c>
      <c r="P173" t="inlineStr">
        <is>
          <t>Enterprise asset register covering ownership, location, condition, replacement value and insurance linkage is documented, owned, used in normal operations and supported by basic evidence or metrics.</t>
        </is>
      </c>
      <c r="Q173" t="inlineStr">
        <is>
          <t>Enterprise asset register covering ownership, location, condition, replacement value and insurance linkage is measured, periodically reviewed, integrated with related processes and tested against relevant disruption scenarios.</t>
        </is>
      </c>
      <c r="R173" t="inlineStr">
        <is>
          <t>Enterprise asset register covering ownership, location, condition, replacement value and insurance linkage is optimized, continuously improved, automated where practical and demonstrably supports crisis resilience.</t>
        </is>
      </c>
      <c r="S173" t="inlineStr">
        <is>
          <t>Physical site loss; Natural disaster; War/security crisis</t>
        </is>
      </c>
      <c r="T173">
        <f>'Assessment Questions'!W173</f>
        <v/>
      </c>
      <c r="U173">
        <f>'Assessment Questions'!X173</f>
        <v/>
      </c>
      <c r="V173">
        <f>'Assessment Questions'!Y173</f>
        <v/>
      </c>
      <c r="W173" t="n">
        <v>4</v>
      </c>
      <c r="X173" t="n">
        <v>4</v>
      </c>
      <c r="Y173" t="n">
        <v>5</v>
      </c>
      <c r="Z173">
        <f>'Assessment Questions'!AC173</f>
        <v/>
      </c>
      <c r="AB173">
        <f>COUNTIF($B$145:$B$175,$AA173)</f>
        <v/>
      </c>
      <c r="AC173">
        <f>IFERROR(SUMPRODUCT(($B$145:$B$175=$AA173)*($H$145:$H$175&lt;&gt;"")*($H$145:$H$175&lt;&gt;"N/A")*IFERROR(VALUE($H$145:$H$175),0))/SUMPRODUCT(($B$145:$B$175=$AA173)*($H$145:$H$175&lt;&gt;"")*($H$145:$H$175&lt;&gt;"N/A")),0)</f>
        <v/>
      </c>
      <c r="AD173">
        <f>AC173/5</f>
        <v/>
      </c>
      <c r="AE173">
        <f>COUNTIFS($B$145:$B$175,$AA173,$L$145:$L$175,"Critical")+COUNTIFS($B$145:$B$175,$AA173,$L$145:$L$175,"High")</f>
        <v/>
      </c>
      <c r="AF173">
        <f>5-AC173</f>
        <v/>
      </c>
      <c r="AG173">
        <f>SUMPRODUCT(($B$145:$B$175=$AA173)*(ISNUMBER($H$145:$H$175)+($H$145:$H$175="N/A")))</f>
        <v/>
      </c>
      <c r="AH173">
        <f>'Assessment Questions'!AK173</f>
        <v/>
      </c>
      <c r="AI173">
        <f>'Assessment Questions'!AL173</f>
        <v/>
      </c>
      <c r="AJ173">
        <f>IF(OR($H173="",$H173="N/A"),"",IF($AH173="",VLOOKUP('Company Profile'!$B$40,_CONFIG_Model_Settings!$A$5:$B$8,2,FALSE),_xlfn.IFNA(VLOOKUP($AH173,_CONFIG_Model_Settings!$A$5:$B$8,2,FALSE),0.9)))</f>
        <v/>
      </c>
      <c r="AK173">
        <f>IF(OR($H173="",$H173="N/A"),"",IF($AI173="",VLOOKUP('Company Profile'!$B$41,_CONFIG_Model_Settings!$A$5:$B$8,2,FALSE),_xlfn.IFNA(VLOOKUP($AI173,_CONFIG_Model_Settings!$A$5:$B$8,2,FALSE),0.9)))</f>
        <v/>
      </c>
      <c r="AL173">
        <f>IF(OR($H173="",$H173="N/A"),"",ROUND(VALUE($H173)*$AJ173*$AK173*$AV173,2))</f>
        <v/>
      </c>
      <c r="AM173">
        <f>IF($AL173="","",ROUND($AL173/5*100,1))</f>
        <v/>
      </c>
      <c r="AN173">
        <f>IFERROR(MIN(5,MAX(0,(SUMIFS(_REF_Model_Content!$D$1:$D$157,_REF_Model_Content!$A$1:$A$157,'Company Profile'!$B$9,_REF_Model_Content!$B$1:$B$157,"Physical Safety"))+_xlfn.IFNA(VLOOKUP('Company Profile'!$B$35,_CONFIG_Model_Settings!$A$11:$B$13,2,0),0))),"")</f>
        <v/>
      </c>
      <c r="AO173">
        <f>IF($AL173="","",MAX(0,ROUND($AN173-$AL173,2)))</f>
        <v/>
      </c>
      <c r="AP173">
        <f>IFERROR(SUMIFS(_REF_Model_Content!$E$1:$E$157,_REF_Model_Content!$A$1:$A$157,'Company Profile'!$B$9,_REF_Model_Content!$B$1:$B$157,"Physical Safety"),1)</f>
        <v/>
      </c>
      <c r="AQ173">
        <f>IF($AO173="","",ROUND($AO173*$AP173*($G173/5),2))</f>
        <v/>
      </c>
      <c r="AR173">
        <f>IF($AO173="","",IF($AO173&gt;=2,"Critical industry gap",IF($AO173&gt;=1,"High industry gap",IF($AO173&gt;=0.5,"Moderate industry gap","Within target"))))</f>
        <v/>
      </c>
      <c r="AS173">
        <f>IF(OR($H173="",$H173="N/A"),0,VALUE($H173)*(($AJ173+$AK173)/2)*$AV173)</f>
        <v/>
      </c>
      <c r="AT173">
        <f>IF(OR($H173="",$H173="N/A"),0,($AJ173+$AK173)/2)</f>
        <v/>
      </c>
      <c r="AU173">
        <f>'Assessment Questions'!AX173</f>
        <v/>
      </c>
      <c r="AV173">
        <f>IF(OR($H173="",$H173="N/A"),"",IF(OR($AU173="",$AU173="Everywhere",$AU173="Not applicable"),1,IF($AU173="Pilot / one team",0.4,IF($AU173="One unit or site",0.7,0.9))))</f>
        <v/>
      </c>
      <c r="AW173" t="inlineStr">
        <is>
          <t>Physical Safety</t>
        </is>
      </c>
      <c r="AX173" t="inlineStr">
        <is>
          <t>Physical Safety</t>
        </is>
      </c>
      <c r="AY173" t="n">
        <v>33</v>
      </c>
      <c r="AZ173" t="n">
        <v>173</v>
      </c>
    </row>
    <row r="174">
      <c r="A174" t="inlineStr">
        <is>
          <t>PHYS-030</t>
        </is>
      </c>
      <c r="B174" t="inlineStr">
        <is>
          <t>Asset management</t>
        </is>
      </c>
      <c r="C174" t="inlineStr">
        <is>
          <t>How mature is the organization in managing asset lifecycle planning for acquisition, maintenance, renewal and disposal of critical equipment and facilities, including ownership, evidence, metrics, fallback procedures and crisis stress testing?</t>
        </is>
      </c>
      <c r="D174" t="inlineStr">
        <is>
          <t>This topic affects exposure to Physical site loss; Energy/utilities outage; Financial/liquidity crisis. It helps identify how disruption may impact operations, people, revenue, systems, legal exposure or recovery time.</t>
        </is>
      </c>
      <c r="E174" t="inlineStr">
        <is>
          <t>APQC PCF 10.3; ISO 55000; TPM</t>
        </is>
      </c>
      <c r="F174" t="inlineStr">
        <is>
          <t>Policy/SOP; owner/RACI; system report; dashboard; contracts; test records; incident history; interview evidence related to occupational health and safety management system with owners, objectives, audits and management review.</t>
        </is>
      </c>
      <c r="G174">
        <f>'Assessment Questions'!J174</f>
        <v/>
      </c>
      <c r="H174">
        <f>IF($Z174="","",IF($Z174="N/A","N/A",VALUE(LEFT($Z174,1))))</f>
        <v/>
      </c>
      <c r="I174">
        <f>IF($H174="","",IF($H174="N/A","",VALUE($H174)/5*$G174))</f>
        <v/>
      </c>
      <c r="J174">
        <f>IF(OR($H174="",$H174="N/A"),"",$G174)</f>
        <v/>
      </c>
      <c r="K174">
        <f>IF(OR($H174="",$H174="N/A"),"",$J174-$I174)</f>
        <v/>
      </c>
      <c r="L174">
        <f>IF($H174="","",IF($H174="N/A","N/A",IF(VALUE($H174)&lt;=1,"Critical",IF(VALUE($H174)&lt;=2,"High",IF(VALUE($H174)&lt;=3,"Medium",IF(VALUE($H174)&lt;=4,"Low","Resilient"))))))</f>
        <v/>
      </c>
      <c r="M174" t="inlineStr">
        <is>
          <t>No reliable evidence that asset lifecycle planning for acquisition, maintenance, renewal and disposal of critical equipment and facilities is defined, owned or managed.</t>
        </is>
      </c>
      <c r="N174" t="inlineStr">
        <is>
          <t>Asset lifecycle planning for acquisition, maintenance, renewal and disposal of critical equipment and facilities is handled informally and depends on individual knowledge or heroic effort.</t>
        </is>
      </c>
      <c r="O174" t="inlineStr">
        <is>
          <t>Asset lifecycle planning for acquisition, maintenance, renewal and disposal of critical equipment and facilities is partially documented or implemented, but coverage is inconsistent and not crisis-tested.</t>
        </is>
      </c>
      <c r="P174" t="inlineStr">
        <is>
          <t>Asset lifecycle planning for acquisition, maintenance, renewal and disposal of critical equipment and facilities is documented, owned, used in normal operations and supported by basic evidence or metrics.</t>
        </is>
      </c>
      <c r="Q174" t="inlineStr">
        <is>
          <t>Asset lifecycle planning for acquisition, maintenance, renewal and disposal of critical equipment and facilities is measured, periodically reviewed, integrated with related processes and tested against relevant disruption scenarios.</t>
        </is>
      </c>
      <c r="R174" t="inlineStr">
        <is>
          <t>Asset lifecycle planning for acquisition, maintenance, renewal and disposal of critical equipment and facilities is optimized, continuously improved, automated where practical and demonstrably supports crisis resilience.</t>
        </is>
      </c>
      <c r="S174" t="inlineStr">
        <is>
          <t>Physical site loss; Energy/utilities outage; Financial/liquidity crisis</t>
        </is>
      </c>
      <c r="T174">
        <f>'Assessment Questions'!W174</f>
        <v/>
      </c>
      <c r="U174">
        <f>'Assessment Questions'!X174</f>
        <v/>
      </c>
      <c r="V174">
        <f>'Assessment Questions'!Y174</f>
        <v/>
      </c>
      <c r="W174" t="n">
        <v>3</v>
      </c>
      <c r="X174" t="n">
        <v>4</v>
      </c>
      <c r="Y174" t="n">
        <v>4</v>
      </c>
      <c r="Z174">
        <f>'Assessment Questions'!AC174</f>
        <v/>
      </c>
      <c r="AB174">
        <f>COUNTIF($B$145:$B$175,$AA174)</f>
        <v/>
      </c>
      <c r="AC174">
        <f>IFERROR(SUMPRODUCT(($B$145:$B$175=$AA174)*($H$145:$H$175&lt;&gt;"")*($H$145:$H$175&lt;&gt;"N/A")*IFERROR(VALUE($H$145:$H$175),0))/SUMPRODUCT(($B$145:$B$175=$AA174)*($H$145:$H$175&lt;&gt;"")*($H$145:$H$175&lt;&gt;"N/A")),0)</f>
        <v/>
      </c>
      <c r="AD174">
        <f>AC174/5</f>
        <v/>
      </c>
      <c r="AE174">
        <f>COUNTIFS($B$145:$B$175,$AA174,$L$145:$L$175,"Critical")+COUNTIFS($B$145:$B$175,$AA174,$L$145:$L$175,"High")</f>
        <v/>
      </c>
      <c r="AF174">
        <f>5-AC174</f>
        <v/>
      </c>
      <c r="AG174">
        <f>SUMPRODUCT(($B$145:$B$175=$AA174)*(ISNUMBER($H$145:$H$175)+($H$145:$H$175="N/A")))</f>
        <v/>
      </c>
      <c r="AH174">
        <f>'Assessment Questions'!AK174</f>
        <v/>
      </c>
      <c r="AI174">
        <f>'Assessment Questions'!AL174</f>
        <v/>
      </c>
      <c r="AJ174">
        <f>IF(OR($H174="",$H174="N/A"),"",IF($AH174="",VLOOKUP('Company Profile'!$B$40,_CONFIG_Model_Settings!$A$5:$B$8,2,FALSE),_xlfn.IFNA(VLOOKUP($AH174,_CONFIG_Model_Settings!$A$5:$B$8,2,FALSE),0.9)))</f>
        <v/>
      </c>
      <c r="AK174">
        <f>IF(OR($H174="",$H174="N/A"),"",IF($AI174="",VLOOKUP('Company Profile'!$B$41,_CONFIG_Model_Settings!$A$5:$B$8,2,FALSE),_xlfn.IFNA(VLOOKUP($AI174,_CONFIG_Model_Settings!$A$5:$B$8,2,FALSE),0.9)))</f>
        <v/>
      </c>
      <c r="AL174">
        <f>IF(OR($H174="",$H174="N/A"),"",ROUND(VALUE($H174)*$AJ174*$AK174*$AV174,2))</f>
        <v/>
      </c>
      <c r="AM174">
        <f>IF($AL174="","",ROUND($AL174/5*100,1))</f>
        <v/>
      </c>
      <c r="AN174">
        <f>IFERROR(MIN(5,MAX(0,(SUMIFS(_REF_Model_Content!$D$1:$D$157,_REF_Model_Content!$A$1:$A$157,'Company Profile'!$B$9,_REF_Model_Content!$B$1:$B$157,"Physical Safety"))+_xlfn.IFNA(VLOOKUP('Company Profile'!$B$35,_CONFIG_Model_Settings!$A$11:$B$13,2,0),0))),"")</f>
        <v/>
      </c>
      <c r="AO174">
        <f>IF($AL174="","",MAX(0,ROUND($AN174-$AL174,2)))</f>
        <v/>
      </c>
      <c r="AP174">
        <f>IFERROR(SUMIFS(_REF_Model_Content!$E$1:$E$157,_REF_Model_Content!$A$1:$A$157,'Company Profile'!$B$9,_REF_Model_Content!$B$1:$B$157,"Physical Safety"),1)</f>
        <v/>
      </c>
      <c r="AQ174">
        <f>IF($AO174="","",ROUND($AO174*$AP174*($G174/5),2))</f>
        <v/>
      </c>
      <c r="AR174">
        <f>IF($AO174="","",IF($AO174&gt;=2,"Critical industry gap",IF($AO174&gt;=1,"High industry gap",IF($AO174&gt;=0.5,"Moderate industry gap","Within target"))))</f>
        <v/>
      </c>
      <c r="AS174">
        <f>IF(OR($H174="",$H174="N/A"),0,VALUE($H174)*(($AJ174+$AK174)/2)*$AV174)</f>
        <v/>
      </c>
      <c r="AT174">
        <f>IF(OR($H174="",$H174="N/A"),0,($AJ174+$AK174)/2)</f>
        <v/>
      </c>
      <c r="AU174">
        <f>'Assessment Questions'!AX174</f>
        <v/>
      </c>
      <c r="AV174">
        <f>IF(OR($H174="",$H174="N/A"),"",IF(OR($AU174="",$AU174="Everywhere",$AU174="Not applicable"),1,IF($AU174="Pilot / one team",0.4,IF($AU174="One unit or site",0.7,0.9))))</f>
        <v/>
      </c>
      <c r="AW174" t="inlineStr">
        <is>
          <t>Physical Safety</t>
        </is>
      </c>
      <c r="AX174" t="inlineStr">
        <is>
          <t>Physical Safety</t>
        </is>
      </c>
      <c r="AY174" t="n">
        <v>34</v>
      </c>
      <c r="AZ174" t="n">
        <v>174</v>
      </c>
    </row>
    <row r="175">
      <c r="A175" t="inlineStr">
        <is>
          <t>PHYS-031</t>
        </is>
      </c>
      <c r="B175" t="inlineStr">
        <is>
          <t>Asset management</t>
        </is>
      </c>
      <c r="C175" t="inlineStr">
        <is>
          <t>How mature is the organization in managing property and lease portfolio management with obligations, expiry dates, exit options and flexibility, including ownership, evidence, metrics, fallback procedures and crisis stress testing?</t>
        </is>
      </c>
      <c r="D175" t="inlineStr">
        <is>
          <t>This topic affects exposure to Physical site loss; Financial/liquidity crisis; War/security crisis. It helps identify how disruption may impact operations, people, revenue, systems, legal exposure or recovery time.</t>
        </is>
      </c>
      <c r="E175" t="inlineStr">
        <is>
          <t>APQC PCF 10.1; IFRS 16; ISO 22301</t>
        </is>
      </c>
      <c r="F175" t="inlineStr">
        <is>
          <t>Policy/SOP; owner/RACI; system report; dashboard; contracts; test records; incident history; interview evidence related to occupational health and safety management system with owners, objectives, audits and management review.</t>
        </is>
      </c>
      <c r="G175">
        <f>'Assessment Questions'!J175</f>
        <v/>
      </c>
      <c r="H175">
        <f>IF($Z175="","",IF($Z175="N/A","N/A",VALUE(LEFT($Z175,1))))</f>
        <v/>
      </c>
      <c r="I175">
        <f>IF($H175="","",IF($H175="N/A","",VALUE($H175)/5*$G175))</f>
        <v/>
      </c>
      <c r="J175">
        <f>IF(OR($H175="",$H175="N/A"),"",$G175)</f>
        <v/>
      </c>
      <c r="K175">
        <f>IF(OR($H175="",$H175="N/A"),"",$J175-$I175)</f>
        <v/>
      </c>
      <c r="L175">
        <f>IF($H175="","",IF($H175="N/A","N/A",IF(VALUE($H175)&lt;=1,"Critical",IF(VALUE($H175)&lt;=2,"High",IF(VALUE($H175)&lt;=3,"Medium",IF(VALUE($H175)&lt;=4,"Low","Resilient"))))))</f>
        <v/>
      </c>
      <c r="M175" t="inlineStr">
        <is>
          <t>No reliable evidence that property and lease portfolio management with obligations, expiry dates, exit options and flexibility is defined, owned or managed.</t>
        </is>
      </c>
      <c r="N175" t="inlineStr">
        <is>
          <t>Property and lease portfolio management with obligations, expiry dates, exit options and flexibility is handled informally and depends on individual knowledge or heroic effort.</t>
        </is>
      </c>
      <c r="O175" t="inlineStr">
        <is>
          <t>Property and lease portfolio management with obligations, expiry dates, exit options and flexibility is partially documented or implemented, but coverage is inconsistent and not crisis-tested.</t>
        </is>
      </c>
      <c r="P175" t="inlineStr">
        <is>
          <t>Property and lease portfolio management with obligations, expiry dates, exit options and flexibility is documented, owned, used in normal operations and supported by basic evidence or metrics.</t>
        </is>
      </c>
      <c r="Q175" t="inlineStr">
        <is>
          <t>Property and lease portfolio management with obligations, expiry dates, exit options and flexibility is measured, periodically reviewed, integrated with related processes and tested against relevant disruption scenarios.</t>
        </is>
      </c>
      <c r="R175" t="inlineStr">
        <is>
          <t>Property and lease portfolio management with obligations, expiry dates, exit options and flexibility is optimized, continuously improved, automated where practical and demonstrably supports crisis resilience.</t>
        </is>
      </c>
      <c r="S175" t="inlineStr">
        <is>
          <t>Physical site loss; Financial/liquidity crisis; War/security crisis</t>
        </is>
      </c>
      <c r="T175">
        <f>'Assessment Questions'!W175</f>
        <v/>
      </c>
      <c r="U175">
        <f>'Assessment Questions'!X175</f>
        <v/>
      </c>
      <c r="V175">
        <f>'Assessment Questions'!Y175</f>
        <v/>
      </c>
      <c r="W175" t="n">
        <v>3</v>
      </c>
      <c r="X175" t="n">
        <v>3</v>
      </c>
      <c r="Y175" t="n">
        <v>4</v>
      </c>
      <c r="Z175">
        <f>'Assessment Questions'!AC175</f>
        <v/>
      </c>
      <c r="AB175">
        <f>COUNTIF($B$145:$B$175,$AA175)</f>
        <v/>
      </c>
      <c r="AC175">
        <f>IFERROR(SUMPRODUCT(($B$145:$B$175=$AA175)*($H$145:$H$175&lt;&gt;"")*($H$145:$H$175&lt;&gt;"N/A")*IFERROR(VALUE($H$145:$H$175),0))/SUMPRODUCT(($B$145:$B$175=$AA175)*($H$145:$H$175&lt;&gt;"")*($H$145:$H$175&lt;&gt;"N/A")),0)</f>
        <v/>
      </c>
      <c r="AD175">
        <f>AC175/5</f>
        <v/>
      </c>
      <c r="AE175">
        <f>COUNTIFS($B$145:$B$175,$AA175,$L$145:$L$175,"Critical")+COUNTIFS($B$145:$B$175,$AA175,$L$145:$L$175,"High")</f>
        <v/>
      </c>
      <c r="AF175">
        <f>5-AC175</f>
        <v/>
      </c>
      <c r="AG175">
        <f>SUMPRODUCT(($B$145:$B$175=$AA175)*(ISNUMBER($H$145:$H$175)+($H$145:$H$175="N/A")))</f>
        <v/>
      </c>
      <c r="AH175">
        <f>'Assessment Questions'!AK175</f>
        <v/>
      </c>
      <c r="AI175">
        <f>'Assessment Questions'!AL175</f>
        <v/>
      </c>
      <c r="AJ175">
        <f>IF(OR($H175="",$H175="N/A"),"",IF($AH175="",VLOOKUP('Company Profile'!$B$40,_CONFIG_Model_Settings!$A$5:$B$8,2,FALSE),_xlfn.IFNA(VLOOKUP($AH175,_CONFIG_Model_Settings!$A$5:$B$8,2,FALSE),0.9)))</f>
        <v/>
      </c>
      <c r="AK175">
        <f>IF(OR($H175="",$H175="N/A"),"",IF($AI175="",VLOOKUP('Company Profile'!$B$41,_CONFIG_Model_Settings!$A$5:$B$8,2,FALSE),_xlfn.IFNA(VLOOKUP($AI175,_CONFIG_Model_Settings!$A$5:$B$8,2,FALSE),0.9)))</f>
        <v/>
      </c>
      <c r="AL175">
        <f>IF(OR($H175="",$H175="N/A"),"",ROUND(VALUE($H175)*$AJ175*$AK175*$AV175,2))</f>
        <v/>
      </c>
      <c r="AM175">
        <f>IF($AL175="","",ROUND($AL175/5*100,1))</f>
        <v/>
      </c>
      <c r="AN175">
        <f>IFERROR(MIN(5,MAX(0,(SUMIFS(_REF_Model_Content!$D$1:$D$157,_REF_Model_Content!$A$1:$A$157,'Company Profile'!$B$9,_REF_Model_Content!$B$1:$B$157,"Physical Safety"))+_xlfn.IFNA(VLOOKUP('Company Profile'!$B$35,_CONFIG_Model_Settings!$A$11:$B$13,2,0),0))),"")</f>
        <v/>
      </c>
      <c r="AO175">
        <f>IF($AL175="","",MAX(0,ROUND($AN175-$AL175,2)))</f>
        <v/>
      </c>
      <c r="AP175">
        <f>IFERROR(SUMIFS(_REF_Model_Content!$E$1:$E$157,_REF_Model_Content!$A$1:$A$157,'Company Profile'!$B$9,_REF_Model_Content!$B$1:$B$157,"Physical Safety"),1)</f>
        <v/>
      </c>
      <c r="AQ175">
        <f>IF($AO175="","",ROUND($AO175*$AP175*($G175/5),2))</f>
        <v/>
      </c>
      <c r="AR175">
        <f>IF($AO175="","",IF($AO175&gt;=2,"Critical industry gap",IF($AO175&gt;=1,"High industry gap",IF($AO175&gt;=0.5,"Moderate industry gap","Within target"))))</f>
        <v/>
      </c>
      <c r="AS175">
        <f>IF(OR($H175="",$H175="N/A"),0,VALUE($H175)*(($AJ175+$AK175)/2)*$AV175)</f>
        <v/>
      </c>
      <c r="AT175">
        <f>IF(OR($H175="",$H175="N/A"),0,($AJ175+$AK175)/2)</f>
        <v/>
      </c>
      <c r="AU175">
        <f>'Assessment Questions'!AX175</f>
        <v/>
      </c>
      <c r="AV175">
        <f>IF(OR($H175="",$H175="N/A"),"",IF(OR($AU175="",$AU175="Everywhere",$AU175="Not applicable"),1,IF($AU175="Pilot / one team",0.4,IF($AU175="One unit or site",0.7,0.9))))</f>
        <v/>
      </c>
      <c r="AW175" t="inlineStr">
        <is>
          <t>Physical Safety</t>
        </is>
      </c>
      <c r="AX175" t="inlineStr">
        <is>
          <t>Physical Safety</t>
        </is>
      </c>
      <c r="AY175" t="n">
        <v>35</v>
      </c>
      <c r="AZ175" t="n">
        <v>175</v>
      </c>
    </row>
    <row r="176">
      <c r="A176" t="inlineStr">
        <is>
          <t>DELI-001</t>
        </is>
      </c>
      <c r="B176" t="inlineStr">
        <is>
          <t>Delivery governance</t>
        </is>
      </c>
      <c r="C176" t="inlineStr">
        <is>
          <t>How mature is the organization in managing documented delivery operating model across functions, teams, sites, vendors and customer interfaces, including ownership, evidence, metrics, fallback procedures and crisis stress testing?</t>
        </is>
      </c>
      <c r="D176" t="inlineStr">
        <is>
          <t>This topic affects exposure to Delivery disruption; Customer impact; Workforce disruption. It helps identify how disruption may impact operations, people, revenue, systems, legal exposure or recovery time.</t>
        </is>
      </c>
      <c r="E176" t="inlineStr">
        <is>
          <t>ISO 9001; ISO 22301; ITIL 4; Lean; Six Sigma; APQC; service management best practices</t>
        </is>
      </c>
      <c r="F176" t="inlineStr">
        <is>
          <t>Policy/SOP; owner/RACI; system report; dashboard; contracts; test records; incident history; interview evidence related to documented delivery operating model across functions, teams, sites, vendors and customer interfaces.</t>
        </is>
      </c>
      <c r="G176">
        <f>'Assessment Questions'!J176</f>
        <v/>
      </c>
      <c r="H176">
        <f>IF($Z176="","",IF($Z176="N/A","N/A",VALUE(LEFT($Z176,1))))</f>
        <v/>
      </c>
      <c r="I176">
        <f>IF($H176="","",IF($H176="N/A","",VALUE($H176)/5*$G176))</f>
        <v/>
      </c>
      <c r="J176">
        <f>IF(OR($H176="",$H176="N/A"),"",$G176)</f>
        <v/>
      </c>
      <c r="K176">
        <f>IF(OR($H176="",$H176="N/A"),"",$J176-$I176)</f>
        <v/>
      </c>
      <c r="L176">
        <f>IF($H176="","",IF($H176="N/A","N/A",IF(VALUE($H176)&lt;=1,"Critical",IF(VALUE($H176)&lt;=2,"High",IF(VALUE($H176)&lt;=3,"Medium",IF(VALUE($H176)&lt;=4,"Low","Resilient"))))))</f>
        <v/>
      </c>
      <c r="M176" t="inlineStr">
        <is>
          <t>Does not exist; no owner, no documentation, no practice.</t>
        </is>
      </c>
      <c r="N176" t="inlineStr">
        <is>
          <t>Ad hoc; depends entirely on specific individuals.</t>
        </is>
      </c>
      <c r="O176" t="inlineStr">
        <is>
          <t>Partially documented or implemented; coverage inconsistent; never tested under stress.</t>
        </is>
      </c>
      <c r="P176" t="inlineStr">
        <is>
          <t>Documented, owned, executed consistently; basic evidence and metrics exist.</t>
        </is>
      </c>
      <c r="Q176" t="inlineStr">
        <is>
          <t>Measured and periodically tested/audited; integrated with adjacent processes.</t>
        </is>
      </c>
      <c r="R176" t="inlineStr">
        <is>
          <t>Optimized and automated where practical; stress-tested; benchmarked externally.</t>
        </is>
      </c>
      <c r="S176" t="inlineStr">
        <is>
          <t>Delivery disruption; Customer impact; Workforce disruption</t>
        </is>
      </c>
      <c r="T176">
        <f>'Assessment Questions'!W176</f>
        <v/>
      </c>
      <c r="U176">
        <f>'Assessment Questions'!X176</f>
        <v/>
      </c>
      <c r="V176">
        <f>'Assessment Questions'!Y176</f>
        <v/>
      </c>
      <c r="W176" t="n">
        <v>4</v>
      </c>
      <c r="X176" t="n">
        <v>5</v>
      </c>
      <c r="Y176" t="n">
        <v>5</v>
      </c>
      <c r="Z176">
        <f>'Assessment Questions'!AC176</f>
        <v/>
      </c>
      <c r="AA176" t="inlineStr">
        <is>
          <t>Delivery governance</t>
        </is>
      </c>
      <c r="AB176">
        <f>COUNTIF($B$176:$B$199,$AA176)</f>
        <v/>
      </c>
      <c r="AC176">
        <f>IFERROR(SUMPRODUCT(($B$176:$B$199=$AA176)*($H$176:$H$199&lt;&gt;"")*($H$176:$H$199&lt;&gt;"N/A")*IFERROR(VALUE($H$176:$H$199),0))/SUMPRODUCT(($B$176:$B$199=$AA176)*($H$176:$H$199&lt;&gt;"")*($H$176:$H$199&lt;&gt;"N/A")),0)</f>
        <v/>
      </c>
      <c r="AD176">
        <f>AC176/5</f>
        <v/>
      </c>
      <c r="AE176">
        <f>COUNTIFS($B$176:$B$199,$AA176,$L$176:$L$199,"Critical")+COUNTIFS($B$176:$B$199,$AA176,$L$176:$L$199,"High")</f>
        <v/>
      </c>
      <c r="AF176">
        <f>5-AC176</f>
        <v/>
      </c>
      <c r="AG176">
        <f>SUMPRODUCT(($B$176:$B$199=$AA176)*(ISNUMBER($H$176:$H$199)+($H$176:$H$199="N/A")))</f>
        <v/>
      </c>
      <c r="AH176">
        <f>'Assessment Questions'!AK176</f>
        <v/>
      </c>
      <c r="AI176">
        <f>'Assessment Questions'!AL176</f>
        <v/>
      </c>
      <c r="AJ176">
        <f>IF(OR($H176="",$H176="N/A"),"",IF($AH176="",VLOOKUP('Company Profile'!$B$40,_CONFIG_Model_Settings!$A$5:$B$8,2,FALSE),_xlfn.IFNA(VLOOKUP($AH176,_CONFIG_Model_Settings!$A$5:$B$8,2,FALSE),0.9)))</f>
        <v/>
      </c>
      <c r="AK176">
        <f>IF(OR($H176="",$H176="N/A"),"",IF($AI176="",VLOOKUP('Company Profile'!$B$41,_CONFIG_Model_Settings!$A$5:$B$8,2,FALSE),_xlfn.IFNA(VLOOKUP($AI176,_CONFIG_Model_Settings!$A$5:$B$8,2,FALSE),0.9)))</f>
        <v/>
      </c>
      <c r="AL176">
        <f>IF(OR($H176="",$H176="N/A"),"",ROUND(VALUE($H176)*$AJ176*$AK176*$AV176,2))</f>
        <v/>
      </c>
      <c r="AM176">
        <f>IF($AL176="","",ROUND($AL176/5*100,1))</f>
        <v/>
      </c>
      <c r="AN176">
        <f>IFERROR(MIN(5,MAX(0,(SUMIFS(_REF_Model_Content!$D$1:$D$157,_REF_Model_Content!$A$1:$A$157,'Company Profile'!$B$9,_REF_Model_Content!$B$1:$B$157,"Delivery Ops"))+_xlfn.IFNA(VLOOKUP('Company Profile'!$B$35,_CONFIG_Model_Settings!$A$11:$B$13,2,0),0))),"")</f>
        <v/>
      </c>
      <c r="AO176">
        <f>IF($AL176="","",MAX(0,ROUND($AN176-$AL176,2)))</f>
        <v/>
      </c>
      <c r="AP176">
        <f>IFERROR(SUMIFS(_REF_Model_Content!$E$1:$E$157,_REF_Model_Content!$A$1:$A$157,'Company Profile'!$B$9,_REF_Model_Content!$B$1:$B$157,"Delivery Ops"),1)</f>
        <v/>
      </c>
      <c r="AQ176">
        <f>IF($AO176="","",ROUND($AO176*$AP176*($G176/5),2))</f>
        <v/>
      </c>
      <c r="AR176">
        <f>IF($AO176="","",IF($AO176&gt;=2,"Critical industry gap",IF($AO176&gt;=1,"High industry gap",IF($AO176&gt;=0.5,"Moderate industry gap","Within target"))))</f>
        <v/>
      </c>
      <c r="AS176">
        <f>IF(OR($H176="",$H176="N/A"),0,VALUE($H176)*(($AJ176+$AK176)/2)*$AV176)</f>
        <v/>
      </c>
      <c r="AT176">
        <f>IF(OR($H176="",$H176="N/A"),0,($AJ176+$AK176)/2)</f>
        <v/>
      </c>
      <c r="AU176">
        <f>'Assessment Questions'!AX176</f>
        <v/>
      </c>
      <c r="AV176">
        <f>IF(OR($H176="",$H176="N/A"),"",IF(OR($AU176="",$AU176="Everywhere",$AU176="Not applicable"),1,IF($AU176="Pilot / one team",0.4,IF($AU176="One unit or site",0.7,0.9))))</f>
        <v/>
      </c>
      <c r="AW176" t="inlineStr">
        <is>
          <t>Delivery Ops</t>
        </is>
      </c>
      <c r="AX176" t="inlineStr">
        <is>
          <t>Delivery Ops</t>
        </is>
      </c>
      <c r="AY176" t="n">
        <v>5</v>
      </c>
      <c r="AZ176" t="n">
        <v>176</v>
      </c>
    </row>
    <row r="177">
      <c r="A177" t="inlineStr">
        <is>
          <t>DELI-002</t>
        </is>
      </c>
      <c r="B177" t="inlineStr">
        <is>
          <t>Delivery governance</t>
        </is>
      </c>
      <c r="C177" t="inlineStr">
        <is>
          <t>How mature is the organization in managing critical delivery processes ranked by customer, revenue, safety and contractual impact, including ownership, evidence, metrics, fallback procedures and crisis stress testing?</t>
        </is>
      </c>
      <c r="D177" t="inlineStr">
        <is>
          <t>This topic affects exposure to Delivery disruption; Customer impact; Workforce disruption. It helps identify how disruption may impact operations, people, revenue, systems, legal exposure or recovery time.</t>
        </is>
      </c>
      <c r="E177" t="inlineStr">
        <is>
          <t>ISO 9001; ISO 22301; ITIL 4; Lean; Six Sigma; APQC; service management best practices</t>
        </is>
      </c>
      <c r="F177" t="inlineStr">
        <is>
          <t>Policy/SOP; owner/RACI; system report; dashboard; contracts; test records; incident history; interview evidence related to critical delivery processes ranked by customer, revenue, safety and contractual impact.</t>
        </is>
      </c>
      <c r="G177">
        <f>'Assessment Questions'!J177</f>
        <v/>
      </c>
      <c r="H177">
        <f>IF($Z177="","",IF($Z177="N/A","N/A",VALUE(LEFT($Z177,1))))</f>
        <v/>
      </c>
      <c r="I177">
        <f>IF($H177="","",IF($H177="N/A","",VALUE($H177)/5*$G177))</f>
        <v/>
      </c>
      <c r="J177">
        <f>IF(OR($H177="",$H177="N/A"),"",$G177)</f>
        <v/>
      </c>
      <c r="K177">
        <f>IF(OR($H177="",$H177="N/A"),"",$J177-$I177)</f>
        <v/>
      </c>
      <c r="L177">
        <f>IF($H177="","",IF($H177="N/A","N/A",IF(VALUE($H177)&lt;=1,"Critical",IF(VALUE($H177)&lt;=2,"High",IF(VALUE($H177)&lt;=3,"Medium",IF(VALUE($H177)&lt;=4,"Low","Resilient"))))))</f>
        <v/>
      </c>
      <c r="M177" t="inlineStr">
        <is>
          <t>Does not exist; no owner, no documentation, no practice.</t>
        </is>
      </c>
      <c r="N177" t="inlineStr">
        <is>
          <t>Ad hoc; depends entirely on specific individuals.</t>
        </is>
      </c>
      <c r="O177" t="inlineStr">
        <is>
          <t>Partially documented or implemented; coverage inconsistent; never tested under stress.</t>
        </is>
      </c>
      <c r="P177" t="inlineStr">
        <is>
          <t>Documented, owned, executed consistently; basic evidence and metrics exist.</t>
        </is>
      </c>
      <c r="Q177" t="inlineStr">
        <is>
          <t>Measured and periodically tested/audited; integrated with adjacent processes.</t>
        </is>
      </c>
      <c r="R177" t="inlineStr">
        <is>
          <t>Optimized and automated where practical; stress-tested; benchmarked externally.</t>
        </is>
      </c>
      <c r="S177" t="inlineStr">
        <is>
          <t>Delivery disruption; Customer impact; Workforce disruption</t>
        </is>
      </c>
      <c r="T177">
        <f>'Assessment Questions'!W177</f>
        <v/>
      </c>
      <c r="U177">
        <f>'Assessment Questions'!X177</f>
        <v/>
      </c>
      <c r="V177">
        <f>'Assessment Questions'!Y177</f>
        <v/>
      </c>
      <c r="W177" t="n">
        <v>4</v>
      </c>
      <c r="X177" t="n">
        <v>5</v>
      </c>
      <c r="Y177" t="n">
        <v>5</v>
      </c>
      <c r="Z177">
        <f>'Assessment Questions'!AC177</f>
        <v/>
      </c>
      <c r="AA177" t="inlineStr">
        <is>
          <t>Capacity and continuity</t>
        </is>
      </c>
      <c r="AB177">
        <f>COUNTIF($B$176:$B$199,$AA177)</f>
        <v/>
      </c>
      <c r="AC177">
        <f>IFERROR(SUMPRODUCT(($B$176:$B$199=$AA177)*($H$176:$H$199&lt;&gt;"")*($H$176:$H$199&lt;&gt;"N/A")*IFERROR(VALUE($H$176:$H$199),0))/SUMPRODUCT(($B$176:$B$199=$AA177)*($H$176:$H$199&lt;&gt;"")*($H$176:$H$199&lt;&gt;"N/A")),0)</f>
        <v/>
      </c>
      <c r="AD177">
        <f>AC177/5</f>
        <v/>
      </c>
      <c r="AE177">
        <f>COUNTIFS($B$176:$B$199,$AA177,$L$176:$L$199,"Critical")+COUNTIFS($B$176:$B$199,$AA177,$L$176:$L$199,"High")</f>
        <v/>
      </c>
      <c r="AF177">
        <f>5-AC177</f>
        <v/>
      </c>
      <c r="AG177">
        <f>SUMPRODUCT(($B$176:$B$199=$AA177)*(ISNUMBER($H$176:$H$199)+($H$176:$H$199="N/A")))</f>
        <v/>
      </c>
      <c r="AH177">
        <f>'Assessment Questions'!AK177</f>
        <v/>
      </c>
      <c r="AI177">
        <f>'Assessment Questions'!AL177</f>
        <v/>
      </c>
      <c r="AJ177">
        <f>IF(OR($H177="",$H177="N/A"),"",IF($AH177="",VLOOKUP('Company Profile'!$B$40,_CONFIG_Model_Settings!$A$5:$B$8,2,FALSE),_xlfn.IFNA(VLOOKUP($AH177,_CONFIG_Model_Settings!$A$5:$B$8,2,FALSE),0.9)))</f>
        <v/>
      </c>
      <c r="AK177">
        <f>IF(OR($H177="",$H177="N/A"),"",IF($AI177="",VLOOKUP('Company Profile'!$B$41,_CONFIG_Model_Settings!$A$5:$B$8,2,FALSE),_xlfn.IFNA(VLOOKUP($AI177,_CONFIG_Model_Settings!$A$5:$B$8,2,FALSE),0.9)))</f>
        <v/>
      </c>
      <c r="AL177">
        <f>IF(OR($H177="",$H177="N/A"),"",ROUND(VALUE($H177)*$AJ177*$AK177*$AV177,2))</f>
        <v/>
      </c>
      <c r="AM177">
        <f>IF($AL177="","",ROUND($AL177/5*100,1))</f>
        <v/>
      </c>
      <c r="AN177">
        <f>IFERROR(MIN(5,MAX(0,(SUMIFS(_REF_Model_Content!$D$1:$D$157,_REF_Model_Content!$A$1:$A$157,'Company Profile'!$B$9,_REF_Model_Content!$B$1:$B$157,"Delivery Ops"))+_xlfn.IFNA(VLOOKUP('Company Profile'!$B$35,_CONFIG_Model_Settings!$A$11:$B$13,2,0),0))),"")</f>
        <v/>
      </c>
      <c r="AO177">
        <f>IF($AL177="","",MAX(0,ROUND($AN177-$AL177,2)))</f>
        <v/>
      </c>
      <c r="AP177">
        <f>IFERROR(SUMIFS(_REF_Model_Content!$E$1:$E$157,_REF_Model_Content!$A$1:$A$157,'Company Profile'!$B$9,_REF_Model_Content!$B$1:$B$157,"Delivery Ops"),1)</f>
        <v/>
      </c>
      <c r="AQ177">
        <f>IF($AO177="","",ROUND($AO177*$AP177*($G177/5),2))</f>
        <v/>
      </c>
      <c r="AR177">
        <f>IF($AO177="","",IF($AO177&gt;=2,"Critical industry gap",IF($AO177&gt;=1,"High industry gap",IF($AO177&gt;=0.5,"Moderate industry gap","Within target"))))</f>
        <v/>
      </c>
      <c r="AS177">
        <f>IF(OR($H177="",$H177="N/A"),0,VALUE($H177)*(($AJ177+$AK177)/2)*$AV177)</f>
        <v/>
      </c>
      <c r="AT177">
        <f>IF(OR($H177="",$H177="N/A"),0,($AJ177+$AK177)/2)</f>
        <v/>
      </c>
      <c r="AU177">
        <f>'Assessment Questions'!AX177</f>
        <v/>
      </c>
      <c r="AV177">
        <f>IF(OR($H177="",$H177="N/A"),"",IF(OR($AU177="",$AU177="Everywhere",$AU177="Not applicable"),1,IF($AU177="Pilot / one team",0.4,IF($AU177="One unit or site",0.7,0.9))))</f>
        <v/>
      </c>
      <c r="AW177" t="inlineStr">
        <is>
          <t>Delivery Ops</t>
        </is>
      </c>
      <c r="AX177" t="inlineStr">
        <is>
          <t>Delivery Ops</t>
        </is>
      </c>
      <c r="AY177" t="n">
        <v>6</v>
      </c>
      <c r="AZ177" t="n">
        <v>177</v>
      </c>
    </row>
    <row r="178">
      <c r="A178" t="inlineStr">
        <is>
          <t>DELI-003</t>
        </is>
      </c>
      <c r="B178" t="inlineStr">
        <is>
          <t>Delivery governance</t>
        </is>
      </c>
      <c r="C178" t="inlineStr">
        <is>
          <t>How mature is the organization in managing SLA and OLA management with owners, escalation rules and customer communication, including ownership, evidence, metrics, fallback procedures and crisis stress testing?</t>
        </is>
      </c>
      <c r="D178" t="inlineStr">
        <is>
          <t>This topic affects exposure to Delivery disruption; Customer impact; Workforce disruption. It helps identify how disruption may impact operations, people, revenue, systems, legal exposure or recovery time.</t>
        </is>
      </c>
      <c r="E178" t="inlineStr">
        <is>
          <t>ISO 9001; ISO 22301; ITIL 4; Lean; Six Sigma; APQC; service management best practices</t>
        </is>
      </c>
      <c r="F178" t="inlineStr">
        <is>
          <t>Policy/SOP; owner/RACI; system report; dashboard; contracts; test records; incident history; interview evidence related to SLA and OLA management with owners, escalation rules and customer communication.</t>
        </is>
      </c>
      <c r="G178">
        <f>'Assessment Questions'!J178</f>
        <v/>
      </c>
      <c r="H178">
        <f>IF($Z178="","",IF($Z178="N/A","N/A",VALUE(LEFT($Z178,1))))</f>
        <v/>
      </c>
      <c r="I178">
        <f>IF($H178="","",IF($H178="N/A","",VALUE($H178)/5*$G178))</f>
        <v/>
      </c>
      <c r="J178">
        <f>IF(OR($H178="",$H178="N/A"),"",$G178)</f>
        <v/>
      </c>
      <c r="K178">
        <f>IF(OR($H178="",$H178="N/A"),"",$J178-$I178)</f>
        <v/>
      </c>
      <c r="L178">
        <f>IF($H178="","",IF($H178="N/A","N/A",IF(VALUE($H178)&lt;=1,"Critical",IF(VALUE($H178)&lt;=2,"High",IF(VALUE($H178)&lt;=3,"Medium",IF(VALUE($H178)&lt;=4,"Low","Resilient"))))))</f>
        <v/>
      </c>
      <c r="M178" t="inlineStr">
        <is>
          <t>No reliable evidence that sla and ola management with owners, escalation rules and customer communication is defined, owned or managed.</t>
        </is>
      </c>
      <c r="N178" t="inlineStr">
        <is>
          <t>SLA and OLA management with owners, escalation rules and customer communication is handled informally and depends on individual knowledge or heroic effort.</t>
        </is>
      </c>
      <c r="O178" t="inlineStr">
        <is>
          <t>SLA and OLA management with owners, escalation rules and customer communication is partially documented or implemented, but coverage is inconsistent and not crisis-tested.</t>
        </is>
      </c>
      <c r="P178" t="inlineStr">
        <is>
          <t>SLA and OLA management with owners, escalation rules and customer communication is documented, owned, used in normal operations and supported by basic evidence or metrics.</t>
        </is>
      </c>
      <c r="Q178" t="inlineStr">
        <is>
          <t>SLA and OLA management with owners, escalation rules and customer communication is measured, periodically reviewed, integrated with related processes and tested against relevant disruption scenarios.</t>
        </is>
      </c>
      <c r="R178" t="inlineStr">
        <is>
          <t>SLA and OLA management with owners, escalation rules and customer communication is optimized, continuously improved, automated where practical and demonstrably supports crisis resilience.</t>
        </is>
      </c>
      <c r="S178" t="inlineStr">
        <is>
          <t>Delivery disruption; Customer impact; Workforce disruption</t>
        </is>
      </c>
      <c r="T178">
        <f>'Assessment Questions'!W178</f>
        <v/>
      </c>
      <c r="U178">
        <f>'Assessment Questions'!X178</f>
        <v/>
      </c>
      <c r="V178">
        <f>'Assessment Questions'!Y178</f>
        <v/>
      </c>
      <c r="W178" t="n">
        <v>4</v>
      </c>
      <c r="X178" t="n">
        <v>5</v>
      </c>
      <c r="Y178" t="n">
        <v>5</v>
      </c>
      <c r="Z178">
        <f>'Assessment Questions'!AC178</f>
        <v/>
      </c>
      <c r="AA178" t="inlineStr">
        <is>
          <t>Process control</t>
        </is>
      </c>
      <c r="AB178">
        <f>COUNTIF($B$176:$B$199,$AA178)</f>
        <v/>
      </c>
      <c r="AC178">
        <f>IFERROR(SUMPRODUCT(($B$176:$B$199=$AA178)*($H$176:$H$199&lt;&gt;"")*($H$176:$H$199&lt;&gt;"N/A")*IFERROR(VALUE($H$176:$H$199),0))/SUMPRODUCT(($B$176:$B$199=$AA178)*($H$176:$H$199&lt;&gt;"")*($H$176:$H$199&lt;&gt;"N/A")),0)</f>
        <v/>
      </c>
      <c r="AD178">
        <f>AC178/5</f>
        <v/>
      </c>
      <c r="AE178">
        <f>COUNTIFS($B$176:$B$199,$AA178,$L$176:$L$199,"Critical")+COUNTIFS($B$176:$B$199,$AA178,$L$176:$L$199,"High")</f>
        <v/>
      </c>
      <c r="AF178">
        <f>5-AC178</f>
        <v/>
      </c>
      <c r="AG178">
        <f>SUMPRODUCT(($B$176:$B$199=$AA178)*(ISNUMBER($H$176:$H$199)+($H$176:$H$199="N/A")))</f>
        <v/>
      </c>
      <c r="AH178">
        <f>'Assessment Questions'!AK178</f>
        <v/>
      </c>
      <c r="AI178">
        <f>'Assessment Questions'!AL178</f>
        <v/>
      </c>
      <c r="AJ178">
        <f>IF(OR($H178="",$H178="N/A"),"",IF($AH178="",VLOOKUP('Company Profile'!$B$40,_CONFIG_Model_Settings!$A$5:$B$8,2,FALSE),_xlfn.IFNA(VLOOKUP($AH178,_CONFIG_Model_Settings!$A$5:$B$8,2,FALSE),0.9)))</f>
        <v/>
      </c>
      <c r="AK178">
        <f>IF(OR($H178="",$H178="N/A"),"",IF($AI178="",VLOOKUP('Company Profile'!$B$41,_CONFIG_Model_Settings!$A$5:$B$8,2,FALSE),_xlfn.IFNA(VLOOKUP($AI178,_CONFIG_Model_Settings!$A$5:$B$8,2,FALSE),0.9)))</f>
        <v/>
      </c>
      <c r="AL178">
        <f>IF(OR($H178="",$H178="N/A"),"",ROUND(VALUE($H178)*$AJ178*$AK178*$AV178,2))</f>
        <v/>
      </c>
      <c r="AM178">
        <f>IF($AL178="","",ROUND($AL178/5*100,1))</f>
        <v/>
      </c>
      <c r="AN178">
        <f>IFERROR(MIN(5,MAX(0,(SUMIFS(_REF_Model_Content!$D$1:$D$157,_REF_Model_Content!$A$1:$A$157,'Company Profile'!$B$9,_REF_Model_Content!$B$1:$B$157,"Delivery Ops"))+_xlfn.IFNA(VLOOKUP('Company Profile'!$B$35,_CONFIG_Model_Settings!$A$11:$B$13,2,0),0))),"")</f>
        <v/>
      </c>
      <c r="AO178">
        <f>IF($AL178="","",MAX(0,ROUND($AN178-$AL178,2)))</f>
        <v/>
      </c>
      <c r="AP178">
        <f>IFERROR(SUMIFS(_REF_Model_Content!$E$1:$E$157,_REF_Model_Content!$A$1:$A$157,'Company Profile'!$B$9,_REF_Model_Content!$B$1:$B$157,"Delivery Ops"),1)</f>
        <v/>
      </c>
      <c r="AQ178">
        <f>IF($AO178="","",ROUND($AO178*$AP178*($G178/5),2))</f>
        <v/>
      </c>
      <c r="AR178">
        <f>IF($AO178="","",IF($AO178&gt;=2,"Critical industry gap",IF($AO178&gt;=1,"High industry gap",IF($AO178&gt;=0.5,"Moderate industry gap","Within target"))))</f>
        <v/>
      </c>
      <c r="AS178">
        <f>IF(OR($H178="",$H178="N/A"),0,VALUE($H178)*(($AJ178+$AK178)/2)*$AV178)</f>
        <v/>
      </c>
      <c r="AT178">
        <f>IF(OR($H178="",$H178="N/A"),0,($AJ178+$AK178)/2)</f>
        <v/>
      </c>
      <c r="AU178">
        <f>'Assessment Questions'!AX178</f>
        <v/>
      </c>
      <c r="AV178">
        <f>IF(OR($H178="",$H178="N/A"),"",IF(OR($AU178="",$AU178="Everywhere",$AU178="Not applicable"),1,IF($AU178="Pilot / one team",0.4,IF($AU178="One unit or site",0.7,0.9))))</f>
        <v/>
      </c>
      <c r="AW178" t="inlineStr">
        <is>
          <t>Delivery Ops</t>
        </is>
      </c>
      <c r="AX178" t="inlineStr">
        <is>
          <t>Delivery Ops</t>
        </is>
      </c>
      <c r="AY178" t="n">
        <v>7</v>
      </c>
      <c r="AZ178" t="n">
        <v>178</v>
      </c>
    </row>
    <row r="179">
      <c r="A179" t="inlineStr">
        <is>
          <t>DELI-004</t>
        </is>
      </c>
      <c r="B179" t="inlineStr">
        <is>
          <t>Delivery governance</t>
        </is>
      </c>
      <c r="C179" t="inlineStr">
        <is>
          <t>How mature is the organization in managing operational incident link to delivery impact, customer communication and corrective action, including ownership, evidence, metrics, fallback procedures and crisis stress testing?</t>
        </is>
      </c>
      <c r="D179" t="inlineStr">
        <is>
          <t>This topic affects exposure to Delivery disruption; Customer impact; Workforce disruption. It helps identify how disruption may impact operations, people, revenue, systems, legal exposure or recovery time.</t>
        </is>
      </c>
      <c r="E179" t="inlineStr">
        <is>
          <t>ISO 9001; ISO 22301; ITIL 4; Lean; Six Sigma; APQC; service management best practices</t>
        </is>
      </c>
      <c r="F179" t="inlineStr">
        <is>
          <t>Policy/SOP; owner/RACI; system report; dashboard; contracts; test records; incident history; interview evidence related to operational incident link to delivery impact, customer communication and corrective action.</t>
        </is>
      </c>
      <c r="G179">
        <f>'Assessment Questions'!J179</f>
        <v/>
      </c>
      <c r="H179">
        <f>IF($Z179="","",IF($Z179="N/A","N/A",VALUE(LEFT($Z179,1))))</f>
        <v/>
      </c>
      <c r="I179">
        <f>IF($H179="","",IF($H179="N/A","",VALUE($H179)/5*$G179))</f>
        <v/>
      </c>
      <c r="J179">
        <f>IF(OR($H179="",$H179="N/A"),"",$G179)</f>
        <v/>
      </c>
      <c r="K179">
        <f>IF(OR($H179="",$H179="N/A"),"",$J179-$I179)</f>
        <v/>
      </c>
      <c r="L179">
        <f>IF($H179="","",IF($H179="N/A","N/A",IF(VALUE($H179)&lt;=1,"Critical",IF(VALUE($H179)&lt;=2,"High",IF(VALUE($H179)&lt;=3,"Medium",IF(VALUE($H179)&lt;=4,"Low","Resilient"))))))</f>
        <v/>
      </c>
      <c r="M179" t="inlineStr">
        <is>
          <t>Does not exist; no owner, no documentation, no practice.</t>
        </is>
      </c>
      <c r="N179" t="inlineStr">
        <is>
          <t>Ad hoc; depends entirely on specific individuals.</t>
        </is>
      </c>
      <c r="O179" t="inlineStr">
        <is>
          <t>Partially documented or implemented; coverage inconsistent; never tested under stress.</t>
        </is>
      </c>
      <c r="P179" t="inlineStr">
        <is>
          <t>Documented, owned, executed consistently; basic evidence and metrics exist.</t>
        </is>
      </c>
      <c r="Q179" t="inlineStr">
        <is>
          <t>Measured and periodically tested/audited; integrated with adjacent processes.</t>
        </is>
      </c>
      <c r="R179" t="inlineStr">
        <is>
          <t>Optimized and automated where practical; stress-tested; benchmarked externally.</t>
        </is>
      </c>
      <c r="S179" t="inlineStr">
        <is>
          <t>Delivery disruption; Customer impact; Workforce disruption</t>
        </is>
      </c>
      <c r="T179">
        <f>'Assessment Questions'!W179</f>
        <v/>
      </c>
      <c r="U179">
        <f>'Assessment Questions'!X179</f>
        <v/>
      </c>
      <c r="V179">
        <f>'Assessment Questions'!Y179</f>
        <v/>
      </c>
      <c r="W179" t="n">
        <v>4</v>
      </c>
      <c r="X179" t="n">
        <v>5</v>
      </c>
      <c r="Y179" t="n">
        <v>5</v>
      </c>
      <c r="Z179">
        <f>'Assessment Questions'!AC179</f>
        <v/>
      </c>
      <c r="AA179" t="inlineStr">
        <is>
          <t>Operational visibility</t>
        </is>
      </c>
      <c r="AB179">
        <f>COUNTIF($B$176:$B$199,$AA179)</f>
        <v/>
      </c>
      <c r="AC179">
        <f>IFERROR(SUMPRODUCT(($B$176:$B$199=$AA179)*($H$176:$H$199&lt;&gt;"")*($H$176:$H$199&lt;&gt;"N/A")*IFERROR(VALUE($H$176:$H$199),0))/SUMPRODUCT(($B$176:$B$199=$AA179)*($H$176:$H$199&lt;&gt;"")*($H$176:$H$199&lt;&gt;"N/A")),0)</f>
        <v/>
      </c>
      <c r="AD179">
        <f>AC179/5</f>
        <v/>
      </c>
      <c r="AE179">
        <f>COUNTIFS($B$176:$B$199,$AA179,$L$176:$L$199,"Critical")+COUNTIFS($B$176:$B$199,$AA179,$L$176:$L$199,"High")</f>
        <v/>
      </c>
      <c r="AF179">
        <f>5-AC179</f>
        <v/>
      </c>
      <c r="AG179">
        <f>SUMPRODUCT(($B$176:$B$199=$AA179)*(ISNUMBER($H$176:$H$199)+($H$176:$H$199="N/A")))</f>
        <v/>
      </c>
      <c r="AH179">
        <f>'Assessment Questions'!AK179</f>
        <v/>
      </c>
      <c r="AI179">
        <f>'Assessment Questions'!AL179</f>
        <v/>
      </c>
      <c r="AJ179">
        <f>IF(OR($H179="",$H179="N/A"),"",IF($AH179="",VLOOKUP('Company Profile'!$B$40,_CONFIG_Model_Settings!$A$5:$B$8,2,FALSE),_xlfn.IFNA(VLOOKUP($AH179,_CONFIG_Model_Settings!$A$5:$B$8,2,FALSE),0.9)))</f>
        <v/>
      </c>
      <c r="AK179">
        <f>IF(OR($H179="",$H179="N/A"),"",IF($AI179="",VLOOKUP('Company Profile'!$B$41,_CONFIG_Model_Settings!$A$5:$B$8,2,FALSE),_xlfn.IFNA(VLOOKUP($AI179,_CONFIG_Model_Settings!$A$5:$B$8,2,FALSE),0.9)))</f>
        <v/>
      </c>
      <c r="AL179">
        <f>IF(OR($H179="",$H179="N/A"),"",ROUND(VALUE($H179)*$AJ179*$AK179*$AV179,2))</f>
        <v/>
      </c>
      <c r="AM179">
        <f>IF($AL179="","",ROUND($AL179/5*100,1))</f>
        <v/>
      </c>
      <c r="AN179">
        <f>IFERROR(MIN(5,MAX(0,(SUMIFS(_REF_Model_Content!$D$1:$D$157,_REF_Model_Content!$A$1:$A$157,'Company Profile'!$B$9,_REF_Model_Content!$B$1:$B$157,"Delivery Ops"))+_xlfn.IFNA(VLOOKUP('Company Profile'!$B$35,_CONFIG_Model_Settings!$A$11:$B$13,2,0),0))),"")</f>
        <v/>
      </c>
      <c r="AO179">
        <f>IF($AL179="","",MAX(0,ROUND($AN179-$AL179,2)))</f>
        <v/>
      </c>
      <c r="AP179">
        <f>IFERROR(SUMIFS(_REF_Model_Content!$E$1:$E$157,_REF_Model_Content!$A$1:$A$157,'Company Profile'!$B$9,_REF_Model_Content!$B$1:$B$157,"Delivery Ops"),1)</f>
        <v/>
      </c>
      <c r="AQ179">
        <f>IF($AO179="","",ROUND($AO179*$AP179*($G179/5),2))</f>
        <v/>
      </c>
      <c r="AR179">
        <f>IF($AO179="","",IF($AO179&gt;=2,"Critical industry gap",IF($AO179&gt;=1,"High industry gap",IF($AO179&gt;=0.5,"Moderate industry gap","Within target"))))</f>
        <v/>
      </c>
      <c r="AS179">
        <f>IF(OR($H179="",$H179="N/A"),0,VALUE($H179)*(($AJ179+$AK179)/2)*$AV179)</f>
        <v/>
      </c>
      <c r="AT179">
        <f>IF(OR($H179="",$H179="N/A"),0,($AJ179+$AK179)/2)</f>
        <v/>
      </c>
      <c r="AU179">
        <f>'Assessment Questions'!AX179</f>
        <v/>
      </c>
      <c r="AV179">
        <f>IF(OR($H179="",$H179="N/A"),"",IF(OR($AU179="",$AU179="Everywhere",$AU179="Not applicable"),1,IF($AU179="Pilot / one team",0.4,IF($AU179="One unit or site",0.7,0.9))))</f>
        <v/>
      </c>
      <c r="AW179" t="inlineStr">
        <is>
          <t>Delivery Ops</t>
        </is>
      </c>
      <c r="AX179" t="inlineStr">
        <is>
          <t>Delivery Ops</t>
        </is>
      </c>
      <c r="AY179" t="n">
        <v>8</v>
      </c>
      <c r="AZ179" t="n">
        <v>179</v>
      </c>
    </row>
    <row r="180">
      <c r="A180" t="inlineStr">
        <is>
          <t>DELI-005</t>
        </is>
      </c>
      <c r="B180" t="inlineStr">
        <is>
          <t>Delivery governance</t>
        </is>
      </c>
      <c r="C180" t="inlineStr">
        <is>
          <t>How mature is the organization in managing customer prioritization rules during capacity constraints, including ownership, evidence, metrics, fallback procedures and crisis stress testing?</t>
        </is>
      </c>
      <c r="D180" t="inlineStr">
        <is>
          <t>This topic affects exposure to Delivery disruption; Customer impact; Workforce disruption. It helps identify how disruption may impact operations, people, revenue, systems, legal exposure or recovery time.</t>
        </is>
      </c>
      <c r="E180" t="inlineStr">
        <is>
          <t>ISO 9001; ISO 22301; ITIL 4; Lean; Six Sigma; APQC; service management best practices</t>
        </is>
      </c>
      <c r="F180" t="inlineStr">
        <is>
          <t>Policy/SOP; owner/RACI; system report; dashboard; contracts; test records; incident history; interview evidence related to customer prioritization rules during capacity constraints.</t>
        </is>
      </c>
      <c r="G180">
        <f>'Assessment Questions'!J180</f>
        <v/>
      </c>
      <c r="H180">
        <f>IF($Z180="","",IF($Z180="N/A","N/A",VALUE(LEFT($Z180,1))))</f>
        <v/>
      </c>
      <c r="I180">
        <f>IF($H180="","",IF($H180="N/A","",VALUE($H180)/5*$G180))</f>
        <v/>
      </c>
      <c r="J180">
        <f>IF(OR($H180="",$H180="N/A"),"",$G180)</f>
        <v/>
      </c>
      <c r="K180">
        <f>IF(OR($H180="",$H180="N/A"),"",$J180-$I180)</f>
        <v/>
      </c>
      <c r="L180">
        <f>IF($H180="","",IF($H180="N/A","N/A",IF(VALUE($H180)&lt;=1,"Critical",IF(VALUE($H180)&lt;=2,"High",IF(VALUE($H180)&lt;=3,"Medium",IF(VALUE($H180)&lt;=4,"Low","Resilient"))))))</f>
        <v/>
      </c>
      <c r="M180" t="inlineStr">
        <is>
          <t>No reliable evidence that customer prioritization rules during capacity constraints is defined, owned or managed.</t>
        </is>
      </c>
      <c r="N180" t="inlineStr">
        <is>
          <t>Customer prioritization rules during capacity constraints is handled informally and depends on individual knowledge or heroic effort.</t>
        </is>
      </c>
      <c r="O180" t="inlineStr">
        <is>
          <t>Customer prioritization rules during capacity constraints is partially documented or implemented, but coverage is inconsistent and not crisis-tested.</t>
        </is>
      </c>
      <c r="P180" t="inlineStr">
        <is>
          <t>Customer prioritization rules during capacity constraints is documented, owned, used in normal operations and supported by basic evidence or metrics.</t>
        </is>
      </c>
      <c r="Q180" t="inlineStr">
        <is>
          <t>Customer prioritization rules during capacity constraints is measured, periodically reviewed, integrated with related processes and tested against relevant disruption scenarios.</t>
        </is>
      </c>
      <c r="R180" t="inlineStr">
        <is>
          <t>Customer prioritization rules during capacity constraints is optimized, continuously improved, automated where practical and demonstrably supports crisis resilience.</t>
        </is>
      </c>
      <c r="S180" t="inlineStr">
        <is>
          <t>Delivery disruption; Customer impact; Workforce disruption</t>
        </is>
      </c>
      <c r="T180">
        <f>'Assessment Questions'!W180</f>
        <v/>
      </c>
      <c r="U180">
        <f>'Assessment Questions'!X180</f>
        <v/>
      </c>
      <c r="V180">
        <f>'Assessment Questions'!Y180</f>
        <v/>
      </c>
      <c r="W180" t="n">
        <v>4</v>
      </c>
      <c r="X180" t="n">
        <v>5</v>
      </c>
      <c r="Y180" t="n">
        <v>5</v>
      </c>
      <c r="Z180">
        <f>'Assessment Questions'!AC180</f>
        <v/>
      </c>
      <c r="AB180">
        <f>COUNTIF($B$176:$B$199,$AA180)</f>
        <v/>
      </c>
      <c r="AC180">
        <f>IFERROR(SUMPRODUCT(($B$176:$B$199=$AA180)*($H$176:$H$199&lt;&gt;"")*($H$176:$H$199&lt;&gt;"N/A")*IFERROR(VALUE($H$176:$H$199),0))/SUMPRODUCT(($B$176:$B$199=$AA180)*($H$176:$H$199&lt;&gt;"")*($H$176:$H$199&lt;&gt;"N/A")),0)</f>
        <v/>
      </c>
      <c r="AD180">
        <f>AC180/5</f>
        <v/>
      </c>
      <c r="AE180">
        <f>COUNTIFS($B$176:$B$199,$AA180,$L$176:$L$199,"Critical")+COUNTIFS($B$176:$B$199,$AA180,$L$176:$L$199,"High")</f>
        <v/>
      </c>
      <c r="AF180">
        <f>5-AC180</f>
        <v/>
      </c>
      <c r="AG180">
        <f>SUMPRODUCT(($B$176:$B$199=$AA180)*(ISNUMBER($H$176:$H$199)+($H$176:$H$199="N/A")))</f>
        <v/>
      </c>
      <c r="AH180">
        <f>'Assessment Questions'!AK180</f>
        <v/>
      </c>
      <c r="AI180">
        <f>'Assessment Questions'!AL180</f>
        <v/>
      </c>
      <c r="AJ180">
        <f>IF(OR($H180="",$H180="N/A"),"",IF($AH180="",VLOOKUP('Company Profile'!$B$40,_CONFIG_Model_Settings!$A$5:$B$8,2,FALSE),_xlfn.IFNA(VLOOKUP($AH180,_CONFIG_Model_Settings!$A$5:$B$8,2,FALSE),0.9)))</f>
        <v/>
      </c>
      <c r="AK180">
        <f>IF(OR($H180="",$H180="N/A"),"",IF($AI180="",VLOOKUP('Company Profile'!$B$41,_CONFIG_Model_Settings!$A$5:$B$8,2,FALSE),_xlfn.IFNA(VLOOKUP($AI180,_CONFIG_Model_Settings!$A$5:$B$8,2,FALSE),0.9)))</f>
        <v/>
      </c>
      <c r="AL180">
        <f>IF(OR($H180="",$H180="N/A"),"",ROUND(VALUE($H180)*$AJ180*$AK180*$AV180,2))</f>
        <v/>
      </c>
      <c r="AM180">
        <f>IF($AL180="","",ROUND($AL180/5*100,1))</f>
        <v/>
      </c>
      <c r="AN180">
        <f>IFERROR(MIN(5,MAX(0,(SUMIFS(_REF_Model_Content!$D$1:$D$157,_REF_Model_Content!$A$1:$A$157,'Company Profile'!$B$9,_REF_Model_Content!$B$1:$B$157,"Delivery Ops"))+_xlfn.IFNA(VLOOKUP('Company Profile'!$B$35,_CONFIG_Model_Settings!$A$11:$B$13,2,0),0))),"")</f>
        <v/>
      </c>
      <c r="AO180">
        <f>IF($AL180="","",MAX(0,ROUND($AN180-$AL180,2)))</f>
        <v/>
      </c>
      <c r="AP180">
        <f>IFERROR(SUMIFS(_REF_Model_Content!$E$1:$E$157,_REF_Model_Content!$A$1:$A$157,'Company Profile'!$B$9,_REF_Model_Content!$B$1:$B$157,"Delivery Ops"),1)</f>
        <v/>
      </c>
      <c r="AQ180">
        <f>IF($AO180="","",ROUND($AO180*$AP180*($G180/5),2))</f>
        <v/>
      </c>
      <c r="AR180">
        <f>IF($AO180="","",IF($AO180&gt;=2,"Critical industry gap",IF($AO180&gt;=1,"High industry gap",IF($AO180&gt;=0.5,"Moderate industry gap","Within target"))))</f>
        <v/>
      </c>
      <c r="AS180">
        <f>IF(OR($H180="",$H180="N/A"),0,VALUE($H180)*(($AJ180+$AK180)/2)*$AV180)</f>
        <v/>
      </c>
      <c r="AT180">
        <f>IF(OR($H180="",$H180="N/A"),0,($AJ180+$AK180)/2)</f>
        <v/>
      </c>
      <c r="AU180">
        <f>'Assessment Questions'!AX180</f>
        <v/>
      </c>
      <c r="AV180">
        <f>IF(OR($H180="",$H180="N/A"),"",IF(OR($AU180="",$AU180="Everywhere",$AU180="Not applicable"),1,IF($AU180="Pilot / one team",0.4,IF($AU180="One unit or site",0.7,0.9))))</f>
        <v/>
      </c>
      <c r="AW180" t="inlineStr">
        <is>
          <t>Delivery Ops</t>
        </is>
      </c>
      <c r="AX180" t="inlineStr">
        <is>
          <t>Delivery Ops</t>
        </is>
      </c>
      <c r="AY180" t="n">
        <v>9</v>
      </c>
      <c r="AZ180" t="n">
        <v>180</v>
      </c>
    </row>
    <row r="181">
      <c r="A181" t="inlineStr">
        <is>
          <t>DELI-006</t>
        </is>
      </c>
      <c r="B181" t="inlineStr">
        <is>
          <t>Delivery governance</t>
        </is>
      </c>
      <c r="C181" t="inlineStr">
        <is>
          <t>How mature is the organization in managing delivery transparency to customers during delays, incidents or disruption, including ownership, evidence, metrics, fallback procedures and crisis stress testing?</t>
        </is>
      </c>
      <c r="D181" t="inlineStr">
        <is>
          <t>This topic affects exposure to Delivery disruption; Customer impact; Workforce disruption. It helps identify how disruption may impact operations, people, revenue, systems, legal exposure or recovery time.</t>
        </is>
      </c>
      <c r="E181" t="inlineStr">
        <is>
          <t>ISO 9001; ISO 22301; ITIL 4; Lean; Six Sigma; APQC; service management best practices</t>
        </is>
      </c>
      <c r="F181" t="inlineStr">
        <is>
          <t>Policy/SOP; owner/RACI; system report; dashboard; contracts; test records; incident history; interview evidence related to delivery transparency to customers during delays, incidents or disruption.</t>
        </is>
      </c>
      <c r="G181">
        <f>'Assessment Questions'!J181</f>
        <v/>
      </c>
      <c r="H181">
        <f>IF($Z181="","",IF($Z181="N/A","N/A",VALUE(LEFT($Z181,1))))</f>
        <v/>
      </c>
      <c r="I181">
        <f>IF($H181="","",IF($H181="N/A","",VALUE($H181)/5*$G181))</f>
        <v/>
      </c>
      <c r="J181">
        <f>IF(OR($H181="",$H181="N/A"),"",$G181)</f>
        <v/>
      </c>
      <c r="K181">
        <f>IF(OR($H181="",$H181="N/A"),"",$J181-$I181)</f>
        <v/>
      </c>
      <c r="L181">
        <f>IF($H181="","",IF($H181="N/A","N/A",IF(VALUE($H181)&lt;=1,"Critical",IF(VALUE($H181)&lt;=2,"High",IF(VALUE($H181)&lt;=3,"Medium",IF(VALUE($H181)&lt;=4,"Low","Resilient"))))))</f>
        <v/>
      </c>
      <c r="M181" t="inlineStr">
        <is>
          <t>Does not exist; no owner, no documentation, no practice.</t>
        </is>
      </c>
      <c r="N181" t="inlineStr">
        <is>
          <t>Ad hoc; depends entirely on specific individuals.</t>
        </is>
      </c>
      <c r="O181" t="inlineStr">
        <is>
          <t>Partially documented or implemented; coverage inconsistent; never tested under stress.</t>
        </is>
      </c>
      <c r="P181" t="inlineStr">
        <is>
          <t>Documented, owned, executed consistently; basic evidence and metrics exist.</t>
        </is>
      </c>
      <c r="Q181" t="inlineStr">
        <is>
          <t>Measured and periodically tested/audited; integrated with adjacent processes.</t>
        </is>
      </c>
      <c r="R181" t="inlineStr">
        <is>
          <t>Optimized and automated where practical; stress-tested; benchmarked externally.</t>
        </is>
      </c>
      <c r="S181" t="inlineStr">
        <is>
          <t>Delivery disruption; Customer impact; Workforce disruption</t>
        </is>
      </c>
      <c r="T181">
        <f>'Assessment Questions'!W181</f>
        <v/>
      </c>
      <c r="U181">
        <f>'Assessment Questions'!X181</f>
        <v/>
      </c>
      <c r="V181">
        <f>'Assessment Questions'!Y181</f>
        <v/>
      </c>
      <c r="W181" t="n">
        <v>4</v>
      </c>
      <c r="X181" t="n">
        <v>5</v>
      </c>
      <c r="Y181" t="n">
        <v>5</v>
      </c>
      <c r="Z181">
        <f>'Assessment Questions'!AC181</f>
        <v/>
      </c>
      <c r="AB181">
        <f>COUNTIF($B$176:$B$199,$AA181)</f>
        <v/>
      </c>
      <c r="AC181">
        <f>IFERROR(SUMPRODUCT(($B$176:$B$199=$AA181)*($H$176:$H$199&lt;&gt;"")*($H$176:$H$199&lt;&gt;"N/A")*IFERROR(VALUE($H$176:$H$199),0))/SUMPRODUCT(($B$176:$B$199=$AA181)*($H$176:$H$199&lt;&gt;"")*($H$176:$H$199&lt;&gt;"N/A")),0)</f>
        <v/>
      </c>
      <c r="AD181">
        <f>AC181/5</f>
        <v/>
      </c>
      <c r="AE181">
        <f>COUNTIFS($B$176:$B$199,$AA181,$L$176:$L$199,"Critical")+COUNTIFS($B$176:$B$199,$AA181,$L$176:$L$199,"High")</f>
        <v/>
      </c>
      <c r="AF181">
        <f>5-AC181</f>
        <v/>
      </c>
      <c r="AG181">
        <f>SUMPRODUCT(($B$176:$B$199=$AA181)*(ISNUMBER($H$176:$H$199)+($H$176:$H$199="N/A")))</f>
        <v/>
      </c>
      <c r="AH181">
        <f>'Assessment Questions'!AK181</f>
        <v/>
      </c>
      <c r="AI181">
        <f>'Assessment Questions'!AL181</f>
        <v/>
      </c>
      <c r="AJ181">
        <f>IF(OR($H181="",$H181="N/A"),"",IF($AH181="",VLOOKUP('Company Profile'!$B$40,_CONFIG_Model_Settings!$A$5:$B$8,2,FALSE),_xlfn.IFNA(VLOOKUP($AH181,_CONFIG_Model_Settings!$A$5:$B$8,2,FALSE),0.9)))</f>
        <v/>
      </c>
      <c r="AK181">
        <f>IF(OR($H181="",$H181="N/A"),"",IF($AI181="",VLOOKUP('Company Profile'!$B$41,_CONFIG_Model_Settings!$A$5:$B$8,2,FALSE),_xlfn.IFNA(VLOOKUP($AI181,_CONFIG_Model_Settings!$A$5:$B$8,2,FALSE),0.9)))</f>
        <v/>
      </c>
      <c r="AL181">
        <f>IF(OR($H181="",$H181="N/A"),"",ROUND(VALUE($H181)*$AJ181*$AK181*$AV181,2))</f>
        <v/>
      </c>
      <c r="AM181">
        <f>IF($AL181="","",ROUND($AL181/5*100,1))</f>
        <v/>
      </c>
      <c r="AN181">
        <f>IFERROR(MIN(5,MAX(0,(SUMIFS(_REF_Model_Content!$D$1:$D$157,_REF_Model_Content!$A$1:$A$157,'Company Profile'!$B$9,_REF_Model_Content!$B$1:$B$157,"Delivery Ops"))+_xlfn.IFNA(VLOOKUP('Company Profile'!$B$35,_CONFIG_Model_Settings!$A$11:$B$13,2,0),0))),"")</f>
        <v/>
      </c>
      <c r="AO181">
        <f>IF($AL181="","",MAX(0,ROUND($AN181-$AL181,2)))</f>
        <v/>
      </c>
      <c r="AP181">
        <f>IFERROR(SUMIFS(_REF_Model_Content!$E$1:$E$157,_REF_Model_Content!$A$1:$A$157,'Company Profile'!$B$9,_REF_Model_Content!$B$1:$B$157,"Delivery Ops"),1)</f>
        <v/>
      </c>
      <c r="AQ181">
        <f>IF($AO181="","",ROUND($AO181*$AP181*($G181/5),2))</f>
        <v/>
      </c>
      <c r="AR181">
        <f>IF($AO181="","",IF($AO181&gt;=2,"Critical industry gap",IF($AO181&gt;=1,"High industry gap",IF($AO181&gt;=0.5,"Moderate industry gap","Within target"))))</f>
        <v/>
      </c>
      <c r="AS181">
        <f>IF(OR($H181="",$H181="N/A"),0,VALUE($H181)*(($AJ181+$AK181)/2)*$AV181)</f>
        <v/>
      </c>
      <c r="AT181">
        <f>IF(OR($H181="",$H181="N/A"),0,($AJ181+$AK181)/2)</f>
        <v/>
      </c>
      <c r="AU181">
        <f>'Assessment Questions'!AX181</f>
        <v/>
      </c>
      <c r="AV181">
        <f>IF(OR($H181="",$H181="N/A"),"",IF(OR($AU181="",$AU181="Everywhere",$AU181="Not applicable"),1,IF($AU181="Pilot / one team",0.4,IF($AU181="One unit or site",0.7,0.9))))</f>
        <v/>
      </c>
      <c r="AW181" t="inlineStr">
        <is>
          <t>Delivery Ops</t>
        </is>
      </c>
      <c r="AX181" t="inlineStr">
        <is>
          <t>Delivery Ops</t>
        </is>
      </c>
      <c r="AY181" t="n">
        <v>10</v>
      </c>
      <c r="AZ181" t="n">
        <v>181</v>
      </c>
    </row>
    <row r="182">
      <c r="A182" t="inlineStr">
        <is>
          <t>DELI-007</t>
        </is>
      </c>
      <c r="B182" t="inlineStr">
        <is>
          <t>Capacity and continuity</t>
        </is>
      </c>
      <c r="C182" t="inlineStr">
        <is>
          <t>How mature is the organization in managing capacity planning for people, equipment, production lines, cloud resources, warehouses and suppliers, including ownership, evidence, metrics, fallback procedures and crisis stress testing?</t>
        </is>
      </c>
      <c r="D182" t="inlineStr">
        <is>
          <t>This topic affects exposure to Delivery disruption; Customer impact; Workforce disruption. It helps identify how disruption may impact operations, people, revenue, systems, legal exposure or recovery time.</t>
        </is>
      </c>
      <c r="E182" t="inlineStr">
        <is>
          <t>ISO 9001; ISO 22301; ITIL 4; Lean; Six Sigma; APQC; service management best practices</t>
        </is>
      </c>
      <c r="F182" t="inlineStr">
        <is>
          <t>Policy/SOP; owner/RACI; system report; dashboard; contracts; test records; incident history; interview evidence related to capacity planning for people, equipment, production lines, cloud resources, warehouses and suppliers.</t>
        </is>
      </c>
      <c r="G182">
        <f>'Assessment Questions'!J182</f>
        <v/>
      </c>
      <c r="H182">
        <f>IF($Z182="","",IF($Z182="N/A","N/A",VALUE(LEFT($Z182,1))))</f>
        <v/>
      </c>
      <c r="I182">
        <f>IF($H182="","",IF($H182="N/A","",VALUE($H182)/5*$G182))</f>
        <v/>
      </c>
      <c r="J182">
        <f>IF(OR($H182="",$H182="N/A"),"",$G182)</f>
        <v/>
      </c>
      <c r="K182">
        <f>IF(OR($H182="",$H182="N/A"),"",$J182-$I182)</f>
        <v/>
      </c>
      <c r="L182">
        <f>IF($H182="","",IF($H182="N/A","N/A",IF(VALUE($H182)&lt;=1,"Critical",IF(VALUE($H182)&lt;=2,"High",IF(VALUE($H182)&lt;=3,"Medium",IF(VALUE($H182)&lt;=4,"Low","Resilient"))))))</f>
        <v/>
      </c>
      <c r="M182" t="inlineStr">
        <is>
          <t>No plan or procedure exists.</t>
        </is>
      </c>
      <c r="N182" t="inlineStr">
        <is>
          <t>Knowledge lives with individuals; nothing usable is written down.</t>
        </is>
      </c>
      <c r="O182" t="inlineStr">
        <is>
          <t>Drafted but outdated, not approved, or unknown to the people who must use it.</t>
        </is>
      </c>
      <c r="P182" t="inlineStr">
        <is>
          <t>Approved and current; owners assigned; affected staff know it exists and where to find it.</t>
        </is>
      </c>
      <c r="Q182" t="inlineStr">
        <is>
          <t>Tested against realistic scenarios; updated after each test or real incident.</t>
        </is>
      </c>
      <c r="R182" t="inlineStr">
        <is>
          <t>Exercised regularly including external parties; readiness measured; continuously improved.</t>
        </is>
      </c>
      <c r="S182" t="inlineStr">
        <is>
          <t>Delivery disruption; Customer impact; Workforce disruption</t>
        </is>
      </c>
      <c r="T182">
        <f>'Assessment Questions'!W182</f>
        <v/>
      </c>
      <c r="U182">
        <f>'Assessment Questions'!X182</f>
        <v/>
      </c>
      <c r="V182">
        <f>'Assessment Questions'!Y182</f>
        <v/>
      </c>
      <c r="W182" t="n">
        <v>5</v>
      </c>
      <c r="X182" t="n">
        <v>5</v>
      </c>
      <c r="Y182" t="n">
        <v>5</v>
      </c>
      <c r="Z182">
        <f>'Assessment Questions'!AC182</f>
        <v/>
      </c>
      <c r="AB182">
        <f>COUNTIF($B$176:$B$199,$AA182)</f>
        <v/>
      </c>
      <c r="AC182">
        <f>IFERROR(SUMPRODUCT(($B$176:$B$199=$AA182)*($H$176:$H$199&lt;&gt;"")*($H$176:$H$199&lt;&gt;"N/A")*IFERROR(VALUE($H$176:$H$199),0))/SUMPRODUCT(($B$176:$B$199=$AA182)*($H$176:$H$199&lt;&gt;"")*($H$176:$H$199&lt;&gt;"N/A")),0)</f>
        <v/>
      </c>
      <c r="AD182">
        <f>AC182/5</f>
        <v/>
      </c>
      <c r="AE182">
        <f>COUNTIFS($B$176:$B$199,$AA182,$L$176:$L$199,"Critical")+COUNTIFS($B$176:$B$199,$AA182,$L$176:$L$199,"High")</f>
        <v/>
      </c>
      <c r="AF182">
        <f>5-AC182</f>
        <v/>
      </c>
      <c r="AG182">
        <f>SUMPRODUCT(($B$176:$B$199=$AA182)*(ISNUMBER($H$176:$H$199)+($H$176:$H$199="N/A")))</f>
        <v/>
      </c>
      <c r="AH182">
        <f>'Assessment Questions'!AK182</f>
        <v/>
      </c>
      <c r="AI182">
        <f>'Assessment Questions'!AL182</f>
        <v/>
      </c>
      <c r="AJ182">
        <f>IF(OR($H182="",$H182="N/A"),"",IF($AH182="",VLOOKUP('Company Profile'!$B$40,_CONFIG_Model_Settings!$A$5:$B$8,2,FALSE),_xlfn.IFNA(VLOOKUP($AH182,_CONFIG_Model_Settings!$A$5:$B$8,2,FALSE),0.9)))</f>
        <v/>
      </c>
      <c r="AK182">
        <f>IF(OR($H182="",$H182="N/A"),"",IF($AI182="",VLOOKUP('Company Profile'!$B$41,_CONFIG_Model_Settings!$A$5:$B$8,2,FALSE),_xlfn.IFNA(VLOOKUP($AI182,_CONFIG_Model_Settings!$A$5:$B$8,2,FALSE),0.9)))</f>
        <v/>
      </c>
      <c r="AL182">
        <f>IF(OR($H182="",$H182="N/A"),"",ROUND(VALUE($H182)*$AJ182*$AK182*$AV182,2))</f>
        <v/>
      </c>
      <c r="AM182">
        <f>IF($AL182="","",ROUND($AL182/5*100,1))</f>
        <v/>
      </c>
      <c r="AN182">
        <f>IFERROR(MIN(5,MAX(0,(SUMIFS(_REF_Model_Content!$D$1:$D$157,_REF_Model_Content!$A$1:$A$157,'Company Profile'!$B$9,_REF_Model_Content!$B$1:$B$157,"Delivery Ops"))+_xlfn.IFNA(VLOOKUP('Company Profile'!$B$35,_CONFIG_Model_Settings!$A$11:$B$13,2,0),0))),"")</f>
        <v/>
      </c>
      <c r="AO182">
        <f>IF($AL182="","",MAX(0,ROUND($AN182-$AL182,2)))</f>
        <v/>
      </c>
      <c r="AP182">
        <f>IFERROR(SUMIFS(_REF_Model_Content!$E$1:$E$157,_REF_Model_Content!$A$1:$A$157,'Company Profile'!$B$9,_REF_Model_Content!$B$1:$B$157,"Delivery Ops"),1)</f>
        <v/>
      </c>
      <c r="AQ182">
        <f>IF($AO182="","",ROUND($AO182*$AP182*($G182/5),2))</f>
        <v/>
      </c>
      <c r="AR182">
        <f>IF($AO182="","",IF($AO182&gt;=2,"Critical industry gap",IF($AO182&gt;=1,"High industry gap",IF($AO182&gt;=0.5,"Moderate industry gap","Within target"))))</f>
        <v/>
      </c>
      <c r="AS182">
        <f>IF(OR($H182="",$H182="N/A"),0,VALUE($H182)*(($AJ182+$AK182)/2)*$AV182)</f>
        <v/>
      </c>
      <c r="AT182">
        <f>IF(OR($H182="",$H182="N/A"),0,($AJ182+$AK182)/2)</f>
        <v/>
      </c>
      <c r="AU182">
        <f>'Assessment Questions'!AX182</f>
        <v/>
      </c>
      <c r="AV182">
        <f>IF(OR($H182="",$H182="N/A"),"",IF(OR($AU182="",$AU182="Everywhere",$AU182="Not applicable"),1,IF($AU182="Pilot / one team",0.4,IF($AU182="One unit or site",0.7,0.9))))</f>
        <v/>
      </c>
      <c r="AW182" t="inlineStr">
        <is>
          <t>Delivery Ops</t>
        </is>
      </c>
      <c r="AX182" t="inlineStr">
        <is>
          <t>Delivery Ops</t>
        </is>
      </c>
      <c r="AY182" t="n">
        <v>11</v>
      </c>
      <c r="AZ182" t="n">
        <v>182</v>
      </c>
    </row>
    <row r="183">
      <c r="A183" t="inlineStr">
        <is>
          <t>DELI-008</t>
        </is>
      </c>
      <c r="B183" t="inlineStr">
        <is>
          <t>Capacity and continuity</t>
        </is>
      </c>
      <c r="C183" t="inlineStr">
        <is>
          <t>How mature is the organization in managing surge capacity for demand spikes, backlog recovery and emergency orders, including ownership, evidence, metrics, fallback procedures and crisis stress testing?</t>
        </is>
      </c>
      <c r="D183" t="inlineStr">
        <is>
          <t>This topic affects exposure to Delivery disruption; Customer impact; Workforce disruption. It helps identify how disruption may impact operations, people, revenue, systems, legal exposure or recovery time.</t>
        </is>
      </c>
      <c r="E183" t="inlineStr">
        <is>
          <t>ISO 9001; ISO 22301; ITIL 4; Lean; Six Sigma; APQC; service management best practices</t>
        </is>
      </c>
      <c r="F183" t="inlineStr">
        <is>
          <t>Policy/SOP; owner/RACI; system report; dashboard; contracts; test records; incident history; interview evidence related to surge capacity for demand spikes, backlog recovery and emergency orders.</t>
        </is>
      </c>
      <c r="G183">
        <f>'Assessment Questions'!J183</f>
        <v/>
      </c>
      <c r="H183">
        <f>IF($Z183="","",IF($Z183="N/A","N/A",VALUE(LEFT($Z183,1))))</f>
        <v/>
      </c>
      <c r="I183">
        <f>IF($H183="","",IF($H183="N/A","",VALUE($H183)/5*$G183))</f>
        <v/>
      </c>
      <c r="J183">
        <f>IF(OR($H183="",$H183="N/A"),"",$G183)</f>
        <v/>
      </c>
      <c r="K183">
        <f>IF(OR($H183="",$H183="N/A"),"",$J183-$I183)</f>
        <v/>
      </c>
      <c r="L183">
        <f>IF($H183="","",IF($H183="N/A","N/A",IF(VALUE($H183)&lt;=1,"Critical",IF(VALUE($H183)&lt;=2,"High",IF(VALUE($H183)&lt;=3,"Medium",IF(VALUE($H183)&lt;=4,"Low","Resilient"))))))</f>
        <v/>
      </c>
      <c r="M183" t="inlineStr">
        <is>
          <t>Does not exist; no owner, no documentation, no practice.</t>
        </is>
      </c>
      <c r="N183" t="inlineStr">
        <is>
          <t>Ad hoc; depends entirely on specific individuals.</t>
        </is>
      </c>
      <c r="O183" t="inlineStr">
        <is>
          <t>Partially documented or implemented; coverage inconsistent; never tested under stress.</t>
        </is>
      </c>
      <c r="P183" t="inlineStr">
        <is>
          <t>Documented, owned, executed consistently; basic evidence and metrics exist.</t>
        </is>
      </c>
      <c r="Q183" t="inlineStr">
        <is>
          <t>Measured and periodically tested/audited; integrated with adjacent processes.</t>
        </is>
      </c>
      <c r="R183" t="inlineStr">
        <is>
          <t>Optimized and automated where practical; stress-tested; benchmarked externally.</t>
        </is>
      </c>
      <c r="S183" t="inlineStr">
        <is>
          <t>Delivery disruption; Customer impact; Workforce disruption</t>
        </is>
      </c>
      <c r="T183">
        <f>'Assessment Questions'!W183</f>
        <v/>
      </c>
      <c r="U183">
        <f>'Assessment Questions'!X183</f>
        <v/>
      </c>
      <c r="V183">
        <f>'Assessment Questions'!Y183</f>
        <v/>
      </c>
      <c r="W183" t="n">
        <v>4</v>
      </c>
      <c r="X183" t="n">
        <v>5</v>
      </c>
      <c r="Y183" t="n">
        <v>5</v>
      </c>
      <c r="Z183">
        <f>'Assessment Questions'!AC183</f>
        <v/>
      </c>
      <c r="AB183">
        <f>COUNTIF($B$176:$B$199,$AA183)</f>
        <v/>
      </c>
      <c r="AC183">
        <f>IFERROR(SUMPRODUCT(($B$176:$B$199=$AA183)*($H$176:$H$199&lt;&gt;"")*($H$176:$H$199&lt;&gt;"N/A")*IFERROR(VALUE($H$176:$H$199),0))/SUMPRODUCT(($B$176:$B$199=$AA183)*($H$176:$H$199&lt;&gt;"")*($H$176:$H$199&lt;&gt;"N/A")),0)</f>
        <v/>
      </c>
      <c r="AD183">
        <f>AC183/5</f>
        <v/>
      </c>
      <c r="AE183">
        <f>COUNTIFS($B$176:$B$199,$AA183,$L$176:$L$199,"Critical")+COUNTIFS($B$176:$B$199,$AA183,$L$176:$L$199,"High")</f>
        <v/>
      </c>
      <c r="AF183">
        <f>5-AC183</f>
        <v/>
      </c>
      <c r="AG183">
        <f>SUMPRODUCT(($B$176:$B$199=$AA183)*(ISNUMBER($H$176:$H$199)+($H$176:$H$199="N/A")))</f>
        <v/>
      </c>
      <c r="AH183">
        <f>'Assessment Questions'!AK183</f>
        <v/>
      </c>
      <c r="AI183">
        <f>'Assessment Questions'!AL183</f>
        <v/>
      </c>
      <c r="AJ183">
        <f>IF(OR($H183="",$H183="N/A"),"",IF($AH183="",VLOOKUP('Company Profile'!$B$40,_CONFIG_Model_Settings!$A$5:$B$8,2,FALSE),_xlfn.IFNA(VLOOKUP($AH183,_CONFIG_Model_Settings!$A$5:$B$8,2,FALSE),0.9)))</f>
        <v/>
      </c>
      <c r="AK183">
        <f>IF(OR($H183="",$H183="N/A"),"",IF($AI183="",VLOOKUP('Company Profile'!$B$41,_CONFIG_Model_Settings!$A$5:$B$8,2,FALSE),_xlfn.IFNA(VLOOKUP($AI183,_CONFIG_Model_Settings!$A$5:$B$8,2,FALSE),0.9)))</f>
        <v/>
      </c>
      <c r="AL183">
        <f>IF(OR($H183="",$H183="N/A"),"",ROUND(VALUE($H183)*$AJ183*$AK183*$AV183,2))</f>
        <v/>
      </c>
      <c r="AM183">
        <f>IF($AL183="","",ROUND($AL183/5*100,1))</f>
        <v/>
      </c>
      <c r="AN183">
        <f>IFERROR(MIN(5,MAX(0,(SUMIFS(_REF_Model_Content!$D$1:$D$157,_REF_Model_Content!$A$1:$A$157,'Company Profile'!$B$9,_REF_Model_Content!$B$1:$B$157,"Delivery Ops"))+_xlfn.IFNA(VLOOKUP('Company Profile'!$B$35,_CONFIG_Model_Settings!$A$11:$B$13,2,0),0))),"")</f>
        <v/>
      </c>
      <c r="AO183">
        <f>IF($AL183="","",MAX(0,ROUND($AN183-$AL183,2)))</f>
        <v/>
      </c>
      <c r="AP183">
        <f>IFERROR(SUMIFS(_REF_Model_Content!$E$1:$E$157,_REF_Model_Content!$A$1:$A$157,'Company Profile'!$B$9,_REF_Model_Content!$B$1:$B$157,"Delivery Ops"),1)</f>
        <v/>
      </c>
      <c r="AQ183">
        <f>IF($AO183="","",ROUND($AO183*$AP183*($G183/5),2))</f>
        <v/>
      </c>
      <c r="AR183">
        <f>IF($AO183="","",IF($AO183&gt;=2,"Critical industry gap",IF($AO183&gt;=1,"High industry gap",IF($AO183&gt;=0.5,"Moderate industry gap","Within target"))))</f>
        <v/>
      </c>
      <c r="AS183">
        <f>IF(OR($H183="",$H183="N/A"),0,VALUE($H183)*(($AJ183+$AK183)/2)*$AV183)</f>
        <v/>
      </c>
      <c r="AT183">
        <f>IF(OR($H183="",$H183="N/A"),0,($AJ183+$AK183)/2)</f>
        <v/>
      </c>
      <c r="AU183">
        <f>'Assessment Questions'!AX183</f>
        <v/>
      </c>
      <c r="AV183">
        <f>IF(OR($H183="",$H183="N/A"),"",IF(OR($AU183="",$AU183="Everywhere",$AU183="Not applicable"),1,IF($AU183="Pilot / one team",0.4,IF($AU183="One unit or site",0.7,0.9))))</f>
        <v/>
      </c>
      <c r="AW183" t="inlineStr">
        <is>
          <t>Delivery Ops</t>
        </is>
      </c>
      <c r="AX183" t="inlineStr">
        <is>
          <t>Delivery Ops</t>
        </is>
      </c>
      <c r="AY183" t="n">
        <v>12</v>
      </c>
      <c r="AZ183" t="n">
        <v>183</v>
      </c>
    </row>
    <row r="184">
      <c r="A184" t="inlineStr">
        <is>
          <t>DELI-009</t>
        </is>
      </c>
      <c r="B184" t="inlineStr">
        <is>
          <t>Capacity and continuity</t>
        </is>
      </c>
      <c r="C184" t="inlineStr">
        <is>
          <t>How mature is the organization in managing minimum viable operating model for severe constraints, including ownership, evidence, metrics, fallback procedures and crisis stress testing?</t>
        </is>
      </c>
      <c r="D184" t="inlineStr">
        <is>
          <t>This topic affects exposure to Delivery disruption; Customer impact; Workforce disruption. It helps identify how disruption may impact operations, people, revenue, systems, legal exposure or recovery time.</t>
        </is>
      </c>
      <c r="E184" t="inlineStr">
        <is>
          <t>ISO 9001; ISO 22301; ITIL 4; Lean; Six Sigma; APQC; service management best practices</t>
        </is>
      </c>
      <c r="F184" t="inlineStr">
        <is>
          <t>Policy/SOP; owner/RACI; system report; dashboard; contracts; test records; incident history; interview evidence related to minimum viable operating model for severe constraints.</t>
        </is>
      </c>
      <c r="G184">
        <f>'Assessment Questions'!J184</f>
        <v/>
      </c>
      <c r="H184">
        <f>IF($Z184="","",IF($Z184="N/A","N/A",VALUE(LEFT($Z184,1))))</f>
        <v/>
      </c>
      <c r="I184">
        <f>IF($H184="","",IF($H184="N/A","",VALUE($H184)/5*$G184))</f>
        <v/>
      </c>
      <c r="J184">
        <f>IF(OR($H184="",$H184="N/A"),"",$G184)</f>
        <v/>
      </c>
      <c r="K184">
        <f>IF(OR($H184="",$H184="N/A"),"",$J184-$I184)</f>
        <v/>
      </c>
      <c r="L184">
        <f>IF($H184="","",IF($H184="N/A","N/A",IF(VALUE($H184)&lt;=1,"Critical",IF(VALUE($H184)&lt;=2,"High",IF(VALUE($H184)&lt;=3,"Medium",IF(VALUE($H184)&lt;=4,"Low","Resilient"))))))</f>
        <v/>
      </c>
      <c r="M184" t="inlineStr">
        <is>
          <t>No reliable evidence that minimum viable operating model for severe constraints is defined, owned or managed.</t>
        </is>
      </c>
      <c r="N184" t="inlineStr">
        <is>
          <t>Minimum viable operating model for severe constraints is handled informally and depends on individual knowledge or heroic effort.</t>
        </is>
      </c>
      <c r="O184" t="inlineStr">
        <is>
          <t>Minimum viable operating model for severe constraints is partially documented or implemented, but coverage is inconsistent and not crisis-tested.</t>
        </is>
      </c>
      <c r="P184" t="inlineStr">
        <is>
          <t>Minimum viable operating model for severe constraints is documented, owned, used in normal operations and supported by basic evidence or metrics.</t>
        </is>
      </c>
      <c r="Q184" t="inlineStr">
        <is>
          <t>Minimum viable operating model for severe constraints is measured, periodically reviewed, integrated with related processes and tested against relevant disruption scenarios.</t>
        </is>
      </c>
      <c r="R184" t="inlineStr">
        <is>
          <t>Minimum viable operating model for severe constraints is optimized, continuously improved, automated where practical and demonstrably supports crisis resilience.</t>
        </is>
      </c>
      <c r="S184" t="inlineStr">
        <is>
          <t>Delivery disruption; Customer impact; Workforce disruption</t>
        </is>
      </c>
      <c r="T184">
        <f>'Assessment Questions'!W184</f>
        <v/>
      </c>
      <c r="U184">
        <f>'Assessment Questions'!X184</f>
        <v/>
      </c>
      <c r="V184">
        <f>'Assessment Questions'!Y184</f>
        <v/>
      </c>
      <c r="W184" t="n">
        <v>4</v>
      </c>
      <c r="X184" t="n">
        <v>5</v>
      </c>
      <c r="Y184" t="n">
        <v>5</v>
      </c>
      <c r="Z184">
        <f>'Assessment Questions'!AC184</f>
        <v/>
      </c>
      <c r="AB184">
        <f>COUNTIF($B$176:$B$199,$AA184)</f>
        <v/>
      </c>
      <c r="AC184">
        <f>IFERROR(SUMPRODUCT(($B$176:$B$199=$AA184)*($H$176:$H$199&lt;&gt;"")*($H$176:$H$199&lt;&gt;"N/A")*IFERROR(VALUE($H$176:$H$199),0))/SUMPRODUCT(($B$176:$B$199=$AA184)*($H$176:$H$199&lt;&gt;"")*($H$176:$H$199&lt;&gt;"N/A")),0)</f>
        <v/>
      </c>
      <c r="AD184">
        <f>AC184/5</f>
        <v/>
      </c>
      <c r="AE184">
        <f>COUNTIFS($B$176:$B$199,$AA184,$L$176:$L$199,"Critical")+COUNTIFS($B$176:$B$199,$AA184,$L$176:$L$199,"High")</f>
        <v/>
      </c>
      <c r="AF184">
        <f>5-AC184</f>
        <v/>
      </c>
      <c r="AG184">
        <f>SUMPRODUCT(($B$176:$B$199=$AA184)*(ISNUMBER($H$176:$H$199)+($H$176:$H$199="N/A")))</f>
        <v/>
      </c>
      <c r="AH184">
        <f>'Assessment Questions'!AK184</f>
        <v/>
      </c>
      <c r="AI184">
        <f>'Assessment Questions'!AL184</f>
        <v/>
      </c>
      <c r="AJ184">
        <f>IF(OR($H184="",$H184="N/A"),"",IF($AH184="",VLOOKUP('Company Profile'!$B$40,_CONFIG_Model_Settings!$A$5:$B$8,2,FALSE),_xlfn.IFNA(VLOOKUP($AH184,_CONFIG_Model_Settings!$A$5:$B$8,2,FALSE),0.9)))</f>
        <v/>
      </c>
      <c r="AK184">
        <f>IF(OR($H184="",$H184="N/A"),"",IF($AI184="",VLOOKUP('Company Profile'!$B$41,_CONFIG_Model_Settings!$A$5:$B$8,2,FALSE),_xlfn.IFNA(VLOOKUP($AI184,_CONFIG_Model_Settings!$A$5:$B$8,2,FALSE),0.9)))</f>
        <v/>
      </c>
      <c r="AL184">
        <f>IF(OR($H184="",$H184="N/A"),"",ROUND(VALUE($H184)*$AJ184*$AK184*$AV184,2))</f>
        <v/>
      </c>
      <c r="AM184">
        <f>IF($AL184="","",ROUND($AL184/5*100,1))</f>
        <v/>
      </c>
      <c r="AN184">
        <f>IFERROR(MIN(5,MAX(0,(SUMIFS(_REF_Model_Content!$D$1:$D$157,_REF_Model_Content!$A$1:$A$157,'Company Profile'!$B$9,_REF_Model_Content!$B$1:$B$157,"Delivery Ops"))+_xlfn.IFNA(VLOOKUP('Company Profile'!$B$35,_CONFIG_Model_Settings!$A$11:$B$13,2,0),0))),"")</f>
        <v/>
      </c>
      <c r="AO184">
        <f>IF($AL184="","",MAX(0,ROUND($AN184-$AL184,2)))</f>
        <v/>
      </c>
      <c r="AP184">
        <f>IFERROR(SUMIFS(_REF_Model_Content!$E$1:$E$157,_REF_Model_Content!$A$1:$A$157,'Company Profile'!$B$9,_REF_Model_Content!$B$1:$B$157,"Delivery Ops"),1)</f>
        <v/>
      </c>
      <c r="AQ184">
        <f>IF($AO184="","",ROUND($AO184*$AP184*($G184/5),2))</f>
        <v/>
      </c>
      <c r="AR184">
        <f>IF($AO184="","",IF($AO184&gt;=2,"Critical industry gap",IF($AO184&gt;=1,"High industry gap",IF($AO184&gt;=0.5,"Moderate industry gap","Within target"))))</f>
        <v/>
      </c>
      <c r="AS184">
        <f>IF(OR($H184="",$H184="N/A"),0,VALUE($H184)*(($AJ184+$AK184)/2)*$AV184)</f>
        <v/>
      </c>
      <c r="AT184">
        <f>IF(OR($H184="",$H184="N/A"),0,($AJ184+$AK184)/2)</f>
        <v/>
      </c>
      <c r="AU184">
        <f>'Assessment Questions'!AX184</f>
        <v/>
      </c>
      <c r="AV184">
        <f>IF(OR($H184="",$H184="N/A"),"",IF(OR($AU184="",$AU184="Everywhere",$AU184="Not applicable"),1,IF($AU184="Pilot / one team",0.4,IF($AU184="One unit or site",0.7,0.9))))</f>
        <v/>
      </c>
      <c r="AW184" t="inlineStr">
        <is>
          <t>Delivery Ops</t>
        </is>
      </c>
      <c r="AX184" t="inlineStr">
        <is>
          <t>Delivery Ops</t>
        </is>
      </c>
      <c r="AY184" t="n">
        <v>13</v>
      </c>
      <c r="AZ184" t="n">
        <v>184</v>
      </c>
    </row>
    <row r="185">
      <c r="A185" t="inlineStr">
        <is>
          <t>DELI-010</t>
        </is>
      </c>
      <c r="B185" t="inlineStr">
        <is>
          <t>Capacity and continuity</t>
        </is>
      </c>
      <c r="C185" t="inlineStr">
        <is>
          <t>How mature is the organization in managing cross-site or cross-team work transfer if one location or team fails, including ownership, evidence, metrics, fallback procedures and crisis stress testing?</t>
        </is>
      </c>
      <c r="D185" t="inlineStr">
        <is>
          <t>This topic affects exposure to Delivery disruption; Customer impact; Workforce disruption. It helps identify how disruption may impact operations, people, revenue, systems, legal exposure or recovery time.</t>
        </is>
      </c>
      <c r="E185" t="inlineStr">
        <is>
          <t>ISO 9001; ISO 22301; ITIL 4; Lean; Six Sigma; APQC; service management best practices</t>
        </is>
      </c>
      <c r="F185" t="inlineStr">
        <is>
          <t>Policy/SOP; owner/RACI; system report; dashboard; contracts; test records; incident history; interview evidence related to cross-site or cross-team work transfer if one location or team fails.</t>
        </is>
      </c>
      <c r="G185">
        <f>'Assessment Questions'!J185</f>
        <v/>
      </c>
      <c r="H185">
        <f>IF($Z185="","",IF($Z185="N/A","N/A",VALUE(LEFT($Z185,1))))</f>
        <v/>
      </c>
      <c r="I185">
        <f>IF($H185="","",IF($H185="N/A","",VALUE($H185)/5*$G185))</f>
        <v/>
      </c>
      <c r="J185">
        <f>IF(OR($H185="",$H185="N/A"),"",$G185)</f>
        <v/>
      </c>
      <c r="K185">
        <f>IF(OR($H185="",$H185="N/A"),"",$J185-$I185)</f>
        <v/>
      </c>
      <c r="L185">
        <f>IF($H185="","",IF($H185="N/A","N/A",IF(VALUE($H185)&lt;=1,"Critical",IF(VALUE($H185)&lt;=2,"High",IF(VALUE($H185)&lt;=3,"Medium",IF(VALUE($H185)&lt;=4,"Low","Resilient"))))))</f>
        <v/>
      </c>
      <c r="M185" t="inlineStr">
        <is>
          <t>Does not exist; no owner, no documentation, no practice.</t>
        </is>
      </c>
      <c r="N185" t="inlineStr">
        <is>
          <t>Ad hoc; depends entirely on specific individuals.</t>
        </is>
      </c>
      <c r="O185" t="inlineStr">
        <is>
          <t>Partially documented or implemented; coverage inconsistent; never tested under stress.</t>
        </is>
      </c>
      <c r="P185" t="inlineStr">
        <is>
          <t>Documented, owned, executed consistently; basic evidence and metrics exist.</t>
        </is>
      </c>
      <c r="Q185" t="inlineStr">
        <is>
          <t>Measured and periodically tested/audited; integrated with adjacent processes.</t>
        </is>
      </c>
      <c r="R185" t="inlineStr">
        <is>
          <t>Optimized and automated where practical; stress-tested; benchmarked externally.</t>
        </is>
      </c>
      <c r="S185" t="inlineStr">
        <is>
          <t>Delivery disruption; Customer impact; Workforce disruption</t>
        </is>
      </c>
      <c r="T185">
        <f>'Assessment Questions'!W185</f>
        <v/>
      </c>
      <c r="U185">
        <f>'Assessment Questions'!X185</f>
        <v/>
      </c>
      <c r="V185">
        <f>'Assessment Questions'!Y185</f>
        <v/>
      </c>
      <c r="W185" t="n">
        <v>4</v>
      </c>
      <c r="X185" t="n">
        <v>5</v>
      </c>
      <c r="Y185" t="n">
        <v>5</v>
      </c>
      <c r="Z185">
        <f>'Assessment Questions'!AC185</f>
        <v/>
      </c>
      <c r="AB185">
        <f>COUNTIF($B$176:$B$199,$AA185)</f>
        <v/>
      </c>
      <c r="AC185">
        <f>IFERROR(SUMPRODUCT(($B$176:$B$199=$AA185)*($H$176:$H$199&lt;&gt;"")*($H$176:$H$199&lt;&gt;"N/A")*IFERROR(VALUE($H$176:$H$199),0))/SUMPRODUCT(($B$176:$B$199=$AA185)*($H$176:$H$199&lt;&gt;"")*($H$176:$H$199&lt;&gt;"N/A")),0)</f>
        <v/>
      </c>
      <c r="AD185">
        <f>AC185/5</f>
        <v/>
      </c>
      <c r="AE185">
        <f>COUNTIFS($B$176:$B$199,$AA185,$L$176:$L$199,"Critical")+COUNTIFS($B$176:$B$199,$AA185,$L$176:$L$199,"High")</f>
        <v/>
      </c>
      <c r="AF185">
        <f>5-AC185</f>
        <v/>
      </c>
      <c r="AG185">
        <f>SUMPRODUCT(($B$176:$B$199=$AA185)*(ISNUMBER($H$176:$H$199)+($H$176:$H$199="N/A")))</f>
        <v/>
      </c>
      <c r="AH185">
        <f>'Assessment Questions'!AK185</f>
        <v/>
      </c>
      <c r="AI185">
        <f>'Assessment Questions'!AL185</f>
        <v/>
      </c>
      <c r="AJ185">
        <f>IF(OR($H185="",$H185="N/A"),"",IF($AH185="",VLOOKUP('Company Profile'!$B$40,_CONFIG_Model_Settings!$A$5:$B$8,2,FALSE),_xlfn.IFNA(VLOOKUP($AH185,_CONFIG_Model_Settings!$A$5:$B$8,2,FALSE),0.9)))</f>
        <v/>
      </c>
      <c r="AK185">
        <f>IF(OR($H185="",$H185="N/A"),"",IF($AI185="",VLOOKUP('Company Profile'!$B$41,_CONFIG_Model_Settings!$A$5:$B$8,2,FALSE),_xlfn.IFNA(VLOOKUP($AI185,_CONFIG_Model_Settings!$A$5:$B$8,2,FALSE),0.9)))</f>
        <v/>
      </c>
      <c r="AL185">
        <f>IF(OR($H185="",$H185="N/A"),"",ROUND(VALUE($H185)*$AJ185*$AK185*$AV185,2))</f>
        <v/>
      </c>
      <c r="AM185">
        <f>IF($AL185="","",ROUND($AL185/5*100,1))</f>
        <v/>
      </c>
      <c r="AN185">
        <f>IFERROR(MIN(5,MAX(0,(SUMIFS(_REF_Model_Content!$D$1:$D$157,_REF_Model_Content!$A$1:$A$157,'Company Profile'!$B$9,_REF_Model_Content!$B$1:$B$157,"Delivery Ops"))+_xlfn.IFNA(VLOOKUP('Company Profile'!$B$35,_CONFIG_Model_Settings!$A$11:$B$13,2,0),0))),"")</f>
        <v/>
      </c>
      <c r="AO185">
        <f>IF($AL185="","",MAX(0,ROUND($AN185-$AL185,2)))</f>
        <v/>
      </c>
      <c r="AP185">
        <f>IFERROR(SUMIFS(_REF_Model_Content!$E$1:$E$157,_REF_Model_Content!$A$1:$A$157,'Company Profile'!$B$9,_REF_Model_Content!$B$1:$B$157,"Delivery Ops"),1)</f>
        <v/>
      </c>
      <c r="AQ185">
        <f>IF($AO185="","",ROUND($AO185*$AP185*($G185/5),2))</f>
        <v/>
      </c>
      <c r="AR185">
        <f>IF($AO185="","",IF($AO185&gt;=2,"Critical industry gap",IF($AO185&gt;=1,"High industry gap",IF($AO185&gt;=0.5,"Moderate industry gap","Within target"))))</f>
        <v/>
      </c>
      <c r="AS185">
        <f>IF(OR($H185="",$H185="N/A"),0,VALUE($H185)*(($AJ185+$AK185)/2)*$AV185)</f>
        <v/>
      </c>
      <c r="AT185">
        <f>IF(OR($H185="",$H185="N/A"),0,($AJ185+$AK185)/2)</f>
        <v/>
      </c>
      <c r="AU185">
        <f>'Assessment Questions'!AX185</f>
        <v/>
      </c>
      <c r="AV185">
        <f>IF(OR($H185="",$H185="N/A"),"",IF(OR($AU185="",$AU185="Everywhere",$AU185="Not applicable"),1,IF($AU185="Pilot / one team",0.4,IF($AU185="One unit or site",0.7,0.9))))</f>
        <v/>
      </c>
      <c r="AW185" t="inlineStr">
        <is>
          <t>Delivery Ops</t>
        </is>
      </c>
      <c r="AX185" t="inlineStr">
        <is>
          <t>Delivery Ops</t>
        </is>
      </c>
      <c r="AY185" t="n">
        <v>14</v>
      </c>
      <c r="AZ185" t="n">
        <v>185</v>
      </c>
    </row>
    <row r="186">
      <c r="A186" t="inlineStr">
        <is>
          <t>DELI-011</t>
        </is>
      </c>
      <c r="B186" t="inlineStr">
        <is>
          <t>Capacity and continuity</t>
        </is>
      </c>
      <c r="C186" t="inlineStr">
        <is>
          <t>How mature is the organization in managing recovery sequencing for processes, systems, teams, sites and customers, including ownership, evidence, metrics, fallback procedures and crisis stress testing?</t>
        </is>
      </c>
      <c r="D186" t="inlineStr">
        <is>
          <t>This topic affects exposure to Delivery disruption; Customer impact; Workforce disruption. It helps identify how disruption may impact operations, people, revenue, systems, legal exposure or recovery time.</t>
        </is>
      </c>
      <c r="E186" t="inlineStr">
        <is>
          <t>ISO 9001; ISO 22301; ITIL 4; Lean; Six Sigma; APQC; service management best practices</t>
        </is>
      </c>
      <c r="F186" t="inlineStr">
        <is>
          <t>Policy/SOP; owner/RACI; system report; dashboard; contracts; test records; incident history; interview evidence related to recovery sequencing for processes, systems, teams, sites and customers.</t>
        </is>
      </c>
      <c r="G186">
        <f>'Assessment Questions'!J186</f>
        <v/>
      </c>
      <c r="H186">
        <f>IF($Z186="","",IF($Z186="N/A","N/A",VALUE(LEFT($Z186,1))))</f>
        <v/>
      </c>
      <c r="I186">
        <f>IF($H186="","",IF($H186="N/A","",VALUE($H186)/5*$G186))</f>
        <v/>
      </c>
      <c r="J186">
        <f>IF(OR($H186="",$H186="N/A"),"",$G186)</f>
        <v/>
      </c>
      <c r="K186">
        <f>IF(OR($H186="",$H186="N/A"),"",$J186-$I186)</f>
        <v/>
      </c>
      <c r="L186">
        <f>IF($H186="","",IF($H186="N/A","N/A",IF(VALUE($H186)&lt;=1,"Critical",IF(VALUE($H186)&lt;=2,"High",IF(VALUE($H186)&lt;=3,"Medium",IF(VALUE($H186)&lt;=4,"Low","Resilient"))))))</f>
        <v/>
      </c>
      <c r="M186" t="inlineStr">
        <is>
          <t>Does not exist; no owner, no documentation, no practice.</t>
        </is>
      </c>
      <c r="N186" t="inlineStr">
        <is>
          <t>Ad hoc; depends entirely on specific individuals.</t>
        </is>
      </c>
      <c r="O186" t="inlineStr">
        <is>
          <t>Partially documented or implemented; coverage inconsistent; never tested under stress.</t>
        </is>
      </c>
      <c r="P186" t="inlineStr">
        <is>
          <t>Documented, owned, executed consistently; basic evidence and metrics exist.</t>
        </is>
      </c>
      <c r="Q186" t="inlineStr">
        <is>
          <t>Measured and periodically tested/audited; integrated with adjacent processes.</t>
        </is>
      </c>
      <c r="R186" t="inlineStr">
        <is>
          <t>Optimized and automated where practical; stress-tested; benchmarked externally.</t>
        </is>
      </c>
      <c r="S186" t="inlineStr">
        <is>
          <t>Delivery disruption; Customer impact; Workforce disruption</t>
        </is>
      </c>
      <c r="T186">
        <f>'Assessment Questions'!W186</f>
        <v/>
      </c>
      <c r="U186">
        <f>'Assessment Questions'!X186</f>
        <v/>
      </c>
      <c r="V186">
        <f>'Assessment Questions'!Y186</f>
        <v/>
      </c>
      <c r="W186" t="n">
        <v>4</v>
      </c>
      <c r="X186" t="n">
        <v>5</v>
      </c>
      <c r="Y186" t="n">
        <v>5</v>
      </c>
      <c r="Z186">
        <f>'Assessment Questions'!AC186</f>
        <v/>
      </c>
      <c r="AB186">
        <f>COUNTIF($B$176:$B$199,$AA186)</f>
        <v/>
      </c>
      <c r="AC186">
        <f>IFERROR(SUMPRODUCT(($B$176:$B$199=$AA186)*($H$176:$H$199&lt;&gt;"")*($H$176:$H$199&lt;&gt;"N/A")*IFERROR(VALUE($H$176:$H$199),0))/SUMPRODUCT(($B$176:$B$199=$AA186)*($H$176:$H$199&lt;&gt;"")*($H$176:$H$199&lt;&gt;"N/A")),0)</f>
        <v/>
      </c>
      <c r="AD186">
        <f>AC186/5</f>
        <v/>
      </c>
      <c r="AE186">
        <f>COUNTIFS($B$176:$B$199,$AA186,$L$176:$L$199,"Critical")+COUNTIFS($B$176:$B$199,$AA186,$L$176:$L$199,"High")</f>
        <v/>
      </c>
      <c r="AF186">
        <f>5-AC186</f>
        <v/>
      </c>
      <c r="AG186">
        <f>SUMPRODUCT(($B$176:$B$199=$AA186)*(ISNUMBER($H$176:$H$199)+($H$176:$H$199="N/A")))</f>
        <v/>
      </c>
      <c r="AH186">
        <f>'Assessment Questions'!AK186</f>
        <v/>
      </c>
      <c r="AI186">
        <f>'Assessment Questions'!AL186</f>
        <v/>
      </c>
      <c r="AJ186">
        <f>IF(OR($H186="",$H186="N/A"),"",IF($AH186="",VLOOKUP('Company Profile'!$B$40,_CONFIG_Model_Settings!$A$5:$B$8,2,FALSE),_xlfn.IFNA(VLOOKUP($AH186,_CONFIG_Model_Settings!$A$5:$B$8,2,FALSE),0.9)))</f>
        <v/>
      </c>
      <c r="AK186">
        <f>IF(OR($H186="",$H186="N/A"),"",IF($AI186="",VLOOKUP('Company Profile'!$B$41,_CONFIG_Model_Settings!$A$5:$B$8,2,FALSE),_xlfn.IFNA(VLOOKUP($AI186,_CONFIG_Model_Settings!$A$5:$B$8,2,FALSE),0.9)))</f>
        <v/>
      </c>
      <c r="AL186">
        <f>IF(OR($H186="",$H186="N/A"),"",ROUND(VALUE($H186)*$AJ186*$AK186*$AV186,2))</f>
        <v/>
      </c>
      <c r="AM186">
        <f>IF($AL186="","",ROUND($AL186/5*100,1))</f>
        <v/>
      </c>
      <c r="AN186">
        <f>IFERROR(MIN(5,MAX(0,(SUMIFS(_REF_Model_Content!$D$1:$D$157,_REF_Model_Content!$A$1:$A$157,'Company Profile'!$B$9,_REF_Model_Content!$B$1:$B$157,"Delivery Ops"))+_xlfn.IFNA(VLOOKUP('Company Profile'!$B$35,_CONFIG_Model_Settings!$A$11:$B$13,2,0),0))),"")</f>
        <v/>
      </c>
      <c r="AO186">
        <f>IF($AL186="","",MAX(0,ROUND($AN186-$AL186,2)))</f>
        <v/>
      </c>
      <c r="AP186">
        <f>IFERROR(SUMIFS(_REF_Model_Content!$E$1:$E$157,_REF_Model_Content!$A$1:$A$157,'Company Profile'!$B$9,_REF_Model_Content!$B$1:$B$157,"Delivery Ops"),1)</f>
        <v/>
      </c>
      <c r="AQ186">
        <f>IF($AO186="","",ROUND($AO186*$AP186*($G186/5),2))</f>
        <v/>
      </c>
      <c r="AR186">
        <f>IF($AO186="","",IF($AO186&gt;=2,"Critical industry gap",IF($AO186&gt;=1,"High industry gap",IF($AO186&gt;=0.5,"Moderate industry gap","Within target"))))</f>
        <v/>
      </c>
      <c r="AS186">
        <f>IF(OR($H186="",$H186="N/A"),0,VALUE($H186)*(($AJ186+$AK186)/2)*$AV186)</f>
        <v/>
      </c>
      <c r="AT186">
        <f>IF(OR($H186="",$H186="N/A"),0,($AJ186+$AK186)/2)</f>
        <v/>
      </c>
      <c r="AU186">
        <f>'Assessment Questions'!AX186</f>
        <v/>
      </c>
      <c r="AV186">
        <f>IF(OR($H186="",$H186="N/A"),"",IF(OR($AU186="",$AU186="Everywhere",$AU186="Not applicable"),1,IF($AU186="Pilot / one team",0.4,IF($AU186="One unit or site",0.7,0.9))))</f>
        <v/>
      </c>
      <c r="AW186" t="inlineStr">
        <is>
          <t>Delivery Ops</t>
        </is>
      </c>
      <c r="AX186" t="inlineStr">
        <is>
          <t>Delivery Ops</t>
        </is>
      </c>
      <c r="AY186" t="n">
        <v>15</v>
      </c>
      <c r="AZ186" t="n">
        <v>186</v>
      </c>
    </row>
    <row r="187">
      <c r="A187" t="inlineStr">
        <is>
          <t>DELI-012</t>
        </is>
      </c>
      <c r="B187" t="inlineStr">
        <is>
          <t>Capacity and continuity</t>
        </is>
      </c>
      <c r="C187" t="inlineStr">
        <is>
          <t>How mature is the organization in managing delivery tabletop exercises with absent people, unavailable systems or supplier failure, including ownership, evidence, metrics, fallback procedures and crisis stress testing?</t>
        </is>
      </c>
      <c r="D187" t="inlineStr">
        <is>
          <t>This topic affects exposure to Delivery disruption; Customer impact; Workforce disruption. It helps identify how disruption may impact operations, people, revenue, systems, legal exposure or recovery time.</t>
        </is>
      </c>
      <c r="E187" t="inlineStr">
        <is>
          <t>ISO 9001; ISO 22301; ITIL 4; Lean; Six Sigma; APQC; service management best practices</t>
        </is>
      </c>
      <c r="F187" t="inlineStr">
        <is>
          <t>Policy/SOP; owner/RACI; system report; dashboard; contracts; test records; incident history; interview evidence related to delivery tabletop exercises with absent people, unavailable systems or supplier failure.</t>
        </is>
      </c>
      <c r="G187">
        <f>'Assessment Questions'!J187</f>
        <v/>
      </c>
      <c r="H187">
        <f>IF($Z187="","",IF($Z187="N/A","N/A",VALUE(LEFT($Z187,1))))</f>
        <v/>
      </c>
      <c r="I187">
        <f>IF($H187="","",IF($H187="N/A","",VALUE($H187)/5*$G187))</f>
        <v/>
      </c>
      <c r="J187">
        <f>IF(OR($H187="",$H187="N/A"),"",$G187)</f>
        <v/>
      </c>
      <c r="K187">
        <f>IF(OR($H187="",$H187="N/A"),"",$J187-$I187)</f>
        <v/>
      </c>
      <c r="L187">
        <f>IF($H187="","",IF($H187="N/A","N/A",IF(VALUE($H187)&lt;=1,"Critical",IF(VALUE($H187)&lt;=2,"High",IF(VALUE($H187)&lt;=3,"Medium",IF(VALUE($H187)&lt;=4,"Low","Resilient"))))))</f>
        <v/>
      </c>
      <c r="M187" t="inlineStr">
        <is>
          <t>Never done; no records exist.</t>
        </is>
      </c>
      <c r="N187" t="inlineStr">
        <is>
          <t>Done once long ago or only after an incident; no schedule, no records.</t>
        </is>
      </c>
      <c r="O187" t="inlineStr">
        <is>
          <t>Done irregularly; results are not documented and findings are not tracked.</t>
        </is>
      </c>
      <c r="P187" t="inlineStr">
        <is>
          <t>Done on a defined schedule (at least annually); results documented, owner assigned.</t>
        </is>
      </c>
      <c r="Q187" t="inlineStr">
        <is>
          <t>Done quarterly/semi-annually; findings tracked to closure, effectiveness measured against targets.</t>
        </is>
      </c>
      <c r="R187" t="inlineStr">
        <is>
          <t>Continuous or automated where possible; results drive improvements and are validated externally (audit/customer).</t>
        </is>
      </c>
      <c r="S187" t="inlineStr">
        <is>
          <t>Delivery disruption; Customer impact; Workforce disruption</t>
        </is>
      </c>
      <c r="T187">
        <f>'Assessment Questions'!W187</f>
        <v/>
      </c>
      <c r="U187">
        <f>'Assessment Questions'!X187</f>
        <v/>
      </c>
      <c r="V187">
        <f>'Assessment Questions'!Y187</f>
        <v/>
      </c>
      <c r="W187" t="n">
        <v>4</v>
      </c>
      <c r="X187" t="n">
        <v>5</v>
      </c>
      <c r="Y187" t="n">
        <v>5</v>
      </c>
      <c r="Z187">
        <f>'Assessment Questions'!AC187</f>
        <v/>
      </c>
      <c r="AB187">
        <f>COUNTIF($B$176:$B$199,$AA187)</f>
        <v/>
      </c>
      <c r="AC187">
        <f>IFERROR(SUMPRODUCT(($B$176:$B$199=$AA187)*($H$176:$H$199&lt;&gt;"")*($H$176:$H$199&lt;&gt;"N/A")*IFERROR(VALUE($H$176:$H$199),0))/SUMPRODUCT(($B$176:$B$199=$AA187)*($H$176:$H$199&lt;&gt;"")*($H$176:$H$199&lt;&gt;"N/A")),0)</f>
        <v/>
      </c>
      <c r="AD187">
        <f>AC187/5</f>
        <v/>
      </c>
      <c r="AE187">
        <f>COUNTIFS($B$176:$B$199,$AA187,$L$176:$L$199,"Critical")+COUNTIFS($B$176:$B$199,$AA187,$L$176:$L$199,"High")</f>
        <v/>
      </c>
      <c r="AF187">
        <f>5-AC187</f>
        <v/>
      </c>
      <c r="AG187">
        <f>SUMPRODUCT(($B$176:$B$199=$AA187)*(ISNUMBER($H$176:$H$199)+($H$176:$H$199="N/A")))</f>
        <v/>
      </c>
      <c r="AH187">
        <f>'Assessment Questions'!AK187</f>
        <v/>
      </c>
      <c r="AI187">
        <f>'Assessment Questions'!AL187</f>
        <v/>
      </c>
      <c r="AJ187">
        <f>IF(OR($H187="",$H187="N/A"),"",IF($AH187="",VLOOKUP('Company Profile'!$B$40,_CONFIG_Model_Settings!$A$5:$B$8,2,FALSE),_xlfn.IFNA(VLOOKUP($AH187,_CONFIG_Model_Settings!$A$5:$B$8,2,FALSE),0.9)))</f>
        <v/>
      </c>
      <c r="AK187">
        <f>IF(OR($H187="",$H187="N/A"),"",IF($AI187="",VLOOKUP('Company Profile'!$B$41,_CONFIG_Model_Settings!$A$5:$B$8,2,FALSE),_xlfn.IFNA(VLOOKUP($AI187,_CONFIG_Model_Settings!$A$5:$B$8,2,FALSE),0.9)))</f>
        <v/>
      </c>
      <c r="AL187">
        <f>IF(OR($H187="",$H187="N/A"),"",ROUND(VALUE($H187)*$AJ187*$AK187*$AV187,2))</f>
        <v/>
      </c>
      <c r="AM187">
        <f>IF($AL187="","",ROUND($AL187/5*100,1))</f>
        <v/>
      </c>
      <c r="AN187">
        <f>IFERROR(MIN(5,MAX(0,(SUMIFS(_REF_Model_Content!$D$1:$D$157,_REF_Model_Content!$A$1:$A$157,'Company Profile'!$B$9,_REF_Model_Content!$B$1:$B$157,"Delivery Ops"))+_xlfn.IFNA(VLOOKUP('Company Profile'!$B$35,_CONFIG_Model_Settings!$A$11:$B$13,2,0),0))),"")</f>
        <v/>
      </c>
      <c r="AO187">
        <f>IF($AL187="","",MAX(0,ROUND($AN187-$AL187,2)))</f>
        <v/>
      </c>
      <c r="AP187">
        <f>IFERROR(SUMIFS(_REF_Model_Content!$E$1:$E$157,_REF_Model_Content!$A$1:$A$157,'Company Profile'!$B$9,_REF_Model_Content!$B$1:$B$157,"Delivery Ops"),1)</f>
        <v/>
      </c>
      <c r="AQ187">
        <f>IF($AO187="","",ROUND($AO187*$AP187*($G187/5),2))</f>
        <v/>
      </c>
      <c r="AR187">
        <f>IF($AO187="","",IF($AO187&gt;=2,"Critical industry gap",IF($AO187&gt;=1,"High industry gap",IF($AO187&gt;=0.5,"Moderate industry gap","Within target"))))</f>
        <v/>
      </c>
      <c r="AS187">
        <f>IF(OR($H187="",$H187="N/A"),0,VALUE($H187)*(($AJ187+$AK187)/2)*$AV187)</f>
        <v/>
      </c>
      <c r="AT187">
        <f>IF(OR($H187="",$H187="N/A"),0,($AJ187+$AK187)/2)</f>
        <v/>
      </c>
      <c r="AU187">
        <f>'Assessment Questions'!AX187</f>
        <v/>
      </c>
      <c r="AV187">
        <f>IF(OR($H187="",$H187="N/A"),"",IF(OR($AU187="",$AU187="Everywhere",$AU187="Not applicable"),1,IF($AU187="Pilot / one team",0.4,IF($AU187="One unit or site",0.7,0.9))))</f>
        <v/>
      </c>
      <c r="AW187" t="inlineStr">
        <is>
          <t>Delivery Ops</t>
        </is>
      </c>
      <c r="AX187" t="inlineStr">
        <is>
          <t>Delivery Ops</t>
        </is>
      </c>
      <c r="AY187" t="n">
        <v>16</v>
      </c>
      <c r="AZ187" t="n">
        <v>187</v>
      </c>
    </row>
    <row r="188">
      <c r="A188" t="inlineStr">
        <is>
          <t>DELI-013</t>
        </is>
      </c>
      <c r="B188" t="inlineStr">
        <is>
          <t>Process control</t>
        </is>
      </c>
      <c r="C188" t="inlineStr">
        <is>
          <t>How mature is the organization in managing SOP documentation for critical delivery activities, including ownership, evidence, metrics, fallback procedures and crisis stress testing?</t>
        </is>
      </c>
      <c r="D188" t="inlineStr">
        <is>
          <t>This topic affects exposure to Delivery disruption; Customer impact; Workforce disruption. It helps identify how disruption may impact operations, people, revenue, systems, legal exposure or recovery time.</t>
        </is>
      </c>
      <c r="E188" t="inlineStr">
        <is>
          <t>ISO 9001; ISO 22301; ITIL 4; Lean; Six Sigma; APQC; service management best practices</t>
        </is>
      </c>
      <c r="F188" t="inlineStr">
        <is>
          <t>Policy/SOP; owner/RACI; system report; dashboard; contracts; test records; incident history; interview evidence related to SOP documentation for critical delivery activities.</t>
        </is>
      </c>
      <c r="G188">
        <f>'Assessment Questions'!J188</f>
        <v/>
      </c>
      <c r="H188">
        <f>IF($Z188="","",IF($Z188="N/A","N/A",VALUE(LEFT($Z188,1))))</f>
        <v/>
      </c>
      <c r="I188">
        <f>IF($H188="","",IF($H188="N/A","",VALUE($H188)/5*$G188))</f>
        <v/>
      </c>
      <c r="J188">
        <f>IF(OR($H188="",$H188="N/A"),"",$G188)</f>
        <v/>
      </c>
      <c r="K188">
        <f>IF(OR($H188="",$H188="N/A"),"",$J188-$I188)</f>
        <v/>
      </c>
      <c r="L188">
        <f>IF($H188="","",IF($H188="N/A","N/A",IF(VALUE($H188)&lt;=1,"Critical",IF(VALUE($H188)&lt;=2,"High",IF(VALUE($H188)&lt;=3,"Medium",IF(VALUE($H188)&lt;=4,"Low","Resilient"))))))</f>
        <v/>
      </c>
      <c r="M188" t="inlineStr">
        <is>
          <t>Does not exist; no owner, no documentation, no practice.</t>
        </is>
      </c>
      <c r="N188" t="inlineStr">
        <is>
          <t>Ad hoc; depends entirely on specific individuals.</t>
        </is>
      </c>
      <c r="O188" t="inlineStr">
        <is>
          <t>Partially documented or implemented; coverage inconsistent; never tested under stress.</t>
        </is>
      </c>
      <c r="P188" t="inlineStr">
        <is>
          <t>Documented, owned, executed consistently; basic evidence and metrics exist.</t>
        </is>
      </c>
      <c r="Q188" t="inlineStr">
        <is>
          <t>Measured and periodically tested/audited; integrated with adjacent processes.</t>
        </is>
      </c>
      <c r="R188" t="inlineStr">
        <is>
          <t>Optimized and automated where practical; stress-tested; benchmarked externally.</t>
        </is>
      </c>
      <c r="S188" t="inlineStr">
        <is>
          <t>Delivery disruption; Customer impact; Workforce disruption</t>
        </is>
      </c>
      <c r="T188">
        <f>'Assessment Questions'!W188</f>
        <v/>
      </c>
      <c r="U188">
        <f>'Assessment Questions'!X188</f>
        <v/>
      </c>
      <c r="V188">
        <f>'Assessment Questions'!Y188</f>
        <v/>
      </c>
      <c r="W188" t="n">
        <v>4</v>
      </c>
      <c r="X188" t="n">
        <v>5</v>
      </c>
      <c r="Y188" t="n">
        <v>5</v>
      </c>
      <c r="Z188">
        <f>'Assessment Questions'!AC188</f>
        <v/>
      </c>
      <c r="AB188">
        <f>COUNTIF($B$176:$B$199,$AA188)</f>
        <v/>
      </c>
      <c r="AC188">
        <f>IFERROR(SUMPRODUCT(($B$176:$B$199=$AA188)*($H$176:$H$199&lt;&gt;"")*($H$176:$H$199&lt;&gt;"N/A")*IFERROR(VALUE($H$176:$H$199),0))/SUMPRODUCT(($B$176:$B$199=$AA188)*($H$176:$H$199&lt;&gt;"")*($H$176:$H$199&lt;&gt;"N/A")),0)</f>
        <v/>
      </c>
      <c r="AD188">
        <f>AC188/5</f>
        <v/>
      </c>
      <c r="AE188">
        <f>COUNTIFS($B$176:$B$199,$AA188,$L$176:$L$199,"Critical")+COUNTIFS($B$176:$B$199,$AA188,$L$176:$L$199,"High")</f>
        <v/>
      </c>
      <c r="AF188">
        <f>5-AC188</f>
        <v/>
      </c>
      <c r="AG188">
        <f>SUMPRODUCT(($B$176:$B$199=$AA188)*(ISNUMBER($H$176:$H$199)+($H$176:$H$199="N/A")))</f>
        <v/>
      </c>
      <c r="AH188">
        <f>'Assessment Questions'!AK188</f>
        <v/>
      </c>
      <c r="AI188">
        <f>'Assessment Questions'!AL188</f>
        <v/>
      </c>
      <c r="AJ188">
        <f>IF(OR($H188="",$H188="N/A"),"",IF($AH188="",VLOOKUP('Company Profile'!$B$40,_CONFIG_Model_Settings!$A$5:$B$8,2,FALSE),_xlfn.IFNA(VLOOKUP($AH188,_CONFIG_Model_Settings!$A$5:$B$8,2,FALSE),0.9)))</f>
        <v/>
      </c>
      <c r="AK188">
        <f>IF(OR($H188="",$H188="N/A"),"",IF($AI188="",VLOOKUP('Company Profile'!$B$41,_CONFIG_Model_Settings!$A$5:$B$8,2,FALSE),_xlfn.IFNA(VLOOKUP($AI188,_CONFIG_Model_Settings!$A$5:$B$8,2,FALSE),0.9)))</f>
        <v/>
      </c>
      <c r="AL188">
        <f>IF(OR($H188="",$H188="N/A"),"",ROUND(VALUE($H188)*$AJ188*$AK188*$AV188,2))</f>
        <v/>
      </c>
      <c r="AM188">
        <f>IF($AL188="","",ROUND($AL188/5*100,1))</f>
        <v/>
      </c>
      <c r="AN188">
        <f>IFERROR(MIN(5,MAX(0,(SUMIFS(_REF_Model_Content!$D$1:$D$157,_REF_Model_Content!$A$1:$A$157,'Company Profile'!$B$9,_REF_Model_Content!$B$1:$B$157,"Delivery Ops"))+_xlfn.IFNA(VLOOKUP('Company Profile'!$B$35,_CONFIG_Model_Settings!$A$11:$B$13,2,0),0))),"")</f>
        <v/>
      </c>
      <c r="AO188">
        <f>IF($AL188="","",MAX(0,ROUND($AN188-$AL188,2)))</f>
        <v/>
      </c>
      <c r="AP188">
        <f>IFERROR(SUMIFS(_REF_Model_Content!$E$1:$E$157,_REF_Model_Content!$A$1:$A$157,'Company Profile'!$B$9,_REF_Model_Content!$B$1:$B$157,"Delivery Ops"),1)</f>
        <v/>
      </c>
      <c r="AQ188">
        <f>IF($AO188="","",ROUND($AO188*$AP188*($G188/5),2))</f>
        <v/>
      </c>
      <c r="AR188">
        <f>IF($AO188="","",IF($AO188&gt;=2,"Critical industry gap",IF($AO188&gt;=1,"High industry gap",IF($AO188&gt;=0.5,"Moderate industry gap","Within target"))))</f>
        <v/>
      </c>
      <c r="AS188">
        <f>IF(OR($H188="",$H188="N/A"),0,VALUE($H188)*(($AJ188+$AK188)/2)*$AV188)</f>
        <v/>
      </c>
      <c r="AT188">
        <f>IF(OR($H188="",$H188="N/A"),0,($AJ188+$AK188)/2)</f>
        <v/>
      </c>
      <c r="AU188">
        <f>'Assessment Questions'!AX188</f>
        <v/>
      </c>
      <c r="AV188">
        <f>IF(OR($H188="",$H188="N/A"),"",IF(OR($AU188="",$AU188="Everywhere",$AU188="Not applicable"),1,IF($AU188="Pilot / one team",0.4,IF($AU188="One unit or site",0.7,0.9))))</f>
        <v/>
      </c>
      <c r="AW188" t="inlineStr">
        <is>
          <t>Delivery Ops</t>
        </is>
      </c>
      <c r="AX188" t="inlineStr">
        <is>
          <t>Delivery Ops</t>
        </is>
      </c>
      <c r="AY188" t="n">
        <v>17</v>
      </c>
      <c r="AZ188" t="n">
        <v>188</v>
      </c>
    </row>
    <row r="189">
      <c r="A189" t="inlineStr">
        <is>
          <t>DELI-014</t>
        </is>
      </c>
      <c r="B189" t="inlineStr">
        <is>
          <t>Process control</t>
        </is>
      </c>
      <c r="C189" t="inlineStr">
        <is>
          <t>How mature is the organization in managing handover procedures between shifts, teams, vendors and customers, including ownership, evidence, metrics, fallback procedures and crisis stress testing?</t>
        </is>
      </c>
      <c r="D189" t="inlineStr">
        <is>
          <t>This topic affects exposure to Delivery disruption; Customer impact; Workforce disruption. It helps identify how disruption may impact operations, people, revenue, systems, legal exposure or recovery time.</t>
        </is>
      </c>
      <c r="E189" t="inlineStr">
        <is>
          <t>ISO 9001; ISO 22301; ITIL 4; Lean; Six Sigma; APQC; service management best practices</t>
        </is>
      </c>
      <c r="F189" t="inlineStr">
        <is>
          <t>Policy/SOP; owner/RACI; system report; dashboard; contracts; test records; incident history; interview evidence related to handover procedures between shifts, teams, vendors and customers.</t>
        </is>
      </c>
      <c r="G189">
        <f>'Assessment Questions'!J189</f>
        <v/>
      </c>
      <c r="H189">
        <f>IF($Z189="","",IF($Z189="N/A","N/A",VALUE(LEFT($Z189,1))))</f>
        <v/>
      </c>
      <c r="I189">
        <f>IF($H189="","",IF($H189="N/A","",VALUE($H189)/5*$G189))</f>
        <v/>
      </c>
      <c r="J189">
        <f>IF(OR($H189="",$H189="N/A"),"",$G189)</f>
        <v/>
      </c>
      <c r="K189">
        <f>IF(OR($H189="",$H189="N/A"),"",$J189-$I189)</f>
        <v/>
      </c>
      <c r="L189">
        <f>IF($H189="","",IF($H189="N/A","N/A",IF(VALUE($H189)&lt;=1,"Critical",IF(VALUE($H189)&lt;=2,"High",IF(VALUE($H189)&lt;=3,"Medium",IF(VALUE($H189)&lt;=4,"Low","Resilient"))))))</f>
        <v/>
      </c>
      <c r="M189" t="inlineStr">
        <is>
          <t>No reliable evidence that handover procedures between shifts, teams, vendors and customers is defined, owned or managed.</t>
        </is>
      </c>
      <c r="N189" t="inlineStr">
        <is>
          <t>Handover procedures between shifts, teams, vendors and customers is handled informally and depends on individual knowledge or heroic effort.</t>
        </is>
      </c>
      <c r="O189" t="inlineStr">
        <is>
          <t>Handover procedures between shifts, teams, vendors and customers is partially documented or implemented, but coverage is inconsistent and not crisis-tested.</t>
        </is>
      </c>
      <c r="P189" t="inlineStr">
        <is>
          <t>Handover procedures between shifts, teams, vendors and customers is documented, owned, used in normal operations and supported by basic evidence or metrics.</t>
        </is>
      </c>
      <c r="Q189" t="inlineStr">
        <is>
          <t>Handover procedures between shifts, teams, vendors and customers is measured, periodically reviewed, integrated with related processes and tested against relevant disruption scenarios.</t>
        </is>
      </c>
      <c r="R189" t="inlineStr">
        <is>
          <t>Handover procedures between shifts, teams, vendors and customers is optimized, continuously improved, automated where practical and demonstrably supports crisis resilience.</t>
        </is>
      </c>
      <c r="S189" t="inlineStr">
        <is>
          <t>Delivery disruption; Customer impact; Workforce disruption</t>
        </is>
      </c>
      <c r="T189">
        <f>'Assessment Questions'!W189</f>
        <v/>
      </c>
      <c r="U189">
        <f>'Assessment Questions'!X189</f>
        <v/>
      </c>
      <c r="V189">
        <f>'Assessment Questions'!Y189</f>
        <v/>
      </c>
      <c r="W189" t="n">
        <v>4</v>
      </c>
      <c r="X189" t="n">
        <v>5</v>
      </c>
      <c r="Y189" t="n">
        <v>5</v>
      </c>
      <c r="Z189">
        <f>'Assessment Questions'!AC189</f>
        <v/>
      </c>
      <c r="AB189">
        <f>COUNTIF($B$176:$B$199,$AA189)</f>
        <v/>
      </c>
      <c r="AC189">
        <f>IFERROR(SUMPRODUCT(($B$176:$B$199=$AA189)*($H$176:$H$199&lt;&gt;"")*($H$176:$H$199&lt;&gt;"N/A")*IFERROR(VALUE($H$176:$H$199),0))/SUMPRODUCT(($B$176:$B$199=$AA189)*($H$176:$H$199&lt;&gt;"")*($H$176:$H$199&lt;&gt;"N/A")),0)</f>
        <v/>
      </c>
      <c r="AD189">
        <f>AC189/5</f>
        <v/>
      </c>
      <c r="AE189">
        <f>COUNTIFS($B$176:$B$199,$AA189,$L$176:$L$199,"Critical")+COUNTIFS($B$176:$B$199,$AA189,$L$176:$L$199,"High")</f>
        <v/>
      </c>
      <c r="AF189">
        <f>5-AC189</f>
        <v/>
      </c>
      <c r="AG189">
        <f>SUMPRODUCT(($B$176:$B$199=$AA189)*(ISNUMBER($H$176:$H$199)+($H$176:$H$199="N/A")))</f>
        <v/>
      </c>
      <c r="AH189">
        <f>'Assessment Questions'!AK189</f>
        <v/>
      </c>
      <c r="AI189">
        <f>'Assessment Questions'!AL189</f>
        <v/>
      </c>
      <c r="AJ189">
        <f>IF(OR($H189="",$H189="N/A"),"",IF($AH189="",VLOOKUP('Company Profile'!$B$40,_CONFIG_Model_Settings!$A$5:$B$8,2,FALSE),_xlfn.IFNA(VLOOKUP($AH189,_CONFIG_Model_Settings!$A$5:$B$8,2,FALSE),0.9)))</f>
        <v/>
      </c>
      <c r="AK189">
        <f>IF(OR($H189="",$H189="N/A"),"",IF($AI189="",VLOOKUP('Company Profile'!$B$41,_CONFIG_Model_Settings!$A$5:$B$8,2,FALSE),_xlfn.IFNA(VLOOKUP($AI189,_CONFIG_Model_Settings!$A$5:$B$8,2,FALSE),0.9)))</f>
        <v/>
      </c>
      <c r="AL189">
        <f>IF(OR($H189="",$H189="N/A"),"",ROUND(VALUE($H189)*$AJ189*$AK189*$AV189,2))</f>
        <v/>
      </c>
      <c r="AM189">
        <f>IF($AL189="","",ROUND($AL189/5*100,1))</f>
        <v/>
      </c>
      <c r="AN189">
        <f>IFERROR(MIN(5,MAX(0,(SUMIFS(_REF_Model_Content!$D$1:$D$157,_REF_Model_Content!$A$1:$A$157,'Company Profile'!$B$9,_REF_Model_Content!$B$1:$B$157,"Delivery Ops"))+_xlfn.IFNA(VLOOKUP('Company Profile'!$B$35,_CONFIG_Model_Settings!$A$11:$B$13,2,0),0))),"")</f>
        <v/>
      </c>
      <c r="AO189">
        <f>IF($AL189="","",MAX(0,ROUND($AN189-$AL189,2)))</f>
        <v/>
      </c>
      <c r="AP189">
        <f>IFERROR(SUMIFS(_REF_Model_Content!$E$1:$E$157,_REF_Model_Content!$A$1:$A$157,'Company Profile'!$B$9,_REF_Model_Content!$B$1:$B$157,"Delivery Ops"),1)</f>
        <v/>
      </c>
      <c r="AQ189">
        <f>IF($AO189="","",ROUND($AO189*$AP189*($G189/5),2))</f>
        <v/>
      </c>
      <c r="AR189">
        <f>IF($AO189="","",IF($AO189&gt;=2,"Critical industry gap",IF($AO189&gt;=1,"High industry gap",IF($AO189&gt;=0.5,"Moderate industry gap","Within target"))))</f>
        <v/>
      </c>
      <c r="AS189">
        <f>IF(OR($H189="",$H189="N/A"),0,VALUE($H189)*(($AJ189+$AK189)/2)*$AV189)</f>
        <v/>
      </c>
      <c r="AT189">
        <f>IF(OR($H189="",$H189="N/A"),0,($AJ189+$AK189)/2)</f>
        <v/>
      </c>
      <c r="AU189">
        <f>'Assessment Questions'!AX189</f>
        <v/>
      </c>
      <c r="AV189">
        <f>IF(OR($H189="",$H189="N/A"),"",IF(OR($AU189="",$AU189="Everywhere",$AU189="Not applicable"),1,IF($AU189="Pilot / one team",0.4,IF($AU189="One unit or site",0.7,0.9))))</f>
        <v/>
      </c>
      <c r="AW189" t="inlineStr">
        <is>
          <t>Delivery Ops</t>
        </is>
      </c>
      <c r="AX189" t="inlineStr">
        <is>
          <t>Delivery Ops</t>
        </is>
      </c>
      <c r="AY189" t="n">
        <v>18</v>
      </c>
      <c r="AZ189" t="n">
        <v>189</v>
      </c>
    </row>
    <row r="190">
      <c r="A190" t="inlineStr">
        <is>
          <t>DELI-015</t>
        </is>
      </c>
      <c r="B190" t="inlineStr">
        <is>
          <t>Process control</t>
        </is>
      </c>
      <c r="C190" t="inlineStr">
        <is>
          <t>How mature is the organization in managing quality gates across delivery, production, release or service lifecycle, including ownership, evidence, metrics, fallback procedures and crisis stress testing?</t>
        </is>
      </c>
      <c r="D190" t="inlineStr">
        <is>
          <t>This topic affects exposure to Delivery disruption; Customer impact; Workforce disruption. It helps identify how disruption may impact operations, people, revenue, systems, legal exposure or recovery time.</t>
        </is>
      </c>
      <c r="E190" t="inlineStr">
        <is>
          <t>ISO 9001; ISO 22301; ITIL 4; Lean; Six Sigma; APQC; service management best practices</t>
        </is>
      </c>
      <c r="F190" t="inlineStr">
        <is>
          <t>Policy/SOP; owner/RACI; system report; dashboard; contracts; test records; incident history; interview evidence related to quality gates across delivery, production, release or service lifecycle.</t>
        </is>
      </c>
      <c r="G190">
        <f>'Assessment Questions'!J190</f>
        <v/>
      </c>
      <c r="H190">
        <f>IF($Z190="","",IF($Z190="N/A","N/A",VALUE(LEFT($Z190,1))))</f>
        <v/>
      </c>
      <c r="I190">
        <f>IF($H190="","",IF($H190="N/A","",VALUE($H190)/5*$G190))</f>
        <v/>
      </c>
      <c r="J190">
        <f>IF(OR($H190="",$H190="N/A"),"",$G190)</f>
        <v/>
      </c>
      <c r="K190">
        <f>IF(OR($H190="",$H190="N/A"),"",$J190-$I190)</f>
        <v/>
      </c>
      <c r="L190">
        <f>IF($H190="","",IF($H190="N/A","N/A",IF(VALUE($H190)&lt;=1,"Critical",IF(VALUE($H190)&lt;=2,"High",IF(VALUE($H190)&lt;=3,"Medium",IF(VALUE($H190)&lt;=4,"Low","Resilient"))))))</f>
        <v/>
      </c>
      <c r="M190" t="inlineStr">
        <is>
          <t>Does not exist; no owner, no documentation, no practice.</t>
        </is>
      </c>
      <c r="N190" t="inlineStr">
        <is>
          <t>Ad hoc; depends entirely on specific individuals.</t>
        </is>
      </c>
      <c r="O190" t="inlineStr">
        <is>
          <t>Partially documented or implemented; coverage inconsistent; never tested under stress.</t>
        </is>
      </c>
      <c r="P190" t="inlineStr">
        <is>
          <t>Documented, owned, executed consistently; basic evidence and metrics exist.</t>
        </is>
      </c>
      <c r="Q190" t="inlineStr">
        <is>
          <t>Measured and periodically tested/audited; integrated with adjacent processes.</t>
        </is>
      </c>
      <c r="R190" t="inlineStr">
        <is>
          <t>Optimized and automated where practical; stress-tested; benchmarked externally.</t>
        </is>
      </c>
      <c r="S190" t="inlineStr">
        <is>
          <t>Delivery disruption; Customer impact; Workforce disruption</t>
        </is>
      </c>
      <c r="T190">
        <f>'Assessment Questions'!W190</f>
        <v/>
      </c>
      <c r="U190">
        <f>'Assessment Questions'!X190</f>
        <v/>
      </c>
      <c r="V190">
        <f>'Assessment Questions'!Y190</f>
        <v/>
      </c>
      <c r="W190" t="n">
        <v>4</v>
      </c>
      <c r="X190" t="n">
        <v>5</v>
      </c>
      <c r="Y190" t="n">
        <v>5</v>
      </c>
      <c r="Z190">
        <f>'Assessment Questions'!AC190</f>
        <v/>
      </c>
      <c r="AB190">
        <f>COUNTIF($B$176:$B$199,$AA190)</f>
        <v/>
      </c>
      <c r="AC190">
        <f>IFERROR(SUMPRODUCT(($B$176:$B$199=$AA190)*($H$176:$H$199&lt;&gt;"")*($H$176:$H$199&lt;&gt;"N/A")*IFERROR(VALUE($H$176:$H$199),0))/SUMPRODUCT(($B$176:$B$199=$AA190)*($H$176:$H$199&lt;&gt;"")*($H$176:$H$199&lt;&gt;"N/A")),0)</f>
        <v/>
      </c>
      <c r="AD190">
        <f>AC190/5</f>
        <v/>
      </c>
      <c r="AE190">
        <f>COUNTIFS($B$176:$B$199,$AA190,$L$176:$L$199,"Critical")+COUNTIFS($B$176:$B$199,$AA190,$L$176:$L$199,"High")</f>
        <v/>
      </c>
      <c r="AF190">
        <f>5-AC190</f>
        <v/>
      </c>
      <c r="AG190">
        <f>SUMPRODUCT(($B$176:$B$199=$AA190)*(ISNUMBER($H$176:$H$199)+($H$176:$H$199="N/A")))</f>
        <v/>
      </c>
      <c r="AH190">
        <f>'Assessment Questions'!AK190</f>
        <v/>
      </c>
      <c r="AI190">
        <f>'Assessment Questions'!AL190</f>
        <v/>
      </c>
      <c r="AJ190">
        <f>IF(OR($H190="",$H190="N/A"),"",IF($AH190="",VLOOKUP('Company Profile'!$B$40,_CONFIG_Model_Settings!$A$5:$B$8,2,FALSE),_xlfn.IFNA(VLOOKUP($AH190,_CONFIG_Model_Settings!$A$5:$B$8,2,FALSE),0.9)))</f>
        <v/>
      </c>
      <c r="AK190">
        <f>IF(OR($H190="",$H190="N/A"),"",IF($AI190="",VLOOKUP('Company Profile'!$B$41,_CONFIG_Model_Settings!$A$5:$B$8,2,FALSE),_xlfn.IFNA(VLOOKUP($AI190,_CONFIG_Model_Settings!$A$5:$B$8,2,FALSE),0.9)))</f>
        <v/>
      </c>
      <c r="AL190">
        <f>IF(OR($H190="",$H190="N/A"),"",ROUND(VALUE($H190)*$AJ190*$AK190*$AV190,2))</f>
        <v/>
      </c>
      <c r="AM190">
        <f>IF($AL190="","",ROUND($AL190/5*100,1))</f>
        <v/>
      </c>
      <c r="AN190">
        <f>IFERROR(MIN(5,MAX(0,(SUMIFS(_REF_Model_Content!$D$1:$D$157,_REF_Model_Content!$A$1:$A$157,'Company Profile'!$B$9,_REF_Model_Content!$B$1:$B$157,"Delivery Ops"))+_xlfn.IFNA(VLOOKUP('Company Profile'!$B$35,_CONFIG_Model_Settings!$A$11:$B$13,2,0),0))),"")</f>
        <v/>
      </c>
      <c r="AO190">
        <f>IF($AL190="","",MAX(0,ROUND($AN190-$AL190,2)))</f>
        <v/>
      </c>
      <c r="AP190">
        <f>IFERROR(SUMIFS(_REF_Model_Content!$E$1:$E$157,_REF_Model_Content!$A$1:$A$157,'Company Profile'!$B$9,_REF_Model_Content!$B$1:$B$157,"Delivery Ops"),1)</f>
        <v/>
      </c>
      <c r="AQ190">
        <f>IF($AO190="","",ROUND($AO190*$AP190*($G190/5),2))</f>
        <v/>
      </c>
      <c r="AR190">
        <f>IF($AO190="","",IF($AO190&gt;=2,"Critical industry gap",IF($AO190&gt;=1,"High industry gap",IF($AO190&gt;=0.5,"Moderate industry gap","Within target"))))</f>
        <v/>
      </c>
      <c r="AS190">
        <f>IF(OR($H190="",$H190="N/A"),0,VALUE($H190)*(($AJ190+$AK190)/2)*$AV190)</f>
        <v/>
      </c>
      <c r="AT190">
        <f>IF(OR($H190="",$H190="N/A"),0,($AJ190+$AK190)/2)</f>
        <v/>
      </c>
      <c r="AU190">
        <f>'Assessment Questions'!AX190</f>
        <v/>
      </c>
      <c r="AV190">
        <f>IF(OR($H190="",$H190="N/A"),"",IF(OR($AU190="",$AU190="Everywhere",$AU190="Not applicable"),1,IF($AU190="Pilot / one team",0.4,IF($AU190="One unit or site",0.7,0.9))))</f>
        <v/>
      </c>
      <c r="AW190" t="inlineStr">
        <is>
          <t>Delivery Ops</t>
        </is>
      </c>
      <c r="AX190" t="inlineStr">
        <is>
          <t>Delivery Ops</t>
        </is>
      </c>
      <c r="AY190" t="n">
        <v>19</v>
      </c>
      <c r="AZ190" t="n">
        <v>190</v>
      </c>
    </row>
    <row r="191">
      <c r="A191" t="inlineStr">
        <is>
          <t>DELI-016</t>
        </is>
      </c>
      <c r="B191" t="inlineStr">
        <is>
          <t>Process control</t>
        </is>
      </c>
      <c r="C191" t="inlineStr">
        <is>
          <t>How mature is the organization in managing change control with risk, customer impact, rollback and communication, including ownership, evidence, metrics, fallback procedures and crisis stress testing?</t>
        </is>
      </c>
      <c r="D191" t="inlineStr">
        <is>
          <t>This topic affects exposure to Delivery disruption; Customer impact; Workforce disruption. It helps identify how disruption may impact operations, people, revenue, systems, legal exposure or recovery time.</t>
        </is>
      </c>
      <c r="E191" t="inlineStr">
        <is>
          <t>ISO 9001; ISO 22301; ITIL 4; Lean; Six Sigma; APQC; service management best practices</t>
        </is>
      </c>
      <c r="F191" t="inlineStr">
        <is>
          <t>Policy/SOP; owner/RACI; system report; dashboard; contracts; test records; incident history; interview evidence related to change control with risk, customer impact, rollback and communication.</t>
        </is>
      </c>
      <c r="G191">
        <f>'Assessment Questions'!J191</f>
        <v/>
      </c>
      <c r="H191">
        <f>IF($Z191="","",IF($Z191="N/A","N/A",VALUE(LEFT($Z191,1))))</f>
        <v/>
      </c>
      <c r="I191">
        <f>IF($H191="","",IF($H191="N/A","",VALUE($H191)/5*$G191))</f>
        <v/>
      </c>
      <c r="J191">
        <f>IF(OR($H191="",$H191="N/A"),"",$G191)</f>
        <v/>
      </c>
      <c r="K191">
        <f>IF(OR($H191="",$H191="N/A"),"",$J191-$I191)</f>
        <v/>
      </c>
      <c r="L191">
        <f>IF($H191="","",IF($H191="N/A","N/A",IF(VALUE($H191)&lt;=1,"Critical",IF(VALUE($H191)&lt;=2,"High",IF(VALUE($H191)&lt;=3,"Medium",IF(VALUE($H191)&lt;=4,"Low","Resilient"))))))</f>
        <v/>
      </c>
      <c r="M191" t="inlineStr">
        <is>
          <t>No reliable evidence that change control with risk, customer impact, rollback and communication is defined, owned or managed.</t>
        </is>
      </c>
      <c r="N191" t="inlineStr">
        <is>
          <t>Change control with risk, customer impact, rollback and communication is handled informally and depends on individual knowledge or heroic effort.</t>
        </is>
      </c>
      <c r="O191" t="inlineStr">
        <is>
          <t>Change control with risk, customer impact, rollback and communication is partially documented or implemented, but coverage is inconsistent and not crisis-tested.</t>
        </is>
      </c>
      <c r="P191" t="inlineStr">
        <is>
          <t>Change control with risk, customer impact, rollback and communication is documented, owned, used in normal operations and supported by basic evidence or metrics.</t>
        </is>
      </c>
      <c r="Q191" t="inlineStr">
        <is>
          <t>Change control with risk, customer impact, rollback and communication is measured, periodically reviewed, integrated with related processes and tested against relevant disruption scenarios.</t>
        </is>
      </c>
      <c r="R191" t="inlineStr">
        <is>
          <t>Change control with risk, customer impact, rollback and communication is optimized, continuously improved, automated where practical and demonstrably supports crisis resilience.</t>
        </is>
      </c>
      <c r="S191" t="inlineStr">
        <is>
          <t>Delivery disruption; Customer impact; Workforce disruption</t>
        </is>
      </c>
      <c r="T191">
        <f>'Assessment Questions'!W191</f>
        <v/>
      </c>
      <c r="U191">
        <f>'Assessment Questions'!X191</f>
        <v/>
      </c>
      <c r="V191">
        <f>'Assessment Questions'!Y191</f>
        <v/>
      </c>
      <c r="W191" t="n">
        <v>4</v>
      </c>
      <c r="X191" t="n">
        <v>5</v>
      </c>
      <c r="Y191" t="n">
        <v>5</v>
      </c>
      <c r="Z191">
        <f>'Assessment Questions'!AC191</f>
        <v/>
      </c>
      <c r="AB191">
        <f>COUNTIF($B$176:$B$199,$AA191)</f>
        <v/>
      </c>
      <c r="AC191">
        <f>IFERROR(SUMPRODUCT(($B$176:$B$199=$AA191)*($H$176:$H$199&lt;&gt;"")*($H$176:$H$199&lt;&gt;"N/A")*IFERROR(VALUE($H$176:$H$199),0))/SUMPRODUCT(($B$176:$B$199=$AA191)*($H$176:$H$199&lt;&gt;"")*($H$176:$H$199&lt;&gt;"N/A")),0)</f>
        <v/>
      </c>
      <c r="AD191">
        <f>AC191/5</f>
        <v/>
      </c>
      <c r="AE191">
        <f>COUNTIFS($B$176:$B$199,$AA191,$L$176:$L$199,"Critical")+COUNTIFS($B$176:$B$199,$AA191,$L$176:$L$199,"High")</f>
        <v/>
      </c>
      <c r="AF191">
        <f>5-AC191</f>
        <v/>
      </c>
      <c r="AG191">
        <f>SUMPRODUCT(($B$176:$B$199=$AA191)*(ISNUMBER($H$176:$H$199)+($H$176:$H$199="N/A")))</f>
        <v/>
      </c>
      <c r="AH191">
        <f>'Assessment Questions'!AK191</f>
        <v/>
      </c>
      <c r="AI191">
        <f>'Assessment Questions'!AL191</f>
        <v/>
      </c>
      <c r="AJ191">
        <f>IF(OR($H191="",$H191="N/A"),"",IF($AH191="",VLOOKUP('Company Profile'!$B$40,_CONFIG_Model_Settings!$A$5:$B$8,2,FALSE),_xlfn.IFNA(VLOOKUP($AH191,_CONFIG_Model_Settings!$A$5:$B$8,2,FALSE),0.9)))</f>
        <v/>
      </c>
      <c r="AK191">
        <f>IF(OR($H191="",$H191="N/A"),"",IF($AI191="",VLOOKUP('Company Profile'!$B$41,_CONFIG_Model_Settings!$A$5:$B$8,2,FALSE),_xlfn.IFNA(VLOOKUP($AI191,_CONFIG_Model_Settings!$A$5:$B$8,2,FALSE),0.9)))</f>
        <v/>
      </c>
      <c r="AL191">
        <f>IF(OR($H191="",$H191="N/A"),"",ROUND(VALUE($H191)*$AJ191*$AK191*$AV191,2))</f>
        <v/>
      </c>
      <c r="AM191">
        <f>IF($AL191="","",ROUND($AL191/5*100,1))</f>
        <v/>
      </c>
      <c r="AN191">
        <f>IFERROR(MIN(5,MAX(0,(SUMIFS(_REF_Model_Content!$D$1:$D$157,_REF_Model_Content!$A$1:$A$157,'Company Profile'!$B$9,_REF_Model_Content!$B$1:$B$157,"Delivery Ops"))+_xlfn.IFNA(VLOOKUP('Company Profile'!$B$35,_CONFIG_Model_Settings!$A$11:$B$13,2,0),0))),"")</f>
        <v/>
      </c>
      <c r="AO191">
        <f>IF($AL191="","",MAX(0,ROUND($AN191-$AL191,2)))</f>
        <v/>
      </c>
      <c r="AP191">
        <f>IFERROR(SUMIFS(_REF_Model_Content!$E$1:$E$157,_REF_Model_Content!$A$1:$A$157,'Company Profile'!$B$9,_REF_Model_Content!$B$1:$B$157,"Delivery Ops"),1)</f>
        <v/>
      </c>
      <c r="AQ191">
        <f>IF($AO191="","",ROUND($AO191*$AP191*($G191/5),2))</f>
        <v/>
      </c>
      <c r="AR191">
        <f>IF($AO191="","",IF($AO191&gt;=2,"Critical industry gap",IF($AO191&gt;=1,"High industry gap",IF($AO191&gt;=0.5,"Moderate industry gap","Within target"))))</f>
        <v/>
      </c>
      <c r="AS191">
        <f>IF(OR($H191="",$H191="N/A"),0,VALUE($H191)*(($AJ191+$AK191)/2)*$AV191)</f>
        <v/>
      </c>
      <c r="AT191">
        <f>IF(OR($H191="",$H191="N/A"),0,($AJ191+$AK191)/2)</f>
        <v/>
      </c>
      <c r="AU191">
        <f>'Assessment Questions'!AX191</f>
        <v/>
      </c>
      <c r="AV191">
        <f>IF(OR($H191="",$H191="N/A"),"",IF(OR($AU191="",$AU191="Everywhere",$AU191="Not applicable"),1,IF($AU191="Pilot / one team",0.4,IF($AU191="One unit or site",0.7,0.9))))</f>
        <v/>
      </c>
      <c r="AW191" t="inlineStr">
        <is>
          <t>Delivery Ops</t>
        </is>
      </c>
      <c r="AX191" t="inlineStr">
        <is>
          <t>Delivery Ops</t>
        </is>
      </c>
      <c r="AY191" t="n">
        <v>20</v>
      </c>
      <c r="AZ191" t="n">
        <v>191</v>
      </c>
    </row>
    <row r="192">
      <c r="A192" t="inlineStr">
        <is>
          <t>DELI-017</t>
        </is>
      </c>
      <c r="B192" t="inlineStr">
        <is>
          <t>Process control</t>
        </is>
      </c>
      <c r="C192" t="inlineStr">
        <is>
          <t>How mature is the organization in managing manual workarounds if delivery systems are unavailable, including ownership, evidence, metrics, fallback procedures and crisis stress testing?</t>
        </is>
      </c>
      <c r="D192" t="inlineStr">
        <is>
          <t>This topic affects exposure to Delivery disruption; Customer impact; Workforce disruption. It helps identify how disruption may impact operations, people, revenue, systems, legal exposure or recovery time.</t>
        </is>
      </c>
      <c r="E192" t="inlineStr">
        <is>
          <t>ISO 9001; ISO 22301; ITIL 4; Lean; Six Sigma; APQC; service management best practices</t>
        </is>
      </c>
      <c r="F192" t="inlineStr">
        <is>
          <t>Policy/SOP; owner/RACI; system report; dashboard; contracts; test records; incident history; interview evidence related to manual workarounds if delivery systems are unavailable.</t>
        </is>
      </c>
      <c r="G192">
        <f>'Assessment Questions'!J192</f>
        <v/>
      </c>
      <c r="H192">
        <f>IF($Z192="","",IF($Z192="N/A","N/A",VALUE(LEFT($Z192,1))))</f>
        <v/>
      </c>
      <c r="I192">
        <f>IF($H192="","",IF($H192="N/A","",VALUE($H192)/5*$G192))</f>
        <v/>
      </c>
      <c r="J192">
        <f>IF(OR($H192="",$H192="N/A"),"",$G192)</f>
        <v/>
      </c>
      <c r="K192">
        <f>IF(OR($H192="",$H192="N/A"),"",$J192-$I192)</f>
        <v/>
      </c>
      <c r="L192">
        <f>IF($H192="","",IF($H192="N/A","N/A",IF(VALUE($H192)&lt;=1,"Critical",IF(VALUE($H192)&lt;=2,"High",IF(VALUE($H192)&lt;=3,"Medium",IF(VALUE($H192)&lt;=4,"Low","Resilient"))))))</f>
        <v/>
      </c>
      <c r="M192" t="inlineStr">
        <is>
          <t>No reliable evidence that manual workarounds if delivery systems are unavailable is defined, owned or managed.</t>
        </is>
      </c>
      <c r="N192" t="inlineStr">
        <is>
          <t>Manual workarounds if delivery systems are unavailable is handled informally and depends on individual knowledge or heroic effort.</t>
        </is>
      </c>
      <c r="O192" t="inlineStr">
        <is>
          <t>Manual workarounds if delivery systems are unavailable is partially documented or implemented, but coverage is inconsistent and not crisis-tested.</t>
        </is>
      </c>
      <c r="P192" t="inlineStr">
        <is>
          <t>Manual workarounds if delivery systems are unavailable is documented, owned, used in normal operations and supported by basic evidence or metrics.</t>
        </is>
      </c>
      <c r="Q192" t="inlineStr">
        <is>
          <t>Manual workarounds if delivery systems are unavailable is measured, periodically reviewed, integrated with related processes and tested against relevant disruption scenarios.</t>
        </is>
      </c>
      <c r="R192" t="inlineStr">
        <is>
          <t>Manual workarounds if delivery systems are unavailable is optimized, continuously improved, automated where practical and demonstrably supports crisis resilience.</t>
        </is>
      </c>
      <c r="S192" t="inlineStr">
        <is>
          <t>Delivery disruption; Customer impact; Workforce disruption</t>
        </is>
      </c>
      <c r="T192">
        <f>'Assessment Questions'!W192</f>
        <v/>
      </c>
      <c r="U192">
        <f>'Assessment Questions'!X192</f>
        <v/>
      </c>
      <c r="V192">
        <f>'Assessment Questions'!Y192</f>
        <v/>
      </c>
      <c r="W192" t="n">
        <v>4</v>
      </c>
      <c r="X192" t="n">
        <v>5</v>
      </c>
      <c r="Y192" t="n">
        <v>5</v>
      </c>
      <c r="Z192">
        <f>'Assessment Questions'!AC192</f>
        <v/>
      </c>
      <c r="AB192">
        <f>COUNTIF($B$176:$B$199,$AA192)</f>
        <v/>
      </c>
      <c r="AC192">
        <f>IFERROR(SUMPRODUCT(($B$176:$B$199=$AA192)*($H$176:$H$199&lt;&gt;"")*($H$176:$H$199&lt;&gt;"N/A")*IFERROR(VALUE($H$176:$H$199),0))/SUMPRODUCT(($B$176:$B$199=$AA192)*($H$176:$H$199&lt;&gt;"")*($H$176:$H$199&lt;&gt;"N/A")),0)</f>
        <v/>
      </c>
      <c r="AD192">
        <f>AC192/5</f>
        <v/>
      </c>
      <c r="AE192">
        <f>COUNTIFS($B$176:$B$199,$AA192,$L$176:$L$199,"Critical")+COUNTIFS($B$176:$B$199,$AA192,$L$176:$L$199,"High")</f>
        <v/>
      </c>
      <c r="AF192">
        <f>5-AC192</f>
        <v/>
      </c>
      <c r="AG192">
        <f>SUMPRODUCT(($B$176:$B$199=$AA192)*(ISNUMBER($H$176:$H$199)+($H$176:$H$199="N/A")))</f>
        <v/>
      </c>
      <c r="AH192">
        <f>'Assessment Questions'!AK192</f>
        <v/>
      </c>
      <c r="AI192">
        <f>'Assessment Questions'!AL192</f>
        <v/>
      </c>
      <c r="AJ192">
        <f>IF(OR($H192="",$H192="N/A"),"",IF($AH192="",VLOOKUP('Company Profile'!$B$40,_CONFIG_Model_Settings!$A$5:$B$8,2,FALSE),_xlfn.IFNA(VLOOKUP($AH192,_CONFIG_Model_Settings!$A$5:$B$8,2,FALSE),0.9)))</f>
        <v/>
      </c>
      <c r="AK192">
        <f>IF(OR($H192="",$H192="N/A"),"",IF($AI192="",VLOOKUP('Company Profile'!$B$41,_CONFIG_Model_Settings!$A$5:$B$8,2,FALSE),_xlfn.IFNA(VLOOKUP($AI192,_CONFIG_Model_Settings!$A$5:$B$8,2,FALSE),0.9)))</f>
        <v/>
      </c>
      <c r="AL192">
        <f>IF(OR($H192="",$H192="N/A"),"",ROUND(VALUE($H192)*$AJ192*$AK192*$AV192,2))</f>
        <v/>
      </c>
      <c r="AM192">
        <f>IF($AL192="","",ROUND($AL192/5*100,1))</f>
        <v/>
      </c>
      <c r="AN192">
        <f>IFERROR(MIN(5,MAX(0,(SUMIFS(_REF_Model_Content!$D$1:$D$157,_REF_Model_Content!$A$1:$A$157,'Company Profile'!$B$9,_REF_Model_Content!$B$1:$B$157,"Delivery Ops"))+_xlfn.IFNA(VLOOKUP('Company Profile'!$B$35,_CONFIG_Model_Settings!$A$11:$B$13,2,0),0))),"")</f>
        <v/>
      </c>
      <c r="AO192">
        <f>IF($AL192="","",MAX(0,ROUND($AN192-$AL192,2)))</f>
        <v/>
      </c>
      <c r="AP192">
        <f>IFERROR(SUMIFS(_REF_Model_Content!$E$1:$E$157,_REF_Model_Content!$A$1:$A$157,'Company Profile'!$B$9,_REF_Model_Content!$B$1:$B$157,"Delivery Ops"),1)</f>
        <v/>
      </c>
      <c r="AQ192">
        <f>IF($AO192="","",ROUND($AO192*$AP192*($G192/5),2))</f>
        <v/>
      </c>
      <c r="AR192">
        <f>IF($AO192="","",IF($AO192&gt;=2,"Critical industry gap",IF($AO192&gt;=1,"High industry gap",IF($AO192&gt;=0.5,"Moderate industry gap","Within target"))))</f>
        <v/>
      </c>
      <c r="AS192">
        <f>IF(OR($H192="",$H192="N/A"),0,VALUE($H192)*(($AJ192+$AK192)/2)*$AV192)</f>
        <v/>
      </c>
      <c r="AT192">
        <f>IF(OR($H192="",$H192="N/A"),0,($AJ192+$AK192)/2)</f>
        <v/>
      </c>
      <c r="AU192">
        <f>'Assessment Questions'!AX192</f>
        <v/>
      </c>
      <c r="AV192">
        <f>IF(OR($H192="",$H192="N/A"),"",IF(OR($AU192="",$AU192="Everywhere",$AU192="Not applicable"),1,IF($AU192="Pilot / one team",0.4,IF($AU192="One unit or site",0.7,0.9))))</f>
        <v/>
      </c>
      <c r="AW192" t="inlineStr">
        <is>
          <t>Delivery Ops</t>
        </is>
      </c>
      <c r="AX192" t="inlineStr">
        <is>
          <t>Delivery Ops</t>
        </is>
      </c>
      <c r="AY192" t="n">
        <v>21</v>
      </c>
      <c r="AZ192" t="n">
        <v>192</v>
      </c>
    </row>
    <row r="193">
      <c r="A193" t="inlineStr">
        <is>
          <t>DELI-018</t>
        </is>
      </c>
      <c r="B193" t="inlineStr">
        <is>
          <t>Process control</t>
        </is>
      </c>
      <c r="C193" t="inlineStr">
        <is>
          <t>How mature is the organization in managing root cause analysis for recurring delivery failures, including ownership, evidence, metrics, fallback procedures and crisis stress testing?</t>
        </is>
      </c>
      <c r="D193" t="inlineStr">
        <is>
          <t>This topic affects exposure to Delivery disruption; Customer impact; Workforce disruption. It helps identify how disruption may impact operations, people, revenue, systems, legal exposure or recovery time.</t>
        </is>
      </c>
      <c r="E193" t="inlineStr">
        <is>
          <t>ISO 9001; ISO 22301; ITIL 4; Lean; Six Sigma; APQC; service management best practices</t>
        </is>
      </c>
      <c r="F193" t="inlineStr">
        <is>
          <t>Policy/SOP; owner/RACI; system report; dashboard; contracts; test records; incident history; interview evidence related to root cause analysis for recurring delivery failures.</t>
        </is>
      </c>
      <c r="G193">
        <f>'Assessment Questions'!J193</f>
        <v/>
      </c>
      <c r="H193">
        <f>IF($Z193="","",IF($Z193="N/A","N/A",VALUE(LEFT($Z193,1))))</f>
        <v/>
      </c>
      <c r="I193">
        <f>IF($H193="","",IF($H193="N/A","",VALUE($H193)/5*$G193))</f>
        <v/>
      </c>
      <c r="J193">
        <f>IF(OR($H193="",$H193="N/A"),"",$G193)</f>
        <v/>
      </c>
      <c r="K193">
        <f>IF(OR($H193="",$H193="N/A"),"",$J193-$I193)</f>
        <v/>
      </c>
      <c r="L193">
        <f>IF($H193="","",IF($H193="N/A","N/A",IF(VALUE($H193)&lt;=1,"Critical",IF(VALUE($H193)&lt;=2,"High",IF(VALUE($H193)&lt;=3,"Medium",IF(VALUE($H193)&lt;=4,"Low","Resilient"))))))</f>
        <v/>
      </c>
      <c r="M193" t="inlineStr">
        <is>
          <t>No reliable evidence that root cause analysis for recurring delivery failures is defined, owned or managed.</t>
        </is>
      </c>
      <c r="N193" t="inlineStr">
        <is>
          <t>Root cause analysis for recurring delivery failures is handled informally and depends on individual knowledge or heroic effort.</t>
        </is>
      </c>
      <c r="O193" t="inlineStr">
        <is>
          <t>Root cause analysis for recurring delivery failures is partially documented or implemented, but coverage is inconsistent and not crisis-tested.</t>
        </is>
      </c>
      <c r="P193" t="inlineStr">
        <is>
          <t>Root cause analysis for recurring delivery failures is documented, owned, used in normal operations and supported by basic evidence or metrics.</t>
        </is>
      </c>
      <c r="Q193" t="inlineStr">
        <is>
          <t>Root cause analysis for recurring delivery failures is measured, periodically reviewed, integrated with related processes and tested against relevant disruption scenarios.</t>
        </is>
      </c>
      <c r="R193" t="inlineStr">
        <is>
          <t>Root cause analysis for recurring delivery failures is optimized, continuously improved, automated where practical and demonstrably supports crisis resilience.</t>
        </is>
      </c>
      <c r="S193" t="inlineStr">
        <is>
          <t>Delivery disruption; Customer impact; Workforce disruption</t>
        </is>
      </c>
      <c r="T193">
        <f>'Assessment Questions'!W193</f>
        <v/>
      </c>
      <c r="U193">
        <f>'Assessment Questions'!X193</f>
        <v/>
      </c>
      <c r="V193">
        <f>'Assessment Questions'!Y193</f>
        <v/>
      </c>
      <c r="W193" t="n">
        <v>4</v>
      </c>
      <c r="X193" t="n">
        <v>5</v>
      </c>
      <c r="Y193" t="n">
        <v>5</v>
      </c>
      <c r="Z193">
        <f>'Assessment Questions'!AC193</f>
        <v/>
      </c>
      <c r="AB193">
        <f>COUNTIF($B$176:$B$199,$AA193)</f>
        <v/>
      </c>
      <c r="AC193">
        <f>IFERROR(SUMPRODUCT(($B$176:$B$199=$AA193)*($H$176:$H$199&lt;&gt;"")*($H$176:$H$199&lt;&gt;"N/A")*IFERROR(VALUE($H$176:$H$199),0))/SUMPRODUCT(($B$176:$B$199=$AA193)*($H$176:$H$199&lt;&gt;"")*($H$176:$H$199&lt;&gt;"N/A")),0)</f>
        <v/>
      </c>
      <c r="AD193">
        <f>AC193/5</f>
        <v/>
      </c>
      <c r="AE193">
        <f>COUNTIFS($B$176:$B$199,$AA193,$L$176:$L$199,"Critical")+COUNTIFS($B$176:$B$199,$AA193,$L$176:$L$199,"High")</f>
        <v/>
      </c>
      <c r="AF193">
        <f>5-AC193</f>
        <v/>
      </c>
      <c r="AG193">
        <f>SUMPRODUCT(($B$176:$B$199=$AA193)*(ISNUMBER($H$176:$H$199)+($H$176:$H$199="N/A")))</f>
        <v/>
      </c>
      <c r="AH193">
        <f>'Assessment Questions'!AK193</f>
        <v/>
      </c>
      <c r="AI193">
        <f>'Assessment Questions'!AL193</f>
        <v/>
      </c>
      <c r="AJ193">
        <f>IF(OR($H193="",$H193="N/A"),"",IF($AH193="",VLOOKUP('Company Profile'!$B$40,_CONFIG_Model_Settings!$A$5:$B$8,2,FALSE),_xlfn.IFNA(VLOOKUP($AH193,_CONFIG_Model_Settings!$A$5:$B$8,2,FALSE),0.9)))</f>
        <v/>
      </c>
      <c r="AK193">
        <f>IF(OR($H193="",$H193="N/A"),"",IF($AI193="",VLOOKUP('Company Profile'!$B$41,_CONFIG_Model_Settings!$A$5:$B$8,2,FALSE),_xlfn.IFNA(VLOOKUP($AI193,_CONFIG_Model_Settings!$A$5:$B$8,2,FALSE),0.9)))</f>
        <v/>
      </c>
      <c r="AL193">
        <f>IF(OR($H193="",$H193="N/A"),"",ROUND(VALUE($H193)*$AJ193*$AK193*$AV193,2))</f>
        <v/>
      </c>
      <c r="AM193">
        <f>IF($AL193="","",ROUND($AL193/5*100,1))</f>
        <v/>
      </c>
      <c r="AN193">
        <f>IFERROR(MIN(5,MAX(0,(SUMIFS(_REF_Model_Content!$D$1:$D$157,_REF_Model_Content!$A$1:$A$157,'Company Profile'!$B$9,_REF_Model_Content!$B$1:$B$157,"Delivery Ops"))+_xlfn.IFNA(VLOOKUP('Company Profile'!$B$35,_CONFIG_Model_Settings!$A$11:$B$13,2,0),0))),"")</f>
        <v/>
      </c>
      <c r="AO193">
        <f>IF($AL193="","",MAX(0,ROUND($AN193-$AL193,2)))</f>
        <v/>
      </c>
      <c r="AP193">
        <f>IFERROR(SUMIFS(_REF_Model_Content!$E$1:$E$157,_REF_Model_Content!$A$1:$A$157,'Company Profile'!$B$9,_REF_Model_Content!$B$1:$B$157,"Delivery Ops"),1)</f>
        <v/>
      </c>
      <c r="AQ193">
        <f>IF($AO193="","",ROUND($AO193*$AP193*($G193/5),2))</f>
        <v/>
      </c>
      <c r="AR193">
        <f>IF($AO193="","",IF($AO193&gt;=2,"Critical industry gap",IF($AO193&gt;=1,"High industry gap",IF($AO193&gt;=0.5,"Moderate industry gap","Within target"))))</f>
        <v/>
      </c>
      <c r="AS193">
        <f>IF(OR($H193="",$H193="N/A"),0,VALUE($H193)*(($AJ193+$AK193)/2)*$AV193)</f>
        <v/>
      </c>
      <c r="AT193">
        <f>IF(OR($H193="",$H193="N/A"),0,($AJ193+$AK193)/2)</f>
        <v/>
      </c>
      <c r="AU193">
        <f>'Assessment Questions'!AX193</f>
        <v/>
      </c>
      <c r="AV193">
        <f>IF(OR($H193="",$H193="N/A"),"",IF(OR($AU193="",$AU193="Everywhere",$AU193="Not applicable"),1,IF($AU193="Pilot / one team",0.4,IF($AU193="One unit or site",0.7,0.9))))</f>
        <v/>
      </c>
      <c r="AW193" t="inlineStr">
        <is>
          <t>Delivery Ops</t>
        </is>
      </c>
      <c r="AX193" t="inlineStr">
        <is>
          <t>Delivery Ops</t>
        </is>
      </c>
      <c r="AY193" t="n">
        <v>22</v>
      </c>
      <c r="AZ193" t="n">
        <v>193</v>
      </c>
    </row>
    <row r="194">
      <c r="A194" t="inlineStr">
        <is>
          <t>DELI-019</t>
        </is>
      </c>
      <c r="B194" t="inlineStr">
        <is>
          <t>Operational visibility</t>
        </is>
      </c>
      <c r="C194" t="inlineStr">
        <is>
          <t>How mature is the organization in managing real-time visibility into orders, backlog, incidents, production, logistics and service performance, including ownership, evidence, metrics, fallback procedures and crisis stress testing?</t>
        </is>
      </c>
      <c r="D194" t="inlineStr">
        <is>
          <t>This topic affects exposure to Delivery disruption; Customer impact; Workforce disruption. It helps identify how disruption may impact operations, people, revenue, systems, legal exposure or recovery time.</t>
        </is>
      </c>
      <c r="E194" t="inlineStr">
        <is>
          <t>ISO 9001; ISO 22301; ITIL 4; Lean; Six Sigma; APQC; service management best practices</t>
        </is>
      </c>
      <c r="F194" t="inlineStr">
        <is>
          <t>Policy/SOP; owner/RACI; system report; dashboard; contracts; test records; incident history; interview evidence related to real-time visibility into orders, backlog, incidents, production, logistics and service performance.</t>
        </is>
      </c>
      <c r="G194">
        <f>'Assessment Questions'!J194</f>
        <v/>
      </c>
      <c r="H194">
        <f>IF($Z194="","",IF($Z194="N/A","N/A",VALUE(LEFT($Z194,1))))</f>
        <v/>
      </c>
      <c r="I194">
        <f>IF($H194="","",IF($H194="N/A","",VALUE($H194)/5*$G194))</f>
        <v/>
      </c>
      <c r="J194">
        <f>IF(OR($H194="",$H194="N/A"),"",$G194)</f>
        <v/>
      </c>
      <c r="K194">
        <f>IF(OR($H194="",$H194="N/A"),"",$J194-$I194)</f>
        <v/>
      </c>
      <c r="L194">
        <f>IF($H194="","",IF($H194="N/A","N/A",IF(VALUE($H194)&lt;=1,"Critical",IF(VALUE($H194)&lt;=2,"High",IF(VALUE($H194)&lt;=3,"Medium",IF(VALUE($H194)&lt;=4,"Low","Resilient"))))))</f>
        <v/>
      </c>
      <c r="M194" t="inlineStr">
        <is>
          <t>Nothing is monitored or measured.</t>
        </is>
      </c>
      <c r="N194" t="inlineStr">
        <is>
          <t>Occasional manual checks by individuals.</t>
        </is>
      </c>
      <c r="O194" t="inlineStr">
        <is>
          <t>Some metrics exist but are not reviewed regularly and trigger no action.</t>
        </is>
      </c>
      <c r="P194" t="inlineStr">
        <is>
          <t>Defined metrics with an owner, reviewed on a set cadence.</t>
        </is>
      </c>
      <c r="Q194" t="inlineStr">
        <is>
          <t>Thresholds and alerts in place; deviations trigger documented action; trends analyzed.</t>
        </is>
      </c>
      <c r="R194" t="inlineStr">
        <is>
          <t>Automated monitoring with leading indicators, integrated into management decisions.</t>
        </is>
      </c>
      <c r="S194" t="inlineStr">
        <is>
          <t>Delivery disruption; Customer impact; Workforce disruption</t>
        </is>
      </c>
      <c r="T194">
        <f>'Assessment Questions'!W194</f>
        <v/>
      </c>
      <c r="U194">
        <f>'Assessment Questions'!X194</f>
        <v/>
      </c>
      <c r="V194">
        <f>'Assessment Questions'!Y194</f>
        <v/>
      </c>
      <c r="W194" t="n">
        <v>4</v>
      </c>
      <c r="X194" t="n">
        <v>5</v>
      </c>
      <c r="Y194" t="n">
        <v>5</v>
      </c>
      <c r="Z194">
        <f>'Assessment Questions'!AC194</f>
        <v/>
      </c>
      <c r="AB194">
        <f>COUNTIF($B$176:$B$199,$AA194)</f>
        <v/>
      </c>
      <c r="AC194">
        <f>IFERROR(SUMPRODUCT(($B$176:$B$199=$AA194)*($H$176:$H$199&lt;&gt;"")*($H$176:$H$199&lt;&gt;"N/A")*IFERROR(VALUE($H$176:$H$199),0))/SUMPRODUCT(($B$176:$B$199=$AA194)*($H$176:$H$199&lt;&gt;"")*($H$176:$H$199&lt;&gt;"N/A")),0)</f>
        <v/>
      </c>
      <c r="AD194">
        <f>AC194/5</f>
        <v/>
      </c>
      <c r="AE194">
        <f>COUNTIFS($B$176:$B$199,$AA194,$L$176:$L$199,"Critical")+COUNTIFS($B$176:$B$199,$AA194,$L$176:$L$199,"High")</f>
        <v/>
      </c>
      <c r="AF194">
        <f>5-AC194</f>
        <v/>
      </c>
      <c r="AG194">
        <f>SUMPRODUCT(($B$176:$B$199=$AA194)*(ISNUMBER($H$176:$H$199)+($H$176:$H$199="N/A")))</f>
        <v/>
      </c>
      <c r="AH194">
        <f>'Assessment Questions'!AK194</f>
        <v/>
      </c>
      <c r="AI194">
        <f>'Assessment Questions'!AL194</f>
        <v/>
      </c>
      <c r="AJ194">
        <f>IF(OR($H194="",$H194="N/A"),"",IF($AH194="",VLOOKUP('Company Profile'!$B$40,_CONFIG_Model_Settings!$A$5:$B$8,2,FALSE),_xlfn.IFNA(VLOOKUP($AH194,_CONFIG_Model_Settings!$A$5:$B$8,2,FALSE),0.9)))</f>
        <v/>
      </c>
      <c r="AK194">
        <f>IF(OR($H194="",$H194="N/A"),"",IF($AI194="",VLOOKUP('Company Profile'!$B$41,_CONFIG_Model_Settings!$A$5:$B$8,2,FALSE),_xlfn.IFNA(VLOOKUP($AI194,_CONFIG_Model_Settings!$A$5:$B$8,2,FALSE),0.9)))</f>
        <v/>
      </c>
      <c r="AL194">
        <f>IF(OR($H194="",$H194="N/A"),"",ROUND(VALUE($H194)*$AJ194*$AK194*$AV194,2))</f>
        <v/>
      </c>
      <c r="AM194">
        <f>IF($AL194="","",ROUND($AL194/5*100,1))</f>
        <v/>
      </c>
      <c r="AN194">
        <f>IFERROR(MIN(5,MAX(0,(SUMIFS(_REF_Model_Content!$D$1:$D$157,_REF_Model_Content!$A$1:$A$157,'Company Profile'!$B$9,_REF_Model_Content!$B$1:$B$157,"Delivery Ops"))+_xlfn.IFNA(VLOOKUP('Company Profile'!$B$35,_CONFIG_Model_Settings!$A$11:$B$13,2,0),0))),"")</f>
        <v/>
      </c>
      <c r="AO194">
        <f>IF($AL194="","",MAX(0,ROUND($AN194-$AL194,2)))</f>
        <v/>
      </c>
      <c r="AP194">
        <f>IFERROR(SUMIFS(_REF_Model_Content!$E$1:$E$157,_REF_Model_Content!$A$1:$A$157,'Company Profile'!$B$9,_REF_Model_Content!$B$1:$B$157,"Delivery Ops"),1)</f>
        <v/>
      </c>
      <c r="AQ194">
        <f>IF($AO194="","",ROUND($AO194*$AP194*($G194/5),2))</f>
        <v/>
      </c>
      <c r="AR194">
        <f>IF($AO194="","",IF($AO194&gt;=2,"Critical industry gap",IF($AO194&gt;=1,"High industry gap",IF($AO194&gt;=0.5,"Moderate industry gap","Within target"))))</f>
        <v/>
      </c>
      <c r="AS194">
        <f>IF(OR($H194="",$H194="N/A"),0,VALUE($H194)*(($AJ194+$AK194)/2)*$AV194)</f>
        <v/>
      </c>
      <c r="AT194">
        <f>IF(OR($H194="",$H194="N/A"),0,($AJ194+$AK194)/2)</f>
        <v/>
      </c>
      <c r="AU194">
        <f>'Assessment Questions'!AX194</f>
        <v/>
      </c>
      <c r="AV194">
        <f>IF(OR($H194="",$H194="N/A"),"",IF(OR($AU194="",$AU194="Everywhere",$AU194="Not applicable"),1,IF($AU194="Pilot / one team",0.4,IF($AU194="One unit or site",0.7,0.9))))</f>
        <v/>
      </c>
      <c r="AW194" t="inlineStr">
        <is>
          <t>Delivery Ops</t>
        </is>
      </c>
      <c r="AX194" t="inlineStr">
        <is>
          <t>Delivery Ops</t>
        </is>
      </c>
      <c r="AY194" t="n">
        <v>23</v>
      </c>
      <c r="AZ194" t="n">
        <v>194</v>
      </c>
    </row>
    <row r="195">
      <c r="A195" t="inlineStr">
        <is>
          <t>DELI-020</t>
        </is>
      </c>
      <c r="B195" t="inlineStr">
        <is>
          <t>Operational visibility</t>
        </is>
      </c>
      <c r="C195" t="inlineStr">
        <is>
          <t>How mature is the organization in managing operational KPIs for delivery quality, timeliness, throughput, cost, incidents and customer impact, including ownership, evidence, metrics, fallback procedures and crisis stress testing?</t>
        </is>
      </c>
      <c r="D195" t="inlineStr">
        <is>
          <t>This topic affects exposure to Delivery disruption; Customer impact; Workforce disruption. It helps identify how disruption may impact operations, people, revenue, systems, legal exposure or recovery time.</t>
        </is>
      </c>
      <c r="E195" t="inlineStr">
        <is>
          <t>ISO 9001; ISO 22301; ITIL 4; Lean; Six Sigma; APQC; service management best practices</t>
        </is>
      </c>
      <c r="F195" t="inlineStr">
        <is>
          <t>Policy/SOP; owner/RACI; system report; dashboard; contracts; test records; incident history; interview evidence related to operational KPIs for delivery quality, timeliness, throughput, cost, incidents and customer impact.</t>
        </is>
      </c>
      <c r="G195">
        <f>'Assessment Questions'!J195</f>
        <v/>
      </c>
      <c r="H195">
        <f>IF($Z195="","",IF($Z195="N/A","N/A",VALUE(LEFT($Z195,1))))</f>
        <v/>
      </c>
      <c r="I195">
        <f>IF($H195="","",IF($H195="N/A","",VALUE($H195)/5*$G195))</f>
        <v/>
      </c>
      <c r="J195">
        <f>IF(OR($H195="",$H195="N/A"),"",$G195)</f>
        <v/>
      </c>
      <c r="K195">
        <f>IF(OR($H195="",$H195="N/A"),"",$J195-$I195)</f>
        <v/>
      </c>
      <c r="L195">
        <f>IF($H195="","",IF($H195="N/A","N/A",IF(VALUE($H195)&lt;=1,"Critical",IF(VALUE($H195)&lt;=2,"High",IF(VALUE($H195)&lt;=3,"Medium",IF(VALUE($H195)&lt;=4,"Low","Resilient"))))))</f>
        <v/>
      </c>
      <c r="M195" t="inlineStr">
        <is>
          <t>Nothing is monitored or measured.</t>
        </is>
      </c>
      <c r="N195" t="inlineStr">
        <is>
          <t>Occasional manual checks by individuals.</t>
        </is>
      </c>
      <c r="O195" t="inlineStr">
        <is>
          <t>Some metrics exist but are not reviewed regularly and trigger no action.</t>
        </is>
      </c>
      <c r="P195" t="inlineStr">
        <is>
          <t>Defined metrics with an owner, reviewed on a set cadence.</t>
        </is>
      </c>
      <c r="Q195" t="inlineStr">
        <is>
          <t>Thresholds and alerts in place; deviations trigger documented action; trends analyzed.</t>
        </is>
      </c>
      <c r="R195" t="inlineStr">
        <is>
          <t>Automated monitoring with leading indicators, integrated into management decisions.</t>
        </is>
      </c>
      <c r="S195" t="inlineStr">
        <is>
          <t>Delivery disruption; Customer impact; Workforce disruption</t>
        </is>
      </c>
      <c r="T195">
        <f>'Assessment Questions'!W195</f>
        <v/>
      </c>
      <c r="U195">
        <f>'Assessment Questions'!X195</f>
        <v/>
      </c>
      <c r="V195">
        <f>'Assessment Questions'!Y195</f>
        <v/>
      </c>
      <c r="W195" t="n">
        <v>4</v>
      </c>
      <c r="X195" t="n">
        <v>5</v>
      </c>
      <c r="Y195" t="n">
        <v>5</v>
      </c>
      <c r="Z195">
        <f>'Assessment Questions'!AC195</f>
        <v/>
      </c>
      <c r="AB195">
        <f>COUNTIF($B$176:$B$199,$AA195)</f>
        <v/>
      </c>
      <c r="AC195">
        <f>IFERROR(SUMPRODUCT(($B$176:$B$199=$AA195)*($H$176:$H$199&lt;&gt;"")*($H$176:$H$199&lt;&gt;"N/A")*IFERROR(VALUE($H$176:$H$199),0))/SUMPRODUCT(($B$176:$B$199=$AA195)*($H$176:$H$199&lt;&gt;"")*($H$176:$H$199&lt;&gt;"N/A")),0)</f>
        <v/>
      </c>
      <c r="AD195">
        <f>AC195/5</f>
        <v/>
      </c>
      <c r="AE195">
        <f>COUNTIFS($B$176:$B$199,$AA195,$L$176:$L$199,"Critical")+COUNTIFS($B$176:$B$199,$AA195,$L$176:$L$199,"High")</f>
        <v/>
      </c>
      <c r="AF195">
        <f>5-AC195</f>
        <v/>
      </c>
      <c r="AG195">
        <f>SUMPRODUCT(($B$176:$B$199=$AA195)*(ISNUMBER($H$176:$H$199)+($H$176:$H$199="N/A")))</f>
        <v/>
      </c>
      <c r="AH195">
        <f>'Assessment Questions'!AK195</f>
        <v/>
      </c>
      <c r="AI195">
        <f>'Assessment Questions'!AL195</f>
        <v/>
      </c>
      <c r="AJ195">
        <f>IF(OR($H195="",$H195="N/A"),"",IF($AH195="",VLOOKUP('Company Profile'!$B$40,_CONFIG_Model_Settings!$A$5:$B$8,2,FALSE),_xlfn.IFNA(VLOOKUP($AH195,_CONFIG_Model_Settings!$A$5:$B$8,2,FALSE),0.9)))</f>
        <v/>
      </c>
      <c r="AK195">
        <f>IF(OR($H195="",$H195="N/A"),"",IF($AI195="",VLOOKUP('Company Profile'!$B$41,_CONFIG_Model_Settings!$A$5:$B$8,2,FALSE),_xlfn.IFNA(VLOOKUP($AI195,_CONFIG_Model_Settings!$A$5:$B$8,2,FALSE),0.9)))</f>
        <v/>
      </c>
      <c r="AL195">
        <f>IF(OR($H195="",$H195="N/A"),"",ROUND(VALUE($H195)*$AJ195*$AK195*$AV195,2))</f>
        <v/>
      </c>
      <c r="AM195">
        <f>IF($AL195="","",ROUND($AL195/5*100,1))</f>
        <v/>
      </c>
      <c r="AN195">
        <f>IFERROR(MIN(5,MAX(0,(SUMIFS(_REF_Model_Content!$D$1:$D$157,_REF_Model_Content!$A$1:$A$157,'Company Profile'!$B$9,_REF_Model_Content!$B$1:$B$157,"Delivery Ops"))+_xlfn.IFNA(VLOOKUP('Company Profile'!$B$35,_CONFIG_Model_Settings!$A$11:$B$13,2,0),0))),"")</f>
        <v/>
      </c>
      <c r="AO195">
        <f>IF($AL195="","",MAX(0,ROUND($AN195-$AL195,2)))</f>
        <v/>
      </c>
      <c r="AP195">
        <f>IFERROR(SUMIFS(_REF_Model_Content!$E$1:$E$157,_REF_Model_Content!$A$1:$A$157,'Company Profile'!$B$9,_REF_Model_Content!$B$1:$B$157,"Delivery Ops"),1)</f>
        <v/>
      </c>
      <c r="AQ195">
        <f>IF($AO195="","",ROUND($AO195*$AP195*($G195/5),2))</f>
        <v/>
      </c>
      <c r="AR195">
        <f>IF($AO195="","",IF($AO195&gt;=2,"Critical industry gap",IF($AO195&gt;=1,"High industry gap",IF($AO195&gt;=0.5,"Moderate industry gap","Within target"))))</f>
        <v/>
      </c>
      <c r="AS195">
        <f>IF(OR($H195="",$H195="N/A"),0,VALUE($H195)*(($AJ195+$AK195)/2)*$AV195)</f>
        <v/>
      </c>
      <c r="AT195">
        <f>IF(OR($H195="",$H195="N/A"),0,($AJ195+$AK195)/2)</f>
        <v/>
      </c>
      <c r="AU195">
        <f>'Assessment Questions'!AX195</f>
        <v/>
      </c>
      <c r="AV195">
        <f>IF(OR($H195="",$H195="N/A"),"",IF(OR($AU195="",$AU195="Everywhere",$AU195="Not applicable"),1,IF($AU195="Pilot / one team",0.4,IF($AU195="One unit or site",0.7,0.9))))</f>
        <v/>
      </c>
      <c r="AW195" t="inlineStr">
        <is>
          <t>Delivery Ops</t>
        </is>
      </c>
      <c r="AX195" t="inlineStr">
        <is>
          <t>Delivery Ops</t>
        </is>
      </c>
      <c r="AY195" t="n">
        <v>24</v>
      </c>
      <c r="AZ195" t="n">
        <v>195</v>
      </c>
    </row>
    <row r="196">
      <c r="A196" t="inlineStr">
        <is>
          <t>DELI-021</t>
        </is>
      </c>
      <c r="B196" t="inlineStr">
        <is>
          <t>Operational visibility</t>
        </is>
      </c>
      <c r="C196" t="inlineStr">
        <is>
          <t>How mature is the organization in managing backlog aging analysis linked to customer risk, revenue risk and operational constraints, including ownership, evidence, metrics, fallback procedures and crisis stress testing?</t>
        </is>
      </c>
      <c r="D196" t="inlineStr">
        <is>
          <t>This topic affects exposure to Delivery disruption; Customer impact; Workforce disruption. It helps identify how disruption may impact operations, people, revenue, systems, legal exposure or recovery time.</t>
        </is>
      </c>
      <c r="E196" t="inlineStr">
        <is>
          <t>ISO 9001; ISO 22301; ITIL 4; Lean; Six Sigma; APQC; service management best practices</t>
        </is>
      </c>
      <c r="F196" t="inlineStr">
        <is>
          <t>Policy/SOP; owner/RACI; system report; dashboard; contracts; test records; incident history; interview evidence related to backlog aging analysis linked to customer risk, revenue risk and operational constraints.</t>
        </is>
      </c>
      <c r="G196">
        <f>'Assessment Questions'!J196</f>
        <v/>
      </c>
      <c r="H196">
        <f>IF($Z196="","",IF($Z196="N/A","N/A",VALUE(LEFT($Z196,1))))</f>
        <v/>
      </c>
      <c r="I196">
        <f>IF($H196="","",IF($H196="N/A","",VALUE($H196)/5*$G196))</f>
        <v/>
      </c>
      <c r="J196">
        <f>IF(OR($H196="",$H196="N/A"),"",$G196)</f>
        <v/>
      </c>
      <c r="K196">
        <f>IF(OR($H196="",$H196="N/A"),"",$J196-$I196)</f>
        <v/>
      </c>
      <c r="L196">
        <f>IF($H196="","",IF($H196="N/A","N/A",IF(VALUE($H196)&lt;=1,"Critical",IF(VALUE($H196)&lt;=2,"High",IF(VALUE($H196)&lt;=3,"Medium",IF(VALUE($H196)&lt;=4,"Low","Resilient"))))))</f>
        <v/>
      </c>
      <c r="M196" t="inlineStr">
        <is>
          <t>No reliable evidence that backlog aging analysis linked to customer risk, revenue risk and operational constraints is defined, owned or managed.</t>
        </is>
      </c>
      <c r="N196" t="inlineStr">
        <is>
          <t>Backlog aging analysis linked to customer risk, revenue risk and operational constraints is handled informally and depends on individual knowledge or heroic effort.</t>
        </is>
      </c>
      <c r="O196" t="inlineStr">
        <is>
          <t>Backlog aging analysis linked to customer risk, revenue risk and operational constraints is partially documented or implemented, but coverage is inconsistent and not crisis-tested.</t>
        </is>
      </c>
      <c r="P196" t="inlineStr">
        <is>
          <t>Backlog aging analysis linked to customer risk, revenue risk and operational constraints is documented, owned, used in normal operations and supported by basic evidence or metrics.</t>
        </is>
      </c>
      <c r="Q196" t="inlineStr">
        <is>
          <t>Backlog aging analysis linked to customer risk, revenue risk and operational constraints is measured, periodically reviewed, integrated with related processes and tested against relevant disruption scenarios.</t>
        </is>
      </c>
      <c r="R196" t="inlineStr">
        <is>
          <t>Backlog aging analysis linked to customer risk, revenue risk and operational constraints is optimized, continuously improved, automated where practical and demonstrably supports crisis resilience.</t>
        </is>
      </c>
      <c r="S196" t="inlineStr">
        <is>
          <t>Delivery disruption; Customer impact; Workforce disruption</t>
        </is>
      </c>
      <c r="T196">
        <f>'Assessment Questions'!W196</f>
        <v/>
      </c>
      <c r="U196">
        <f>'Assessment Questions'!X196</f>
        <v/>
      </c>
      <c r="V196">
        <f>'Assessment Questions'!Y196</f>
        <v/>
      </c>
      <c r="W196" t="n">
        <v>4</v>
      </c>
      <c r="X196" t="n">
        <v>5</v>
      </c>
      <c r="Y196" t="n">
        <v>5</v>
      </c>
      <c r="Z196">
        <f>'Assessment Questions'!AC196</f>
        <v/>
      </c>
      <c r="AB196">
        <f>COUNTIF($B$176:$B$199,$AA196)</f>
        <v/>
      </c>
      <c r="AC196">
        <f>IFERROR(SUMPRODUCT(($B$176:$B$199=$AA196)*($H$176:$H$199&lt;&gt;"")*($H$176:$H$199&lt;&gt;"N/A")*IFERROR(VALUE($H$176:$H$199),0))/SUMPRODUCT(($B$176:$B$199=$AA196)*($H$176:$H$199&lt;&gt;"")*($H$176:$H$199&lt;&gt;"N/A")),0)</f>
        <v/>
      </c>
      <c r="AD196">
        <f>AC196/5</f>
        <v/>
      </c>
      <c r="AE196">
        <f>COUNTIFS($B$176:$B$199,$AA196,$L$176:$L$199,"Critical")+COUNTIFS($B$176:$B$199,$AA196,$L$176:$L$199,"High")</f>
        <v/>
      </c>
      <c r="AF196">
        <f>5-AC196</f>
        <v/>
      </c>
      <c r="AG196">
        <f>SUMPRODUCT(($B$176:$B$199=$AA196)*(ISNUMBER($H$176:$H$199)+($H$176:$H$199="N/A")))</f>
        <v/>
      </c>
      <c r="AH196">
        <f>'Assessment Questions'!AK196</f>
        <v/>
      </c>
      <c r="AI196">
        <f>'Assessment Questions'!AL196</f>
        <v/>
      </c>
      <c r="AJ196">
        <f>IF(OR($H196="",$H196="N/A"),"",IF($AH196="",VLOOKUP('Company Profile'!$B$40,_CONFIG_Model_Settings!$A$5:$B$8,2,FALSE),_xlfn.IFNA(VLOOKUP($AH196,_CONFIG_Model_Settings!$A$5:$B$8,2,FALSE),0.9)))</f>
        <v/>
      </c>
      <c r="AK196">
        <f>IF(OR($H196="",$H196="N/A"),"",IF($AI196="",VLOOKUP('Company Profile'!$B$41,_CONFIG_Model_Settings!$A$5:$B$8,2,FALSE),_xlfn.IFNA(VLOOKUP($AI196,_CONFIG_Model_Settings!$A$5:$B$8,2,FALSE),0.9)))</f>
        <v/>
      </c>
      <c r="AL196">
        <f>IF(OR($H196="",$H196="N/A"),"",ROUND(VALUE($H196)*$AJ196*$AK196*$AV196,2))</f>
        <v/>
      </c>
      <c r="AM196">
        <f>IF($AL196="","",ROUND($AL196/5*100,1))</f>
        <v/>
      </c>
      <c r="AN196">
        <f>IFERROR(MIN(5,MAX(0,(SUMIFS(_REF_Model_Content!$D$1:$D$157,_REF_Model_Content!$A$1:$A$157,'Company Profile'!$B$9,_REF_Model_Content!$B$1:$B$157,"Delivery Ops"))+_xlfn.IFNA(VLOOKUP('Company Profile'!$B$35,_CONFIG_Model_Settings!$A$11:$B$13,2,0),0))),"")</f>
        <v/>
      </c>
      <c r="AO196">
        <f>IF($AL196="","",MAX(0,ROUND($AN196-$AL196,2)))</f>
        <v/>
      </c>
      <c r="AP196">
        <f>IFERROR(SUMIFS(_REF_Model_Content!$E$1:$E$157,_REF_Model_Content!$A$1:$A$157,'Company Profile'!$B$9,_REF_Model_Content!$B$1:$B$157,"Delivery Ops"),1)</f>
        <v/>
      </c>
      <c r="AQ196">
        <f>IF($AO196="","",ROUND($AO196*$AP196*($G196/5),2))</f>
        <v/>
      </c>
      <c r="AR196">
        <f>IF($AO196="","",IF($AO196&gt;=2,"Critical industry gap",IF($AO196&gt;=1,"High industry gap",IF($AO196&gt;=0.5,"Moderate industry gap","Within target"))))</f>
        <v/>
      </c>
      <c r="AS196">
        <f>IF(OR($H196="",$H196="N/A"),0,VALUE($H196)*(($AJ196+$AK196)/2)*$AV196)</f>
        <v/>
      </c>
      <c r="AT196">
        <f>IF(OR($H196="",$H196="N/A"),0,($AJ196+$AK196)/2)</f>
        <v/>
      </c>
      <c r="AU196">
        <f>'Assessment Questions'!AX196</f>
        <v/>
      </c>
      <c r="AV196">
        <f>IF(OR($H196="",$H196="N/A"),"",IF(OR($AU196="",$AU196="Everywhere",$AU196="Not applicable"),1,IF($AU196="Pilot / one team",0.4,IF($AU196="One unit or site",0.7,0.9))))</f>
        <v/>
      </c>
      <c r="AW196" t="inlineStr">
        <is>
          <t>Delivery Ops</t>
        </is>
      </c>
      <c r="AX196" t="inlineStr">
        <is>
          <t>Delivery Ops</t>
        </is>
      </c>
      <c r="AY196" t="n">
        <v>25</v>
      </c>
      <c r="AZ196" t="n">
        <v>196</v>
      </c>
    </row>
    <row r="197">
      <c r="A197" t="inlineStr">
        <is>
          <t>DELI-022</t>
        </is>
      </c>
      <c r="B197" t="inlineStr">
        <is>
          <t>Operational visibility</t>
        </is>
      </c>
      <c r="C197" t="inlineStr">
        <is>
          <t>How mature is the organization in managing customer-specific runbooks for critical accounts, including ownership, evidence, metrics, fallback procedures and crisis stress testing?</t>
        </is>
      </c>
      <c r="D197" t="inlineStr">
        <is>
          <t>This topic affects exposure to Delivery disruption; Customer impact; Workforce disruption. It helps identify how disruption may impact operations, people, revenue, systems, legal exposure or recovery time.</t>
        </is>
      </c>
      <c r="E197" t="inlineStr">
        <is>
          <t>ISO 9001; ISO 22301; ITIL 4; Lean; Six Sigma; APQC; service management best practices</t>
        </is>
      </c>
      <c r="F197" t="inlineStr">
        <is>
          <t>Policy/SOP; owner/RACI; system report; dashboard; contracts; test records; incident history; interview evidence related to customer-specific runbooks for critical accounts.</t>
        </is>
      </c>
      <c r="G197">
        <f>'Assessment Questions'!J197</f>
        <v/>
      </c>
      <c r="H197">
        <f>IF($Z197="","",IF($Z197="N/A","N/A",VALUE(LEFT($Z197,1))))</f>
        <v/>
      </c>
      <c r="I197">
        <f>IF($H197="","",IF($H197="N/A","",VALUE($H197)/5*$G197))</f>
        <v/>
      </c>
      <c r="J197">
        <f>IF(OR($H197="",$H197="N/A"),"",$G197)</f>
        <v/>
      </c>
      <c r="K197">
        <f>IF(OR($H197="",$H197="N/A"),"",$J197-$I197)</f>
        <v/>
      </c>
      <c r="L197">
        <f>IF($H197="","",IF($H197="N/A","N/A",IF(VALUE($H197)&lt;=1,"Critical",IF(VALUE($H197)&lt;=2,"High",IF(VALUE($H197)&lt;=3,"Medium",IF(VALUE($H197)&lt;=4,"Low","Resilient"))))))</f>
        <v/>
      </c>
      <c r="M197" t="inlineStr">
        <is>
          <t>No plan or procedure exists.</t>
        </is>
      </c>
      <c r="N197" t="inlineStr">
        <is>
          <t>Knowledge lives with individuals; nothing usable is written down.</t>
        </is>
      </c>
      <c r="O197" t="inlineStr">
        <is>
          <t>Drafted but outdated, not approved, or unknown to the people who must use it.</t>
        </is>
      </c>
      <c r="P197" t="inlineStr">
        <is>
          <t>Approved and current; owners assigned; affected staff know it exists and where to find it.</t>
        </is>
      </c>
      <c r="Q197" t="inlineStr">
        <is>
          <t>Tested against realistic scenarios; updated after each test or real incident.</t>
        </is>
      </c>
      <c r="R197" t="inlineStr">
        <is>
          <t>Exercised regularly including external parties; readiness measured; continuously improved.</t>
        </is>
      </c>
      <c r="S197" t="inlineStr">
        <is>
          <t>Delivery disruption; Customer impact; Workforce disruption</t>
        </is>
      </c>
      <c r="T197">
        <f>'Assessment Questions'!W197</f>
        <v/>
      </c>
      <c r="U197">
        <f>'Assessment Questions'!X197</f>
        <v/>
      </c>
      <c r="V197">
        <f>'Assessment Questions'!Y197</f>
        <v/>
      </c>
      <c r="W197" t="n">
        <v>4</v>
      </c>
      <c r="X197" t="n">
        <v>5</v>
      </c>
      <c r="Y197" t="n">
        <v>5</v>
      </c>
      <c r="Z197">
        <f>'Assessment Questions'!AC197</f>
        <v/>
      </c>
      <c r="AB197">
        <f>COUNTIF($B$176:$B$199,$AA197)</f>
        <v/>
      </c>
      <c r="AC197">
        <f>IFERROR(SUMPRODUCT(($B$176:$B$199=$AA197)*($H$176:$H$199&lt;&gt;"")*($H$176:$H$199&lt;&gt;"N/A")*IFERROR(VALUE($H$176:$H$199),0))/SUMPRODUCT(($B$176:$B$199=$AA197)*($H$176:$H$199&lt;&gt;"")*($H$176:$H$199&lt;&gt;"N/A")),0)</f>
        <v/>
      </c>
      <c r="AD197">
        <f>AC197/5</f>
        <v/>
      </c>
      <c r="AE197">
        <f>COUNTIFS($B$176:$B$199,$AA197,$L$176:$L$199,"Critical")+COUNTIFS($B$176:$B$199,$AA197,$L$176:$L$199,"High")</f>
        <v/>
      </c>
      <c r="AF197">
        <f>5-AC197</f>
        <v/>
      </c>
      <c r="AG197">
        <f>SUMPRODUCT(($B$176:$B$199=$AA197)*(ISNUMBER($H$176:$H$199)+($H$176:$H$199="N/A")))</f>
        <v/>
      </c>
      <c r="AH197">
        <f>'Assessment Questions'!AK197</f>
        <v/>
      </c>
      <c r="AI197">
        <f>'Assessment Questions'!AL197</f>
        <v/>
      </c>
      <c r="AJ197">
        <f>IF(OR($H197="",$H197="N/A"),"",IF($AH197="",VLOOKUP('Company Profile'!$B$40,_CONFIG_Model_Settings!$A$5:$B$8,2,FALSE),_xlfn.IFNA(VLOOKUP($AH197,_CONFIG_Model_Settings!$A$5:$B$8,2,FALSE),0.9)))</f>
        <v/>
      </c>
      <c r="AK197">
        <f>IF(OR($H197="",$H197="N/A"),"",IF($AI197="",VLOOKUP('Company Profile'!$B$41,_CONFIG_Model_Settings!$A$5:$B$8,2,FALSE),_xlfn.IFNA(VLOOKUP($AI197,_CONFIG_Model_Settings!$A$5:$B$8,2,FALSE),0.9)))</f>
        <v/>
      </c>
      <c r="AL197">
        <f>IF(OR($H197="",$H197="N/A"),"",ROUND(VALUE($H197)*$AJ197*$AK197*$AV197,2))</f>
        <v/>
      </c>
      <c r="AM197">
        <f>IF($AL197="","",ROUND($AL197/5*100,1))</f>
        <v/>
      </c>
      <c r="AN197">
        <f>IFERROR(MIN(5,MAX(0,(SUMIFS(_REF_Model_Content!$D$1:$D$157,_REF_Model_Content!$A$1:$A$157,'Company Profile'!$B$9,_REF_Model_Content!$B$1:$B$157,"Delivery Ops"))+_xlfn.IFNA(VLOOKUP('Company Profile'!$B$35,_CONFIG_Model_Settings!$A$11:$B$13,2,0),0))),"")</f>
        <v/>
      </c>
      <c r="AO197">
        <f>IF($AL197="","",MAX(0,ROUND($AN197-$AL197,2)))</f>
        <v/>
      </c>
      <c r="AP197">
        <f>IFERROR(SUMIFS(_REF_Model_Content!$E$1:$E$157,_REF_Model_Content!$A$1:$A$157,'Company Profile'!$B$9,_REF_Model_Content!$B$1:$B$157,"Delivery Ops"),1)</f>
        <v/>
      </c>
      <c r="AQ197">
        <f>IF($AO197="","",ROUND($AO197*$AP197*($G197/5),2))</f>
        <v/>
      </c>
      <c r="AR197">
        <f>IF($AO197="","",IF($AO197&gt;=2,"Critical industry gap",IF($AO197&gt;=1,"High industry gap",IF($AO197&gt;=0.5,"Moderate industry gap","Within target"))))</f>
        <v/>
      </c>
      <c r="AS197">
        <f>IF(OR($H197="",$H197="N/A"),0,VALUE($H197)*(($AJ197+$AK197)/2)*$AV197)</f>
        <v/>
      </c>
      <c r="AT197">
        <f>IF(OR($H197="",$H197="N/A"),0,($AJ197+$AK197)/2)</f>
        <v/>
      </c>
      <c r="AU197">
        <f>'Assessment Questions'!AX197</f>
        <v/>
      </c>
      <c r="AV197">
        <f>IF(OR($H197="",$H197="N/A"),"",IF(OR($AU197="",$AU197="Everywhere",$AU197="Not applicable"),1,IF($AU197="Pilot / one team",0.4,IF($AU197="One unit or site",0.7,0.9))))</f>
        <v/>
      </c>
      <c r="AW197" t="inlineStr">
        <is>
          <t>Delivery Ops</t>
        </is>
      </c>
      <c r="AX197" t="inlineStr">
        <is>
          <t>Delivery Ops</t>
        </is>
      </c>
      <c r="AY197" t="n">
        <v>26</v>
      </c>
      <c r="AZ197" t="n">
        <v>197</v>
      </c>
    </row>
    <row r="198">
      <c r="A198" t="inlineStr">
        <is>
          <t>DELI-023</t>
        </is>
      </c>
      <c r="B198" t="inlineStr">
        <is>
          <t>Operational visibility</t>
        </is>
      </c>
      <c r="C198" t="inlineStr">
        <is>
          <t>How mature is the organization in managing critical tools, equipment and licenses required for delivery, including ownership, evidence, metrics, fallback procedures and crisis stress testing?</t>
        </is>
      </c>
      <c r="D198" t="inlineStr">
        <is>
          <t>This topic affects exposure to Delivery disruption; Customer impact; Workforce disruption. It helps identify how disruption may impact operations, people, revenue, systems, legal exposure or recovery time.</t>
        </is>
      </c>
      <c r="E198" t="inlineStr">
        <is>
          <t>ISO 9001; ISO 22301; ITIL 4; Lean; Six Sigma; APQC; service management best practices</t>
        </is>
      </c>
      <c r="F198" t="inlineStr">
        <is>
          <t>Policy/SOP; owner/RACI; system report; dashboard; contracts; test records; incident history; interview evidence related to critical tools, equipment and licenses required for delivery.</t>
        </is>
      </c>
      <c r="G198">
        <f>'Assessment Questions'!J198</f>
        <v/>
      </c>
      <c r="H198">
        <f>IF($Z198="","",IF($Z198="N/A","N/A",VALUE(LEFT($Z198,1))))</f>
        <v/>
      </c>
      <c r="I198">
        <f>IF($H198="","",IF($H198="N/A","",VALUE($H198)/5*$G198))</f>
        <v/>
      </c>
      <c r="J198">
        <f>IF(OR($H198="",$H198="N/A"),"",$G198)</f>
        <v/>
      </c>
      <c r="K198">
        <f>IF(OR($H198="",$H198="N/A"),"",$J198-$I198)</f>
        <v/>
      </c>
      <c r="L198">
        <f>IF($H198="","",IF($H198="N/A","N/A",IF(VALUE($H198)&lt;=1,"Critical",IF(VALUE($H198)&lt;=2,"High",IF(VALUE($H198)&lt;=3,"Medium",IF(VALUE($H198)&lt;=4,"Low","Resilient"))))))</f>
        <v/>
      </c>
      <c r="M198" t="inlineStr">
        <is>
          <t>Does not exist; no owner, no documentation, no practice.</t>
        </is>
      </c>
      <c r="N198" t="inlineStr">
        <is>
          <t>Ad hoc; depends entirely on specific individuals.</t>
        </is>
      </c>
      <c r="O198" t="inlineStr">
        <is>
          <t>Partially documented or implemented; coverage inconsistent; never tested under stress.</t>
        </is>
      </c>
      <c r="P198" t="inlineStr">
        <is>
          <t>Documented, owned, executed consistently; basic evidence and metrics exist.</t>
        </is>
      </c>
      <c r="Q198" t="inlineStr">
        <is>
          <t>Measured and periodically tested/audited; integrated with adjacent processes.</t>
        </is>
      </c>
      <c r="R198" t="inlineStr">
        <is>
          <t>Optimized and automated where practical; stress-tested; benchmarked externally.</t>
        </is>
      </c>
      <c r="S198" t="inlineStr">
        <is>
          <t>Delivery disruption; Customer impact; Workforce disruption</t>
        </is>
      </c>
      <c r="T198">
        <f>'Assessment Questions'!W198</f>
        <v/>
      </c>
      <c r="U198">
        <f>'Assessment Questions'!X198</f>
        <v/>
      </c>
      <c r="V198">
        <f>'Assessment Questions'!Y198</f>
        <v/>
      </c>
      <c r="W198" t="n">
        <v>4</v>
      </c>
      <c r="X198" t="n">
        <v>5</v>
      </c>
      <c r="Y198" t="n">
        <v>5</v>
      </c>
      <c r="Z198">
        <f>'Assessment Questions'!AC198</f>
        <v/>
      </c>
      <c r="AB198">
        <f>COUNTIF($B$176:$B$199,$AA198)</f>
        <v/>
      </c>
      <c r="AC198">
        <f>IFERROR(SUMPRODUCT(($B$176:$B$199=$AA198)*($H$176:$H$199&lt;&gt;"")*($H$176:$H$199&lt;&gt;"N/A")*IFERROR(VALUE($H$176:$H$199),0))/SUMPRODUCT(($B$176:$B$199=$AA198)*($H$176:$H$199&lt;&gt;"")*($H$176:$H$199&lt;&gt;"N/A")),0)</f>
        <v/>
      </c>
      <c r="AD198">
        <f>AC198/5</f>
        <v/>
      </c>
      <c r="AE198">
        <f>COUNTIFS($B$176:$B$199,$AA198,$L$176:$L$199,"Critical")+COUNTIFS($B$176:$B$199,$AA198,$L$176:$L$199,"High")</f>
        <v/>
      </c>
      <c r="AF198">
        <f>5-AC198</f>
        <v/>
      </c>
      <c r="AG198">
        <f>SUMPRODUCT(($B$176:$B$199=$AA198)*(ISNUMBER($H$176:$H$199)+($H$176:$H$199="N/A")))</f>
        <v/>
      </c>
      <c r="AH198">
        <f>'Assessment Questions'!AK198</f>
        <v/>
      </c>
      <c r="AI198">
        <f>'Assessment Questions'!AL198</f>
        <v/>
      </c>
      <c r="AJ198">
        <f>IF(OR($H198="",$H198="N/A"),"",IF($AH198="",VLOOKUP('Company Profile'!$B$40,_CONFIG_Model_Settings!$A$5:$B$8,2,FALSE),_xlfn.IFNA(VLOOKUP($AH198,_CONFIG_Model_Settings!$A$5:$B$8,2,FALSE),0.9)))</f>
        <v/>
      </c>
      <c r="AK198">
        <f>IF(OR($H198="",$H198="N/A"),"",IF($AI198="",VLOOKUP('Company Profile'!$B$41,_CONFIG_Model_Settings!$A$5:$B$8,2,FALSE),_xlfn.IFNA(VLOOKUP($AI198,_CONFIG_Model_Settings!$A$5:$B$8,2,FALSE),0.9)))</f>
        <v/>
      </c>
      <c r="AL198">
        <f>IF(OR($H198="",$H198="N/A"),"",ROUND(VALUE($H198)*$AJ198*$AK198*$AV198,2))</f>
        <v/>
      </c>
      <c r="AM198">
        <f>IF($AL198="","",ROUND($AL198/5*100,1))</f>
        <v/>
      </c>
      <c r="AN198">
        <f>IFERROR(MIN(5,MAX(0,(SUMIFS(_REF_Model_Content!$D$1:$D$157,_REF_Model_Content!$A$1:$A$157,'Company Profile'!$B$9,_REF_Model_Content!$B$1:$B$157,"Delivery Ops"))+_xlfn.IFNA(VLOOKUP('Company Profile'!$B$35,_CONFIG_Model_Settings!$A$11:$B$13,2,0),0))),"")</f>
        <v/>
      </c>
      <c r="AO198">
        <f>IF($AL198="","",MAX(0,ROUND($AN198-$AL198,2)))</f>
        <v/>
      </c>
      <c r="AP198">
        <f>IFERROR(SUMIFS(_REF_Model_Content!$E$1:$E$157,_REF_Model_Content!$A$1:$A$157,'Company Profile'!$B$9,_REF_Model_Content!$B$1:$B$157,"Delivery Ops"),1)</f>
        <v/>
      </c>
      <c r="AQ198">
        <f>IF($AO198="","",ROUND($AO198*$AP198*($G198/5),2))</f>
        <v/>
      </c>
      <c r="AR198">
        <f>IF($AO198="","",IF($AO198&gt;=2,"Critical industry gap",IF($AO198&gt;=1,"High industry gap",IF($AO198&gt;=0.5,"Moderate industry gap","Within target"))))</f>
        <v/>
      </c>
      <c r="AS198">
        <f>IF(OR($H198="",$H198="N/A"),0,VALUE($H198)*(($AJ198+$AK198)/2)*$AV198)</f>
        <v/>
      </c>
      <c r="AT198">
        <f>IF(OR($H198="",$H198="N/A"),0,($AJ198+$AK198)/2)</f>
        <v/>
      </c>
      <c r="AU198">
        <f>'Assessment Questions'!AX198</f>
        <v/>
      </c>
      <c r="AV198">
        <f>IF(OR($H198="",$H198="N/A"),"",IF(OR($AU198="",$AU198="Everywhere",$AU198="Not applicable"),1,IF($AU198="Pilot / one team",0.4,IF($AU198="One unit or site",0.7,0.9))))</f>
        <v/>
      </c>
      <c r="AW198" t="inlineStr">
        <is>
          <t>Delivery Ops</t>
        </is>
      </c>
      <c r="AX198" t="inlineStr">
        <is>
          <t>Delivery Ops</t>
        </is>
      </c>
      <c r="AY198" t="n">
        <v>27</v>
      </c>
      <c r="AZ198" t="n">
        <v>198</v>
      </c>
    </row>
    <row r="199">
      <c r="A199" t="inlineStr">
        <is>
          <t>DELI-024</t>
        </is>
      </c>
      <c r="B199" t="inlineStr">
        <is>
          <t>Operational visibility</t>
        </is>
      </c>
      <c r="C199" t="inlineStr">
        <is>
          <t>How mature is the organization in managing geographic delivery exposure by customer, supplier, team and site location, including ownership, evidence, metrics, fallback procedures and crisis stress testing?</t>
        </is>
      </c>
      <c r="D199" t="inlineStr">
        <is>
          <t>This topic affects exposure to Delivery disruption; Customer impact; Workforce disruption. It helps identify how disruption may impact operations, people, revenue, systems, legal exposure or recovery time.</t>
        </is>
      </c>
      <c r="E199" t="inlineStr">
        <is>
          <t>ISO 9001; ISO 22301; ITIL 4; Lean; Six Sigma; APQC; service management best practices</t>
        </is>
      </c>
      <c r="F199" t="inlineStr">
        <is>
          <t>Policy/SOP; owner/RACI; system report; dashboard; contracts; test records; incident history; interview evidence related to geographic delivery exposure by customer, supplier, team and site location.</t>
        </is>
      </c>
      <c r="G199">
        <f>'Assessment Questions'!J199</f>
        <v/>
      </c>
      <c r="H199">
        <f>IF($Z199="","",IF($Z199="N/A","N/A",VALUE(LEFT($Z199,1))))</f>
        <v/>
      </c>
      <c r="I199">
        <f>IF($H199="","",IF($H199="N/A","",VALUE($H199)/5*$G199))</f>
        <v/>
      </c>
      <c r="J199">
        <f>IF(OR($H199="",$H199="N/A"),"",$G199)</f>
        <v/>
      </c>
      <c r="K199">
        <f>IF(OR($H199="",$H199="N/A"),"",$J199-$I199)</f>
        <v/>
      </c>
      <c r="L199">
        <f>IF($H199="","",IF($H199="N/A","N/A",IF(VALUE($H199)&lt;=1,"Critical",IF(VALUE($H199)&lt;=2,"High",IF(VALUE($H199)&lt;=3,"Medium",IF(VALUE($H199)&lt;=4,"Low","Resilient"))))))</f>
        <v/>
      </c>
      <c r="M199" t="inlineStr">
        <is>
          <t>Does not exist; no owner, no documentation, no practice.</t>
        </is>
      </c>
      <c r="N199" t="inlineStr">
        <is>
          <t>Ad hoc; depends entirely on specific individuals.</t>
        </is>
      </c>
      <c r="O199" t="inlineStr">
        <is>
          <t>Partially documented or implemented; coverage inconsistent; never tested under stress.</t>
        </is>
      </c>
      <c r="P199" t="inlineStr">
        <is>
          <t>Documented, owned, executed consistently; basic evidence and metrics exist.</t>
        </is>
      </c>
      <c r="Q199" t="inlineStr">
        <is>
          <t>Measured and periodically tested/audited; integrated with adjacent processes.</t>
        </is>
      </c>
      <c r="R199" t="inlineStr">
        <is>
          <t>Optimized and automated where practical; stress-tested; benchmarked externally.</t>
        </is>
      </c>
      <c r="S199" t="inlineStr">
        <is>
          <t>Delivery disruption; Customer impact; Workforce disruption</t>
        </is>
      </c>
      <c r="T199">
        <f>'Assessment Questions'!W199</f>
        <v/>
      </c>
      <c r="U199">
        <f>'Assessment Questions'!X199</f>
        <v/>
      </c>
      <c r="V199">
        <f>'Assessment Questions'!Y199</f>
        <v/>
      </c>
      <c r="W199" t="n">
        <v>4</v>
      </c>
      <c r="X199" t="n">
        <v>5</v>
      </c>
      <c r="Y199" t="n">
        <v>5</v>
      </c>
      <c r="Z199">
        <f>'Assessment Questions'!AC199</f>
        <v/>
      </c>
      <c r="AB199">
        <f>COUNTIF($B$176:$B$199,$AA199)</f>
        <v/>
      </c>
      <c r="AC199">
        <f>IFERROR(SUMPRODUCT(($B$176:$B$199=$AA199)*($H$176:$H$199&lt;&gt;"")*($H$176:$H$199&lt;&gt;"N/A")*IFERROR(VALUE($H$176:$H$199),0))/SUMPRODUCT(($B$176:$B$199=$AA199)*($H$176:$H$199&lt;&gt;"")*($H$176:$H$199&lt;&gt;"N/A")),0)</f>
        <v/>
      </c>
      <c r="AD199">
        <f>AC199/5</f>
        <v/>
      </c>
      <c r="AE199">
        <f>COUNTIFS($B$176:$B$199,$AA199,$L$176:$L$199,"Critical")+COUNTIFS($B$176:$B$199,$AA199,$L$176:$L$199,"High")</f>
        <v/>
      </c>
      <c r="AF199">
        <f>5-AC199</f>
        <v/>
      </c>
      <c r="AG199">
        <f>SUMPRODUCT(($B$176:$B$199=$AA199)*(ISNUMBER($H$176:$H$199)+($H$176:$H$199="N/A")))</f>
        <v/>
      </c>
      <c r="AH199">
        <f>'Assessment Questions'!AK199</f>
        <v/>
      </c>
      <c r="AI199">
        <f>'Assessment Questions'!AL199</f>
        <v/>
      </c>
      <c r="AJ199">
        <f>IF(OR($H199="",$H199="N/A"),"",IF($AH199="",VLOOKUP('Company Profile'!$B$40,_CONFIG_Model_Settings!$A$5:$B$8,2,FALSE),_xlfn.IFNA(VLOOKUP($AH199,_CONFIG_Model_Settings!$A$5:$B$8,2,FALSE),0.9)))</f>
        <v/>
      </c>
      <c r="AK199">
        <f>IF(OR($H199="",$H199="N/A"),"",IF($AI199="",VLOOKUP('Company Profile'!$B$41,_CONFIG_Model_Settings!$A$5:$B$8,2,FALSE),_xlfn.IFNA(VLOOKUP($AI199,_CONFIG_Model_Settings!$A$5:$B$8,2,FALSE),0.9)))</f>
        <v/>
      </c>
      <c r="AL199">
        <f>IF(OR($H199="",$H199="N/A"),"",ROUND(VALUE($H199)*$AJ199*$AK199*$AV199,2))</f>
        <v/>
      </c>
      <c r="AM199">
        <f>IF($AL199="","",ROUND($AL199/5*100,1))</f>
        <v/>
      </c>
      <c r="AN199">
        <f>IFERROR(MIN(5,MAX(0,(SUMIFS(_REF_Model_Content!$D$1:$D$157,_REF_Model_Content!$A$1:$A$157,'Company Profile'!$B$9,_REF_Model_Content!$B$1:$B$157,"Delivery Ops"))+_xlfn.IFNA(VLOOKUP('Company Profile'!$B$35,_CONFIG_Model_Settings!$A$11:$B$13,2,0),0))),"")</f>
        <v/>
      </c>
      <c r="AO199">
        <f>IF($AL199="","",MAX(0,ROUND($AN199-$AL199,2)))</f>
        <v/>
      </c>
      <c r="AP199">
        <f>IFERROR(SUMIFS(_REF_Model_Content!$E$1:$E$157,_REF_Model_Content!$A$1:$A$157,'Company Profile'!$B$9,_REF_Model_Content!$B$1:$B$157,"Delivery Ops"),1)</f>
        <v/>
      </c>
      <c r="AQ199">
        <f>IF($AO199="","",ROUND($AO199*$AP199*($G199/5),2))</f>
        <v/>
      </c>
      <c r="AR199">
        <f>IF($AO199="","",IF($AO199&gt;=2,"Critical industry gap",IF($AO199&gt;=1,"High industry gap",IF($AO199&gt;=0.5,"Moderate industry gap","Within target"))))</f>
        <v/>
      </c>
      <c r="AS199">
        <f>IF(OR($H199="",$H199="N/A"),0,VALUE($H199)*(($AJ199+$AK199)/2)*$AV199)</f>
        <v/>
      </c>
      <c r="AT199">
        <f>IF(OR($H199="",$H199="N/A"),0,($AJ199+$AK199)/2)</f>
        <v/>
      </c>
      <c r="AU199">
        <f>'Assessment Questions'!AX199</f>
        <v/>
      </c>
      <c r="AV199">
        <f>IF(OR($H199="",$H199="N/A"),"",IF(OR($AU199="",$AU199="Everywhere",$AU199="Not applicable"),1,IF($AU199="Pilot / one team",0.4,IF($AU199="One unit or site",0.7,0.9))))</f>
        <v/>
      </c>
      <c r="AW199" t="inlineStr">
        <is>
          <t>Delivery Ops</t>
        </is>
      </c>
      <c r="AX199" t="inlineStr">
        <is>
          <t>Delivery Ops</t>
        </is>
      </c>
      <c r="AY199" t="n">
        <v>28</v>
      </c>
      <c r="AZ199" t="n">
        <v>199</v>
      </c>
    </row>
    <row r="200">
      <c r="A200" t="inlineStr">
        <is>
          <t>SUPP-001</t>
        </is>
      </c>
      <c r="B200" t="inlineStr">
        <is>
          <t>Supply chain design</t>
        </is>
      </c>
      <c r="C200" t="inlineStr">
        <is>
          <t>How mature is the organization in managing end-to-end supply chain map from raw materials and suppliers to production, logistics, delivery and customers, including ownership, evidence, metrics, fallback procedures and crisis stress testing?</t>
        </is>
      </c>
      <c r="D200" t="inlineStr">
        <is>
          <t>This topic affects exposure to Supplier/logistics disruption; Manufacturing disruption; Demand shock. It helps identify how disruption may impact operations, people, revenue, systems, legal exposure or recovery time.</t>
        </is>
      </c>
      <c r="E200" t="inlineStr">
        <is>
          <t>ISO 22301; ISO 20400; ISO 28000; SCOR Digital Standard; S&amp;OP/IBP; APICS/ASCM</t>
        </is>
      </c>
      <c r="F200" t="inlineStr">
        <is>
          <t>Policy/SOP; owner/RACI; system report; dashboard; contracts; test records; incident history; interview evidence related to end-to-end supply chain map from raw materials and suppliers to production, logistics, delivery and customers.</t>
        </is>
      </c>
      <c r="G200">
        <f>'Assessment Questions'!J200</f>
        <v/>
      </c>
      <c r="H200">
        <f>IF($Z200="","",IF($Z200="N/A","N/A",VALUE(LEFT($Z200,1))))</f>
        <v/>
      </c>
      <c r="I200">
        <f>IF($H200="","",IF($H200="N/A","",VALUE($H200)/5*$G200))</f>
        <v/>
      </c>
      <c r="J200">
        <f>IF(OR($H200="",$H200="N/A"),"",$G200)</f>
        <v/>
      </c>
      <c r="K200">
        <f>IF(OR($H200="",$H200="N/A"),"",$J200-$I200)</f>
        <v/>
      </c>
      <c r="L200">
        <f>IF($H200="","",IF($H200="N/A","N/A",IF(VALUE($H200)&lt;=1,"Critical",IF(VALUE($H200)&lt;=2,"High",IF(VALUE($H200)&lt;=3,"Medium",IF(VALUE($H200)&lt;=4,"Low","Resilient"))))))</f>
        <v/>
      </c>
      <c r="M200" t="inlineStr">
        <is>
          <t>No inventory/register exists.</t>
        </is>
      </c>
      <c r="N200" t="inlineStr">
        <is>
          <t>Partial lists live in individuals' heads or personal files.</t>
        </is>
      </c>
      <c r="O200" t="inlineStr">
        <is>
          <t>A register exists but is incomplete or outdated (&gt;1 year) and has no owner.</t>
        </is>
      </c>
      <c r="P200" t="inlineStr">
        <is>
          <t>Owned, documented, updated on a defined schedule, covers the main scope.</t>
        </is>
      </c>
      <c r="Q200" t="inlineStr">
        <is>
          <t>Complete and periodically reviewed; integrated with related processes; completeness measured.</t>
        </is>
      </c>
      <c r="R200" t="inlineStr">
        <is>
          <t>Maintained automatically or synced with systems; drives decisions; audited.</t>
        </is>
      </c>
      <c r="S200" t="inlineStr">
        <is>
          <t>Supplier/logistics disruption; Manufacturing disruption; Demand shock</t>
        </is>
      </c>
      <c r="T200">
        <f>'Assessment Questions'!W200</f>
        <v/>
      </c>
      <c r="U200">
        <f>'Assessment Questions'!X200</f>
        <v/>
      </c>
      <c r="V200">
        <f>'Assessment Questions'!Y200</f>
        <v/>
      </c>
      <c r="W200" t="n">
        <v>4</v>
      </c>
      <c r="X200" t="n">
        <v>5</v>
      </c>
      <c r="Y200" t="n">
        <v>5</v>
      </c>
      <c r="Z200">
        <f>'Assessment Questions'!AC200</f>
        <v/>
      </c>
      <c r="AA200" t="inlineStr">
        <is>
          <t>Supply chain design</t>
        </is>
      </c>
      <c r="AB200">
        <f>COUNTIF($B$200:$B$228,$AA200)</f>
        <v/>
      </c>
      <c r="AC200">
        <f>IFERROR(SUMPRODUCT(($B$200:$B$228=$AA200)*($H$200:$H$228&lt;&gt;"")*($H$200:$H$228&lt;&gt;"N/A")*IFERROR(VALUE($H$200:$H$228),0))/SUMPRODUCT(($B$200:$B$228=$AA200)*($H$200:$H$228&lt;&gt;"")*($H$200:$H$228&lt;&gt;"N/A")),0)</f>
        <v/>
      </c>
      <c r="AD200">
        <f>AC200/5</f>
        <v/>
      </c>
      <c r="AE200">
        <f>COUNTIFS($B$200:$B$228,$AA200,$L$200:$L$228,"Critical")+COUNTIFS($B$200:$B$228,$AA200,$L$200:$L$228,"High")</f>
        <v/>
      </c>
      <c r="AF200">
        <f>5-AC200</f>
        <v/>
      </c>
      <c r="AG200">
        <f>SUMPRODUCT(($B$200:$B$228=$AA200)*(ISNUMBER($H$200:$H$228)+($H$200:$H$228="N/A")))</f>
        <v/>
      </c>
      <c r="AH200">
        <f>'Assessment Questions'!AK200</f>
        <v/>
      </c>
      <c r="AI200">
        <f>'Assessment Questions'!AL200</f>
        <v/>
      </c>
      <c r="AJ200">
        <f>IF(OR($H200="",$H200="N/A"),"",IF($AH200="",VLOOKUP('Company Profile'!$B$40,_CONFIG_Model_Settings!$A$5:$B$8,2,FALSE),_xlfn.IFNA(VLOOKUP($AH200,_CONFIG_Model_Settings!$A$5:$B$8,2,FALSE),0.9)))</f>
        <v/>
      </c>
      <c r="AK200">
        <f>IF(OR($H200="",$H200="N/A"),"",IF($AI200="",VLOOKUP('Company Profile'!$B$41,_CONFIG_Model_Settings!$A$5:$B$8,2,FALSE),_xlfn.IFNA(VLOOKUP($AI200,_CONFIG_Model_Settings!$A$5:$B$8,2,FALSE),0.9)))</f>
        <v/>
      </c>
      <c r="AL200">
        <f>IF(OR($H200="",$H200="N/A"),"",ROUND(VALUE($H200)*$AJ200*$AK200*$AV200,2))</f>
        <v/>
      </c>
      <c r="AM200">
        <f>IF($AL200="","",ROUND($AL200/5*100,1))</f>
        <v/>
      </c>
      <c r="AN200">
        <f>IFERROR(MIN(5,MAX(0,(SUMIFS(_REF_Model_Content!$D$1:$D$157,_REF_Model_Content!$A$1:$A$157,'Company Profile'!$B$9,_REF_Model_Content!$B$1:$B$157,"Supply Chain"))+_xlfn.IFNA(VLOOKUP('Company Profile'!$B$35,_CONFIG_Model_Settings!$A$11:$B$13,2,0),0))),"")</f>
        <v/>
      </c>
      <c r="AO200">
        <f>IF($AL200="","",MAX(0,ROUND($AN200-$AL200,2)))</f>
        <v/>
      </c>
      <c r="AP200">
        <f>IFERROR(SUMIFS(_REF_Model_Content!$E$1:$E$157,_REF_Model_Content!$A$1:$A$157,'Company Profile'!$B$9,_REF_Model_Content!$B$1:$B$157,"Supply Chain"),1)</f>
        <v/>
      </c>
      <c r="AQ200">
        <f>IF($AO200="","",ROUND($AO200*$AP200*($G200/5),2))</f>
        <v/>
      </c>
      <c r="AR200">
        <f>IF($AO200="","",IF($AO200&gt;=2,"Critical industry gap",IF($AO200&gt;=1,"High industry gap",IF($AO200&gt;=0.5,"Moderate industry gap","Within target"))))</f>
        <v/>
      </c>
      <c r="AS200">
        <f>IF(OR($H200="",$H200="N/A"),0,VALUE($H200)*(($AJ200+$AK200)/2)*$AV200)</f>
        <v/>
      </c>
      <c r="AT200">
        <f>IF(OR($H200="",$H200="N/A"),0,($AJ200+$AK200)/2)</f>
        <v/>
      </c>
      <c r="AU200">
        <f>'Assessment Questions'!AX200</f>
        <v/>
      </c>
      <c r="AV200">
        <f>IF(OR($H200="",$H200="N/A"),"",IF(OR($AU200="",$AU200="Everywhere",$AU200="Not applicable"),1,IF($AU200="Pilot / one team",0.4,IF($AU200="One unit or site",0.7,0.9))))</f>
        <v/>
      </c>
      <c r="AW200" t="inlineStr">
        <is>
          <t>Supply Chain</t>
        </is>
      </c>
      <c r="AX200" t="inlineStr">
        <is>
          <t>Supply Chain</t>
        </is>
      </c>
      <c r="AY200" t="n">
        <v>5</v>
      </c>
      <c r="AZ200" t="n">
        <v>200</v>
      </c>
    </row>
    <row r="201">
      <c r="A201" t="inlineStr">
        <is>
          <t>SUPP-002</t>
        </is>
      </c>
      <c r="B201" t="inlineStr">
        <is>
          <t>Supply chain design</t>
        </is>
      </c>
      <c r="C201" t="inlineStr">
        <is>
          <t>How mature is the organization in managing visibility beyond tier-1 suppliers for critical materials, components and services, including ownership, evidence, metrics, fallback procedures and crisis stress testing?</t>
        </is>
      </c>
      <c r="D201" t="inlineStr">
        <is>
          <t>This topic affects exposure to Supplier/logistics disruption; Manufacturing disruption; Demand shock. It helps identify how disruption may impact operations, people, revenue, systems, legal exposure or recovery time.</t>
        </is>
      </c>
      <c r="E201" t="inlineStr">
        <is>
          <t>ISO 22301; ISO 20400; ISO 28000; SCOR Digital Standard; S&amp;OP/IBP; APICS/ASCM</t>
        </is>
      </c>
      <c r="F201" t="inlineStr">
        <is>
          <t>Policy/SOP; owner/RACI; system report; dashboard; contracts; test records; incident history; interview evidence related to visibility beyond tier-1 suppliers for critical materials, components and services.</t>
        </is>
      </c>
      <c r="G201">
        <f>'Assessment Questions'!J201</f>
        <v/>
      </c>
      <c r="H201">
        <f>IF($Z201="","",IF($Z201="N/A","N/A",VALUE(LEFT($Z201,1))))</f>
        <v/>
      </c>
      <c r="I201">
        <f>IF($H201="","",IF($H201="N/A","",VALUE($H201)/5*$G201))</f>
        <v/>
      </c>
      <c r="J201">
        <f>IF(OR($H201="",$H201="N/A"),"",$G201)</f>
        <v/>
      </c>
      <c r="K201">
        <f>IF(OR($H201="",$H201="N/A"),"",$J201-$I201)</f>
        <v/>
      </c>
      <c r="L201">
        <f>IF($H201="","",IF($H201="N/A","N/A",IF(VALUE($H201)&lt;=1,"Critical",IF(VALUE($H201)&lt;=2,"High",IF(VALUE($H201)&lt;=3,"Medium",IF(VALUE($H201)&lt;=4,"Low","Resilient"))))))</f>
        <v/>
      </c>
      <c r="M201" t="inlineStr">
        <is>
          <t>Nothing is monitored or measured.</t>
        </is>
      </c>
      <c r="N201" t="inlineStr">
        <is>
          <t>Occasional manual checks by individuals.</t>
        </is>
      </c>
      <c r="O201" t="inlineStr">
        <is>
          <t>Some metrics exist but are not reviewed regularly and trigger no action.</t>
        </is>
      </c>
      <c r="P201" t="inlineStr">
        <is>
          <t>Defined metrics with an owner, reviewed on a set cadence.</t>
        </is>
      </c>
      <c r="Q201" t="inlineStr">
        <is>
          <t>Thresholds and alerts in place; deviations trigger documented action; trends analyzed.</t>
        </is>
      </c>
      <c r="R201" t="inlineStr">
        <is>
          <t>Automated monitoring with leading indicators, integrated into management decisions.</t>
        </is>
      </c>
      <c r="S201" t="inlineStr">
        <is>
          <t>Supplier/logistics disruption; Manufacturing disruption; Demand shock</t>
        </is>
      </c>
      <c r="T201">
        <f>'Assessment Questions'!W201</f>
        <v/>
      </c>
      <c r="U201">
        <f>'Assessment Questions'!X201</f>
        <v/>
      </c>
      <c r="V201">
        <f>'Assessment Questions'!Y201</f>
        <v/>
      </c>
      <c r="W201" t="n">
        <v>4</v>
      </c>
      <c r="X201" t="n">
        <v>5</v>
      </c>
      <c r="Y201" t="n">
        <v>5</v>
      </c>
      <c r="Z201">
        <f>'Assessment Questions'!AC201</f>
        <v/>
      </c>
      <c r="AA201" t="inlineStr">
        <is>
          <t>Logistics</t>
        </is>
      </c>
      <c r="AB201">
        <f>COUNTIF($B$200:$B$228,$AA201)</f>
        <v/>
      </c>
      <c r="AC201">
        <f>IFERROR(SUMPRODUCT(($B$200:$B$228=$AA201)*($H$200:$H$228&lt;&gt;"")*($H$200:$H$228&lt;&gt;"N/A")*IFERROR(VALUE($H$200:$H$228),0))/SUMPRODUCT(($B$200:$B$228=$AA201)*($H$200:$H$228&lt;&gt;"")*($H$200:$H$228&lt;&gt;"N/A")),0)</f>
        <v/>
      </c>
      <c r="AD201">
        <f>AC201/5</f>
        <v/>
      </c>
      <c r="AE201">
        <f>COUNTIFS($B$200:$B$228,$AA201,$L$200:$L$228,"Critical")+COUNTIFS($B$200:$B$228,$AA201,$L$200:$L$228,"High")</f>
        <v/>
      </c>
      <c r="AF201">
        <f>5-AC201</f>
        <v/>
      </c>
      <c r="AG201">
        <f>SUMPRODUCT(($B$200:$B$228=$AA201)*(ISNUMBER($H$200:$H$228)+($H$200:$H$228="N/A")))</f>
        <v/>
      </c>
      <c r="AH201">
        <f>'Assessment Questions'!AK201</f>
        <v/>
      </c>
      <c r="AI201">
        <f>'Assessment Questions'!AL201</f>
        <v/>
      </c>
      <c r="AJ201">
        <f>IF(OR($H201="",$H201="N/A"),"",IF($AH201="",VLOOKUP('Company Profile'!$B$40,_CONFIG_Model_Settings!$A$5:$B$8,2,FALSE),_xlfn.IFNA(VLOOKUP($AH201,_CONFIG_Model_Settings!$A$5:$B$8,2,FALSE),0.9)))</f>
        <v/>
      </c>
      <c r="AK201">
        <f>IF(OR($H201="",$H201="N/A"),"",IF($AI201="",VLOOKUP('Company Profile'!$B$41,_CONFIG_Model_Settings!$A$5:$B$8,2,FALSE),_xlfn.IFNA(VLOOKUP($AI201,_CONFIG_Model_Settings!$A$5:$B$8,2,FALSE),0.9)))</f>
        <v/>
      </c>
      <c r="AL201">
        <f>IF(OR($H201="",$H201="N/A"),"",ROUND(VALUE($H201)*$AJ201*$AK201*$AV201,2))</f>
        <v/>
      </c>
      <c r="AM201">
        <f>IF($AL201="","",ROUND($AL201/5*100,1))</f>
        <v/>
      </c>
      <c r="AN201">
        <f>IFERROR(MIN(5,MAX(0,(SUMIFS(_REF_Model_Content!$D$1:$D$157,_REF_Model_Content!$A$1:$A$157,'Company Profile'!$B$9,_REF_Model_Content!$B$1:$B$157,"Supply Chain"))+_xlfn.IFNA(VLOOKUP('Company Profile'!$B$35,_CONFIG_Model_Settings!$A$11:$B$13,2,0),0))),"")</f>
        <v/>
      </c>
      <c r="AO201">
        <f>IF($AL201="","",MAX(0,ROUND($AN201-$AL201,2)))</f>
        <v/>
      </c>
      <c r="AP201">
        <f>IFERROR(SUMIFS(_REF_Model_Content!$E$1:$E$157,_REF_Model_Content!$A$1:$A$157,'Company Profile'!$B$9,_REF_Model_Content!$B$1:$B$157,"Supply Chain"),1)</f>
        <v/>
      </c>
      <c r="AQ201">
        <f>IF($AO201="","",ROUND($AO201*$AP201*($G201/5),2))</f>
        <v/>
      </c>
      <c r="AR201">
        <f>IF($AO201="","",IF($AO201&gt;=2,"Critical industry gap",IF($AO201&gt;=1,"High industry gap",IF($AO201&gt;=0.5,"Moderate industry gap","Within target"))))</f>
        <v/>
      </c>
      <c r="AS201">
        <f>IF(OR($H201="",$H201="N/A"),0,VALUE($H201)*(($AJ201+$AK201)/2)*$AV201)</f>
        <v/>
      </c>
      <c r="AT201">
        <f>IF(OR($H201="",$H201="N/A"),0,($AJ201+$AK201)/2)</f>
        <v/>
      </c>
      <c r="AU201">
        <f>'Assessment Questions'!AX201</f>
        <v/>
      </c>
      <c r="AV201">
        <f>IF(OR($H201="",$H201="N/A"),"",IF(OR($AU201="",$AU201="Everywhere",$AU201="Not applicable"),1,IF($AU201="Pilot / one team",0.4,IF($AU201="One unit or site",0.7,0.9))))</f>
        <v/>
      </c>
      <c r="AW201" t="inlineStr">
        <is>
          <t>Supply Chain</t>
        </is>
      </c>
      <c r="AX201" t="inlineStr">
        <is>
          <t>Supply Chain</t>
        </is>
      </c>
      <c r="AY201" t="n">
        <v>6</v>
      </c>
      <c r="AZ201" t="n">
        <v>201</v>
      </c>
    </row>
    <row r="202">
      <c r="A202" t="inlineStr">
        <is>
          <t>SUPP-003</t>
        </is>
      </c>
      <c r="B202" t="inlineStr">
        <is>
          <t>Supply chain design</t>
        </is>
      </c>
      <c r="C202" t="inlineStr">
        <is>
          <t>How mature is the organization in managing supplier criticality scoring by business impact, availability, substitution, lead time and geography, including ownership, evidence, metrics, fallback procedures and crisis stress testing?</t>
        </is>
      </c>
      <c r="D202" t="inlineStr">
        <is>
          <t>This topic affects exposure to Supplier/logistics disruption; Manufacturing disruption; Demand shock. It helps identify how disruption may impact operations, people, revenue, systems, legal exposure or recovery time.</t>
        </is>
      </c>
      <c r="E202" t="inlineStr">
        <is>
          <t>ISO 22301; ISO 20400; ISO 28000; SCOR Digital Standard; S&amp;OP/IBP; APICS/ASCM</t>
        </is>
      </c>
      <c r="F202" t="inlineStr">
        <is>
          <t>Policy/SOP; owner/RACI; system report; dashboard; contracts; test records; incident history; interview evidence related to supplier criticality scoring by business impact, availability, substitution, lead time and geography.</t>
        </is>
      </c>
      <c r="G202">
        <f>'Assessment Questions'!J202</f>
        <v/>
      </c>
      <c r="H202">
        <f>IF($Z202="","",IF($Z202="N/A","N/A",VALUE(LEFT($Z202,1))))</f>
        <v/>
      </c>
      <c r="I202">
        <f>IF($H202="","",IF($H202="N/A","",VALUE($H202)/5*$G202))</f>
        <v/>
      </c>
      <c r="J202">
        <f>IF(OR($H202="",$H202="N/A"),"",$G202)</f>
        <v/>
      </c>
      <c r="K202">
        <f>IF(OR($H202="",$H202="N/A"),"",$J202-$I202)</f>
        <v/>
      </c>
      <c r="L202">
        <f>IF($H202="","",IF($H202="N/A","N/A",IF(VALUE($H202)&lt;=1,"Critical",IF(VALUE($H202)&lt;=2,"High",IF(VALUE($H202)&lt;=3,"Medium",IF(VALUE($H202)&lt;=4,"Low","Resilient"))))))</f>
        <v/>
      </c>
      <c r="M202" t="inlineStr">
        <is>
          <t>Nothing is monitored or measured.</t>
        </is>
      </c>
      <c r="N202" t="inlineStr">
        <is>
          <t>Occasional manual checks by individuals.</t>
        </is>
      </c>
      <c r="O202" t="inlineStr">
        <is>
          <t>Some metrics exist but are not reviewed regularly and trigger no action.</t>
        </is>
      </c>
      <c r="P202" t="inlineStr">
        <is>
          <t>Defined metrics with an owner, reviewed on a set cadence.</t>
        </is>
      </c>
      <c r="Q202" t="inlineStr">
        <is>
          <t>Thresholds and alerts in place; deviations trigger documented action; trends analyzed.</t>
        </is>
      </c>
      <c r="R202" t="inlineStr">
        <is>
          <t>Automated monitoring with leading indicators, integrated into management decisions.</t>
        </is>
      </c>
      <c r="S202" t="inlineStr">
        <is>
          <t>Supplier/logistics disruption; Manufacturing disruption; Demand shock</t>
        </is>
      </c>
      <c r="T202">
        <f>'Assessment Questions'!W202</f>
        <v/>
      </c>
      <c r="U202">
        <f>'Assessment Questions'!X202</f>
        <v/>
      </c>
      <c r="V202">
        <f>'Assessment Questions'!Y202</f>
        <v/>
      </c>
      <c r="W202" t="n">
        <v>4</v>
      </c>
      <c r="X202" t="n">
        <v>5</v>
      </c>
      <c r="Y202" t="n">
        <v>5</v>
      </c>
      <c r="Z202">
        <f>'Assessment Questions'!AC202</f>
        <v/>
      </c>
      <c r="AA202" t="inlineStr">
        <is>
          <t>Inventory and planning</t>
        </is>
      </c>
      <c r="AB202">
        <f>COUNTIF($B$200:$B$228,$AA202)</f>
        <v/>
      </c>
      <c r="AC202">
        <f>IFERROR(SUMPRODUCT(($B$200:$B$228=$AA202)*($H$200:$H$228&lt;&gt;"")*($H$200:$H$228&lt;&gt;"N/A")*IFERROR(VALUE($H$200:$H$228),0))/SUMPRODUCT(($B$200:$B$228=$AA202)*($H$200:$H$228&lt;&gt;"")*($H$200:$H$228&lt;&gt;"N/A")),0)</f>
        <v/>
      </c>
      <c r="AD202">
        <f>AC202/5</f>
        <v/>
      </c>
      <c r="AE202">
        <f>COUNTIFS($B$200:$B$228,$AA202,$L$200:$L$228,"Critical")+COUNTIFS($B$200:$B$228,$AA202,$L$200:$L$228,"High")</f>
        <v/>
      </c>
      <c r="AF202">
        <f>5-AC202</f>
        <v/>
      </c>
      <c r="AG202">
        <f>SUMPRODUCT(($B$200:$B$228=$AA202)*(ISNUMBER($H$200:$H$228)+($H$200:$H$228="N/A")))</f>
        <v/>
      </c>
      <c r="AH202">
        <f>'Assessment Questions'!AK202</f>
        <v/>
      </c>
      <c r="AI202">
        <f>'Assessment Questions'!AL202</f>
        <v/>
      </c>
      <c r="AJ202">
        <f>IF(OR($H202="",$H202="N/A"),"",IF($AH202="",VLOOKUP('Company Profile'!$B$40,_CONFIG_Model_Settings!$A$5:$B$8,2,FALSE),_xlfn.IFNA(VLOOKUP($AH202,_CONFIG_Model_Settings!$A$5:$B$8,2,FALSE),0.9)))</f>
        <v/>
      </c>
      <c r="AK202">
        <f>IF(OR($H202="",$H202="N/A"),"",IF($AI202="",VLOOKUP('Company Profile'!$B$41,_CONFIG_Model_Settings!$A$5:$B$8,2,FALSE),_xlfn.IFNA(VLOOKUP($AI202,_CONFIG_Model_Settings!$A$5:$B$8,2,FALSE),0.9)))</f>
        <v/>
      </c>
      <c r="AL202">
        <f>IF(OR($H202="",$H202="N/A"),"",ROUND(VALUE($H202)*$AJ202*$AK202*$AV202,2))</f>
        <v/>
      </c>
      <c r="AM202">
        <f>IF($AL202="","",ROUND($AL202/5*100,1))</f>
        <v/>
      </c>
      <c r="AN202">
        <f>IFERROR(MIN(5,MAX(0,(SUMIFS(_REF_Model_Content!$D$1:$D$157,_REF_Model_Content!$A$1:$A$157,'Company Profile'!$B$9,_REF_Model_Content!$B$1:$B$157,"Supply Chain"))+_xlfn.IFNA(VLOOKUP('Company Profile'!$B$35,_CONFIG_Model_Settings!$A$11:$B$13,2,0),0))),"")</f>
        <v/>
      </c>
      <c r="AO202">
        <f>IF($AL202="","",MAX(0,ROUND($AN202-$AL202,2)))</f>
        <v/>
      </c>
      <c r="AP202">
        <f>IFERROR(SUMIFS(_REF_Model_Content!$E$1:$E$157,_REF_Model_Content!$A$1:$A$157,'Company Profile'!$B$9,_REF_Model_Content!$B$1:$B$157,"Supply Chain"),1)</f>
        <v/>
      </c>
      <c r="AQ202">
        <f>IF($AO202="","",ROUND($AO202*$AP202*($G202/5),2))</f>
        <v/>
      </c>
      <c r="AR202">
        <f>IF($AO202="","",IF($AO202&gt;=2,"Critical industry gap",IF($AO202&gt;=1,"High industry gap",IF($AO202&gt;=0.5,"Moderate industry gap","Within target"))))</f>
        <v/>
      </c>
      <c r="AS202">
        <f>IF(OR($H202="",$H202="N/A"),0,VALUE($H202)*(($AJ202+$AK202)/2)*$AV202)</f>
        <v/>
      </c>
      <c r="AT202">
        <f>IF(OR($H202="",$H202="N/A"),0,($AJ202+$AK202)/2)</f>
        <v/>
      </c>
      <c r="AU202">
        <f>'Assessment Questions'!AX202</f>
        <v/>
      </c>
      <c r="AV202">
        <f>IF(OR($H202="",$H202="N/A"),"",IF(OR($AU202="",$AU202="Everywhere",$AU202="Not applicable"),1,IF($AU202="Pilot / one team",0.4,IF($AU202="One unit or site",0.7,0.9))))</f>
        <v/>
      </c>
      <c r="AW202" t="inlineStr">
        <is>
          <t>Supply Chain</t>
        </is>
      </c>
      <c r="AX202" t="inlineStr">
        <is>
          <t>Supply Chain</t>
        </is>
      </c>
      <c r="AY202" t="n">
        <v>7</v>
      </c>
      <c r="AZ202" t="n">
        <v>202</v>
      </c>
    </row>
    <row r="203">
      <c r="A203" t="inlineStr">
        <is>
          <t>SUPP-004</t>
        </is>
      </c>
      <c r="B203" t="inlineStr">
        <is>
          <t>Supply chain design</t>
        </is>
      </c>
      <c r="C203" t="inlineStr">
        <is>
          <t>How mature is the organization in managing supplier concentration by spend, dependency, category, geography and product line, including ownership, evidence, metrics, fallback procedures and crisis stress testing?</t>
        </is>
      </c>
      <c r="D203" t="inlineStr">
        <is>
          <t>This topic affects exposure to Supplier/logistics disruption; Manufacturing disruption; Demand shock. It helps identify how disruption may impact operations, people, revenue, systems, legal exposure or recovery time.</t>
        </is>
      </c>
      <c r="E203" t="inlineStr">
        <is>
          <t>ISO 22301; ISO 20400; ISO 28000; SCOR Digital Standard; S&amp;OP/IBP; APICS/ASCM</t>
        </is>
      </c>
      <c r="F203" t="inlineStr">
        <is>
          <t>Policy/SOP; owner/RACI; system report; dashboard; contracts; test records; incident history; interview evidence related to supplier concentration by spend, dependency, category, geography and product line.</t>
        </is>
      </c>
      <c r="G203">
        <f>'Assessment Questions'!J203</f>
        <v/>
      </c>
      <c r="H203">
        <f>IF($Z203="","",IF($Z203="N/A","N/A",VALUE(LEFT($Z203,1))))</f>
        <v/>
      </c>
      <c r="I203">
        <f>IF($H203="","",IF($H203="N/A","",VALUE($H203)/5*$G203))</f>
        <v/>
      </c>
      <c r="J203">
        <f>IF(OR($H203="",$H203="N/A"),"",$G203)</f>
        <v/>
      </c>
      <c r="K203">
        <f>IF(OR($H203="",$H203="N/A"),"",$J203-$I203)</f>
        <v/>
      </c>
      <c r="L203">
        <f>IF($H203="","",IF($H203="N/A","N/A",IF(VALUE($H203)&lt;=1,"Critical",IF(VALUE($H203)&lt;=2,"High",IF(VALUE($H203)&lt;=3,"Medium",IF(VALUE($H203)&lt;=4,"Low","Resilient"))))))</f>
        <v/>
      </c>
      <c r="M203" t="inlineStr">
        <is>
          <t>Does not exist; no owner, no documentation, no practice.</t>
        </is>
      </c>
      <c r="N203" t="inlineStr">
        <is>
          <t>Ad hoc; depends entirely on specific individuals.</t>
        </is>
      </c>
      <c r="O203" t="inlineStr">
        <is>
          <t>Partially documented or implemented; coverage inconsistent; never tested under stress.</t>
        </is>
      </c>
      <c r="P203" t="inlineStr">
        <is>
          <t>Documented, owned, executed consistently; basic evidence and metrics exist.</t>
        </is>
      </c>
      <c r="Q203" t="inlineStr">
        <is>
          <t>Measured and periodically tested/audited; integrated with adjacent processes.</t>
        </is>
      </c>
      <c r="R203" t="inlineStr">
        <is>
          <t>Optimized and automated where practical; stress-tested; benchmarked externally.</t>
        </is>
      </c>
      <c r="S203" t="inlineStr">
        <is>
          <t>Supplier/logistics disruption; Manufacturing disruption; Demand shock</t>
        </is>
      </c>
      <c r="T203">
        <f>'Assessment Questions'!W203</f>
        <v/>
      </c>
      <c r="U203">
        <f>'Assessment Questions'!X203</f>
        <v/>
      </c>
      <c r="V203">
        <f>'Assessment Questions'!Y203</f>
        <v/>
      </c>
      <c r="W203" t="n">
        <v>4</v>
      </c>
      <c r="X203" t="n">
        <v>5</v>
      </c>
      <c r="Y203" t="n">
        <v>5</v>
      </c>
      <c r="Z203">
        <f>'Assessment Questions'!AC203</f>
        <v/>
      </c>
      <c r="AA203" t="inlineStr">
        <is>
          <t>Technology and risk</t>
        </is>
      </c>
      <c r="AB203">
        <f>COUNTIF($B$200:$B$228,$AA203)</f>
        <v/>
      </c>
      <c r="AC203">
        <f>IFERROR(SUMPRODUCT(($B$200:$B$228=$AA203)*($H$200:$H$228&lt;&gt;"")*($H$200:$H$228&lt;&gt;"N/A")*IFERROR(VALUE($H$200:$H$228),0))/SUMPRODUCT(($B$200:$B$228=$AA203)*($H$200:$H$228&lt;&gt;"")*($H$200:$H$228&lt;&gt;"N/A")),0)</f>
        <v/>
      </c>
      <c r="AD203">
        <f>AC203/5</f>
        <v/>
      </c>
      <c r="AE203">
        <f>COUNTIFS($B$200:$B$228,$AA203,$L$200:$L$228,"Critical")+COUNTIFS($B$200:$B$228,$AA203,$L$200:$L$228,"High")</f>
        <v/>
      </c>
      <c r="AF203">
        <f>5-AC203</f>
        <v/>
      </c>
      <c r="AG203">
        <f>SUMPRODUCT(($B$200:$B$228=$AA203)*(ISNUMBER($H$200:$H$228)+($H$200:$H$228="N/A")))</f>
        <v/>
      </c>
      <c r="AH203">
        <f>'Assessment Questions'!AK203</f>
        <v/>
      </c>
      <c r="AI203">
        <f>'Assessment Questions'!AL203</f>
        <v/>
      </c>
      <c r="AJ203">
        <f>IF(OR($H203="",$H203="N/A"),"",IF($AH203="",VLOOKUP('Company Profile'!$B$40,_CONFIG_Model_Settings!$A$5:$B$8,2,FALSE),_xlfn.IFNA(VLOOKUP($AH203,_CONFIG_Model_Settings!$A$5:$B$8,2,FALSE),0.9)))</f>
        <v/>
      </c>
      <c r="AK203">
        <f>IF(OR($H203="",$H203="N/A"),"",IF($AI203="",VLOOKUP('Company Profile'!$B$41,_CONFIG_Model_Settings!$A$5:$B$8,2,FALSE),_xlfn.IFNA(VLOOKUP($AI203,_CONFIG_Model_Settings!$A$5:$B$8,2,FALSE),0.9)))</f>
        <v/>
      </c>
      <c r="AL203">
        <f>IF(OR($H203="",$H203="N/A"),"",ROUND(VALUE($H203)*$AJ203*$AK203*$AV203,2))</f>
        <v/>
      </c>
      <c r="AM203">
        <f>IF($AL203="","",ROUND($AL203/5*100,1))</f>
        <v/>
      </c>
      <c r="AN203">
        <f>IFERROR(MIN(5,MAX(0,(SUMIFS(_REF_Model_Content!$D$1:$D$157,_REF_Model_Content!$A$1:$A$157,'Company Profile'!$B$9,_REF_Model_Content!$B$1:$B$157,"Supply Chain"))+_xlfn.IFNA(VLOOKUP('Company Profile'!$B$35,_CONFIG_Model_Settings!$A$11:$B$13,2,0),0))),"")</f>
        <v/>
      </c>
      <c r="AO203">
        <f>IF($AL203="","",MAX(0,ROUND($AN203-$AL203,2)))</f>
        <v/>
      </c>
      <c r="AP203">
        <f>IFERROR(SUMIFS(_REF_Model_Content!$E$1:$E$157,_REF_Model_Content!$A$1:$A$157,'Company Profile'!$B$9,_REF_Model_Content!$B$1:$B$157,"Supply Chain"),1)</f>
        <v/>
      </c>
      <c r="AQ203">
        <f>IF($AO203="","",ROUND($AO203*$AP203*($G203/5),2))</f>
        <v/>
      </c>
      <c r="AR203">
        <f>IF($AO203="","",IF($AO203&gt;=2,"Critical industry gap",IF($AO203&gt;=1,"High industry gap",IF($AO203&gt;=0.5,"Moderate industry gap","Within target"))))</f>
        <v/>
      </c>
      <c r="AS203">
        <f>IF(OR($H203="",$H203="N/A"),0,VALUE($H203)*(($AJ203+$AK203)/2)*$AV203)</f>
        <v/>
      </c>
      <c r="AT203">
        <f>IF(OR($H203="",$H203="N/A"),0,($AJ203+$AK203)/2)</f>
        <v/>
      </c>
      <c r="AU203">
        <f>'Assessment Questions'!AX203</f>
        <v/>
      </c>
      <c r="AV203">
        <f>IF(OR($H203="",$H203="N/A"),"",IF(OR($AU203="",$AU203="Everywhere",$AU203="Not applicable"),1,IF($AU203="Pilot / one team",0.4,IF($AU203="One unit or site",0.7,0.9))))</f>
        <v/>
      </c>
      <c r="AW203" t="inlineStr">
        <is>
          <t>Supply Chain</t>
        </is>
      </c>
      <c r="AX203" t="inlineStr">
        <is>
          <t>Supply Chain</t>
        </is>
      </c>
      <c r="AY203" t="n">
        <v>8</v>
      </c>
      <c r="AZ203" t="n">
        <v>203</v>
      </c>
    </row>
    <row r="204">
      <c r="A204" t="inlineStr">
        <is>
          <t>SUPP-005</t>
        </is>
      </c>
      <c r="B204" t="inlineStr">
        <is>
          <t>Supply chain design</t>
        </is>
      </c>
      <c r="C204" t="inlineStr">
        <is>
          <t>How mature is the organization in managing critical supplier continuity plans, recovery times and incident notification commitments, including ownership, evidence, metrics, fallback procedures and crisis stress testing?</t>
        </is>
      </c>
      <c r="D204" t="inlineStr">
        <is>
          <t>This topic affects exposure to Supplier/logistics disruption; Manufacturing disruption; Demand shock. It helps identify how disruption may impact operations, people, revenue, systems, legal exposure or recovery time.</t>
        </is>
      </c>
      <c r="E204" t="inlineStr">
        <is>
          <t>ISO 22301; ISO 20400; ISO 28000; SCOR Digital Standard; S&amp;OP/IBP; APICS/ASCM</t>
        </is>
      </c>
      <c r="F204" t="inlineStr">
        <is>
          <t>Policy/SOP; owner/RACI; system report; dashboard; contracts; test records; incident history; interview evidence related to critical supplier continuity plans, recovery times and incident notification commitments.</t>
        </is>
      </c>
      <c r="G204">
        <f>'Assessment Questions'!J204</f>
        <v/>
      </c>
      <c r="H204">
        <f>IF($Z204="","",IF($Z204="N/A","N/A",VALUE(LEFT($Z204,1))))</f>
        <v/>
      </c>
      <c r="I204">
        <f>IF($H204="","",IF($H204="N/A","",VALUE($H204)/5*$G204))</f>
        <v/>
      </c>
      <c r="J204">
        <f>IF(OR($H204="",$H204="N/A"),"",$G204)</f>
        <v/>
      </c>
      <c r="K204">
        <f>IF(OR($H204="",$H204="N/A"),"",$J204-$I204)</f>
        <v/>
      </c>
      <c r="L204">
        <f>IF($H204="","",IF($H204="N/A","N/A",IF(VALUE($H204)&lt;=1,"Critical",IF(VALUE($H204)&lt;=2,"High",IF(VALUE($H204)&lt;=3,"Medium",IF(VALUE($H204)&lt;=4,"Low","Resilient"))))))</f>
        <v/>
      </c>
      <c r="M204" t="inlineStr">
        <is>
          <t>No plan or procedure exists.</t>
        </is>
      </c>
      <c r="N204" t="inlineStr">
        <is>
          <t>Knowledge lives with individuals; nothing usable is written down.</t>
        </is>
      </c>
      <c r="O204" t="inlineStr">
        <is>
          <t>Drafted but outdated, not approved, or unknown to the people who must use it.</t>
        </is>
      </c>
      <c r="P204" t="inlineStr">
        <is>
          <t>Approved and current; owners assigned; affected staff know it exists and where to find it.</t>
        </is>
      </c>
      <c r="Q204" t="inlineStr">
        <is>
          <t>Tested against realistic scenarios; updated after each test or real incident.</t>
        </is>
      </c>
      <c r="R204" t="inlineStr">
        <is>
          <t>Exercised regularly including external parties; readiness measured; continuously improved.</t>
        </is>
      </c>
      <c r="S204" t="inlineStr">
        <is>
          <t>Supplier/logistics disruption; Manufacturing disruption; Demand shock</t>
        </is>
      </c>
      <c r="T204">
        <f>'Assessment Questions'!W204</f>
        <v/>
      </c>
      <c r="U204">
        <f>'Assessment Questions'!X204</f>
        <v/>
      </c>
      <c r="V204">
        <f>'Assessment Questions'!Y204</f>
        <v/>
      </c>
      <c r="W204" t="n">
        <v>4</v>
      </c>
      <c r="X204" t="n">
        <v>5</v>
      </c>
      <c r="Y204" t="n">
        <v>5</v>
      </c>
      <c r="Z204">
        <f>'Assessment Questions'!AC204</f>
        <v/>
      </c>
      <c r="AA204" t="inlineStr">
        <is>
          <t>Orchestration and resilience</t>
        </is>
      </c>
      <c r="AB204">
        <f>COUNTIF($B$200:$B$228,$AA204)</f>
        <v/>
      </c>
      <c r="AC204">
        <f>IFERROR(SUMPRODUCT(($B$200:$B$228=$AA204)*($H$200:$H$228&lt;&gt;"")*($H$200:$H$228&lt;&gt;"N/A")*IFERROR(VALUE($H$200:$H$228),0))/SUMPRODUCT(($B$200:$B$228=$AA204)*($H$200:$H$228&lt;&gt;"")*($H$200:$H$228&lt;&gt;"N/A")),0)</f>
        <v/>
      </c>
      <c r="AD204">
        <f>AC204/5</f>
        <v/>
      </c>
      <c r="AE204">
        <f>COUNTIFS($B$200:$B$228,$AA204,$L$200:$L$228,"Critical")+COUNTIFS($B$200:$B$228,$AA204,$L$200:$L$228,"High")</f>
        <v/>
      </c>
      <c r="AF204">
        <f>5-AC204</f>
        <v/>
      </c>
      <c r="AG204">
        <f>SUMPRODUCT(($B$200:$B$228=$AA204)*(ISNUMBER($H$200:$H$228)+($H$200:$H$228="N/A")))</f>
        <v/>
      </c>
      <c r="AH204">
        <f>'Assessment Questions'!AK204</f>
        <v/>
      </c>
      <c r="AI204">
        <f>'Assessment Questions'!AL204</f>
        <v/>
      </c>
      <c r="AJ204">
        <f>IF(OR($H204="",$H204="N/A"),"",IF($AH204="",VLOOKUP('Company Profile'!$B$40,_CONFIG_Model_Settings!$A$5:$B$8,2,FALSE),_xlfn.IFNA(VLOOKUP($AH204,_CONFIG_Model_Settings!$A$5:$B$8,2,FALSE),0.9)))</f>
        <v/>
      </c>
      <c r="AK204">
        <f>IF(OR($H204="",$H204="N/A"),"",IF($AI204="",VLOOKUP('Company Profile'!$B$41,_CONFIG_Model_Settings!$A$5:$B$8,2,FALSE),_xlfn.IFNA(VLOOKUP($AI204,_CONFIG_Model_Settings!$A$5:$B$8,2,FALSE),0.9)))</f>
        <v/>
      </c>
      <c r="AL204">
        <f>IF(OR($H204="",$H204="N/A"),"",ROUND(VALUE($H204)*$AJ204*$AK204*$AV204,2))</f>
        <v/>
      </c>
      <c r="AM204">
        <f>IF($AL204="","",ROUND($AL204/5*100,1))</f>
        <v/>
      </c>
      <c r="AN204">
        <f>IFERROR(MIN(5,MAX(0,(SUMIFS(_REF_Model_Content!$D$1:$D$157,_REF_Model_Content!$A$1:$A$157,'Company Profile'!$B$9,_REF_Model_Content!$B$1:$B$157,"Supply Chain"))+_xlfn.IFNA(VLOOKUP('Company Profile'!$B$35,_CONFIG_Model_Settings!$A$11:$B$13,2,0),0))),"")</f>
        <v/>
      </c>
      <c r="AO204">
        <f>IF($AL204="","",MAX(0,ROUND($AN204-$AL204,2)))</f>
        <v/>
      </c>
      <c r="AP204">
        <f>IFERROR(SUMIFS(_REF_Model_Content!$E$1:$E$157,_REF_Model_Content!$A$1:$A$157,'Company Profile'!$B$9,_REF_Model_Content!$B$1:$B$157,"Supply Chain"),1)</f>
        <v/>
      </c>
      <c r="AQ204">
        <f>IF($AO204="","",ROUND($AO204*$AP204*($G204/5),2))</f>
        <v/>
      </c>
      <c r="AR204">
        <f>IF($AO204="","",IF($AO204&gt;=2,"Critical industry gap",IF($AO204&gt;=1,"High industry gap",IF($AO204&gt;=0.5,"Moderate industry gap","Within target"))))</f>
        <v/>
      </c>
      <c r="AS204">
        <f>IF(OR($H204="",$H204="N/A"),0,VALUE($H204)*(($AJ204+$AK204)/2)*$AV204)</f>
        <v/>
      </c>
      <c r="AT204">
        <f>IF(OR($H204="",$H204="N/A"),0,($AJ204+$AK204)/2)</f>
        <v/>
      </c>
      <c r="AU204">
        <f>'Assessment Questions'!AX204</f>
        <v/>
      </c>
      <c r="AV204">
        <f>IF(OR($H204="",$H204="N/A"),"",IF(OR($AU204="",$AU204="Everywhere",$AU204="Not applicable"),1,IF($AU204="Pilot / one team",0.4,IF($AU204="One unit or site",0.7,0.9))))</f>
        <v/>
      </c>
      <c r="AW204" t="inlineStr">
        <is>
          <t>Supply Chain</t>
        </is>
      </c>
      <c r="AX204" t="inlineStr">
        <is>
          <t>Supply Chain</t>
        </is>
      </c>
      <c r="AY204" t="n">
        <v>9</v>
      </c>
      <c r="AZ204" t="n">
        <v>204</v>
      </c>
    </row>
    <row r="205">
      <c r="A205" t="inlineStr">
        <is>
          <t>SUPP-006</t>
        </is>
      </c>
      <c r="B205" t="inlineStr">
        <is>
          <t>Supply chain design</t>
        </is>
      </c>
      <c r="C205" t="inlineStr">
        <is>
          <t>How mature is the organization in managing pre-qualified alternative suppliers for critical categories, including ownership, evidence, metrics, fallback procedures and crisis stress testing?</t>
        </is>
      </c>
      <c r="D205" t="inlineStr">
        <is>
          <t>This topic affects exposure to Supplier/logistics disruption; Manufacturing disruption; Demand shock. It helps identify how disruption may impact operations, people, revenue, systems, legal exposure or recovery time.</t>
        </is>
      </c>
      <c r="E205" t="inlineStr">
        <is>
          <t>ISO 22301; ISO 20400; ISO 28000; SCOR Digital Standard; S&amp;OP/IBP; APICS/ASCM</t>
        </is>
      </c>
      <c r="F205" t="inlineStr">
        <is>
          <t>Policy/SOP; owner/RACI; system report; dashboard; contracts; test records; incident history; interview evidence related to pre-qualified alternative suppliers for critical categories.</t>
        </is>
      </c>
      <c r="G205">
        <f>'Assessment Questions'!J205</f>
        <v/>
      </c>
      <c r="H205">
        <f>IF($Z205="","",IF($Z205="N/A","N/A",VALUE(LEFT($Z205,1))))</f>
        <v/>
      </c>
      <c r="I205">
        <f>IF($H205="","",IF($H205="N/A","",VALUE($H205)/5*$G205))</f>
        <v/>
      </c>
      <c r="J205">
        <f>IF(OR($H205="",$H205="N/A"),"",$G205)</f>
        <v/>
      </c>
      <c r="K205">
        <f>IF(OR($H205="",$H205="N/A"),"",$J205-$I205)</f>
        <v/>
      </c>
      <c r="L205">
        <f>IF($H205="","",IF($H205="N/A","N/A",IF(VALUE($H205)&lt;=1,"Critical",IF(VALUE($H205)&lt;=2,"High",IF(VALUE($H205)&lt;=3,"Medium",IF(VALUE($H205)&lt;=4,"Low","Resilient"))))))</f>
        <v/>
      </c>
      <c r="M205" t="inlineStr">
        <is>
          <t>Does not exist; no owner, no documentation, no practice.</t>
        </is>
      </c>
      <c r="N205" t="inlineStr">
        <is>
          <t>Ad hoc; depends entirely on specific individuals.</t>
        </is>
      </c>
      <c r="O205" t="inlineStr">
        <is>
          <t>Partially documented or implemented; coverage inconsistent; never tested under stress.</t>
        </is>
      </c>
      <c r="P205" t="inlineStr">
        <is>
          <t>Documented, owned, executed consistently; basic evidence and metrics exist.</t>
        </is>
      </c>
      <c r="Q205" t="inlineStr">
        <is>
          <t>Measured and periodically tested/audited; integrated with adjacent processes.</t>
        </is>
      </c>
      <c r="R205" t="inlineStr">
        <is>
          <t>Optimized and automated where practical; stress-tested; benchmarked externally.</t>
        </is>
      </c>
      <c r="S205" t="inlineStr">
        <is>
          <t>Supplier/logistics disruption; Manufacturing disruption; Demand shock</t>
        </is>
      </c>
      <c r="T205">
        <f>'Assessment Questions'!W205</f>
        <v/>
      </c>
      <c r="U205">
        <f>'Assessment Questions'!X205</f>
        <v/>
      </c>
      <c r="V205">
        <f>'Assessment Questions'!Y205</f>
        <v/>
      </c>
      <c r="W205" t="n">
        <v>4</v>
      </c>
      <c r="X205" t="n">
        <v>5</v>
      </c>
      <c r="Y205" t="n">
        <v>5</v>
      </c>
      <c r="Z205">
        <f>'Assessment Questions'!AC205</f>
        <v/>
      </c>
      <c r="AB205">
        <f>COUNTIF($B$200:$B$228,$AA205)</f>
        <v/>
      </c>
      <c r="AC205">
        <f>IFERROR(SUMPRODUCT(($B$200:$B$228=$AA205)*($H$200:$H$228&lt;&gt;"")*($H$200:$H$228&lt;&gt;"N/A")*IFERROR(VALUE($H$200:$H$228),0))/SUMPRODUCT(($B$200:$B$228=$AA205)*($H$200:$H$228&lt;&gt;"")*($H$200:$H$228&lt;&gt;"N/A")),0)</f>
        <v/>
      </c>
      <c r="AD205">
        <f>AC205/5</f>
        <v/>
      </c>
      <c r="AE205">
        <f>COUNTIFS($B$200:$B$228,$AA205,$L$200:$L$228,"Critical")+COUNTIFS($B$200:$B$228,$AA205,$L$200:$L$228,"High")</f>
        <v/>
      </c>
      <c r="AF205">
        <f>5-AC205</f>
        <v/>
      </c>
      <c r="AG205">
        <f>SUMPRODUCT(($B$200:$B$228=$AA205)*(ISNUMBER($H$200:$H$228)+($H$200:$H$228="N/A")))</f>
        <v/>
      </c>
      <c r="AH205">
        <f>'Assessment Questions'!AK205</f>
        <v/>
      </c>
      <c r="AI205">
        <f>'Assessment Questions'!AL205</f>
        <v/>
      </c>
      <c r="AJ205">
        <f>IF(OR($H205="",$H205="N/A"),"",IF($AH205="",VLOOKUP('Company Profile'!$B$40,_CONFIG_Model_Settings!$A$5:$B$8,2,FALSE),_xlfn.IFNA(VLOOKUP($AH205,_CONFIG_Model_Settings!$A$5:$B$8,2,FALSE),0.9)))</f>
        <v/>
      </c>
      <c r="AK205">
        <f>IF(OR($H205="",$H205="N/A"),"",IF($AI205="",VLOOKUP('Company Profile'!$B$41,_CONFIG_Model_Settings!$A$5:$B$8,2,FALSE),_xlfn.IFNA(VLOOKUP($AI205,_CONFIG_Model_Settings!$A$5:$B$8,2,FALSE),0.9)))</f>
        <v/>
      </c>
      <c r="AL205">
        <f>IF(OR($H205="",$H205="N/A"),"",ROUND(VALUE($H205)*$AJ205*$AK205*$AV205,2))</f>
        <v/>
      </c>
      <c r="AM205">
        <f>IF($AL205="","",ROUND($AL205/5*100,1))</f>
        <v/>
      </c>
      <c r="AN205">
        <f>IFERROR(MIN(5,MAX(0,(SUMIFS(_REF_Model_Content!$D$1:$D$157,_REF_Model_Content!$A$1:$A$157,'Company Profile'!$B$9,_REF_Model_Content!$B$1:$B$157,"Supply Chain"))+_xlfn.IFNA(VLOOKUP('Company Profile'!$B$35,_CONFIG_Model_Settings!$A$11:$B$13,2,0),0))),"")</f>
        <v/>
      </c>
      <c r="AO205">
        <f>IF($AL205="","",MAX(0,ROUND($AN205-$AL205,2)))</f>
        <v/>
      </c>
      <c r="AP205">
        <f>IFERROR(SUMIFS(_REF_Model_Content!$E$1:$E$157,_REF_Model_Content!$A$1:$A$157,'Company Profile'!$B$9,_REF_Model_Content!$B$1:$B$157,"Supply Chain"),1)</f>
        <v/>
      </c>
      <c r="AQ205">
        <f>IF($AO205="","",ROUND($AO205*$AP205*($G205/5),2))</f>
        <v/>
      </c>
      <c r="AR205">
        <f>IF($AO205="","",IF($AO205&gt;=2,"Critical industry gap",IF($AO205&gt;=1,"High industry gap",IF($AO205&gt;=0.5,"Moderate industry gap","Within target"))))</f>
        <v/>
      </c>
      <c r="AS205">
        <f>IF(OR($H205="",$H205="N/A"),0,VALUE($H205)*(($AJ205+$AK205)/2)*$AV205)</f>
        <v/>
      </c>
      <c r="AT205">
        <f>IF(OR($H205="",$H205="N/A"),0,($AJ205+$AK205)/2)</f>
        <v/>
      </c>
      <c r="AU205">
        <f>'Assessment Questions'!AX205</f>
        <v/>
      </c>
      <c r="AV205">
        <f>IF(OR($H205="",$H205="N/A"),"",IF(OR($AU205="",$AU205="Everywhere",$AU205="Not applicable"),1,IF($AU205="Pilot / one team",0.4,IF($AU205="One unit or site",0.7,0.9))))</f>
        <v/>
      </c>
      <c r="AW205" t="inlineStr">
        <is>
          <t>Supply Chain</t>
        </is>
      </c>
      <c r="AX205" t="inlineStr">
        <is>
          <t>Supply Chain</t>
        </is>
      </c>
      <c r="AY205" t="n">
        <v>10</v>
      </c>
      <c r="AZ205" t="n">
        <v>205</v>
      </c>
    </row>
    <row r="206">
      <c r="A206" t="inlineStr">
        <is>
          <t>SUPP-007</t>
        </is>
      </c>
      <c r="B206" t="inlineStr">
        <is>
          <t>Logistics</t>
        </is>
      </c>
      <c r="C206" t="inlineStr">
        <is>
          <t>How mature is the organization in managing critical logistics routes, carriers, ports, borders, warehouses and transit risks, including ownership, evidence, metrics, fallback procedures and crisis stress testing?</t>
        </is>
      </c>
      <c r="D206" t="inlineStr">
        <is>
          <t>This topic affects exposure to Supplier/logistics disruption; Manufacturing disruption; Demand shock. It helps identify how disruption may impact operations, people, revenue, systems, legal exposure or recovery time.</t>
        </is>
      </c>
      <c r="E206" t="inlineStr">
        <is>
          <t>ISO 22301; ISO 20400; ISO 28000; SCOR Digital Standard; S&amp;OP/IBP; APICS/ASCM</t>
        </is>
      </c>
      <c r="F206" t="inlineStr">
        <is>
          <t>Policy/SOP; owner/RACI; system report; dashboard; contracts; test records; incident history; interview evidence related to critical logistics routes, carriers, ports, borders, warehouses and transit risks.</t>
        </is>
      </c>
      <c r="G206">
        <f>'Assessment Questions'!J206</f>
        <v/>
      </c>
      <c r="H206">
        <f>IF($Z206="","",IF($Z206="N/A","N/A",VALUE(LEFT($Z206,1))))</f>
        <v/>
      </c>
      <c r="I206">
        <f>IF($H206="","",IF($H206="N/A","",VALUE($H206)/5*$G206))</f>
        <v/>
      </c>
      <c r="J206">
        <f>IF(OR($H206="",$H206="N/A"),"",$G206)</f>
        <v/>
      </c>
      <c r="K206">
        <f>IF(OR($H206="",$H206="N/A"),"",$J206-$I206)</f>
        <v/>
      </c>
      <c r="L206">
        <f>IF($H206="","",IF($H206="N/A","N/A",IF(VALUE($H206)&lt;=1,"Critical",IF(VALUE($H206)&lt;=2,"High",IF(VALUE($H206)&lt;=3,"Medium",IF(VALUE($H206)&lt;=4,"Low","Resilient"))))))</f>
        <v/>
      </c>
      <c r="M206" t="inlineStr">
        <is>
          <t>Does not exist; no owner, no documentation, no practice.</t>
        </is>
      </c>
      <c r="N206" t="inlineStr">
        <is>
          <t>Ad hoc; depends entirely on specific individuals.</t>
        </is>
      </c>
      <c r="O206" t="inlineStr">
        <is>
          <t>Partially documented or implemented; coverage inconsistent; never tested under stress.</t>
        </is>
      </c>
      <c r="P206" t="inlineStr">
        <is>
          <t>Documented, owned, executed consistently; basic evidence and metrics exist.</t>
        </is>
      </c>
      <c r="Q206" t="inlineStr">
        <is>
          <t>Measured and periodically tested/audited; integrated with adjacent processes.</t>
        </is>
      </c>
      <c r="R206" t="inlineStr">
        <is>
          <t>Optimized and automated where practical; stress-tested; benchmarked externally.</t>
        </is>
      </c>
      <c r="S206" t="inlineStr">
        <is>
          <t>Supplier/logistics disruption; Manufacturing disruption; Demand shock</t>
        </is>
      </c>
      <c r="T206">
        <f>'Assessment Questions'!W206</f>
        <v/>
      </c>
      <c r="U206">
        <f>'Assessment Questions'!X206</f>
        <v/>
      </c>
      <c r="V206">
        <f>'Assessment Questions'!Y206</f>
        <v/>
      </c>
      <c r="W206" t="n">
        <v>4</v>
      </c>
      <c r="X206" t="n">
        <v>5</v>
      </c>
      <c r="Y206" t="n">
        <v>5</v>
      </c>
      <c r="Z206">
        <f>'Assessment Questions'!AC206</f>
        <v/>
      </c>
      <c r="AB206">
        <f>COUNTIF($B$200:$B$228,$AA206)</f>
        <v/>
      </c>
      <c r="AC206">
        <f>IFERROR(SUMPRODUCT(($B$200:$B$228=$AA206)*($H$200:$H$228&lt;&gt;"")*($H$200:$H$228&lt;&gt;"N/A")*IFERROR(VALUE($H$200:$H$228),0))/SUMPRODUCT(($B$200:$B$228=$AA206)*($H$200:$H$228&lt;&gt;"")*($H$200:$H$228&lt;&gt;"N/A")),0)</f>
        <v/>
      </c>
      <c r="AD206">
        <f>AC206/5</f>
        <v/>
      </c>
      <c r="AE206">
        <f>COUNTIFS($B$200:$B$228,$AA206,$L$200:$L$228,"Critical")+COUNTIFS($B$200:$B$228,$AA206,$L$200:$L$228,"High")</f>
        <v/>
      </c>
      <c r="AF206">
        <f>5-AC206</f>
        <v/>
      </c>
      <c r="AG206">
        <f>SUMPRODUCT(($B$200:$B$228=$AA206)*(ISNUMBER($H$200:$H$228)+($H$200:$H$228="N/A")))</f>
        <v/>
      </c>
      <c r="AH206">
        <f>'Assessment Questions'!AK206</f>
        <v/>
      </c>
      <c r="AI206">
        <f>'Assessment Questions'!AL206</f>
        <v/>
      </c>
      <c r="AJ206">
        <f>IF(OR($H206="",$H206="N/A"),"",IF($AH206="",VLOOKUP('Company Profile'!$B$40,_CONFIG_Model_Settings!$A$5:$B$8,2,FALSE),_xlfn.IFNA(VLOOKUP($AH206,_CONFIG_Model_Settings!$A$5:$B$8,2,FALSE),0.9)))</f>
        <v/>
      </c>
      <c r="AK206">
        <f>IF(OR($H206="",$H206="N/A"),"",IF($AI206="",VLOOKUP('Company Profile'!$B$41,_CONFIG_Model_Settings!$A$5:$B$8,2,FALSE),_xlfn.IFNA(VLOOKUP($AI206,_CONFIG_Model_Settings!$A$5:$B$8,2,FALSE),0.9)))</f>
        <v/>
      </c>
      <c r="AL206">
        <f>IF(OR($H206="",$H206="N/A"),"",ROUND(VALUE($H206)*$AJ206*$AK206*$AV206,2))</f>
        <v/>
      </c>
      <c r="AM206">
        <f>IF($AL206="","",ROUND($AL206/5*100,1))</f>
        <v/>
      </c>
      <c r="AN206">
        <f>IFERROR(MIN(5,MAX(0,(SUMIFS(_REF_Model_Content!$D$1:$D$157,_REF_Model_Content!$A$1:$A$157,'Company Profile'!$B$9,_REF_Model_Content!$B$1:$B$157,"Supply Chain"))+_xlfn.IFNA(VLOOKUP('Company Profile'!$B$35,_CONFIG_Model_Settings!$A$11:$B$13,2,0),0))),"")</f>
        <v/>
      </c>
      <c r="AO206">
        <f>IF($AL206="","",MAX(0,ROUND($AN206-$AL206,2)))</f>
        <v/>
      </c>
      <c r="AP206">
        <f>IFERROR(SUMIFS(_REF_Model_Content!$E$1:$E$157,_REF_Model_Content!$A$1:$A$157,'Company Profile'!$B$9,_REF_Model_Content!$B$1:$B$157,"Supply Chain"),1)</f>
        <v/>
      </c>
      <c r="AQ206">
        <f>IF($AO206="","",ROUND($AO206*$AP206*($G206/5),2))</f>
        <v/>
      </c>
      <c r="AR206">
        <f>IF($AO206="","",IF($AO206&gt;=2,"Critical industry gap",IF($AO206&gt;=1,"High industry gap",IF($AO206&gt;=0.5,"Moderate industry gap","Within target"))))</f>
        <v/>
      </c>
      <c r="AS206">
        <f>IF(OR($H206="",$H206="N/A"),0,VALUE($H206)*(($AJ206+$AK206)/2)*$AV206)</f>
        <v/>
      </c>
      <c r="AT206">
        <f>IF(OR($H206="",$H206="N/A"),0,($AJ206+$AK206)/2)</f>
        <v/>
      </c>
      <c r="AU206">
        <f>'Assessment Questions'!AX206</f>
        <v/>
      </c>
      <c r="AV206">
        <f>IF(OR($H206="",$H206="N/A"),"",IF(OR($AU206="",$AU206="Everywhere",$AU206="Not applicable"),1,IF($AU206="Pilot / one team",0.4,IF($AU206="One unit or site",0.7,0.9))))</f>
        <v/>
      </c>
      <c r="AW206" t="inlineStr">
        <is>
          <t>Supply Chain</t>
        </is>
      </c>
      <c r="AX206" t="inlineStr">
        <is>
          <t>Supply Chain</t>
        </is>
      </c>
      <c r="AY206" t="n">
        <v>11</v>
      </c>
      <c r="AZ206" t="n">
        <v>206</v>
      </c>
    </row>
    <row r="207">
      <c r="A207" t="inlineStr">
        <is>
          <t>SUPP-008</t>
        </is>
      </c>
      <c r="B207" t="inlineStr">
        <is>
          <t>Logistics</t>
        </is>
      </c>
      <c r="C207" t="inlineStr">
        <is>
          <t>How mature is the organization in managing alternative carriers, routes and warehouses for disruption scenarios, including ownership, evidence, metrics, fallback procedures and crisis stress testing?</t>
        </is>
      </c>
      <c r="D207" t="inlineStr">
        <is>
          <t>This topic affects exposure to Supplier/logistics disruption; Manufacturing disruption; Demand shock. It helps identify how disruption may impact operations, people, revenue, systems, legal exposure or recovery time.</t>
        </is>
      </c>
      <c r="E207" t="inlineStr">
        <is>
          <t>ISO 22301; ISO 20400; ISO 28000; SCOR Digital Standard; S&amp;OP/IBP; APICS/ASCM</t>
        </is>
      </c>
      <c r="F207" t="inlineStr">
        <is>
          <t>Policy/SOP; owner/RACI; system report; dashboard; contracts; test records; incident history; interview evidence related to alternative carriers, routes and warehouses for disruption scenarios.</t>
        </is>
      </c>
      <c r="G207">
        <f>'Assessment Questions'!J207</f>
        <v/>
      </c>
      <c r="H207">
        <f>IF($Z207="","",IF($Z207="N/A","N/A",VALUE(LEFT($Z207,1))))</f>
        <v/>
      </c>
      <c r="I207">
        <f>IF($H207="","",IF($H207="N/A","",VALUE($H207)/5*$G207))</f>
        <v/>
      </c>
      <c r="J207">
        <f>IF(OR($H207="",$H207="N/A"),"",$G207)</f>
        <v/>
      </c>
      <c r="K207">
        <f>IF(OR($H207="",$H207="N/A"),"",$J207-$I207)</f>
        <v/>
      </c>
      <c r="L207">
        <f>IF($H207="","",IF($H207="N/A","N/A",IF(VALUE($H207)&lt;=1,"Critical",IF(VALUE($H207)&lt;=2,"High",IF(VALUE($H207)&lt;=3,"Medium",IF(VALUE($H207)&lt;=4,"Low","Resilient"))))))</f>
        <v/>
      </c>
      <c r="M207" t="inlineStr">
        <is>
          <t>No reliable evidence that alternative carriers, routes and warehouses for disruption scenarios is defined, owned or managed.</t>
        </is>
      </c>
      <c r="N207" t="inlineStr">
        <is>
          <t>Alternative carriers, routes and warehouses for disruption scenarios is handled informally and depends on individual knowledge or heroic effort.</t>
        </is>
      </c>
      <c r="O207" t="inlineStr">
        <is>
          <t>Alternative carriers, routes and warehouses for disruption scenarios is partially documented or implemented, but coverage is inconsistent and not crisis-tested.</t>
        </is>
      </c>
      <c r="P207" t="inlineStr">
        <is>
          <t>Alternative carriers, routes and warehouses for disruption scenarios is documented, owned, used in normal operations and supported by basic evidence or metrics.</t>
        </is>
      </c>
      <c r="Q207" t="inlineStr">
        <is>
          <t>Alternative carriers, routes and warehouses for disruption scenarios is measured, periodically reviewed, integrated with related processes and tested against relevant disruption scenarios.</t>
        </is>
      </c>
      <c r="R207" t="inlineStr">
        <is>
          <t>Alternative carriers, routes and warehouses for disruption scenarios is optimized, continuously improved, automated where practical and demonstrably supports crisis resilience.</t>
        </is>
      </c>
      <c r="S207" t="inlineStr">
        <is>
          <t>Supplier/logistics disruption; Manufacturing disruption; Demand shock</t>
        </is>
      </c>
      <c r="T207">
        <f>'Assessment Questions'!W207</f>
        <v/>
      </c>
      <c r="U207">
        <f>'Assessment Questions'!X207</f>
        <v/>
      </c>
      <c r="V207">
        <f>'Assessment Questions'!Y207</f>
        <v/>
      </c>
      <c r="W207" t="n">
        <v>4</v>
      </c>
      <c r="X207" t="n">
        <v>5</v>
      </c>
      <c r="Y207" t="n">
        <v>5</v>
      </c>
      <c r="Z207">
        <f>'Assessment Questions'!AC207</f>
        <v/>
      </c>
      <c r="AB207">
        <f>COUNTIF($B$200:$B$228,$AA207)</f>
        <v/>
      </c>
      <c r="AC207">
        <f>IFERROR(SUMPRODUCT(($B$200:$B$228=$AA207)*($H$200:$H$228&lt;&gt;"")*($H$200:$H$228&lt;&gt;"N/A")*IFERROR(VALUE($H$200:$H$228),0))/SUMPRODUCT(($B$200:$B$228=$AA207)*($H$200:$H$228&lt;&gt;"")*($H$200:$H$228&lt;&gt;"N/A")),0)</f>
        <v/>
      </c>
      <c r="AD207">
        <f>AC207/5</f>
        <v/>
      </c>
      <c r="AE207">
        <f>COUNTIFS($B$200:$B$228,$AA207,$L$200:$L$228,"Critical")+COUNTIFS($B$200:$B$228,$AA207,$L$200:$L$228,"High")</f>
        <v/>
      </c>
      <c r="AF207">
        <f>5-AC207</f>
        <v/>
      </c>
      <c r="AG207">
        <f>SUMPRODUCT(($B$200:$B$228=$AA207)*(ISNUMBER($H$200:$H$228)+($H$200:$H$228="N/A")))</f>
        <v/>
      </c>
      <c r="AH207">
        <f>'Assessment Questions'!AK207</f>
        <v/>
      </c>
      <c r="AI207">
        <f>'Assessment Questions'!AL207</f>
        <v/>
      </c>
      <c r="AJ207">
        <f>IF(OR($H207="",$H207="N/A"),"",IF($AH207="",VLOOKUP('Company Profile'!$B$40,_CONFIG_Model_Settings!$A$5:$B$8,2,FALSE),_xlfn.IFNA(VLOOKUP($AH207,_CONFIG_Model_Settings!$A$5:$B$8,2,FALSE),0.9)))</f>
        <v/>
      </c>
      <c r="AK207">
        <f>IF(OR($H207="",$H207="N/A"),"",IF($AI207="",VLOOKUP('Company Profile'!$B$41,_CONFIG_Model_Settings!$A$5:$B$8,2,FALSE),_xlfn.IFNA(VLOOKUP($AI207,_CONFIG_Model_Settings!$A$5:$B$8,2,FALSE),0.9)))</f>
        <v/>
      </c>
      <c r="AL207">
        <f>IF(OR($H207="",$H207="N/A"),"",ROUND(VALUE($H207)*$AJ207*$AK207*$AV207,2))</f>
        <v/>
      </c>
      <c r="AM207">
        <f>IF($AL207="","",ROUND($AL207/5*100,1))</f>
        <v/>
      </c>
      <c r="AN207">
        <f>IFERROR(MIN(5,MAX(0,(SUMIFS(_REF_Model_Content!$D$1:$D$157,_REF_Model_Content!$A$1:$A$157,'Company Profile'!$B$9,_REF_Model_Content!$B$1:$B$157,"Supply Chain"))+_xlfn.IFNA(VLOOKUP('Company Profile'!$B$35,_CONFIG_Model_Settings!$A$11:$B$13,2,0),0))),"")</f>
        <v/>
      </c>
      <c r="AO207">
        <f>IF($AL207="","",MAX(0,ROUND($AN207-$AL207,2)))</f>
        <v/>
      </c>
      <c r="AP207">
        <f>IFERROR(SUMIFS(_REF_Model_Content!$E$1:$E$157,_REF_Model_Content!$A$1:$A$157,'Company Profile'!$B$9,_REF_Model_Content!$B$1:$B$157,"Supply Chain"),1)</f>
        <v/>
      </c>
      <c r="AQ207">
        <f>IF($AO207="","",ROUND($AO207*$AP207*($G207/5),2))</f>
        <v/>
      </c>
      <c r="AR207">
        <f>IF($AO207="","",IF($AO207&gt;=2,"Critical industry gap",IF($AO207&gt;=1,"High industry gap",IF($AO207&gt;=0.5,"Moderate industry gap","Within target"))))</f>
        <v/>
      </c>
      <c r="AS207">
        <f>IF(OR($H207="",$H207="N/A"),0,VALUE($H207)*(($AJ207+$AK207)/2)*$AV207)</f>
        <v/>
      </c>
      <c r="AT207">
        <f>IF(OR($H207="",$H207="N/A"),0,($AJ207+$AK207)/2)</f>
        <v/>
      </c>
      <c r="AU207">
        <f>'Assessment Questions'!AX207</f>
        <v/>
      </c>
      <c r="AV207">
        <f>IF(OR($H207="",$H207="N/A"),"",IF(OR($AU207="",$AU207="Everywhere",$AU207="Not applicable"),1,IF($AU207="Pilot / one team",0.4,IF($AU207="One unit or site",0.7,0.9))))</f>
        <v/>
      </c>
      <c r="AW207" t="inlineStr">
        <is>
          <t>Supply Chain</t>
        </is>
      </c>
      <c r="AX207" t="inlineStr">
        <is>
          <t>Supply Chain</t>
        </is>
      </c>
      <c r="AY207" t="n">
        <v>12</v>
      </c>
      <c r="AZ207" t="n">
        <v>207</v>
      </c>
    </row>
    <row r="208">
      <c r="A208" t="inlineStr">
        <is>
          <t>SUPP-009</t>
        </is>
      </c>
      <c r="B208" t="inlineStr">
        <is>
          <t>Logistics</t>
        </is>
      </c>
      <c r="C208" t="inlineStr">
        <is>
          <t>How mature is the organization in managing transport capacity for peak demand or disruption periods, including ownership, evidence, metrics, fallback procedures and crisis stress testing?</t>
        </is>
      </c>
      <c r="D208" t="inlineStr">
        <is>
          <t>This topic affects exposure to Supplier/logistics disruption; Manufacturing disruption; Demand shock. It helps identify how disruption may impact operations, people, revenue, systems, legal exposure or recovery time.</t>
        </is>
      </c>
      <c r="E208" t="inlineStr">
        <is>
          <t>ISO 22301; ISO 20400; ISO 28000; SCOR Digital Standard; S&amp;OP/IBP; APICS/ASCM</t>
        </is>
      </c>
      <c r="F208" t="inlineStr">
        <is>
          <t>Policy/SOP; owner/RACI; system report; dashboard; contracts; test records; incident history; interview evidence related to transport capacity for peak demand or disruption periods.</t>
        </is>
      </c>
      <c r="G208">
        <f>'Assessment Questions'!J208</f>
        <v/>
      </c>
      <c r="H208">
        <f>IF($Z208="","",IF($Z208="N/A","N/A",VALUE(LEFT($Z208,1))))</f>
        <v/>
      </c>
      <c r="I208">
        <f>IF($H208="","",IF($H208="N/A","",VALUE($H208)/5*$G208))</f>
        <v/>
      </c>
      <c r="J208">
        <f>IF(OR($H208="",$H208="N/A"),"",$G208)</f>
        <v/>
      </c>
      <c r="K208">
        <f>IF(OR($H208="",$H208="N/A"),"",$J208-$I208)</f>
        <v/>
      </c>
      <c r="L208">
        <f>IF($H208="","",IF($H208="N/A","N/A",IF(VALUE($H208)&lt;=1,"Critical",IF(VALUE($H208)&lt;=2,"High",IF(VALUE($H208)&lt;=3,"Medium",IF(VALUE($H208)&lt;=4,"Low","Resilient"))))))</f>
        <v/>
      </c>
      <c r="M208" t="inlineStr">
        <is>
          <t>No reliable evidence that transport capacity for peak demand or disruption periods is defined, owned or managed.</t>
        </is>
      </c>
      <c r="N208" t="inlineStr">
        <is>
          <t>Transport capacity for peak demand or disruption periods is handled informally and depends on individual knowledge or heroic effort.</t>
        </is>
      </c>
      <c r="O208" t="inlineStr">
        <is>
          <t>Transport capacity for peak demand or disruption periods is partially documented or implemented, but coverage is inconsistent and not crisis-tested.</t>
        </is>
      </c>
      <c r="P208" t="inlineStr">
        <is>
          <t>Transport capacity for peak demand or disruption periods is documented, owned, used in normal operations and supported by basic evidence or metrics.</t>
        </is>
      </c>
      <c r="Q208" t="inlineStr">
        <is>
          <t>Transport capacity for peak demand or disruption periods is measured, periodically reviewed, integrated with related processes and tested against relevant disruption scenarios.</t>
        </is>
      </c>
      <c r="R208" t="inlineStr">
        <is>
          <t>Transport capacity for peak demand or disruption periods is optimized, continuously improved, automated where practical and demonstrably supports crisis resilience.</t>
        </is>
      </c>
      <c r="S208" t="inlineStr">
        <is>
          <t>Supplier/logistics disruption; Manufacturing disruption; Demand shock</t>
        </is>
      </c>
      <c r="T208">
        <f>'Assessment Questions'!W208</f>
        <v/>
      </c>
      <c r="U208">
        <f>'Assessment Questions'!X208</f>
        <v/>
      </c>
      <c r="V208">
        <f>'Assessment Questions'!Y208</f>
        <v/>
      </c>
      <c r="W208" t="n">
        <v>4</v>
      </c>
      <c r="X208" t="n">
        <v>5</v>
      </c>
      <c r="Y208" t="n">
        <v>5</v>
      </c>
      <c r="Z208">
        <f>'Assessment Questions'!AC208</f>
        <v/>
      </c>
      <c r="AB208">
        <f>COUNTIF($B$200:$B$228,$AA208)</f>
        <v/>
      </c>
      <c r="AC208">
        <f>IFERROR(SUMPRODUCT(($B$200:$B$228=$AA208)*($H$200:$H$228&lt;&gt;"")*($H$200:$H$228&lt;&gt;"N/A")*IFERROR(VALUE($H$200:$H$228),0))/SUMPRODUCT(($B$200:$B$228=$AA208)*($H$200:$H$228&lt;&gt;"")*($H$200:$H$228&lt;&gt;"N/A")),0)</f>
        <v/>
      </c>
      <c r="AD208">
        <f>AC208/5</f>
        <v/>
      </c>
      <c r="AE208">
        <f>COUNTIFS($B$200:$B$228,$AA208,$L$200:$L$228,"Critical")+COUNTIFS($B$200:$B$228,$AA208,$L$200:$L$228,"High")</f>
        <v/>
      </c>
      <c r="AF208">
        <f>5-AC208</f>
        <v/>
      </c>
      <c r="AG208">
        <f>SUMPRODUCT(($B$200:$B$228=$AA208)*(ISNUMBER($H$200:$H$228)+($H$200:$H$228="N/A")))</f>
        <v/>
      </c>
      <c r="AH208">
        <f>'Assessment Questions'!AK208</f>
        <v/>
      </c>
      <c r="AI208">
        <f>'Assessment Questions'!AL208</f>
        <v/>
      </c>
      <c r="AJ208">
        <f>IF(OR($H208="",$H208="N/A"),"",IF($AH208="",VLOOKUP('Company Profile'!$B$40,_CONFIG_Model_Settings!$A$5:$B$8,2,FALSE),_xlfn.IFNA(VLOOKUP($AH208,_CONFIG_Model_Settings!$A$5:$B$8,2,FALSE),0.9)))</f>
        <v/>
      </c>
      <c r="AK208">
        <f>IF(OR($H208="",$H208="N/A"),"",IF($AI208="",VLOOKUP('Company Profile'!$B$41,_CONFIG_Model_Settings!$A$5:$B$8,2,FALSE),_xlfn.IFNA(VLOOKUP($AI208,_CONFIG_Model_Settings!$A$5:$B$8,2,FALSE),0.9)))</f>
        <v/>
      </c>
      <c r="AL208">
        <f>IF(OR($H208="",$H208="N/A"),"",ROUND(VALUE($H208)*$AJ208*$AK208*$AV208,2))</f>
        <v/>
      </c>
      <c r="AM208">
        <f>IF($AL208="","",ROUND($AL208/5*100,1))</f>
        <v/>
      </c>
      <c r="AN208">
        <f>IFERROR(MIN(5,MAX(0,(SUMIFS(_REF_Model_Content!$D$1:$D$157,_REF_Model_Content!$A$1:$A$157,'Company Profile'!$B$9,_REF_Model_Content!$B$1:$B$157,"Supply Chain"))+_xlfn.IFNA(VLOOKUP('Company Profile'!$B$35,_CONFIG_Model_Settings!$A$11:$B$13,2,0),0))),"")</f>
        <v/>
      </c>
      <c r="AO208">
        <f>IF($AL208="","",MAX(0,ROUND($AN208-$AL208,2)))</f>
        <v/>
      </c>
      <c r="AP208">
        <f>IFERROR(SUMIFS(_REF_Model_Content!$E$1:$E$157,_REF_Model_Content!$A$1:$A$157,'Company Profile'!$B$9,_REF_Model_Content!$B$1:$B$157,"Supply Chain"),1)</f>
        <v/>
      </c>
      <c r="AQ208">
        <f>IF($AO208="","",ROUND($AO208*$AP208*($G208/5),2))</f>
        <v/>
      </c>
      <c r="AR208">
        <f>IF($AO208="","",IF($AO208&gt;=2,"Critical industry gap",IF($AO208&gt;=1,"High industry gap",IF($AO208&gt;=0.5,"Moderate industry gap","Within target"))))</f>
        <v/>
      </c>
      <c r="AS208">
        <f>IF(OR($H208="",$H208="N/A"),0,VALUE($H208)*(($AJ208+$AK208)/2)*$AV208)</f>
        <v/>
      </c>
      <c r="AT208">
        <f>IF(OR($H208="",$H208="N/A"),0,($AJ208+$AK208)/2)</f>
        <v/>
      </c>
      <c r="AU208">
        <f>'Assessment Questions'!AX208</f>
        <v/>
      </c>
      <c r="AV208">
        <f>IF(OR($H208="",$H208="N/A"),"",IF(OR($AU208="",$AU208="Everywhere",$AU208="Not applicable"),1,IF($AU208="Pilot / one team",0.4,IF($AU208="One unit or site",0.7,0.9))))</f>
        <v/>
      </c>
      <c r="AW208" t="inlineStr">
        <is>
          <t>Supply Chain</t>
        </is>
      </c>
      <c r="AX208" t="inlineStr">
        <is>
          <t>Supply Chain</t>
        </is>
      </c>
      <c r="AY208" t="n">
        <v>13</v>
      </c>
      <c r="AZ208" t="n">
        <v>208</v>
      </c>
    </row>
    <row r="209">
      <c r="A209" t="inlineStr">
        <is>
          <t>SUPP-010</t>
        </is>
      </c>
      <c r="B209" t="inlineStr">
        <is>
          <t>Logistics</t>
        </is>
      </c>
      <c r="C209" t="inlineStr">
        <is>
          <t>How mature is the organization in managing shipment tracking and reliable ETA communication for critical shipments, including ownership, evidence, metrics, fallback procedures and crisis stress testing?</t>
        </is>
      </c>
      <c r="D209" t="inlineStr">
        <is>
          <t>This topic affects exposure to Supplier/logistics disruption; Manufacturing disruption; Demand shock. It helps identify how disruption may impact operations, people, revenue, systems, legal exposure or recovery time.</t>
        </is>
      </c>
      <c r="E209" t="inlineStr">
        <is>
          <t>ISO 22301; ISO 20400; ISO 28000; SCOR Digital Standard; S&amp;OP/IBP; APICS/ASCM</t>
        </is>
      </c>
      <c r="F209" t="inlineStr">
        <is>
          <t>Policy/SOP; owner/RACI; system report; dashboard; contracts; test records; incident history; interview evidence related to shipment tracking and reliable ETA communication for critical shipments.</t>
        </is>
      </c>
      <c r="G209">
        <f>'Assessment Questions'!J209</f>
        <v/>
      </c>
      <c r="H209">
        <f>IF($Z209="","",IF($Z209="N/A","N/A",VALUE(LEFT($Z209,1))))</f>
        <v/>
      </c>
      <c r="I209">
        <f>IF($H209="","",IF($H209="N/A","",VALUE($H209)/5*$G209))</f>
        <v/>
      </c>
      <c r="J209">
        <f>IF(OR($H209="",$H209="N/A"),"",$G209)</f>
        <v/>
      </c>
      <c r="K209">
        <f>IF(OR($H209="",$H209="N/A"),"",$J209-$I209)</f>
        <v/>
      </c>
      <c r="L209">
        <f>IF($H209="","",IF($H209="N/A","N/A",IF(VALUE($H209)&lt;=1,"Critical",IF(VALUE($H209)&lt;=2,"High",IF(VALUE($H209)&lt;=3,"Medium",IF(VALUE($H209)&lt;=4,"Low","Resilient"))))))</f>
        <v/>
      </c>
      <c r="M209" t="inlineStr">
        <is>
          <t>Nothing is monitored or measured.</t>
        </is>
      </c>
      <c r="N209" t="inlineStr">
        <is>
          <t>Occasional manual checks by individuals.</t>
        </is>
      </c>
      <c r="O209" t="inlineStr">
        <is>
          <t>Some metrics exist but are not reviewed regularly and trigger no action.</t>
        </is>
      </c>
      <c r="P209" t="inlineStr">
        <is>
          <t>Defined metrics with an owner, reviewed on a set cadence.</t>
        </is>
      </c>
      <c r="Q209" t="inlineStr">
        <is>
          <t>Thresholds and alerts in place; deviations trigger documented action; trends analyzed.</t>
        </is>
      </c>
      <c r="R209" t="inlineStr">
        <is>
          <t>Automated monitoring with leading indicators, integrated into management decisions.</t>
        </is>
      </c>
      <c r="S209" t="inlineStr">
        <is>
          <t>Supplier/logistics disruption; Manufacturing disruption; Demand shock</t>
        </is>
      </c>
      <c r="T209">
        <f>'Assessment Questions'!W209</f>
        <v/>
      </c>
      <c r="U209">
        <f>'Assessment Questions'!X209</f>
        <v/>
      </c>
      <c r="V209">
        <f>'Assessment Questions'!Y209</f>
        <v/>
      </c>
      <c r="W209" t="n">
        <v>4</v>
      </c>
      <c r="X209" t="n">
        <v>5</v>
      </c>
      <c r="Y209" t="n">
        <v>5</v>
      </c>
      <c r="Z209">
        <f>'Assessment Questions'!AC209</f>
        <v/>
      </c>
      <c r="AB209">
        <f>COUNTIF($B$200:$B$228,$AA209)</f>
        <v/>
      </c>
      <c r="AC209">
        <f>IFERROR(SUMPRODUCT(($B$200:$B$228=$AA209)*($H$200:$H$228&lt;&gt;"")*($H$200:$H$228&lt;&gt;"N/A")*IFERROR(VALUE($H$200:$H$228),0))/SUMPRODUCT(($B$200:$B$228=$AA209)*($H$200:$H$228&lt;&gt;"")*($H$200:$H$228&lt;&gt;"N/A")),0)</f>
        <v/>
      </c>
      <c r="AD209">
        <f>AC209/5</f>
        <v/>
      </c>
      <c r="AE209">
        <f>COUNTIFS($B$200:$B$228,$AA209,$L$200:$L$228,"Critical")+COUNTIFS($B$200:$B$228,$AA209,$L$200:$L$228,"High")</f>
        <v/>
      </c>
      <c r="AF209">
        <f>5-AC209</f>
        <v/>
      </c>
      <c r="AG209">
        <f>SUMPRODUCT(($B$200:$B$228=$AA209)*(ISNUMBER($H$200:$H$228)+($H$200:$H$228="N/A")))</f>
        <v/>
      </c>
      <c r="AH209">
        <f>'Assessment Questions'!AK209</f>
        <v/>
      </c>
      <c r="AI209">
        <f>'Assessment Questions'!AL209</f>
        <v/>
      </c>
      <c r="AJ209">
        <f>IF(OR($H209="",$H209="N/A"),"",IF($AH209="",VLOOKUP('Company Profile'!$B$40,_CONFIG_Model_Settings!$A$5:$B$8,2,FALSE),_xlfn.IFNA(VLOOKUP($AH209,_CONFIG_Model_Settings!$A$5:$B$8,2,FALSE),0.9)))</f>
        <v/>
      </c>
      <c r="AK209">
        <f>IF(OR($H209="",$H209="N/A"),"",IF($AI209="",VLOOKUP('Company Profile'!$B$41,_CONFIG_Model_Settings!$A$5:$B$8,2,FALSE),_xlfn.IFNA(VLOOKUP($AI209,_CONFIG_Model_Settings!$A$5:$B$8,2,FALSE),0.9)))</f>
        <v/>
      </c>
      <c r="AL209">
        <f>IF(OR($H209="",$H209="N/A"),"",ROUND(VALUE($H209)*$AJ209*$AK209*$AV209,2))</f>
        <v/>
      </c>
      <c r="AM209">
        <f>IF($AL209="","",ROUND($AL209/5*100,1))</f>
        <v/>
      </c>
      <c r="AN209">
        <f>IFERROR(MIN(5,MAX(0,(SUMIFS(_REF_Model_Content!$D$1:$D$157,_REF_Model_Content!$A$1:$A$157,'Company Profile'!$B$9,_REF_Model_Content!$B$1:$B$157,"Supply Chain"))+_xlfn.IFNA(VLOOKUP('Company Profile'!$B$35,_CONFIG_Model_Settings!$A$11:$B$13,2,0),0))),"")</f>
        <v/>
      </c>
      <c r="AO209">
        <f>IF($AL209="","",MAX(0,ROUND($AN209-$AL209,2)))</f>
        <v/>
      </c>
      <c r="AP209">
        <f>IFERROR(SUMIFS(_REF_Model_Content!$E$1:$E$157,_REF_Model_Content!$A$1:$A$157,'Company Profile'!$B$9,_REF_Model_Content!$B$1:$B$157,"Supply Chain"),1)</f>
        <v/>
      </c>
      <c r="AQ209">
        <f>IF($AO209="","",ROUND($AO209*$AP209*($G209/5),2))</f>
        <v/>
      </c>
      <c r="AR209">
        <f>IF($AO209="","",IF($AO209&gt;=2,"Critical industry gap",IF($AO209&gt;=1,"High industry gap",IF($AO209&gt;=0.5,"Moderate industry gap","Within target"))))</f>
        <v/>
      </c>
      <c r="AS209">
        <f>IF(OR($H209="",$H209="N/A"),0,VALUE($H209)*(($AJ209+$AK209)/2)*$AV209)</f>
        <v/>
      </c>
      <c r="AT209">
        <f>IF(OR($H209="",$H209="N/A"),0,($AJ209+$AK209)/2)</f>
        <v/>
      </c>
      <c r="AU209">
        <f>'Assessment Questions'!AX209</f>
        <v/>
      </c>
      <c r="AV209">
        <f>IF(OR($H209="",$H209="N/A"),"",IF(OR($AU209="",$AU209="Everywhere",$AU209="Not applicable"),1,IF($AU209="Pilot / one team",0.4,IF($AU209="One unit or site",0.7,0.9))))</f>
        <v/>
      </c>
      <c r="AW209" t="inlineStr">
        <is>
          <t>Supply Chain</t>
        </is>
      </c>
      <c r="AX209" t="inlineStr">
        <is>
          <t>Supply Chain</t>
        </is>
      </c>
      <c r="AY209" t="n">
        <v>14</v>
      </c>
      <c r="AZ209" t="n">
        <v>209</v>
      </c>
    </row>
    <row r="210">
      <c r="A210" t="inlineStr">
        <is>
          <t>SUPP-011</t>
        </is>
      </c>
      <c r="B210" t="inlineStr">
        <is>
          <t>Logistics</t>
        </is>
      </c>
      <c r="C210" t="inlineStr">
        <is>
          <t>How mature is the organization in managing customs, import/export, sanctions and trade documentation controls, including ownership, evidence, metrics, fallback procedures and crisis stress testing?</t>
        </is>
      </c>
      <c r="D210" t="inlineStr">
        <is>
          <t>This topic affects exposure to Supplier/logistics disruption; Manufacturing disruption; Demand shock. It helps identify how disruption may impact operations, people, revenue, systems, legal exposure or recovery time.</t>
        </is>
      </c>
      <c r="E210" t="inlineStr">
        <is>
          <t>ISO 22301; ISO 20400; ISO 28000; SCOR Digital Standard; S&amp;OP/IBP; APICS/ASCM</t>
        </is>
      </c>
      <c r="F210" t="inlineStr">
        <is>
          <t>Policy/SOP; owner/RACI; system report; dashboard; contracts; test records; incident history; interview evidence related to customs, import/export, sanctions and trade documentation controls.</t>
        </is>
      </c>
      <c r="G210">
        <f>'Assessment Questions'!J210</f>
        <v/>
      </c>
      <c r="H210">
        <f>IF($Z210="","",IF($Z210="N/A","N/A",VALUE(LEFT($Z210,1))))</f>
        <v/>
      </c>
      <c r="I210">
        <f>IF($H210="","",IF($H210="N/A","",VALUE($H210)/5*$G210))</f>
        <v/>
      </c>
      <c r="J210">
        <f>IF(OR($H210="",$H210="N/A"),"",$G210)</f>
        <v/>
      </c>
      <c r="K210">
        <f>IF(OR($H210="",$H210="N/A"),"",$J210-$I210)</f>
        <v/>
      </c>
      <c r="L210">
        <f>IF($H210="","",IF($H210="N/A","N/A",IF(VALUE($H210)&lt;=1,"Critical",IF(VALUE($H210)&lt;=2,"High",IF(VALUE($H210)&lt;=3,"Medium",IF(VALUE($H210)&lt;=4,"Low","Resilient"))))))</f>
        <v/>
      </c>
      <c r="M210" t="inlineStr">
        <is>
          <t>No reliable evidence that customs, import/export, sanctions and trade documentation controls is defined, owned or managed.</t>
        </is>
      </c>
      <c r="N210" t="inlineStr">
        <is>
          <t>Customs, import/export, sanctions and trade documentation controls is handled informally and depends on individual knowledge or heroic effort.</t>
        </is>
      </c>
      <c r="O210" t="inlineStr">
        <is>
          <t>Customs, import/export, sanctions and trade documentation controls is partially documented or implemented, but coverage is inconsistent and not crisis-tested.</t>
        </is>
      </c>
      <c r="P210" t="inlineStr">
        <is>
          <t>Customs, import/export, sanctions and trade documentation controls is documented, owned, used in normal operations and supported by basic evidence or metrics.</t>
        </is>
      </c>
      <c r="Q210" t="inlineStr">
        <is>
          <t>Customs, import/export, sanctions and trade documentation controls is measured, periodically reviewed, integrated with related processes and tested against relevant disruption scenarios.</t>
        </is>
      </c>
      <c r="R210" t="inlineStr">
        <is>
          <t>Customs, import/export, sanctions and trade documentation controls is optimized, continuously improved, automated where practical and demonstrably supports crisis resilience.</t>
        </is>
      </c>
      <c r="S210" t="inlineStr">
        <is>
          <t>Supplier/logistics disruption; Manufacturing disruption; Demand shock</t>
        </is>
      </c>
      <c r="T210">
        <f>'Assessment Questions'!W210</f>
        <v/>
      </c>
      <c r="U210">
        <f>'Assessment Questions'!X210</f>
        <v/>
      </c>
      <c r="V210">
        <f>'Assessment Questions'!Y210</f>
        <v/>
      </c>
      <c r="W210" t="n">
        <v>4</v>
      </c>
      <c r="X210" t="n">
        <v>5</v>
      </c>
      <c r="Y210" t="n">
        <v>5</v>
      </c>
      <c r="Z210">
        <f>'Assessment Questions'!AC210</f>
        <v/>
      </c>
      <c r="AB210">
        <f>COUNTIF($B$200:$B$228,$AA210)</f>
        <v/>
      </c>
      <c r="AC210">
        <f>IFERROR(SUMPRODUCT(($B$200:$B$228=$AA210)*($H$200:$H$228&lt;&gt;"")*($H$200:$H$228&lt;&gt;"N/A")*IFERROR(VALUE($H$200:$H$228),0))/SUMPRODUCT(($B$200:$B$228=$AA210)*($H$200:$H$228&lt;&gt;"")*($H$200:$H$228&lt;&gt;"N/A")),0)</f>
        <v/>
      </c>
      <c r="AD210">
        <f>AC210/5</f>
        <v/>
      </c>
      <c r="AE210">
        <f>COUNTIFS($B$200:$B$228,$AA210,$L$200:$L$228,"Critical")+COUNTIFS($B$200:$B$228,$AA210,$L$200:$L$228,"High")</f>
        <v/>
      </c>
      <c r="AF210">
        <f>5-AC210</f>
        <v/>
      </c>
      <c r="AG210">
        <f>SUMPRODUCT(($B$200:$B$228=$AA210)*(ISNUMBER($H$200:$H$228)+($H$200:$H$228="N/A")))</f>
        <v/>
      </c>
      <c r="AH210">
        <f>'Assessment Questions'!AK210</f>
        <v/>
      </c>
      <c r="AI210">
        <f>'Assessment Questions'!AL210</f>
        <v/>
      </c>
      <c r="AJ210">
        <f>IF(OR($H210="",$H210="N/A"),"",IF($AH210="",VLOOKUP('Company Profile'!$B$40,_CONFIG_Model_Settings!$A$5:$B$8,2,FALSE),_xlfn.IFNA(VLOOKUP($AH210,_CONFIG_Model_Settings!$A$5:$B$8,2,FALSE),0.9)))</f>
        <v/>
      </c>
      <c r="AK210">
        <f>IF(OR($H210="",$H210="N/A"),"",IF($AI210="",VLOOKUP('Company Profile'!$B$41,_CONFIG_Model_Settings!$A$5:$B$8,2,FALSE),_xlfn.IFNA(VLOOKUP($AI210,_CONFIG_Model_Settings!$A$5:$B$8,2,FALSE),0.9)))</f>
        <v/>
      </c>
      <c r="AL210">
        <f>IF(OR($H210="",$H210="N/A"),"",ROUND(VALUE($H210)*$AJ210*$AK210*$AV210,2))</f>
        <v/>
      </c>
      <c r="AM210">
        <f>IF($AL210="","",ROUND($AL210/5*100,1))</f>
        <v/>
      </c>
      <c r="AN210">
        <f>IFERROR(MIN(5,MAX(0,(SUMIFS(_REF_Model_Content!$D$1:$D$157,_REF_Model_Content!$A$1:$A$157,'Company Profile'!$B$9,_REF_Model_Content!$B$1:$B$157,"Supply Chain"))+_xlfn.IFNA(VLOOKUP('Company Profile'!$B$35,_CONFIG_Model_Settings!$A$11:$B$13,2,0),0))),"")</f>
        <v/>
      </c>
      <c r="AO210">
        <f>IF($AL210="","",MAX(0,ROUND($AN210-$AL210,2)))</f>
        <v/>
      </c>
      <c r="AP210">
        <f>IFERROR(SUMIFS(_REF_Model_Content!$E$1:$E$157,_REF_Model_Content!$A$1:$A$157,'Company Profile'!$B$9,_REF_Model_Content!$B$1:$B$157,"Supply Chain"),1)</f>
        <v/>
      </c>
      <c r="AQ210">
        <f>IF($AO210="","",ROUND($AO210*$AP210*($G210/5),2))</f>
        <v/>
      </c>
      <c r="AR210">
        <f>IF($AO210="","",IF($AO210&gt;=2,"Critical industry gap",IF($AO210&gt;=1,"High industry gap",IF($AO210&gt;=0.5,"Moderate industry gap","Within target"))))</f>
        <v/>
      </c>
      <c r="AS210">
        <f>IF(OR($H210="",$H210="N/A"),0,VALUE($H210)*(($AJ210+$AK210)/2)*$AV210)</f>
        <v/>
      </c>
      <c r="AT210">
        <f>IF(OR($H210="",$H210="N/A"),0,($AJ210+$AK210)/2)</f>
        <v/>
      </c>
      <c r="AU210">
        <f>'Assessment Questions'!AX210</f>
        <v/>
      </c>
      <c r="AV210">
        <f>IF(OR($H210="",$H210="N/A"),"",IF(OR($AU210="",$AU210="Everywhere",$AU210="Not applicable"),1,IF($AU210="Pilot / one team",0.4,IF($AU210="One unit or site",0.7,0.9))))</f>
        <v/>
      </c>
      <c r="AW210" t="inlineStr">
        <is>
          <t>Supply Chain</t>
        </is>
      </c>
      <c r="AX210" t="inlineStr">
        <is>
          <t>Supply Chain</t>
        </is>
      </c>
      <c r="AY210" t="n">
        <v>15</v>
      </c>
      <c r="AZ210" t="n">
        <v>210</v>
      </c>
    </row>
    <row r="211">
      <c r="A211" t="inlineStr">
        <is>
          <t>SUPP-012</t>
        </is>
      </c>
      <c r="B211" t="inlineStr">
        <is>
          <t>Logistics</t>
        </is>
      </c>
      <c r="C211" t="inlineStr">
        <is>
          <t>How mature is the organization in managing Incoterms, insurance, liability and delivery obligations for critical flows, including ownership, evidence, metrics, fallback procedures and crisis stress testing?</t>
        </is>
      </c>
      <c r="D211" t="inlineStr">
        <is>
          <t>This topic affects exposure to Supplier/logistics disruption; Manufacturing disruption; Demand shock. It helps identify how disruption may impact operations, people, revenue, systems, legal exposure or recovery time.</t>
        </is>
      </c>
      <c r="E211" t="inlineStr">
        <is>
          <t>ISO 22301; ISO 20400; ISO 28000; SCOR Digital Standard; S&amp;OP/IBP; APICS/ASCM</t>
        </is>
      </c>
      <c r="F211" t="inlineStr">
        <is>
          <t>Policy/SOP; owner/RACI; system report; dashboard; contracts; test records; incident history; interview evidence related to Incoterms, insurance, liability and delivery obligations for critical flows.</t>
        </is>
      </c>
      <c r="G211">
        <f>'Assessment Questions'!J211</f>
        <v/>
      </c>
      <c r="H211">
        <f>IF($Z211="","",IF($Z211="N/A","N/A",VALUE(LEFT($Z211,1))))</f>
        <v/>
      </c>
      <c r="I211">
        <f>IF($H211="","",IF($H211="N/A","",VALUE($H211)/5*$G211))</f>
        <v/>
      </c>
      <c r="J211">
        <f>IF(OR($H211="",$H211="N/A"),"",$G211)</f>
        <v/>
      </c>
      <c r="K211">
        <f>IF(OR($H211="",$H211="N/A"),"",$J211-$I211)</f>
        <v/>
      </c>
      <c r="L211">
        <f>IF($H211="","",IF($H211="N/A","N/A",IF(VALUE($H211)&lt;=1,"Critical",IF(VALUE($H211)&lt;=2,"High",IF(VALUE($H211)&lt;=3,"Medium",IF(VALUE($H211)&lt;=4,"Low","Resilient"))))))</f>
        <v/>
      </c>
      <c r="M211" t="inlineStr">
        <is>
          <t>Does not exist; no owner, no documentation, no practice.</t>
        </is>
      </c>
      <c r="N211" t="inlineStr">
        <is>
          <t>Ad hoc; depends entirely on specific individuals.</t>
        </is>
      </c>
      <c r="O211" t="inlineStr">
        <is>
          <t>Partially documented or implemented; coverage inconsistent; never tested under stress.</t>
        </is>
      </c>
      <c r="P211" t="inlineStr">
        <is>
          <t>Documented, owned, executed consistently; basic evidence and metrics exist.</t>
        </is>
      </c>
      <c r="Q211" t="inlineStr">
        <is>
          <t>Measured and periodically tested/audited; integrated with adjacent processes.</t>
        </is>
      </c>
      <c r="R211" t="inlineStr">
        <is>
          <t>Optimized and automated where practical; stress-tested; benchmarked externally.</t>
        </is>
      </c>
      <c r="S211" t="inlineStr">
        <is>
          <t>Supplier/logistics disruption; Manufacturing disruption; Demand shock</t>
        </is>
      </c>
      <c r="T211">
        <f>'Assessment Questions'!W211</f>
        <v/>
      </c>
      <c r="U211">
        <f>'Assessment Questions'!X211</f>
        <v/>
      </c>
      <c r="V211">
        <f>'Assessment Questions'!Y211</f>
        <v/>
      </c>
      <c r="W211" t="n">
        <v>4</v>
      </c>
      <c r="X211" t="n">
        <v>5</v>
      </c>
      <c r="Y211" t="n">
        <v>5</v>
      </c>
      <c r="Z211">
        <f>'Assessment Questions'!AC211</f>
        <v/>
      </c>
      <c r="AB211">
        <f>COUNTIF($B$200:$B$228,$AA211)</f>
        <v/>
      </c>
      <c r="AC211">
        <f>IFERROR(SUMPRODUCT(($B$200:$B$228=$AA211)*($H$200:$H$228&lt;&gt;"")*($H$200:$H$228&lt;&gt;"N/A")*IFERROR(VALUE($H$200:$H$228),0))/SUMPRODUCT(($B$200:$B$228=$AA211)*($H$200:$H$228&lt;&gt;"")*($H$200:$H$228&lt;&gt;"N/A")),0)</f>
        <v/>
      </c>
      <c r="AD211">
        <f>AC211/5</f>
        <v/>
      </c>
      <c r="AE211">
        <f>COUNTIFS($B$200:$B$228,$AA211,$L$200:$L$228,"Critical")+COUNTIFS($B$200:$B$228,$AA211,$L$200:$L$228,"High")</f>
        <v/>
      </c>
      <c r="AF211">
        <f>5-AC211</f>
        <v/>
      </c>
      <c r="AG211">
        <f>SUMPRODUCT(($B$200:$B$228=$AA211)*(ISNUMBER($H$200:$H$228)+($H$200:$H$228="N/A")))</f>
        <v/>
      </c>
      <c r="AH211">
        <f>'Assessment Questions'!AK211</f>
        <v/>
      </c>
      <c r="AI211">
        <f>'Assessment Questions'!AL211</f>
        <v/>
      </c>
      <c r="AJ211">
        <f>IF(OR($H211="",$H211="N/A"),"",IF($AH211="",VLOOKUP('Company Profile'!$B$40,_CONFIG_Model_Settings!$A$5:$B$8,2,FALSE),_xlfn.IFNA(VLOOKUP($AH211,_CONFIG_Model_Settings!$A$5:$B$8,2,FALSE),0.9)))</f>
        <v/>
      </c>
      <c r="AK211">
        <f>IF(OR($H211="",$H211="N/A"),"",IF($AI211="",VLOOKUP('Company Profile'!$B$41,_CONFIG_Model_Settings!$A$5:$B$8,2,FALSE),_xlfn.IFNA(VLOOKUP($AI211,_CONFIG_Model_Settings!$A$5:$B$8,2,FALSE),0.9)))</f>
        <v/>
      </c>
      <c r="AL211">
        <f>IF(OR($H211="",$H211="N/A"),"",ROUND(VALUE($H211)*$AJ211*$AK211*$AV211,2))</f>
        <v/>
      </c>
      <c r="AM211">
        <f>IF($AL211="","",ROUND($AL211/5*100,1))</f>
        <v/>
      </c>
      <c r="AN211">
        <f>IFERROR(MIN(5,MAX(0,(SUMIFS(_REF_Model_Content!$D$1:$D$157,_REF_Model_Content!$A$1:$A$157,'Company Profile'!$B$9,_REF_Model_Content!$B$1:$B$157,"Supply Chain"))+_xlfn.IFNA(VLOOKUP('Company Profile'!$B$35,_CONFIG_Model_Settings!$A$11:$B$13,2,0),0))),"")</f>
        <v/>
      </c>
      <c r="AO211">
        <f>IF($AL211="","",MAX(0,ROUND($AN211-$AL211,2)))</f>
        <v/>
      </c>
      <c r="AP211">
        <f>IFERROR(SUMIFS(_REF_Model_Content!$E$1:$E$157,_REF_Model_Content!$A$1:$A$157,'Company Profile'!$B$9,_REF_Model_Content!$B$1:$B$157,"Supply Chain"),1)</f>
        <v/>
      </c>
      <c r="AQ211">
        <f>IF($AO211="","",ROUND($AO211*$AP211*($G211/5),2))</f>
        <v/>
      </c>
      <c r="AR211">
        <f>IF($AO211="","",IF($AO211&gt;=2,"Critical industry gap",IF($AO211&gt;=1,"High industry gap",IF($AO211&gt;=0.5,"Moderate industry gap","Within target"))))</f>
        <v/>
      </c>
      <c r="AS211">
        <f>IF(OR($H211="",$H211="N/A"),0,VALUE($H211)*(($AJ211+$AK211)/2)*$AV211)</f>
        <v/>
      </c>
      <c r="AT211">
        <f>IF(OR($H211="",$H211="N/A"),0,($AJ211+$AK211)/2)</f>
        <v/>
      </c>
      <c r="AU211">
        <f>'Assessment Questions'!AX211</f>
        <v/>
      </c>
      <c r="AV211">
        <f>IF(OR($H211="",$H211="N/A"),"",IF(OR($AU211="",$AU211="Everywhere",$AU211="Not applicable"),1,IF($AU211="Pilot / one team",0.4,IF($AU211="One unit or site",0.7,0.9))))</f>
        <v/>
      </c>
      <c r="AW211" t="inlineStr">
        <is>
          <t>Supply Chain</t>
        </is>
      </c>
      <c r="AX211" t="inlineStr">
        <is>
          <t>Supply Chain</t>
        </is>
      </c>
      <c r="AY211" t="n">
        <v>16</v>
      </c>
      <c r="AZ211" t="n">
        <v>211</v>
      </c>
    </row>
    <row r="212">
      <c r="A212" t="inlineStr">
        <is>
          <t>SUPP-013</t>
        </is>
      </c>
      <c r="B212" t="inlineStr">
        <is>
          <t>Inventory and planning</t>
        </is>
      </c>
      <c r="C212" t="inlineStr">
        <is>
          <t>How mature is the organization in managing safety stock, reorder points, min/max levels and buffer rules by criticality and lead time, including ownership, evidence, metrics, fallback procedures and crisis stress testing?</t>
        </is>
      </c>
      <c r="D212" t="inlineStr">
        <is>
          <t>This topic affects exposure to Supplier/logistics disruption; Manufacturing disruption; Demand shock. It helps identify how disruption may impact operations, people, revenue, systems, legal exposure or recovery time.</t>
        </is>
      </c>
      <c r="E212" t="inlineStr">
        <is>
          <t>ISO 22301; ISO 20400; ISO 28000; SCOR Digital Standard; S&amp;OP/IBP; APICS/ASCM</t>
        </is>
      </c>
      <c r="F212" t="inlineStr">
        <is>
          <t>Policy/SOP; owner/RACI; system report; dashboard; contracts; test records; incident history; interview evidence related to safety stock, reorder points, min/max levels and buffer rules by criticality and lead time.</t>
        </is>
      </c>
      <c r="G212">
        <f>'Assessment Questions'!J212</f>
        <v/>
      </c>
      <c r="H212">
        <f>IF($Z212="","",IF($Z212="N/A","N/A",VALUE(LEFT($Z212,1))))</f>
        <v/>
      </c>
      <c r="I212">
        <f>IF($H212="","",IF($H212="N/A","",VALUE($H212)/5*$G212))</f>
        <v/>
      </c>
      <c r="J212">
        <f>IF(OR($H212="",$H212="N/A"),"",$G212)</f>
        <v/>
      </c>
      <c r="K212">
        <f>IF(OR($H212="",$H212="N/A"),"",$J212-$I212)</f>
        <v/>
      </c>
      <c r="L212">
        <f>IF($H212="","",IF($H212="N/A","N/A",IF(VALUE($H212)&lt;=1,"Critical",IF(VALUE($H212)&lt;=2,"High",IF(VALUE($H212)&lt;=3,"Medium",IF(VALUE($H212)&lt;=4,"Low","Resilient"))))))</f>
        <v/>
      </c>
      <c r="M212" t="inlineStr">
        <is>
          <t>Does not exist; no owner, no documentation, no practice.</t>
        </is>
      </c>
      <c r="N212" t="inlineStr">
        <is>
          <t>Ad hoc; depends entirely on specific individuals.</t>
        </is>
      </c>
      <c r="O212" t="inlineStr">
        <is>
          <t>Partially documented or implemented; coverage inconsistent; never tested under stress.</t>
        </is>
      </c>
      <c r="P212" t="inlineStr">
        <is>
          <t>Documented, owned, executed consistently; basic evidence and metrics exist.</t>
        </is>
      </c>
      <c r="Q212" t="inlineStr">
        <is>
          <t>Measured and periodically tested/audited; integrated with adjacent processes.</t>
        </is>
      </c>
      <c r="R212" t="inlineStr">
        <is>
          <t>Optimized and automated where practical; stress-tested; benchmarked externally.</t>
        </is>
      </c>
      <c r="S212" t="inlineStr">
        <is>
          <t>Supplier/logistics disruption; Manufacturing disruption; Demand shock</t>
        </is>
      </c>
      <c r="T212">
        <f>'Assessment Questions'!W212</f>
        <v/>
      </c>
      <c r="U212">
        <f>'Assessment Questions'!X212</f>
        <v/>
      </c>
      <c r="V212">
        <f>'Assessment Questions'!Y212</f>
        <v/>
      </c>
      <c r="W212" t="n">
        <v>4</v>
      </c>
      <c r="X212" t="n">
        <v>5</v>
      </c>
      <c r="Y212" t="n">
        <v>5</v>
      </c>
      <c r="Z212">
        <f>'Assessment Questions'!AC212</f>
        <v/>
      </c>
      <c r="AB212">
        <f>COUNTIF($B$200:$B$228,$AA212)</f>
        <v/>
      </c>
      <c r="AC212">
        <f>IFERROR(SUMPRODUCT(($B$200:$B$228=$AA212)*($H$200:$H$228&lt;&gt;"")*($H$200:$H$228&lt;&gt;"N/A")*IFERROR(VALUE($H$200:$H$228),0))/SUMPRODUCT(($B$200:$B$228=$AA212)*($H$200:$H$228&lt;&gt;"")*($H$200:$H$228&lt;&gt;"N/A")),0)</f>
        <v/>
      </c>
      <c r="AD212">
        <f>AC212/5</f>
        <v/>
      </c>
      <c r="AE212">
        <f>COUNTIFS($B$200:$B$228,$AA212,$L$200:$L$228,"Critical")+COUNTIFS($B$200:$B$228,$AA212,$L$200:$L$228,"High")</f>
        <v/>
      </c>
      <c r="AF212">
        <f>5-AC212</f>
        <v/>
      </c>
      <c r="AG212">
        <f>SUMPRODUCT(($B$200:$B$228=$AA212)*(ISNUMBER($H$200:$H$228)+($H$200:$H$228="N/A")))</f>
        <v/>
      </c>
      <c r="AH212">
        <f>'Assessment Questions'!AK212</f>
        <v/>
      </c>
      <c r="AI212">
        <f>'Assessment Questions'!AL212</f>
        <v/>
      </c>
      <c r="AJ212">
        <f>IF(OR($H212="",$H212="N/A"),"",IF($AH212="",VLOOKUP('Company Profile'!$B$40,_CONFIG_Model_Settings!$A$5:$B$8,2,FALSE),_xlfn.IFNA(VLOOKUP($AH212,_CONFIG_Model_Settings!$A$5:$B$8,2,FALSE),0.9)))</f>
        <v/>
      </c>
      <c r="AK212">
        <f>IF(OR($H212="",$H212="N/A"),"",IF($AI212="",VLOOKUP('Company Profile'!$B$41,_CONFIG_Model_Settings!$A$5:$B$8,2,FALSE),_xlfn.IFNA(VLOOKUP($AI212,_CONFIG_Model_Settings!$A$5:$B$8,2,FALSE),0.9)))</f>
        <v/>
      </c>
      <c r="AL212">
        <f>IF(OR($H212="",$H212="N/A"),"",ROUND(VALUE($H212)*$AJ212*$AK212*$AV212,2))</f>
        <v/>
      </c>
      <c r="AM212">
        <f>IF($AL212="","",ROUND($AL212/5*100,1))</f>
        <v/>
      </c>
      <c r="AN212">
        <f>IFERROR(MIN(5,MAX(0,(SUMIFS(_REF_Model_Content!$D$1:$D$157,_REF_Model_Content!$A$1:$A$157,'Company Profile'!$B$9,_REF_Model_Content!$B$1:$B$157,"Supply Chain"))+_xlfn.IFNA(VLOOKUP('Company Profile'!$B$35,_CONFIG_Model_Settings!$A$11:$B$13,2,0),0))),"")</f>
        <v/>
      </c>
      <c r="AO212">
        <f>IF($AL212="","",MAX(0,ROUND($AN212-$AL212,2)))</f>
        <v/>
      </c>
      <c r="AP212">
        <f>IFERROR(SUMIFS(_REF_Model_Content!$E$1:$E$157,_REF_Model_Content!$A$1:$A$157,'Company Profile'!$B$9,_REF_Model_Content!$B$1:$B$157,"Supply Chain"),1)</f>
        <v/>
      </c>
      <c r="AQ212">
        <f>IF($AO212="","",ROUND($AO212*$AP212*($G212/5),2))</f>
        <v/>
      </c>
      <c r="AR212">
        <f>IF($AO212="","",IF($AO212&gt;=2,"Critical industry gap",IF($AO212&gt;=1,"High industry gap",IF($AO212&gt;=0.5,"Moderate industry gap","Within target"))))</f>
        <v/>
      </c>
      <c r="AS212">
        <f>IF(OR($H212="",$H212="N/A"),0,VALUE($H212)*(($AJ212+$AK212)/2)*$AV212)</f>
        <v/>
      </c>
      <c r="AT212">
        <f>IF(OR($H212="",$H212="N/A"),0,($AJ212+$AK212)/2)</f>
        <v/>
      </c>
      <c r="AU212">
        <f>'Assessment Questions'!AX212</f>
        <v/>
      </c>
      <c r="AV212">
        <f>IF(OR($H212="",$H212="N/A"),"",IF(OR($AU212="",$AU212="Everywhere",$AU212="Not applicable"),1,IF($AU212="Pilot / one team",0.4,IF($AU212="One unit or site",0.7,0.9))))</f>
        <v/>
      </c>
      <c r="AW212" t="inlineStr">
        <is>
          <t>Supply Chain</t>
        </is>
      </c>
      <c r="AX212" t="inlineStr">
        <is>
          <t>Supply Chain</t>
        </is>
      </c>
      <c r="AY212" t="n">
        <v>17</v>
      </c>
      <c r="AZ212" t="n">
        <v>212</v>
      </c>
    </row>
    <row r="213">
      <c r="A213" t="inlineStr">
        <is>
          <t>SUPP-014</t>
        </is>
      </c>
      <c r="B213" t="inlineStr">
        <is>
          <t>Inventory and planning</t>
        </is>
      </c>
      <c r="C213" t="inlineStr">
        <is>
          <t>How mature is the organization in managing inventory visibility by SKU, location, status, shelf life, batch and ownership, including ownership, evidence, metrics, fallback procedures and crisis stress testing?</t>
        </is>
      </c>
      <c r="D213" t="inlineStr">
        <is>
          <t>This topic affects exposure to Supplier/logistics disruption; Manufacturing disruption; Demand shock. It helps identify how disruption may impact operations, people, revenue, systems, legal exposure or recovery time.</t>
        </is>
      </c>
      <c r="E213" t="inlineStr">
        <is>
          <t>ISO 22301; ISO 20400; ISO 28000; SCOR Digital Standard; S&amp;OP/IBP; APICS/ASCM</t>
        </is>
      </c>
      <c r="F213" t="inlineStr">
        <is>
          <t>Policy/SOP; owner/RACI; system report; dashboard; contracts; test records; incident history; interview evidence related to inventory visibility by SKU, location, status, shelf life, batch and ownership.</t>
        </is>
      </c>
      <c r="G213">
        <f>'Assessment Questions'!J213</f>
        <v/>
      </c>
      <c r="H213">
        <f>IF($Z213="","",IF($Z213="N/A","N/A",VALUE(LEFT($Z213,1))))</f>
        <v/>
      </c>
      <c r="I213">
        <f>IF($H213="","",IF($H213="N/A","",VALUE($H213)/5*$G213))</f>
        <v/>
      </c>
      <c r="J213">
        <f>IF(OR($H213="",$H213="N/A"),"",$G213)</f>
        <v/>
      </c>
      <c r="K213">
        <f>IF(OR($H213="",$H213="N/A"),"",$J213-$I213)</f>
        <v/>
      </c>
      <c r="L213">
        <f>IF($H213="","",IF($H213="N/A","N/A",IF(VALUE($H213)&lt;=1,"Critical",IF(VALUE($H213)&lt;=2,"High",IF(VALUE($H213)&lt;=3,"Medium",IF(VALUE($H213)&lt;=4,"Low","Resilient"))))))</f>
        <v/>
      </c>
      <c r="M213" t="inlineStr">
        <is>
          <t>No reliable evidence that inventory visibility by sku, location, status, shelf life, batch and ownership is defined, owned or managed.</t>
        </is>
      </c>
      <c r="N213" t="inlineStr">
        <is>
          <t>Inventory visibility by SKU, location, status, shelf life, batch and ownership is handled informally and depends on individual knowledge or heroic effort.</t>
        </is>
      </c>
      <c r="O213" t="inlineStr">
        <is>
          <t>Inventory visibility by SKU, location, status, shelf life, batch and ownership is partially documented or implemented, but coverage is inconsistent and not crisis-tested.</t>
        </is>
      </c>
      <c r="P213" t="inlineStr">
        <is>
          <t>Inventory visibility by SKU, location, status, shelf life, batch and ownership is documented, owned, used in normal operations and supported by basic evidence or metrics.</t>
        </is>
      </c>
      <c r="Q213" t="inlineStr">
        <is>
          <t>Inventory visibility by SKU, location, status, shelf life, batch and ownership is measured, periodically reviewed, integrated with related processes and tested against relevant disruption scenarios.</t>
        </is>
      </c>
      <c r="R213" t="inlineStr">
        <is>
          <t>Inventory visibility by SKU, location, status, shelf life, batch and ownership is optimized, continuously improved, automated where practical and demonstrably supports crisis resilience.</t>
        </is>
      </c>
      <c r="S213" t="inlineStr">
        <is>
          <t>Supplier/logistics disruption; Manufacturing disruption; Demand shock</t>
        </is>
      </c>
      <c r="T213">
        <f>'Assessment Questions'!W213</f>
        <v/>
      </c>
      <c r="U213">
        <f>'Assessment Questions'!X213</f>
        <v/>
      </c>
      <c r="V213">
        <f>'Assessment Questions'!Y213</f>
        <v/>
      </c>
      <c r="W213" t="n">
        <v>4</v>
      </c>
      <c r="X213" t="n">
        <v>5</v>
      </c>
      <c r="Y213" t="n">
        <v>5</v>
      </c>
      <c r="Z213">
        <f>'Assessment Questions'!AC213</f>
        <v/>
      </c>
      <c r="AB213">
        <f>COUNTIF($B$200:$B$228,$AA213)</f>
        <v/>
      </c>
      <c r="AC213">
        <f>IFERROR(SUMPRODUCT(($B$200:$B$228=$AA213)*($H$200:$H$228&lt;&gt;"")*($H$200:$H$228&lt;&gt;"N/A")*IFERROR(VALUE($H$200:$H$228),0))/SUMPRODUCT(($B$200:$B$228=$AA213)*($H$200:$H$228&lt;&gt;"")*($H$200:$H$228&lt;&gt;"N/A")),0)</f>
        <v/>
      </c>
      <c r="AD213">
        <f>AC213/5</f>
        <v/>
      </c>
      <c r="AE213">
        <f>COUNTIFS($B$200:$B$228,$AA213,$L$200:$L$228,"Critical")+COUNTIFS($B$200:$B$228,$AA213,$L$200:$L$228,"High")</f>
        <v/>
      </c>
      <c r="AF213">
        <f>5-AC213</f>
        <v/>
      </c>
      <c r="AG213">
        <f>SUMPRODUCT(($B$200:$B$228=$AA213)*(ISNUMBER($H$200:$H$228)+($H$200:$H$228="N/A")))</f>
        <v/>
      </c>
      <c r="AH213">
        <f>'Assessment Questions'!AK213</f>
        <v/>
      </c>
      <c r="AI213">
        <f>'Assessment Questions'!AL213</f>
        <v/>
      </c>
      <c r="AJ213">
        <f>IF(OR($H213="",$H213="N/A"),"",IF($AH213="",VLOOKUP('Company Profile'!$B$40,_CONFIG_Model_Settings!$A$5:$B$8,2,FALSE),_xlfn.IFNA(VLOOKUP($AH213,_CONFIG_Model_Settings!$A$5:$B$8,2,FALSE),0.9)))</f>
        <v/>
      </c>
      <c r="AK213">
        <f>IF(OR($H213="",$H213="N/A"),"",IF($AI213="",VLOOKUP('Company Profile'!$B$41,_CONFIG_Model_Settings!$A$5:$B$8,2,FALSE),_xlfn.IFNA(VLOOKUP($AI213,_CONFIG_Model_Settings!$A$5:$B$8,2,FALSE),0.9)))</f>
        <v/>
      </c>
      <c r="AL213">
        <f>IF(OR($H213="",$H213="N/A"),"",ROUND(VALUE($H213)*$AJ213*$AK213*$AV213,2))</f>
        <v/>
      </c>
      <c r="AM213">
        <f>IF($AL213="","",ROUND($AL213/5*100,1))</f>
        <v/>
      </c>
      <c r="AN213">
        <f>IFERROR(MIN(5,MAX(0,(SUMIFS(_REF_Model_Content!$D$1:$D$157,_REF_Model_Content!$A$1:$A$157,'Company Profile'!$B$9,_REF_Model_Content!$B$1:$B$157,"Supply Chain"))+_xlfn.IFNA(VLOOKUP('Company Profile'!$B$35,_CONFIG_Model_Settings!$A$11:$B$13,2,0),0))),"")</f>
        <v/>
      </c>
      <c r="AO213">
        <f>IF($AL213="","",MAX(0,ROUND($AN213-$AL213,2)))</f>
        <v/>
      </c>
      <c r="AP213">
        <f>IFERROR(SUMIFS(_REF_Model_Content!$E$1:$E$157,_REF_Model_Content!$A$1:$A$157,'Company Profile'!$B$9,_REF_Model_Content!$B$1:$B$157,"Supply Chain"),1)</f>
        <v/>
      </c>
      <c r="AQ213">
        <f>IF($AO213="","",ROUND($AO213*$AP213*($G213/5),2))</f>
        <v/>
      </c>
      <c r="AR213">
        <f>IF($AO213="","",IF($AO213&gt;=2,"Critical industry gap",IF($AO213&gt;=1,"High industry gap",IF($AO213&gt;=0.5,"Moderate industry gap","Within target"))))</f>
        <v/>
      </c>
      <c r="AS213">
        <f>IF(OR($H213="",$H213="N/A"),0,VALUE($H213)*(($AJ213+$AK213)/2)*$AV213)</f>
        <v/>
      </c>
      <c r="AT213">
        <f>IF(OR($H213="",$H213="N/A"),0,($AJ213+$AK213)/2)</f>
        <v/>
      </c>
      <c r="AU213">
        <f>'Assessment Questions'!AX213</f>
        <v/>
      </c>
      <c r="AV213">
        <f>IF(OR($H213="",$H213="N/A"),"",IF(OR($AU213="",$AU213="Everywhere",$AU213="Not applicable"),1,IF($AU213="Pilot / one team",0.4,IF($AU213="One unit or site",0.7,0.9))))</f>
        <v/>
      </c>
      <c r="AW213" t="inlineStr">
        <is>
          <t>Supply Chain</t>
        </is>
      </c>
      <c r="AX213" t="inlineStr">
        <is>
          <t>Supply Chain</t>
        </is>
      </c>
      <c r="AY213" t="n">
        <v>18</v>
      </c>
      <c r="AZ213" t="n">
        <v>213</v>
      </c>
    </row>
    <row r="214">
      <c r="A214" t="inlineStr">
        <is>
          <t>SUPP-015</t>
        </is>
      </c>
      <c r="B214" t="inlineStr">
        <is>
          <t>Inventory and planning</t>
        </is>
      </c>
      <c r="C214" t="inlineStr">
        <is>
          <t>How mature is the organization in managing slow-moving, obsolete or stagnant inventory analysis linked to sales and procurement decisions, including ownership, evidence, metrics, fallback procedures and crisis stress testing?</t>
        </is>
      </c>
      <c r="D214" t="inlineStr">
        <is>
          <t>This topic affects exposure to Supplier/logistics disruption; Manufacturing disruption; Demand shock. It helps identify how disruption may impact operations, people, revenue, systems, legal exposure or recovery time.</t>
        </is>
      </c>
      <c r="E214" t="inlineStr">
        <is>
          <t>ISO 22301; ISO 20400; ISO 28000; SCOR Digital Standard; S&amp;OP/IBP; APICS/ASCM</t>
        </is>
      </c>
      <c r="F214" t="inlineStr">
        <is>
          <t>Policy/SOP; owner/RACI; system report; dashboard; contracts; test records; incident history; interview evidence related to slow-moving, obsolete or stagnant inventory analysis linked to sales and procurement decisions.</t>
        </is>
      </c>
      <c r="G214">
        <f>'Assessment Questions'!J214</f>
        <v/>
      </c>
      <c r="H214">
        <f>IF($Z214="","",IF($Z214="N/A","N/A",VALUE(LEFT($Z214,1))))</f>
        <v/>
      </c>
      <c r="I214">
        <f>IF($H214="","",IF($H214="N/A","",VALUE($H214)/5*$G214))</f>
        <v/>
      </c>
      <c r="J214">
        <f>IF(OR($H214="",$H214="N/A"),"",$G214)</f>
        <v/>
      </c>
      <c r="K214">
        <f>IF(OR($H214="",$H214="N/A"),"",$J214-$I214)</f>
        <v/>
      </c>
      <c r="L214">
        <f>IF($H214="","",IF($H214="N/A","N/A",IF(VALUE($H214)&lt;=1,"Critical",IF(VALUE($H214)&lt;=2,"High",IF(VALUE($H214)&lt;=3,"Medium",IF(VALUE($H214)&lt;=4,"Low","Resilient"))))))</f>
        <v/>
      </c>
      <c r="M214" t="inlineStr">
        <is>
          <t>No reliable evidence that slow-moving, obsolete or stagnant inventory analysis linked to sales and procurement decisions is defined, owned or managed.</t>
        </is>
      </c>
      <c r="N214" t="inlineStr">
        <is>
          <t>Slow-moving, obsolete or stagnant inventory analysis linked to sales and procurement decisions is handled informally and depends on individual knowledge or heroic effort.</t>
        </is>
      </c>
      <c r="O214" t="inlineStr">
        <is>
          <t>Slow-moving, obsolete or stagnant inventory analysis linked to sales and procurement decisions is partially documented or implemented, but coverage is inconsistent and not crisis-tested.</t>
        </is>
      </c>
      <c r="P214" t="inlineStr">
        <is>
          <t>Slow-moving, obsolete or stagnant inventory analysis linked to sales and procurement decisions is documented, owned, used in normal operations and supported by basic evidence or metrics.</t>
        </is>
      </c>
      <c r="Q214" t="inlineStr">
        <is>
          <t>Slow-moving, obsolete or stagnant inventory analysis linked to sales and procurement decisions is measured, periodically reviewed, integrated with related processes and tested against relevant disruption scenarios.</t>
        </is>
      </c>
      <c r="R214" t="inlineStr">
        <is>
          <t>Slow-moving, obsolete or stagnant inventory analysis linked to sales and procurement decisions is optimized, continuously improved, automated where practical and demonstrably supports crisis resilience.</t>
        </is>
      </c>
      <c r="S214" t="inlineStr">
        <is>
          <t>Supplier/logistics disruption; Manufacturing disruption; Demand shock</t>
        </is>
      </c>
      <c r="T214">
        <f>'Assessment Questions'!W214</f>
        <v/>
      </c>
      <c r="U214">
        <f>'Assessment Questions'!X214</f>
        <v/>
      </c>
      <c r="V214">
        <f>'Assessment Questions'!Y214</f>
        <v/>
      </c>
      <c r="W214" t="n">
        <v>4</v>
      </c>
      <c r="X214" t="n">
        <v>5</v>
      </c>
      <c r="Y214" t="n">
        <v>5</v>
      </c>
      <c r="Z214">
        <f>'Assessment Questions'!AC214</f>
        <v/>
      </c>
      <c r="AB214">
        <f>COUNTIF($B$200:$B$228,$AA214)</f>
        <v/>
      </c>
      <c r="AC214">
        <f>IFERROR(SUMPRODUCT(($B$200:$B$228=$AA214)*($H$200:$H$228&lt;&gt;"")*($H$200:$H$228&lt;&gt;"N/A")*IFERROR(VALUE($H$200:$H$228),0))/SUMPRODUCT(($B$200:$B$228=$AA214)*($H$200:$H$228&lt;&gt;"")*($H$200:$H$228&lt;&gt;"N/A")),0)</f>
        <v/>
      </c>
      <c r="AD214">
        <f>AC214/5</f>
        <v/>
      </c>
      <c r="AE214">
        <f>COUNTIFS($B$200:$B$228,$AA214,$L$200:$L$228,"Critical")+COUNTIFS($B$200:$B$228,$AA214,$L$200:$L$228,"High")</f>
        <v/>
      </c>
      <c r="AF214">
        <f>5-AC214</f>
        <v/>
      </c>
      <c r="AG214">
        <f>SUMPRODUCT(($B$200:$B$228=$AA214)*(ISNUMBER($H$200:$H$228)+($H$200:$H$228="N/A")))</f>
        <v/>
      </c>
      <c r="AH214">
        <f>'Assessment Questions'!AK214</f>
        <v/>
      </c>
      <c r="AI214">
        <f>'Assessment Questions'!AL214</f>
        <v/>
      </c>
      <c r="AJ214">
        <f>IF(OR($H214="",$H214="N/A"),"",IF($AH214="",VLOOKUP('Company Profile'!$B$40,_CONFIG_Model_Settings!$A$5:$B$8,2,FALSE),_xlfn.IFNA(VLOOKUP($AH214,_CONFIG_Model_Settings!$A$5:$B$8,2,FALSE),0.9)))</f>
        <v/>
      </c>
      <c r="AK214">
        <f>IF(OR($H214="",$H214="N/A"),"",IF($AI214="",VLOOKUP('Company Profile'!$B$41,_CONFIG_Model_Settings!$A$5:$B$8,2,FALSE),_xlfn.IFNA(VLOOKUP($AI214,_CONFIG_Model_Settings!$A$5:$B$8,2,FALSE),0.9)))</f>
        <v/>
      </c>
      <c r="AL214">
        <f>IF(OR($H214="",$H214="N/A"),"",ROUND(VALUE($H214)*$AJ214*$AK214*$AV214,2))</f>
        <v/>
      </c>
      <c r="AM214">
        <f>IF($AL214="","",ROUND($AL214/5*100,1))</f>
        <v/>
      </c>
      <c r="AN214">
        <f>IFERROR(MIN(5,MAX(0,(SUMIFS(_REF_Model_Content!$D$1:$D$157,_REF_Model_Content!$A$1:$A$157,'Company Profile'!$B$9,_REF_Model_Content!$B$1:$B$157,"Supply Chain"))+_xlfn.IFNA(VLOOKUP('Company Profile'!$B$35,_CONFIG_Model_Settings!$A$11:$B$13,2,0),0))),"")</f>
        <v/>
      </c>
      <c r="AO214">
        <f>IF($AL214="","",MAX(0,ROUND($AN214-$AL214,2)))</f>
        <v/>
      </c>
      <c r="AP214">
        <f>IFERROR(SUMIFS(_REF_Model_Content!$E$1:$E$157,_REF_Model_Content!$A$1:$A$157,'Company Profile'!$B$9,_REF_Model_Content!$B$1:$B$157,"Supply Chain"),1)</f>
        <v/>
      </c>
      <c r="AQ214">
        <f>IF($AO214="","",ROUND($AO214*$AP214*($G214/5),2))</f>
        <v/>
      </c>
      <c r="AR214">
        <f>IF($AO214="","",IF($AO214&gt;=2,"Critical industry gap",IF($AO214&gt;=1,"High industry gap",IF($AO214&gt;=0.5,"Moderate industry gap","Within target"))))</f>
        <v/>
      </c>
      <c r="AS214">
        <f>IF(OR($H214="",$H214="N/A"),0,VALUE($H214)*(($AJ214+$AK214)/2)*$AV214)</f>
        <v/>
      </c>
      <c r="AT214">
        <f>IF(OR($H214="",$H214="N/A"),0,($AJ214+$AK214)/2)</f>
        <v/>
      </c>
      <c r="AU214">
        <f>'Assessment Questions'!AX214</f>
        <v/>
      </c>
      <c r="AV214">
        <f>IF(OR($H214="",$H214="N/A"),"",IF(OR($AU214="",$AU214="Everywhere",$AU214="Not applicable"),1,IF($AU214="Pilot / one team",0.4,IF($AU214="One unit or site",0.7,0.9))))</f>
        <v/>
      </c>
      <c r="AW214" t="inlineStr">
        <is>
          <t>Supply Chain</t>
        </is>
      </c>
      <c r="AX214" t="inlineStr">
        <is>
          <t>Supply Chain</t>
        </is>
      </c>
      <c r="AY214" t="n">
        <v>19</v>
      </c>
      <c r="AZ214" t="n">
        <v>214</v>
      </c>
    </row>
    <row r="215">
      <c r="A215" t="inlineStr">
        <is>
          <t>SUPP-016</t>
        </is>
      </c>
      <c r="B215" t="inlineStr">
        <is>
          <t>Inventory and planning</t>
        </is>
      </c>
      <c r="C215" t="inlineStr">
        <is>
          <t>How mature is the organization in managing critical materials and spare parts buffers sized using risk, demand variability and supplier lead time, including ownership, evidence, metrics, fallback procedures and crisis stress testing?</t>
        </is>
      </c>
      <c r="D215" t="inlineStr">
        <is>
          <t>This topic affects exposure to Supplier/logistics disruption; Manufacturing disruption; Demand shock. It helps identify how disruption may impact operations, people, revenue, systems, legal exposure or recovery time.</t>
        </is>
      </c>
      <c r="E215" t="inlineStr">
        <is>
          <t>ISO 22301; ISO 20400; ISO 28000; SCOR Digital Standard; S&amp;OP/IBP; APICS/ASCM</t>
        </is>
      </c>
      <c r="F215" t="inlineStr">
        <is>
          <t>Policy/SOP; owner/RACI; system report; dashboard; contracts; test records; incident history; interview evidence related to critical materials and spare parts buffers sized using risk, demand variability and supplier lead time.</t>
        </is>
      </c>
      <c r="G215">
        <f>'Assessment Questions'!J215</f>
        <v/>
      </c>
      <c r="H215">
        <f>IF($Z215="","",IF($Z215="N/A","N/A",VALUE(LEFT($Z215,1))))</f>
        <v/>
      </c>
      <c r="I215">
        <f>IF($H215="","",IF($H215="N/A","",VALUE($H215)/5*$G215))</f>
        <v/>
      </c>
      <c r="J215">
        <f>IF(OR($H215="",$H215="N/A"),"",$G215)</f>
        <v/>
      </c>
      <c r="K215">
        <f>IF(OR($H215="",$H215="N/A"),"",$J215-$I215)</f>
        <v/>
      </c>
      <c r="L215">
        <f>IF($H215="","",IF($H215="N/A","N/A",IF(VALUE($H215)&lt;=1,"Critical",IF(VALUE($H215)&lt;=2,"High",IF(VALUE($H215)&lt;=3,"Medium",IF(VALUE($H215)&lt;=4,"Low","Resilient"))))))</f>
        <v/>
      </c>
      <c r="M215" t="inlineStr">
        <is>
          <t>Does not exist; no owner, no documentation, no practice.</t>
        </is>
      </c>
      <c r="N215" t="inlineStr">
        <is>
          <t>Ad hoc; depends entirely on specific individuals.</t>
        </is>
      </c>
      <c r="O215" t="inlineStr">
        <is>
          <t>Partially documented or implemented; coverage inconsistent; never tested under stress.</t>
        </is>
      </c>
      <c r="P215" t="inlineStr">
        <is>
          <t>Documented, owned, executed consistently; basic evidence and metrics exist.</t>
        </is>
      </c>
      <c r="Q215" t="inlineStr">
        <is>
          <t>Measured and periodically tested/audited; integrated with adjacent processes.</t>
        </is>
      </c>
      <c r="R215" t="inlineStr">
        <is>
          <t>Optimized and automated where practical; stress-tested; benchmarked externally.</t>
        </is>
      </c>
      <c r="S215" t="inlineStr">
        <is>
          <t>Supplier/logistics disruption; Manufacturing disruption; Demand shock</t>
        </is>
      </c>
      <c r="T215">
        <f>'Assessment Questions'!W215</f>
        <v/>
      </c>
      <c r="U215">
        <f>'Assessment Questions'!X215</f>
        <v/>
      </c>
      <c r="V215">
        <f>'Assessment Questions'!Y215</f>
        <v/>
      </c>
      <c r="W215" t="n">
        <v>4</v>
      </c>
      <c r="X215" t="n">
        <v>5</v>
      </c>
      <c r="Y215" t="n">
        <v>5</v>
      </c>
      <c r="Z215">
        <f>'Assessment Questions'!AC215</f>
        <v/>
      </c>
      <c r="AB215">
        <f>COUNTIF($B$200:$B$228,$AA215)</f>
        <v/>
      </c>
      <c r="AC215">
        <f>IFERROR(SUMPRODUCT(($B$200:$B$228=$AA215)*($H$200:$H$228&lt;&gt;"")*($H$200:$H$228&lt;&gt;"N/A")*IFERROR(VALUE($H$200:$H$228),0))/SUMPRODUCT(($B$200:$B$228=$AA215)*($H$200:$H$228&lt;&gt;"")*($H$200:$H$228&lt;&gt;"N/A")),0)</f>
        <v/>
      </c>
      <c r="AD215">
        <f>AC215/5</f>
        <v/>
      </c>
      <c r="AE215">
        <f>COUNTIFS($B$200:$B$228,$AA215,$L$200:$L$228,"Critical")+COUNTIFS($B$200:$B$228,$AA215,$L$200:$L$228,"High")</f>
        <v/>
      </c>
      <c r="AF215">
        <f>5-AC215</f>
        <v/>
      </c>
      <c r="AG215">
        <f>SUMPRODUCT(($B$200:$B$228=$AA215)*(ISNUMBER($H$200:$H$228)+($H$200:$H$228="N/A")))</f>
        <v/>
      </c>
      <c r="AH215">
        <f>'Assessment Questions'!AK215</f>
        <v/>
      </c>
      <c r="AI215">
        <f>'Assessment Questions'!AL215</f>
        <v/>
      </c>
      <c r="AJ215">
        <f>IF(OR($H215="",$H215="N/A"),"",IF($AH215="",VLOOKUP('Company Profile'!$B$40,_CONFIG_Model_Settings!$A$5:$B$8,2,FALSE),_xlfn.IFNA(VLOOKUP($AH215,_CONFIG_Model_Settings!$A$5:$B$8,2,FALSE),0.9)))</f>
        <v/>
      </c>
      <c r="AK215">
        <f>IF(OR($H215="",$H215="N/A"),"",IF($AI215="",VLOOKUP('Company Profile'!$B$41,_CONFIG_Model_Settings!$A$5:$B$8,2,FALSE),_xlfn.IFNA(VLOOKUP($AI215,_CONFIG_Model_Settings!$A$5:$B$8,2,FALSE),0.9)))</f>
        <v/>
      </c>
      <c r="AL215">
        <f>IF(OR($H215="",$H215="N/A"),"",ROUND(VALUE($H215)*$AJ215*$AK215*$AV215,2))</f>
        <v/>
      </c>
      <c r="AM215">
        <f>IF($AL215="","",ROUND($AL215/5*100,1))</f>
        <v/>
      </c>
      <c r="AN215">
        <f>IFERROR(MIN(5,MAX(0,(SUMIFS(_REF_Model_Content!$D$1:$D$157,_REF_Model_Content!$A$1:$A$157,'Company Profile'!$B$9,_REF_Model_Content!$B$1:$B$157,"Supply Chain"))+_xlfn.IFNA(VLOOKUP('Company Profile'!$B$35,_CONFIG_Model_Settings!$A$11:$B$13,2,0),0))),"")</f>
        <v/>
      </c>
      <c r="AO215">
        <f>IF($AL215="","",MAX(0,ROUND($AN215-$AL215,2)))</f>
        <v/>
      </c>
      <c r="AP215">
        <f>IFERROR(SUMIFS(_REF_Model_Content!$E$1:$E$157,_REF_Model_Content!$A$1:$A$157,'Company Profile'!$B$9,_REF_Model_Content!$B$1:$B$157,"Supply Chain"),1)</f>
        <v/>
      </c>
      <c r="AQ215">
        <f>IF($AO215="","",ROUND($AO215*$AP215*($G215/5),2))</f>
        <v/>
      </c>
      <c r="AR215">
        <f>IF($AO215="","",IF($AO215&gt;=2,"Critical industry gap",IF($AO215&gt;=1,"High industry gap",IF($AO215&gt;=0.5,"Moderate industry gap","Within target"))))</f>
        <v/>
      </c>
      <c r="AS215">
        <f>IF(OR($H215="",$H215="N/A"),0,VALUE($H215)*(($AJ215+$AK215)/2)*$AV215)</f>
        <v/>
      </c>
      <c r="AT215">
        <f>IF(OR($H215="",$H215="N/A"),0,($AJ215+$AK215)/2)</f>
        <v/>
      </c>
      <c r="AU215">
        <f>'Assessment Questions'!AX215</f>
        <v/>
      </c>
      <c r="AV215">
        <f>IF(OR($H215="",$H215="N/A"),"",IF(OR($AU215="",$AU215="Everywhere",$AU215="Not applicable"),1,IF($AU215="Pilot / one team",0.4,IF($AU215="One unit or site",0.7,0.9))))</f>
        <v/>
      </c>
      <c r="AW215" t="inlineStr">
        <is>
          <t>Supply Chain</t>
        </is>
      </c>
      <c r="AX215" t="inlineStr">
        <is>
          <t>Supply Chain</t>
        </is>
      </c>
      <c r="AY215" t="n">
        <v>20</v>
      </c>
      <c r="AZ215" t="n">
        <v>215</v>
      </c>
    </row>
    <row r="216">
      <c r="A216" t="inlineStr">
        <is>
          <t>SUPP-017</t>
        </is>
      </c>
      <c r="B216" t="inlineStr">
        <is>
          <t>Inventory and planning</t>
        </is>
      </c>
      <c r="C216" t="inlineStr">
        <is>
          <t>How mature is the organization in managing demand forecast integrated with sales pipeline, history, seasonality and crisis scenarios, including ownership, evidence, metrics, fallback procedures and crisis stress testing?</t>
        </is>
      </c>
      <c r="D216" t="inlineStr">
        <is>
          <t>This topic affects exposure to Supplier/logistics disruption; Manufacturing disruption; Demand shock. It helps identify how disruption may impact operations, people, revenue, systems, legal exposure or recovery time.</t>
        </is>
      </c>
      <c r="E216" t="inlineStr">
        <is>
          <t>ISO 22301; ISO 20400; ISO 28000; SCOR Digital Standard; S&amp;OP/IBP; APICS/ASCM</t>
        </is>
      </c>
      <c r="F216" t="inlineStr">
        <is>
          <t>Policy/SOP; owner/RACI; system report; dashboard; contracts; test records; incident history; interview evidence related to demand forecast integrated with sales pipeline, history, seasonality and crisis scenarios.</t>
        </is>
      </c>
      <c r="G216">
        <f>'Assessment Questions'!J216</f>
        <v/>
      </c>
      <c r="H216">
        <f>IF($Z216="","",IF($Z216="N/A","N/A",VALUE(LEFT($Z216,1))))</f>
        <v/>
      </c>
      <c r="I216">
        <f>IF($H216="","",IF($H216="N/A","",VALUE($H216)/5*$G216))</f>
        <v/>
      </c>
      <c r="J216">
        <f>IF(OR($H216="",$H216="N/A"),"",$G216)</f>
        <v/>
      </c>
      <c r="K216">
        <f>IF(OR($H216="",$H216="N/A"),"",$J216-$I216)</f>
        <v/>
      </c>
      <c r="L216">
        <f>IF($H216="","",IF($H216="N/A","N/A",IF(VALUE($H216)&lt;=1,"Critical",IF(VALUE($H216)&lt;=2,"High",IF(VALUE($H216)&lt;=3,"Medium",IF(VALUE($H216)&lt;=4,"Low","Resilient"))))))</f>
        <v/>
      </c>
      <c r="M216" t="inlineStr">
        <is>
          <t>Does not exist; no owner, no documentation, no practice.</t>
        </is>
      </c>
      <c r="N216" t="inlineStr">
        <is>
          <t>Ad hoc; depends entirely on specific individuals.</t>
        </is>
      </c>
      <c r="O216" t="inlineStr">
        <is>
          <t>Partially documented or implemented; coverage inconsistent; never tested under stress.</t>
        </is>
      </c>
      <c r="P216" t="inlineStr">
        <is>
          <t>Documented, owned, executed consistently; basic evidence and metrics exist.</t>
        </is>
      </c>
      <c r="Q216" t="inlineStr">
        <is>
          <t>Measured and periodically tested/audited; integrated with adjacent processes.</t>
        </is>
      </c>
      <c r="R216" t="inlineStr">
        <is>
          <t>Optimized and automated where practical; stress-tested; benchmarked externally.</t>
        </is>
      </c>
      <c r="S216" t="inlineStr">
        <is>
          <t>Supplier/logistics disruption; Manufacturing disruption; Demand shock</t>
        </is>
      </c>
      <c r="T216">
        <f>'Assessment Questions'!W216</f>
        <v/>
      </c>
      <c r="U216">
        <f>'Assessment Questions'!X216</f>
        <v/>
      </c>
      <c r="V216">
        <f>'Assessment Questions'!Y216</f>
        <v/>
      </c>
      <c r="W216" t="n">
        <v>4</v>
      </c>
      <c r="X216" t="n">
        <v>5</v>
      </c>
      <c r="Y216" t="n">
        <v>5</v>
      </c>
      <c r="Z216">
        <f>'Assessment Questions'!AC216</f>
        <v/>
      </c>
      <c r="AB216">
        <f>COUNTIF($B$200:$B$228,$AA216)</f>
        <v/>
      </c>
      <c r="AC216">
        <f>IFERROR(SUMPRODUCT(($B$200:$B$228=$AA216)*($H$200:$H$228&lt;&gt;"")*($H$200:$H$228&lt;&gt;"N/A")*IFERROR(VALUE($H$200:$H$228),0))/SUMPRODUCT(($B$200:$B$228=$AA216)*($H$200:$H$228&lt;&gt;"")*($H$200:$H$228&lt;&gt;"N/A")),0)</f>
        <v/>
      </c>
      <c r="AD216">
        <f>AC216/5</f>
        <v/>
      </c>
      <c r="AE216">
        <f>COUNTIFS($B$200:$B$228,$AA216,$L$200:$L$228,"Critical")+COUNTIFS($B$200:$B$228,$AA216,$L$200:$L$228,"High")</f>
        <v/>
      </c>
      <c r="AF216">
        <f>5-AC216</f>
        <v/>
      </c>
      <c r="AG216">
        <f>SUMPRODUCT(($B$200:$B$228=$AA216)*(ISNUMBER($H$200:$H$228)+($H$200:$H$228="N/A")))</f>
        <v/>
      </c>
      <c r="AH216">
        <f>'Assessment Questions'!AK216</f>
        <v/>
      </c>
      <c r="AI216">
        <f>'Assessment Questions'!AL216</f>
        <v/>
      </c>
      <c r="AJ216">
        <f>IF(OR($H216="",$H216="N/A"),"",IF($AH216="",VLOOKUP('Company Profile'!$B$40,_CONFIG_Model_Settings!$A$5:$B$8,2,FALSE),_xlfn.IFNA(VLOOKUP($AH216,_CONFIG_Model_Settings!$A$5:$B$8,2,FALSE),0.9)))</f>
        <v/>
      </c>
      <c r="AK216">
        <f>IF(OR($H216="",$H216="N/A"),"",IF($AI216="",VLOOKUP('Company Profile'!$B$41,_CONFIG_Model_Settings!$A$5:$B$8,2,FALSE),_xlfn.IFNA(VLOOKUP($AI216,_CONFIG_Model_Settings!$A$5:$B$8,2,FALSE),0.9)))</f>
        <v/>
      </c>
      <c r="AL216">
        <f>IF(OR($H216="",$H216="N/A"),"",ROUND(VALUE($H216)*$AJ216*$AK216*$AV216,2))</f>
        <v/>
      </c>
      <c r="AM216">
        <f>IF($AL216="","",ROUND($AL216/5*100,1))</f>
        <v/>
      </c>
      <c r="AN216">
        <f>IFERROR(MIN(5,MAX(0,(SUMIFS(_REF_Model_Content!$D$1:$D$157,_REF_Model_Content!$A$1:$A$157,'Company Profile'!$B$9,_REF_Model_Content!$B$1:$B$157,"Supply Chain"))+_xlfn.IFNA(VLOOKUP('Company Profile'!$B$35,_CONFIG_Model_Settings!$A$11:$B$13,2,0),0))),"")</f>
        <v/>
      </c>
      <c r="AO216">
        <f>IF($AL216="","",MAX(0,ROUND($AN216-$AL216,2)))</f>
        <v/>
      </c>
      <c r="AP216">
        <f>IFERROR(SUMIFS(_REF_Model_Content!$E$1:$E$157,_REF_Model_Content!$A$1:$A$157,'Company Profile'!$B$9,_REF_Model_Content!$B$1:$B$157,"Supply Chain"),1)</f>
        <v/>
      </c>
      <c r="AQ216">
        <f>IF($AO216="","",ROUND($AO216*$AP216*($G216/5),2))</f>
        <v/>
      </c>
      <c r="AR216">
        <f>IF($AO216="","",IF($AO216&gt;=2,"Critical industry gap",IF($AO216&gt;=1,"High industry gap",IF($AO216&gt;=0.5,"Moderate industry gap","Within target"))))</f>
        <v/>
      </c>
      <c r="AS216">
        <f>IF(OR($H216="",$H216="N/A"),0,VALUE($H216)*(($AJ216+$AK216)/2)*$AV216)</f>
        <v/>
      </c>
      <c r="AT216">
        <f>IF(OR($H216="",$H216="N/A"),0,($AJ216+$AK216)/2)</f>
        <v/>
      </c>
      <c r="AU216">
        <f>'Assessment Questions'!AX216</f>
        <v/>
      </c>
      <c r="AV216">
        <f>IF(OR($H216="",$H216="N/A"),"",IF(OR($AU216="",$AU216="Everywhere",$AU216="Not applicable"),1,IF($AU216="Pilot / one team",0.4,IF($AU216="One unit or site",0.7,0.9))))</f>
        <v/>
      </c>
      <c r="AW216" t="inlineStr">
        <is>
          <t>Supply Chain</t>
        </is>
      </c>
      <c r="AX216" t="inlineStr">
        <is>
          <t>Supply Chain</t>
        </is>
      </c>
      <c r="AY216" t="n">
        <v>21</v>
      </c>
      <c r="AZ216" t="n">
        <v>216</v>
      </c>
    </row>
    <row r="217">
      <c r="A217" t="inlineStr">
        <is>
          <t>SUPP-018</t>
        </is>
      </c>
      <c r="B217" t="inlineStr">
        <is>
          <t>Inventory and planning</t>
        </is>
      </c>
      <c r="C217" t="inlineStr">
        <is>
          <t>How mature is the organization in managing S&amp;OP or IBP process connecting sales, finance, production, procurement and logistics, including ownership, evidence, metrics, fallback procedures and crisis stress testing?</t>
        </is>
      </c>
      <c r="D217" t="inlineStr">
        <is>
          <t>This topic affects exposure to Supplier/logistics disruption; Manufacturing disruption; Demand shock. It helps identify how disruption may impact operations, people, revenue, systems, legal exposure or recovery time.</t>
        </is>
      </c>
      <c r="E217" t="inlineStr">
        <is>
          <t>ISO 22301; ISO 20400; ISO 28000; SCOR Digital Standard; S&amp;OP/IBP; APICS/ASCM</t>
        </is>
      </c>
      <c r="F217" t="inlineStr">
        <is>
          <t>Policy/SOP; owner/RACI; system report; dashboard; contracts; test records; incident history; interview evidence related to S&amp;OP or IBP process connecting sales, finance, production, procurement and logistics.</t>
        </is>
      </c>
      <c r="G217">
        <f>'Assessment Questions'!J217</f>
        <v/>
      </c>
      <c r="H217">
        <f>IF($Z217="","",IF($Z217="N/A","N/A",VALUE(LEFT($Z217,1))))</f>
        <v/>
      </c>
      <c r="I217">
        <f>IF($H217="","",IF($H217="N/A","",VALUE($H217)/5*$G217))</f>
        <v/>
      </c>
      <c r="J217">
        <f>IF(OR($H217="",$H217="N/A"),"",$G217)</f>
        <v/>
      </c>
      <c r="K217">
        <f>IF(OR($H217="",$H217="N/A"),"",$J217-$I217)</f>
        <v/>
      </c>
      <c r="L217">
        <f>IF($H217="","",IF($H217="N/A","N/A",IF(VALUE($H217)&lt;=1,"Critical",IF(VALUE($H217)&lt;=2,"High",IF(VALUE($H217)&lt;=3,"Medium",IF(VALUE($H217)&lt;=4,"Low","Resilient"))))))</f>
        <v/>
      </c>
      <c r="M217" t="inlineStr">
        <is>
          <t>Does not exist; no owner, no documentation, no practice.</t>
        </is>
      </c>
      <c r="N217" t="inlineStr">
        <is>
          <t>Ad hoc; depends entirely on specific individuals.</t>
        </is>
      </c>
      <c r="O217" t="inlineStr">
        <is>
          <t>Partially documented or implemented; coverage inconsistent; never tested under stress.</t>
        </is>
      </c>
      <c r="P217" t="inlineStr">
        <is>
          <t>Documented, owned, executed consistently; basic evidence and metrics exist.</t>
        </is>
      </c>
      <c r="Q217" t="inlineStr">
        <is>
          <t>Measured and periodically tested/audited; integrated with adjacent processes.</t>
        </is>
      </c>
      <c r="R217" t="inlineStr">
        <is>
          <t>Optimized and automated where practical; stress-tested; benchmarked externally.</t>
        </is>
      </c>
      <c r="S217" t="inlineStr">
        <is>
          <t>Supplier/logistics disruption; Manufacturing disruption; Demand shock</t>
        </is>
      </c>
      <c r="T217">
        <f>'Assessment Questions'!W217</f>
        <v/>
      </c>
      <c r="U217">
        <f>'Assessment Questions'!X217</f>
        <v/>
      </c>
      <c r="V217">
        <f>'Assessment Questions'!Y217</f>
        <v/>
      </c>
      <c r="W217" t="n">
        <v>4</v>
      </c>
      <c r="X217" t="n">
        <v>5</v>
      </c>
      <c r="Y217" t="n">
        <v>5</v>
      </c>
      <c r="Z217">
        <f>'Assessment Questions'!AC217</f>
        <v/>
      </c>
      <c r="AB217">
        <f>COUNTIF($B$200:$B$228,$AA217)</f>
        <v/>
      </c>
      <c r="AC217">
        <f>IFERROR(SUMPRODUCT(($B$200:$B$228=$AA217)*($H$200:$H$228&lt;&gt;"")*($H$200:$H$228&lt;&gt;"N/A")*IFERROR(VALUE($H$200:$H$228),0))/SUMPRODUCT(($B$200:$B$228=$AA217)*($H$200:$H$228&lt;&gt;"")*($H$200:$H$228&lt;&gt;"N/A")),0)</f>
        <v/>
      </c>
      <c r="AD217">
        <f>AC217/5</f>
        <v/>
      </c>
      <c r="AE217">
        <f>COUNTIFS($B$200:$B$228,$AA217,$L$200:$L$228,"Critical")+COUNTIFS($B$200:$B$228,$AA217,$L$200:$L$228,"High")</f>
        <v/>
      </c>
      <c r="AF217">
        <f>5-AC217</f>
        <v/>
      </c>
      <c r="AG217">
        <f>SUMPRODUCT(($B$200:$B$228=$AA217)*(ISNUMBER($H$200:$H$228)+($H$200:$H$228="N/A")))</f>
        <v/>
      </c>
      <c r="AH217">
        <f>'Assessment Questions'!AK217</f>
        <v/>
      </c>
      <c r="AI217">
        <f>'Assessment Questions'!AL217</f>
        <v/>
      </c>
      <c r="AJ217">
        <f>IF(OR($H217="",$H217="N/A"),"",IF($AH217="",VLOOKUP('Company Profile'!$B$40,_CONFIG_Model_Settings!$A$5:$B$8,2,FALSE),_xlfn.IFNA(VLOOKUP($AH217,_CONFIG_Model_Settings!$A$5:$B$8,2,FALSE),0.9)))</f>
        <v/>
      </c>
      <c r="AK217">
        <f>IF(OR($H217="",$H217="N/A"),"",IF($AI217="",VLOOKUP('Company Profile'!$B$41,_CONFIG_Model_Settings!$A$5:$B$8,2,FALSE),_xlfn.IFNA(VLOOKUP($AI217,_CONFIG_Model_Settings!$A$5:$B$8,2,FALSE),0.9)))</f>
        <v/>
      </c>
      <c r="AL217">
        <f>IF(OR($H217="",$H217="N/A"),"",ROUND(VALUE($H217)*$AJ217*$AK217*$AV217,2))</f>
        <v/>
      </c>
      <c r="AM217">
        <f>IF($AL217="","",ROUND($AL217/5*100,1))</f>
        <v/>
      </c>
      <c r="AN217">
        <f>IFERROR(MIN(5,MAX(0,(SUMIFS(_REF_Model_Content!$D$1:$D$157,_REF_Model_Content!$A$1:$A$157,'Company Profile'!$B$9,_REF_Model_Content!$B$1:$B$157,"Supply Chain"))+_xlfn.IFNA(VLOOKUP('Company Profile'!$B$35,_CONFIG_Model_Settings!$A$11:$B$13,2,0),0))),"")</f>
        <v/>
      </c>
      <c r="AO217">
        <f>IF($AL217="","",MAX(0,ROUND($AN217-$AL217,2)))</f>
        <v/>
      </c>
      <c r="AP217">
        <f>IFERROR(SUMIFS(_REF_Model_Content!$E$1:$E$157,_REF_Model_Content!$A$1:$A$157,'Company Profile'!$B$9,_REF_Model_Content!$B$1:$B$157,"Supply Chain"),1)</f>
        <v/>
      </c>
      <c r="AQ217">
        <f>IF($AO217="","",ROUND($AO217*$AP217*($G217/5),2))</f>
        <v/>
      </c>
      <c r="AR217">
        <f>IF($AO217="","",IF($AO217&gt;=2,"Critical industry gap",IF($AO217&gt;=1,"High industry gap",IF($AO217&gt;=0.5,"Moderate industry gap","Within target"))))</f>
        <v/>
      </c>
      <c r="AS217">
        <f>IF(OR($H217="",$H217="N/A"),0,VALUE($H217)*(($AJ217+$AK217)/2)*$AV217)</f>
        <v/>
      </c>
      <c r="AT217">
        <f>IF(OR($H217="",$H217="N/A"),0,($AJ217+$AK217)/2)</f>
        <v/>
      </c>
      <c r="AU217">
        <f>'Assessment Questions'!AX217</f>
        <v/>
      </c>
      <c r="AV217">
        <f>IF(OR($H217="",$H217="N/A"),"",IF(OR($AU217="",$AU217="Everywhere",$AU217="Not applicable"),1,IF($AU217="Pilot / one team",0.4,IF($AU217="One unit or site",0.7,0.9))))</f>
        <v/>
      </c>
      <c r="AW217" t="inlineStr">
        <is>
          <t>Supply Chain</t>
        </is>
      </c>
      <c r="AX217" t="inlineStr">
        <is>
          <t>Supply Chain</t>
        </is>
      </c>
      <c r="AY217" t="n">
        <v>22</v>
      </c>
      <c r="AZ217" t="n">
        <v>217</v>
      </c>
    </row>
    <row r="218">
      <c r="A218" t="inlineStr">
        <is>
          <t>SUPP-019</t>
        </is>
      </c>
      <c r="B218" t="inlineStr">
        <is>
          <t>Inventory and planning</t>
        </is>
      </c>
      <c r="C218" t="inlineStr">
        <is>
          <t>How mature is the organization in managing planning cycle acceleration during crisis without losing data quality, including ownership, evidence, metrics, fallback procedures and crisis stress testing?</t>
        </is>
      </c>
      <c r="D218" t="inlineStr">
        <is>
          <t>This topic affects exposure to Supplier/logistics disruption; Manufacturing disruption; Demand shock. It helps identify how disruption may impact operations, people, revenue, systems, legal exposure or recovery time.</t>
        </is>
      </c>
      <c r="E218" t="inlineStr">
        <is>
          <t>ISO 22301; ISO 20400; ISO 28000; SCOR Digital Standard; S&amp;OP/IBP; APICS/ASCM</t>
        </is>
      </c>
      <c r="F218" t="inlineStr">
        <is>
          <t>Policy/SOP; owner/RACI; system report; dashboard; contracts; test records; incident history; interview evidence related to planning cycle acceleration during crisis without losing data quality.</t>
        </is>
      </c>
      <c r="G218">
        <f>'Assessment Questions'!J218</f>
        <v/>
      </c>
      <c r="H218">
        <f>IF($Z218="","",IF($Z218="N/A","N/A",VALUE(LEFT($Z218,1))))</f>
        <v/>
      </c>
      <c r="I218">
        <f>IF($H218="","",IF($H218="N/A","",VALUE($H218)/5*$G218))</f>
        <v/>
      </c>
      <c r="J218">
        <f>IF(OR($H218="",$H218="N/A"),"",$G218)</f>
        <v/>
      </c>
      <c r="K218">
        <f>IF(OR($H218="",$H218="N/A"),"",$J218-$I218)</f>
        <v/>
      </c>
      <c r="L218">
        <f>IF($H218="","",IF($H218="N/A","N/A",IF(VALUE($H218)&lt;=1,"Critical",IF(VALUE($H218)&lt;=2,"High",IF(VALUE($H218)&lt;=3,"Medium",IF(VALUE($H218)&lt;=4,"Low","Resilient"))))))</f>
        <v/>
      </c>
      <c r="M218" t="inlineStr">
        <is>
          <t>No plan or procedure exists.</t>
        </is>
      </c>
      <c r="N218" t="inlineStr">
        <is>
          <t>Knowledge lives with individuals; nothing usable is written down.</t>
        </is>
      </c>
      <c r="O218" t="inlineStr">
        <is>
          <t>Drafted but outdated, not approved, or unknown to the people who must use it.</t>
        </is>
      </c>
      <c r="P218" t="inlineStr">
        <is>
          <t>Approved and current; owners assigned; affected staff know it exists and where to find it.</t>
        </is>
      </c>
      <c r="Q218" t="inlineStr">
        <is>
          <t>Tested against realistic scenarios; updated after each test or real incident.</t>
        </is>
      </c>
      <c r="R218" t="inlineStr">
        <is>
          <t>Exercised regularly including external parties; readiness measured; continuously improved.</t>
        </is>
      </c>
      <c r="S218" t="inlineStr">
        <is>
          <t>Supplier/logistics disruption; Manufacturing disruption; Demand shock</t>
        </is>
      </c>
      <c r="T218">
        <f>'Assessment Questions'!W218</f>
        <v/>
      </c>
      <c r="U218">
        <f>'Assessment Questions'!X218</f>
        <v/>
      </c>
      <c r="V218">
        <f>'Assessment Questions'!Y218</f>
        <v/>
      </c>
      <c r="W218" t="n">
        <v>5</v>
      </c>
      <c r="X218" t="n">
        <v>5</v>
      </c>
      <c r="Y218" t="n">
        <v>5</v>
      </c>
      <c r="Z218">
        <f>'Assessment Questions'!AC218</f>
        <v/>
      </c>
      <c r="AB218">
        <f>COUNTIF($B$200:$B$228,$AA218)</f>
        <v/>
      </c>
      <c r="AC218">
        <f>IFERROR(SUMPRODUCT(($B$200:$B$228=$AA218)*($H$200:$H$228&lt;&gt;"")*($H$200:$H$228&lt;&gt;"N/A")*IFERROR(VALUE($H$200:$H$228),0))/SUMPRODUCT(($B$200:$B$228=$AA218)*($H$200:$H$228&lt;&gt;"")*($H$200:$H$228&lt;&gt;"N/A")),0)</f>
        <v/>
      </c>
      <c r="AD218">
        <f>AC218/5</f>
        <v/>
      </c>
      <c r="AE218">
        <f>COUNTIFS($B$200:$B$228,$AA218,$L$200:$L$228,"Critical")+COUNTIFS($B$200:$B$228,$AA218,$L$200:$L$228,"High")</f>
        <v/>
      </c>
      <c r="AF218">
        <f>5-AC218</f>
        <v/>
      </c>
      <c r="AG218">
        <f>SUMPRODUCT(($B$200:$B$228=$AA218)*(ISNUMBER($H$200:$H$228)+($H$200:$H$228="N/A")))</f>
        <v/>
      </c>
      <c r="AH218">
        <f>'Assessment Questions'!AK218</f>
        <v/>
      </c>
      <c r="AI218">
        <f>'Assessment Questions'!AL218</f>
        <v/>
      </c>
      <c r="AJ218">
        <f>IF(OR($H218="",$H218="N/A"),"",IF($AH218="",VLOOKUP('Company Profile'!$B$40,_CONFIG_Model_Settings!$A$5:$B$8,2,FALSE),_xlfn.IFNA(VLOOKUP($AH218,_CONFIG_Model_Settings!$A$5:$B$8,2,FALSE),0.9)))</f>
        <v/>
      </c>
      <c r="AK218">
        <f>IF(OR($H218="",$H218="N/A"),"",IF($AI218="",VLOOKUP('Company Profile'!$B$41,_CONFIG_Model_Settings!$A$5:$B$8,2,FALSE),_xlfn.IFNA(VLOOKUP($AI218,_CONFIG_Model_Settings!$A$5:$B$8,2,FALSE),0.9)))</f>
        <v/>
      </c>
      <c r="AL218">
        <f>IF(OR($H218="",$H218="N/A"),"",ROUND(VALUE($H218)*$AJ218*$AK218*$AV218,2))</f>
        <v/>
      </c>
      <c r="AM218">
        <f>IF($AL218="","",ROUND($AL218/5*100,1))</f>
        <v/>
      </c>
      <c r="AN218">
        <f>IFERROR(MIN(5,MAX(0,(SUMIFS(_REF_Model_Content!$D$1:$D$157,_REF_Model_Content!$A$1:$A$157,'Company Profile'!$B$9,_REF_Model_Content!$B$1:$B$157,"Supply Chain"))+_xlfn.IFNA(VLOOKUP('Company Profile'!$B$35,_CONFIG_Model_Settings!$A$11:$B$13,2,0),0))),"")</f>
        <v/>
      </c>
      <c r="AO218">
        <f>IF($AL218="","",MAX(0,ROUND($AN218-$AL218,2)))</f>
        <v/>
      </c>
      <c r="AP218">
        <f>IFERROR(SUMIFS(_REF_Model_Content!$E$1:$E$157,_REF_Model_Content!$A$1:$A$157,'Company Profile'!$B$9,_REF_Model_Content!$B$1:$B$157,"Supply Chain"),1)</f>
        <v/>
      </c>
      <c r="AQ218">
        <f>IF($AO218="","",ROUND($AO218*$AP218*($G218/5),2))</f>
        <v/>
      </c>
      <c r="AR218">
        <f>IF($AO218="","",IF($AO218&gt;=2,"Critical industry gap",IF($AO218&gt;=1,"High industry gap",IF($AO218&gt;=0.5,"Moderate industry gap","Within target"))))</f>
        <v/>
      </c>
      <c r="AS218">
        <f>IF(OR($H218="",$H218="N/A"),0,VALUE($H218)*(($AJ218+$AK218)/2)*$AV218)</f>
        <v/>
      </c>
      <c r="AT218">
        <f>IF(OR($H218="",$H218="N/A"),0,($AJ218+$AK218)/2)</f>
        <v/>
      </c>
      <c r="AU218">
        <f>'Assessment Questions'!AX218</f>
        <v/>
      </c>
      <c r="AV218">
        <f>IF(OR($H218="",$H218="N/A"),"",IF(OR($AU218="",$AU218="Everywhere",$AU218="Not applicable"),1,IF($AU218="Pilot / one team",0.4,IF($AU218="One unit or site",0.7,0.9))))</f>
        <v/>
      </c>
      <c r="AW218" t="inlineStr">
        <is>
          <t>Supply Chain</t>
        </is>
      </c>
      <c r="AX218" t="inlineStr">
        <is>
          <t>Supply Chain</t>
        </is>
      </c>
      <c r="AY218" t="n">
        <v>23</v>
      </c>
      <c r="AZ218" t="n">
        <v>218</v>
      </c>
    </row>
    <row r="219">
      <c r="A219" t="inlineStr">
        <is>
          <t>SUPP-020</t>
        </is>
      </c>
      <c r="B219" t="inlineStr">
        <is>
          <t>Technology and risk</t>
        </is>
      </c>
      <c r="C219" t="inlineStr">
        <is>
          <t>How mature is the organization in managing ERP, MRP, WMS, TMS and supplier portal integration and resilience, including ownership, evidence, metrics, fallback procedures and crisis stress testing?</t>
        </is>
      </c>
      <c r="D219" t="inlineStr">
        <is>
          <t>This topic affects exposure to Supplier/logistics disruption; Manufacturing disruption; Demand shock. It helps identify how disruption may impact operations, people, revenue, systems, legal exposure or recovery time.</t>
        </is>
      </c>
      <c r="E219" t="inlineStr">
        <is>
          <t>ISO 22301; ISO 20400; ISO 28000; SCOR Digital Standard; S&amp;OP/IBP; APICS/ASCM</t>
        </is>
      </c>
      <c r="F219" t="inlineStr">
        <is>
          <t>Policy/SOP; owner/RACI; system report; dashboard; contracts; test records; incident history; interview evidence related to ERP, MRP, WMS, TMS and supplier portal integration and resilience.</t>
        </is>
      </c>
      <c r="G219">
        <f>'Assessment Questions'!J219</f>
        <v/>
      </c>
      <c r="H219">
        <f>IF($Z219="","",IF($Z219="N/A","N/A",VALUE(LEFT($Z219,1))))</f>
        <v/>
      </c>
      <c r="I219">
        <f>IF($H219="","",IF($H219="N/A","",VALUE($H219)/5*$G219))</f>
        <v/>
      </c>
      <c r="J219">
        <f>IF(OR($H219="",$H219="N/A"),"",$G219)</f>
        <v/>
      </c>
      <c r="K219">
        <f>IF(OR($H219="",$H219="N/A"),"",$J219-$I219)</f>
        <v/>
      </c>
      <c r="L219">
        <f>IF($H219="","",IF($H219="N/A","N/A",IF(VALUE($H219)&lt;=1,"Critical",IF(VALUE($H219)&lt;=2,"High",IF(VALUE($H219)&lt;=3,"Medium",IF(VALUE($H219)&lt;=4,"Low","Resilient"))))))</f>
        <v/>
      </c>
      <c r="M219" t="inlineStr">
        <is>
          <t>Does not exist; no owner, no documentation, no practice.</t>
        </is>
      </c>
      <c r="N219" t="inlineStr">
        <is>
          <t>Ad hoc; depends entirely on specific individuals.</t>
        </is>
      </c>
      <c r="O219" t="inlineStr">
        <is>
          <t>Partially documented or implemented; coverage inconsistent; never tested under stress.</t>
        </is>
      </c>
      <c r="P219" t="inlineStr">
        <is>
          <t>Documented, owned, executed consistently; basic evidence and metrics exist.</t>
        </is>
      </c>
      <c r="Q219" t="inlineStr">
        <is>
          <t>Measured and periodically tested/audited; integrated with adjacent processes.</t>
        </is>
      </c>
      <c r="R219" t="inlineStr">
        <is>
          <t>Optimized and automated where practical; stress-tested; benchmarked externally.</t>
        </is>
      </c>
      <c r="S219" t="inlineStr">
        <is>
          <t>Supplier/logistics disruption; Manufacturing disruption; Demand shock</t>
        </is>
      </c>
      <c r="T219">
        <f>'Assessment Questions'!W219</f>
        <v/>
      </c>
      <c r="U219">
        <f>'Assessment Questions'!X219</f>
        <v/>
      </c>
      <c r="V219">
        <f>'Assessment Questions'!Y219</f>
        <v/>
      </c>
      <c r="W219" t="n">
        <v>5</v>
      </c>
      <c r="X219" t="n">
        <v>5</v>
      </c>
      <c r="Y219" t="n">
        <v>5</v>
      </c>
      <c r="Z219">
        <f>'Assessment Questions'!AC219</f>
        <v/>
      </c>
      <c r="AB219">
        <f>COUNTIF($B$200:$B$228,$AA219)</f>
        <v/>
      </c>
      <c r="AC219">
        <f>IFERROR(SUMPRODUCT(($B$200:$B$228=$AA219)*($H$200:$H$228&lt;&gt;"")*($H$200:$H$228&lt;&gt;"N/A")*IFERROR(VALUE($H$200:$H$228),0))/SUMPRODUCT(($B$200:$B$228=$AA219)*($H$200:$H$228&lt;&gt;"")*($H$200:$H$228&lt;&gt;"N/A")),0)</f>
        <v/>
      </c>
      <c r="AD219">
        <f>AC219/5</f>
        <v/>
      </c>
      <c r="AE219">
        <f>COUNTIFS($B$200:$B$228,$AA219,$L$200:$L$228,"Critical")+COUNTIFS($B$200:$B$228,$AA219,$L$200:$L$228,"High")</f>
        <v/>
      </c>
      <c r="AF219">
        <f>5-AC219</f>
        <v/>
      </c>
      <c r="AG219">
        <f>SUMPRODUCT(($B$200:$B$228=$AA219)*(ISNUMBER($H$200:$H$228)+($H$200:$H$228="N/A")))</f>
        <v/>
      </c>
      <c r="AH219">
        <f>'Assessment Questions'!AK219</f>
        <v/>
      </c>
      <c r="AI219">
        <f>'Assessment Questions'!AL219</f>
        <v/>
      </c>
      <c r="AJ219">
        <f>IF(OR($H219="",$H219="N/A"),"",IF($AH219="",VLOOKUP('Company Profile'!$B$40,_CONFIG_Model_Settings!$A$5:$B$8,2,FALSE),_xlfn.IFNA(VLOOKUP($AH219,_CONFIG_Model_Settings!$A$5:$B$8,2,FALSE),0.9)))</f>
        <v/>
      </c>
      <c r="AK219">
        <f>IF(OR($H219="",$H219="N/A"),"",IF($AI219="",VLOOKUP('Company Profile'!$B$41,_CONFIG_Model_Settings!$A$5:$B$8,2,FALSE),_xlfn.IFNA(VLOOKUP($AI219,_CONFIG_Model_Settings!$A$5:$B$8,2,FALSE),0.9)))</f>
        <v/>
      </c>
      <c r="AL219">
        <f>IF(OR($H219="",$H219="N/A"),"",ROUND(VALUE($H219)*$AJ219*$AK219*$AV219,2))</f>
        <v/>
      </c>
      <c r="AM219">
        <f>IF($AL219="","",ROUND($AL219/5*100,1))</f>
        <v/>
      </c>
      <c r="AN219">
        <f>IFERROR(MIN(5,MAX(0,(SUMIFS(_REF_Model_Content!$D$1:$D$157,_REF_Model_Content!$A$1:$A$157,'Company Profile'!$B$9,_REF_Model_Content!$B$1:$B$157,"Supply Chain"))+_xlfn.IFNA(VLOOKUP('Company Profile'!$B$35,_CONFIG_Model_Settings!$A$11:$B$13,2,0),0))),"")</f>
        <v/>
      </c>
      <c r="AO219">
        <f>IF($AL219="","",MAX(0,ROUND($AN219-$AL219,2)))</f>
        <v/>
      </c>
      <c r="AP219">
        <f>IFERROR(SUMIFS(_REF_Model_Content!$E$1:$E$157,_REF_Model_Content!$A$1:$A$157,'Company Profile'!$B$9,_REF_Model_Content!$B$1:$B$157,"Supply Chain"),1)</f>
        <v/>
      </c>
      <c r="AQ219">
        <f>IF($AO219="","",ROUND($AO219*$AP219*($G219/5),2))</f>
        <v/>
      </c>
      <c r="AR219">
        <f>IF($AO219="","",IF($AO219&gt;=2,"Critical industry gap",IF($AO219&gt;=1,"High industry gap",IF($AO219&gt;=0.5,"Moderate industry gap","Within target"))))</f>
        <v/>
      </c>
      <c r="AS219">
        <f>IF(OR($H219="",$H219="N/A"),0,VALUE($H219)*(($AJ219+$AK219)/2)*$AV219)</f>
        <v/>
      </c>
      <c r="AT219">
        <f>IF(OR($H219="",$H219="N/A"),0,($AJ219+$AK219)/2)</f>
        <v/>
      </c>
      <c r="AU219">
        <f>'Assessment Questions'!AX219</f>
        <v/>
      </c>
      <c r="AV219">
        <f>IF(OR($H219="",$H219="N/A"),"",IF(OR($AU219="",$AU219="Everywhere",$AU219="Not applicable"),1,IF($AU219="Pilot / one team",0.4,IF($AU219="One unit or site",0.7,0.9))))</f>
        <v/>
      </c>
      <c r="AW219" t="inlineStr">
        <is>
          <t>Supply Chain</t>
        </is>
      </c>
      <c r="AX219" t="inlineStr">
        <is>
          <t>Supply Chain</t>
        </is>
      </c>
      <c r="AY219" t="n">
        <v>24</v>
      </c>
      <c r="AZ219" t="n">
        <v>219</v>
      </c>
    </row>
    <row r="220">
      <c r="A220" t="inlineStr">
        <is>
          <t>SUPP-021</t>
        </is>
      </c>
      <c r="B220" t="inlineStr">
        <is>
          <t>Technology and risk</t>
        </is>
      </c>
      <c r="C220" t="inlineStr">
        <is>
          <t>How mature is the organization in managing supply chain early warning monitoring for supplier, geopolitical, weather, port, customs and price risks, including ownership, evidence, metrics, fallback procedures and crisis stress testing?</t>
        </is>
      </c>
      <c r="D220" t="inlineStr">
        <is>
          <t>This topic affects exposure to Supplier/logistics disruption; Manufacturing disruption; Demand shock. It helps identify how disruption may impact operations, people, revenue, systems, legal exposure or recovery time.</t>
        </is>
      </c>
      <c r="E220" t="inlineStr">
        <is>
          <t>ISO 22301; ISO 20400; ISO 28000; SCOR Digital Standard; S&amp;OP/IBP; APICS/ASCM</t>
        </is>
      </c>
      <c r="F220" t="inlineStr">
        <is>
          <t>Policy/SOP; owner/RACI; system report; dashboard; contracts; test records; incident history; interview evidence related to supply chain early warning monitoring for supplier, geopolitical, weather, port, customs and price risks.</t>
        </is>
      </c>
      <c r="G220">
        <f>'Assessment Questions'!J220</f>
        <v/>
      </c>
      <c r="H220">
        <f>IF($Z220="","",IF($Z220="N/A","N/A",VALUE(LEFT($Z220,1))))</f>
        <v/>
      </c>
      <c r="I220">
        <f>IF($H220="","",IF($H220="N/A","",VALUE($H220)/5*$G220))</f>
        <v/>
      </c>
      <c r="J220">
        <f>IF(OR($H220="",$H220="N/A"),"",$G220)</f>
        <v/>
      </c>
      <c r="K220">
        <f>IF(OR($H220="",$H220="N/A"),"",$J220-$I220)</f>
        <v/>
      </c>
      <c r="L220">
        <f>IF($H220="","",IF($H220="N/A","N/A",IF(VALUE($H220)&lt;=1,"Critical",IF(VALUE($H220)&lt;=2,"High",IF(VALUE($H220)&lt;=3,"Medium",IF(VALUE($H220)&lt;=4,"Low","Resilient"))))))</f>
        <v/>
      </c>
      <c r="M220" t="inlineStr">
        <is>
          <t>Nothing is monitored or measured.</t>
        </is>
      </c>
      <c r="N220" t="inlineStr">
        <is>
          <t>Occasional manual checks by individuals.</t>
        </is>
      </c>
      <c r="O220" t="inlineStr">
        <is>
          <t>Some metrics exist but are not reviewed regularly and trigger no action.</t>
        </is>
      </c>
      <c r="P220" t="inlineStr">
        <is>
          <t>Defined metrics with an owner, reviewed on a set cadence.</t>
        </is>
      </c>
      <c r="Q220" t="inlineStr">
        <is>
          <t>Thresholds and alerts in place; deviations trigger documented action; trends analyzed.</t>
        </is>
      </c>
      <c r="R220" t="inlineStr">
        <is>
          <t>Automated monitoring with leading indicators, integrated into management decisions.</t>
        </is>
      </c>
      <c r="S220" t="inlineStr">
        <is>
          <t>Supplier/logistics disruption; Manufacturing disruption; Demand shock</t>
        </is>
      </c>
      <c r="T220">
        <f>'Assessment Questions'!W220</f>
        <v/>
      </c>
      <c r="U220">
        <f>'Assessment Questions'!X220</f>
        <v/>
      </c>
      <c r="V220">
        <f>'Assessment Questions'!Y220</f>
        <v/>
      </c>
      <c r="W220" t="n">
        <v>4</v>
      </c>
      <c r="X220" t="n">
        <v>5</v>
      </c>
      <c r="Y220" t="n">
        <v>5</v>
      </c>
      <c r="Z220">
        <f>'Assessment Questions'!AC220</f>
        <v/>
      </c>
      <c r="AB220">
        <f>COUNTIF($B$200:$B$228,$AA220)</f>
        <v/>
      </c>
      <c r="AC220">
        <f>IFERROR(SUMPRODUCT(($B$200:$B$228=$AA220)*($H$200:$H$228&lt;&gt;"")*($H$200:$H$228&lt;&gt;"N/A")*IFERROR(VALUE($H$200:$H$228),0))/SUMPRODUCT(($B$200:$B$228=$AA220)*($H$200:$H$228&lt;&gt;"")*($H$200:$H$228&lt;&gt;"N/A")),0)</f>
        <v/>
      </c>
      <c r="AD220">
        <f>AC220/5</f>
        <v/>
      </c>
      <c r="AE220">
        <f>COUNTIFS($B$200:$B$228,$AA220,$L$200:$L$228,"Critical")+COUNTIFS($B$200:$B$228,$AA220,$L$200:$L$228,"High")</f>
        <v/>
      </c>
      <c r="AF220">
        <f>5-AC220</f>
        <v/>
      </c>
      <c r="AG220">
        <f>SUMPRODUCT(($B$200:$B$228=$AA220)*(ISNUMBER($H$200:$H$228)+($H$200:$H$228="N/A")))</f>
        <v/>
      </c>
      <c r="AH220">
        <f>'Assessment Questions'!AK220</f>
        <v/>
      </c>
      <c r="AI220">
        <f>'Assessment Questions'!AL220</f>
        <v/>
      </c>
      <c r="AJ220">
        <f>IF(OR($H220="",$H220="N/A"),"",IF($AH220="",VLOOKUP('Company Profile'!$B$40,_CONFIG_Model_Settings!$A$5:$B$8,2,FALSE),_xlfn.IFNA(VLOOKUP($AH220,_CONFIG_Model_Settings!$A$5:$B$8,2,FALSE),0.9)))</f>
        <v/>
      </c>
      <c r="AK220">
        <f>IF(OR($H220="",$H220="N/A"),"",IF($AI220="",VLOOKUP('Company Profile'!$B$41,_CONFIG_Model_Settings!$A$5:$B$8,2,FALSE),_xlfn.IFNA(VLOOKUP($AI220,_CONFIG_Model_Settings!$A$5:$B$8,2,FALSE),0.9)))</f>
        <v/>
      </c>
      <c r="AL220">
        <f>IF(OR($H220="",$H220="N/A"),"",ROUND(VALUE($H220)*$AJ220*$AK220*$AV220,2))</f>
        <v/>
      </c>
      <c r="AM220">
        <f>IF($AL220="","",ROUND($AL220/5*100,1))</f>
        <v/>
      </c>
      <c r="AN220">
        <f>IFERROR(MIN(5,MAX(0,(SUMIFS(_REF_Model_Content!$D$1:$D$157,_REF_Model_Content!$A$1:$A$157,'Company Profile'!$B$9,_REF_Model_Content!$B$1:$B$157,"Supply Chain"))+_xlfn.IFNA(VLOOKUP('Company Profile'!$B$35,_CONFIG_Model_Settings!$A$11:$B$13,2,0),0))),"")</f>
        <v/>
      </c>
      <c r="AO220">
        <f>IF($AL220="","",MAX(0,ROUND($AN220-$AL220,2)))</f>
        <v/>
      </c>
      <c r="AP220">
        <f>IFERROR(SUMIFS(_REF_Model_Content!$E$1:$E$157,_REF_Model_Content!$A$1:$A$157,'Company Profile'!$B$9,_REF_Model_Content!$B$1:$B$157,"Supply Chain"),1)</f>
        <v/>
      </c>
      <c r="AQ220">
        <f>IF($AO220="","",ROUND($AO220*$AP220*($G220/5),2))</f>
        <v/>
      </c>
      <c r="AR220">
        <f>IF($AO220="","",IF($AO220&gt;=2,"Critical industry gap",IF($AO220&gt;=1,"High industry gap",IF($AO220&gt;=0.5,"Moderate industry gap","Within target"))))</f>
        <v/>
      </c>
      <c r="AS220">
        <f>IF(OR($H220="",$H220="N/A"),0,VALUE($H220)*(($AJ220+$AK220)/2)*$AV220)</f>
        <v/>
      </c>
      <c r="AT220">
        <f>IF(OR($H220="",$H220="N/A"),0,($AJ220+$AK220)/2)</f>
        <v/>
      </c>
      <c r="AU220">
        <f>'Assessment Questions'!AX220</f>
        <v/>
      </c>
      <c r="AV220">
        <f>IF(OR($H220="",$H220="N/A"),"",IF(OR($AU220="",$AU220="Everywhere",$AU220="Not applicable"),1,IF($AU220="Pilot / one team",0.4,IF($AU220="One unit or site",0.7,0.9))))</f>
        <v/>
      </c>
      <c r="AW220" t="inlineStr">
        <is>
          <t>Supply Chain</t>
        </is>
      </c>
      <c r="AX220" t="inlineStr">
        <is>
          <t>Supply Chain</t>
        </is>
      </c>
      <c r="AY220" t="n">
        <v>25</v>
      </c>
      <c r="AZ220" t="n">
        <v>220</v>
      </c>
    </row>
    <row r="221">
      <c r="A221" t="inlineStr">
        <is>
          <t>SUPP-022</t>
        </is>
      </c>
      <c r="B221" t="inlineStr">
        <is>
          <t>Technology and risk</t>
        </is>
      </c>
      <c r="C221" t="inlineStr">
        <is>
          <t>How mature is the organization in managing supply cost volatility monitoring for freight, energy, commodities and currency, including ownership, evidence, metrics, fallback procedures and crisis stress testing?</t>
        </is>
      </c>
      <c r="D221" t="inlineStr">
        <is>
          <t>This topic affects exposure to Supplier/logistics disruption; Manufacturing disruption; Demand shock. It helps identify how disruption may impact operations, people, revenue, systems, legal exposure or recovery time.</t>
        </is>
      </c>
      <c r="E221" t="inlineStr">
        <is>
          <t>ISO 22301; ISO 20400; ISO 28000; SCOR Digital Standard; S&amp;OP/IBP; APICS/ASCM</t>
        </is>
      </c>
      <c r="F221" t="inlineStr">
        <is>
          <t>Policy/SOP; owner/RACI; system report; dashboard; contracts; test records; incident history; interview evidence related to supply cost volatility monitoring for freight, energy, commodities and currency.</t>
        </is>
      </c>
      <c r="G221">
        <f>'Assessment Questions'!J221</f>
        <v/>
      </c>
      <c r="H221">
        <f>IF($Z221="","",IF($Z221="N/A","N/A",VALUE(LEFT($Z221,1))))</f>
        <v/>
      </c>
      <c r="I221">
        <f>IF($H221="","",IF($H221="N/A","",VALUE($H221)/5*$G221))</f>
        <v/>
      </c>
      <c r="J221">
        <f>IF(OR($H221="",$H221="N/A"),"",$G221)</f>
        <v/>
      </c>
      <c r="K221">
        <f>IF(OR($H221="",$H221="N/A"),"",$J221-$I221)</f>
        <v/>
      </c>
      <c r="L221">
        <f>IF($H221="","",IF($H221="N/A","N/A",IF(VALUE($H221)&lt;=1,"Critical",IF(VALUE($H221)&lt;=2,"High",IF(VALUE($H221)&lt;=3,"Medium",IF(VALUE($H221)&lt;=4,"Low","Resilient"))))))</f>
        <v/>
      </c>
      <c r="M221" t="inlineStr">
        <is>
          <t>No reliable evidence that supply cost volatility monitoring for freight, energy, commodities and currency is defined, owned or managed.</t>
        </is>
      </c>
      <c r="N221" t="inlineStr">
        <is>
          <t>Supply cost volatility monitoring for freight, energy, commodities and currency is handled informally and depends on individual knowledge or heroic effort.</t>
        </is>
      </c>
      <c r="O221" t="inlineStr">
        <is>
          <t>Supply cost volatility monitoring for freight, energy, commodities and currency is partially documented or implemented, but coverage is inconsistent and not crisis-tested.</t>
        </is>
      </c>
      <c r="P221" t="inlineStr">
        <is>
          <t>Supply cost volatility monitoring for freight, energy, commodities and currency is documented, owned, used in normal operations and supported by basic evidence or metrics.</t>
        </is>
      </c>
      <c r="Q221" t="inlineStr">
        <is>
          <t>Supply cost volatility monitoring for freight, energy, commodities and currency is measured, periodically reviewed, integrated with related processes and tested against relevant disruption scenarios.</t>
        </is>
      </c>
      <c r="R221" t="inlineStr">
        <is>
          <t>Supply cost volatility monitoring for freight, energy, commodities and currency is optimized, continuously improved, automated where practical and demonstrably supports crisis resilience.</t>
        </is>
      </c>
      <c r="S221" t="inlineStr">
        <is>
          <t>Supplier/logistics disruption; Manufacturing disruption; Demand shock</t>
        </is>
      </c>
      <c r="T221">
        <f>'Assessment Questions'!W221</f>
        <v/>
      </c>
      <c r="U221">
        <f>'Assessment Questions'!X221</f>
        <v/>
      </c>
      <c r="V221">
        <f>'Assessment Questions'!Y221</f>
        <v/>
      </c>
      <c r="W221" t="n">
        <v>4</v>
      </c>
      <c r="X221" t="n">
        <v>5</v>
      </c>
      <c r="Y221" t="n">
        <v>5</v>
      </c>
      <c r="Z221">
        <f>'Assessment Questions'!AC221</f>
        <v/>
      </c>
      <c r="AB221">
        <f>COUNTIF($B$200:$B$228,$AA221)</f>
        <v/>
      </c>
      <c r="AC221">
        <f>IFERROR(SUMPRODUCT(($B$200:$B$228=$AA221)*($H$200:$H$228&lt;&gt;"")*($H$200:$H$228&lt;&gt;"N/A")*IFERROR(VALUE($H$200:$H$228),0))/SUMPRODUCT(($B$200:$B$228=$AA221)*($H$200:$H$228&lt;&gt;"")*($H$200:$H$228&lt;&gt;"N/A")),0)</f>
        <v/>
      </c>
      <c r="AD221">
        <f>AC221/5</f>
        <v/>
      </c>
      <c r="AE221">
        <f>COUNTIFS($B$200:$B$228,$AA221,$L$200:$L$228,"Critical")+COUNTIFS($B$200:$B$228,$AA221,$L$200:$L$228,"High")</f>
        <v/>
      </c>
      <c r="AF221">
        <f>5-AC221</f>
        <v/>
      </c>
      <c r="AG221">
        <f>SUMPRODUCT(($B$200:$B$228=$AA221)*(ISNUMBER($H$200:$H$228)+($H$200:$H$228="N/A")))</f>
        <v/>
      </c>
      <c r="AH221">
        <f>'Assessment Questions'!AK221</f>
        <v/>
      </c>
      <c r="AI221">
        <f>'Assessment Questions'!AL221</f>
        <v/>
      </c>
      <c r="AJ221">
        <f>IF(OR($H221="",$H221="N/A"),"",IF($AH221="",VLOOKUP('Company Profile'!$B$40,_CONFIG_Model_Settings!$A$5:$B$8,2,FALSE),_xlfn.IFNA(VLOOKUP($AH221,_CONFIG_Model_Settings!$A$5:$B$8,2,FALSE),0.9)))</f>
        <v/>
      </c>
      <c r="AK221">
        <f>IF(OR($H221="",$H221="N/A"),"",IF($AI221="",VLOOKUP('Company Profile'!$B$41,_CONFIG_Model_Settings!$A$5:$B$8,2,FALSE),_xlfn.IFNA(VLOOKUP($AI221,_CONFIG_Model_Settings!$A$5:$B$8,2,FALSE),0.9)))</f>
        <v/>
      </c>
      <c r="AL221">
        <f>IF(OR($H221="",$H221="N/A"),"",ROUND(VALUE($H221)*$AJ221*$AK221*$AV221,2))</f>
        <v/>
      </c>
      <c r="AM221">
        <f>IF($AL221="","",ROUND($AL221/5*100,1))</f>
        <v/>
      </c>
      <c r="AN221">
        <f>IFERROR(MIN(5,MAX(0,(SUMIFS(_REF_Model_Content!$D$1:$D$157,_REF_Model_Content!$A$1:$A$157,'Company Profile'!$B$9,_REF_Model_Content!$B$1:$B$157,"Supply Chain"))+_xlfn.IFNA(VLOOKUP('Company Profile'!$B$35,_CONFIG_Model_Settings!$A$11:$B$13,2,0),0))),"")</f>
        <v/>
      </c>
      <c r="AO221">
        <f>IF($AL221="","",MAX(0,ROUND($AN221-$AL221,2)))</f>
        <v/>
      </c>
      <c r="AP221">
        <f>IFERROR(SUMIFS(_REF_Model_Content!$E$1:$E$157,_REF_Model_Content!$A$1:$A$157,'Company Profile'!$B$9,_REF_Model_Content!$B$1:$B$157,"Supply Chain"),1)</f>
        <v/>
      </c>
      <c r="AQ221">
        <f>IF($AO221="","",ROUND($AO221*$AP221*($G221/5),2))</f>
        <v/>
      </c>
      <c r="AR221">
        <f>IF($AO221="","",IF($AO221&gt;=2,"Critical industry gap",IF($AO221&gt;=1,"High industry gap",IF($AO221&gt;=0.5,"Moderate industry gap","Within target"))))</f>
        <v/>
      </c>
      <c r="AS221">
        <f>IF(OR($H221="",$H221="N/A"),0,VALUE($H221)*(($AJ221+$AK221)/2)*$AV221)</f>
        <v/>
      </c>
      <c r="AT221">
        <f>IF(OR($H221="",$H221="N/A"),0,($AJ221+$AK221)/2)</f>
        <v/>
      </c>
      <c r="AU221">
        <f>'Assessment Questions'!AX221</f>
        <v/>
      </c>
      <c r="AV221">
        <f>IF(OR($H221="",$H221="N/A"),"",IF(OR($AU221="",$AU221="Everywhere",$AU221="Not applicable"),1,IF($AU221="Pilot / one team",0.4,IF($AU221="One unit or site",0.7,0.9))))</f>
        <v/>
      </c>
      <c r="AW221" t="inlineStr">
        <is>
          <t>Supply Chain</t>
        </is>
      </c>
      <c r="AX221" t="inlineStr">
        <is>
          <t>Supply Chain</t>
        </is>
      </c>
      <c r="AY221" t="n">
        <v>26</v>
      </c>
      <c r="AZ221" t="n">
        <v>221</v>
      </c>
    </row>
    <row r="222">
      <c r="A222" t="inlineStr">
        <is>
          <t>SUPP-023</t>
        </is>
      </c>
      <c r="B222" t="inlineStr">
        <is>
          <t>Technology and risk</t>
        </is>
      </c>
      <c r="C222" t="inlineStr">
        <is>
          <t>How mature is the organization in managing allocation rules when supply is insufficient to serve all customers, including ownership, evidence, metrics, fallback procedures and crisis stress testing?</t>
        </is>
      </c>
      <c r="D222" t="inlineStr">
        <is>
          <t>This topic affects exposure to Supplier/logistics disruption; Manufacturing disruption; Demand shock. It helps identify how disruption may impact operations, people, revenue, systems, legal exposure or recovery time.</t>
        </is>
      </c>
      <c r="E222" t="inlineStr">
        <is>
          <t>ISO 22301; ISO 20400; ISO 28000; SCOR Digital Standard; S&amp;OP/IBP; APICS/ASCM</t>
        </is>
      </c>
      <c r="F222" t="inlineStr">
        <is>
          <t>Policy/SOP; owner/RACI; system report; dashboard; contracts; test records; incident history; interview evidence related to allocation rules when supply is insufficient to serve all customers.</t>
        </is>
      </c>
      <c r="G222">
        <f>'Assessment Questions'!J222</f>
        <v/>
      </c>
      <c r="H222">
        <f>IF($Z222="","",IF($Z222="N/A","N/A",VALUE(LEFT($Z222,1))))</f>
        <v/>
      </c>
      <c r="I222">
        <f>IF($H222="","",IF($H222="N/A","",VALUE($H222)/5*$G222))</f>
        <v/>
      </c>
      <c r="J222">
        <f>IF(OR($H222="",$H222="N/A"),"",$G222)</f>
        <v/>
      </c>
      <c r="K222">
        <f>IF(OR($H222="",$H222="N/A"),"",$J222-$I222)</f>
        <v/>
      </c>
      <c r="L222">
        <f>IF($H222="","",IF($H222="N/A","N/A",IF(VALUE($H222)&lt;=1,"Critical",IF(VALUE($H222)&lt;=2,"High",IF(VALUE($H222)&lt;=3,"Medium",IF(VALUE($H222)&lt;=4,"Low","Resilient"))))))</f>
        <v/>
      </c>
      <c r="M222" t="inlineStr">
        <is>
          <t>No reliable evidence that allocation rules when supply is insufficient to serve all customers is defined, owned or managed.</t>
        </is>
      </c>
      <c r="N222" t="inlineStr">
        <is>
          <t>Allocation rules when supply is insufficient to serve all customers is handled informally and depends on individual knowledge or heroic effort.</t>
        </is>
      </c>
      <c r="O222" t="inlineStr">
        <is>
          <t>Allocation rules when supply is insufficient to serve all customers is partially documented or implemented, but coverage is inconsistent and not crisis-tested.</t>
        </is>
      </c>
      <c r="P222" t="inlineStr">
        <is>
          <t>Allocation rules when supply is insufficient to serve all customers is documented, owned, used in normal operations and supported by basic evidence or metrics.</t>
        </is>
      </c>
      <c r="Q222" t="inlineStr">
        <is>
          <t>Allocation rules when supply is insufficient to serve all customers is measured, periodically reviewed, integrated with related processes and tested against relevant disruption scenarios.</t>
        </is>
      </c>
      <c r="R222" t="inlineStr">
        <is>
          <t>Allocation rules when supply is insufficient to serve all customers is optimized, continuously improved, automated where practical and demonstrably supports crisis resilience.</t>
        </is>
      </c>
      <c r="S222" t="inlineStr">
        <is>
          <t>Supplier/logistics disruption; Manufacturing disruption; Demand shock</t>
        </is>
      </c>
      <c r="T222">
        <f>'Assessment Questions'!W222</f>
        <v/>
      </c>
      <c r="U222">
        <f>'Assessment Questions'!X222</f>
        <v/>
      </c>
      <c r="V222">
        <f>'Assessment Questions'!Y222</f>
        <v/>
      </c>
      <c r="W222" t="n">
        <v>4</v>
      </c>
      <c r="X222" t="n">
        <v>5</v>
      </c>
      <c r="Y222" t="n">
        <v>5</v>
      </c>
      <c r="Z222">
        <f>'Assessment Questions'!AC222</f>
        <v/>
      </c>
      <c r="AB222">
        <f>COUNTIF($B$200:$B$228,$AA222)</f>
        <v/>
      </c>
      <c r="AC222">
        <f>IFERROR(SUMPRODUCT(($B$200:$B$228=$AA222)*($H$200:$H$228&lt;&gt;"")*($H$200:$H$228&lt;&gt;"N/A")*IFERROR(VALUE($H$200:$H$228),0))/SUMPRODUCT(($B$200:$B$228=$AA222)*($H$200:$H$228&lt;&gt;"")*($H$200:$H$228&lt;&gt;"N/A")),0)</f>
        <v/>
      </c>
      <c r="AD222">
        <f>AC222/5</f>
        <v/>
      </c>
      <c r="AE222">
        <f>COUNTIFS($B$200:$B$228,$AA222,$L$200:$L$228,"Critical")+COUNTIFS($B$200:$B$228,$AA222,$L$200:$L$228,"High")</f>
        <v/>
      </c>
      <c r="AF222">
        <f>5-AC222</f>
        <v/>
      </c>
      <c r="AG222">
        <f>SUMPRODUCT(($B$200:$B$228=$AA222)*(ISNUMBER($H$200:$H$228)+($H$200:$H$228="N/A")))</f>
        <v/>
      </c>
      <c r="AH222">
        <f>'Assessment Questions'!AK222</f>
        <v/>
      </c>
      <c r="AI222">
        <f>'Assessment Questions'!AL222</f>
        <v/>
      </c>
      <c r="AJ222">
        <f>IF(OR($H222="",$H222="N/A"),"",IF($AH222="",VLOOKUP('Company Profile'!$B$40,_CONFIG_Model_Settings!$A$5:$B$8,2,FALSE),_xlfn.IFNA(VLOOKUP($AH222,_CONFIG_Model_Settings!$A$5:$B$8,2,FALSE),0.9)))</f>
        <v/>
      </c>
      <c r="AK222">
        <f>IF(OR($H222="",$H222="N/A"),"",IF($AI222="",VLOOKUP('Company Profile'!$B$41,_CONFIG_Model_Settings!$A$5:$B$8,2,FALSE),_xlfn.IFNA(VLOOKUP($AI222,_CONFIG_Model_Settings!$A$5:$B$8,2,FALSE),0.9)))</f>
        <v/>
      </c>
      <c r="AL222">
        <f>IF(OR($H222="",$H222="N/A"),"",ROUND(VALUE($H222)*$AJ222*$AK222*$AV222,2))</f>
        <v/>
      </c>
      <c r="AM222">
        <f>IF($AL222="","",ROUND($AL222/5*100,1))</f>
        <v/>
      </c>
      <c r="AN222">
        <f>IFERROR(MIN(5,MAX(0,(SUMIFS(_REF_Model_Content!$D$1:$D$157,_REF_Model_Content!$A$1:$A$157,'Company Profile'!$B$9,_REF_Model_Content!$B$1:$B$157,"Supply Chain"))+_xlfn.IFNA(VLOOKUP('Company Profile'!$B$35,_CONFIG_Model_Settings!$A$11:$B$13,2,0),0))),"")</f>
        <v/>
      </c>
      <c r="AO222">
        <f>IF($AL222="","",MAX(0,ROUND($AN222-$AL222,2)))</f>
        <v/>
      </c>
      <c r="AP222">
        <f>IFERROR(SUMIFS(_REF_Model_Content!$E$1:$E$157,_REF_Model_Content!$A$1:$A$157,'Company Profile'!$B$9,_REF_Model_Content!$B$1:$B$157,"Supply Chain"),1)</f>
        <v/>
      </c>
      <c r="AQ222">
        <f>IF($AO222="","",ROUND($AO222*$AP222*($G222/5),2))</f>
        <v/>
      </c>
      <c r="AR222">
        <f>IF($AO222="","",IF($AO222&gt;=2,"Critical industry gap",IF($AO222&gt;=1,"High industry gap",IF($AO222&gt;=0.5,"Moderate industry gap","Within target"))))</f>
        <v/>
      </c>
      <c r="AS222">
        <f>IF(OR($H222="",$H222="N/A"),0,VALUE($H222)*(($AJ222+$AK222)/2)*$AV222)</f>
        <v/>
      </c>
      <c r="AT222">
        <f>IF(OR($H222="",$H222="N/A"),0,($AJ222+$AK222)/2)</f>
        <v/>
      </c>
      <c r="AU222">
        <f>'Assessment Questions'!AX222</f>
        <v/>
      </c>
      <c r="AV222">
        <f>IF(OR($H222="",$H222="N/A"),"",IF(OR($AU222="",$AU222="Everywhere",$AU222="Not applicable"),1,IF($AU222="Pilot / one team",0.4,IF($AU222="One unit or site",0.7,0.9))))</f>
        <v/>
      </c>
      <c r="AW222" t="inlineStr">
        <is>
          <t>Supply Chain</t>
        </is>
      </c>
      <c r="AX222" t="inlineStr">
        <is>
          <t>Supply Chain</t>
        </is>
      </c>
      <c r="AY222" t="n">
        <v>27</v>
      </c>
      <c r="AZ222" t="n">
        <v>222</v>
      </c>
    </row>
    <row r="223">
      <c r="A223" t="inlineStr">
        <is>
          <t>SUPP-024</t>
        </is>
      </c>
      <c r="B223" t="inlineStr">
        <is>
          <t>Technology and risk</t>
        </is>
      </c>
      <c r="C223" t="inlineStr">
        <is>
          <t>How mature is the organization in managing SKU, supplier, BOM, lead-time and replenishment master data quality, including ownership, evidence, metrics, fallback procedures and crisis stress testing?</t>
        </is>
      </c>
      <c r="D223" t="inlineStr">
        <is>
          <t>This topic affects exposure to Supplier/logistics disruption; Manufacturing disruption; Demand shock. It helps identify how disruption may impact operations, people, revenue, systems, legal exposure or recovery time.</t>
        </is>
      </c>
      <c r="E223" t="inlineStr">
        <is>
          <t>ISO 22301; ISO 20400; ISO 28000; SCOR Digital Standard; S&amp;OP/IBP; APICS/ASCM</t>
        </is>
      </c>
      <c r="F223" t="inlineStr">
        <is>
          <t>Policy/SOP; owner/RACI; system report; dashboard; contracts; test records; incident history; interview evidence related to SKU, supplier, BOM, lead-time and replenishment master data quality.</t>
        </is>
      </c>
      <c r="G223">
        <f>'Assessment Questions'!J223</f>
        <v/>
      </c>
      <c r="H223">
        <f>IF($Z223="","",IF($Z223="N/A","N/A",VALUE(LEFT($Z223,1))))</f>
        <v/>
      </c>
      <c r="I223">
        <f>IF($H223="","",IF($H223="N/A","",VALUE($H223)/5*$G223))</f>
        <v/>
      </c>
      <c r="J223">
        <f>IF(OR($H223="",$H223="N/A"),"",$G223)</f>
        <v/>
      </c>
      <c r="K223">
        <f>IF(OR($H223="",$H223="N/A"),"",$J223-$I223)</f>
        <v/>
      </c>
      <c r="L223">
        <f>IF($H223="","",IF($H223="N/A","N/A",IF(VALUE($H223)&lt;=1,"Critical",IF(VALUE($H223)&lt;=2,"High",IF(VALUE($H223)&lt;=3,"Medium",IF(VALUE($H223)&lt;=4,"Low","Resilient"))))))</f>
        <v/>
      </c>
      <c r="M223" t="inlineStr">
        <is>
          <t>Does not exist; no owner, no documentation, no practice.</t>
        </is>
      </c>
      <c r="N223" t="inlineStr">
        <is>
          <t>Ad hoc; depends entirely on specific individuals.</t>
        </is>
      </c>
      <c r="O223" t="inlineStr">
        <is>
          <t>Partially documented or implemented; coverage inconsistent; never tested under stress.</t>
        </is>
      </c>
      <c r="P223" t="inlineStr">
        <is>
          <t>Documented, owned, executed consistently; basic evidence and metrics exist.</t>
        </is>
      </c>
      <c r="Q223" t="inlineStr">
        <is>
          <t>Measured and periodically tested/audited; integrated with adjacent processes.</t>
        </is>
      </c>
      <c r="R223" t="inlineStr">
        <is>
          <t>Optimized and automated where practical; stress-tested; benchmarked externally.</t>
        </is>
      </c>
      <c r="S223" t="inlineStr">
        <is>
          <t>Supplier/logistics disruption; Manufacturing disruption; Demand shock</t>
        </is>
      </c>
      <c r="T223">
        <f>'Assessment Questions'!W223</f>
        <v/>
      </c>
      <c r="U223">
        <f>'Assessment Questions'!X223</f>
        <v/>
      </c>
      <c r="V223">
        <f>'Assessment Questions'!Y223</f>
        <v/>
      </c>
      <c r="W223" t="n">
        <v>5</v>
      </c>
      <c r="X223" t="n">
        <v>5</v>
      </c>
      <c r="Y223" t="n">
        <v>5</v>
      </c>
      <c r="Z223">
        <f>'Assessment Questions'!AC223</f>
        <v/>
      </c>
      <c r="AB223">
        <f>COUNTIF($B$200:$B$228,$AA223)</f>
        <v/>
      </c>
      <c r="AC223">
        <f>IFERROR(SUMPRODUCT(($B$200:$B$228=$AA223)*($H$200:$H$228&lt;&gt;"")*($H$200:$H$228&lt;&gt;"N/A")*IFERROR(VALUE($H$200:$H$228),0))/SUMPRODUCT(($B$200:$B$228=$AA223)*($H$200:$H$228&lt;&gt;"")*($H$200:$H$228&lt;&gt;"N/A")),0)</f>
        <v/>
      </c>
      <c r="AD223">
        <f>AC223/5</f>
        <v/>
      </c>
      <c r="AE223">
        <f>COUNTIFS($B$200:$B$228,$AA223,$L$200:$L$228,"Critical")+COUNTIFS($B$200:$B$228,$AA223,$L$200:$L$228,"High")</f>
        <v/>
      </c>
      <c r="AF223">
        <f>5-AC223</f>
        <v/>
      </c>
      <c r="AG223">
        <f>SUMPRODUCT(($B$200:$B$228=$AA223)*(ISNUMBER($H$200:$H$228)+($H$200:$H$228="N/A")))</f>
        <v/>
      </c>
      <c r="AH223">
        <f>'Assessment Questions'!AK223</f>
        <v/>
      </c>
      <c r="AI223">
        <f>'Assessment Questions'!AL223</f>
        <v/>
      </c>
      <c r="AJ223">
        <f>IF(OR($H223="",$H223="N/A"),"",IF($AH223="",VLOOKUP('Company Profile'!$B$40,_CONFIG_Model_Settings!$A$5:$B$8,2,FALSE),_xlfn.IFNA(VLOOKUP($AH223,_CONFIG_Model_Settings!$A$5:$B$8,2,FALSE),0.9)))</f>
        <v/>
      </c>
      <c r="AK223">
        <f>IF(OR($H223="",$H223="N/A"),"",IF($AI223="",VLOOKUP('Company Profile'!$B$41,_CONFIG_Model_Settings!$A$5:$B$8,2,FALSE),_xlfn.IFNA(VLOOKUP($AI223,_CONFIG_Model_Settings!$A$5:$B$8,2,FALSE),0.9)))</f>
        <v/>
      </c>
      <c r="AL223">
        <f>IF(OR($H223="",$H223="N/A"),"",ROUND(VALUE($H223)*$AJ223*$AK223*$AV223,2))</f>
        <v/>
      </c>
      <c r="AM223">
        <f>IF($AL223="","",ROUND($AL223/5*100,1))</f>
        <v/>
      </c>
      <c r="AN223">
        <f>IFERROR(MIN(5,MAX(0,(SUMIFS(_REF_Model_Content!$D$1:$D$157,_REF_Model_Content!$A$1:$A$157,'Company Profile'!$B$9,_REF_Model_Content!$B$1:$B$157,"Supply Chain"))+_xlfn.IFNA(VLOOKUP('Company Profile'!$B$35,_CONFIG_Model_Settings!$A$11:$B$13,2,0),0))),"")</f>
        <v/>
      </c>
      <c r="AO223">
        <f>IF($AL223="","",MAX(0,ROUND($AN223-$AL223,2)))</f>
        <v/>
      </c>
      <c r="AP223">
        <f>IFERROR(SUMIFS(_REF_Model_Content!$E$1:$E$157,_REF_Model_Content!$A$1:$A$157,'Company Profile'!$B$9,_REF_Model_Content!$B$1:$B$157,"Supply Chain"),1)</f>
        <v/>
      </c>
      <c r="AQ223">
        <f>IF($AO223="","",ROUND($AO223*$AP223*($G223/5),2))</f>
        <v/>
      </c>
      <c r="AR223">
        <f>IF($AO223="","",IF($AO223&gt;=2,"Critical industry gap",IF($AO223&gt;=1,"High industry gap",IF($AO223&gt;=0.5,"Moderate industry gap","Within target"))))</f>
        <v/>
      </c>
      <c r="AS223">
        <f>IF(OR($H223="",$H223="N/A"),0,VALUE($H223)*(($AJ223+$AK223)/2)*$AV223)</f>
        <v/>
      </c>
      <c r="AT223">
        <f>IF(OR($H223="",$H223="N/A"),0,($AJ223+$AK223)/2)</f>
        <v/>
      </c>
      <c r="AU223">
        <f>'Assessment Questions'!AX223</f>
        <v/>
      </c>
      <c r="AV223">
        <f>IF(OR($H223="",$H223="N/A"),"",IF(OR($AU223="",$AU223="Everywhere",$AU223="Not applicable"),1,IF($AU223="Pilot / one team",0.4,IF($AU223="One unit or site",0.7,0.9))))</f>
        <v/>
      </c>
      <c r="AW223" t="inlineStr">
        <is>
          <t>Supply Chain</t>
        </is>
      </c>
      <c r="AX223" t="inlineStr">
        <is>
          <t>Supply Chain</t>
        </is>
      </c>
      <c r="AY223" t="n">
        <v>28</v>
      </c>
      <c r="AZ223" t="n">
        <v>223</v>
      </c>
    </row>
    <row r="224">
      <c r="A224" t="inlineStr">
        <is>
          <t>SUPP-025</t>
        </is>
      </c>
      <c r="B224" t="inlineStr">
        <is>
          <t>Technology and risk</t>
        </is>
      </c>
      <c r="C224" t="inlineStr">
        <is>
          <t>How mature is the organization in managing approved substitution rules for materials, components and suppliers, including ownership, evidence, metrics, fallback procedures and crisis stress testing?</t>
        </is>
      </c>
      <c r="D224" t="inlineStr">
        <is>
          <t>This topic affects exposure to Supplier/logistics disruption; Manufacturing disruption; Demand shock. It helps identify how disruption may impact operations, people, revenue, systems, legal exposure or recovery time.</t>
        </is>
      </c>
      <c r="E224" t="inlineStr">
        <is>
          <t>ISO 22301; ISO 20400; ISO 28000; SCOR Digital Standard; S&amp;OP/IBP; APICS/ASCM</t>
        </is>
      </c>
      <c r="F224" t="inlineStr">
        <is>
          <t>Policy/SOP; owner/RACI; system report; dashboard; contracts; test records; incident history; interview evidence related to approved substitution rules for materials, components and suppliers.</t>
        </is>
      </c>
      <c r="G224">
        <f>'Assessment Questions'!J224</f>
        <v/>
      </c>
      <c r="H224">
        <f>IF($Z224="","",IF($Z224="N/A","N/A",VALUE(LEFT($Z224,1))))</f>
        <v/>
      </c>
      <c r="I224">
        <f>IF($H224="","",IF($H224="N/A","",VALUE($H224)/5*$G224))</f>
        <v/>
      </c>
      <c r="J224">
        <f>IF(OR($H224="",$H224="N/A"),"",$G224)</f>
        <v/>
      </c>
      <c r="K224">
        <f>IF(OR($H224="",$H224="N/A"),"",$J224-$I224)</f>
        <v/>
      </c>
      <c r="L224">
        <f>IF($H224="","",IF($H224="N/A","N/A",IF(VALUE($H224)&lt;=1,"Critical",IF(VALUE($H224)&lt;=2,"High",IF(VALUE($H224)&lt;=3,"Medium",IF(VALUE($H224)&lt;=4,"Low","Resilient"))))))</f>
        <v/>
      </c>
      <c r="M224" t="inlineStr">
        <is>
          <t>Does not exist; no owner, no documentation, no practice.</t>
        </is>
      </c>
      <c r="N224" t="inlineStr">
        <is>
          <t>Ad hoc; depends entirely on specific individuals.</t>
        </is>
      </c>
      <c r="O224" t="inlineStr">
        <is>
          <t>Partially documented or implemented; coverage inconsistent; never tested under stress.</t>
        </is>
      </c>
      <c r="P224" t="inlineStr">
        <is>
          <t>Documented, owned, executed consistently; basic evidence and metrics exist.</t>
        </is>
      </c>
      <c r="Q224" t="inlineStr">
        <is>
          <t>Measured and periodically tested/audited; integrated with adjacent processes.</t>
        </is>
      </c>
      <c r="R224" t="inlineStr">
        <is>
          <t>Optimized and automated where practical; stress-tested; benchmarked externally.</t>
        </is>
      </c>
      <c r="S224" t="inlineStr">
        <is>
          <t>Supplier/logistics disruption; Manufacturing disruption; Demand shock</t>
        </is>
      </c>
      <c r="T224">
        <f>'Assessment Questions'!W224</f>
        <v/>
      </c>
      <c r="U224">
        <f>'Assessment Questions'!X224</f>
        <v/>
      </c>
      <c r="V224">
        <f>'Assessment Questions'!Y224</f>
        <v/>
      </c>
      <c r="W224" t="n">
        <v>4</v>
      </c>
      <c r="X224" t="n">
        <v>5</v>
      </c>
      <c r="Y224" t="n">
        <v>5</v>
      </c>
      <c r="Z224">
        <f>'Assessment Questions'!AC224</f>
        <v/>
      </c>
      <c r="AB224">
        <f>COUNTIF($B$200:$B$228,$AA224)</f>
        <v/>
      </c>
      <c r="AC224">
        <f>IFERROR(SUMPRODUCT(($B$200:$B$228=$AA224)*($H$200:$H$228&lt;&gt;"")*($H$200:$H$228&lt;&gt;"N/A")*IFERROR(VALUE($H$200:$H$228),0))/SUMPRODUCT(($B$200:$B$228=$AA224)*($H$200:$H$228&lt;&gt;"")*($H$200:$H$228&lt;&gt;"N/A")),0)</f>
        <v/>
      </c>
      <c r="AD224">
        <f>AC224/5</f>
        <v/>
      </c>
      <c r="AE224">
        <f>COUNTIFS($B$200:$B$228,$AA224,$L$200:$L$228,"Critical")+COUNTIFS($B$200:$B$228,$AA224,$L$200:$L$228,"High")</f>
        <v/>
      </c>
      <c r="AF224">
        <f>5-AC224</f>
        <v/>
      </c>
      <c r="AG224">
        <f>SUMPRODUCT(($B$200:$B$228=$AA224)*(ISNUMBER($H$200:$H$228)+($H$200:$H$228="N/A")))</f>
        <v/>
      </c>
      <c r="AH224">
        <f>'Assessment Questions'!AK224</f>
        <v/>
      </c>
      <c r="AI224">
        <f>'Assessment Questions'!AL224</f>
        <v/>
      </c>
      <c r="AJ224">
        <f>IF(OR($H224="",$H224="N/A"),"",IF($AH224="",VLOOKUP('Company Profile'!$B$40,_CONFIG_Model_Settings!$A$5:$B$8,2,FALSE),_xlfn.IFNA(VLOOKUP($AH224,_CONFIG_Model_Settings!$A$5:$B$8,2,FALSE),0.9)))</f>
        <v/>
      </c>
      <c r="AK224">
        <f>IF(OR($H224="",$H224="N/A"),"",IF($AI224="",VLOOKUP('Company Profile'!$B$41,_CONFIG_Model_Settings!$A$5:$B$8,2,FALSE),_xlfn.IFNA(VLOOKUP($AI224,_CONFIG_Model_Settings!$A$5:$B$8,2,FALSE),0.9)))</f>
        <v/>
      </c>
      <c r="AL224">
        <f>IF(OR($H224="",$H224="N/A"),"",ROUND(VALUE($H224)*$AJ224*$AK224*$AV224,2))</f>
        <v/>
      </c>
      <c r="AM224">
        <f>IF($AL224="","",ROUND($AL224/5*100,1))</f>
        <v/>
      </c>
      <c r="AN224">
        <f>IFERROR(MIN(5,MAX(0,(SUMIFS(_REF_Model_Content!$D$1:$D$157,_REF_Model_Content!$A$1:$A$157,'Company Profile'!$B$9,_REF_Model_Content!$B$1:$B$157,"Supply Chain"))+_xlfn.IFNA(VLOOKUP('Company Profile'!$B$35,_CONFIG_Model_Settings!$A$11:$B$13,2,0),0))),"")</f>
        <v/>
      </c>
      <c r="AO224">
        <f>IF($AL224="","",MAX(0,ROUND($AN224-$AL224,2)))</f>
        <v/>
      </c>
      <c r="AP224">
        <f>IFERROR(SUMIFS(_REF_Model_Content!$E$1:$E$157,_REF_Model_Content!$A$1:$A$157,'Company Profile'!$B$9,_REF_Model_Content!$B$1:$B$157,"Supply Chain"),1)</f>
        <v/>
      </c>
      <c r="AQ224">
        <f>IF($AO224="","",ROUND($AO224*$AP224*($G224/5),2))</f>
        <v/>
      </c>
      <c r="AR224">
        <f>IF($AO224="","",IF($AO224&gt;=2,"Critical industry gap",IF($AO224&gt;=1,"High industry gap",IF($AO224&gt;=0.5,"Moderate industry gap","Within target"))))</f>
        <v/>
      </c>
      <c r="AS224">
        <f>IF(OR($H224="",$H224="N/A"),0,VALUE($H224)*(($AJ224+$AK224)/2)*$AV224)</f>
        <v/>
      </c>
      <c r="AT224">
        <f>IF(OR($H224="",$H224="N/A"),0,($AJ224+$AK224)/2)</f>
        <v/>
      </c>
      <c r="AU224">
        <f>'Assessment Questions'!AX224</f>
        <v/>
      </c>
      <c r="AV224">
        <f>IF(OR($H224="",$H224="N/A"),"",IF(OR($AU224="",$AU224="Everywhere",$AU224="Not applicable"),1,IF($AU224="Pilot / one team",0.4,IF($AU224="One unit or site",0.7,0.9))))</f>
        <v/>
      </c>
      <c r="AW224" t="inlineStr">
        <is>
          <t>Supply Chain</t>
        </is>
      </c>
      <c r="AX224" t="inlineStr">
        <is>
          <t>Supply Chain</t>
        </is>
      </c>
      <c r="AY224" t="n">
        <v>29</v>
      </c>
      <c r="AZ224" t="n">
        <v>224</v>
      </c>
    </row>
    <row r="225">
      <c r="A225" t="inlineStr">
        <is>
          <t>SUPP-026</t>
        </is>
      </c>
      <c r="B225" t="inlineStr">
        <is>
          <t>Orchestration and resilience</t>
        </is>
      </c>
      <c r="C225" t="inlineStr">
        <is>
          <t>How mature is the organization in managing supply chain strategy aligned with business strategy and reviewed against scenarios and market shifts, including ownership, evidence, metrics, fallback procedures and crisis stress testing?</t>
        </is>
      </c>
      <c r="D225" t="inlineStr">
        <is>
          <t>This topic affects exposure to Supplier/logistics disruption; Demand shock; Geopolitical risk. It helps identify how disruption may impact operations, people, revenue, systems, legal exposure or recovery time.</t>
        </is>
      </c>
      <c r="E225" t="inlineStr">
        <is>
          <t>SCOR DS OE1; APQC PCF 4.0</t>
        </is>
      </c>
      <c r="F225" t="inlineStr">
        <is>
          <t>Policy/SOP; owner/RACI; system report; dashboard; contracts; test records; incident history; interview evidence related to end-to-end supply chain map from raw materials and suppliers to production, logistics, delivery and customers.</t>
        </is>
      </c>
      <c r="G225">
        <f>'Assessment Questions'!J225</f>
        <v/>
      </c>
      <c r="H225">
        <f>IF($Z225="","",IF($Z225="N/A","N/A",VALUE(LEFT($Z225,1))))</f>
        <v/>
      </c>
      <c r="I225">
        <f>IF($H225="","",IF($H225="N/A","",VALUE($H225)/5*$G225))</f>
        <v/>
      </c>
      <c r="J225">
        <f>IF(OR($H225="",$H225="N/A"),"",$G225)</f>
        <v/>
      </c>
      <c r="K225">
        <f>IF(OR($H225="",$H225="N/A"),"",$J225-$I225)</f>
        <v/>
      </c>
      <c r="L225">
        <f>IF($H225="","",IF($H225="N/A","N/A",IF(VALUE($H225)&lt;=1,"Critical",IF(VALUE($H225)&lt;=2,"High",IF(VALUE($H225)&lt;=3,"Medium",IF(VALUE($H225)&lt;=4,"Low","Resilient"))))))</f>
        <v/>
      </c>
      <c r="M225" t="inlineStr">
        <is>
          <t>No reliable evidence that supply chain strategy aligned with business strategy and reviewed against scenarios and market shifts is defined, owned or managed.</t>
        </is>
      </c>
      <c r="N225" t="inlineStr">
        <is>
          <t>Supply chain strategy aligned with business strategy and reviewed against scenarios and market shifts is handled informally and depends on individual knowledge or heroic effort.</t>
        </is>
      </c>
      <c r="O225" t="inlineStr">
        <is>
          <t>Supply chain strategy aligned with business strategy and reviewed against scenarios and market shifts is partially documented or implemented, but coverage is inconsistent and not crisis-tested.</t>
        </is>
      </c>
      <c r="P225" t="inlineStr">
        <is>
          <t>Supply chain strategy aligned with business strategy and reviewed against scenarios and market shifts is documented, owned, used in normal operations and supported by basic evidence or metrics.</t>
        </is>
      </c>
      <c r="Q225" t="inlineStr">
        <is>
          <t>Supply chain strategy aligned with business strategy and reviewed against scenarios and market shifts is measured, periodically reviewed, integrated with related processes and tested against relevant disruption scenarios.</t>
        </is>
      </c>
      <c r="R225" t="inlineStr">
        <is>
          <t>Supply chain strategy aligned with business strategy and reviewed against scenarios and market shifts is optimized, continuously improved, automated where practical and demonstrably supports crisis resilience.</t>
        </is>
      </c>
      <c r="S225" t="inlineStr">
        <is>
          <t>Supplier/logistics disruption; Demand shock; Geopolitical risk</t>
        </is>
      </c>
      <c r="T225">
        <f>'Assessment Questions'!W225</f>
        <v/>
      </c>
      <c r="U225">
        <f>'Assessment Questions'!X225</f>
        <v/>
      </c>
      <c r="V225">
        <f>'Assessment Questions'!Y225</f>
        <v/>
      </c>
      <c r="W225" t="n">
        <v>3</v>
      </c>
      <c r="X225" t="n">
        <v>4</v>
      </c>
      <c r="Y225" t="n">
        <v>5</v>
      </c>
      <c r="Z225">
        <f>'Assessment Questions'!AC225</f>
        <v/>
      </c>
      <c r="AB225">
        <f>COUNTIF($B$200:$B$228,$AA225)</f>
        <v/>
      </c>
      <c r="AC225">
        <f>IFERROR(SUMPRODUCT(($B$200:$B$228=$AA225)*($H$200:$H$228&lt;&gt;"")*($H$200:$H$228&lt;&gt;"N/A")*IFERROR(VALUE($H$200:$H$228),0))/SUMPRODUCT(($B$200:$B$228=$AA225)*($H$200:$H$228&lt;&gt;"")*($H$200:$H$228&lt;&gt;"N/A")),0)</f>
        <v/>
      </c>
      <c r="AD225">
        <f>AC225/5</f>
        <v/>
      </c>
      <c r="AE225">
        <f>COUNTIFS($B$200:$B$228,$AA225,$L$200:$L$228,"Critical")+COUNTIFS($B$200:$B$228,$AA225,$L$200:$L$228,"High")</f>
        <v/>
      </c>
      <c r="AF225">
        <f>5-AC225</f>
        <v/>
      </c>
      <c r="AG225">
        <f>SUMPRODUCT(($B$200:$B$228=$AA225)*(ISNUMBER($H$200:$H$228)+($H$200:$H$228="N/A")))</f>
        <v/>
      </c>
      <c r="AH225">
        <f>'Assessment Questions'!AK225</f>
        <v/>
      </c>
      <c r="AI225">
        <f>'Assessment Questions'!AL225</f>
        <v/>
      </c>
      <c r="AJ225">
        <f>IF(OR($H225="",$H225="N/A"),"",IF($AH225="",VLOOKUP('Company Profile'!$B$40,_CONFIG_Model_Settings!$A$5:$B$8,2,FALSE),_xlfn.IFNA(VLOOKUP($AH225,_CONFIG_Model_Settings!$A$5:$B$8,2,FALSE),0.9)))</f>
        <v/>
      </c>
      <c r="AK225">
        <f>IF(OR($H225="",$H225="N/A"),"",IF($AI225="",VLOOKUP('Company Profile'!$B$41,_CONFIG_Model_Settings!$A$5:$B$8,2,FALSE),_xlfn.IFNA(VLOOKUP($AI225,_CONFIG_Model_Settings!$A$5:$B$8,2,FALSE),0.9)))</f>
        <v/>
      </c>
      <c r="AL225">
        <f>IF(OR($H225="",$H225="N/A"),"",ROUND(VALUE($H225)*$AJ225*$AK225*$AV225,2))</f>
        <v/>
      </c>
      <c r="AM225">
        <f>IF($AL225="","",ROUND($AL225/5*100,1))</f>
        <v/>
      </c>
      <c r="AN225">
        <f>IFERROR(MIN(5,MAX(0,(SUMIFS(_REF_Model_Content!$D$1:$D$157,_REF_Model_Content!$A$1:$A$157,'Company Profile'!$B$9,_REF_Model_Content!$B$1:$B$157,"Supply Chain"))+_xlfn.IFNA(VLOOKUP('Company Profile'!$B$35,_CONFIG_Model_Settings!$A$11:$B$13,2,0),0))),"")</f>
        <v/>
      </c>
      <c r="AO225">
        <f>IF($AL225="","",MAX(0,ROUND($AN225-$AL225,2)))</f>
        <v/>
      </c>
      <c r="AP225">
        <f>IFERROR(SUMIFS(_REF_Model_Content!$E$1:$E$157,_REF_Model_Content!$A$1:$A$157,'Company Profile'!$B$9,_REF_Model_Content!$B$1:$B$157,"Supply Chain"),1)</f>
        <v/>
      </c>
      <c r="AQ225">
        <f>IF($AO225="","",ROUND($AO225*$AP225*($G225/5),2))</f>
        <v/>
      </c>
      <c r="AR225">
        <f>IF($AO225="","",IF($AO225&gt;=2,"Critical industry gap",IF($AO225&gt;=1,"High industry gap",IF($AO225&gt;=0.5,"Moderate industry gap","Within target"))))</f>
        <v/>
      </c>
      <c r="AS225">
        <f>IF(OR($H225="",$H225="N/A"),0,VALUE($H225)*(($AJ225+$AK225)/2)*$AV225)</f>
        <v/>
      </c>
      <c r="AT225">
        <f>IF(OR($H225="",$H225="N/A"),0,($AJ225+$AK225)/2)</f>
        <v/>
      </c>
      <c r="AU225">
        <f>'Assessment Questions'!AX225</f>
        <v/>
      </c>
      <c r="AV225">
        <f>IF(OR($H225="",$H225="N/A"),"",IF(OR($AU225="",$AU225="Everywhere",$AU225="Not applicable"),1,IF($AU225="Pilot / one team",0.4,IF($AU225="One unit or site",0.7,0.9))))</f>
        <v/>
      </c>
      <c r="AW225" t="inlineStr">
        <is>
          <t>Supply Chain</t>
        </is>
      </c>
      <c r="AX225" t="inlineStr">
        <is>
          <t>Supply Chain</t>
        </is>
      </c>
      <c r="AY225" t="n">
        <v>30</v>
      </c>
      <c r="AZ225" t="n">
        <v>225</v>
      </c>
    </row>
    <row r="226">
      <c r="A226" t="inlineStr">
        <is>
          <t>SUPP-027</t>
        </is>
      </c>
      <c r="B226" t="inlineStr">
        <is>
          <t>Orchestration and resilience</t>
        </is>
      </c>
      <c r="C226" t="inlineStr">
        <is>
          <t>How mature is the organization in managing supply chain risk and resilience management with time-to-recovery and time-to-survive analysis for critical nodes, including ownership, evidence, metrics, fallback procedures and crisis stress testing?</t>
        </is>
      </c>
      <c r="D226" t="inlineStr">
        <is>
          <t>This topic affects exposure to Supplier/logistics disruption; War/security crisis; Natural disaster. It helps identify how disruption may impact operations, people, revenue, systems, legal exposure or recovery time.</t>
        </is>
      </c>
      <c r="E226" t="inlineStr">
        <is>
          <t>SCOR DS OE10; ISO 28000; ISO 22301</t>
        </is>
      </c>
      <c r="F226" t="inlineStr">
        <is>
          <t>Policy/SOP; owner/RACI; system report; dashboard; contracts; test records; incident history; interview evidence related to end-to-end supply chain map from raw materials and suppliers to production, logistics, delivery and customers.</t>
        </is>
      </c>
      <c r="G226">
        <f>'Assessment Questions'!J226</f>
        <v/>
      </c>
      <c r="H226">
        <f>IF($Z226="","",IF($Z226="N/A","N/A",VALUE(LEFT($Z226,1))))</f>
        <v/>
      </c>
      <c r="I226">
        <f>IF($H226="","",IF($H226="N/A","",VALUE($H226)/5*$G226))</f>
        <v/>
      </c>
      <c r="J226">
        <f>IF(OR($H226="",$H226="N/A"),"",$G226)</f>
        <v/>
      </c>
      <c r="K226">
        <f>IF(OR($H226="",$H226="N/A"),"",$J226-$I226)</f>
        <v/>
      </c>
      <c r="L226">
        <f>IF($H226="","",IF($H226="N/A","N/A",IF(VALUE($H226)&lt;=1,"Critical",IF(VALUE($H226)&lt;=2,"High",IF(VALUE($H226)&lt;=3,"Medium",IF(VALUE($H226)&lt;=4,"Low","Resilient"))))))</f>
        <v/>
      </c>
      <c r="M226" t="inlineStr">
        <is>
          <t>Does not exist; no owner, no documentation, no practice.</t>
        </is>
      </c>
      <c r="N226" t="inlineStr">
        <is>
          <t>Ad hoc; depends entirely on specific individuals.</t>
        </is>
      </c>
      <c r="O226" t="inlineStr">
        <is>
          <t>Partially documented or implemented; coverage inconsistent; never tested under stress.</t>
        </is>
      </c>
      <c r="P226" t="inlineStr">
        <is>
          <t>Documented, owned, executed consistently; basic evidence and metrics exist.</t>
        </is>
      </c>
      <c r="Q226" t="inlineStr">
        <is>
          <t>Measured and periodically tested/audited; integrated with adjacent processes.</t>
        </is>
      </c>
      <c r="R226" t="inlineStr">
        <is>
          <t>Optimized and automated where practical; stress-tested; benchmarked externally.</t>
        </is>
      </c>
      <c r="S226" t="inlineStr">
        <is>
          <t>Supplier/logistics disruption; War/security crisis; Natural disaster</t>
        </is>
      </c>
      <c r="T226">
        <f>'Assessment Questions'!W226</f>
        <v/>
      </c>
      <c r="U226">
        <f>'Assessment Questions'!X226</f>
        <v/>
      </c>
      <c r="V226">
        <f>'Assessment Questions'!Y226</f>
        <v/>
      </c>
      <c r="W226" t="n">
        <v>4</v>
      </c>
      <c r="X226" t="n">
        <v>5</v>
      </c>
      <c r="Y226" t="n">
        <v>4</v>
      </c>
      <c r="Z226">
        <f>'Assessment Questions'!AC226</f>
        <v/>
      </c>
      <c r="AB226">
        <f>COUNTIF($B$200:$B$228,$AA226)</f>
        <v/>
      </c>
      <c r="AC226">
        <f>IFERROR(SUMPRODUCT(($B$200:$B$228=$AA226)*($H$200:$H$228&lt;&gt;"")*($H$200:$H$228&lt;&gt;"N/A")*IFERROR(VALUE($H$200:$H$228),0))/SUMPRODUCT(($B$200:$B$228=$AA226)*($H$200:$H$228&lt;&gt;"")*($H$200:$H$228&lt;&gt;"N/A")),0)</f>
        <v/>
      </c>
      <c r="AD226">
        <f>AC226/5</f>
        <v/>
      </c>
      <c r="AE226">
        <f>COUNTIFS($B$200:$B$228,$AA226,$L$200:$L$228,"Critical")+COUNTIFS($B$200:$B$228,$AA226,$L$200:$L$228,"High")</f>
        <v/>
      </c>
      <c r="AF226">
        <f>5-AC226</f>
        <v/>
      </c>
      <c r="AG226">
        <f>SUMPRODUCT(($B$200:$B$228=$AA226)*(ISNUMBER($H$200:$H$228)+($H$200:$H$228="N/A")))</f>
        <v/>
      </c>
      <c r="AH226">
        <f>'Assessment Questions'!AK226</f>
        <v/>
      </c>
      <c r="AI226">
        <f>'Assessment Questions'!AL226</f>
        <v/>
      </c>
      <c r="AJ226">
        <f>IF(OR($H226="",$H226="N/A"),"",IF($AH226="",VLOOKUP('Company Profile'!$B$40,_CONFIG_Model_Settings!$A$5:$B$8,2,FALSE),_xlfn.IFNA(VLOOKUP($AH226,_CONFIG_Model_Settings!$A$5:$B$8,2,FALSE),0.9)))</f>
        <v/>
      </c>
      <c r="AK226">
        <f>IF(OR($H226="",$H226="N/A"),"",IF($AI226="",VLOOKUP('Company Profile'!$B$41,_CONFIG_Model_Settings!$A$5:$B$8,2,FALSE),_xlfn.IFNA(VLOOKUP($AI226,_CONFIG_Model_Settings!$A$5:$B$8,2,FALSE),0.9)))</f>
        <v/>
      </c>
      <c r="AL226">
        <f>IF(OR($H226="",$H226="N/A"),"",ROUND(VALUE($H226)*$AJ226*$AK226*$AV226,2))</f>
        <v/>
      </c>
      <c r="AM226">
        <f>IF($AL226="","",ROUND($AL226/5*100,1))</f>
        <v/>
      </c>
      <c r="AN226">
        <f>IFERROR(MIN(5,MAX(0,(SUMIFS(_REF_Model_Content!$D$1:$D$157,_REF_Model_Content!$A$1:$A$157,'Company Profile'!$B$9,_REF_Model_Content!$B$1:$B$157,"Supply Chain"))+_xlfn.IFNA(VLOOKUP('Company Profile'!$B$35,_CONFIG_Model_Settings!$A$11:$B$13,2,0),0))),"")</f>
        <v/>
      </c>
      <c r="AO226">
        <f>IF($AL226="","",MAX(0,ROUND($AN226-$AL226,2)))</f>
        <v/>
      </c>
      <c r="AP226">
        <f>IFERROR(SUMIFS(_REF_Model_Content!$E$1:$E$157,_REF_Model_Content!$A$1:$A$157,'Company Profile'!$B$9,_REF_Model_Content!$B$1:$B$157,"Supply Chain"),1)</f>
        <v/>
      </c>
      <c r="AQ226">
        <f>IF($AO226="","",ROUND($AO226*$AP226*($G226/5),2))</f>
        <v/>
      </c>
      <c r="AR226">
        <f>IF($AO226="","",IF($AO226&gt;=2,"Critical industry gap",IF($AO226&gt;=1,"High industry gap",IF($AO226&gt;=0.5,"Moderate industry gap","Within target"))))</f>
        <v/>
      </c>
      <c r="AS226">
        <f>IF(OR($H226="",$H226="N/A"),0,VALUE($H226)*(($AJ226+$AK226)/2)*$AV226)</f>
        <v/>
      </c>
      <c r="AT226">
        <f>IF(OR($H226="",$H226="N/A"),0,($AJ226+$AK226)/2)</f>
        <v/>
      </c>
      <c r="AU226">
        <f>'Assessment Questions'!AX226</f>
        <v/>
      </c>
      <c r="AV226">
        <f>IF(OR($H226="",$H226="N/A"),"",IF(OR($AU226="",$AU226="Everywhere",$AU226="Not applicable"),1,IF($AU226="Pilot / one team",0.4,IF($AU226="One unit or site",0.7,0.9))))</f>
        <v/>
      </c>
      <c r="AW226" t="inlineStr">
        <is>
          <t>Supply Chain</t>
        </is>
      </c>
      <c r="AX226" t="inlineStr">
        <is>
          <t>Supply Chain</t>
        </is>
      </c>
      <c r="AY226" t="n">
        <v>31</v>
      </c>
      <c r="AZ226" t="n">
        <v>226</v>
      </c>
    </row>
    <row r="227">
      <c r="A227" t="inlineStr">
        <is>
          <t>SUPP-028</t>
        </is>
      </c>
      <c r="B227" t="inlineStr">
        <is>
          <t>Orchestration and resilience</t>
        </is>
      </c>
      <c r="C227" t="inlineStr">
        <is>
          <t>How mature is the organization in managing supply chain agility measurement covering upside and downside flexibility and adaptability metrics, including ownership, evidence, metrics, fallback procedures and crisis stress testing?</t>
        </is>
      </c>
      <c r="D227" t="inlineStr">
        <is>
          <t>This topic affects exposure to Demand shock; Supplier/logistics disruption. It helps identify how disruption may impact operations, people, revenue, systems, legal exposure or recovery time.</t>
        </is>
      </c>
      <c r="E227" t="inlineStr">
        <is>
          <t>SCOR DS Agility (AG) metrics; APQC PCF 4.0</t>
        </is>
      </c>
      <c r="F227" t="inlineStr">
        <is>
          <t>Policy/SOP; owner/RACI; system report; dashboard; contracts; test records; incident history; interview evidence related to end-to-end supply chain map from raw materials and suppliers to production, logistics, delivery and customers.</t>
        </is>
      </c>
      <c r="G227">
        <f>'Assessment Questions'!J227</f>
        <v/>
      </c>
      <c r="H227">
        <f>IF($Z227="","",IF($Z227="N/A","N/A",VALUE(LEFT($Z227,1))))</f>
        <v/>
      </c>
      <c r="I227">
        <f>IF($H227="","",IF($H227="N/A","",VALUE($H227)/5*$G227))</f>
        <v/>
      </c>
      <c r="J227">
        <f>IF(OR($H227="",$H227="N/A"),"",$G227)</f>
        <v/>
      </c>
      <c r="K227">
        <f>IF(OR($H227="",$H227="N/A"),"",$J227-$I227)</f>
        <v/>
      </c>
      <c r="L227">
        <f>IF($H227="","",IF($H227="N/A","N/A",IF(VALUE($H227)&lt;=1,"Critical",IF(VALUE($H227)&lt;=2,"High",IF(VALUE($H227)&lt;=3,"Medium",IF(VALUE($H227)&lt;=4,"Low","Resilient"))))))</f>
        <v/>
      </c>
      <c r="M227" t="inlineStr">
        <is>
          <t>No reliable evidence that supply chain agility measurement covering upside and downside flexibility and adaptability metrics is defined, owned or managed.</t>
        </is>
      </c>
      <c r="N227" t="inlineStr">
        <is>
          <t>Supply chain agility measurement covering upside and downside flexibility and adaptability metrics is handled informally and depends on individual knowledge or heroic effort.</t>
        </is>
      </c>
      <c r="O227" t="inlineStr">
        <is>
          <t>Supply chain agility measurement covering upside and downside flexibility and adaptability metrics is partially documented or implemented, but coverage is inconsistent and not crisis-tested.</t>
        </is>
      </c>
      <c r="P227" t="inlineStr">
        <is>
          <t>Supply chain agility measurement covering upside and downside flexibility and adaptability metrics is documented, owned, used in normal operations and supported by basic evidence or metrics.</t>
        </is>
      </c>
      <c r="Q227" t="inlineStr">
        <is>
          <t>Supply chain agility measurement covering upside and downside flexibility and adaptability metrics is measured, periodically reviewed, integrated with related processes and tested against relevant disruption scenarios.</t>
        </is>
      </c>
      <c r="R227" t="inlineStr">
        <is>
          <t>Supply chain agility measurement covering upside and downside flexibility and adaptability metrics is optimized, continuously improved, automated where practical and demonstrably supports crisis resilience.</t>
        </is>
      </c>
      <c r="S227" t="inlineStr">
        <is>
          <t>Demand shock; Supplier/logistics disruption</t>
        </is>
      </c>
      <c r="T227">
        <f>'Assessment Questions'!W227</f>
        <v/>
      </c>
      <c r="U227">
        <f>'Assessment Questions'!X227</f>
        <v/>
      </c>
      <c r="V227">
        <f>'Assessment Questions'!Y227</f>
        <v/>
      </c>
      <c r="W227" t="n">
        <v>4</v>
      </c>
      <c r="X227" t="n">
        <v>4</v>
      </c>
      <c r="Y227" t="n">
        <v>4</v>
      </c>
      <c r="Z227">
        <f>'Assessment Questions'!AC227</f>
        <v/>
      </c>
      <c r="AB227">
        <f>COUNTIF($B$200:$B$228,$AA227)</f>
        <v/>
      </c>
      <c r="AC227">
        <f>IFERROR(SUMPRODUCT(($B$200:$B$228=$AA227)*($H$200:$H$228&lt;&gt;"")*($H$200:$H$228&lt;&gt;"N/A")*IFERROR(VALUE($H$200:$H$228),0))/SUMPRODUCT(($B$200:$B$228=$AA227)*($H$200:$H$228&lt;&gt;"")*($H$200:$H$228&lt;&gt;"N/A")),0)</f>
        <v/>
      </c>
      <c r="AD227">
        <f>AC227/5</f>
        <v/>
      </c>
      <c r="AE227">
        <f>COUNTIFS($B$200:$B$228,$AA227,$L$200:$L$228,"Critical")+COUNTIFS($B$200:$B$228,$AA227,$L$200:$L$228,"High")</f>
        <v/>
      </c>
      <c r="AF227">
        <f>5-AC227</f>
        <v/>
      </c>
      <c r="AG227">
        <f>SUMPRODUCT(($B$200:$B$228=$AA227)*(ISNUMBER($H$200:$H$228)+($H$200:$H$228="N/A")))</f>
        <v/>
      </c>
      <c r="AH227">
        <f>'Assessment Questions'!AK227</f>
        <v/>
      </c>
      <c r="AI227">
        <f>'Assessment Questions'!AL227</f>
        <v/>
      </c>
      <c r="AJ227">
        <f>IF(OR($H227="",$H227="N/A"),"",IF($AH227="",VLOOKUP('Company Profile'!$B$40,_CONFIG_Model_Settings!$A$5:$B$8,2,FALSE),_xlfn.IFNA(VLOOKUP($AH227,_CONFIG_Model_Settings!$A$5:$B$8,2,FALSE),0.9)))</f>
        <v/>
      </c>
      <c r="AK227">
        <f>IF(OR($H227="",$H227="N/A"),"",IF($AI227="",VLOOKUP('Company Profile'!$B$41,_CONFIG_Model_Settings!$A$5:$B$8,2,FALSE),_xlfn.IFNA(VLOOKUP($AI227,_CONFIG_Model_Settings!$A$5:$B$8,2,FALSE),0.9)))</f>
        <v/>
      </c>
      <c r="AL227">
        <f>IF(OR($H227="",$H227="N/A"),"",ROUND(VALUE($H227)*$AJ227*$AK227*$AV227,2))</f>
        <v/>
      </c>
      <c r="AM227">
        <f>IF($AL227="","",ROUND($AL227/5*100,1))</f>
        <v/>
      </c>
      <c r="AN227">
        <f>IFERROR(MIN(5,MAX(0,(SUMIFS(_REF_Model_Content!$D$1:$D$157,_REF_Model_Content!$A$1:$A$157,'Company Profile'!$B$9,_REF_Model_Content!$B$1:$B$157,"Supply Chain"))+_xlfn.IFNA(VLOOKUP('Company Profile'!$B$35,_CONFIG_Model_Settings!$A$11:$B$13,2,0),0))),"")</f>
        <v/>
      </c>
      <c r="AO227">
        <f>IF($AL227="","",MAX(0,ROUND($AN227-$AL227,2)))</f>
        <v/>
      </c>
      <c r="AP227">
        <f>IFERROR(SUMIFS(_REF_Model_Content!$E$1:$E$157,_REF_Model_Content!$A$1:$A$157,'Company Profile'!$B$9,_REF_Model_Content!$B$1:$B$157,"Supply Chain"),1)</f>
        <v/>
      </c>
      <c r="AQ227">
        <f>IF($AO227="","",ROUND($AO227*$AP227*($G227/5),2))</f>
        <v/>
      </c>
      <c r="AR227">
        <f>IF($AO227="","",IF($AO227&gt;=2,"Critical industry gap",IF($AO227&gt;=1,"High industry gap",IF($AO227&gt;=0.5,"Moderate industry gap","Within target"))))</f>
        <v/>
      </c>
      <c r="AS227">
        <f>IF(OR($H227="",$H227="N/A"),0,VALUE($H227)*(($AJ227+$AK227)/2)*$AV227)</f>
        <v/>
      </c>
      <c r="AT227">
        <f>IF(OR($H227="",$H227="N/A"),0,($AJ227+$AK227)/2)</f>
        <v/>
      </c>
      <c r="AU227">
        <f>'Assessment Questions'!AX227</f>
        <v/>
      </c>
      <c r="AV227">
        <f>IF(OR($H227="",$H227="N/A"),"",IF(OR($AU227="",$AU227="Everywhere",$AU227="Not applicable"),1,IF($AU227="Pilot / one team",0.4,IF($AU227="One unit or site",0.7,0.9))))</f>
        <v/>
      </c>
      <c r="AW227" t="inlineStr">
        <is>
          <t>Supply Chain</t>
        </is>
      </c>
      <c r="AX227" t="inlineStr">
        <is>
          <t>Supply Chain</t>
        </is>
      </c>
      <c r="AY227" t="n">
        <v>32</v>
      </c>
      <c r="AZ227" t="n">
        <v>227</v>
      </c>
    </row>
    <row r="228">
      <c r="A228" t="inlineStr">
        <is>
          <t>SUPP-029</t>
        </is>
      </c>
      <c r="B228" t="inlineStr">
        <is>
          <t>Orchestration and resilience</t>
        </is>
      </c>
      <c r="C228" t="inlineStr">
        <is>
          <t>How mature is the organization in managing periodic supply network design review stress-testing nodes, routes and capacity against crisis scenarios, including ownership, evidence, metrics, fallback procedures and crisis stress testing?</t>
        </is>
      </c>
      <c r="D228" t="inlineStr">
        <is>
          <t>This topic affects exposure to Supplier/logistics disruption; Geopolitical risk; Natural disaster. It helps identify how disruption may impact operations, people, revenue, systems, legal exposure or recovery time.</t>
        </is>
      </c>
      <c r="E228" t="inlineStr">
        <is>
          <t>SCOR DS network design practices; ISO 22301</t>
        </is>
      </c>
      <c r="F228" t="inlineStr">
        <is>
          <t>Policy/SOP; owner/RACI; system report; dashboard; contracts; test records; incident history; interview evidence related to end-to-end supply chain map from raw materials and suppliers to production, logistics, delivery and customers.</t>
        </is>
      </c>
      <c r="G228">
        <f>'Assessment Questions'!J228</f>
        <v/>
      </c>
      <c r="H228">
        <f>IF($Z228="","",IF($Z228="N/A","N/A",VALUE(LEFT($Z228,1))))</f>
        <v/>
      </c>
      <c r="I228">
        <f>IF($H228="","",IF($H228="N/A","",VALUE($H228)/5*$G228))</f>
        <v/>
      </c>
      <c r="J228">
        <f>IF(OR($H228="",$H228="N/A"),"",$G228)</f>
        <v/>
      </c>
      <c r="K228">
        <f>IF(OR($H228="",$H228="N/A"),"",$J228-$I228)</f>
        <v/>
      </c>
      <c r="L228">
        <f>IF($H228="","",IF($H228="N/A","N/A",IF(VALUE($H228)&lt;=1,"Critical",IF(VALUE($H228)&lt;=2,"High",IF(VALUE($H228)&lt;=3,"Medium",IF(VALUE($H228)&lt;=4,"Low","Resilient"))))))</f>
        <v/>
      </c>
      <c r="M228" t="inlineStr">
        <is>
          <t>Never done; no records exist.</t>
        </is>
      </c>
      <c r="N228" t="inlineStr">
        <is>
          <t>Done once long ago or only after an incident; no schedule, no records.</t>
        </is>
      </c>
      <c r="O228" t="inlineStr">
        <is>
          <t>Done irregularly; results are not documented and findings are not tracked.</t>
        </is>
      </c>
      <c r="P228" t="inlineStr">
        <is>
          <t>Done on a defined schedule (at least annually); results documented, owner assigned.</t>
        </is>
      </c>
      <c r="Q228" t="inlineStr">
        <is>
          <t>Done quarterly/semi-annually; findings tracked to closure, effectiveness measured against targets.</t>
        </is>
      </c>
      <c r="R228" t="inlineStr">
        <is>
          <t>Continuous or automated where possible; results drive improvements and are validated externally (audit/customer).</t>
        </is>
      </c>
      <c r="S228" t="inlineStr">
        <is>
          <t>Supplier/logistics disruption; Geopolitical risk; Natural disaster</t>
        </is>
      </c>
      <c r="T228">
        <f>'Assessment Questions'!W228</f>
        <v/>
      </c>
      <c r="U228">
        <f>'Assessment Questions'!X228</f>
        <v/>
      </c>
      <c r="V228">
        <f>'Assessment Questions'!Y228</f>
        <v/>
      </c>
      <c r="W228" t="n">
        <v>3</v>
      </c>
      <c r="X228" t="n">
        <v>5</v>
      </c>
      <c r="Y228" t="n">
        <v>4</v>
      </c>
      <c r="Z228">
        <f>'Assessment Questions'!AC228</f>
        <v/>
      </c>
      <c r="AB228">
        <f>COUNTIF($B$200:$B$228,$AA228)</f>
        <v/>
      </c>
      <c r="AC228">
        <f>IFERROR(SUMPRODUCT(($B$200:$B$228=$AA228)*($H$200:$H$228&lt;&gt;"")*($H$200:$H$228&lt;&gt;"N/A")*IFERROR(VALUE($H$200:$H$228),0))/SUMPRODUCT(($B$200:$B$228=$AA228)*($H$200:$H$228&lt;&gt;"")*($H$200:$H$228&lt;&gt;"N/A")),0)</f>
        <v/>
      </c>
      <c r="AD228">
        <f>AC228/5</f>
        <v/>
      </c>
      <c r="AE228">
        <f>COUNTIFS($B$200:$B$228,$AA228,$L$200:$L$228,"Critical")+COUNTIFS($B$200:$B$228,$AA228,$L$200:$L$228,"High")</f>
        <v/>
      </c>
      <c r="AF228">
        <f>5-AC228</f>
        <v/>
      </c>
      <c r="AG228">
        <f>SUMPRODUCT(($B$200:$B$228=$AA228)*(ISNUMBER($H$200:$H$228)+($H$200:$H$228="N/A")))</f>
        <v/>
      </c>
      <c r="AH228">
        <f>'Assessment Questions'!AK228</f>
        <v/>
      </c>
      <c r="AI228">
        <f>'Assessment Questions'!AL228</f>
        <v/>
      </c>
      <c r="AJ228">
        <f>IF(OR($H228="",$H228="N/A"),"",IF($AH228="",VLOOKUP('Company Profile'!$B$40,_CONFIG_Model_Settings!$A$5:$B$8,2,FALSE),_xlfn.IFNA(VLOOKUP($AH228,_CONFIG_Model_Settings!$A$5:$B$8,2,FALSE),0.9)))</f>
        <v/>
      </c>
      <c r="AK228">
        <f>IF(OR($H228="",$H228="N/A"),"",IF($AI228="",VLOOKUP('Company Profile'!$B$41,_CONFIG_Model_Settings!$A$5:$B$8,2,FALSE),_xlfn.IFNA(VLOOKUP($AI228,_CONFIG_Model_Settings!$A$5:$B$8,2,FALSE),0.9)))</f>
        <v/>
      </c>
      <c r="AL228">
        <f>IF(OR($H228="",$H228="N/A"),"",ROUND(VALUE($H228)*$AJ228*$AK228*$AV228,2))</f>
        <v/>
      </c>
      <c r="AM228">
        <f>IF($AL228="","",ROUND($AL228/5*100,1))</f>
        <v/>
      </c>
      <c r="AN228">
        <f>IFERROR(MIN(5,MAX(0,(SUMIFS(_REF_Model_Content!$D$1:$D$157,_REF_Model_Content!$A$1:$A$157,'Company Profile'!$B$9,_REF_Model_Content!$B$1:$B$157,"Supply Chain"))+_xlfn.IFNA(VLOOKUP('Company Profile'!$B$35,_CONFIG_Model_Settings!$A$11:$B$13,2,0),0))),"")</f>
        <v/>
      </c>
      <c r="AO228">
        <f>IF($AL228="","",MAX(0,ROUND($AN228-$AL228,2)))</f>
        <v/>
      </c>
      <c r="AP228">
        <f>IFERROR(SUMIFS(_REF_Model_Content!$E$1:$E$157,_REF_Model_Content!$A$1:$A$157,'Company Profile'!$B$9,_REF_Model_Content!$B$1:$B$157,"Supply Chain"),1)</f>
        <v/>
      </c>
      <c r="AQ228">
        <f>IF($AO228="","",ROUND($AO228*$AP228*($G228/5),2))</f>
        <v/>
      </c>
      <c r="AR228">
        <f>IF($AO228="","",IF($AO228&gt;=2,"Critical industry gap",IF($AO228&gt;=1,"High industry gap",IF($AO228&gt;=0.5,"Moderate industry gap","Within target"))))</f>
        <v/>
      </c>
      <c r="AS228">
        <f>IF(OR($H228="",$H228="N/A"),0,VALUE($H228)*(($AJ228+$AK228)/2)*$AV228)</f>
        <v/>
      </c>
      <c r="AT228">
        <f>IF(OR($H228="",$H228="N/A"),0,($AJ228+$AK228)/2)</f>
        <v/>
      </c>
      <c r="AU228">
        <f>'Assessment Questions'!AX228</f>
        <v/>
      </c>
      <c r="AV228">
        <f>IF(OR($H228="",$H228="N/A"),"",IF(OR($AU228="",$AU228="Everywhere",$AU228="Not applicable"),1,IF($AU228="Pilot / one team",0.4,IF($AU228="One unit or site",0.7,0.9))))</f>
        <v/>
      </c>
      <c r="AW228" t="inlineStr">
        <is>
          <t>Supply Chain</t>
        </is>
      </c>
      <c r="AX228" t="inlineStr">
        <is>
          <t>Supply Chain</t>
        </is>
      </c>
      <c r="AY228" t="n">
        <v>33</v>
      </c>
      <c r="AZ228" t="n">
        <v>228</v>
      </c>
    </row>
    <row r="229">
      <c r="A229" t="inlineStr">
        <is>
          <t>MANU-001</t>
        </is>
      </c>
      <c r="B229" t="inlineStr">
        <is>
          <t>Production footprint</t>
        </is>
      </c>
      <c r="C229" t="inlineStr">
        <is>
          <t>How mature is the organization in managing production footprint by plant, line, product family, capacity, workforce and crisis exposure, including ownership, evidence, metrics, fallback procedures and crisis stress testing?</t>
        </is>
      </c>
      <c r="D229" t="inlineStr">
        <is>
          <t>This topic affects exposure to Manufacturing disruption; Safety incident; Energy outage; Cyberattack. It helps identify how disruption may impact operations, people, revenue, systems, legal exposure or recovery time.</t>
        </is>
      </c>
      <c r="E229" t="inlineStr">
        <is>
          <t>ISO 9001; ISO 45001; ISA-95; IEC 62443; ISO 55001; Lean; Six Sigma; TPM; MES/MOM practices</t>
        </is>
      </c>
      <c r="F229" t="inlineStr">
        <is>
          <t>Policy/SOP; owner/RACI; system report; dashboard; contracts; test records; incident history; interview evidence related to production footprint by plant, line, product family, capacity, workforce and crisis exposure.</t>
        </is>
      </c>
      <c r="G229">
        <f>'Assessment Questions'!J229</f>
        <v/>
      </c>
      <c r="H229">
        <f>IF($Z229="","",IF($Z229="N/A","N/A",VALUE(LEFT($Z229,1))))</f>
        <v/>
      </c>
      <c r="I229">
        <f>IF($H229="","",IF($H229="N/A","",VALUE($H229)/5*$G229))</f>
        <v/>
      </c>
      <c r="J229">
        <f>IF(OR($H229="",$H229="N/A"),"",$G229)</f>
        <v/>
      </c>
      <c r="K229">
        <f>IF(OR($H229="",$H229="N/A"),"",$J229-$I229)</f>
        <v/>
      </c>
      <c r="L229">
        <f>IF($H229="","",IF($H229="N/A","N/A",IF(VALUE($H229)&lt;=1,"Critical",IF(VALUE($H229)&lt;=2,"High",IF(VALUE($H229)&lt;=3,"Medium",IF(VALUE($H229)&lt;=4,"Low","Resilient"))))))</f>
        <v/>
      </c>
      <c r="M229" t="inlineStr">
        <is>
          <t>No plan or procedure exists.</t>
        </is>
      </c>
      <c r="N229" t="inlineStr">
        <is>
          <t>Knowledge lives with individuals; nothing usable is written down.</t>
        </is>
      </c>
      <c r="O229" t="inlineStr">
        <is>
          <t>Drafted but outdated, not approved, or unknown to the people who must use it.</t>
        </is>
      </c>
      <c r="P229" t="inlineStr">
        <is>
          <t>Approved and current; owners assigned; affected staff know it exists and where to find it.</t>
        </is>
      </c>
      <c r="Q229" t="inlineStr">
        <is>
          <t>Tested against realistic scenarios; updated after each test or real incident.</t>
        </is>
      </c>
      <c r="R229" t="inlineStr">
        <is>
          <t>Exercised regularly including external parties; readiness measured; continuously improved.</t>
        </is>
      </c>
      <c r="S229" t="inlineStr">
        <is>
          <t>Manufacturing disruption; Safety incident; Energy outage; Cyberattack</t>
        </is>
      </c>
      <c r="T229">
        <f>'Assessment Questions'!W229</f>
        <v/>
      </c>
      <c r="U229">
        <f>'Assessment Questions'!X229</f>
        <v/>
      </c>
      <c r="V229">
        <f>'Assessment Questions'!Y229</f>
        <v/>
      </c>
      <c r="W229" t="n">
        <v>5</v>
      </c>
      <c r="X229" t="n">
        <v>5</v>
      </c>
      <c r="Y229" t="n">
        <v>5</v>
      </c>
      <c r="Z229">
        <f>'Assessment Questions'!AC229</f>
        <v/>
      </c>
      <c r="AA229" t="inlineStr">
        <is>
          <t>Production footprint</t>
        </is>
      </c>
      <c r="AB229">
        <f>COUNTIF($B$229:$B$256,$AA229)</f>
        <v/>
      </c>
      <c r="AC229">
        <f>IFERROR(SUMPRODUCT(($B$229:$B$256=$AA229)*($H$229:$H$256&lt;&gt;"")*($H$229:$H$256&lt;&gt;"N/A")*IFERROR(VALUE($H$229:$H$256),0))/SUMPRODUCT(($B$229:$B$256=$AA229)*($H$229:$H$256&lt;&gt;"")*($H$229:$H$256&lt;&gt;"N/A")),0)</f>
        <v/>
      </c>
      <c r="AD229">
        <f>AC229/5</f>
        <v/>
      </c>
      <c r="AE229">
        <f>COUNTIFS($B$229:$B$256,$AA229,$L$229:$L$256,"Critical")+COUNTIFS($B$229:$B$256,$AA229,$L$229:$L$256,"High")</f>
        <v/>
      </c>
      <c r="AF229">
        <f>5-AC229</f>
        <v/>
      </c>
      <c r="AG229">
        <f>SUMPRODUCT(($B$229:$B$256=$AA229)*(ISNUMBER($H$229:$H$256)+($H$229:$H$256="N/A")))</f>
        <v/>
      </c>
      <c r="AH229">
        <f>'Assessment Questions'!AK229</f>
        <v/>
      </c>
      <c r="AI229">
        <f>'Assessment Questions'!AL229</f>
        <v/>
      </c>
      <c r="AJ229">
        <f>IF(OR($H229="",$H229="N/A"),"",IF($AH229="",VLOOKUP('Company Profile'!$B$40,_CONFIG_Model_Settings!$A$5:$B$8,2,FALSE),_xlfn.IFNA(VLOOKUP($AH229,_CONFIG_Model_Settings!$A$5:$B$8,2,FALSE),0.9)))</f>
        <v/>
      </c>
      <c r="AK229">
        <f>IF(OR($H229="",$H229="N/A"),"",IF($AI229="",VLOOKUP('Company Profile'!$B$41,_CONFIG_Model_Settings!$A$5:$B$8,2,FALSE),_xlfn.IFNA(VLOOKUP($AI229,_CONFIG_Model_Settings!$A$5:$B$8,2,FALSE),0.9)))</f>
        <v/>
      </c>
      <c r="AL229">
        <f>IF(OR($H229="",$H229="N/A"),"",ROUND(VALUE($H229)*$AJ229*$AK229*$AV229,2))</f>
        <v/>
      </c>
      <c r="AM229">
        <f>IF($AL229="","",ROUND($AL229/5*100,1))</f>
        <v/>
      </c>
      <c r="AN229">
        <f>IFERROR(MIN(5,MAX(0,(SUMIFS(_REF_Model_Content!$D$1:$D$157,_REF_Model_Content!$A$1:$A$157,'Company Profile'!$B$9,_REF_Model_Content!$B$1:$B$157,"Manufacturing MES"))+_xlfn.IFNA(VLOOKUP('Company Profile'!$B$35,_CONFIG_Model_Settings!$A$11:$B$13,2,0),0))),"")</f>
        <v/>
      </c>
      <c r="AO229">
        <f>IF($AL229="","",MAX(0,ROUND($AN229-$AL229,2)))</f>
        <v/>
      </c>
      <c r="AP229">
        <f>IFERROR(SUMIFS(_REF_Model_Content!$E$1:$E$157,_REF_Model_Content!$A$1:$A$157,'Company Profile'!$B$9,_REF_Model_Content!$B$1:$B$157,"Manufacturing MES"),1)</f>
        <v/>
      </c>
      <c r="AQ229">
        <f>IF($AO229="","",ROUND($AO229*$AP229*($G229/5),2))</f>
        <v/>
      </c>
      <c r="AR229">
        <f>IF($AO229="","",IF($AO229&gt;=2,"Critical industry gap",IF($AO229&gt;=1,"High industry gap",IF($AO229&gt;=0.5,"Moderate industry gap","Within target"))))</f>
        <v/>
      </c>
      <c r="AS229">
        <f>IF(OR($H229="",$H229="N/A"),0,VALUE($H229)*(($AJ229+$AK229)/2)*$AV229)</f>
        <v/>
      </c>
      <c r="AT229">
        <f>IF(OR($H229="",$H229="N/A"),0,($AJ229+$AK229)/2)</f>
        <v/>
      </c>
      <c r="AU229">
        <f>'Assessment Questions'!AX229</f>
        <v/>
      </c>
      <c r="AV229">
        <f>IF(OR($H229="",$H229="N/A"),"",IF(OR($AU229="",$AU229="Everywhere",$AU229="Not applicable"),1,IF($AU229="Pilot / one team",0.4,IF($AU229="One unit or site",0.7,0.9))))</f>
        <v/>
      </c>
      <c r="AW229" t="inlineStr">
        <is>
          <t>Manufacturing MES</t>
        </is>
      </c>
      <c r="AX229" t="inlineStr">
        <is>
          <t>Manufacturing MES</t>
        </is>
      </c>
      <c r="AY229" t="n">
        <v>5</v>
      </c>
      <c r="AZ229" t="n">
        <v>229</v>
      </c>
    </row>
    <row r="230">
      <c r="A230" t="inlineStr">
        <is>
          <t>MANU-002</t>
        </is>
      </c>
      <c r="B230" t="inlineStr">
        <is>
          <t>Production footprint</t>
        </is>
      </c>
      <c r="C230" t="inlineStr">
        <is>
          <t>How mature is the organization in managing production planning integrated with demand, supply, inventory, workforce and maintenance constraints, including ownership, evidence, metrics, fallback procedures and crisis stress testing?</t>
        </is>
      </c>
      <c r="D230" t="inlineStr">
        <is>
          <t>This topic affects exposure to Manufacturing disruption; Safety incident; Energy outage; Cyberattack. It helps identify how disruption may impact operations, people, revenue, systems, legal exposure or recovery time.</t>
        </is>
      </c>
      <c r="E230" t="inlineStr">
        <is>
          <t>ISO 9001; ISO 45001; ISA-95; IEC 62443; ISO 55001; Lean; Six Sigma; TPM; MES/MOM practices</t>
        </is>
      </c>
      <c r="F230" t="inlineStr">
        <is>
          <t>Policy/SOP; owner/RACI; system report; dashboard; contracts; test records; incident history; interview evidence related to production planning integrated with demand, supply, inventory, workforce and maintenance constraints.</t>
        </is>
      </c>
      <c r="G230">
        <f>'Assessment Questions'!J230</f>
        <v/>
      </c>
      <c r="H230">
        <f>IF($Z230="","",IF($Z230="N/A","N/A",VALUE(LEFT($Z230,1))))</f>
        <v/>
      </c>
      <c r="I230">
        <f>IF($H230="","",IF($H230="N/A","",VALUE($H230)/5*$G230))</f>
        <v/>
      </c>
      <c r="J230">
        <f>IF(OR($H230="",$H230="N/A"),"",$G230)</f>
        <v/>
      </c>
      <c r="K230">
        <f>IF(OR($H230="",$H230="N/A"),"",$J230-$I230)</f>
        <v/>
      </c>
      <c r="L230">
        <f>IF($H230="","",IF($H230="N/A","N/A",IF(VALUE($H230)&lt;=1,"Critical",IF(VALUE($H230)&lt;=2,"High",IF(VALUE($H230)&lt;=3,"Medium",IF(VALUE($H230)&lt;=4,"Low","Resilient"))))))</f>
        <v/>
      </c>
      <c r="M230" t="inlineStr">
        <is>
          <t>No inventory/register exists.</t>
        </is>
      </c>
      <c r="N230" t="inlineStr">
        <is>
          <t>Partial lists live in individuals' heads or personal files.</t>
        </is>
      </c>
      <c r="O230" t="inlineStr">
        <is>
          <t>A register exists but is incomplete or outdated (&gt;1 year) and has no owner.</t>
        </is>
      </c>
      <c r="P230" t="inlineStr">
        <is>
          <t>Owned, documented, updated on a defined schedule, covers the main scope.</t>
        </is>
      </c>
      <c r="Q230" t="inlineStr">
        <is>
          <t>Complete and periodically reviewed; integrated with related processes; completeness measured.</t>
        </is>
      </c>
      <c r="R230" t="inlineStr">
        <is>
          <t>Maintained automatically or synced with systems; drives decisions; audited.</t>
        </is>
      </c>
      <c r="S230" t="inlineStr">
        <is>
          <t>Manufacturing disruption; Safety incident; Energy outage; Cyberattack</t>
        </is>
      </c>
      <c r="T230">
        <f>'Assessment Questions'!W230</f>
        <v/>
      </c>
      <c r="U230">
        <f>'Assessment Questions'!X230</f>
        <v/>
      </c>
      <c r="V230">
        <f>'Assessment Questions'!Y230</f>
        <v/>
      </c>
      <c r="W230" t="n">
        <v>5</v>
      </c>
      <c r="X230" t="n">
        <v>5</v>
      </c>
      <c r="Y230" t="n">
        <v>5</v>
      </c>
      <c r="Z230">
        <f>'Assessment Questions'!AC230</f>
        <v/>
      </c>
      <c r="AA230" t="inlineStr">
        <is>
          <t>MES and shop floor</t>
        </is>
      </c>
      <c r="AB230">
        <f>COUNTIF($B$229:$B$256,$AA230)</f>
        <v/>
      </c>
      <c r="AC230">
        <f>IFERROR(SUMPRODUCT(($B$229:$B$256=$AA230)*($H$229:$H$256&lt;&gt;"")*($H$229:$H$256&lt;&gt;"N/A")*IFERROR(VALUE($H$229:$H$256),0))/SUMPRODUCT(($B$229:$B$256=$AA230)*($H$229:$H$256&lt;&gt;"")*($H$229:$H$256&lt;&gt;"N/A")),0)</f>
        <v/>
      </c>
      <c r="AD230">
        <f>AC230/5</f>
        <v/>
      </c>
      <c r="AE230">
        <f>COUNTIFS($B$229:$B$256,$AA230,$L$229:$L$256,"Critical")+COUNTIFS($B$229:$B$256,$AA230,$L$229:$L$256,"High")</f>
        <v/>
      </c>
      <c r="AF230">
        <f>5-AC230</f>
        <v/>
      </c>
      <c r="AG230">
        <f>SUMPRODUCT(($B$229:$B$256=$AA230)*(ISNUMBER($H$229:$H$256)+($H$229:$H$256="N/A")))</f>
        <v/>
      </c>
      <c r="AH230">
        <f>'Assessment Questions'!AK230</f>
        <v/>
      </c>
      <c r="AI230">
        <f>'Assessment Questions'!AL230</f>
        <v/>
      </c>
      <c r="AJ230">
        <f>IF(OR($H230="",$H230="N/A"),"",IF($AH230="",VLOOKUP('Company Profile'!$B$40,_CONFIG_Model_Settings!$A$5:$B$8,2,FALSE),_xlfn.IFNA(VLOOKUP($AH230,_CONFIG_Model_Settings!$A$5:$B$8,2,FALSE),0.9)))</f>
        <v/>
      </c>
      <c r="AK230">
        <f>IF(OR($H230="",$H230="N/A"),"",IF($AI230="",VLOOKUP('Company Profile'!$B$41,_CONFIG_Model_Settings!$A$5:$B$8,2,FALSE),_xlfn.IFNA(VLOOKUP($AI230,_CONFIG_Model_Settings!$A$5:$B$8,2,FALSE),0.9)))</f>
        <v/>
      </c>
      <c r="AL230">
        <f>IF(OR($H230="",$H230="N/A"),"",ROUND(VALUE($H230)*$AJ230*$AK230*$AV230,2))</f>
        <v/>
      </c>
      <c r="AM230">
        <f>IF($AL230="","",ROUND($AL230/5*100,1))</f>
        <v/>
      </c>
      <c r="AN230">
        <f>IFERROR(MIN(5,MAX(0,(SUMIFS(_REF_Model_Content!$D$1:$D$157,_REF_Model_Content!$A$1:$A$157,'Company Profile'!$B$9,_REF_Model_Content!$B$1:$B$157,"Manufacturing MES"))+_xlfn.IFNA(VLOOKUP('Company Profile'!$B$35,_CONFIG_Model_Settings!$A$11:$B$13,2,0),0))),"")</f>
        <v/>
      </c>
      <c r="AO230">
        <f>IF($AL230="","",MAX(0,ROUND($AN230-$AL230,2)))</f>
        <v/>
      </c>
      <c r="AP230">
        <f>IFERROR(SUMIFS(_REF_Model_Content!$E$1:$E$157,_REF_Model_Content!$A$1:$A$157,'Company Profile'!$B$9,_REF_Model_Content!$B$1:$B$157,"Manufacturing MES"),1)</f>
        <v/>
      </c>
      <c r="AQ230">
        <f>IF($AO230="","",ROUND($AO230*$AP230*($G230/5),2))</f>
        <v/>
      </c>
      <c r="AR230">
        <f>IF($AO230="","",IF($AO230&gt;=2,"Critical industry gap",IF($AO230&gt;=1,"High industry gap",IF($AO230&gt;=0.5,"Moderate industry gap","Within target"))))</f>
        <v/>
      </c>
      <c r="AS230">
        <f>IF(OR($H230="",$H230="N/A"),0,VALUE($H230)*(($AJ230+$AK230)/2)*$AV230)</f>
        <v/>
      </c>
      <c r="AT230">
        <f>IF(OR($H230="",$H230="N/A"),0,($AJ230+$AK230)/2)</f>
        <v/>
      </c>
      <c r="AU230">
        <f>'Assessment Questions'!AX230</f>
        <v/>
      </c>
      <c r="AV230">
        <f>IF(OR($H230="",$H230="N/A"),"",IF(OR($AU230="",$AU230="Everywhere",$AU230="Not applicable"),1,IF($AU230="Pilot / one team",0.4,IF($AU230="One unit or site",0.7,0.9))))</f>
        <v/>
      </c>
      <c r="AW230" t="inlineStr">
        <is>
          <t>Manufacturing MES</t>
        </is>
      </c>
      <c r="AX230" t="inlineStr">
        <is>
          <t>Manufacturing MES</t>
        </is>
      </c>
      <c r="AY230" t="n">
        <v>6</v>
      </c>
      <c r="AZ230" t="n">
        <v>230</v>
      </c>
    </row>
    <row r="231">
      <c r="A231" t="inlineStr">
        <is>
          <t>MANU-003</t>
        </is>
      </c>
      <c r="B231" t="inlineStr">
        <is>
          <t>Production footprint</t>
        </is>
      </c>
      <c r="C231" t="inlineStr">
        <is>
          <t>How mature is the organization in managing finite capacity planning for bottlenecks, machines, shifts and labor, including ownership, evidence, metrics, fallback procedures and crisis stress testing?</t>
        </is>
      </c>
      <c r="D231" t="inlineStr">
        <is>
          <t>This topic affects exposure to Manufacturing disruption; Safety incident; Energy outage; Cyberattack. It helps identify how disruption may impact operations, people, revenue, systems, legal exposure or recovery time.</t>
        </is>
      </c>
      <c r="E231" t="inlineStr">
        <is>
          <t>ISO 9001; ISO 45001; ISA-95; IEC 62443; ISO 55001; Lean; Six Sigma; TPM; MES/MOM practices</t>
        </is>
      </c>
      <c r="F231" t="inlineStr">
        <is>
          <t>Policy/SOP; owner/RACI; system report; dashboard; contracts; test records; incident history; interview evidence related to finite capacity planning for bottlenecks, machines, shifts and labor.</t>
        </is>
      </c>
      <c r="G231">
        <f>'Assessment Questions'!J231</f>
        <v/>
      </c>
      <c r="H231">
        <f>IF($Z231="","",IF($Z231="N/A","N/A",VALUE(LEFT($Z231,1))))</f>
        <v/>
      </c>
      <c r="I231">
        <f>IF($H231="","",IF($H231="N/A","",VALUE($H231)/5*$G231))</f>
        <v/>
      </c>
      <c r="J231">
        <f>IF(OR($H231="",$H231="N/A"),"",$G231)</f>
        <v/>
      </c>
      <c r="K231">
        <f>IF(OR($H231="",$H231="N/A"),"",$J231-$I231)</f>
        <v/>
      </c>
      <c r="L231">
        <f>IF($H231="","",IF($H231="N/A","N/A",IF(VALUE($H231)&lt;=1,"Critical",IF(VALUE($H231)&lt;=2,"High",IF(VALUE($H231)&lt;=3,"Medium",IF(VALUE($H231)&lt;=4,"Low","Resilient"))))))</f>
        <v/>
      </c>
      <c r="M231" t="inlineStr">
        <is>
          <t>No reliable evidence that finite capacity planning for bottlenecks, machines, shifts and labor is defined, owned or managed.</t>
        </is>
      </c>
      <c r="N231" t="inlineStr">
        <is>
          <t>Finite capacity planning for bottlenecks, machines, shifts and labor is handled informally and depends on individual knowledge or heroic effort.</t>
        </is>
      </c>
      <c r="O231" t="inlineStr">
        <is>
          <t>Finite capacity planning for bottlenecks, machines, shifts and labor is partially documented or implemented, but coverage is inconsistent and not crisis-tested.</t>
        </is>
      </c>
      <c r="P231" t="inlineStr">
        <is>
          <t>Finite capacity planning for bottlenecks, machines, shifts and labor is documented, owned, used in normal operations and supported by basic evidence or metrics.</t>
        </is>
      </c>
      <c r="Q231" t="inlineStr">
        <is>
          <t>Finite capacity planning for bottlenecks, machines, shifts and labor is measured, periodically reviewed, integrated with related processes and tested against relevant disruption scenarios.</t>
        </is>
      </c>
      <c r="R231" t="inlineStr">
        <is>
          <t>Finite capacity planning for bottlenecks, machines, shifts and labor is optimized, continuously improved, automated where practical and demonstrably supports crisis resilience.</t>
        </is>
      </c>
      <c r="S231" t="inlineStr">
        <is>
          <t>Manufacturing disruption; Safety incident; Energy outage; Cyberattack</t>
        </is>
      </c>
      <c r="T231">
        <f>'Assessment Questions'!W231</f>
        <v/>
      </c>
      <c r="U231">
        <f>'Assessment Questions'!X231</f>
        <v/>
      </c>
      <c r="V231">
        <f>'Assessment Questions'!Y231</f>
        <v/>
      </c>
      <c r="W231" t="n">
        <v>5</v>
      </c>
      <c r="X231" t="n">
        <v>5</v>
      </c>
      <c r="Y231" t="n">
        <v>5</v>
      </c>
      <c r="Z231">
        <f>'Assessment Questions'!AC231</f>
        <v/>
      </c>
      <c r="AA231" t="inlineStr">
        <is>
          <t>Maintenance and assets</t>
        </is>
      </c>
      <c r="AB231">
        <f>COUNTIF($B$229:$B$256,$AA231)</f>
        <v/>
      </c>
      <c r="AC231">
        <f>IFERROR(SUMPRODUCT(($B$229:$B$256=$AA231)*($H$229:$H$256&lt;&gt;"")*($H$229:$H$256&lt;&gt;"N/A")*IFERROR(VALUE($H$229:$H$256),0))/SUMPRODUCT(($B$229:$B$256=$AA231)*($H$229:$H$256&lt;&gt;"")*($H$229:$H$256&lt;&gt;"N/A")),0)</f>
        <v/>
      </c>
      <c r="AD231">
        <f>AC231/5</f>
        <v/>
      </c>
      <c r="AE231">
        <f>COUNTIFS($B$229:$B$256,$AA231,$L$229:$L$256,"Critical")+COUNTIFS($B$229:$B$256,$AA231,$L$229:$L$256,"High")</f>
        <v/>
      </c>
      <c r="AF231">
        <f>5-AC231</f>
        <v/>
      </c>
      <c r="AG231">
        <f>SUMPRODUCT(($B$229:$B$256=$AA231)*(ISNUMBER($H$229:$H$256)+($H$229:$H$256="N/A")))</f>
        <v/>
      </c>
      <c r="AH231">
        <f>'Assessment Questions'!AK231</f>
        <v/>
      </c>
      <c r="AI231">
        <f>'Assessment Questions'!AL231</f>
        <v/>
      </c>
      <c r="AJ231">
        <f>IF(OR($H231="",$H231="N/A"),"",IF($AH231="",VLOOKUP('Company Profile'!$B$40,_CONFIG_Model_Settings!$A$5:$B$8,2,FALSE),_xlfn.IFNA(VLOOKUP($AH231,_CONFIG_Model_Settings!$A$5:$B$8,2,FALSE),0.9)))</f>
        <v/>
      </c>
      <c r="AK231">
        <f>IF(OR($H231="",$H231="N/A"),"",IF($AI231="",VLOOKUP('Company Profile'!$B$41,_CONFIG_Model_Settings!$A$5:$B$8,2,FALSE),_xlfn.IFNA(VLOOKUP($AI231,_CONFIG_Model_Settings!$A$5:$B$8,2,FALSE),0.9)))</f>
        <v/>
      </c>
      <c r="AL231">
        <f>IF(OR($H231="",$H231="N/A"),"",ROUND(VALUE($H231)*$AJ231*$AK231*$AV231,2))</f>
        <v/>
      </c>
      <c r="AM231">
        <f>IF($AL231="","",ROUND($AL231/5*100,1))</f>
        <v/>
      </c>
      <c r="AN231">
        <f>IFERROR(MIN(5,MAX(0,(SUMIFS(_REF_Model_Content!$D$1:$D$157,_REF_Model_Content!$A$1:$A$157,'Company Profile'!$B$9,_REF_Model_Content!$B$1:$B$157,"Manufacturing MES"))+_xlfn.IFNA(VLOOKUP('Company Profile'!$B$35,_CONFIG_Model_Settings!$A$11:$B$13,2,0),0))),"")</f>
        <v/>
      </c>
      <c r="AO231">
        <f>IF($AL231="","",MAX(0,ROUND($AN231-$AL231,2)))</f>
        <v/>
      </c>
      <c r="AP231">
        <f>IFERROR(SUMIFS(_REF_Model_Content!$E$1:$E$157,_REF_Model_Content!$A$1:$A$157,'Company Profile'!$B$9,_REF_Model_Content!$B$1:$B$157,"Manufacturing MES"),1)</f>
        <v/>
      </c>
      <c r="AQ231">
        <f>IF($AO231="","",ROUND($AO231*$AP231*($G231/5),2))</f>
        <v/>
      </c>
      <c r="AR231">
        <f>IF($AO231="","",IF($AO231&gt;=2,"Critical industry gap",IF($AO231&gt;=1,"High industry gap",IF($AO231&gt;=0.5,"Moderate industry gap","Within target"))))</f>
        <v/>
      </c>
      <c r="AS231">
        <f>IF(OR($H231="",$H231="N/A"),0,VALUE($H231)*(($AJ231+$AK231)/2)*$AV231)</f>
        <v/>
      </c>
      <c r="AT231">
        <f>IF(OR($H231="",$H231="N/A"),0,($AJ231+$AK231)/2)</f>
        <v/>
      </c>
      <c r="AU231">
        <f>'Assessment Questions'!AX231</f>
        <v/>
      </c>
      <c r="AV231">
        <f>IF(OR($H231="",$H231="N/A"),"",IF(OR($AU231="",$AU231="Everywhere",$AU231="Not applicable"),1,IF($AU231="Pilot / one team",0.4,IF($AU231="One unit or site",0.7,0.9))))</f>
        <v/>
      </c>
      <c r="AW231" t="inlineStr">
        <is>
          <t>Manufacturing MES</t>
        </is>
      </c>
      <c r="AX231" t="inlineStr">
        <is>
          <t>Manufacturing MES</t>
        </is>
      </c>
      <c r="AY231" t="n">
        <v>7</v>
      </c>
      <c r="AZ231" t="n">
        <v>231</v>
      </c>
    </row>
    <row r="232">
      <c r="A232" t="inlineStr">
        <is>
          <t>MANU-004</t>
        </is>
      </c>
      <c r="B232" t="inlineStr">
        <is>
          <t>Production footprint</t>
        </is>
      </c>
      <c r="C232" t="inlineStr">
        <is>
          <t>How mature is the organization in managing minimum viable production under staff absence, utility outage, supplier delay or site risk, including ownership, evidence, metrics, fallback procedures and crisis stress testing?</t>
        </is>
      </c>
      <c r="D232" t="inlineStr">
        <is>
          <t>This topic affects exposure to Manufacturing disruption; Safety incident; Energy outage; Cyberattack. It helps identify how disruption may impact operations, people, revenue, systems, legal exposure or recovery time.</t>
        </is>
      </c>
      <c r="E232" t="inlineStr">
        <is>
          <t>ISO 9001; ISO 45001; ISA-95; IEC 62443; ISO 55001; Lean; Six Sigma; TPM; MES/MOM practices</t>
        </is>
      </c>
      <c r="F232" t="inlineStr">
        <is>
          <t>Policy/SOP; owner/RACI; system report; dashboard; contracts; test records; incident history; interview evidence related to minimum viable production under staff absence, utility outage, supplier delay or site risk.</t>
        </is>
      </c>
      <c r="G232">
        <f>'Assessment Questions'!J232</f>
        <v/>
      </c>
      <c r="H232">
        <f>IF($Z232="","",IF($Z232="N/A","N/A",VALUE(LEFT($Z232,1))))</f>
        <v/>
      </c>
      <c r="I232">
        <f>IF($H232="","",IF($H232="N/A","",VALUE($H232)/5*$G232))</f>
        <v/>
      </c>
      <c r="J232">
        <f>IF(OR($H232="",$H232="N/A"),"",$G232)</f>
        <v/>
      </c>
      <c r="K232">
        <f>IF(OR($H232="",$H232="N/A"),"",$J232-$I232)</f>
        <v/>
      </c>
      <c r="L232">
        <f>IF($H232="","",IF($H232="N/A","N/A",IF(VALUE($H232)&lt;=1,"Critical",IF(VALUE($H232)&lt;=2,"High",IF(VALUE($H232)&lt;=3,"Medium",IF(VALUE($H232)&lt;=4,"Low","Resilient"))))))</f>
        <v/>
      </c>
      <c r="M232" t="inlineStr">
        <is>
          <t>Does not exist; no owner, no documentation, no practice.</t>
        </is>
      </c>
      <c r="N232" t="inlineStr">
        <is>
          <t>Ad hoc; depends entirely on specific individuals.</t>
        </is>
      </c>
      <c r="O232" t="inlineStr">
        <is>
          <t>Partially documented or implemented; coverage inconsistent; never tested under stress.</t>
        </is>
      </c>
      <c r="P232" t="inlineStr">
        <is>
          <t>Documented, owned, executed consistently; basic evidence and metrics exist.</t>
        </is>
      </c>
      <c r="Q232" t="inlineStr">
        <is>
          <t>Measured and periodically tested/audited; integrated with adjacent processes.</t>
        </is>
      </c>
      <c r="R232" t="inlineStr">
        <is>
          <t>Optimized and automated where practical; stress-tested; benchmarked externally.</t>
        </is>
      </c>
      <c r="S232" t="inlineStr">
        <is>
          <t>Manufacturing disruption; Safety incident; Energy outage; Cyberattack</t>
        </is>
      </c>
      <c r="T232">
        <f>'Assessment Questions'!W232</f>
        <v/>
      </c>
      <c r="U232">
        <f>'Assessment Questions'!X232</f>
        <v/>
      </c>
      <c r="V232">
        <f>'Assessment Questions'!Y232</f>
        <v/>
      </c>
      <c r="W232" t="n">
        <v>5</v>
      </c>
      <c r="X232" t="n">
        <v>5</v>
      </c>
      <c r="Y232" t="n">
        <v>5</v>
      </c>
      <c r="Z232">
        <f>'Assessment Questions'!AC232</f>
        <v/>
      </c>
      <c r="AA232" t="inlineStr">
        <is>
          <t>Quality and safety</t>
        </is>
      </c>
      <c r="AB232">
        <f>COUNTIF($B$229:$B$256,$AA232)</f>
        <v/>
      </c>
      <c r="AC232">
        <f>IFERROR(SUMPRODUCT(($B$229:$B$256=$AA232)*($H$229:$H$256&lt;&gt;"")*($H$229:$H$256&lt;&gt;"N/A")*IFERROR(VALUE($H$229:$H$256),0))/SUMPRODUCT(($B$229:$B$256=$AA232)*($H$229:$H$256&lt;&gt;"")*($H$229:$H$256&lt;&gt;"N/A")),0)</f>
        <v/>
      </c>
      <c r="AD232">
        <f>AC232/5</f>
        <v/>
      </c>
      <c r="AE232">
        <f>COUNTIFS($B$229:$B$256,$AA232,$L$229:$L$256,"Critical")+COUNTIFS($B$229:$B$256,$AA232,$L$229:$L$256,"High")</f>
        <v/>
      </c>
      <c r="AF232">
        <f>5-AC232</f>
        <v/>
      </c>
      <c r="AG232">
        <f>SUMPRODUCT(($B$229:$B$256=$AA232)*(ISNUMBER($H$229:$H$256)+($H$229:$H$256="N/A")))</f>
        <v/>
      </c>
      <c r="AH232">
        <f>'Assessment Questions'!AK232</f>
        <v/>
      </c>
      <c r="AI232">
        <f>'Assessment Questions'!AL232</f>
        <v/>
      </c>
      <c r="AJ232">
        <f>IF(OR($H232="",$H232="N/A"),"",IF($AH232="",VLOOKUP('Company Profile'!$B$40,_CONFIG_Model_Settings!$A$5:$B$8,2,FALSE),_xlfn.IFNA(VLOOKUP($AH232,_CONFIG_Model_Settings!$A$5:$B$8,2,FALSE),0.9)))</f>
        <v/>
      </c>
      <c r="AK232">
        <f>IF(OR($H232="",$H232="N/A"),"",IF($AI232="",VLOOKUP('Company Profile'!$B$41,_CONFIG_Model_Settings!$A$5:$B$8,2,FALSE),_xlfn.IFNA(VLOOKUP($AI232,_CONFIG_Model_Settings!$A$5:$B$8,2,FALSE),0.9)))</f>
        <v/>
      </c>
      <c r="AL232">
        <f>IF(OR($H232="",$H232="N/A"),"",ROUND(VALUE($H232)*$AJ232*$AK232*$AV232,2))</f>
        <v/>
      </c>
      <c r="AM232">
        <f>IF($AL232="","",ROUND($AL232/5*100,1))</f>
        <v/>
      </c>
      <c r="AN232">
        <f>IFERROR(MIN(5,MAX(0,(SUMIFS(_REF_Model_Content!$D$1:$D$157,_REF_Model_Content!$A$1:$A$157,'Company Profile'!$B$9,_REF_Model_Content!$B$1:$B$157,"Manufacturing MES"))+_xlfn.IFNA(VLOOKUP('Company Profile'!$B$35,_CONFIG_Model_Settings!$A$11:$B$13,2,0),0))),"")</f>
        <v/>
      </c>
      <c r="AO232">
        <f>IF($AL232="","",MAX(0,ROUND($AN232-$AL232,2)))</f>
        <v/>
      </c>
      <c r="AP232">
        <f>IFERROR(SUMIFS(_REF_Model_Content!$E$1:$E$157,_REF_Model_Content!$A$1:$A$157,'Company Profile'!$B$9,_REF_Model_Content!$B$1:$B$157,"Manufacturing MES"),1)</f>
        <v/>
      </c>
      <c r="AQ232">
        <f>IF($AO232="","",ROUND($AO232*$AP232*($G232/5),2))</f>
        <v/>
      </c>
      <c r="AR232">
        <f>IF($AO232="","",IF($AO232&gt;=2,"Critical industry gap",IF($AO232&gt;=1,"High industry gap",IF($AO232&gt;=0.5,"Moderate industry gap","Within target"))))</f>
        <v/>
      </c>
      <c r="AS232">
        <f>IF(OR($H232="",$H232="N/A"),0,VALUE($H232)*(($AJ232+$AK232)/2)*$AV232)</f>
        <v/>
      </c>
      <c r="AT232">
        <f>IF(OR($H232="",$H232="N/A"),0,($AJ232+$AK232)/2)</f>
        <v/>
      </c>
      <c r="AU232">
        <f>'Assessment Questions'!AX232</f>
        <v/>
      </c>
      <c r="AV232">
        <f>IF(OR($H232="",$H232="N/A"),"",IF(OR($AU232="",$AU232="Everywhere",$AU232="Not applicable"),1,IF($AU232="Pilot / one team",0.4,IF($AU232="One unit or site",0.7,0.9))))</f>
        <v/>
      </c>
      <c r="AW232" t="inlineStr">
        <is>
          <t>Manufacturing MES</t>
        </is>
      </c>
      <c r="AX232" t="inlineStr">
        <is>
          <t>Manufacturing MES</t>
        </is>
      </c>
      <c r="AY232" t="n">
        <v>8</v>
      </c>
      <c r="AZ232" t="n">
        <v>232</v>
      </c>
    </row>
    <row r="233">
      <c r="A233" t="inlineStr">
        <is>
          <t>MANU-005</t>
        </is>
      </c>
      <c r="B233" t="inlineStr">
        <is>
          <t>Production footprint</t>
        </is>
      </c>
      <c r="C233" t="inlineStr">
        <is>
          <t>How mature is the organization in managing line or site transferability if a facility fails, including ownership, evidence, metrics, fallback procedures and crisis stress testing?</t>
        </is>
      </c>
      <c r="D233" t="inlineStr">
        <is>
          <t>This topic affects exposure to Manufacturing disruption; Safety incident; Energy outage; Cyberattack. It helps identify how disruption may impact operations, people, revenue, systems, legal exposure or recovery time.</t>
        </is>
      </c>
      <c r="E233" t="inlineStr">
        <is>
          <t>ISO 9001; ISO 45001; ISA-95; IEC 62443; ISO 55001; Lean; Six Sigma; TPM; MES/MOM practices</t>
        </is>
      </c>
      <c r="F233" t="inlineStr">
        <is>
          <t>Policy/SOP; owner/RACI; system report; dashboard; contracts; test records; incident history; interview evidence related to line or site transferability if a facility fails.</t>
        </is>
      </c>
      <c r="G233">
        <f>'Assessment Questions'!J233</f>
        <v/>
      </c>
      <c r="H233">
        <f>IF($Z233="","",IF($Z233="N/A","N/A",VALUE(LEFT($Z233,1))))</f>
        <v/>
      </c>
      <c r="I233">
        <f>IF($H233="","",IF($H233="N/A","",VALUE($H233)/5*$G233))</f>
        <v/>
      </c>
      <c r="J233">
        <f>IF(OR($H233="",$H233="N/A"),"",$G233)</f>
        <v/>
      </c>
      <c r="K233">
        <f>IF(OR($H233="",$H233="N/A"),"",$J233-$I233)</f>
        <v/>
      </c>
      <c r="L233">
        <f>IF($H233="","",IF($H233="N/A","N/A",IF(VALUE($H233)&lt;=1,"Critical",IF(VALUE($H233)&lt;=2,"High",IF(VALUE($H233)&lt;=3,"Medium",IF(VALUE($H233)&lt;=4,"Low","Resilient"))))))</f>
        <v/>
      </c>
      <c r="M233" t="inlineStr">
        <is>
          <t>Does not exist; no owner, no documentation, no practice.</t>
        </is>
      </c>
      <c r="N233" t="inlineStr">
        <is>
          <t>Ad hoc; depends entirely on specific individuals.</t>
        </is>
      </c>
      <c r="O233" t="inlineStr">
        <is>
          <t>Partially documented or implemented; coverage inconsistent; never tested under stress.</t>
        </is>
      </c>
      <c r="P233" t="inlineStr">
        <is>
          <t>Documented, owned, executed consistently; basic evidence and metrics exist.</t>
        </is>
      </c>
      <c r="Q233" t="inlineStr">
        <is>
          <t>Measured and periodically tested/audited; integrated with adjacent processes.</t>
        </is>
      </c>
      <c r="R233" t="inlineStr">
        <is>
          <t>Optimized and automated where practical; stress-tested; benchmarked externally.</t>
        </is>
      </c>
      <c r="S233" t="inlineStr">
        <is>
          <t>Manufacturing disruption; Safety incident; Energy outage; Cyberattack</t>
        </is>
      </c>
      <c r="T233">
        <f>'Assessment Questions'!W233</f>
        <v/>
      </c>
      <c r="U233">
        <f>'Assessment Questions'!X233</f>
        <v/>
      </c>
      <c r="V233">
        <f>'Assessment Questions'!Y233</f>
        <v/>
      </c>
      <c r="W233" t="n">
        <v>5</v>
      </c>
      <c r="X233" t="n">
        <v>5</v>
      </c>
      <c r="Y233" t="n">
        <v>5</v>
      </c>
      <c r="Z233">
        <f>'Assessment Questions'!AC233</f>
        <v/>
      </c>
      <c r="AA233" t="inlineStr">
        <is>
          <t>OT security</t>
        </is>
      </c>
      <c r="AB233">
        <f>COUNTIF($B$229:$B$256,$AA233)</f>
        <v/>
      </c>
      <c r="AC233">
        <f>IFERROR(SUMPRODUCT(($B$229:$B$256=$AA233)*($H$229:$H$256&lt;&gt;"")*($H$229:$H$256&lt;&gt;"N/A")*IFERROR(VALUE($H$229:$H$256),0))/SUMPRODUCT(($B$229:$B$256=$AA233)*($H$229:$H$256&lt;&gt;"")*($H$229:$H$256&lt;&gt;"N/A")),0)</f>
        <v/>
      </c>
      <c r="AD233">
        <f>AC233/5</f>
        <v/>
      </c>
      <c r="AE233">
        <f>COUNTIFS($B$229:$B$256,$AA233,$L$229:$L$256,"Critical")+COUNTIFS($B$229:$B$256,$AA233,$L$229:$L$256,"High")</f>
        <v/>
      </c>
      <c r="AF233">
        <f>5-AC233</f>
        <v/>
      </c>
      <c r="AG233">
        <f>SUMPRODUCT(($B$229:$B$256=$AA233)*(ISNUMBER($H$229:$H$256)+($H$229:$H$256="N/A")))</f>
        <v/>
      </c>
      <c r="AH233">
        <f>'Assessment Questions'!AK233</f>
        <v/>
      </c>
      <c r="AI233">
        <f>'Assessment Questions'!AL233</f>
        <v/>
      </c>
      <c r="AJ233">
        <f>IF(OR($H233="",$H233="N/A"),"",IF($AH233="",VLOOKUP('Company Profile'!$B$40,_CONFIG_Model_Settings!$A$5:$B$8,2,FALSE),_xlfn.IFNA(VLOOKUP($AH233,_CONFIG_Model_Settings!$A$5:$B$8,2,FALSE),0.9)))</f>
        <v/>
      </c>
      <c r="AK233">
        <f>IF(OR($H233="",$H233="N/A"),"",IF($AI233="",VLOOKUP('Company Profile'!$B$41,_CONFIG_Model_Settings!$A$5:$B$8,2,FALSE),_xlfn.IFNA(VLOOKUP($AI233,_CONFIG_Model_Settings!$A$5:$B$8,2,FALSE),0.9)))</f>
        <v/>
      </c>
      <c r="AL233">
        <f>IF(OR($H233="",$H233="N/A"),"",ROUND(VALUE($H233)*$AJ233*$AK233*$AV233,2))</f>
        <v/>
      </c>
      <c r="AM233">
        <f>IF($AL233="","",ROUND($AL233/5*100,1))</f>
        <v/>
      </c>
      <c r="AN233">
        <f>IFERROR(MIN(5,MAX(0,(SUMIFS(_REF_Model_Content!$D$1:$D$157,_REF_Model_Content!$A$1:$A$157,'Company Profile'!$B$9,_REF_Model_Content!$B$1:$B$157,"Manufacturing MES"))+_xlfn.IFNA(VLOOKUP('Company Profile'!$B$35,_CONFIG_Model_Settings!$A$11:$B$13,2,0),0))),"")</f>
        <v/>
      </c>
      <c r="AO233">
        <f>IF($AL233="","",MAX(0,ROUND($AN233-$AL233,2)))</f>
        <v/>
      </c>
      <c r="AP233">
        <f>IFERROR(SUMIFS(_REF_Model_Content!$E$1:$E$157,_REF_Model_Content!$A$1:$A$157,'Company Profile'!$B$9,_REF_Model_Content!$B$1:$B$157,"Manufacturing MES"),1)</f>
        <v/>
      </c>
      <c r="AQ233">
        <f>IF($AO233="","",ROUND($AO233*$AP233*($G233/5),2))</f>
        <v/>
      </c>
      <c r="AR233">
        <f>IF($AO233="","",IF($AO233&gt;=2,"Critical industry gap",IF($AO233&gt;=1,"High industry gap",IF($AO233&gt;=0.5,"Moderate industry gap","Within target"))))</f>
        <v/>
      </c>
      <c r="AS233">
        <f>IF(OR($H233="",$H233="N/A"),0,VALUE($H233)*(($AJ233+$AK233)/2)*$AV233)</f>
        <v/>
      </c>
      <c r="AT233">
        <f>IF(OR($H233="",$H233="N/A"),0,($AJ233+$AK233)/2)</f>
        <v/>
      </c>
      <c r="AU233">
        <f>'Assessment Questions'!AX233</f>
        <v/>
      </c>
      <c r="AV233">
        <f>IF(OR($H233="",$H233="N/A"),"",IF(OR($AU233="",$AU233="Everywhere",$AU233="Not applicable"),1,IF($AU233="Pilot / one team",0.4,IF($AU233="One unit or site",0.7,0.9))))</f>
        <v/>
      </c>
      <c r="AW233" t="inlineStr">
        <is>
          <t>Manufacturing MES</t>
        </is>
      </c>
      <c r="AX233" t="inlineStr">
        <is>
          <t>Manufacturing MES</t>
        </is>
      </c>
      <c r="AY233" t="n">
        <v>9</v>
      </c>
      <c r="AZ233" t="n">
        <v>233</v>
      </c>
    </row>
    <row r="234">
      <c r="A234" t="inlineStr">
        <is>
          <t>MANU-006</t>
        </is>
      </c>
      <c r="B234" t="inlineStr">
        <is>
          <t>Production footprint</t>
        </is>
      </c>
      <c r="C234" t="inlineStr">
        <is>
          <t>How mature is the organization in managing contract manufacturing capacity, quality, continuity, security and compliance, including ownership, evidence, metrics, fallback procedures and crisis stress testing?</t>
        </is>
      </c>
      <c r="D234" t="inlineStr">
        <is>
          <t>This topic affects exposure to Manufacturing disruption; Safety incident; Energy outage; Cyberattack. It helps identify how disruption may impact operations, people, revenue, systems, legal exposure or recovery time.</t>
        </is>
      </c>
      <c r="E234" t="inlineStr">
        <is>
          <t>ISO 9001; ISO 45001; ISA-95; IEC 62443; ISO 55001; Lean; Six Sigma; TPM; MES/MOM practices</t>
        </is>
      </c>
      <c r="F234" t="inlineStr">
        <is>
          <t>Policy/SOP; owner/RACI; system report; dashboard; contracts; test records; incident history; interview evidence related to contract manufacturing capacity, quality, continuity, security and compliance.</t>
        </is>
      </c>
      <c r="G234">
        <f>'Assessment Questions'!J234</f>
        <v/>
      </c>
      <c r="H234">
        <f>IF($Z234="","",IF($Z234="N/A","N/A",VALUE(LEFT($Z234,1))))</f>
        <v/>
      </c>
      <c r="I234">
        <f>IF($H234="","",IF($H234="N/A","",VALUE($H234)/5*$G234))</f>
        <v/>
      </c>
      <c r="J234">
        <f>IF(OR($H234="",$H234="N/A"),"",$G234)</f>
        <v/>
      </c>
      <c r="K234">
        <f>IF(OR($H234="",$H234="N/A"),"",$J234-$I234)</f>
        <v/>
      </c>
      <c r="L234">
        <f>IF($H234="","",IF($H234="N/A","N/A",IF(VALUE($H234)&lt;=1,"Critical",IF(VALUE($H234)&lt;=2,"High",IF(VALUE($H234)&lt;=3,"Medium",IF(VALUE($H234)&lt;=4,"Low","Resilient"))))))</f>
        <v/>
      </c>
      <c r="M234" t="inlineStr">
        <is>
          <t>Does not exist; no owner, no documentation, no practice.</t>
        </is>
      </c>
      <c r="N234" t="inlineStr">
        <is>
          <t>Ad hoc; depends entirely on specific individuals.</t>
        </is>
      </c>
      <c r="O234" t="inlineStr">
        <is>
          <t>Partially documented or implemented; coverage inconsistent; never tested under stress.</t>
        </is>
      </c>
      <c r="P234" t="inlineStr">
        <is>
          <t>Documented, owned, executed consistently; basic evidence and metrics exist.</t>
        </is>
      </c>
      <c r="Q234" t="inlineStr">
        <is>
          <t>Measured and periodically tested/audited; integrated with adjacent processes.</t>
        </is>
      </c>
      <c r="R234" t="inlineStr">
        <is>
          <t>Optimized and automated where practical; stress-tested; benchmarked externally.</t>
        </is>
      </c>
      <c r="S234" t="inlineStr">
        <is>
          <t>Manufacturing disruption; Safety incident; Energy outage; Cyberattack</t>
        </is>
      </c>
      <c r="T234">
        <f>'Assessment Questions'!W234</f>
        <v/>
      </c>
      <c r="U234">
        <f>'Assessment Questions'!X234</f>
        <v/>
      </c>
      <c r="V234">
        <f>'Assessment Questions'!Y234</f>
        <v/>
      </c>
      <c r="W234" t="n">
        <v>5</v>
      </c>
      <c r="X234" t="n">
        <v>5</v>
      </c>
      <c r="Y234" t="n">
        <v>5</v>
      </c>
      <c r="Z234">
        <f>'Assessment Questions'!AC234</f>
        <v/>
      </c>
      <c r="AB234">
        <f>COUNTIF($B$229:$B$256,$AA234)</f>
        <v/>
      </c>
      <c r="AC234">
        <f>IFERROR(SUMPRODUCT(($B$229:$B$256=$AA234)*($H$229:$H$256&lt;&gt;"")*($H$229:$H$256&lt;&gt;"N/A")*IFERROR(VALUE($H$229:$H$256),0))/SUMPRODUCT(($B$229:$B$256=$AA234)*($H$229:$H$256&lt;&gt;"")*($H$229:$H$256&lt;&gt;"N/A")),0)</f>
        <v/>
      </c>
      <c r="AD234">
        <f>AC234/5</f>
        <v/>
      </c>
      <c r="AE234">
        <f>COUNTIFS($B$229:$B$256,$AA234,$L$229:$L$256,"Critical")+COUNTIFS($B$229:$B$256,$AA234,$L$229:$L$256,"High")</f>
        <v/>
      </c>
      <c r="AF234">
        <f>5-AC234</f>
        <v/>
      </c>
      <c r="AG234">
        <f>SUMPRODUCT(($B$229:$B$256=$AA234)*(ISNUMBER($H$229:$H$256)+($H$229:$H$256="N/A")))</f>
        <v/>
      </c>
      <c r="AH234">
        <f>'Assessment Questions'!AK234</f>
        <v/>
      </c>
      <c r="AI234">
        <f>'Assessment Questions'!AL234</f>
        <v/>
      </c>
      <c r="AJ234">
        <f>IF(OR($H234="",$H234="N/A"),"",IF($AH234="",VLOOKUP('Company Profile'!$B$40,_CONFIG_Model_Settings!$A$5:$B$8,2,FALSE),_xlfn.IFNA(VLOOKUP($AH234,_CONFIG_Model_Settings!$A$5:$B$8,2,FALSE),0.9)))</f>
        <v/>
      </c>
      <c r="AK234">
        <f>IF(OR($H234="",$H234="N/A"),"",IF($AI234="",VLOOKUP('Company Profile'!$B$41,_CONFIG_Model_Settings!$A$5:$B$8,2,FALSE),_xlfn.IFNA(VLOOKUP($AI234,_CONFIG_Model_Settings!$A$5:$B$8,2,FALSE),0.9)))</f>
        <v/>
      </c>
      <c r="AL234">
        <f>IF(OR($H234="",$H234="N/A"),"",ROUND(VALUE($H234)*$AJ234*$AK234*$AV234,2))</f>
        <v/>
      </c>
      <c r="AM234">
        <f>IF($AL234="","",ROUND($AL234/5*100,1))</f>
        <v/>
      </c>
      <c r="AN234">
        <f>IFERROR(MIN(5,MAX(0,(SUMIFS(_REF_Model_Content!$D$1:$D$157,_REF_Model_Content!$A$1:$A$157,'Company Profile'!$B$9,_REF_Model_Content!$B$1:$B$157,"Manufacturing MES"))+_xlfn.IFNA(VLOOKUP('Company Profile'!$B$35,_CONFIG_Model_Settings!$A$11:$B$13,2,0),0))),"")</f>
        <v/>
      </c>
      <c r="AO234">
        <f>IF($AL234="","",MAX(0,ROUND($AN234-$AL234,2)))</f>
        <v/>
      </c>
      <c r="AP234">
        <f>IFERROR(SUMIFS(_REF_Model_Content!$E$1:$E$157,_REF_Model_Content!$A$1:$A$157,'Company Profile'!$B$9,_REF_Model_Content!$B$1:$B$157,"Manufacturing MES"),1)</f>
        <v/>
      </c>
      <c r="AQ234">
        <f>IF($AO234="","",ROUND($AO234*$AP234*($G234/5),2))</f>
        <v/>
      </c>
      <c r="AR234">
        <f>IF($AO234="","",IF($AO234&gt;=2,"Critical industry gap",IF($AO234&gt;=1,"High industry gap",IF($AO234&gt;=0.5,"Moderate industry gap","Within target"))))</f>
        <v/>
      </c>
      <c r="AS234">
        <f>IF(OR($H234="",$H234="N/A"),0,VALUE($H234)*(($AJ234+$AK234)/2)*$AV234)</f>
        <v/>
      </c>
      <c r="AT234">
        <f>IF(OR($H234="",$H234="N/A"),0,($AJ234+$AK234)/2)</f>
        <v/>
      </c>
      <c r="AU234">
        <f>'Assessment Questions'!AX234</f>
        <v/>
      </c>
      <c r="AV234">
        <f>IF(OR($H234="",$H234="N/A"),"",IF(OR($AU234="",$AU234="Everywhere",$AU234="Not applicable"),1,IF($AU234="Pilot / one team",0.4,IF($AU234="One unit or site",0.7,0.9))))</f>
        <v/>
      </c>
      <c r="AW234" t="inlineStr">
        <is>
          <t>Manufacturing MES</t>
        </is>
      </c>
      <c r="AX234" t="inlineStr">
        <is>
          <t>Manufacturing MES</t>
        </is>
      </c>
      <c r="AY234" t="n">
        <v>10</v>
      </c>
      <c r="AZ234" t="n">
        <v>234</v>
      </c>
    </row>
    <row r="235">
      <c r="A235" t="inlineStr">
        <is>
          <t>MANU-007</t>
        </is>
      </c>
      <c r="B235" t="inlineStr">
        <is>
          <t>MES and shop floor</t>
        </is>
      </c>
      <c r="C235" t="inlineStr">
        <is>
          <t>How mature is the organization in managing MES or equivalent shop-floor control for orders, operations, traceability, downtime and quality, including ownership, evidence, metrics, fallback procedures and crisis stress testing?</t>
        </is>
      </c>
      <c r="D235" t="inlineStr">
        <is>
          <t>This topic affects exposure to Manufacturing disruption; Safety incident; Energy outage; Cyberattack. It helps identify how disruption may impact operations, people, revenue, systems, legal exposure or recovery time.</t>
        </is>
      </c>
      <c r="E235" t="inlineStr">
        <is>
          <t>ISO 9001; ISO 45001; ISA-95; IEC 62443; ISO 55001; Lean; Six Sigma; TPM; MES/MOM practices</t>
        </is>
      </c>
      <c r="F235" t="inlineStr">
        <is>
          <t>Policy/SOP; owner/RACI; system report; dashboard; contracts; test records; incident history; interview evidence related to MES or equivalent shop-floor control for orders, operations, traceability, downtime and quality.</t>
        </is>
      </c>
      <c r="G235">
        <f>'Assessment Questions'!J235</f>
        <v/>
      </c>
      <c r="H235">
        <f>IF($Z235="","",IF($Z235="N/A","N/A",VALUE(LEFT($Z235,1))))</f>
        <v/>
      </c>
      <c r="I235">
        <f>IF($H235="","",IF($H235="N/A","",VALUE($H235)/5*$G235))</f>
        <v/>
      </c>
      <c r="J235">
        <f>IF(OR($H235="",$H235="N/A"),"",$G235)</f>
        <v/>
      </c>
      <c r="K235">
        <f>IF(OR($H235="",$H235="N/A"),"",$J235-$I235)</f>
        <v/>
      </c>
      <c r="L235">
        <f>IF($H235="","",IF($H235="N/A","N/A",IF(VALUE($H235)&lt;=1,"Critical",IF(VALUE($H235)&lt;=2,"High",IF(VALUE($H235)&lt;=3,"Medium",IF(VALUE($H235)&lt;=4,"Low","Resilient"))))))</f>
        <v/>
      </c>
      <c r="M235" t="inlineStr">
        <is>
          <t>Does not exist; no owner, no documentation, no practice.</t>
        </is>
      </c>
      <c r="N235" t="inlineStr">
        <is>
          <t>Ad hoc; depends entirely on specific individuals.</t>
        </is>
      </c>
      <c r="O235" t="inlineStr">
        <is>
          <t>Partially documented or implemented; coverage inconsistent; never tested under stress.</t>
        </is>
      </c>
      <c r="P235" t="inlineStr">
        <is>
          <t>Documented, owned, executed consistently; basic evidence and metrics exist.</t>
        </is>
      </c>
      <c r="Q235" t="inlineStr">
        <is>
          <t>Measured and periodically tested/audited; integrated with adjacent processes.</t>
        </is>
      </c>
      <c r="R235" t="inlineStr">
        <is>
          <t>Optimized and automated where practical; stress-tested; benchmarked externally.</t>
        </is>
      </c>
      <c r="S235" t="inlineStr">
        <is>
          <t>Manufacturing disruption; Safety incident; Energy outage; Cyberattack</t>
        </is>
      </c>
      <c r="T235">
        <f>'Assessment Questions'!W235</f>
        <v/>
      </c>
      <c r="U235">
        <f>'Assessment Questions'!X235</f>
        <v/>
      </c>
      <c r="V235">
        <f>'Assessment Questions'!Y235</f>
        <v/>
      </c>
      <c r="W235" t="n">
        <v>5</v>
      </c>
      <c r="X235" t="n">
        <v>5</v>
      </c>
      <c r="Y235" t="n">
        <v>5</v>
      </c>
      <c r="Z235">
        <f>'Assessment Questions'!AC235</f>
        <v/>
      </c>
      <c r="AB235">
        <f>COUNTIF($B$229:$B$256,$AA235)</f>
        <v/>
      </c>
      <c r="AC235">
        <f>IFERROR(SUMPRODUCT(($B$229:$B$256=$AA235)*($H$229:$H$256&lt;&gt;"")*($H$229:$H$256&lt;&gt;"N/A")*IFERROR(VALUE($H$229:$H$256),0))/SUMPRODUCT(($B$229:$B$256=$AA235)*($H$229:$H$256&lt;&gt;"")*($H$229:$H$256&lt;&gt;"N/A")),0)</f>
        <v/>
      </c>
      <c r="AD235">
        <f>AC235/5</f>
        <v/>
      </c>
      <c r="AE235">
        <f>COUNTIFS($B$229:$B$256,$AA235,$L$229:$L$256,"Critical")+COUNTIFS($B$229:$B$256,$AA235,$L$229:$L$256,"High")</f>
        <v/>
      </c>
      <c r="AF235">
        <f>5-AC235</f>
        <v/>
      </c>
      <c r="AG235">
        <f>SUMPRODUCT(($B$229:$B$256=$AA235)*(ISNUMBER($H$229:$H$256)+($H$229:$H$256="N/A")))</f>
        <v/>
      </c>
      <c r="AH235">
        <f>'Assessment Questions'!AK235</f>
        <v/>
      </c>
      <c r="AI235">
        <f>'Assessment Questions'!AL235</f>
        <v/>
      </c>
      <c r="AJ235">
        <f>IF(OR($H235="",$H235="N/A"),"",IF($AH235="",VLOOKUP('Company Profile'!$B$40,_CONFIG_Model_Settings!$A$5:$B$8,2,FALSE),_xlfn.IFNA(VLOOKUP($AH235,_CONFIG_Model_Settings!$A$5:$B$8,2,FALSE),0.9)))</f>
        <v/>
      </c>
      <c r="AK235">
        <f>IF(OR($H235="",$H235="N/A"),"",IF($AI235="",VLOOKUP('Company Profile'!$B$41,_CONFIG_Model_Settings!$A$5:$B$8,2,FALSE),_xlfn.IFNA(VLOOKUP($AI235,_CONFIG_Model_Settings!$A$5:$B$8,2,FALSE),0.9)))</f>
        <v/>
      </c>
      <c r="AL235">
        <f>IF(OR($H235="",$H235="N/A"),"",ROUND(VALUE($H235)*$AJ235*$AK235*$AV235,2))</f>
        <v/>
      </c>
      <c r="AM235">
        <f>IF($AL235="","",ROUND($AL235/5*100,1))</f>
        <v/>
      </c>
      <c r="AN235">
        <f>IFERROR(MIN(5,MAX(0,(SUMIFS(_REF_Model_Content!$D$1:$D$157,_REF_Model_Content!$A$1:$A$157,'Company Profile'!$B$9,_REF_Model_Content!$B$1:$B$157,"Manufacturing MES"))+_xlfn.IFNA(VLOOKUP('Company Profile'!$B$35,_CONFIG_Model_Settings!$A$11:$B$13,2,0),0))),"")</f>
        <v/>
      </c>
      <c r="AO235">
        <f>IF($AL235="","",MAX(0,ROUND($AN235-$AL235,2)))</f>
        <v/>
      </c>
      <c r="AP235">
        <f>IFERROR(SUMIFS(_REF_Model_Content!$E$1:$E$157,_REF_Model_Content!$A$1:$A$157,'Company Profile'!$B$9,_REF_Model_Content!$B$1:$B$157,"Manufacturing MES"),1)</f>
        <v/>
      </c>
      <c r="AQ235">
        <f>IF($AO235="","",ROUND($AO235*$AP235*($G235/5),2))</f>
        <v/>
      </c>
      <c r="AR235">
        <f>IF($AO235="","",IF($AO235&gt;=2,"Critical industry gap",IF($AO235&gt;=1,"High industry gap",IF($AO235&gt;=0.5,"Moderate industry gap","Within target"))))</f>
        <v/>
      </c>
      <c r="AS235">
        <f>IF(OR($H235="",$H235="N/A"),0,VALUE($H235)*(($AJ235+$AK235)/2)*$AV235)</f>
        <v/>
      </c>
      <c r="AT235">
        <f>IF(OR($H235="",$H235="N/A"),0,($AJ235+$AK235)/2)</f>
        <v/>
      </c>
      <c r="AU235">
        <f>'Assessment Questions'!AX235</f>
        <v/>
      </c>
      <c r="AV235">
        <f>IF(OR($H235="",$H235="N/A"),"",IF(OR($AU235="",$AU235="Everywhere",$AU235="Not applicable"),1,IF($AU235="Pilot / one team",0.4,IF($AU235="One unit or site",0.7,0.9))))</f>
        <v/>
      </c>
      <c r="AW235" t="inlineStr">
        <is>
          <t>Manufacturing MES</t>
        </is>
      </c>
      <c r="AX235" t="inlineStr">
        <is>
          <t>Manufacturing MES</t>
        </is>
      </c>
      <c r="AY235" t="n">
        <v>11</v>
      </c>
      <c r="AZ235" t="n">
        <v>235</v>
      </c>
    </row>
    <row r="236">
      <c r="A236" t="inlineStr">
        <is>
          <t>MANU-008</t>
        </is>
      </c>
      <c r="B236" t="inlineStr">
        <is>
          <t>MES and shop floor</t>
        </is>
      </c>
      <c r="C236" t="inlineStr">
        <is>
          <t>How mature is the organization in managing MES manual or offline fallback procedures, including ownership, evidence, metrics, fallback procedures and crisis stress testing?</t>
        </is>
      </c>
      <c r="D236" t="inlineStr">
        <is>
          <t>This topic affects exposure to Manufacturing disruption; Safety incident; Energy outage; Cyberattack. It helps identify how disruption may impact operations, people, revenue, systems, legal exposure or recovery time.</t>
        </is>
      </c>
      <c r="E236" t="inlineStr">
        <is>
          <t>ISO 9001; ISO 45001; ISA-95; IEC 62443; ISO 55001; Lean; Six Sigma; TPM; MES/MOM practices</t>
        </is>
      </c>
      <c r="F236" t="inlineStr">
        <is>
          <t>Policy/SOP; owner/RACI; system report; dashboard; contracts; test records; incident history; interview evidence related to MES manual or offline fallback procedures.</t>
        </is>
      </c>
      <c r="G236">
        <f>'Assessment Questions'!J236</f>
        <v/>
      </c>
      <c r="H236">
        <f>IF($Z236="","",IF($Z236="N/A","N/A",VALUE(LEFT($Z236,1))))</f>
        <v/>
      </c>
      <c r="I236">
        <f>IF($H236="","",IF($H236="N/A","",VALUE($H236)/5*$G236))</f>
        <v/>
      </c>
      <c r="J236">
        <f>IF(OR($H236="",$H236="N/A"),"",$G236)</f>
        <v/>
      </c>
      <c r="K236">
        <f>IF(OR($H236="",$H236="N/A"),"",$J236-$I236)</f>
        <v/>
      </c>
      <c r="L236">
        <f>IF($H236="","",IF($H236="N/A","N/A",IF(VALUE($H236)&lt;=1,"Critical",IF(VALUE($H236)&lt;=2,"High",IF(VALUE($H236)&lt;=3,"Medium",IF(VALUE($H236)&lt;=4,"Low","Resilient"))))))</f>
        <v/>
      </c>
      <c r="M236" t="inlineStr">
        <is>
          <t>No plan or procedure exists.</t>
        </is>
      </c>
      <c r="N236" t="inlineStr">
        <is>
          <t>Knowledge lives with individuals; nothing usable is written down.</t>
        </is>
      </c>
      <c r="O236" t="inlineStr">
        <is>
          <t>Drafted but outdated, not approved, or unknown to the people who must use it.</t>
        </is>
      </c>
      <c r="P236" t="inlineStr">
        <is>
          <t>Approved and current; owners assigned; affected staff know it exists and where to find it.</t>
        </is>
      </c>
      <c r="Q236" t="inlineStr">
        <is>
          <t>Tested against realistic scenarios; updated after each test or real incident.</t>
        </is>
      </c>
      <c r="R236" t="inlineStr">
        <is>
          <t>Exercised regularly including external parties; readiness measured; continuously improved.</t>
        </is>
      </c>
      <c r="S236" t="inlineStr">
        <is>
          <t>Manufacturing disruption; Safety incident; Energy outage; Cyberattack</t>
        </is>
      </c>
      <c r="T236">
        <f>'Assessment Questions'!W236</f>
        <v/>
      </c>
      <c r="U236">
        <f>'Assessment Questions'!X236</f>
        <v/>
      </c>
      <c r="V236">
        <f>'Assessment Questions'!Y236</f>
        <v/>
      </c>
      <c r="W236" t="n">
        <v>5</v>
      </c>
      <c r="X236" t="n">
        <v>5</v>
      </c>
      <c r="Y236" t="n">
        <v>5</v>
      </c>
      <c r="Z236">
        <f>'Assessment Questions'!AC236</f>
        <v/>
      </c>
      <c r="AB236">
        <f>COUNTIF($B$229:$B$256,$AA236)</f>
        <v/>
      </c>
      <c r="AC236">
        <f>IFERROR(SUMPRODUCT(($B$229:$B$256=$AA236)*($H$229:$H$256&lt;&gt;"")*($H$229:$H$256&lt;&gt;"N/A")*IFERROR(VALUE($H$229:$H$256),0))/SUMPRODUCT(($B$229:$B$256=$AA236)*($H$229:$H$256&lt;&gt;"")*($H$229:$H$256&lt;&gt;"N/A")),0)</f>
        <v/>
      </c>
      <c r="AD236">
        <f>AC236/5</f>
        <v/>
      </c>
      <c r="AE236">
        <f>COUNTIFS($B$229:$B$256,$AA236,$L$229:$L$256,"Critical")+COUNTIFS($B$229:$B$256,$AA236,$L$229:$L$256,"High")</f>
        <v/>
      </c>
      <c r="AF236">
        <f>5-AC236</f>
        <v/>
      </c>
      <c r="AG236">
        <f>SUMPRODUCT(($B$229:$B$256=$AA236)*(ISNUMBER($H$229:$H$256)+($H$229:$H$256="N/A")))</f>
        <v/>
      </c>
      <c r="AH236">
        <f>'Assessment Questions'!AK236</f>
        <v/>
      </c>
      <c r="AI236">
        <f>'Assessment Questions'!AL236</f>
        <v/>
      </c>
      <c r="AJ236">
        <f>IF(OR($H236="",$H236="N/A"),"",IF($AH236="",VLOOKUP('Company Profile'!$B$40,_CONFIG_Model_Settings!$A$5:$B$8,2,FALSE),_xlfn.IFNA(VLOOKUP($AH236,_CONFIG_Model_Settings!$A$5:$B$8,2,FALSE),0.9)))</f>
        <v/>
      </c>
      <c r="AK236">
        <f>IF(OR($H236="",$H236="N/A"),"",IF($AI236="",VLOOKUP('Company Profile'!$B$41,_CONFIG_Model_Settings!$A$5:$B$8,2,FALSE),_xlfn.IFNA(VLOOKUP($AI236,_CONFIG_Model_Settings!$A$5:$B$8,2,FALSE),0.9)))</f>
        <v/>
      </c>
      <c r="AL236">
        <f>IF(OR($H236="",$H236="N/A"),"",ROUND(VALUE($H236)*$AJ236*$AK236*$AV236,2))</f>
        <v/>
      </c>
      <c r="AM236">
        <f>IF($AL236="","",ROUND($AL236/5*100,1))</f>
        <v/>
      </c>
      <c r="AN236">
        <f>IFERROR(MIN(5,MAX(0,(SUMIFS(_REF_Model_Content!$D$1:$D$157,_REF_Model_Content!$A$1:$A$157,'Company Profile'!$B$9,_REF_Model_Content!$B$1:$B$157,"Manufacturing MES"))+_xlfn.IFNA(VLOOKUP('Company Profile'!$B$35,_CONFIG_Model_Settings!$A$11:$B$13,2,0),0))),"")</f>
        <v/>
      </c>
      <c r="AO236">
        <f>IF($AL236="","",MAX(0,ROUND($AN236-$AL236,2)))</f>
        <v/>
      </c>
      <c r="AP236">
        <f>IFERROR(SUMIFS(_REF_Model_Content!$E$1:$E$157,_REF_Model_Content!$A$1:$A$157,'Company Profile'!$B$9,_REF_Model_Content!$B$1:$B$157,"Manufacturing MES"),1)</f>
        <v/>
      </c>
      <c r="AQ236">
        <f>IF($AO236="","",ROUND($AO236*$AP236*($G236/5),2))</f>
        <v/>
      </c>
      <c r="AR236">
        <f>IF($AO236="","",IF($AO236&gt;=2,"Critical industry gap",IF($AO236&gt;=1,"High industry gap",IF($AO236&gt;=0.5,"Moderate industry gap","Within target"))))</f>
        <v/>
      </c>
      <c r="AS236">
        <f>IF(OR($H236="",$H236="N/A"),0,VALUE($H236)*(($AJ236+$AK236)/2)*$AV236)</f>
        <v/>
      </c>
      <c r="AT236">
        <f>IF(OR($H236="",$H236="N/A"),0,($AJ236+$AK236)/2)</f>
        <v/>
      </c>
      <c r="AU236">
        <f>'Assessment Questions'!AX236</f>
        <v/>
      </c>
      <c r="AV236">
        <f>IF(OR($H236="",$H236="N/A"),"",IF(OR($AU236="",$AU236="Everywhere",$AU236="Not applicable"),1,IF($AU236="Pilot / one team",0.4,IF($AU236="One unit or site",0.7,0.9))))</f>
        <v/>
      </c>
      <c r="AW236" t="inlineStr">
        <is>
          <t>Manufacturing MES</t>
        </is>
      </c>
      <c r="AX236" t="inlineStr">
        <is>
          <t>Manufacturing MES</t>
        </is>
      </c>
      <c r="AY236" t="n">
        <v>12</v>
      </c>
      <c r="AZ236" t="n">
        <v>236</v>
      </c>
    </row>
    <row r="237">
      <c r="A237" t="inlineStr">
        <is>
          <t>MANU-009</t>
        </is>
      </c>
      <c r="B237" t="inlineStr">
        <is>
          <t>MES and shop floor</t>
        </is>
      </c>
      <c r="C237" t="inlineStr">
        <is>
          <t>How mature is the organization in managing ERP-MES-MRP-WMS-quality-maintenance integration and reconciliation, including ownership, evidence, metrics, fallback procedures and crisis stress testing?</t>
        </is>
      </c>
      <c r="D237" t="inlineStr">
        <is>
          <t>This topic affects exposure to Manufacturing disruption; Safety incident; Energy outage; Cyberattack. It helps identify how disruption may impact operations, people, revenue, systems, legal exposure or recovery time.</t>
        </is>
      </c>
      <c r="E237" t="inlineStr">
        <is>
          <t>ISO 9001; ISO 45001; ISA-95; IEC 62443; ISO 55001; Lean; Six Sigma; TPM; MES/MOM practices</t>
        </is>
      </c>
      <c r="F237" t="inlineStr">
        <is>
          <t>Policy/SOP; owner/RACI; system report; dashboard; contracts; test records; incident history; interview evidence related to ERP-MES-MRP-WMS-quality-maintenance integration and reconciliation.</t>
        </is>
      </c>
      <c r="G237">
        <f>'Assessment Questions'!J237</f>
        <v/>
      </c>
      <c r="H237">
        <f>IF($Z237="","",IF($Z237="N/A","N/A",VALUE(LEFT($Z237,1))))</f>
        <v/>
      </c>
      <c r="I237">
        <f>IF($H237="","",IF($H237="N/A","",VALUE($H237)/5*$G237))</f>
        <v/>
      </c>
      <c r="J237">
        <f>IF(OR($H237="",$H237="N/A"),"",$G237)</f>
        <v/>
      </c>
      <c r="K237">
        <f>IF(OR($H237="",$H237="N/A"),"",$J237-$I237)</f>
        <v/>
      </c>
      <c r="L237">
        <f>IF($H237="","",IF($H237="N/A","N/A",IF(VALUE($H237)&lt;=1,"Critical",IF(VALUE($H237)&lt;=2,"High",IF(VALUE($H237)&lt;=3,"Medium",IF(VALUE($H237)&lt;=4,"Low","Resilient"))))))</f>
        <v/>
      </c>
      <c r="M237" t="inlineStr">
        <is>
          <t>Does not exist; no owner, no documentation, no practice.</t>
        </is>
      </c>
      <c r="N237" t="inlineStr">
        <is>
          <t>Ad hoc; depends entirely on specific individuals.</t>
        </is>
      </c>
      <c r="O237" t="inlineStr">
        <is>
          <t>Partially documented or implemented; coverage inconsistent; never tested under stress.</t>
        </is>
      </c>
      <c r="P237" t="inlineStr">
        <is>
          <t>Documented, owned, executed consistently; basic evidence and metrics exist.</t>
        </is>
      </c>
      <c r="Q237" t="inlineStr">
        <is>
          <t>Measured and periodically tested/audited; integrated with adjacent processes.</t>
        </is>
      </c>
      <c r="R237" t="inlineStr">
        <is>
          <t>Optimized and automated where practical; stress-tested; benchmarked externally.</t>
        </is>
      </c>
      <c r="S237" t="inlineStr">
        <is>
          <t>Manufacturing disruption; Safety incident; Energy outage; Cyberattack</t>
        </is>
      </c>
      <c r="T237">
        <f>'Assessment Questions'!W237</f>
        <v/>
      </c>
      <c r="U237">
        <f>'Assessment Questions'!X237</f>
        <v/>
      </c>
      <c r="V237">
        <f>'Assessment Questions'!Y237</f>
        <v/>
      </c>
      <c r="W237" t="n">
        <v>5</v>
      </c>
      <c r="X237" t="n">
        <v>5</v>
      </c>
      <c r="Y237" t="n">
        <v>5</v>
      </c>
      <c r="Z237">
        <f>'Assessment Questions'!AC237</f>
        <v/>
      </c>
      <c r="AB237">
        <f>COUNTIF($B$229:$B$256,$AA237)</f>
        <v/>
      </c>
      <c r="AC237">
        <f>IFERROR(SUMPRODUCT(($B$229:$B$256=$AA237)*($H$229:$H$256&lt;&gt;"")*($H$229:$H$256&lt;&gt;"N/A")*IFERROR(VALUE($H$229:$H$256),0))/SUMPRODUCT(($B$229:$B$256=$AA237)*($H$229:$H$256&lt;&gt;"")*($H$229:$H$256&lt;&gt;"N/A")),0)</f>
        <v/>
      </c>
      <c r="AD237">
        <f>AC237/5</f>
        <v/>
      </c>
      <c r="AE237">
        <f>COUNTIFS($B$229:$B$256,$AA237,$L$229:$L$256,"Critical")+COUNTIFS($B$229:$B$256,$AA237,$L$229:$L$256,"High")</f>
        <v/>
      </c>
      <c r="AF237">
        <f>5-AC237</f>
        <v/>
      </c>
      <c r="AG237">
        <f>SUMPRODUCT(($B$229:$B$256=$AA237)*(ISNUMBER($H$229:$H$256)+($H$229:$H$256="N/A")))</f>
        <v/>
      </c>
      <c r="AH237">
        <f>'Assessment Questions'!AK237</f>
        <v/>
      </c>
      <c r="AI237">
        <f>'Assessment Questions'!AL237</f>
        <v/>
      </c>
      <c r="AJ237">
        <f>IF(OR($H237="",$H237="N/A"),"",IF($AH237="",VLOOKUP('Company Profile'!$B$40,_CONFIG_Model_Settings!$A$5:$B$8,2,FALSE),_xlfn.IFNA(VLOOKUP($AH237,_CONFIG_Model_Settings!$A$5:$B$8,2,FALSE),0.9)))</f>
        <v/>
      </c>
      <c r="AK237">
        <f>IF(OR($H237="",$H237="N/A"),"",IF($AI237="",VLOOKUP('Company Profile'!$B$41,_CONFIG_Model_Settings!$A$5:$B$8,2,FALSE),_xlfn.IFNA(VLOOKUP($AI237,_CONFIG_Model_Settings!$A$5:$B$8,2,FALSE),0.9)))</f>
        <v/>
      </c>
      <c r="AL237">
        <f>IF(OR($H237="",$H237="N/A"),"",ROUND(VALUE($H237)*$AJ237*$AK237*$AV237,2))</f>
        <v/>
      </c>
      <c r="AM237">
        <f>IF($AL237="","",ROUND($AL237/5*100,1))</f>
        <v/>
      </c>
      <c r="AN237">
        <f>IFERROR(MIN(5,MAX(0,(SUMIFS(_REF_Model_Content!$D$1:$D$157,_REF_Model_Content!$A$1:$A$157,'Company Profile'!$B$9,_REF_Model_Content!$B$1:$B$157,"Manufacturing MES"))+_xlfn.IFNA(VLOOKUP('Company Profile'!$B$35,_CONFIG_Model_Settings!$A$11:$B$13,2,0),0))),"")</f>
        <v/>
      </c>
      <c r="AO237">
        <f>IF($AL237="","",MAX(0,ROUND($AN237-$AL237,2)))</f>
        <v/>
      </c>
      <c r="AP237">
        <f>IFERROR(SUMIFS(_REF_Model_Content!$E$1:$E$157,_REF_Model_Content!$A$1:$A$157,'Company Profile'!$B$9,_REF_Model_Content!$B$1:$B$157,"Manufacturing MES"),1)</f>
        <v/>
      </c>
      <c r="AQ237">
        <f>IF($AO237="","",ROUND($AO237*$AP237*($G237/5),2))</f>
        <v/>
      </c>
      <c r="AR237">
        <f>IF($AO237="","",IF($AO237&gt;=2,"Critical industry gap",IF($AO237&gt;=1,"High industry gap",IF($AO237&gt;=0.5,"Moderate industry gap","Within target"))))</f>
        <v/>
      </c>
      <c r="AS237">
        <f>IF(OR($H237="",$H237="N/A"),0,VALUE($H237)*(($AJ237+$AK237)/2)*$AV237)</f>
        <v/>
      </c>
      <c r="AT237">
        <f>IF(OR($H237="",$H237="N/A"),0,($AJ237+$AK237)/2)</f>
        <v/>
      </c>
      <c r="AU237">
        <f>'Assessment Questions'!AX237</f>
        <v/>
      </c>
      <c r="AV237">
        <f>IF(OR($H237="",$H237="N/A"),"",IF(OR($AU237="",$AU237="Everywhere",$AU237="Not applicable"),1,IF($AU237="Pilot / one team",0.4,IF($AU237="One unit or site",0.7,0.9))))</f>
        <v/>
      </c>
      <c r="AW237" t="inlineStr">
        <is>
          <t>Manufacturing MES</t>
        </is>
      </c>
      <c r="AX237" t="inlineStr">
        <is>
          <t>Manufacturing MES</t>
        </is>
      </c>
      <c r="AY237" t="n">
        <v>13</v>
      </c>
      <c r="AZ237" t="n">
        <v>237</v>
      </c>
    </row>
    <row r="238">
      <c r="A238" t="inlineStr">
        <is>
          <t>MANU-010</t>
        </is>
      </c>
      <c r="B238" t="inlineStr">
        <is>
          <t>MES and shop floor</t>
        </is>
      </c>
      <c r="C238" t="inlineStr">
        <is>
          <t>How mature is the organization in managing machine data collection for states, output, downtime, cycle time, defects and energy, including ownership, evidence, metrics, fallback procedures and crisis stress testing?</t>
        </is>
      </c>
      <c r="D238" t="inlineStr">
        <is>
          <t>This topic affects exposure to Manufacturing disruption; Safety incident; Energy outage; Cyberattack. It helps identify how disruption may impact operations, people, revenue, systems, legal exposure or recovery time.</t>
        </is>
      </c>
      <c r="E238" t="inlineStr">
        <is>
          <t>ISO 9001; ISO 45001; ISA-95; IEC 62443; ISO 55001; Lean; Six Sigma; TPM; MES/MOM practices</t>
        </is>
      </c>
      <c r="F238" t="inlineStr">
        <is>
          <t>Policy/SOP; owner/RACI; system report; dashboard; contracts; test records; incident history; interview evidence related to machine data collection for states, output, downtime, cycle time, defects and energy.</t>
        </is>
      </c>
      <c r="G238">
        <f>'Assessment Questions'!J238</f>
        <v/>
      </c>
      <c r="H238">
        <f>IF($Z238="","",IF($Z238="N/A","N/A",VALUE(LEFT($Z238,1))))</f>
        <v/>
      </c>
      <c r="I238">
        <f>IF($H238="","",IF($H238="N/A","",VALUE($H238)/5*$G238))</f>
        <v/>
      </c>
      <c r="J238">
        <f>IF(OR($H238="",$H238="N/A"),"",$G238)</f>
        <v/>
      </c>
      <c r="K238">
        <f>IF(OR($H238="",$H238="N/A"),"",$J238-$I238)</f>
        <v/>
      </c>
      <c r="L238">
        <f>IF($H238="","",IF($H238="N/A","N/A",IF(VALUE($H238)&lt;=1,"Critical",IF(VALUE($H238)&lt;=2,"High",IF(VALUE($H238)&lt;=3,"Medium",IF(VALUE($H238)&lt;=4,"Low","Resilient"))))))</f>
        <v/>
      </c>
      <c r="M238" t="inlineStr">
        <is>
          <t>No reliable evidence that machine data collection for states, output, downtime, cycle time, defects and energy is defined, owned or managed.</t>
        </is>
      </c>
      <c r="N238" t="inlineStr">
        <is>
          <t>Machine data collection for states, output, downtime, cycle time, defects and energy is handled informally and depends on individual knowledge or heroic effort.</t>
        </is>
      </c>
      <c r="O238" t="inlineStr">
        <is>
          <t>Machine data collection for states, output, downtime, cycle time, defects and energy is partially documented or implemented, but coverage is inconsistent and not crisis-tested.</t>
        </is>
      </c>
      <c r="P238" t="inlineStr">
        <is>
          <t>Machine data collection for states, output, downtime, cycle time, defects and energy is documented, owned, used in normal operations and supported by basic evidence or metrics.</t>
        </is>
      </c>
      <c r="Q238" t="inlineStr">
        <is>
          <t>Machine data collection for states, output, downtime, cycle time, defects and energy is measured, periodically reviewed, integrated with related processes and tested against relevant disruption scenarios.</t>
        </is>
      </c>
      <c r="R238" t="inlineStr">
        <is>
          <t>Machine data collection for states, output, downtime, cycle time, defects and energy is optimized, continuously improved, automated where practical and demonstrably supports crisis resilience.</t>
        </is>
      </c>
      <c r="S238" t="inlineStr">
        <is>
          <t>Manufacturing disruption; Safety incident; Energy outage; Cyberattack</t>
        </is>
      </c>
      <c r="T238">
        <f>'Assessment Questions'!W238</f>
        <v/>
      </c>
      <c r="U238">
        <f>'Assessment Questions'!X238</f>
        <v/>
      </c>
      <c r="V238">
        <f>'Assessment Questions'!Y238</f>
        <v/>
      </c>
      <c r="W238" t="n">
        <v>5</v>
      </c>
      <c r="X238" t="n">
        <v>5</v>
      </c>
      <c r="Y238" t="n">
        <v>5</v>
      </c>
      <c r="Z238">
        <f>'Assessment Questions'!AC238</f>
        <v/>
      </c>
      <c r="AB238">
        <f>COUNTIF($B$229:$B$256,$AA238)</f>
        <v/>
      </c>
      <c r="AC238">
        <f>IFERROR(SUMPRODUCT(($B$229:$B$256=$AA238)*($H$229:$H$256&lt;&gt;"")*($H$229:$H$256&lt;&gt;"N/A")*IFERROR(VALUE($H$229:$H$256),0))/SUMPRODUCT(($B$229:$B$256=$AA238)*($H$229:$H$256&lt;&gt;"")*($H$229:$H$256&lt;&gt;"N/A")),0)</f>
        <v/>
      </c>
      <c r="AD238">
        <f>AC238/5</f>
        <v/>
      </c>
      <c r="AE238">
        <f>COUNTIFS($B$229:$B$256,$AA238,$L$229:$L$256,"Critical")+COUNTIFS($B$229:$B$256,$AA238,$L$229:$L$256,"High")</f>
        <v/>
      </c>
      <c r="AF238">
        <f>5-AC238</f>
        <v/>
      </c>
      <c r="AG238">
        <f>SUMPRODUCT(($B$229:$B$256=$AA238)*(ISNUMBER($H$229:$H$256)+($H$229:$H$256="N/A")))</f>
        <v/>
      </c>
      <c r="AH238">
        <f>'Assessment Questions'!AK238</f>
        <v/>
      </c>
      <c r="AI238">
        <f>'Assessment Questions'!AL238</f>
        <v/>
      </c>
      <c r="AJ238">
        <f>IF(OR($H238="",$H238="N/A"),"",IF($AH238="",VLOOKUP('Company Profile'!$B$40,_CONFIG_Model_Settings!$A$5:$B$8,2,FALSE),_xlfn.IFNA(VLOOKUP($AH238,_CONFIG_Model_Settings!$A$5:$B$8,2,FALSE),0.9)))</f>
        <v/>
      </c>
      <c r="AK238">
        <f>IF(OR($H238="",$H238="N/A"),"",IF($AI238="",VLOOKUP('Company Profile'!$B$41,_CONFIG_Model_Settings!$A$5:$B$8,2,FALSE),_xlfn.IFNA(VLOOKUP($AI238,_CONFIG_Model_Settings!$A$5:$B$8,2,FALSE),0.9)))</f>
        <v/>
      </c>
      <c r="AL238">
        <f>IF(OR($H238="",$H238="N/A"),"",ROUND(VALUE($H238)*$AJ238*$AK238*$AV238,2))</f>
        <v/>
      </c>
      <c r="AM238">
        <f>IF($AL238="","",ROUND($AL238/5*100,1))</f>
        <v/>
      </c>
      <c r="AN238">
        <f>IFERROR(MIN(5,MAX(0,(SUMIFS(_REF_Model_Content!$D$1:$D$157,_REF_Model_Content!$A$1:$A$157,'Company Profile'!$B$9,_REF_Model_Content!$B$1:$B$157,"Manufacturing MES"))+_xlfn.IFNA(VLOOKUP('Company Profile'!$B$35,_CONFIG_Model_Settings!$A$11:$B$13,2,0),0))),"")</f>
        <v/>
      </c>
      <c r="AO238">
        <f>IF($AL238="","",MAX(0,ROUND($AN238-$AL238,2)))</f>
        <v/>
      </c>
      <c r="AP238">
        <f>IFERROR(SUMIFS(_REF_Model_Content!$E$1:$E$157,_REF_Model_Content!$A$1:$A$157,'Company Profile'!$B$9,_REF_Model_Content!$B$1:$B$157,"Manufacturing MES"),1)</f>
        <v/>
      </c>
      <c r="AQ238">
        <f>IF($AO238="","",ROUND($AO238*$AP238*($G238/5),2))</f>
        <v/>
      </c>
      <c r="AR238">
        <f>IF($AO238="","",IF($AO238&gt;=2,"Critical industry gap",IF($AO238&gt;=1,"High industry gap",IF($AO238&gt;=0.5,"Moderate industry gap","Within target"))))</f>
        <v/>
      </c>
      <c r="AS238">
        <f>IF(OR($H238="",$H238="N/A"),0,VALUE($H238)*(($AJ238+$AK238)/2)*$AV238)</f>
        <v/>
      </c>
      <c r="AT238">
        <f>IF(OR($H238="",$H238="N/A"),0,($AJ238+$AK238)/2)</f>
        <v/>
      </c>
      <c r="AU238">
        <f>'Assessment Questions'!AX238</f>
        <v/>
      </c>
      <c r="AV238">
        <f>IF(OR($H238="",$H238="N/A"),"",IF(OR($AU238="",$AU238="Everywhere",$AU238="Not applicable"),1,IF($AU238="Pilot / one team",0.4,IF($AU238="One unit or site",0.7,0.9))))</f>
        <v/>
      </c>
      <c r="AW238" t="inlineStr">
        <is>
          <t>Manufacturing MES</t>
        </is>
      </c>
      <c r="AX238" t="inlineStr">
        <is>
          <t>Manufacturing MES</t>
        </is>
      </c>
      <c r="AY238" t="n">
        <v>14</v>
      </c>
      <c r="AZ238" t="n">
        <v>238</v>
      </c>
    </row>
    <row r="239">
      <c r="A239" t="inlineStr">
        <is>
          <t>MANU-011</t>
        </is>
      </c>
      <c r="B239" t="inlineStr">
        <is>
          <t>MES and shop floor</t>
        </is>
      </c>
      <c r="C239" t="inlineStr">
        <is>
          <t>How mature is the organization in managing OEE, downtime reasons, microstops, rejects and performance loss analysis, including ownership, evidence, metrics, fallback procedures and crisis stress testing?</t>
        </is>
      </c>
      <c r="D239" t="inlineStr">
        <is>
          <t>This topic affects exposure to Manufacturing disruption; Safety incident; Energy outage; Cyberattack. It helps identify how disruption may impact operations, people, revenue, systems, legal exposure or recovery time.</t>
        </is>
      </c>
      <c r="E239" t="inlineStr">
        <is>
          <t>ISO 9001; ISO 45001; ISA-95; IEC 62443; ISO 55001; Lean; Six Sigma; TPM; MES/MOM practices</t>
        </is>
      </c>
      <c r="F239" t="inlineStr">
        <is>
          <t>Policy/SOP; owner/RACI; system report; dashboard; contracts; test records; incident history; interview evidence related to OEE, downtime reasons, microstops, rejects and performance loss analysis.</t>
        </is>
      </c>
      <c r="G239">
        <f>'Assessment Questions'!J239</f>
        <v/>
      </c>
      <c r="H239">
        <f>IF($Z239="","",IF($Z239="N/A","N/A",VALUE(LEFT($Z239,1))))</f>
        <v/>
      </c>
      <c r="I239">
        <f>IF($H239="","",IF($H239="N/A","",VALUE($H239)/5*$G239))</f>
        <v/>
      </c>
      <c r="J239">
        <f>IF(OR($H239="",$H239="N/A"),"",$G239)</f>
        <v/>
      </c>
      <c r="K239">
        <f>IF(OR($H239="",$H239="N/A"),"",$J239-$I239)</f>
        <v/>
      </c>
      <c r="L239">
        <f>IF($H239="","",IF($H239="N/A","N/A",IF(VALUE($H239)&lt;=1,"Critical",IF(VALUE($H239)&lt;=2,"High",IF(VALUE($H239)&lt;=3,"Medium",IF(VALUE($H239)&lt;=4,"Low","Resilient"))))))</f>
        <v/>
      </c>
      <c r="M239" t="inlineStr">
        <is>
          <t>No reliable evidence that oee, downtime reasons, microstops, rejects and performance loss analysis is defined, owned or managed.</t>
        </is>
      </c>
      <c r="N239" t="inlineStr">
        <is>
          <t>OEE, downtime reasons, microstops, rejects and performance loss analysis is handled informally and depends on individual knowledge or heroic effort.</t>
        </is>
      </c>
      <c r="O239" t="inlineStr">
        <is>
          <t>OEE, downtime reasons, microstops, rejects and performance loss analysis is partially documented or implemented, but coverage is inconsistent and not crisis-tested.</t>
        </is>
      </c>
      <c r="P239" t="inlineStr">
        <is>
          <t>OEE, downtime reasons, microstops, rejects and performance loss analysis is documented, owned, used in normal operations and supported by basic evidence or metrics.</t>
        </is>
      </c>
      <c r="Q239" t="inlineStr">
        <is>
          <t>OEE, downtime reasons, microstops, rejects and performance loss analysis is measured, periodically reviewed, integrated with related processes and tested against relevant disruption scenarios.</t>
        </is>
      </c>
      <c r="R239" t="inlineStr">
        <is>
          <t>OEE, downtime reasons, microstops, rejects and performance loss analysis is optimized, continuously improved, automated where practical and demonstrably supports crisis resilience.</t>
        </is>
      </c>
      <c r="S239" t="inlineStr">
        <is>
          <t>Manufacturing disruption; Safety incident; Energy outage; Cyberattack</t>
        </is>
      </c>
      <c r="T239">
        <f>'Assessment Questions'!W239</f>
        <v/>
      </c>
      <c r="U239">
        <f>'Assessment Questions'!X239</f>
        <v/>
      </c>
      <c r="V239">
        <f>'Assessment Questions'!Y239</f>
        <v/>
      </c>
      <c r="W239" t="n">
        <v>5</v>
      </c>
      <c r="X239" t="n">
        <v>5</v>
      </c>
      <c r="Y239" t="n">
        <v>5</v>
      </c>
      <c r="Z239">
        <f>'Assessment Questions'!AC239</f>
        <v/>
      </c>
      <c r="AB239">
        <f>COUNTIF($B$229:$B$256,$AA239)</f>
        <v/>
      </c>
      <c r="AC239">
        <f>IFERROR(SUMPRODUCT(($B$229:$B$256=$AA239)*($H$229:$H$256&lt;&gt;"")*($H$229:$H$256&lt;&gt;"N/A")*IFERROR(VALUE($H$229:$H$256),0))/SUMPRODUCT(($B$229:$B$256=$AA239)*($H$229:$H$256&lt;&gt;"")*($H$229:$H$256&lt;&gt;"N/A")),0)</f>
        <v/>
      </c>
      <c r="AD239">
        <f>AC239/5</f>
        <v/>
      </c>
      <c r="AE239">
        <f>COUNTIFS($B$229:$B$256,$AA239,$L$229:$L$256,"Critical")+COUNTIFS($B$229:$B$256,$AA239,$L$229:$L$256,"High")</f>
        <v/>
      </c>
      <c r="AF239">
        <f>5-AC239</f>
        <v/>
      </c>
      <c r="AG239">
        <f>SUMPRODUCT(($B$229:$B$256=$AA239)*(ISNUMBER($H$229:$H$256)+($H$229:$H$256="N/A")))</f>
        <v/>
      </c>
      <c r="AH239">
        <f>'Assessment Questions'!AK239</f>
        <v/>
      </c>
      <c r="AI239">
        <f>'Assessment Questions'!AL239</f>
        <v/>
      </c>
      <c r="AJ239">
        <f>IF(OR($H239="",$H239="N/A"),"",IF($AH239="",VLOOKUP('Company Profile'!$B$40,_CONFIG_Model_Settings!$A$5:$B$8,2,FALSE),_xlfn.IFNA(VLOOKUP($AH239,_CONFIG_Model_Settings!$A$5:$B$8,2,FALSE),0.9)))</f>
        <v/>
      </c>
      <c r="AK239">
        <f>IF(OR($H239="",$H239="N/A"),"",IF($AI239="",VLOOKUP('Company Profile'!$B$41,_CONFIG_Model_Settings!$A$5:$B$8,2,FALSE),_xlfn.IFNA(VLOOKUP($AI239,_CONFIG_Model_Settings!$A$5:$B$8,2,FALSE),0.9)))</f>
        <v/>
      </c>
      <c r="AL239">
        <f>IF(OR($H239="",$H239="N/A"),"",ROUND(VALUE($H239)*$AJ239*$AK239*$AV239,2))</f>
        <v/>
      </c>
      <c r="AM239">
        <f>IF($AL239="","",ROUND($AL239/5*100,1))</f>
        <v/>
      </c>
      <c r="AN239">
        <f>IFERROR(MIN(5,MAX(0,(SUMIFS(_REF_Model_Content!$D$1:$D$157,_REF_Model_Content!$A$1:$A$157,'Company Profile'!$B$9,_REF_Model_Content!$B$1:$B$157,"Manufacturing MES"))+_xlfn.IFNA(VLOOKUP('Company Profile'!$B$35,_CONFIG_Model_Settings!$A$11:$B$13,2,0),0))),"")</f>
        <v/>
      </c>
      <c r="AO239">
        <f>IF($AL239="","",MAX(0,ROUND($AN239-$AL239,2)))</f>
        <v/>
      </c>
      <c r="AP239">
        <f>IFERROR(SUMIFS(_REF_Model_Content!$E$1:$E$157,_REF_Model_Content!$A$1:$A$157,'Company Profile'!$B$9,_REF_Model_Content!$B$1:$B$157,"Manufacturing MES"),1)</f>
        <v/>
      </c>
      <c r="AQ239">
        <f>IF($AO239="","",ROUND($AO239*$AP239*($G239/5),2))</f>
        <v/>
      </c>
      <c r="AR239">
        <f>IF($AO239="","",IF($AO239&gt;=2,"Critical industry gap",IF($AO239&gt;=1,"High industry gap",IF($AO239&gt;=0.5,"Moderate industry gap","Within target"))))</f>
        <v/>
      </c>
      <c r="AS239">
        <f>IF(OR($H239="",$H239="N/A"),0,VALUE($H239)*(($AJ239+$AK239)/2)*$AV239)</f>
        <v/>
      </c>
      <c r="AT239">
        <f>IF(OR($H239="",$H239="N/A"),0,($AJ239+$AK239)/2)</f>
        <v/>
      </c>
      <c r="AU239">
        <f>'Assessment Questions'!AX239</f>
        <v/>
      </c>
      <c r="AV239">
        <f>IF(OR($H239="",$H239="N/A"),"",IF(OR($AU239="",$AU239="Everywhere",$AU239="Not applicable"),1,IF($AU239="Pilot / one team",0.4,IF($AU239="One unit or site",0.7,0.9))))</f>
        <v/>
      </c>
      <c r="AW239" t="inlineStr">
        <is>
          <t>Manufacturing MES</t>
        </is>
      </c>
      <c r="AX239" t="inlineStr">
        <is>
          <t>Manufacturing MES</t>
        </is>
      </c>
      <c r="AY239" t="n">
        <v>15</v>
      </c>
      <c r="AZ239" t="n">
        <v>239</v>
      </c>
    </row>
    <row r="240">
      <c r="A240" t="inlineStr">
        <is>
          <t>MANU-012</t>
        </is>
      </c>
      <c r="B240" t="inlineStr">
        <is>
          <t>MES and shop floor</t>
        </is>
      </c>
      <c r="C240" t="inlineStr">
        <is>
          <t>How mature is the organization in managing production data standards, reason codes and master data across lines and sites, including ownership, evidence, metrics, fallback procedures and crisis stress testing?</t>
        </is>
      </c>
      <c r="D240" t="inlineStr">
        <is>
          <t>This topic affects exposure to Manufacturing disruption; Safety incident; Energy outage; Cyberattack. It helps identify how disruption may impact operations, people, revenue, systems, legal exposure or recovery time.</t>
        </is>
      </c>
      <c r="E240" t="inlineStr">
        <is>
          <t>ISO 9001; ISO 45001; ISA-95; IEC 62443; ISO 55001; Lean; Six Sigma; TPM; MES/MOM practices</t>
        </is>
      </c>
      <c r="F240" t="inlineStr">
        <is>
          <t>Policy/SOP; owner/RACI; system report; dashboard; contracts; test records; incident history; interview evidence related to production data standards, reason codes and master data across lines and sites.</t>
        </is>
      </c>
      <c r="G240">
        <f>'Assessment Questions'!J240</f>
        <v/>
      </c>
      <c r="H240">
        <f>IF($Z240="","",IF($Z240="N/A","N/A",VALUE(LEFT($Z240,1))))</f>
        <v/>
      </c>
      <c r="I240">
        <f>IF($H240="","",IF($H240="N/A","",VALUE($H240)/5*$G240))</f>
        <v/>
      </c>
      <c r="J240">
        <f>IF(OR($H240="",$H240="N/A"),"",$G240)</f>
        <v/>
      </c>
      <c r="K240">
        <f>IF(OR($H240="",$H240="N/A"),"",$J240-$I240)</f>
        <v/>
      </c>
      <c r="L240">
        <f>IF($H240="","",IF($H240="N/A","N/A",IF(VALUE($H240)&lt;=1,"Critical",IF(VALUE($H240)&lt;=2,"High",IF(VALUE($H240)&lt;=3,"Medium",IF(VALUE($H240)&lt;=4,"Low","Resilient"))))))</f>
        <v/>
      </c>
      <c r="M240" t="inlineStr">
        <is>
          <t>Does not exist; no owner, no documentation, no practice.</t>
        </is>
      </c>
      <c r="N240" t="inlineStr">
        <is>
          <t>Ad hoc; depends entirely on specific individuals.</t>
        </is>
      </c>
      <c r="O240" t="inlineStr">
        <is>
          <t>Partially documented or implemented; coverage inconsistent; never tested under stress.</t>
        </is>
      </c>
      <c r="P240" t="inlineStr">
        <is>
          <t>Documented, owned, executed consistently; basic evidence and metrics exist.</t>
        </is>
      </c>
      <c r="Q240" t="inlineStr">
        <is>
          <t>Measured and periodically tested/audited; integrated with adjacent processes.</t>
        </is>
      </c>
      <c r="R240" t="inlineStr">
        <is>
          <t>Optimized and automated where practical; stress-tested; benchmarked externally.</t>
        </is>
      </c>
      <c r="S240" t="inlineStr">
        <is>
          <t>Manufacturing disruption; Safety incident; Energy outage; Cyberattack</t>
        </is>
      </c>
      <c r="T240">
        <f>'Assessment Questions'!W240</f>
        <v/>
      </c>
      <c r="U240">
        <f>'Assessment Questions'!X240</f>
        <v/>
      </c>
      <c r="V240">
        <f>'Assessment Questions'!Y240</f>
        <v/>
      </c>
      <c r="W240" t="n">
        <v>5</v>
      </c>
      <c r="X240" t="n">
        <v>5</v>
      </c>
      <c r="Y240" t="n">
        <v>5</v>
      </c>
      <c r="Z240">
        <f>'Assessment Questions'!AC240</f>
        <v/>
      </c>
      <c r="AB240">
        <f>COUNTIF($B$229:$B$256,$AA240)</f>
        <v/>
      </c>
      <c r="AC240">
        <f>IFERROR(SUMPRODUCT(($B$229:$B$256=$AA240)*($H$229:$H$256&lt;&gt;"")*($H$229:$H$256&lt;&gt;"N/A")*IFERROR(VALUE($H$229:$H$256),0))/SUMPRODUCT(($B$229:$B$256=$AA240)*($H$229:$H$256&lt;&gt;"")*($H$229:$H$256&lt;&gt;"N/A")),0)</f>
        <v/>
      </c>
      <c r="AD240">
        <f>AC240/5</f>
        <v/>
      </c>
      <c r="AE240">
        <f>COUNTIFS($B$229:$B$256,$AA240,$L$229:$L$256,"Critical")+COUNTIFS($B$229:$B$256,$AA240,$L$229:$L$256,"High")</f>
        <v/>
      </c>
      <c r="AF240">
        <f>5-AC240</f>
        <v/>
      </c>
      <c r="AG240">
        <f>SUMPRODUCT(($B$229:$B$256=$AA240)*(ISNUMBER($H$229:$H$256)+($H$229:$H$256="N/A")))</f>
        <v/>
      </c>
      <c r="AH240">
        <f>'Assessment Questions'!AK240</f>
        <v/>
      </c>
      <c r="AI240">
        <f>'Assessment Questions'!AL240</f>
        <v/>
      </c>
      <c r="AJ240">
        <f>IF(OR($H240="",$H240="N/A"),"",IF($AH240="",VLOOKUP('Company Profile'!$B$40,_CONFIG_Model_Settings!$A$5:$B$8,2,FALSE),_xlfn.IFNA(VLOOKUP($AH240,_CONFIG_Model_Settings!$A$5:$B$8,2,FALSE),0.9)))</f>
        <v/>
      </c>
      <c r="AK240">
        <f>IF(OR($H240="",$H240="N/A"),"",IF($AI240="",VLOOKUP('Company Profile'!$B$41,_CONFIG_Model_Settings!$A$5:$B$8,2,FALSE),_xlfn.IFNA(VLOOKUP($AI240,_CONFIG_Model_Settings!$A$5:$B$8,2,FALSE),0.9)))</f>
        <v/>
      </c>
      <c r="AL240">
        <f>IF(OR($H240="",$H240="N/A"),"",ROUND(VALUE($H240)*$AJ240*$AK240*$AV240,2))</f>
        <v/>
      </c>
      <c r="AM240">
        <f>IF($AL240="","",ROUND($AL240/5*100,1))</f>
        <v/>
      </c>
      <c r="AN240">
        <f>IFERROR(MIN(5,MAX(0,(SUMIFS(_REF_Model_Content!$D$1:$D$157,_REF_Model_Content!$A$1:$A$157,'Company Profile'!$B$9,_REF_Model_Content!$B$1:$B$157,"Manufacturing MES"))+_xlfn.IFNA(VLOOKUP('Company Profile'!$B$35,_CONFIG_Model_Settings!$A$11:$B$13,2,0),0))),"")</f>
        <v/>
      </c>
      <c r="AO240">
        <f>IF($AL240="","",MAX(0,ROUND($AN240-$AL240,2)))</f>
        <v/>
      </c>
      <c r="AP240">
        <f>IFERROR(SUMIFS(_REF_Model_Content!$E$1:$E$157,_REF_Model_Content!$A$1:$A$157,'Company Profile'!$B$9,_REF_Model_Content!$B$1:$B$157,"Manufacturing MES"),1)</f>
        <v/>
      </c>
      <c r="AQ240">
        <f>IF($AO240="","",ROUND($AO240*$AP240*($G240/5),2))</f>
        <v/>
      </c>
      <c r="AR240">
        <f>IF($AO240="","",IF($AO240&gt;=2,"Critical industry gap",IF($AO240&gt;=1,"High industry gap",IF($AO240&gt;=0.5,"Moderate industry gap","Within target"))))</f>
        <v/>
      </c>
      <c r="AS240">
        <f>IF(OR($H240="",$H240="N/A"),0,VALUE($H240)*(($AJ240+$AK240)/2)*$AV240)</f>
        <v/>
      </c>
      <c r="AT240">
        <f>IF(OR($H240="",$H240="N/A"),0,($AJ240+$AK240)/2)</f>
        <v/>
      </c>
      <c r="AU240">
        <f>'Assessment Questions'!AX240</f>
        <v/>
      </c>
      <c r="AV240">
        <f>IF(OR($H240="",$H240="N/A"),"",IF(OR($AU240="",$AU240="Everywhere",$AU240="Not applicable"),1,IF($AU240="Pilot / one team",0.4,IF($AU240="One unit or site",0.7,0.9))))</f>
        <v/>
      </c>
      <c r="AW240" t="inlineStr">
        <is>
          <t>Manufacturing MES</t>
        </is>
      </c>
      <c r="AX240" t="inlineStr">
        <is>
          <t>Manufacturing MES</t>
        </is>
      </c>
      <c r="AY240" t="n">
        <v>16</v>
      </c>
      <c r="AZ240" t="n">
        <v>240</v>
      </c>
    </row>
    <row r="241">
      <c r="A241" t="inlineStr">
        <is>
          <t>MANU-013</t>
        </is>
      </c>
      <c r="B241" t="inlineStr">
        <is>
          <t>Maintenance and assets</t>
        </is>
      </c>
      <c r="C241" t="inlineStr">
        <is>
          <t>How mature is the organization in managing preventive maintenance based on criticality, manufacturer requirements and failure history, including ownership, evidence, metrics, fallback procedures and crisis stress testing?</t>
        </is>
      </c>
      <c r="D241" t="inlineStr">
        <is>
          <t>This topic affects exposure to Manufacturing disruption; Safety incident; Energy outage; Cyberattack. It helps identify how disruption may impact operations, people, revenue, systems, legal exposure or recovery time.</t>
        </is>
      </c>
      <c r="E241" t="inlineStr">
        <is>
          <t>ISO 9001; ISO 45001; ISA-95; IEC 62443; ISO 55001; Lean; Six Sigma; TPM; MES/MOM practices</t>
        </is>
      </c>
      <c r="F241" t="inlineStr">
        <is>
          <t>Policy/SOP; owner/RACI; system report; dashboard; contracts; test records; incident history; interview evidence related to preventive maintenance based on criticality, manufacturer requirements and failure history.</t>
        </is>
      </c>
      <c r="G241">
        <f>'Assessment Questions'!J241</f>
        <v/>
      </c>
      <c r="H241">
        <f>IF($Z241="","",IF($Z241="N/A","N/A",VALUE(LEFT($Z241,1))))</f>
        <v/>
      </c>
      <c r="I241">
        <f>IF($H241="","",IF($H241="N/A","",VALUE($H241)/5*$G241))</f>
        <v/>
      </c>
      <c r="J241">
        <f>IF(OR($H241="",$H241="N/A"),"",$G241)</f>
        <v/>
      </c>
      <c r="K241">
        <f>IF(OR($H241="",$H241="N/A"),"",$J241-$I241)</f>
        <v/>
      </c>
      <c r="L241">
        <f>IF($H241="","",IF($H241="N/A","N/A",IF(VALUE($H241)&lt;=1,"Critical",IF(VALUE($H241)&lt;=2,"High",IF(VALUE($H241)&lt;=3,"Medium",IF(VALUE($H241)&lt;=4,"Low","Resilient"))))))</f>
        <v/>
      </c>
      <c r="M241" t="inlineStr">
        <is>
          <t>Does not exist; no owner, no documentation, no practice.</t>
        </is>
      </c>
      <c r="N241" t="inlineStr">
        <is>
          <t>Ad hoc; depends entirely on specific individuals.</t>
        </is>
      </c>
      <c r="O241" t="inlineStr">
        <is>
          <t>Partially documented or implemented; coverage inconsistent; never tested under stress.</t>
        </is>
      </c>
      <c r="P241" t="inlineStr">
        <is>
          <t>Documented, owned, executed consistently; basic evidence and metrics exist.</t>
        </is>
      </c>
      <c r="Q241" t="inlineStr">
        <is>
          <t>Measured and periodically tested/audited; integrated with adjacent processes.</t>
        </is>
      </c>
      <c r="R241" t="inlineStr">
        <is>
          <t>Optimized and automated where practical; stress-tested; benchmarked externally.</t>
        </is>
      </c>
      <c r="S241" t="inlineStr">
        <is>
          <t>Manufacturing disruption; Safety incident; Energy outage; Cyberattack</t>
        </is>
      </c>
      <c r="T241">
        <f>'Assessment Questions'!W241</f>
        <v/>
      </c>
      <c r="U241">
        <f>'Assessment Questions'!X241</f>
        <v/>
      </c>
      <c r="V241">
        <f>'Assessment Questions'!Y241</f>
        <v/>
      </c>
      <c r="W241" t="n">
        <v>5</v>
      </c>
      <c r="X241" t="n">
        <v>5</v>
      </c>
      <c r="Y241" t="n">
        <v>5</v>
      </c>
      <c r="Z241">
        <f>'Assessment Questions'!AC241</f>
        <v/>
      </c>
      <c r="AB241">
        <f>COUNTIF($B$229:$B$256,$AA241)</f>
        <v/>
      </c>
      <c r="AC241">
        <f>IFERROR(SUMPRODUCT(($B$229:$B$256=$AA241)*($H$229:$H$256&lt;&gt;"")*($H$229:$H$256&lt;&gt;"N/A")*IFERROR(VALUE($H$229:$H$256),0))/SUMPRODUCT(($B$229:$B$256=$AA241)*($H$229:$H$256&lt;&gt;"")*($H$229:$H$256&lt;&gt;"N/A")),0)</f>
        <v/>
      </c>
      <c r="AD241">
        <f>AC241/5</f>
        <v/>
      </c>
      <c r="AE241">
        <f>COUNTIFS($B$229:$B$256,$AA241,$L$229:$L$256,"Critical")+COUNTIFS($B$229:$B$256,$AA241,$L$229:$L$256,"High")</f>
        <v/>
      </c>
      <c r="AF241">
        <f>5-AC241</f>
        <v/>
      </c>
      <c r="AG241">
        <f>SUMPRODUCT(($B$229:$B$256=$AA241)*(ISNUMBER($H$229:$H$256)+($H$229:$H$256="N/A")))</f>
        <v/>
      </c>
      <c r="AH241">
        <f>'Assessment Questions'!AK241</f>
        <v/>
      </c>
      <c r="AI241">
        <f>'Assessment Questions'!AL241</f>
        <v/>
      </c>
      <c r="AJ241">
        <f>IF(OR($H241="",$H241="N/A"),"",IF($AH241="",VLOOKUP('Company Profile'!$B$40,_CONFIG_Model_Settings!$A$5:$B$8,2,FALSE),_xlfn.IFNA(VLOOKUP($AH241,_CONFIG_Model_Settings!$A$5:$B$8,2,FALSE),0.9)))</f>
        <v/>
      </c>
      <c r="AK241">
        <f>IF(OR($H241="",$H241="N/A"),"",IF($AI241="",VLOOKUP('Company Profile'!$B$41,_CONFIG_Model_Settings!$A$5:$B$8,2,FALSE),_xlfn.IFNA(VLOOKUP($AI241,_CONFIG_Model_Settings!$A$5:$B$8,2,FALSE),0.9)))</f>
        <v/>
      </c>
      <c r="AL241">
        <f>IF(OR($H241="",$H241="N/A"),"",ROUND(VALUE($H241)*$AJ241*$AK241*$AV241,2))</f>
        <v/>
      </c>
      <c r="AM241">
        <f>IF($AL241="","",ROUND($AL241/5*100,1))</f>
        <v/>
      </c>
      <c r="AN241">
        <f>IFERROR(MIN(5,MAX(0,(SUMIFS(_REF_Model_Content!$D$1:$D$157,_REF_Model_Content!$A$1:$A$157,'Company Profile'!$B$9,_REF_Model_Content!$B$1:$B$157,"Manufacturing MES"))+_xlfn.IFNA(VLOOKUP('Company Profile'!$B$35,_CONFIG_Model_Settings!$A$11:$B$13,2,0),0))),"")</f>
        <v/>
      </c>
      <c r="AO241">
        <f>IF($AL241="","",MAX(0,ROUND($AN241-$AL241,2)))</f>
        <v/>
      </c>
      <c r="AP241">
        <f>IFERROR(SUMIFS(_REF_Model_Content!$E$1:$E$157,_REF_Model_Content!$A$1:$A$157,'Company Profile'!$B$9,_REF_Model_Content!$B$1:$B$157,"Manufacturing MES"),1)</f>
        <v/>
      </c>
      <c r="AQ241">
        <f>IF($AO241="","",ROUND($AO241*$AP241*($G241/5),2))</f>
        <v/>
      </c>
      <c r="AR241">
        <f>IF($AO241="","",IF($AO241&gt;=2,"Critical industry gap",IF($AO241&gt;=1,"High industry gap",IF($AO241&gt;=0.5,"Moderate industry gap","Within target"))))</f>
        <v/>
      </c>
      <c r="AS241">
        <f>IF(OR($H241="",$H241="N/A"),0,VALUE($H241)*(($AJ241+$AK241)/2)*$AV241)</f>
        <v/>
      </c>
      <c r="AT241">
        <f>IF(OR($H241="",$H241="N/A"),0,($AJ241+$AK241)/2)</f>
        <v/>
      </c>
      <c r="AU241">
        <f>'Assessment Questions'!AX241</f>
        <v/>
      </c>
      <c r="AV241">
        <f>IF(OR($H241="",$H241="N/A"),"",IF(OR($AU241="",$AU241="Everywhere",$AU241="Not applicable"),1,IF($AU241="Pilot / one team",0.4,IF($AU241="One unit or site",0.7,0.9))))</f>
        <v/>
      </c>
      <c r="AW241" t="inlineStr">
        <is>
          <t>Manufacturing MES</t>
        </is>
      </c>
      <c r="AX241" t="inlineStr">
        <is>
          <t>Manufacturing MES</t>
        </is>
      </c>
      <c r="AY241" t="n">
        <v>17</v>
      </c>
      <c r="AZ241" t="n">
        <v>241</v>
      </c>
    </row>
    <row r="242">
      <c r="A242" t="inlineStr">
        <is>
          <t>MANU-014</t>
        </is>
      </c>
      <c r="B242" t="inlineStr">
        <is>
          <t>Maintenance and assets</t>
        </is>
      </c>
      <c r="C242" t="inlineStr">
        <is>
          <t>How mature is the organization in managing critical spare parts identification, stocking or sourcing with acceptable lead times, including ownership, evidence, metrics, fallback procedures and crisis stress testing?</t>
        </is>
      </c>
      <c r="D242" t="inlineStr">
        <is>
          <t>This topic affects exposure to Manufacturing disruption; Safety incident; Energy outage; Cyberattack. It helps identify how disruption may impact operations, people, revenue, systems, legal exposure or recovery time.</t>
        </is>
      </c>
      <c r="E242" t="inlineStr">
        <is>
          <t>ISO 9001; ISO 45001; ISA-95; IEC 62443; ISO 55001; Lean; Six Sigma; TPM; MES/MOM practices</t>
        </is>
      </c>
      <c r="F242" t="inlineStr">
        <is>
          <t>Policy/SOP; owner/RACI; system report; dashboard; contracts; test records; incident history; interview evidence related to critical spare parts identification, stocking or sourcing with acceptable lead times.</t>
        </is>
      </c>
      <c r="G242">
        <f>'Assessment Questions'!J242</f>
        <v/>
      </c>
      <c r="H242">
        <f>IF($Z242="","",IF($Z242="N/A","N/A",VALUE(LEFT($Z242,1))))</f>
        <v/>
      </c>
      <c r="I242">
        <f>IF($H242="","",IF($H242="N/A","",VALUE($H242)/5*$G242))</f>
        <v/>
      </c>
      <c r="J242">
        <f>IF(OR($H242="",$H242="N/A"),"",$G242)</f>
        <v/>
      </c>
      <c r="K242">
        <f>IF(OR($H242="",$H242="N/A"),"",$J242-$I242)</f>
        <v/>
      </c>
      <c r="L242">
        <f>IF($H242="","",IF($H242="N/A","N/A",IF(VALUE($H242)&lt;=1,"Critical",IF(VALUE($H242)&lt;=2,"High",IF(VALUE($H242)&lt;=3,"Medium",IF(VALUE($H242)&lt;=4,"Low","Resilient"))))))</f>
        <v/>
      </c>
      <c r="M242" t="inlineStr">
        <is>
          <t>Does not exist; no owner, no documentation, no practice.</t>
        </is>
      </c>
      <c r="N242" t="inlineStr">
        <is>
          <t>Ad hoc; depends entirely on specific individuals.</t>
        </is>
      </c>
      <c r="O242" t="inlineStr">
        <is>
          <t>Partially documented or implemented; coverage inconsistent; never tested under stress.</t>
        </is>
      </c>
      <c r="P242" t="inlineStr">
        <is>
          <t>Documented, owned, executed consistently; basic evidence and metrics exist.</t>
        </is>
      </c>
      <c r="Q242" t="inlineStr">
        <is>
          <t>Measured and periodically tested/audited; integrated with adjacent processes.</t>
        </is>
      </c>
      <c r="R242" t="inlineStr">
        <is>
          <t>Optimized and automated where practical; stress-tested; benchmarked externally.</t>
        </is>
      </c>
      <c r="S242" t="inlineStr">
        <is>
          <t>Manufacturing disruption; Safety incident; Energy outage; Cyberattack</t>
        </is>
      </c>
      <c r="T242">
        <f>'Assessment Questions'!W242</f>
        <v/>
      </c>
      <c r="U242">
        <f>'Assessment Questions'!X242</f>
        <v/>
      </c>
      <c r="V242">
        <f>'Assessment Questions'!Y242</f>
        <v/>
      </c>
      <c r="W242" t="n">
        <v>5</v>
      </c>
      <c r="X242" t="n">
        <v>5</v>
      </c>
      <c r="Y242" t="n">
        <v>5</v>
      </c>
      <c r="Z242">
        <f>'Assessment Questions'!AC242</f>
        <v/>
      </c>
      <c r="AB242">
        <f>COUNTIF($B$229:$B$256,$AA242)</f>
        <v/>
      </c>
      <c r="AC242">
        <f>IFERROR(SUMPRODUCT(($B$229:$B$256=$AA242)*($H$229:$H$256&lt;&gt;"")*($H$229:$H$256&lt;&gt;"N/A")*IFERROR(VALUE($H$229:$H$256),0))/SUMPRODUCT(($B$229:$B$256=$AA242)*($H$229:$H$256&lt;&gt;"")*($H$229:$H$256&lt;&gt;"N/A")),0)</f>
        <v/>
      </c>
      <c r="AD242">
        <f>AC242/5</f>
        <v/>
      </c>
      <c r="AE242">
        <f>COUNTIFS($B$229:$B$256,$AA242,$L$229:$L$256,"Critical")+COUNTIFS($B$229:$B$256,$AA242,$L$229:$L$256,"High")</f>
        <v/>
      </c>
      <c r="AF242">
        <f>5-AC242</f>
        <v/>
      </c>
      <c r="AG242">
        <f>SUMPRODUCT(($B$229:$B$256=$AA242)*(ISNUMBER($H$229:$H$256)+($H$229:$H$256="N/A")))</f>
        <v/>
      </c>
      <c r="AH242">
        <f>'Assessment Questions'!AK242</f>
        <v/>
      </c>
      <c r="AI242">
        <f>'Assessment Questions'!AL242</f>
        <v/>
      </c>
      <c r="AJ242">
        <f>IF(OR($H242="",$H242="N/A"),"",IF($AH242="",VLOOKUP('Company Profile'!$B$40,_CONFIG_Model_Settings!$A$5:$B$8,2,FALSE),_xlfn.IFNA(VLOOKUP($AH242,_CONFIG_Model_Settings!$A$5:$B$8,2,FALSE),0.9)))</f>
        <v/>
      </c>
      <c r="AK242">
        <f>IF(OR($H242="",$H242="N/A"),"",IF($AI242="",VLOOKUP('Company Profile'!$B$41,_CONFIG_Model_Settings!$A$5:$B$8,2,FALSE),_xlfn.IFNA(VLOOKUP($AI242,_CONFIG_Model_Settings!$A$5:$B$8,2,FALSE),0.9)))</f>
        <v/>
      </c>
      <c r="AL242">
        <f>IF(OR($H242="",$H242="N/A"),"",ROUND(VALUE($H242)*$AJ242*$AK242*$AV242,2))</f>
        <v/>
      </c>
      <c r="AM242">
        <f>IF($AL242="","",ROUND($AL242/5*100,1))</f>
        <v/>
      </c>
      <c r="AN242">
        <f>IFERROR(MIN(5,MAX(0,(SUMIFS(_REF_Model_Content!$D$1:$D$157,_REF_Model_Content!$A$1:$A$157,'Company Profile'!$B$9,_REF_Model_Content!$B$1:$B$157,"Manufacturing MES"))+_xlfn.IFNA(VLOOKUP('Company Profile'!$B$35,_CONFIG_Model_Settings!$A$11:$B$13,2,0),0))),"")</f>
        <v/>
      </c>
      <c r="AO242">
        <f>IF($AL242="","",MAX(0,ROUND($AN242-$AL242,2)))</f>
        <v/>
      </c>
      <c r="AP242">
        <f>IFERROR(SUMIFS(_REF_Model_Content!$E$1:$E$157,_REF_Model_Content!$A$1:$A$157,'Company Profile'!$B$9,_REF_Model_Content!$B$1:$B$157,"Manufacturing MES"),1)</f>
        <v/>
      </c>
      <c r="AQ242">
        <f>IF($AO242="","",ROUND($AO242*$AP242*($G242/5),2))</f>
        <v/>
      </c>
      <c r="AR242">
        <f>IF($AO242="","",IF($AO242&gt;=2,"Critical industry gap",IF($AO242&gt;=1,"High industry gap",IF($AO242&gt;=0.5,"Moderate industry gap","Within target"))))</f>
        <v/>
      </c>
      <c r="AS242">
        <f>IF(OR($H242="",$H242="N/A"),0,VALUE($H242)*(($AJ242+$AK242)/2)*$AV242)</f>
        <v/>
      </c>
      <c r="AT242">
        <f>IF(OR($H242="",$H242="N/A"),0,($AJ242+$AK242)/2)</f>
        <v/>
      </c>
      <c r="AU242">
        <f>'Assessment Questions'!AX242</f>
        <v/>
      </c>
      <c r="AV242">
        <f>IF(OR($H242="",$H242="N/A"),"",IF(OR($AU242="",$AU242="Everywhere",$AU242="Not applicable"),1,IF($AU242="Pilot / one team",0.4,IF($AU242="One unit or site",0.7,0.9))))</f>
        <v/>
      </c>
      <c r="AW242" t="inlineStr">
        <is>
          <t>Manufacturing MES</t>
        </is>
      </c>
      <c r="AX242" t="inlineStr">
        <is>
          <t>Manufacturing MES</t>
        </is>
      </c>
      <c r="AY242" t="n">
        <v>18</v>
      </c>
      <c r="AZ242" t="n">
        <v>242</v>
      </c>
    </row>
    <row r="243">
      <c r="A243" t="inlineStr">
        <is>
          <t>MANU-015</t>
        </is>
      </c>
      <c r="B243" t="inlineStr">
        <is>
          <t>Maintenance and assets</t>
        </is>
      </c>
      <c r="C243" t="inlineStr">
        <is>
          <t>How mature is the organization in managing predictive or condition-based maintenance for critical assets where economically justified, including ownership, evidence, metrics, fallback procedures and crisis stress testing?</t>
        </is>
      </c>
      <c r="D243" t="inlineStr">
        <is>
          <t>This topic affects exposure to Manufacturing disruption; Safety incident; Energy outage; Cyberattack. It helps identify how disruption may impact operations, people, revenue, systems, legal exposure or recovery time.</t>
        </is>
      </c>
      <c r="E243" t="inlineStr">
        <is>
          <t>ISO 9001; ISO 45001; ISA-95; IEC 62443; ISO 55001; Lean; Six Sigma; TPM; MES/MOM practices</t>
        </is>
      </c>
      <c r="F243" t="inlineStr">
        <is>
          <t>Policy/SOP; owner/RACI; system report; dashboard; contracts; test records; incident history; interview evidence related to predictive or condition-based maintenance for critical assets where economically justified.</t>
        </is>
      </c>
      <c r="G243">
        <f>'Assessment Questions'!J243</f>
        <v/>
      </c>
      <c r="H243">
        <f>IF($Z243="","",IF($Z243="N/A","N/A",VALUE(LEFT($Z243,1))))</f>
        <v/>
      </c>
      <c r="I243">
        <f>IF($H243="","",IF($H243="N/A","",VALUE($H243)/5*$G243))</f>
        <v/>
      </c>
      <c r="J243">
        <f>IF(OR($H243="",$H243="N/A"),"",$G243)</f>
        <v/>
      </c>
      <c r="K243">
        <f>IF(OR($H243="",$H243="N/A"),"",$J243-$I243)</f>
        <v/>
      </c>
      <c r="L243">
        <f>IF($H243="","",IF($H243="N/A","N/A",IF(VALUE($H243)&lt;=1,"Critical",IF(VALUE($H243)&lt;=2,"High",IF(VALUE($H243)&lt;=3,"Medium",IF(VALUE($H243)&lt;=4,"Low","Resilient"))))))</f>
        <v/>
      </c>
      <c r="M243" t="inlineStr">
        <is>
          <t>Does not exist; no owner, no documentation, no practice.</t>
        </is>
      </c>
      <c r="N243" t="inlineStr">
        <is>
          <t>Ad hoc; depends entirely on specific individuals.</t>
        </is>
      </c>
      <c r="O243" t="inlineStr">
        <is>
          <t>Partially documented or implemented; coverage inconsistent; never tested under stress.</t>
        </is>
      </c>
      <c r="P243" t="inlineStr">
        <is>
          <t>Documented, owned, executed consistently; basic evidence and metrics exist.</t>
        </is>
      </c>
      <c r="Q243" t="inlineStr">
        <is>
          <t>Measured and periodically tested/audited; integrated with adjacent processes.</t>
        </is>
      </c>
      <c r="R243" t="inlineStr">
        <is>
          <t>Optimized and automated where practical; stress-tested; benchmarked externally.</t>
        </is>
      </c>
      <c r="S243" t="inlineStr">
        <is>
          <t>Manufacturing disruption; Safety incident; Energy outage; Cyberattack</t>
        </is>
      </c>
      <c r="T243">
        <f>'Assessment Questions'!W243</f>
        <v/>
      </c>
      <c r="U243">
        <f>'Assessment Questions'!X243</f>
        <v/>
      </c>
      <c r="V243">
        <f>'Assessment Questions'!Y243</f>
        <v/>
      </c>
      <c r="W243" t="n">
        <v>5</v>
      </c>
      <c r="X243" t="n">
        <v>5</v>
      </c>
      <c r="Y243" t="n">
        <v>5</v>
      </c>
      <c r="Z243">
        <f>'Assessment Questions'!AC243</f>
        <v/>
      </c>
      <c r="AB243">
        <f>COUNTIF($B$229:$B$256,$AA243)</f>
        <v/>
      </c>
      <c r="AC243">
        <f>IFERROR(SUMPRODUCT(($B$229:$B$256=$AA243)*($H$229:$H$256&lt;&gt;"")*($H$229:$H$256&lt;&gt;"N/A")*IFERROR(VALUE($H$229:$H$256),0))/SUMPRODUCT(($B$229:$B$256=$AA243)*($H$229:$H$256&lt;&gt;"")*($H$229:$H$256&lt;&gt;"N/A")),0)</f>
        <v/>
      </c>
      <c r="AD243">
        <f>AC243/5</f>
        <v/>
      </c>
      <c r="AE243">
        <f>COUNTIFS($B$229:$B$256,$AA243,$L$229:$L$256,"Critical")+COUNTIFS($B$229:$B$256,$AA243,$L$229:$L$256,"High")</f>
        <v/>
      </c>
      <c r="AF243">
        <f>5-AC243</f>
        <v/>
      </c>
      <c r="AG243">
        <f>SUMPRODUCT(($B$229:$B$256=$AA243)*(ISNUMBER($H$229:$H$256)+($H$229:$H$256="N/A")))</f>
        <v/>
      </c>
      <c r="AH243">
        <f>'Assessment Questions'!AK243</f>
        <v/>
      </c>
      <c r="AI243">
        <f>'Assessment Questions'!AL243</f>
        <v/>
      </c>
      <c r="AJ243">
        <f>IF(OR($H243="",$H243="N/A"),"",IF($AH243="",VLOOKUP('Company Profile'!$B$40,_CONFIG_Model_Settings!$A$5:$B$8,2,FALSE),_xlfn.IFNA(VLOOKUP($AH243,_CONFIG_Model_Settings!$A$5:$B$8,2,FALSE),0.9)))</f>
        <v/>
      </c>
      <c r="AK243">
        <f>IF(OR($H243="",$H243="N/A"),"",IF($AI243="",VLOOKUP('Company Profile'!$B$41,_CONFIG_Model_Settings!$A$5:$B$8,2,FALSE),_xlfn.IFNA(VLOOKUP($AI243,_CONFIG_Model_Settings!$A$5:$B$8,2,FALSE),0.9)))</f>
        <v/>
      </c>
      <c r="AL243">
        <f>IF(OR($H243="",$H243="N/A"),"",ROUND(VALUE($H243)*$AJ243*$AK243*$AV243,2))</f>
        <v/>
      </c>
      <c r="AM243">
        <f>IF($AL243="","",ROUND($AL243/5*100,1))</f>
        <v/>
      </c>
      <c r="AN243">
        <f>IFERROR(MIN(5,MAX(0,(SUMIFS(_REF_Model_Content!$D$1:$D$157,_REF_Model_Content!$A$1:$A$157,'Company Profile'!$B$9,_REF_Model_Content!$B$1:$B$157,"Manufacturing MES"))+_xlfn.IFNA(VLOOKUP('Company Profile'!$B$35,_CONFIG_Model_Settings!$A$11:$B$13,2,0),0))),"")</f>
        <v/>
      </c>
      <c r="AO243">
        <f>IF($AL243="","",MAX(0,ROUND($AN243-$AL243,2)))</f>
        <v/>
      </c>
      <c r="AP243">
        <f>IFERROR(SUMIFS(_REF_Model_Content!$E$1:$E$157,_REF_Model_Content!$A$1:$A$157,'Company Profile'!$B$9,_REF_Model_Content!$B$1:$B$157,"Manufacturing MES"),1)</f>
        <v/>
      </c>
      <c r="AQ243">
        <f>IF($AO243="","",ROUND($AO243*$AP243*($G243/5),2))</f>
        <v/>
      </c>
      <c r="AR243">
        <f>IF($AO243="","",IF($AO243&gt;=2,"Critical industry gap",IF($AO243&gt;=1,"High industry gap",IF($AO243&gt;=0.5,"Moderate industry gap","Within target"))))</f>
        <v/>
      </c>
      <c r="AS243">
        <f>IF(OR($H243="",$H243="N/A"),0,VALUE($H243)*(($AJ243+$AK243)/2)*$AV243)</f>
        <v/>
      </c>
      <c r="AT243">
        <f>IF(OR($H243="",$H243="N/A"),0,($AJ243+$AK243)/2)</f>
        <v/>
      </c>
      <c r="AU243">
        <f>'Assessment Questions'!AX243</f>
        <v/>
      </c>
      <c r="AV243">
        <f>IF(OR($H243="",$H243="N/A"),"",IF(OR($AU243="",$AU243="Everywhere",$AU243="Not applicable"),1,IF($AU243="Pilot / one team",0.4,IF($AU243="One unit or site",0.7,0.9))))</f>
        <v/>
      </c>
      <c r="AW243" t="inlineStr">
        <is>
          <t>Manufacturing MES</t>
        </is>
      </c>
      <c r="AX243" t="inlineStr">
        <is>
          <t>Manufacturing MES</t>
        </is>
      </c>
      <c r="AY243" t="n">
        <v>19</v>
      </c>
      <c r="AZ243" t="n">
        <v>243</v>
      </c>
    </row>
    <row r="244">
      <c r="A244" t="inlineStr">
        <is>
          <t>MANU-016</t>
        </is>
      </c>
      <c r="B244" t="inlineStr">
        <is>
          <t>Maintenance and assets</t>
        </is>
      </c>
      <c r="C244" t="inlineStr">
        <is>
          <t>How mature is the organization in managing utility dependency map for electricity, gas, water, compressed air, HVAC and other utilities, including ownership, evidence, metrics, fallback procedures and crisis stress testing?</t>
        </is>
      </c>
      <c r="D244" t="inlineStr">
        <is>
          <t>This topic affects exposure to Manufacturing disruption; Safety incident; Energy outage; Cyberattack. It helps identify how disruption may impact operations, people, revenue, systems, legal exposure or recovery time.</t>
        </is>
      </c>
      <c r="E244" t="inlineStr">
        <is>
          <t>ISO 9001; ISO 45001; ISA-95; IEC 62443; ISO 55001; Lean; Six Sigma; TPM; MES/MOM practices</t>
        </is>
      </c>
      <c r="F244" t="inlineStr">
        <is>
          <t>Policy/SOP; owner/RACI; system report; dashboard; contracts; test records; incident history; interview evidence related to utility dependency map for electricity, gas, water, compressed air, HVAC and other utilities.</t>
        </is>
      </c>
      <c r="G244">
        <f>'Assessment Questions'!J244</f>
        <v/>
      </c>
      <c r="H244">
        <f>IF($Z244="","",IF($Z244="N/A","N/A",VALUE(LEFT($Z244,1))))</f>
        <v/>
      </c>
      <c r="I244">
        <f>IF($H244="","",IF($H244="N/A","",VALUE($H244)/5*$G244))</f>
        <v/>
      </c>
      <c r="J244">
        <f>IF(OR($H244="",$H244="N/A"),"",$G244)</f>
        <v/>
      </c>
      <c r="K244">
        <f>IF(OR($H244="",$H244="N/A"),"",$J244-$I244)</f>
        <v/>
      </c>
      <c r="L244">
        <f>IF($H244="","",IF($H244="N/A","N/A",IF(VALUE($H244)&lt;=1,"Critical",IF(VALUE($H244)&lt;=2,"High",IF(VALUE($H244)&lt;=3,"Medium",IF(VALUE($H244)&lt;=4,"Low","Resilient"))))))</f>
        <v/>
      </c>
      <c r="M244" t="inlineStr">
        <is>
          <t>No reliable evidence that utility dependency map for electricity, gas, water, compressed air, hvac and other utilities is defined, owned or managed.</t>
        </is>
      </c>
      <c r="N244" t="inlineStr">
        <is>
          <t>Utility dependency map for electricity, gas, water, compressed air, HVAC and other utilities is handled informally and depends on individual knowledge or heroic effort.</t>
        </is>
      </c>
      <c r="O244" t="inlineStr">
        <is>
          <t>Utility dependency map for electricity, gas, water, compressed air, HVAC and other utilities is partially documented or implemented, but coverage is inconsistent and not crisis-tested.</t>
        </is>
      </c>
      <c r="P244" t="inlineStr">
        <is>
          <t>Utility dependency map for electricity, gas, water, compressed air, HVAC and other utilities is documented, owned, used in normal operations and supported by basic evidence or metrics.</t>
        </is>
      </c>
      <c r="Q244" t="inlineStr">
        <is>
          <t>Utility dependency map for electricity, gas, water, compressed air, HVAC and other utilities is measured, periodically reviewed, integrated with related processes and tested against relevant disruption scenarios.</t>
        </is>
      </c>
      <c r="R244" t="inlineStr">
        <is>
          <t>Utility dependency map for electricity, gas, water, compressed air, HVAC and other utilities is optimized, continuously improved, automated where practical and demonstrably supports crisis resilience.</t>
        </is>
      </c>
      <c r="S244" t="inlineStr">
        <is>
          <t>Manufacturing disruption; Safety incident; Energy outage; Cyberattack</t>
        </is>
      </c>
      <c r="T244">
        <f>'Assessment Questions'!W244</f>
        <v/>
      </c>
      <c r="U244">
        <f>'Assessment Questions'!X244</f>
        <v/>
      </c>
      <c r="V244">
        <f>'Assessment Questions'!Y244</f>
        <v/>
      </c>
      <c r="W244" t="n">
        <v>5</v>
      </c>
      <c r="X244" t="n">
        <v>5</v>
      </c>
      <c r="Y244" t="n">
        <v>5</v>
      </c>
      <c r="Z244">
        <f>'Assessment Questions'!AC244</f>
        <v/>
      </c>
      <c r="AB244">
        <f>COUNTIF($B$229:$B$256,$AA244)</f>
        <v/>
      </c>
      <c r="AC244">
        <f>IFERROR(SUMPRODUCT(($B$229:$B$256=$AA244)*($H$229:$H$256&lt;&gt;"")*($H$229:$H$256&lt;&gt;"N/A")*IFERROR(VALUE($H$229:$H$256),0))/SUMPRODUCT(($B$229:$B$256=$AA244)*($H$229:$H$256&lt;&gt;"")*($H$229:$H$256&lt;&gt;"N/A")),0)</f>
        <v/>
      </c>
      <c r="AD244">
        <f>AC244/5</f>
        <v/>
      </c>
      <c r="AE244">
        <f>COUNTIFS($B$229:$B$256,$AA244,$L$229:$L$256,"Critical")+COUNTIFS($B$229:$B$256,$AA244,$L$229:$L$256,"High")</f>
        <v/>
      </c>
      <c r="AF244">
        <f>5-AC244</f>
        <v/>
      </c>
      <c r="AG244">
        <f>SUMPRODUCT(($B$229:$B$256=$AA244)*(ISNUMBER($H$229:$H$256)+($H$229:$H$256="N/A")))</f>
        <v/>
      </c>
      <c r="AH244">
        <f>'Assessment Questions'!AK244</f>
        <v/>
      </c>
      <c r="AI244">
        <f>'Assessment Questions'!AL244</f>
        <v/>
      </c>
      <c r="AJ244">
        <f>IF(OR($H244="",$H244="N/A"),"",IF($AH244="",VLOOKUP('Company Profile'!$B$40,_CONFIG_Model_Settings!$A$5:$B$8,2,FALSE),_xlfn.IFNA(VLOOKUP($AH244,_CONFIG_Model_Settings!$A$5:$B$8,2,FALSE),0.9)))</f>
        <v/>
      </c>
      <c r="AK244">
        <f>IF(OR($H244="",$H244="N/A"),"",IF($AI244="",VLOOKUP('Company Profile'!$B$41,_CONFIG_Model_Settings!$A$5:$B$8,2,FALSE),_xlfn.IFNA(VLOOKUP($AI244,_CONFIG_Model_Settings!$A$5:$B$8,2,FALSE),0.9)))</f>
        <v/>
      </c>
      <c r="AL244">
        <f>IF(OR($H244="",$H244="N/A"),"",ROUND(VALUE($H244)*$AJ244*$AK244*$AV244,2))</f>
        <v/>
      </c>
      <c r="AM244">
        <f>IF($AL244="","",ROUND($AL244/5*100,1))</f>
        <v/>
      </c>
      <c r="AN244">
        <f>IFERROR(MIN(5,MAX(0,(SUMIFS(_REF_Model_Content!$D$1:$D$157,_REF_Model_Content!$A$1:$A$157,'Company Profile'!$B$9,_REF_Model_Content!$B$1:$B$157,"Manufacturing MES"))+_xlfn.IFNA(VLOOKUP('Company Profile'!$B$35,_CONFIG_Model_Settings!$A$11:$B$13,2,0),0))),"")</f>
        <v/>
      </c>
      <c r="AO244">
        <f>IF($AL244="","",MAX(0,ROUND($AN244-$AL244,2)))</f>
        <v/>
      </c>
      <c r="AP244">
        <f>IFERROR(SUMIFS(_REF_Model_Content!$E$1:$E$157,_REF_Model_Content!$A$1:$A$157,'Company Profile'!$B$9,_REF_Model_Content!$B$1:$B$157,"Manufacturing MES"),1)</f>
        <v/>
      </c>
      <c r="AQ244">
        <f>IF($AO244="","",ROUND($AO244*$AP244*($G244/5),2))</f>
        <v/>
      </c>
      <c r="AR244">
        <f>IF($AO244="","",IF($AO244&gt;=2,"Critical industry gap",IF($AO244&gt;=1,"High industry gap",IF($AO244&gt;=0.5,"Moderate industry gap","Within target"))))</f>
        <v/>
      </c>
      <c r="AS244">
        <f>IF(OR($H244="",$H244="N/A"),0,VALUE($H244)*(($AJ244+$AK244)/2)*$AV244)</f>
        <v/>
      </c>
      <c r="AT244">
        <f>IF(OR($H244="",$H244="N/A"),0,($AJ244+$AK244)/2)</f>
        <v/>
      </c>
      <c r="AU244">
        <f>'Assessment Questions'!AX244</f>
        <v/>
      </c>
      <c r="AV244">
        <f>IF(OR($H244="",$H244="N/A"),"",IF(OR($AU244="",$AU244="Everywhere",$AU244="Not applicable"),1,IF($AU244="Pilot / one team",0.4,IF($AU244="One unit or site",0.7,0.9))))</f>
        <v/>
      </c>
      <c r="AW244" t="inlineStr">
        <is>
          <t>Manufacturing MES</t>
        </is>
      </c>
      <c r="AX244" t="inlineStr">
        <is>
          <t>Manufacturing MES</t>
        </is>
      </c>
      <c r="AY244" t="n">
        <v>20</v>
      </c>
      <c r="AZ244" t="n">
        <v>244</v>
      </c>
    </row>
    <row r="245">
      <c r="A245" t="inlineStr">
        <is>
          <t>MANU-017</t>
        </is>
      </c>
      <c r="B245" t="inlineStr">
        <is>
          <t>Maintenance and assets</t>
        </is>
      </c>
      <c r="C245" t="inlineStr">
        <is>
          <t>How mature is the organization in managing backup utility options for critical production processes, including ownership, evidence, metrics, fallback procedures and crisis stress testing?</t>
        </is>
      </c>
      <c r="D245" t="inlineStr">
        <is>
          <t>This topic affects exposure to Manufacturing disruption; Safety incident; Energy outage; Cyberattack. It helps identify how disruption may impact operations, people, revenue, systems, legal exposure or recovery time.</t>
        </is>
      </c>
      <c r="E245" t="inlineStr">
        <is>
          <t>ISO 9001; ISO 45001; ISA-95; IEC 62443; ISO 55001; Lean; Six Sigma; TPM; MES/MOM practices</t>
        </is>
      </c>
      <c r="F245" t="inlineStr">
        <is>
          <t>Policy/SOP; owner/RACI; system report; dashboard; contracts; test records; incident history; interview evidence related to backup utility options for critical production processes.</t>
        </is>
      </c>
      <c r="G245">
        <f>'Assessment Questions'!J245</f>
        <v/>
      </c>
      <c r="H245">
        <f>IF($Z245="","",IF($Z245="N/A","N/A",VALUE(LEFT($Z245,1))))</f>
        <v/>
      </c>
      <c r="I245">
        <f>IF($H245="","",IF($H245="N/A","",VALUE($H245)/5*$G245))</f>
        <v/>
      </c>
      <c r="J245">
        <f>IF(OR($H245="",$H245="N/A"),"",$G245)</f>
        <v/>
      </c>
      <c r="K245">
        <f>IF(OR($H245="",$H245="N/A"),"",$J245-$I245)</f>
        <v/>
      </c>
      <c r="L245">
        <f>IF($H245="","",IF($H245="N/A","N/A",IF(VALUE($H245)&lt;=1,"Critical",IF(VALUE($H245)&lt;=2,"High",IF(VALUE($H245)&lt;=3,"Medium",IF(VALUE($H245)&lt;=4,"Low","Resilient"))))))</f>
        <v/>
      </c>
      <c r="M245" t="inlineStr">
        <is>
          <t>Does not exist; no owner, no documentation, no practice.</t>
        </is>
      </c>
      <c r="N245" t="inlineStr">
        <is>
          <t>Ad hoc; depends entirely on specific individuals.</t>
        </is>
      </c>
      <c r="O245" t="inlineStr">
        <is>
          <t>Partially documented or implemented; coverage inconsistent; never tested under stress.</t>
        </is>
      </c>
      <c r="P245" t="inlineStr">
        <is>
          <t>Documented, owned, executed consistently; basic evidence and metrics exist.</t>
        </is>
      </c>
      <c r="Q245" t="inlineStr">
        <is>
          <t>Measured and periodically tested/audited; integrated with adjacent processes.</t>
        </is>
      </c>
      <c r="R245" t="inlineStr">
        <is>
          <t>Optimized and automated where practical; stress-tested; benchmarked externally.</t>
        </is>
      </c>
      <c r="S245" t="inlineStr">
        <is>
          <t>Manufacturing disruption; Safety incident; Energy outage; Cyberattack</t>
        </is>
      </c>
      <c r="T245">
        <f>'Assessment Questions'!W245</f>
        <v/>
      </c>
      <c r="U245">
        <f>'Assessment Questions'!X245</f>
        <v/>
      </c>
      <c r="V245">
        <f>'Assessment Questions'!Y245</f>
        <v/>
      </c>
      <c r="W245" t="n">
        <v>5</v>
      </c>
      <c r="X245" t="n">
        <v>5</v>
      </c>
      <c r="Y245" t="n">
        <v>5</v>
      </c>
      <c r="Z245">
        <f>'Assessment Questions'!AC245</f>
        <v/>
      </c>
      <c r="AB245">
        <f>COUNTIF($B$229:$B$256,$AA245)</f>
        <v/>
      </c>
      <c r="AC245">
        <f>IFERROR(SUMPRODUCT(($B$229:$B$256=$AA245)*($H$229:$H$256&lt;&gt;"")*($H$229:$H$256&lt;&gt;"N/A")*IFERROR(VALUE($H$229:$H$256),0))/SUMPRODUCT(($B$229:$B$256=$AA245)*($H$229:$H$256&lt;&gt;"")*($H$229:$H$256&lt;&gt;"N/A")),0)</f>
        <v/>
      </c>
      <c r="AD245">
        <f>AC245/5</f>
        <v/>
      </c>
      <c r="AE245">
        <f>COUNTIFS($B$229:$B$256,$AA245,$L$229:$L$256,"Critical")+COUNTIFS($B$229:$B$256,$AA245,$L$229:$L$256,"High")</f>
        <v/>
      </c>
      <c r="AF245">
        <f>5-AC245</f>
        <v/>
      </c>
      <c r="AG245">
        <f>SUMPRODUCT(($B$229:$B$256=$AA245)*(ISNUMBER($H$229:$H$256)+($H$229:$H$256="N/A")))</f>
        <v/>
      </c>
      <c r="AH245">
        <f>'Assessment Questions'!AK245</f>
        <v/>
      </c>
      <c r="AI245">
        <f>'Assessment Questions'!AL245</f>
        <v/>
      </c>
      <c r="AJ245">
        <f>IF(OR($H245="",$H245="N/A"),"",IF($AH245="",VLOOKUP('Company Profile'!$B$40,_CONFIG_Model_Settings!$A$5:$B$8,2,FALSE),_xlfn.IFNA(VLOOKUP($AH245,_CONFIG_Model_Settings!$A$5:$B$8,2,FALSE),0.9)))</f>
        <v/>
      </c>
      <c r="AK245">
        <f>IF(OR($H245="",$H245="N/A"),"",IF($AI245="",VLOOKUP('Company Profile'!$B$41,_CONFIG_Model_Settings!$A$5:$B$8,2,FALSE),_xlfn.IFNA(VLOOKUP($AI245,_CONFIG_Model_Settings!$A$5:$B$8,2,FALSE),0.9)))</f>
        <v/>
      </c>
      <c r="AL245">
        <f>IF(OR($H245="",$H245="N/A"),"",ROUND(VALUE($H245)*$AJ245*$AK245*$AV245,2))</f>
        <v/>
      </c>
      <c r="AM245">
        <f>IF($AL245="","",ROUND($AL245/5*100,1))</f>
        <v/>
      </c>
      <c r="AN245">
        <f>IFERROR(MIN(5,MAX(0,(SUMIFS(_REF_Model_Content!$D$1:$D$157,_REF_Model_Content!$A$1:$A$157,'Company Profile'!$B$9,_REF_Model_Content!$B$1:$B$157,"Manufacturing MES"))+_xlfn.IFNA(VLOOKUP('Company Profile'!$B$35,_CONFIG_Model_Settings!$A$11:$B$13,2,0),0))),"")</f>
        <v/>
      </c>
      <c r="AO245">
        <f>IF($AL245="","",MAX(0,ROUND($AN245-$AL245,2)))</f>
        <v/>
      </c>
      <c r="AP245">
        <f>IFERROR(SUMIFS(_REF_Model_Content!$E$1:$E$157,_REF_Model_Content!$A$1:$A$157,'Company Profile'!$B$9,_REF_Model_Content!$B$1:$B$157,"Manufacturing MES"),1)</f>
        <v/>
      </c>
      <c r="AQ245">
        <f>IF($AO245="","",ROUND($AO245*$AP245*($G245/5),2))</f>
        <v/>
      </c>
      <c r="AR245">
        <f>IF($AO245="","",IF($AO245&gt;=2,"Critical industry gap",IF($AO245&gt;=1,"High industry gap",IF($AO245&gt;=0.5,"Moderate industry gap","Within target"))))</f>
        <v/>
      </c>
      <c r="AS245">
        <f>IF(OR($H245="",$H245="N/A"),0,VALUE($H245)*(($AJ245+$AK245)/2)*$AV245)</f>
        <v/>
      </c>
      <c r="AT245">
        <f>IF(OR($H245="",$H245="N/A"),0,($AJ245+$AK245)/2)</f>
        <v/>
      </c>
      <c r="AU245">
        <f>'Assessment Questions'!AX245</f>
        <v/>
      </c>
      <c r="AV245">
        <f>IF(OR($H245="",$H245="N/A"),"",IF(OR($AU245="",$AU245="Everywhere",$AU245="Not applicable"),1,IF($AU245="Pilot / one team",0.4,IF($AU245="One unit or site",0.7,0.9))))</f>
        <v/>
      </c>
      <c r="AW245" t="inlineStr">
        <is>
          <t>Manufacturing MES</t>
        </is>
      </c>
      <c r="AX245" t="inlineStr">
        <is>
          <t>Manufacturing MES</t>
        </is>
      </c>
      <c r="AY245" t="n">
        <v>21</v>
      </c>
      <c r="AZ245" t="n">
        <v>245</v>
      </c>
    </row>
    <row r="246">
      <c r="A246" t="inlineStr">
        <is>
          <t>MANU-018</t>
        </is>
      </c>
      <c r="B246" t="inlineStr">
        <is>
          <t>Maintenance and assets</t>
        </is>
      </c>
      <c r="C246" t="inlineStr">
        <is>
          <t>How mature is the organization in managing asset management for critical production equipment, tooling and calibration, including ownership, evidence, metrics, fallback procedures and crisis stress testing?</t>
        </is>
      </c>
      <c r="D246" t="inlineStr">
        <is>
          <t>This topic affects exposure to Manufacturing disruption; Safety incident; Energy outage; Cyberattack. It helps identify how disruption may impact operations, people, revenue, systems, legal exposure or recovery time.</t>
        </is>
      </c>
      <c r="E246" t="inlineStr">
        <is>
          <t>ISO 9001; ISO 45001; ISA-95; IEC 62443; ISO 55001; Lean; Six Sigma; TPM; MES/MOM practices</t>
        </is>
      </c>
      <c r="F246" t="inlineStr">
        <is>
          <t>Policy/SOP; owner/RACI; system report; dashboard; contracts; test records; incident history; interview evidence related to asset management for critical production equipment, tooling and calibration.</t>
        </is>
      </c>
      <c r="G246">
        <f>'Assessment Questions'!J246</f>
        <v/>
      </c>
      <c r="H246">
        <f>IF($Z246="","",IF($Z246="N/A","N/A",VALUE(LEFT($Z246,1))))</f>
        <v/>
      </c>
      <c r="I246">
        <f>IF($H246="","",IF($H246="N/A","",VALUE($H246)/5*$G246))</f>
        <v/>
      </c>
      <c r="J246">
        <f>IF(OR($H246="",$H246="N/A"),"",$G246)</f>
        <v/>
      </c>
      <c r="K246">
        <f>IF(OR($H246="",$H246="N/A"),"",$J246-$I246)</f>
        <v/>
      </c>
      <c r="L246">
        <f>IF($H246="","",IF($H246="N/A","N/A",IF(VALUE($H246)&lt;=1,"Critical",IF(VALUE($H246)&lt;=2,"High",IF(VALUE($H246)&lt;=3,"Medium",IF(VALUE($H246)&lt;=4,"Low","Resilient"))))))</f>
        <v/>
      </c>
      <c r="M246" t="inlineStr">
        <is>
          <t>Does not exist; no owner, no documentation, no practice.</t>
        </is>
      </c>
      <c r="N246" t="inlineStr">
        <is>
          <t>Ad hoc; depends entirely on specific individuals.</t>
        </is>
      </c>
      <c r="O246" t="inlineStr">
        <is>
          <t>Partially documented or implemented; coverage inconsistent; never tested under stress.</t>
        </is>
      </c>
      <c r="P246" t="inlineStr">
        <is>
          <t>Documented, owned, executed consistently; basic evidence and metrics exist.</t>
        </is>
      </c>
      <c r="Q246" t="inlineStr">
        <is>
          <t>Measured and periodically tested/audited; integrated with adjacent processes.</t>
        </is>
      </c>
      <c r="R246" t="inlineStr">
        <is>
          <t>Optimized and automated where practical; stress-tested; benchmarked externally.</t>
        </is>
      </c>
      <c r="S246" t="inlineStr">
        <is>
          <t>Manufacturing disruption; Safety incident; Energy outage; Cyberattack</t>
        </is>
      </c>
      <c r="T246">
        <f>'Assessment Questions'!W246</f>
        <v/>
      </c>
      <c r="U246">
        <f>'Assessment Questions'!X246</f>
        <v/>
      </c>
      <c r="V246">
        <f>'Assessment Questions'!Y246</f>
        <v/>
      </c>
      <c r="W246" t="n">
        <v>5</v>
      </c>
      <c r="X246" t="n">
        <v>5</v>
      </c>
      <c r="Y246" t="n">
        <v>5</v>
      </c>
      <c r="Z246">
        <f>'Assessment Questions'!AC246</f>
        <v/>
      </c>
      <c r="AB246">
        <f>COUNTIF($B$229:$B$256,$AA246)</f>
        <v/>
      </c>
      <c r="AC246">
        <f>IFERROR(SUMPRODUCT(($B$229:$B$256=$AA246)*($H$229:$H$256&lt;&gt;"")*($H$229:$H$256&lt;&gt;"N/A")*IFERROR(VALUE($H$229:$H$256),0))/SUMPRODUCT(($B$229:$B$256=$AA246)*($H$229:$H$256&lt;&gt;"")*($H$229:$H$256&lt;&gt;"N/A")),0)</f>
        <v/>
      </c>
      <c r="AD246">
        <f>AC246/5</f>
        <v/>
      </c>
      <c r="AE246">
        <f>COUNTIFS($B$229:$B$256,$AA246,$L$229:$L$256,"Critical")+COUNTIFS($B$229:$B$256,$AA246,$L$229:$L$256,"High")</f>
        <v/>
      </c>
      <c r="AF246">
        <f>5-AC246</f>
        <v/>
      </c>
      <c r="AG246">
        <f>SUMPRODUCT(($B$229:$B$256=$AA246)*(ISNUMBER($H$229:$H$256)+($H$229:$H$256="N/A")))</f>
        <v/>
      </c>
      <c r="AH246">
        <f>'Assessment Questions'!AK246</f>
        <v/>
      </c>
      <c r="AI246">
        <f>'Assessment Questions'!AL246</f>
        <v/>
      </c>
      <c r="AJ246">
        <f>IF(OR($H246="",$H246="N/A"),"",IF($AH246="",VLOOKUP('Company Profile'!$B$40,_CONFIG_Model_Settings!$A$5:$B$8,2,FALSE),_xlfn.IFNA(VLOOKUP($AH246,_CONFIG_Model_Settings!$A$5:$B$8,2,FALSE),0.9)))</f>
        <v/>
      </c>
      <c r="AK246">
        <f>IF(OR($H246="",$H246="N/A"),"",IF($AI246="",VLOOKUP('Company Profile'!$B$41,_CONFIG_Model_Settings!$A$5:$B$8,2,FALSE),_xlfn.IFNA(VLOOKUP($AI246,_CONFIG_Model_Settings!$A$5:$B$8,2,FALSE),0.9)))</f>
        <v/>
      </c>
      <c r="AL246">
        <f>IF(OR($H246="",$H246="N/A"),"",ROUND(VALUE($H246)*$AJ246*$AK246*$AV246,2))</f>
        <v/>
      </c>
      <c r="AM246">
        <f>IF($AL246="","",ROUND($AL246/5*100,1))</f>
        <v/>
      </c>
      <c r="AN246">
        <f>IFERROR(MIN(5,MAX(0,(SUMIFS(_REF_Model_Content!$D$1:$D$157,_REF_Model_Content!$A$1:$A$157,'Company Profile'!$B$9,_REF_Model_Content!$B$1:$B$157,"Manufacturing MES"))+_xlfn.IFNA(VLOOKUP('Company Profile'!$B$35,_CONFIG_Model_Settings!$A$11:$B$13,2,0),0))),"")</f>
        <v/>
      </c>
      <c r="AO246">
        <f>IF($AL246="","",MAX(0,ROUND($AN246-$AL246,2)))</f>
        <v/>
      </c>
      <c r="AP246">
        <f>IFERROR(SUMIFS(_REF_Model_Content!$E$1:$E$157,_REF_Model_Content!$A$1:$A$157,'Company Profile'!$B$9,_REF_Model_Content!$B$1:$B$157,"Manufacturing MES"),1)</f>
        <v/>
      </c>
      <c r="AQ246">
        <f>IF($AO246="","",ROUND($AO246*$AP246*($G246/5),2))</f>
        <v/>
      </c>
      <c r="AR246">
        <f>IF($AO246="","",IF($AO246&gt;=2,"Critical industry gap",IF($AO246&gt;=1,"High industry gap",IF($AO246&gt;=0.5,"Moderate industry gap","Within target"))))</f>
        <v/>
      </c>
      <c r="AS246">
        <f>IF(OR($H246="",$H246="N/A"),0,VALUE($H246)*(($AJ246+$AK246)/2)*$AV246)</f>
        <v/>
      </c>
      <c r="AT246">
        <f>IF(OR($H246="",$H246="N/A"),0,($AJ246+$AK246)/2)</f>
        <v/>
      </c>
      <c r="AU246">
        <f>'Assessment Questions'!AX246</f>
        <v/>
      </c>
      <c r="AV246">
        <f>IF(OR($H246="",$H246="N/A"),"",IF(OR($AU246="",$AU246="Everywhere",$AU246="Not applicable"),1,IF($AU246="Pilot / one team",0.4,IF($AU246="One unit or site",0.7,0.9))))</f>
        <v/>
      </c>
      <c r="AW246" t="inlineStr">
        <is>
          <t>Manufacturing MES</t>
        </is>
      </c>
      <c r="AX246" t="inlineStr">
        <is>
          <t>Manufacturing MES</t>
        </is>
      </c>
      <c r="AY246" t="n">
        <v>22</v>
      </c>
      <c r="AZ246" t="n">
        <v>246</v>
      </c>
    </row>
    <row r="247">
      <c r="A247" t="inlineStr">
        <is>
          <t>MANU-019</t>
        </is>
      </c>
      <c r="B247" t="inlineStr">
        <is>
          <t>Quality and safety</t>
        </is>
      </c>
      <c r="C247" t="inlineStr">
        <is>
          <t>How mature is the organization in managing quality controls, inspections, sampling, nonconformance and corrective actions integrated into production, including ownership, evidence, metrics, fallback procedures and crisis stress testing?</t>
        </is>
      </c>
      <c r="D247" t="inlineStr">
        <is>
          <t>This topic affects exposure to Manufacturing disruption; Safety incident; Energy outage; Cyberattack. It helps identify how disruption may impact operations, people, revenue, systems, legal exposure or recovery time.</t>
        </is>
      </c>
      <c r="E247" t="inlineStr">
        <is>
          <t>ISO 9001; ISO 45001; ISA-95; IEC 62443; ISO 55001; Lean; Six Sigma; TPM; MES/MOM practices</t>
        </is>
      </c>
      <c r="F247" t="inlineStr">
        <is>
          <t>Policy/SOP; owner/RACI; system report; dashboard; contracts; test records; incident history; interview evidence related to quality controls, inspections, sampling, nonconformance and corrective actions integrated into production.</t>
        </is>
      </c>
      <c r="G247">
        <f>'Assessment Questions'!J247</f>
        <v/>
      </c>
      <c r="H247">
        <f>IF($Z247="","",IF($Z247="N/A","N/A",VALUE(LEFT($Z247,1))))</f>
        <v/>
      </c>
      <c r="I247">
        <f>IF($H247="","",IF($H247="N/A","",VALUE($H247)/5*$G247))</f>
        <v/>
      </c>
      <c r="J247">
        <f>IF(OR($H247="",$H247="N/A"),"",$G247)</f>
        <v/>
      </c>
      <c r="K247">
        <f>IF(OR($H247="",$H247="N/A"),"",$J247-$I247)</f>
        <v/>
      </c>
      <c r="L247">
        <f>IF($H247="","",IF($H247="N/A","N/A",IF(VALUE($H247)&lt;=1,"Critical",IF(VALUE($H247)&lt;=2,"High",IF(VALUE($H247)&lt;=3,"Medium",IF(VALUE($H247)&lt;=4,"Low","Resilient"))))))</f>
        <v/>
      </c>
      <c r="M247" t="inlineStr">
        <is>
          <t>Does not exist; no owner, no documentation, no practice.</t>
        </is>
      </c>
      <c r="N247" t="inlineStr">
        <is>
          <t>Ad hoc; depends entirely on specific individuals.</t>
        </is>
      </c>
      <c r="O247" t="inlineStr">
        <is>
          <t>Partially documented or implemented; coverage inconsistent; never tested under stress.</t>
        </is>
      </c>
      <c r="P247" t="inlineStr">
        <is>
          <t>Documented, owned, executed consistently; basic evidence and metrics exist.</t>
        </is>
      </c>
      <c r="Q247" t="inlineStr">
        <is>
          <t>Measured and periodically tested/audited; integrated with adjacent processes.</t>
        </is>
      </c>
      <c r="R247" t="inlineStr">
        <is>
          <t>Optimized and automated where practical; stress-tested; benchmarked externally.</t>
        </is>
      </c>
      <c r="S247" t="inlineStr">
        <is>
          <t>Manufacturing disruption; Safety incident; Energy outage; Cyberattack</t>
        </is>
      </c>
      <c r="T247">
        <f>'Assessment Questions'!W247</f>
        <v/>
      </c>
      <c r="U247">
        <f>'Assessment Questions'!X247</f>
        <v/>
      </c>
      <c r="V247">
        <f>'Assessment Questions'!Y247</f>
        <v/>
      </c>
      <c r="W247" t="n">
        <v>5</v>
      </c>
      <c r="X247" t="n">
        <v>5</v>
      </c>
      <c r="Y247" t="n">
        <v>5</v>
      </c>
      <c r="Z247">
        <f>'Assessment Questions'!AC247</f>
        <v/>
      </c>
      <c r="AB247">
        <f>COUNTIF($B$229:$B$256,$AA247)</f>
        <v/>
      </c>
      <c r="AC247">
        <f>IFERROR(SUMPRODUCT(($B$229:$B$256=$AA247)*($H$229:$H$256&lt;&gt;"")*($H$229:$H$256&lt;&gt;"N/A")*IFERROR(VALUE($H$229:$H$256),0))/SUMPRODUCT(($B$229:$B$256=$AA247)*($H$229:$H$256&lt;&gt;"")*($H$229:$H$256&lt;&gt;"N/A")),0)</f>
        <v/>
      </c>
      <c r="AD247">
        <f>AC247/5</f>
        <v/>
      </c>
      <c r="AE247">
        <f>COUNTIFS($B$229:$B$256,$AA247,$L$229:$L$256,"Critical")+COUNTIFS($B$229:$B$256,$AA247,$L$229:$L$256,"High")</f>
        <v/>
      </c>
      <c r="AF247">
        <f>5-AC247</f>
        <v/>
      </c>
      <c r="AG247">
        <f>SUMPRODUCT(($B$229:$B$256=$AA247)*(ISNUMBER($H$229:$H$256)+($H$229:$H$256="N/A")))</f>
        <v/>
      </c>
      <c r="AH247">
        <f>'Assessment Questions'!AK247</f>
        <v/>
      </c>
      <c r="AI247">
        <f>'Assessment Questions'!AL247</f>
        <v/>
      </c>
      <c r="AJ247">
        <f>IF(OR($H247="",$H247="N/A"),"",IF($AH247="",VLOOKUP('Company Profile'!$B$40,_CONFIG_Model_Settings!$A$5:$B$8,2,FALSE),_xlfn.IFNA(VLOOKUP($AH247,_CONFIG_Model_Settings!$A$5:$B$8,2,FALSE),0.9)))</f>
        <v/>
      </c>
      <c r="AK247">
        <f>IF(OR($H247="",$H247="N/A"),"",IF($AI247="",VLOOKUP('Company Profile'!$B$41,_CONFIG_Model_Settings!$A$5:$B$8,2,FALSE),_xlfn.IFNA(VLOOKUP($AI247,_CONFIG_Model_Settings!$A$5:$B$8,2,FALSE),0.9)))</f>
        <v/>
      </c>
      <c r="AL247">
        <f>IF(OR($H247="",$H247="N/A"),"",ROUND(VALUE($H247)*$AJ247*$AK247*$AV247,2))</f>
        <v/>
      </c>
      <c r="AM247">
        <f>IF($AL247="","",ROUND($AL247/5*100,1))</f>
        <v/>
      </c>
      <c r="AN247">
        <f>IFERROR(MIN(5,MAX(0,(SUMIFS(_REF_Model_Content!$D$1:$D$157,_REF_Model_Content!$A$1:$A$157,'Company Profile'!$B$9,_REF_Model_Content!$B$1:$B$157,"Manufacturing MES"))+_xlfn.IFNA(VLOOKUP('Company Profile'!$B$35,_CONFIG_Model_Settings!$A$11:$B$13,2,0),0))),"")</f>
        <v/>
      </c>
      <c r="AO247">
        <f>IF($AL247="","",MAX(0,ROUND($AN247-$AL247,2)))</f>
        <v/>
      </c>
      <c r="AP247">
        <f>IFERROR(SUMIFS(_REF_Model_Content!$E$1:$E$157,_REF_Model_Content!$A$1:$A$157,'Company Profile'!$B$9,_REF_Model_Content!$B$1:$B$157,"Manufacturing MES"),1)</f>
        <v/>
      </c>
      <c r="AQ247">
        <f>IF($AO247="","",ROUND($AO247*$AP247*($G247/5),2))</f>
        <v/>
      </c>
      <c r="AR247">
        <f>IF($AO247="","",IF($AO247&gt;=2,"Critical industry gap",IF($AO247&gt;=1,"High industry gap",IF($AO247&gt;=0.5,"Moderate industry gap","Within target"))))</f>
        <v/>
      </c>
      <c r="AS247">
        <f>IF(OR($H247="",$H247="N/A"),0,VALUE($H247)*(($AJ247+$AK247)/2)*$AV247)</f>
        <v/>
      </c>
      <c r="AT247">
        <f>IF(OR($H247="",$H247="N/A"),0,($AJ247+$AK247)/2)</f>
        <v/>
      </c>
      <c r="AU247">
        <f>'Assessment Questions'!AX247</f>
        <v/>
      </c>
      <c r="AV247">
        <f>IF(OR($H247="",$H247="N/A"),"",IF(OR($AU247="",$AU247="Everywhere",$AU247="Not applicable"),1,IF($AU247="Pilot / one team",0.4,IF($AU247="One unit or site",0.7,0.9))))</f>
        <v/>
      </c>
      <c r="AW247" t="inlineStr">
        <is>
          <t>Manufacturing MES</t>
        </is>
      </c>
      <c r="AX247" t="inlineStr">
        <is>
          <t>Manufacturing MES</t>
        </is>
      </c>
      <c r="AY247" t="n">
        <v>23</v>
      </c>
      <c r="AZ247" t="n">
        <v>247</v>
      </c>
    </row>
    <row r="248">
      <c r="A248" t="inlineStr">
        <is>
          <t>MANU-020</t>
        </is>
      </c>
      <c r="B248" t="inlineStr">
        <is>
          <t>Quality and safety</t>
        </is>
      </c>
      <c r="C248" t="inlineStr">
        <is>
          <t>How mature is the organization in managing traceability of products, batches, materials, operators and process parameters, including ownership, evidence, metrics, fallback procedures and crisis stress testing?</t>
        </is>
      </c>
      <c r="D248" t="inlineStr">
        <is>
          <t>This topic affects exposure to Manufacturing disruption; Safety incident; Energy outage; Cyberattack. It helps identify how disruption may impact operations, people, revenue, systems, legal exposure or recovery time.</t>
        </is>
      </c>
      <c r="E248" t="inlineStr">
        <is>
          <t>ISO 9001; ISO 45001; ISA-95; IEC 62443; ISO 55001; Lean; Six Sigma; TPM; MES/MOM practices</t>
        </is>
      </c>
      <c r="F248" t="inlineStr">
        <is>
          <t>Policy/SOP; owner/RACI; system report; dashboard; contracts; test records; incident history; interview evidence related to traceability of products, batches, materials, operators and process parameters.</t>
        </is>
      </c>
      <c r="G248">
        <f>'Assessment Questions'!J248</f>
        <v/>
      </c>
      <c r="H248">
        <f>IF($Z248="","",IF($Z248="N/A","N/A",VALUE(LEFT($Z248,1))))</f>
        <v/>
      </c>
      <c r="I248">
        <f>IF($H248="","",IF($H248="N/A","",VALUE($H248)/5*$G248))</f>
        <v/>
      </c>
      <c r="J248">
        <f>IF(OR($H248="",$H248="N/A"),"",$G248)</f>
        <v/>
      </c>
      <c r="K248">
        <f>IF(OR($H248="",$H248="N/A"),"",$J248-$I248)</f>
        <v/>
      </c>
      <c r="L248">
        <f>IF($H248="","",IF($H248="N/A","N/A",IF(VALUE($H248)&lt;=1,"Critical",IF(VALUE($H248)&lt;=2,"High",IF(VALUE($H248)&lt;=3,"Medium",IF(VALUE($H248)&lt;=4,"Low","Resilient"))))))</f>
        <v/>
      </c>
      <c r="M248" t="inlineStr">
        <is>
          <t>No reliable evidence that traceability of products, batches, materials, operators and process parameters is defined, owned or managed.</t>
        </is>
      </c>
      <c r="N248" t="inlineStr">
        <is>
          <t>Traceability of products, batches, materials, operators and process parameters is handled informally and depends on individual knowledge or heroic effort.</t>
        </is>
      </c>
      <c r="O248" t="inlineStr">
        <is>
          <t>Traceability of products, batches, materials, operators and process parameters is partially documented or implemented, but coverage is inconsistent and not crisis-tested.</t>
        </is>
      </c>
      <c r="P248" t="inlineStr">
        <is>
          <t>Traceability of products, batches, materials, operators and process parameters is documented, owned, used in normal operations and supported by basic evidence or metrics.</t>
        </is>
      </c>
      <c r="Q248" t="inlineStr">
        <is>
          <t>Traceability of products, batches, materials, operators and process parameters is measured, periodically reviewed, integrated with related processes and tested against relevant disruption scenarios.</t>
        </is>
      </c>
      <c r="R248" t="inlineStr">
        <is>
          <t>Traceability of products, batches, materials, operators and process parameters is optimized, continuously improved, automated where practical and demonstrably supports crisis resilience.</t>
        </is>
      </c>
      <c r="S248" t="inlineStr">
        <is>
          <t>Manufacturing disruption; Safety incident; Energy outage; Cyberattack</t>
        </is>
      </c>
      <c r="T248">
        <f>'Assessment Questions'!W248</f>
        <v/>
      </c>
      <c r="U248">
        <f>'Assessment Questions'!X248</f>
        <v/>
      </c>
      <c r="V248">
        <f>'Assessment Questions'!Y248</f>
        <v/>
      </c>
      <c r="W248" t="n">
        <v>5</v>
      </c>
      <c r="X248" t="n">
        <v>5</v>
      </c>
      <c r="Y248" t="n">
        <v>5</v>
      </c>
      <c r="Z248">
        <f>'Assessment Questions'!AC248</f>
        <v/>
      </c>
      <c r="AB248">
        <f>COUNTIF($B$229:$B$256,$AA248)</f>
        <v/>
      </c>
      <c r="AC248">
        <f>IFERROR(SUMPRODUCT(($B$229:$B$256=$AA248)*($H$229:$H$256&lt;&gt;"")*($H$229:$H$256&lt;&gt;"N/A")*IFERROR(VALUE($H$229:$H$256),0))/SUMPRODUCT(($B$229:$B$256=$AA248)*($H$229:$H$256&lt;&gt;"")*($H$229:$H$256&lt;&gt;"N/A")),0)</f>
        <v/>
      </c>
      <c r="AD248">
        <f>AC248/5</f>
        <v/>
      </c>
      <c r="AE248">
        <f>COUNTIFS($B$229:$B$256,$AA248,$L$229:$L$256,"Critical")+COUNTIFS($B$229:$B$256,$AA248,$L$229:$L$256,"High")</f>
        <v/>
      </c>
      <c r="AF248">
        <f>5-AC248</f>
        <v/>
      </c>
      <c r="AG248">
        <f>SUMPRODUCT(($B$229:$B$256=$AA248)*(ISNUMBER($H$229:$H$256)+($H$229:$H$256="N/A")))</f>
        <v/>
      </c>
      <c r="AH248">
        <f>'Assessment Questions'!AK248</f>
        <v/>
      </c>
      <c r="AI248">
        <f>'Assessment Questions'!AL248</f>
        <v/>
      </c>
      <c r="AJ248">
        <f>IF(OR($H248="",$H248="N/A"),"",IF($AH248="",VLOOKUP('Company Profile'!$B$40,_CONFIG_Model_Settings!$A$5:$B$8,2,FALSE),_xlfn.IFNA(VLOOKUP($AH248,_CONFIG_Model_Settings!$A$5:$B$8,2,FALSE),0.9)))</f>
        <v/>
      </c>
      <c r="AK248">
        <f>IF(OR($H248="",$H248="N/A"),"",IF($AI248="",VLOOKUP('Company Profile'!$B$41,_CONFIG_Model_Settings!$A$5:$B$8,2,FALSE),_xlfn.IFNA(VLOOKUP($AI248,_CONFIG_Model_Settings!$A$5:$B$8,2,FALSE),0.9)))</f>
        <v/>
      </c>
      <c r="AL248">
        <f>IF(OR($H248="",$H248="N/A"),"",ROUND(VALUE($H248)*$AJ248*$AK248*$AV248,2))</f>
        <v/>
      </c>
      <c r="AM248">
        <f>IF($AL248="","",ROUND($AL248/5*100,1))</f>
        <v/>
      </c>
      <c r="AN248">
        <f>IFERROR(MIN(5,MAX(0,(SUMIFS(_REF_Model_Content!$D$1:$D$157,_REF_Model_Content!$A$1:$A$157,'Company Profile'!$B$9,_REF_Model_Content!$B$1:$B$157,"Manufacturing MES"))+_xlfn.IFNA(VLOOKUP('Company Profile'!$B$35,_CONFIG_Model_Settings!$A$11:$B$13,2,0),0))),"")</f>
        <v/>
      </c>
      <c r="AO248">
        <f>IF($AL248="","",MAX(0,ROUND($AN248-$AL248,2)))</f>
        <v/>
      </c>
      <c r="AP248">
        <f>IFERROR(SUMIFS(_REF_Model_Content!$E$1:$E$157,_REF_Model_Content!$A$1:$A$157,'Company Profile'!$B$9,_REF_Model_Content!$B$1:$B$157,"Manufacturing MES"),1)</f>
        <v/>
      </c>
      <c r="AQ248">
        <f>IF($AO248="","",ROUND($AO248*$AP248*($G248/5),2))</f>
        <v/>
      </c>
      <c r="AR248">
        <f>IF($AO248="","",IF($AO248&gt;=2,"Critical industry gap",IF($AO248&gt;=1,"High industry gap",IF($AO248&gt;=0.5,"Moderate industry gap","Within target"))))</f>
        <v/>
      </c>
      <c r="AS248">
        <f>IF(OR($H248="",$H248="N/A"),0,VALUE($H248)*(($AJ248+$AK248)/2)*$AV248)</f>
        <v/>
      </c>
      <c r="AT248">
        <f>IF(OR($H248="",$H248="N/A"),0,($AJ248+$AK248)/2)</f>
        <v/>
      </c>
      <c r="AU248">
        <f>'Assessment Questions'!AX248</f>
        <v/>
      </c>
      <c r="AV248">
        <f>IF(OR($H248="",$H248="N/A"),"",IF(OR($AU248="",$AU248="Everywhere",$AU248="Not applicable"),1,IF($AU248="Pilot / one team",0.4,IF($AU248="One unit or site",0.7,0.9))))</f>
        <v/>
      </c>
      <c r="AW248" t="inlineStr">
        <is>
          <t>Manufacturing MES</t>
        </is>
      </c>
      <c r="AX248" t="inlineStr">
        <is>
          <t>Manufacturing MES</t>
        </is>
      </c>
      <c r="AY248" t="n">
        <v>24</v>
      </c>
      <c r="AZ248" t="n">
        <v>248</v>
      </c>
    </row>
    <row r="249">
      <c r="A249" t="inlineStr">
        <is>
          <t>MANU-021</t>
        </is>
      </c>
      <c r="B249" t="inlineStr">
        <is>
          <t>Quality and safety</t>
        </is>
      </c>
      <c r="C249" t="inlineStr">
        <is>
          <t>How mature is the organization in managing BOM, routing, recipe and engineering change control synchronized with ERP/MES, including ownership, evidence, metrics, fallback procedures and crisis stress testing?</t>
        </is>
      </c>
      <c r="D249" t="inlineStr">
        <is>
          <t>This topic affects exposure to Manufacturing disruption; Safety incident; Energy outage; Cyberattack. It helps identify how disruption may impact operations, people, revenue, systems, legal exposure or recovery time.</t>
        </is>
      </c>
      <c r="E249" t="inlineStr">
        <is>
          <t>ISO 9001; ISO 45001; ISA-95; IEC 62443; ISO 55001; Lean; Six Sigma; TPM; MES/MOM practices</t>
        </is>
      </c>
      <c r="F249" t="inlineStr">
        <is>
          <t>Policy/SOP; owner/RACI; system report; dashboard; contracts; test records; incident history; interview evidence related to BOM, routing, recipe and engineering change control synchronized with ERP/MES.</t>
        </is>
      </c>
      <c r="G249">
        <f>'Assessment Questions'!J249</f>
        <v/>
      </c>
      <c r="H249">
        <f>IF($Z249="","",IF($Z249="N/A","N/A",VALUE(LEFT($Z249,1))))</f>
        <v/>
      </c>
      <c r="I249">
        <f>IF($H249="","",IF($H249="N/A","",VALUE($H249)/5*$G249))</f>
        <v/>
      </c>
      <c r="J249">
        <f>IF(OR($H249="",$H249="N/A"),"",$G249)</f>
        <v/>
      </c>
      <c r="K249">
        <f>IF(OR($H249="",$H249="N/A"),"",$J249-$I249)</f>
        <v/>
      </c>
      <c r="L249">
        <f>IF($H249="","",IF($H249="N/A","N/A",IF(VALUE($H249)&lt;=1,"Critical",IF(VALUE($H249)&lt;=2,"High",IF(VALUE($H249)&lt;=3,"Medium",IF(VALUE($H249)&lt;=4,"Low","Resilient"))))))</f>
        <v/>
      </c>
      <c r="M249" t="inlineStr">
        <is>
          <t>Does not exist; no owner, no documentation, no practice.</t>
        </is>
      </c>
      <c r="N249" t="inlineStr">
        <is>
          <t>Ad hoc; depends entirely on specific individuals.</t>
        </is>
      </c>
      <c r="O249" t="inlineStr">
        <is>
          <t>Partially documented or implemented; coverage inconsistent; never tested under stress.</t>
        </is>
      </c>
      <c r="P249" t="inlineStr">
        <is>
          <t>Documented, owned, executed consistently; basic evidence and metrics exist.</t>
        </is>
      </c>
      <c r="Q249" t="inlineStr">
        <is>
          <t>Measured and periodically tested/audited; integrated with adjacent processes.</t>
        </is>
      </c>
      <c r="R249" t="inlineStr">
        <is>
          <t>Optimized and automated where practical; stress-tested; benchmarked externally.</t>
        </is>
      </c>
      <c r="S249" t="inlineStr">
        <is>
          <t>Manufacturing disruption; Safety incident; Energy outage; Cyberattack</t>
        </is>
      </c>
      <c r="T249">
        <f>'Assessment Questions'!W249</f>
        <v/>
      </c>
      <c r="U249">
        <f>'Assessment Questions'!X249</f>
        <v/>
      </c>
      <c r="V249">
        <f>'Assessment Questions'!Y249</f>
        <v/>
      </c>
      <c r="W249" t="n">
        <v>5</v>
      </c>
      <c r="X249" t="n">
        <v>5</v>
      </c>
      <c r="Y249" t="n">
        <v>5</v>
      </c>
      <c r="Z249">
        <f>'Assessment Questions'!AC249</f>
        <v/>
      </c>
      <c r="AB249">
        <f>COUNTIF($B$229:$B$256,$AA249)</f>
        <v/>
      </c>
      <c r="AC249">
        <f>IFERROR(SUMPRODUCT(($B$229:$B$256=$AA249)*($H$229:$H$256&lt;&gt;"")*($H$229:$H$256&lt;&gt;"N/A")*IFERROR(VALUE($H$229:$H$256),0))/SUMPRODUCT(($B$229:$B$256=$AA249)*($H$229:$H$256&lt;&gt;"")*($H$229:$H$256&lt;&gt;"N/A")),0)</f>
        <v/>
      </c>
      <c r="AD249">
        <f>AC249/5</f>
        <v/>
      </c>
      <c r="AE249">
        <f>COUNTIFS($B$229:$B$256,$AA249,$L$229:$L$256,"Critical")+COUNTIFS($B$229:$B$256,$AA249,$L$229:$L$256,"High")</f>
        <v/>
      </c>
      <c r="AF249">
        <f>5-AC249</f>
        <v/>
      </c>
      <c r="AG249">
        <f>SUMPRODUCT(($B$229:$B$256=$AA249)*(ISNUMBER($H$229:$H$256)+($H$229:$H$256="N/A")))</f>
        <v/>
      </c>
      <c r="AH249">
        <f>'Assessment Questions'!AK249</f>
        <v/>
      </c>
      <c r="AI249">
        <f>'Assessment Questions'!AL249</f>
        <v/>
      </c>
      <c r="AJ249">
        <f>IF(OR($H249="",$H249="N/A"),"",IF($AH249="",VLOOKUP('Company Profile'!$B$40,_CONFIG_Model_Settings!$A$5:$B$8,2,FALSE),_xlfn.IFNA(VLOOKUP($AH249,_CONFIG_Model_Settings!$A$5:$B$8,2,FALSE),0.9)))</f>
        <v/>
      </c>
      <c r="AK249">
        <f>IF(OR($H249="",$H249="N/A"),"",IF($AI249="",VLOOKUP('Company Profile'!$B$41,_CONFIG_Model_Settings!$A$5:$B$8,2,FALSE),_xlfn.IFNA(VLOOKUP($AI249,_CONFIG_Model_Settings!$A$5:$B$8,2,FALSE),0.9)))</f>
        <v/>
      </c>
      <c r="AL249">
        <f>IF(OR($H249="",$H249="N/A"),"",ROUND(VALUE($H249)*$AJ249*$AK249*$AV249,2))</f>
        <v/>
      </c>
      <c r="AM249">
        <f>IF($AL249="","",ROUND($AL249/5*100,1))</f>
        <v/>
      </c>
      <c r="AN249">
        <f>IFERROR(MIN(5,MAX(0,(SUMIFS(_REF_Model_Content!$D$1:$D$157,_REF_Model_Content!$A$1:$A$157,'Company Profile'!$B$9,_REF_Model_Content!$B$1:$B$157,"Manufacturing MES"))+_xlfn.IFNA(VLOOKUP('Company Profile'!$B$35,_CONFIG_Model_Settings!$A$11:$B$13,2,0),0))),"")</f>
        <v/>
      </c>
      <c r="AO249">
        <f>IF($AL249="","",MAX(0,ROUND($AN249-$AL249,2)))</f>
        <v/>
      </c>
      <c r="AP249">
        <f>IFERROR(SUMIFS(_REF_Model_Content!$E$1:$E$157,_REF_Model_Content!$A$1:$A$157,'Company Profile'!$B$9,_REF_Model_Content!$B$1:$B$157,"Manufacturing MES"),1)</f>
        <v/>
      </c>
      <c r="AQ249">
        <f>IF($AO249="","",ROUND($AO249*$AP249*($G249/5),2))</f>
        <v/>
      </c>
      <c r="AR249">
        <f>IF($AO249="","",IF($AO249&gt;=2,"Critical industry gap",IF($AO249&gt;=1,"High industry gap",IF($AO249&gt;=0.5,"Moderate industry gap","Within target"))))</f>
        <v/>
      </c>
      <c r="AS249">
        <f>IF(OR($H249="",$H249="N/A"),0,VALUE($H249)*(($AJ249+$AK249)/2)*$AV249)</f>
        <v/>
      </c>
      <c r="AT249">
        <f>IF(OR($H249="",$H249="N/A"),0,($AJ249+$AK249)/2)</f>
        <v/>
      </c>
      <c r="AU249">
        <f>'Assessment Questions'!AX249</f>
        <v/>
      </c>
      <c r="AV249">
        <f>IF(OR($H249="",$H249="N/A"),"",IF(OR($AU249="",$AU249="Everywhere",$AU249="Not applicable"),1,IF($AU249="Pilot / one team",0.4,IF($AU249="One unit or site",0.7,0.9))))</f>
        <v/>
      </c>
      <c r="AW249" t="inlineStr">
        <is>
          <t>Manufacturing MES</t>
        </is>
      </c>
      <c r="AX249" t="inlineStr">
        <is>
          <t>Manufacturing MES</t>
        </is>
      </c>
      <c r="AY249" t="n">
        <v>25</v>
      </c>
      <c r="AZ249" t="n">
        <v>249</v>
      </c>
    </row>
    <row r="250">
      <c r="A250" t="inlineStr">
        <is>
          <t>MANU-022</t>
        </is>
      </c>
      <c r="B250" t="inlineStr">
        <is>
          <t>Quality and safety</t>
        </is>
      </c>
      <c r="C250" t="inlineStr">
        <is>
          <t>How mature is the organization in managing operator training and certification for equipment, safety, quality and emergency procedures, including ownership, evidence, metrics, fallback procedures and crisis stress testing?</t>
        </is>
      </c>
      <c r="D250" t="inlineStr">
        <is>
          <t>This topic affects exposure to Manufacturing disruption; Safety incident; Energy outage; Cyberattack. It helps identify how disruption may impact operations, people, revenue, systems, legal exposure or recovery time.</t>
        </is>
      </c>
      <c r="E250" t="inlineStr">
        <is>
          <t>ISO 9001; ISO 45001; ISA-95; IEC 62443; ISO 55001; Lean; Six Sigma; TPM; MES/MOM practices</t>
        </is>
      </c>
      <c r="F250" t="inlineStr">
        <is>
          <t>Policy/SOP; owner/RACI; system report; dashboard; contracts; test records; incident history; interview evidence related to operator training and certification for equipment, safety, quality and emergency procedures.</t>
        </is>
      </c>
      <c r="G250">
        <f>'Assessment Questions'!J250</f>
        <v/>
      </c>
      <c r="H250">
        <f>IF($Z250="","",IF($Z250="N/A","N/A",VALUE(LEFT($Z250,1))))</f>
        <v/>
      </c>
      <c r="I250">
        <f>IF($H250="","",IF($H250="N/A","",VALUE($H250)/5*$G250))</f>
        <v/>
      </c>
      <c r="J250">
        <f>IF(OR($H250="",$H250="N/A"),"",$G250)</f>
        <v/>
      </c>
      <c r="K250">
        <f>IF(OR($H250="",$H250="N/A"),"",$J250-$I250)</f>
        <v/>
      </c>
      <c r="L250">
        <f>IF($H250="","",IF($H250="N/A","N/A",IF(VALUE($H250)&lt;=1,"Critical",IF(VALUE($H250)&lt;=2,"High",IF(VALUE($H250)&lt;=3,"Medium",IF(VALUE($H250)&lt;=4,"Low","Resilient"))))))</f>
        <v/>
      </c>
      <c r="M250" t="inlineStr">
        <is>
          <t>Never done; no records exist.</t>
        </is>
      </c>
      <c r="N250" t="inlineStr">
        <is>
          <t>Done once long ago or only after an incident; no schedule, no records.</t>
        </is>
      </c>
      <c r="O250" t="inlineStr">
        <is>
          <t>Done irregularly; results are not documented and findings are not tracked.</t>
        </is>
      </c>
      <c r="P250" t="inlineStr">
        <is>
          <t>Done on a defined schedule (at least annually); results documented, owner assigned.</t>
        </is>
      </c>
      <c r="Q250" t="inlineStr">
        <is>
          <t>Done quarterly/semi-annually; findings tracked to closure, effectiveness measured against targets.</t>
        </is>
      </c>
      <c r="R250" t="inlineStr">
        <is>
          <t>Continuous or automated where possible; results drive improvements and are validated externally (audit/customer).</t>
        </is>
      </c>
      <c r="S250" t="inlineStr">
        <is>
          <t>Manufacturing disruption; Safety incident; Energy outage; Cyberattack</t>
        </is>
      </c>
      <c r="T250">
        <f>'Assessment Questions'!W250</f>
        <v/>
      </c>
      <c r="U250">
        <f>'Assessment Questions'!X250</f>
        <v/>
      </c>
      <c r="V250">
        <f>'Assessment Questions'!Y250</f>
        <v/>
      </c>
      <c r="W250" t="n">
        <v>5</v>
      </c>
      <c r="X250" t="n">
        <v>5</v>
      </c>
      <c r="Y250" t="n">
        <v>5</v>
      </c>
      <c r="Z250">
        <f>'Assessment Questions'!AC250</f>
        <v/>
      </c>
      <c r="AB250">
        <f>COUNTIF($B$229:$B$256,$AA250)</f>
        <v/>
      </c>
      <c r="AC250">
        <f>IFERROR(SUMPRODUCT(($B$229:$B$256=$AA250)*($H$229:$H$256&lt;&gt;"")*($H$229:$H$256&lt;&gt;"N/A")*IFERROR(VALUE($H$229:$H$256),0))/SUMPRODUCT(($B$229:$B$256=$AA250)*($H$229:$H$256&lt;&gt;"")*($H$229:$H$256&lt;&gt;"N/A")),0)</f>
        <v/>
      </c>
      <c r="AD250">
        <f>AC250/5</f>
        <v/>
      </c>
      <c r="AE250">
        <f>COUNTIFS($B$229:$B$256,$AA250,$L$229:$L$256,"Critical")+COUNTIFS($B$229:$B$256,$AA250,$L$229:$L$256,"High")</f>
        <v/>
      </c>
      <c r="AF250">
        <f>5-AC250</f>
        <v/>
      </c>
      <c r="AG250">
        <f>SUMPRODUCT(($B$229:$B$256=$AA250)*(ISNUMBER($H$229:$H$256)+($H$229:$H$256="N/A")))</f>
        <v/>
      </c>
      <c r="AH250">
        <f>'Assessment Questions'!AK250</f>
        <v/>
      </c>
      <c r="AI250">
        <f>'Assessment Questions'!AL250</f>
        <v/>
      </c>
      <c r="AJ250">
        <f>IF(OR($H250="",$H250="N/A"),"",IF($AH250="",VLOOKUP('Company Profile'!$B$40,_CONFIG_Model_Settings!$A$5:$B$8,2,FALSE),_xlfn.IFNA(VLOOKUP($AH250,_CONFIG_Model_Settings!$A$5:$B$8,2,FALSE),0.9)))</f>
        <v/>
      </c>
      <c r="AK250">
        <f>IF(OR($H250="",$H250="N/A"),"",IF($AI250="",VLOOKUP('Company Profile'!$B$41,_CONFIG_Model_Settings!$A$5:$B$8,2,FALSE),_xlfn.IFNA(VLOOKUP($AI250,_CONFIG_Model_Settings!$A$5:$B$8,2,FALSE),0.9)))</f>
        <v/>
      </c>
      <c r="AL250">
        <f>IF(OR($H250="",$H250="N/A"),"",ROUND(VALUE($H250)*$AJ250*$AK250*$AV250,2))</f>
        <v/>
      </c>
      <c r="AM250">
        <f>IF($AL250="","",ROUND($AL250/5*100,1))</f>
        <v/>
      </c>
      <c r="AN250">
        <f>IFERROR(MIN(5,MAX(0,(SUMIFS(_REF_Model_Content!$D$1:$D$157,_REF_Model_Content!$A$1:$A$157,'Company Profile'!$B$9,_REF_Model_Content!$B$1:$B$157,"Manufacturing MES"))+_xlfn.IFNA(VLOOKUP('Company Profile'!$B$35,_CONFIG_Model_Settings!$A$11:$B$13,2,0),0))),"")</f>
        <v/>
      </c>
      <c r="AO250">
        <f>IF($AL250="","",MAX(0,ROUND($AN250-$AL250,2)))</f>
        <v/>
      </c>
      <c r="AP250">
        <f>IFERROR(SUMIFS(_REF_Model_Content!$E$1:$E$157,_REF_Model_Content!$A$1:$A$157,'Company Profile'!$B$9,_REF_Model_Content!$B$1:$B$157,"Manufacturing MES"),1)</f>
        <v/>
      </c>
      <c r="AQ250">
        <f>IF($AO250="","",ROUND($AO250*$AP250*($G250/5),2))</f>
        <v/>
      </c>
      <c r="AR250">
        <f>IF($AO250="","",IF($AO250&gt;=2,"Critical industry gap",IF($AO250&gt;=1,"High industry gap",IF($AO250&gt;=0.5,"Moderate industry gap","Within target"))))</f>
        <v/>
      </c>
      <c r="AS250">
        <f>IF(OR($H250="",$H250="N/A"),0,VALUE($H250)*(($AJ250+$AK250)/2)*$AV250)</f>
        <v/>
      </c>
      <c r="AT250">
        <f>IF(OR($H250="",$H250="N/A"),0,($AJ250+$AK250)/2)</f>
        <v/>
      </c>
      <c r="AU250">
        <f>'Assessment Questions'!AX250</f>
        <v/>
      </c>
      <c r="AV250">
        <f>IF(OR($H250="",$H250="N/A"),"",IF(OR($AU250="",$AU250="Everywhere",$AU250="Not applicable"),1,IF($AU250="Pilot / one team",0.4,IF($AU250="One unit or site",0.7,0.9))))</f>
        <v/>
      </c>
      <c r="AW250" t="inlineStr">
        <is>
          <t>Manufacturing MES</t>
        </is>
      </c>
      <c r="AX250" t="inlineStr">
        <is>
          <t>Manufacturing MES</t>
        </is>
      </c>
      <c r="AY250" t="n">
        <v>26</v>
      </c>
      <c r="AZ250" t="n">
        <v>250</v>
      </c>
    </row>
    <row r="251">
      <c r="A251" t="inlineStr">
        <is>
          <t>MANU-023</t>
        </is>
      </c>
      <c r="B251" t="inlineStr">
        <is>
          <t>Quality and safety</t>
        </is>
      </c>
      <c r="C251" t="inlineStr">
        <is>
          <t>How mature is the organization in managing machine safety controls, guarding, emergency stops and lockout/tagout, including ownership, evidence, metrics, fallback procedures and crisis stress testing?</t>
        </is>
      </c>
      <c r="D251" t="inlineStr">
        <is>
          <t>This topic affects exposure to Manufacturing disruption; Safety incident; Energy outage; Cyberattack. It helps identify how disruption may impact operations, people, revenue, systems, legal exposure or recovery time.</t>
        </is>
      </c>
      <c r="E251" t="inlineStr">
        <is>
          <t>ISO 9001; ISO 45001; ISA-95; IEC 62443; ISO 55001; Lean; Six Sigma; TPM; MES/MOM practices</t>
        </is>
      </c>
      <c r="F251" t="inlineStr">
        <is>
          <t>Policy/SOP; owner/RACI; system report; dashboard; contracts; test records; incident history; interview evidence related to machine safety controls, guarding, emergency stops and lockout/tagout.</t>
        </is>
      </c>
      <c r="G251">
        <f>'Assessment Questions'!J251</f>
        <v/>
      </c>
      <c r="H251">
        <f>IF($Z251="","",IF($Z251="N/A","N/A",VALUE(LEFT($Z251,1))))</f>
        <v/>
      </c>
      <c r="I251">
        <f>IF($H251="","",IF($H251="N/A","",VALUE($H251)/5*$G251))</f>
        <v/>
      </c>
      <c r="J251">
        <f>IF(OR($H251="",$H251="N/A"),"",$G251)</f>
        <v/>
      </c>
      <c r="K251">
        <f>IF(OR($H251="",$H251="N/A"),"",$J251-$I251)</f>
        <v/>
      </c>
      <c r="L251">
        <f>IF($H251="","",IF($H251="N/A","N/A",IF(VALUE($H251)&lt;=1,"Critical",IF(VALUE($H251)&lt;=2,"High",IF(VALUE($H251)&lt;=3,"Medium",IF(VALUE($H251)&lt;=4,"Low","Resilient"))))))</f>
        <v/>
      </c>
      <c r="M251" t="inlineStr">
        <is>
          <t>Does not exist; no owner, no documentation, no practice.</t>
        </is>
      </c>
      <c r="N251" t="inlineStr">
        <is>
          <t>Ad hoc; depends entirely on specific individuals.</t>
        </is>
      </c>
      <c r="O251" t="inlineStr">
        <is>
          <t>Partially documented or implemented; coverage inconsistent; never tested under stress.</t>
        </is>
      </c>
      <c r="P251" t="inlineStr">
        <is>
          <t>Documented, owned, executed consistently; basic evidence and metrics exist.</t>
        </is>
      </c>
      <c r="Q251" t="inlineStr">
        <is>
          <t>Measured and periodically tested/audited; integrated with adjacent processes.</t>
        </is>
      </c>
      <c r="R251" t="inlineStr">
        <is>
          <t>Optimized and automated where practical; stress-tested; benchmarked externally.</t>
        </is>
      </c>
      <c r="S251" t="inlineStr">
        <is>
          <t>Manufacturing disruption; Safety incident; Energy outage; Cyberattack</t>
        </is>
      </c>
      <c r="T251">
        <f>'Assessment Questions'!W251</f>
        <v/>
      </c>
      <c r="U251">
        <f>'Assessment Questions'!X251</f>
        <v/>
      </c>
      <c r="V251">
        <f>'Assessment Questions'!Y251</f>
        <v/>
      </c>
      <c r="W251" t="n">
        <v>5</v>
      </c>
      <c r="X251" t="n">
        <v>5</v>
      </c>
      <c r="Y251" t="n">
        <v>5</v>
      </c>
      <c r="Z251">
        <f>'Assessment Questions'!AC251</f>
        <v/>
      </c>
      <c r="AB251">
        <f>COUNTIF($B$229:$B$256,$AA251)</f>
        <v/>
      </c>
      <c r="AC251">
        <f>IFERROR(SUMPRODUCT(($B$229:$B$256=$AA251)*($H$229:$H$256&lt;&gt;"")*($H$229:$H$256&lt;&gt;"N/A")*IFERROR(VALUE($H$229:$H$256),0))/SUMPRODUCT(($B$229:$B$256=$AA251)*($H$229:$H$256&lt;&gt;"")*($H$229:$H$256&lt;&gt;"N/A")),0)</f>
        <v/>
      </c>
      <c r="AD251">
        <f>AC251/5</f>
        <v/>
      </c>
      <c r="AE251">
        <f>COUNTIFS($B$229:$B$256,$AA251,$L$229:$L$256,"Critical")+COUNTIFS($B$229:$B$256,$AA251,$L$229:$L$256,"High")</f>
        <v/>
      </c>
      <c r="AF251">
        <f>5-AC251</f>
        <v/>
      </c>
      <c r="AG251">
        <f>SUMPRODUCT(($B$229:$B$256=$AA251)*(ISNUMBER($H$229:$H$256)+($H$229:$H$256="N/A")))</f>
        <v/>
      </c>
      <c r="AH251">
        <f>'Assessment Questions'!AK251</f>
        <v/>
      </c>
      <c r="AI251">
        <f>'Assessment Questions'!AL251</f>
        <v/>
      </c>
      <c r="AJ251">
        <f>IF(OR($H251="",$H251="N/A"),"",IF($AH251="",VLOOKUP('Company Profile'!$B$40,_CONFIG_Model_Settings!$A$5:$B$8,2,FALSE),_xlfn.IFNA(VLOOKUP($AH251,_CONFIG_Model_Settings!$A$5:$B$8,2,FALSE),0.9)))</f>
        <v/>
      </c>
      <c r="AK251">
        <f>IF(OR($H251="",$H251="N/A"),"",IF($AI251="",VLOOKUP('Company Profile'!$B$41,_CONFIG_Model_Settings!$A$5:$B$8,2,FALSE),_xlfn.IFNA(VLOOKUP($AI251,_CONFIG_Model_Settings!$A$5:$B$8,2,FALSE),0.9)))</f>
        <v/>
      </c>
      <c r="AL251">
        <f>IF(OR($H251="",$H251="N/A"),"",ROUND(VALUE($H251)*$AJ251*$AK251*$AV251,2))</f>
        <v/>
      </c>
      <c r="AM251">
        <f>IF($AL251="","",ROUND($AL251/5*100,1))</f>
        <v/>
      </c>
      <c r="AN251">
        <f>IFERROR(MIN(5,MAX(0,(SUMIFS(_REF_Model_Content!$D$1:$D$157,_REF_Model_Content!$A$1:$A$157,'Company Profile'!$B$9,_REF_Model_Content!$B$1:$B$157,"Manufacturing MES"))+_xlfn.IFNA(VLOOKUP('Company Profile'!$B$35,_CONFIG_Model_Settings!$A$11:$B$13,2,0),0))),"")</f>
        <v/>
      </c>
      <c r="AO251">
        <f>IF($AL251="","",MAX(0,ROUND($AN251-$AL251,2)))</f>
        <v/>
      </c>
      <c r="AP251">
        <f>IFERROR(SUMIFS(_REF_Model_Content!$E$1:$E$157,_REF_Model_Content!$A$1:$A$157,'Company Profile'!$B$9,_REF_Model_Content!$B$1:$B$157,"Manufacturing MES"),1)</f>
        <v/>
      </c>
      <c r="AQ251">
        <f>IF($AO251="","",ROUND($AO251*$AP251*($G251/5),2))</f>
        <v/>
      </c>
      <c r="AR251">
        <f>IF($AO251="","",IF($AO251&gt;=2,"Critical industry gap",IF($AO251&gt;=1,"High industry gap",IF($AO251&gt;=0.5,"Moderate industry gap","Within target"))))</f>
        <v/>
      </c>
      <c r="AS251">
        <f>IF(OR($H251="",$H251="N/A"),0,VALUE($H251)*(($AJ251+$AK251)/2)*$AV251)</f>
        <v/>
      </c>
      <c r="AT251">
        <f>IF(OR($H251="",$H251="N/A"),0,($AJ251+$AK251)/2)</f>
        <v/>
      </c>
      <c r="AU251">
        <f>'Assessment Questions'!AX251</f>
        <v/>
      </c>
      <c r="AV251">
        <f>IF(OR($H251="",$H251="N/A"),"",IF(OR($AU251="",$AU251="Everywhere",$AU251="Not applicable"),1,IF($AU251="Pilot / one team",0.4,IF($AU251="One unit or site",0.7,0.9))))</f>
        <v/>
      </c>
      <c r="AW251" t="inlineStr">
        <is>
          <t>Manufacturing MES</t>
        </is>
      </c>
      <c r="AX251" t="inlineStr">
        <is>
          <t>Manufacturing MES</t>
        </is>
      </c>
      <c r="AY251" t="n">
        <v>27</v>
      </c>
      <c r="AZ251" t="n">
        <v>251</v>
      </c>
    </row>
    <row r="252">
      <c r="A252" t="inlineStr">
        <is>
          <t>MANU-024</t>
        </is>
      </c>
      <c r="B252" t="inlineStr">
        <is>
          <t>Quality and safety</t>
        </is>
      </c>
      <c r="C252" t="inlineStr">
        <is>
          <t>How mature is the organization in managing rework, scrap, yield loss and defect cost analysis, including ownership, evidence, metrics, fallback procedures and crisis stress testing?</t>
        </is>
      </c>
      <c r="D252" t="inlineStr">
        <is>
          <t>This topic affects exposure to Manufacturing disruption; Safety incident; Energy outage; Cyberattack. It helps identify how disruption may impact operations, people, revenue, systems, legal exposure or recovery time.</t>
        </is>
      </c>
      <c r="E252" t="inlineStr">
        <is>
          <t>ISO 9001; ISO 45001; ISA-95; IEC 62443; ISO 55001; Lean; Six Sigma; TPM; MES/MOM practices</t>
        </is>
      </c>
      <c r="F252" t="inlineStr">
        <is>
          <t>Policy/SOP; owner/RACI; system report; dashboard; contracts; test records; incident history; interview evidence related to rework, scrap, yield loss and defect cost analysis.</t>
        </is>
      </c>
      <c r="G252">
        <f>'Assessment Questions'!J252</f>
        <v/>
      </c>
      <c r="H252">
        <f>IF($Z252="","",IF($Z252="N/A","N/A",VALUE(LEFT($Z252,1))))</f>
        <v/>
      </c>
      <c r="I252">
        <f>IF($H252="","",IF($H252="N/A","",VALUE($H252)/5*$G252))</f>
        <v/>
      </c>
      <c r="J252">
        <f>IF(OR($H252="",$H252="N/A"),"",$G252)</f>
        <v/>
      </c>
      <c r="K252">
        <f>IF(OR($H252="",$H252="N/A"),"",$J252-$I252)</f>
        <v/>
      </c>
      <c r="L252">
        <f>IF($H252="","",IF($H252="N/A","N/A",IF(VALUE($H252)&lt;=1,"Critical",IF(VALUE($H252)&lt;=2,"High",IF(VALUE($H252)&lt;=3,"Medium",IF(VALUE($H252)&lt;=4,"Low","Resilient"))))))</f>
        <v/>
      </c>
      <c r="M252" t="inlineStr">
        <is>
          <t>No reliable evidence that rework, scrap, yield loss and defect cost analysis is defined, owned or managed.</t>
        </is>
      </c>
      <c r="N252" t="inlineStr">
        <is>
          <t>Rework, scrap, yield loss and defect cost analysis is handled informally and depends on individual knowledge or heroic effort.</t>
        </is>
      </c>
      <c r="O252" t="inlineStr">
        <is>
          <t>Rework, scrap, yield loss and defect cost analysis is partially documented or implemented, but coverage is inconsistent and not crisis-tested.</t>
        </is>
      </c>
      <c r="P252" t="inlineStr">
        <is>
          <t>Rework, scrap, yield loss and defect cost analysis is documented, owned, used in normal operations and supported by basic evidence or metrics.</t>
        </is>
      </c>
      <c r="Q252" t="inlineStr">
        <is>
          <t>Rework, scrap, yield loss and defect cost analysis is measured, periodically reviewed, integrated with related processes and tested against relevant disruption scenarios.</t>
        </is>
      </c>
      <c r="R252" t="inlineStr">
        <is>
          <t>Rework, scrap, yield loss and defect cost analysis is optimized, continuously improved, automated where practical and demonstrably supports crisis resilience.</t>
        </is>
      </c>
      <c r="S252" t="inlineStr">
        <is>
          <t>Manufacturing disruption; Safety incident; Energy outage; Cyberattack</t>
        </is>
      </c>
      <c r="T252">
        <f>'Assessment Questions'!W252</f>
        <v/>
      </c>
      <c r="U252">
        <f>'Assessment Questions'!X252</f>
        <v/>
      </c>
      <c r="V252">
        <f>'Assessment Questions'!Y252</f>
        <v/>
      </c>
      <c r="W252" t="n">
        <v>5</v>
      </c>
      <c r="X252" t="n">
        <v>5</v>
      </c>
      <c r="Y252" t="n">
        <v>5</v>
      </c>
      <c r="Z252">
        <f>'Assessment Questions'!AC252</f>
        <v/>
      </c>
      <c r="AB252">
        <f>COUNTIF($B$229:$B$256,$AA252)</f>
        <v/>
      </c>
      <c r="AC252">
        <f>IFERROR(SUMPRODUCT(($B$229:$B$256=$AA252)*($H$229:$H$256&lt;&gt;"")*($H$229:$H$256&lt;&gt;"N/A")*IFERROR(VALUE($H$229:$H$256),0))/SUMPRODUCT(($B$229:$B$256=$AA252)*($H$229:$H$256&lt;&gt;"")*($H$229:$H$256&lt;&gt;"N/A")),0)</f>
        <v/>
      </c>
      <c r="AD252">
        <f>AC252/5</f>
        <v/>
      </c>
      <c r="AE252">
        <f>COUNTIFS($B$229:$B$256,$AA252,$L$229:$L$256,"Critical")+COUNTIFS($B$229:$B$256,$AA252,$L$229:$L$256,"High")</f>
        <v/>
      </c>
      <c r="AF252">
        <f>5-AC252</f>
        <v/>
      </c>
      <c r="AG252">
        <f>SUMPRODUCT(($B$229:$B$256=$AA252)*(ISNUMBER($H$229:$H$256)+($H$229:$H$256="N/A")))</f>
        <v/>
      </c>
      <c r="AH252">
        <f>'Assessment Questions'!AK252</f>
        <v/>
      </c>
      <c r="AI252">
        <f>'Assessment Questions'!AL252</f>
        <v/>
      </c>
      <c r="AJ252">
        <f>IF(OR($H252="",$H252="N/A"),"",IF($AH252="",VLOOKUP('Company Profile'!$B$40,_CONFIG_Model_Settings!$A$5:$B$8,2,FALSE),_xlfn.IFNA(VLOOKUP($AH252,_CONFIG_Model_Settings!$A$5:$B$8,2,FALSE),0.9)))</f>
        <v/>
      </c>
      <c r="AK252">
        <f>IF(OR($H252="",$H252="N/A"),"",IF($AI252="",VLOOKUP('Company Profile'!$B$41,_CONFIG_Model_Settings!$A$5:$B$8,2,FALSE),_xlfn.IFNA(VLOOKUP($AI252,_CONFIG_Model_Settings!$A$5:$B$8,2,FALSE),0.9)))</f>
        <v/>
      </c>
      <c r="AL252">
        <f>IF(OR($H252="",$H252="N/A"),"",ROUND(VALUE($H252)*$AJ252*$AK252*$AV252,2))</f>
        <v/>
      </c>
      <c r="AM252">
        <f>IF($AL252="","",ROUND($AL252/5*100,1))</f>
        <v/>
      </c>
      <c r="AN252">
        <f>IFERROR(MIN(5,MAX(0,(SUMIFS(_REF_Model_Content!$D$1:$D$157,_REF_Model_Content!$A$1:$A$157,'Company Profile'!$B$9,_REF_Model_Content!$B$1:$B$157,"Manufacturing MES"))+_xlfn.IFNA(VLOOKUP('Company Profile'!$B$35,_CONFIG_Model_Settings!$A$11:$B$13,2,0),0))),"")</f>
        <v/>
      </c>
      <c r="AO252">
        <f>IF($AL252="","",MAX(0,ROUND($AN252-$AL252,2)))</f>
        <v/>
      </c>
      <c r="AP252">
        <f>IFERROR(SUMIFS(_REF_Model_Content!$E$1:$E$157,_REF_Model_Content!$A$1:$A$157,'Company Profile'!$B$9,_REF_Model_Content!$B$1:$B$157,"Manufacturing MES"),1)</f>
        <v/>
      </c>
      <c r="AQ252">
        <f>IF($AO252="","",ROUND($AO252*$AP252*($G252/5),2))</f>
        <v/>
      </c>
      <c r="AR252">
        <f>IF($AO252="","",IF($AO252&gt;=2,"Critical industry gap",IF($AO252&gt;=1,"High industry gap",IF($AO252&gt;=0.5,"Moderate industry gap","Within target"))))</f>
        <v/>
      </c>
      <c r="AS252">
        <f>IF(OR($H252="",$H252="N/A"),0,VALUE($H252)*(($AJ252+$AK252)/2)*$AV252)</f>
        <v/>
      </c>
      <c r="AT252">
        <f>IF(OR($H252="",$H252="N/A"),0,($AJ252+$AK252)/2)</f>
        <v/>
      </c>
      <c r="AU252">
        <f>'Assessment Questions'!AX252</f>
        <v/>
      </c>
      <c r="AV252">
        <f>IF(OR($H252="",$H252="N/A"),"",IF(OR($AU252="",$AU252="Everywhere",$AU252="Not applicable"),1,IF($AU252="Pilot / one team",0.4,IF($AU252="One unit or site",0.7,0.9))))</f>
        <v/>
      </c>
      <c r="AW252" t="inlineStr">
        <is>
          <t>Manufacturing MES</t>
        </is>
      </c>
      <c r="AX252" t="inlineStr">
        <is>
          <t>Manufacturing MES</t>
        </is>
      </c>
      <c r="AY252" t="n">
        <v>28</v>
      </c>
      <c r="AZ252" t="n">
        <v>252</v>
      </c>
    </row>
    <row r="253">
      <c r="A253" t="inlineStr">
        <is>
          <t>MANU-025</t>
        </is>
      </c>
      <c r="B253" t="inlineStr">
        <is>
          <t>OT security</t>
        </is>
      </c>
      <c r="C253" t="inlineStr">
        <is>
          <t>How mature is the organization in managing OT asset inventory for PLCs, SCADA, HMIs, industrial networks and engineering workstations, including ownership, evidence, metrics, fallback procedures and crisis stress testing?</t>
        </is>
      </c>
      <c r="D253" t="inlineStr">
        <is>
          <t>This topic affects exposure to Manufacturing disruption; Safety incident; Energy outage; Cyberattack. It helps identify how disruption may impact operations, people, revenue, systems, legal exposure or recovery time.</t>
        </is>
      </c>
      <c r="E253" t="inlineStr">
        <is>
          <t>ISO 9001; ISO 45001; ISA-95; IEC 62443; ISO 55001; Lean; Six Sigma; TPM; MES/MOM practices</t>
        </is>
      </c>
      <c r="F253" t="inlineStr">
        <is>
          <t>Policy/SOP; owner/RACI; system report; dashboard; contracts; test records; incident history; interview evidence related to OT asset inventory for PLCs, SCADA, HMIs, industrial networks and engineering workstations.</t>
        </is>
      </c>
      <c r="G253">
        <f>'Assessment Questions'!J253</f>
        <v/>
      </c>
      <c r="H253">
        <f>IF($Z253="","",IF($Z253="N/A","N/A",VALUE(LEFT($Z253,1))))</f>
        <v/>
      </c>
      <c r="I253">
        <f>IF($H253="","",IF($H253="N/A","",VALUE($H253)/5*$G253))</f>
        <v/>
      </c>
      <c r="J253">
        <f>IF(OR($H253="",$H253="N/A"),"",$G253)</f>
        <v/>
      </c>
      <c r="K253">
        <f>IF(OR($H253="",$H253="N/A"),"",$J253-$I253)</f>
        <v/>
      </c>
      <c r="L253">
        <f>IF($H253="","",IF($H253="N/A","N/A",IF(VALUE($H253)&lt;=1,"Critical",IF(VALUE($H253)&lt;=2,"High",IF(VALUE($H253)&lt;=3,"Medium",IF(VALUE($H253)&lt;=4,"Low","Resilient"))))))</f>
        <v/>
      </c>
      <c r="M253" t="inlineStr">
        <is>
          <t>No reliable evidence that ot asset inventory for plcs, scada, hmis, industrial networks and engineering workstations is defined, owned or managed.</t>
        </is>
      </c>
      <c r="N253" t="inlineStr">
        <is>
          <t>OT asset inventory for PLCs, SCADA, HMIs, industrial networks and engineering workstations is handled informally and depends on individual knowledge or heroic effort.</t>
        </is>
      </c>
      <c r="O253" t="inlineStr">
        <is>
          <t>OT asset inventory for PLCs, SCADA, HMIs, industrial networks and engineering workstations is partially documented or implemented, but coverage is inconsistent and not crisis-tested.</t>
        </is>
      </c>
      <c r="P253" t="inlineStr">
        <is>
          <t>OT asset inventory for PLCs, SCADA, HMIs, industrial networks and engineering workstations is documented, owned, used in normal operations and supported by basic evidence or metrics.</t>
        </is>
      </c>
      <c r="Q253" t="inlineStr">
        <is>
          <t>OT asset inventory for PLCs, SCADA, HMIs, industrial networks and engineering workstations is measured, periodically reviewed, integrated with related processes and tested against relevant disruption scenarios.</t>
        </is>
      </c>
      <c r="R253" t="inlineStr">
        <is>
          <t>OT asset inventory for PLCs, SCADA, HMIs, industrial networks and engineering workstations is optimized, continuously improved, automated where practical and demonstrably supports crisis resilience.</t>
        </is>
      </c>
      <c r="S253" t="inlineStr">
        <is>
          <t>Manufacturing disruption; Safety incident; Energy outage; Cyberattack</t>
        </is>
      </c>
      <c r="T253">
        <f>'Assessment Questions'!W253</f>
        <v/>
      </c>
      <c r="U253">
        <f>'Assessment Questions'!X253</f>
        <v/>
      </c>
      <c r="V253">
        <f>'Assessment Questions'!Y253</f>
        <v/>
      </c>
      <c r="W253" t="n">
        <v>5</v>
      </c>
      <c r="X253" t="n">
        <v>5</v>
      </c>
      <c r="Y253" t="n">
        <v>5</v>
      </c>
      <c r="Z253">
        <f>'Assessment Questions'!AC253</f>
        <v/>
      </c>
      <c r="AB253">
        <f>COUNTIF($B$229:$B$256,$AA253)</f>
        <v/>
      </c>
      <c r="AC253">
        <f>IFERROR(SUMPRODUCT(($B$229:$B$256=$AA253)*($H$229:$H$256&lt;&gt;"")*($H$229:$H$256&lt;&gt;"N/A")*IFERROR(VALUE($H$229:$H$256),0))/SUMPRODUCT(($B$229:$B$256=$AA253)*($H$229:$H$256&lt;&gt;"")*($H$229:$H$256&lt;&gt;"N/A")),0)</f>
        <v/>
      </c>
      <c r="AD253">
        <f>AC253/5</f>
        <v/>
      </c>
      <c r="AE253">
        <f>COUNTIFS($B$229:$B$256,$AA253,$L$229:$L$256,"Critical")+COUNTIFS($B$229:$B$256,$AA253,$L$229:$L$256,"High")</f>
        <v/>
      </c>
      <c r="AF253">
        <f>5-AC253</f>
        <v/>
      </c>
      <c r="AG253">
        <f>SUMPRODUCT(($B$229:$B$256=$AA253)*(ISNUMBER($H$229:$H$256)+($H$229:$H$256="N/A")))</f>
        <v/>
      </c>
      <c r="AH253">
        <f>'Assessment Questions'!AK253</f>
        <v/>
      </c>
      <c r="AI253">
        <f>'Assessment Questions'!AL253</f>
        <v/>
      </c>
      <c r="AJ253">
        <f>IF(OR($H253="",$H253="N/A"),"",IF($AH253="",VLOOKUP('Company Profile'!$B$40,_CONFIG_Model_Settings!$A$5:$B$8,2,FALSE),_xlfn.IFNA(VLOOKUP($AH253,_CONFIG_Model_Settings!$A$5:$B$8,2,FALSE),0.9)))</f>
        <v/>
      </c>
      <c r="AK253">
        <f>IF(OR($H253="",$H253="N/A"),"",IF($AI253="",VLOOKUP('Company Profile'!$B$41,_CONFIG_Model_Settings!$A$5:$B$8,2,FALSE),_xlfn.IFNA(VLOOKUP($AI253,_CONFIG_Model_Settings!$A$5:$B$8,2,FALSE),0.9)))</f>
        <v/>
      </c>
      <c r="AL253">
        <f>IF(OR($H253="",$H253="N/A"),"",ROUND(VALUE($H253)*$AJ253*$AK253*$AV253,2))</f>
        <v/>
      </c>
      <c r="AM253">
        <f>IF($AL253="","",ROUND($AL253/5*100,1))</f>
        <v/>
      </c>
      <c r="AN253">
        <f>IFERROR(MIN(5,MAX(0,(SUMIFS(_REF_Model_Content!$D$1:$D$157,_REF_Model_Content!$A$1:$A$157,'Company Profile'!$B$9,_REF_Model_Content!$B$1:$B$157,"Manufacturing MES"))+_xlfn.IFNA(VLOOKUP('Company Profile'!$B$35,_CONFIG_Model_Settings!$A$11:$B$13,2,0),0))),"")</f>
        <v/>
      </c>
      <c r="AO253">
        <f>IF($AL253="","",MAX(0,ROUND($AN253-$AL253,2)))</f>
        <v/>
      </c>
      <c r="AP253">
        <f>IFERROR(SUMIFS(_REF_Model_Content!$E$1:$E$157,_REF_Model_Content!$A$1:$A$157,'Company Profile'!$B$9,_REF_Model_Content!$B$1:$B$157,"Manufacturing MES"),1)</f>
        <v/>
      </c>
      <c r="AQ253">
        <f>IF($AO253="","",ROUND($AO253*$AP253*($G253/5),2))</f>
        <v/>
      </c>
      <c r="AR253">
        <f>IF($AO253="","",IF($AO253&gt;=2,"Critical industry gap",IF($AO253&gt;=1,"High industry gap",IF($AO253&gt;=0.5,"Moderate industry gap","Within target"))))</f>
        <v/>
      </c>
      <c r="AS253">
        <f>IF(OR($H253="",$H253="N/A"),0,VALUE($H253)*(($AJ253+$AK253)/2)*$AV253)</f>
        <v/>
      </c>
      <c r="AT253">
        <f>IF(OR($H253="",$H253="N/A"),0,($AJ253+$AK253)/2)</f>
        <v/>
      </c>
      <c r="AU253">
        <f>'Assessment Questions'!AX253</f>
        <v/>
      </c>
      <c r="AV253">
        <f>IF(OR($H253="",$H253="N/A"),"",IF(OR($AU253="",$AU253="Everywhere",$AU253="Not applicable"),1,IF($AU253="Pilot / one team",0.4,IF($AU253="One unit or site",0.7,0.9))))</f>
        <v/>
      </c>
      <c r="AW253" t="inlineStr">
        <is>
          <t>Manufacturing MES</t>
        </is>
      </c>
      <c r="AX253" t="inlineStr">
        <is>
          <t>Manufacturing MES</t>
        </is>
      </c>
      <c r="AY253" t="n">
        <v>29</v>
      </c>
      <c r="AZ253" t="n">
        <v>253</v>
      </c>
    </row>
    <row r="254">
      <c r="A254" t="inlineStr">
        <is>
          <t>MANU-026</t>
        </is>
      </c>
      <c r="B254" t="inlineStr">
        <is>
          <t>OT security</t>
        </is>
      </c>
      <c r="C254" t="inlineStr">
        <is>
          <t>How mature is the organization in managing OT network segmentation and secure remote access for vendors and maintenance, including ownership, evidence, metrics, fallback procedures and crisis stress testing?</t>
        </is>
      </c>
      <c r="D254" t="inlineStr">
        <is>
          <t>This topic affects exposure to Manufacturing disruption; Safety incident; Energy outage; Cyberattack. It helps identify how disruption may impact operations, people, revenue, systems, legal exposure or recovery time.</t>
        </is>
      </c>
      <c r="E254" t="inlineStr">
        <is>
          <t>ISO 9001; ISO 45001; ISA-95; IEC 62443; ISO 55001; Lean; Six Sigma; TPM; MES/MOM practices</t>
        </is>
      </c>
      <c r="F254" t="inlineStr">
        <is>
          <t>Policy/SOP; owner/RACI; system report; dashboard; contracts; test records; incident history; interview evidence related to OT network segmentation and secure remote access for vendors and maintenance.</t>
        </is>
      </c>
      <c r="G254">
        <f>'Assessment Questions'!J254</f>
        <v/>
      </c>
      <c r="H254">
        <f>IF($Z254="","",IF($Z254="N/A","N/A",VALUE(LEFT($Z254,1))))</f>
        <v/>
      </c>
      <c r="I254">
        <f>IF($H254="","",IF($H254="N/A","",VALUE($H254)/5*$G254))</f>
        <v/>
      </c>
      <c r="J254">
        <f>IF(OR($H254="",$H254="N/A"),"",$G254)</f>
        <v/>
      </c>
      <c r="K254">
        <f>IF(OR($H254="",$H254="N/A"),"",$J254-$I254)</f>
        <v/>
      </c>
      <c r="L254">
        <f>IF($H254="","",IF($H254="N/A","N/A",IF(VALUE($H254)&lt;=1,"Critical",IF(VALUE($H254)&lt;=2,"High",IF(VALUE($H254)&lt;=3,"Medium",IF(VALUE($H254)&lt;=4,"Low","Resilient"))))))</f>
        <v/>
      </c>
      <c r="M254" t="inlineStr">
        <is>
          <t>No reliable evidence that ot network segmentation and secure remote access for vendors and maintenance is defined, owned or managed.</t>
        </is>
      </c>
      <c r="N254" t="inlineStr">
        <is>
          <t>OT network segmentation and secure remote access for vendors and maintenance is handled informally and depends on individual knowledge or heroic effort.</t>
        </is>
      </c>
      <c r="O254" t="inlineStr">
        <is>
          <t>OT network segmentation and secure remote access for vendors and maintenance is partially documented or implemented, but coverage is inconsistent and not crisis-tested.</t>
        </is>
      </c>
      <c r="P254" t="inlineStr">
        <is>
          <t>OT network segmentation and secure remote access for vendors and maintenance is documented, owned, used in normal operations and supported by basic evidence or metrics.</t>
        </is>
      </c>
      <c r="Q254" t="inlineStr">
        <is>
          <t>OT network segmentation and secure remote access for vendors and maintenance is measured, periodically reviewed, integrated with related processes and tested against relevant disruption scenarios.</t>
        </is>
      </c>
      <c r="R254" t="inlineStr">
        <is>
          <t>OT network segmentation and secure remote access for vendors and maintenance is optimized, continuously improved, automated where practical and demonstrably supports crisis resilience.</t>
        </is>
      </c>
      <c r="S254" t="inlineStr">
        <is>
          <t>Manufacturing disruption; Safety incident; Energy outage; Cyberattack</t>
        </is>
      </c>
      <c r="T254">
        <f>'Assessment Questions'!W254</f>
        <v/>
      </c>
      <c r="U254">
        <f>'Assessment Questions'!X254</f>
        <v/>
      </c>
      <c r="V254">
        <f>'Assessment Questions'!Y254</f>
        <v/>
      </c>
      <c r="W254" t="n">
        <v>5</v>
      </c>
      <c r="X254" t="n">
        <v>5</v>
      </c>
      <c r="Y254" t="n">
        <v>5</v>
      </c>
      <c r="Z254">
        <f>'Assessment Questions'!AC254</f>
        <v/>
      </c>
      <c r="AB254">
        <f>COUNTIF($B$229:$B$256,$AA254)</f>
        <v/>
      </c>
      <c r="AC254">
        <f>IFERROR(SUMPRODUCT(($B$229:$B$256=$AA254)*($H$229:$H$256&lt;&gt;"")*($H$229:$H$256&lt;&gt;"N/A")*IFERROR(VALUE($H$229:$H$256),0))/SUMPRODUCT(($B$229:$B$256=$AA254)*($H$229:$H$256&lt;&gt;"")*($H$229:$H$256&lt;&gt;"N/A")),0)</f>
        <v/>
      </c>
      <c r="AD254">
        <f>AC254/5</f>
        <v/>
      </c>
      <c r="AE254">
        <f>COUNTIFS($B$229:$B$256,$AA254,$L$229:$L$256,"Critical")+COUNTIFS($B$229:$B$256,$AA254,$L$229:$L$256,"High")</f>
        <v/>
      </c>
      <c r="AF254">
        <f>5-AC254</f>
        <v/>
      </c>
      <c r="AG254">
        <f>SUMPRODUCT(($B$229:$B$256=$AA254)*(ISNUMBER($H$229:$H$256)+($H$229:$H$256="N/A")))</f>
        <v/>
      </c>
      <c r="AH254">
        <f>'Assessment Questions'!AK254</f>
        <v/>
      </c>
      <c r="AI254">
        <f>'Assessment Questions'!AL254</f>
        <v/>
      </c>
      <c r="AJ254">
        <f>IF(OR($H254="",$H254="N/A"),"",IF($AH254="",VLOOKUP('Company Profile'!$B$40,_CONFIG_Model_Settings!$A$5:$B$8,2,FALSE),_xlfn.IFNA(VLOOKUP($AH254,_CONFIG_Model_Settings!$A$5:$B$8,2,FALSE),0.9)))</f>
        <v/>
      </c>
      <c r="AK254">
        <f>IF(OR($H254="",$H254="N/A"),"",IF($AI254="",VLOOKUP('Company Profile'!$B$41,_CONFIG_Model_Settings!$A$5:$B$8,2,FALSE),_xlfn.IFNA(VLOOKUP($AI254,_CONFIG_Model_Settings!$A$5:$B$8,2,FALSE),0.9)))</f>
        <v/>
      </c>
      <c r="AL254">
        <f>IF(OR($H254="",$H254="N/A"),"",ROUND(VALUE($H254)*$AJ254*$AK254*$AV254,2))</f>
        <v/>
      </c>
      <c r="AM254">
        <f>IF($AL254="","",ROUND($AL254/5*100,1))</f>
        <v/>
      </c>
      <c r="AN254">
        <f>IFERROR(MIN(5,MAX(0,(SUMIFS(_REF_Model_Content!$D$1:$D$157,_REF_Model_Content!$A$1:$A$157,'Company Profile'!$B$9,_REF_Model_Content!$B$1:$B$157,"Manufacturing MES"))+_xlfn.IFNA(VLOOKUP('Company Profile'!$B$35,_CONFIG_Model_Settings!$A$11:$B$13,2,0),0))),"")</f>
        <v/>
      </c>
      <c r="AO254">
        <f>IF($AL254="","",MAX(0,ROUND($AN254-$AL254,2)))</f>
        <v/>
      </c>
      <c r="AP254">
        <f>IFERROR(SUMIFS(_REF_Model_Content!$E$1:$E$157,_REF_Model_Content!$A$1:$A$157,'Company Profile'!$B$9,_REF_Model_Content!$B$1:$B$157,"Manufacturing MES"),1)</f>
        <v/>
      </c>
      <c r="AQ254">
        <f>IF($AO254="","",ROUND($AO254*$AP254*($G254/5),2))</f>
        <v/>
      </c>
      <c r="AR254">
        <f>IF($AO254="","",IF($AO254&gt;=2,"Critical industry gap",IF($AO254&gt;=1,"High industry gap",IF($AO254&gt;=0.5,"Moderate industry gap","Within target"))))</f>
        <v/>
      </c>
      <c r="AS254">
        <f>IF(OR($H254="",$H254="N/A"),0,VALUE($H254)*(($AJ254+$AK254)/2)*$AV254)</f>
        <v/>
      </c>
      <c r="AT254">
        <f>IF(OR($H254="",$H254="N/A"),0,($AJ254+$AK254)/2)</f>
        <v/>
      </c>
      <c r="AU254">
        <f>'Assessment Questions'!AX254</f>
        <v/>
      </c>
      <c r="AV254">
        <f>IF(OR($H254="",$H254="N/A"),"",IF(OR($AU254="",$AU254="Everywhere",$AU254="Not applicable"),1,IF($AU254="Pilot / one team",0.4,IF($AU254="One unit or site",0.7,0.9))))</f>
        <v/>
      </c>
      <c r="AW254" t="inlineStr">
        <is>
          <t>Manufacturing MES</t>
        </is>
      </c>
      <c r="AX254" t="inlineStr">
        <is>
          <t>Manufacturing MES</t>
        </is>
      </c>
      <c r="AY254" t="n">
        <v>30</v>
      </c>
      <c r="AZ254" t="n">
        <v>254</v>
      </c>
    </row>
    <row r="255">
      <c r="A255" t="inlineStr">
        <is>
          <t>MANU-027</t>
        </is>
      </c>
      <c r="B255" t="inlineStr">
        <is>
          <t>OT security</t>
        </is>
      </c>
      <c r="C255" t="inlineStr">
        <is>
          <t>How mature is the organization in managing PLC, HMI, SCADA and recipe configuration backup and restore testing, including ownership, evidence, metrics, fallback procedures and crisis stress testing?</t>
        </is>
      </c>
      <c r="D255" t="inlineStr">
        <is>
          <t>This topic affects exposure to Manufacturing disruption; Safety incident; Energy outage; Cyberattack. It helps identify how disruption may impact operations, people, revenue, systems, legal exposure or recovery time.</t>
        </is>
      </c>
      <c r="E255" t="inlineStr">
        <is>
          <t>ISO 9001; ISO 45001; ISA-95; IEC 62443; ISO 55001; Lean; Six Sigma; TPM; MES/MOM practices</t>
        </is>
      </c>
      <c r="F255" t="inlineStr">
        <is>
          <t>Policy/SOP; owner/RACI; system report; dashboard; contracts; test records; incident history; interview evidence related to PLC, HMI, SCADA and recipe configuration backup and restore testing.</t>
        </is>
      </c>
      <c r="G255">
        <f>'Assessment Questions'!J255</f>
        <v/>
      </c>
      <c r="H255">
        <f>IF($Z255="","",IF($Z255="N/A","N/A",VALUE(LEFT($Z255,1))))</f>
        <v/>
      </c>
      <c r="I255">
        <f>IF($H255="","",IF($H255="N/A","",VALUE($H255)/5*$G255))</f>
        <v/>
      </c>
      <c r="J255">
        <f>IF(OR($H255="",$H255="N/A"),"",$G255)</f>
        <v/>
      </c>
      <c r="K255">
        <f>IF(OR($H255="",$H255="N/A"),"",$J255-$I255)</f>
        <v/>
      </c>
      <c r="L255">
        <f>IF($H255="","",IF($H255="N/A","N/A",IF(VALUE($H255)&lt;=1,"Critical",IF(VALUE($H255)&lt;=2,"High",IF(VALUE($H255)&lt;=3,"Medium",IF(VALUE($H255)&lt;=4,"Low","Resilient"))))))</f>
        <v/>
      </c>
      <c r="M255" t="inlineStr">
        <is>
          <t>Never done; no records exist.</t>
        </is>
      </c>
      <c r="N255" t="inlineStr">
        <is>
          <t>Done once long ago or only after an incident; no schedule, no records.</t>
        </is>
      </c>
      <c r="O255" t="inlineStr">
        <is>
          <t>Done irregularly; results are not documented and findings are not tracked.</t>
        </is>
      </c>
      <c r="P255" t="inlineStr">
        <is>
          <t>Done on a defined schedule (at least annually); results documented, owner assigned.</t>
        </is>
      </c>
      <c r="Q255" t="inlineStr">
        <is>
          <t>Done quarterly/semi-annually; findings tracked to closure, effectiveness measured against targets.</t>
        </is>
      </c>
      <c r="R255" t="inlineStr">
        <is>
          <t>Continuous or automated where possible; results drive improvements and are validated externally (audit/customer).</t>
        </is>
      </c>
      <c r="S255" t="inlineStr">
        <is>
          <t>Manufacturing disruption; Safety incident; Energy outage; Cyberattack</t>
        </is>
      </c>
      <c r="T255">
        <f>'Assessment Questions'!W255</f>
        <v/>
      </c>
      <c r="U255">
        <f>'Assessment Questions'!X255</f>
        <v/>
      </c>
      <c r="V255">
        <f>'Assessment Questions'!Y255</f>
        <v/>
      </c>
      <c r="W255" t="n">
        <v>5</v>
      </c>
      <c r="X255" t="n">
        <v>5</v>
      </c>
      <c r="Y255" t="n">
        <v>5</v>
      </c>
      <c r="Z255">
        <f>'Assessment Questions'!AC255</f>
        <v/>
      </c>
      <c r="AB255">
        <f>COUNTIF($B$229:$B$256,$AA255)</f>
        <v/>
      </c>
      <c r="AC255">
        <f>IFERROR(SUMPRODUCT(($B$229:$B$256=$AA255)*($H$229:$H$256&lt;&gt;"")*($H$229:$H$256&lt;&gt;"N/A")*IFERROR(VALUE($H$229:$H$256),0))/SUMPRODUCT(($B$229:$B$256=$AA255)*($H$229:$H$256&lt;&gt;"")*($H$229:$H$256&lt;&gt;"N/A")),0)</f>
        <v/>
      </c>
      <c r="AD255">
        <f>AC255/5</f>
        <v/>
      </c>
      <c r="AE255">
        <f>COUNTIFS($B$229:$B$256,$AA255,$L$229:$L$256,"Critical")+COUNTIFS($B$229:$B$256,$AA255,$L$229:$L$256,"High")</f>
        <v/>
      </c>
      <c r="AF255">
        <f>5-AC255</f>
        <v/>
      </c>
      <c r="AG255">
        <f>SUMPRODUCT(($B$229:$B$256=$AA255)*(ISNUMBER($H$229:$H$256)+($H$229:$H$256="N/A")))</f>
        <v/>
      </c>
      <c r="AH255">
        <f>'Assessment Questions'!AK255</f>
        <v/>
      </c>
      <c r="AI255">
        <f>'Assessment Questions'!AL255</f>
        <v/>
      </c>
      <c r="AJ255">
        <f>IF(OR($H255="",$H255="N/A"),"",IF($AH255="",VLOOKUP('Company Profile'!$B$40,_CONFIG_Model_Settings!$A$5:$B$8,2,FALSE),_xlfn.IFNA(VLOOKUP($AH255,_CONFIG_Model_Settings!$A$5:$B$8,2,FALSE),0.9)))</f>
        <v/>
      </c>
      <c r="AK255">
        <f>IF(OR($H255="",$H255="N/A"),"",IF($AI255="",VLOOKUP('Company Profile'!$B$41,_CONFIG_Model_Settings!$A$5:$B$8,2,FALSE),_xlfn.IFNA(VLOOKUP($AI255,_CONFIG_Model_Settings!$A$5:$B$8,2,FALSE),0.9)))</f>
        <v/>
      </c>
      <c r="AL255">
        <f>IF(OR($H255="",$H255="N/A"),"",ROUND(VALUE($H255)*$AJ255*$AK255*$AV255,2))</f>
        <v/>
      </c>
      <c r="AM255">
        <f>IF($AL255="","",ROUND($AL255/5*100,1))</f>
        <v/>
      </c>
      <c r="AN255">
        <f>IFERROR(MIN(5,MAX(0,(SUMIFS(_REF_Model_Content!$D$1:$D$157,_REF_Model_Content!$A$1:$A$157,'Company Profile'!$B$9,_REF_Model_Content!$B$1:$B$157,"Manufacturing MES"))+_xlfn.IFNA(VLOOKUP('Company Profile'!$B$35,_CONFIG_Model_Settings!$A$11:$B$13,2,0),0))),"")</f>
        <v/>
      </c>
      <c r="AO255">
        <f>IF($AL255="","",MAX(0,ROUND($AN255-$AL255,2)))</f>
        <v/>
      </c>
      <c r="AP255">
        <f>IFERROR(SUMIFS(_REF_Model_Content!$E$1:$E$157,_REF_Model_Content!$A$1:$A$157,'Company Profile'!$B$9,_REF_Model_Content!$B$1:$B$157,"Manufacturing MES"),1)</f>
        <v/>
      </c>
      <c r="AQ255">
        <f>IF($AO255="","",ROUND($AO255*$AP255*($G255/5),2))</f>
        <v/>
      </c>
      <c r="AR255">
        <f>IF($AO255="","",IF($AO255&gt;=2,"Critical industry gap",IF($AO255&gt;=1,"High industry gap",IF($AO255&gt;=0.5,"Moderate industry gap","Within target"))))</f>
        <v/>
      </c>
      <c r="AS255">
        <f>IF(OR($H255="",$H255="N/A"),0,VALUE($H255)*(($AJ255+$AK255)/2)*$AV255)</f>
        <v/>
      </c>
      <c r="AT255">
        <f>IF(OR($H255="",$H255="N/A"),0,($AJ255+$AK255)/2)</f>
        <v/>
      </c>
      <c r="AU255">
        <f>'Assessment Questions'!AX255</f>
        <v/>
      </c>
      <c r="AV255">
        <f>IF(OR($H255="",$H255="N/A"),"",IF(OR($AU255="",$AU255="Everywhere",$AU255="Not applicable"),1,IF($AU255="Pilot / one team",0.4,IF($AU255="One unit or site",0.7,0.9))))</f>
        <v/>
      </c>
      <c r="AW255" t="inlineStr">
        <is>
          <t>Manufacturing MES</t>
        </is>
      </c>
      <c r="AX255" t="inlineStr">
        <is>
          <t>Manufacturing MES</t>
        </is>
      </c>
      <c r="AY255" t="n">
        <v>31</v>
      </c>
      <c r="AZ255" t="n">
        <v>255</v>
      </c>
    </row>
    <row r="256">
      <c r="A256" t="inlineStr">
        <is>
          <t>MANU-028</t>
        </is>
      </c>
      <c r="B256" t="inlineStr">
        <is>
          <t>OT security</t>
        </is>
      </c>
      <c r="C256" t="inlineStr">
        <is>
          <t>How mature is the organization in managing cyber incident response procedures specific to production and OT, including ownership, evidence, metrics, fallback procedures and crisis stress testing?</t>
        </is>
      </c>
      <c r="D256" t="inlineStr">
        <is>
          <t>This topic affects exposure to Manufacturing disruption; Safety incident; Energy outage; Cyberattack. It helps identify how disruption may impact operations, people, revenue, systems, legal exposure or recovery time.</t>
        </is>
      </c>
      <c r="E256" t="inlineStr">
        <is>
          <t>ISO 9001; ISO 45001; ISA-95; IEC 62443; ISO 55001; Lean; Six Sigma; TPM; MES/MOM practices</t>
        </is>
      </c>
      <c r="F256" t="inlineStr">
        <is>
          <t>Policy/SOP; owner/RACI; system report; dashboard; contracts; test records; incident history; interview evidence related to cyber incident response procedures specific to production and OT.</t>
        </is>
      </c>
      <c r="G256">
        <f>'Assessment Questions'!J256</f>
        <v/>
      </c>
      <c r="H256">
        <f>IF($Z256="","",IF($Z256="N/A","N/A",VALUE(LEFT($Z256,1))))</f>
        <v/>
      </c>
      <c r="I256">
        <f>IF($H256="","",IF($H256="N/A","",VALUE($H256)/5*$G256))</f>
        <v/>
      </c>
      <c r="J256">
        <f>IF(OR($H256="",$H256="N/A"),"",$G256)</f>
        <v/>
      </c>
      <c r="K256">
        <f>IF(OR($H256="",$H256="N/A"),"",$J256-$I256)</f>
        <v/>
      </c>
      <c r="L256">
        <f>IF($H256="","",IF($H256="N/A","N/A",IF(VALUE($H256)&lt;=1,"Critical",IF(VALUE($H256)&lt;=2,"High",IF(VALUE($H256)&lt;=3,"Medium",IF(VALUE($H256)&lt;=4,"Low","Resilient"))))))</f>
        <v/>
      </c>
      <c r="M256" t="inlineStr">
        <is>
          <t>No plan or procedure exists.</t>
        </is>
      </c>
      <c r="N256" t="inlineStr">
        <is>
          <t>Knowledge lives with individuals; nothing usable is written down.</t>
        </is>
      </c>
      <c r="O256" t="inlineStr">
        <is>
          <t>Drafted but outdated, not approved, or unknown to the people who must use it.</t>
        </is>
      </c>
      <c r="P256" t="inlineStr">
        <is>
          <t>Approved and current; owners assigned; affected staff know it exists and where to find it.</t>
        </is>
      </c>
      <c r="Q256" t="inlineStr">
        <is>
          <t>Tested against realistic scenarios; updated after each test or real incident.</t>
        </is>
      </c>
      <c r="R256" t="inlineStr">
        <is>
          <t>Exercised regularly including external parties; readiness measured; continuously improved.</t>
        </is>
      </c>
      <c r="S256" t="inlineStr">
        <is>
          <t>Manufacturing disruption; Safety incident; Energy outage; Cyberattack</t>
        </is>
      </c>
      <c r="T256">
        <f>'Assessment Questions'!W256</f>
        <v/>
      </c>
      <c r="U256">
        <f>'Assessment Questions'!X256</f>
        <v/>
      </c>
      <c r="V256">
        <f>'Assessment Questions'!Y256</f>
        <v/>
      </c>
      <c r="W256" t="n">
        <v>5</v>
      </c>
      <c r="X256" t="n">
        <v>5</v>
      </c>
      <c r="Y256" t="n">
        <v>5</v>
      </c>
      <c r="Z256">
        <f>'Assessment Questions'!AC256</f>
        <v/>
      </c>
      <c r="AB256">
        <f>COUNTIF($B$229:$B$256,$AA256)</f>
        <v/>
      </c>
      <c r="AC256">
        <f>IFERROR(SUMPRODUCT(($B$229:$B$256=$AA256)*($H$229:$H$256&lt;&gt;"")*($H$229:$H$256&lt;&gt;"N/A")*IFERROR(VALUE($H$229:$H$256),0))/SUMPRODUCT(($B$229:$B$256=$AA256)*($H$229:$H$256&lt;&gt;"")*($H$229:$H$256&lt;&gt;"N/A")),0)</f>
        <v/>
      </c>
      <c r="AD256">
        <f>AC256/5</f>
        <v/>
      </c>
      <c r="AE256">
        <f>COUNTIFS($B$229:$B$256,$AA256,$L$229:$L$256,"Critical")+COUNTIFS($B$229:$B$256,$AA256,$L$229:$L$256,"High")</f>
        <v/>
      </c>
      <c r="AF256">
        <f>5-AC256</f>
        <v/>
      </c>
      <c r="AG256">
        <f>SUMPRODUCT(($B$229:$B$256=$AA256)*(ISNUMBER($H$229:$H$256)+($H$229:$H$256="N/A")))</f>
        <v/>
      </c>
      <c r="AH256">
        <f>'Assessment Questions'!AK256</f>
        <v/>
      </c>
      <c r="AI256">
        <f>'Assessment Questions'!AL256</f>
        <v/>
      </c>
      <c r="AJ256">
        <f>IF(OR($H256="",$H256="N/A"),"",IF($AH256="",VLOOKUP('Company Profile'!$B$40,_CONFIG_Model_Settings!$A$5:$B$8,2,FALSE),_xlfn.IFNA(VLOOKUP($AH256,_CONFIG_Model_Settings!$A$5:$B$8,2,FALSE),0.9)))</f>
        <v/>
      </c>
      <c r="AK256">
        <f>IF(OR($H256="",$H256="N/A"),"",IF($AI256="",VLOOKUP('Company Profile'!$B$41,_CONFIG_Model_Settings!$A$5:$B$8,2,FALSE),_xlfn.IFNA(VLOOKUP($AI256,_CONFIG_Model_Settings!$A$5:$B$8,2,FALSE),0.9)))</f>
        <v/>
      </c>
      <c r="AL256">
        <f>IF(OR($H256="",$H256="N/A"),"",ROUND(VALUE($H256)*$AJ256*$AK256*$AV256,2))</f>
        <v/>
      </c>
      <c r="AM256">
        <f>IF($AL256="","",ROUND($AL256/5*100,1))</f>
        <v/>
      </c>
      <c r="AN256">
        <f>IFERROR(MIN(5,MAX(0,(SUMIFS(_REF_Model_Content!$D$1:$D$157,_REF_Model_Content!$A$1:$A$157,'Company Profile'!$B$9,_REF_Model_Content!$B$1:$B$157,"Manufacturing MES"))+_xlfn.IFNA(VLOOKUP('Company Profile'!$B$35,_CONFIG_Model_Settings!$A$11:$B$13,2,0),0))),"")</f>
        <v/>
      </c>
      <c r="AO256">
        <f>IF($AL256="","",MAX(0,ROUND($AN256-$AL256,2)))</f>
        <v/>
      </c>
      <c r="AP256">
        <f>IFERROR(SUMIFS(_REF_Model_Content!$E$1:$E$157,_REF_Model_Content!$A$1:$A$157,'Company Profile'!$B$9,_REF_Model_Content!$B$1:$B$157,"Manufacturing MES"),1)</f>
        <v/>
      </c>
      <c r="AQ256">
        <f>IF($AO256="","",ROUND($AO256*$AP256*($G256/5),2))</f>
        <v/>
      </c>
      <c r="AR256">
        <f>IF($AO256="","",IF($AO256&gt;=2,"Critical industry gap",IF($AO256&gt;=1,"High industry gap",IF($AO256&gt;=0.5,"Moderate industry gap","Within target"))))</f>
        <v/>
      </c>
      <c r="AS256">
        <f>IF(OR($H256="",$H256="N/A"),0,VALUE($H256)*(($AJ256+$AK256)/2)*$AV256)</f>
        <v/>
      </c>
      <c r="AT256">
        <f>IF(OR($H256="",$H256="N/A"),0,($AJ256+$AK256)/2)</f>
        <v/>
      </c>
      <c r="AU256">
        <f>'Assessment Questions'!AX256</f>
        <v/>
      </c>
      <c r="AV256">
        <f>IF(OR($H256="",$H256="N/A"),"",IF(OR($AU256="",$AU256="Everywhere",$AU256="Not applicable"),1,IF($AU256="Pilot / one team",0.4,IF($AU256="One unit or site",0.7,0.9))))</f>
        <v/>
      </c>
      <c r="AW256" t="inlineStr">
        <is>
          <t>Manufacturing MES</t>
        </is>
      </c>
      <c r="AX256" t="inlineStr">
        <is>
          <t>Manufacturing MES</t>
        </is>
      </c>
      <c r="AY256" t="n">
        <v>32</v>
      </c>
      <c r="AZ256" t="n">
        <v>256</v>
      </c>
    </row>
    <row r="257">
      <c r="A257" t="inlineStr">
        <is>
          <t>SALE-001</t>
        </is>
      </c>
      <c r="B257" t="inlineStr">
        <is>
          <t>CRM foundation</t>
        </is>
      </c>
      <c r="C257" t="inlineStr">
        <is>
          <t>How mature is the organization in managing CRM as single source of truth for accounts, contacts, opportunities, activities and forecasts, including ownership, evidence, metrics, fallback procedures and crisis stress testing?</t>
        </is>
      </c>
      <c r="D257" t="inlineStr">
        <is>
          <t>This topic affects exposure to Demand shock; Revenue loss; Reputation crisis. It helps identify how disruption may impact operations, people, revenue, systems, legal exposure or recovery time.</t>
        </is>
      </c>
      <c r="E257" t="inlineStr">
        <is>
          <t>ISO 9001; ISO 10002; ISO 10004; RevOps; MEDDICC; customer success best practices</t>
        </is>
      </c>
      <c r="F257" t="inlineStr">
        <is>
          <t>Policy/SOP; owner/RACI; system report; dashboard; contracts; test records; incident history; interview evidence related to CRM as single source of truth for accounts, contacts, opportunities, activities and forecasts.</t>
        </is>
      </c>
      <c r="G257">
        <f>'Assessment Questions'!J257</f>
        <v/>
      </c>
      <c r="H257">
        <f>IF($Z257="","",IF($Z257="N/A","N/A",VALUE(LEFT($Z257,1))))</f>
        <v/>
      </c>
      <c r="I257">
        <f>IF($H257="","",IF($H257="N/A","",VALUE($H257)/5*$G257))</f>
        <v/>
      </c>
      <c r="J257">
        <f>IF(OR($H257="",$H257="N/A"),"",$G257)</f>
        <v/>
      </c>
      <c r="K257">
        <f>IF(OR($H257="",$H257="N/A"),"",$J257-$I257)</f>
        <v/>
      </c>
      <c r="L257">
        <f>IF($H257="","",IF($H257="N/A","N/A",IF(VALUE($H257)&lt;=1,"Critical",IF(VALUE($H257)&lt;=2,"High",IF(VALUE($H257)&lt;=3,"Medium",IF(VALUE($H257)&lt;=4,"Low","Resilient"))))))</f>
        <v/>
      </c>
      <c r="M257" t="inlineStr">
        <is>
          <t>No reliable evidence that crm as single source of truth for accounts, contacts, opportunities, activities and forecasts is defined, owned or managed.</t>
        </is>
      </c>
      <c r="N257" t="inlineStr">
        <is>
          <t>CRM as single source of truth for accounts, contacts, opportunities, activities and forecasts is handled informally and depends on individual knowledge or heroic effort.</t>
        </is>
      </c>
      <c r="O257" t="inlineStr">
        <is>
          <t>CRM as single source of truth for accounts, contacts, opportunities, activities and forecasts is partially documented or implemented, but coverage is inconsistent and not crisis-tested.</t>
        </is>
      </c>
      <c r="P257" t="inlineStr">
        <is>
          <t>CRM as single source of truth for accounts, contacts, opportunities, activities and forecasts is documented, owned, used in normal operations and supported by basic evidence or metrics.</t>
        </is>
      </c>
      <c r="Q257" t="inlineStr">
        <is>
          <t>CRM as single source of truth for accounts, contacts, opportunities, activities and forecasts is measured, periodically reviewed, integrated with related processes and tested against relevant disruption scenarios.</t>
        </is>
      </c>
      <c r="R257" t="inlineStr">
        <is>
          <t>CRM as single source of truth for accounts, contacts, opportunities, activities and forecasts is optimized, continuously improved, automated where practical and demonstrably supports crisis resilience.</t>
        </is>
      </c>
      <c r="S257" t="inlineStr">
        <is>
          <t>Demand shock; Revenue loss; Reputation crisis</t>
        </is>
      </c>
      <c r="T257">
        <f>'Assessment Questions'!W257</f>
        <v/>
      </c>
      <c r="U257">
        <f>'Assessment Questions'!X257</f>
        <v/>
      </c>
      <c r="V257">
        <f>'Assessment Questions'!Y257</f>
        <v/>
      </c>
      <c r="W257" t="n">
        <v>5</v>
      </c>
      <c r="X257" t="n">
        <v>5</v>
      </c>
      <c r="Y257" t="n">
        <v>5</v>
      </c>
      <c r="Z257">
        <f>'Assessment Questions'!AC257</f>
        <v/>
      </c>
      <c r="AA257" t="inlineStr">
        <is>
          <t>CRM foundation</t>
        </is>
      </c>
      <c r="AB257">
        <f>COUNTIF($B$257:$B$280,$AA257)</f>
        <v/>
      </c>
      <c r="AC257">
        <f>IFERROR(SUMPRODUCT(($B$257:$B$280=$AA257)*($H$257:$H$280&lt;&gt;"")*($H$257:$H$280&lt;&gt;"N/A")*IFERROR(VALUE($H$257:$H$280),0))/SUMPRODUCT(($B$257:$B$280=$AA257)*($H$257:$H$280&lt;&gt;"")*($H$257:$H$280&lt;&gt;"N/A")),0)</f>
        <v/>
      </c>
      <c r="AD257">
        <f>AC257/5</f>
        <v/>
      </c>
      <c r="AE257">
        <f>COUNTIFS($B$257:$B$280,$AA257,$L$257:$L$280,"Critical")+COUNTIFS($B$257:$B$280,$AA257,$L$257:$L$280,"High")</f>
        <v/>
      </c>
      <c r="AF257">
        <f>5-AC257</f>
        <v/>
      </c>
      <c r="AG257">
        <f>SUMPRODUCT(($B$257:$B$280=$AA257)*(ISNUMBER($H$257:$H$280)+($H$257:$H$280="N/A")))</f>
        <v/>
      </c>
      <c r="AH257">
        <f>'Assessment Questions'!AK257</f>
        <v/>
      </c>
      <c r="AI257">
        <f>'Assessment Questions'!AL257</f>
        <v/>
      </c>
      <c r="AJ257">
        <f>IF(OR($H257="",$H257="N/A"),"",IF($AH257="",VLOOKUP('Company Profile'!$B$40,_CONFIG_Model_Settings!$A$5:$B$8,2,FALSE),_xlfn.IFNA(VLOOKUP($AH257,_CONFIG_Model_Settings!$A$5:$B$8,2,FALSE),0.9)))</f>
        <v/>
      </c>
      <c r="AK257">
        <f>IF(OR($H257="",$H257="N/A"),"",IF($AI257="",VLOOKUP('Company Profile'!$B$41,_CONFIG_Model_Settings!$A$5:$B$8,2,FALSE),_xlfn.IFNA(VLOOKUP($AI257,_CONFIG_Model_Settings!$A$5:$B$8,2,FALSE),0.9)))</f>
        <v/>
      </c>
      <c r="AL257">
        <f>IF(OR($H257="",$H257="N/A"),"",ROUND(VALUE($H257)*$AJ257*$AK257*$AV257,2))</f>
        <v/>
      </c>
      <c r="AM257">
        <f>IF($AL257="","",ROUND($AL257/5*100,1))</f>
        <v/>
      </c>
      <c r="AN257">
        <f>IFERROR(MIN(5,MAX(0,(SUMIFS(_REF_Model_Content!$D$1:$D$157,_REF_Model_Content!$A$1:$A$157,'Company Profile'!$B$9,_REF_Model_Content!$B$1:$B$157,"Sales CRM"))+_xlfn.IFNA(VLOOKUP('Company Profile'!$B$35,_CONFIG_Model_Settings!$A$11:$B$13,2,0),0))),"")</f>
        <v/>
      </c>
      <c r="AO257">
        <f>IF($AL257="","",MAX(0,ROUND($AN257-$AL257,2)))</f>
        <v/>
      </c>
      <c r="AP257">
        <f>IFERROR(SUMIFS(_REF_Model_Content!$E$1:$E$157,_REF_Model_Content!$A$1:$A$157,'Company Profile'!$B$9,_REF_Model_Content!$B$1:$B$157,"Sales CRM"),1)</f>
        <v/>
      </c>
      <c r="AQ257">
        <f>IF($AO257="","",ROUND($AO257*$AP257*($G257/5),2))</f>
        <v/>
      </c>
      <c r="AR257">
        <f>IF($AO257="","",IF($AO257&gt;=2,"Critical industry gap",IF($AO257&gt;=1,"High industry gap",IF($AO257&gt;=0.5,"Moderate industry gap","Within target"))))</f>
        <v/>
      </c>
      <c r="AS257">
        <f>IF(OR($H257="",$H257="N/A"),0,VALUE($H257)*(($AJ257+$AK257)/2)*$AV257)</f>
        <v/>
      </c>
      <c r="AT257">
        <f>IF(OR($H257="",$H257="N/A"),0,($AJ257+$AK257)/2)</f>
        <v/>
      </c>
      <c r="AU257">
        <f>'Assessment Questions'!AX257</f>
        <v/>
      </c>
      <c r="AV257">
        <f>IF(OR($H257="",$H257="N/A"),"",IF(OR($AU257="",$AU257="Everywhere",$AU257="Not applicable"),1,IF($AU257="Pilot / one team",0.4,IF($AU257="One unit or site",0.7,0.9))))</f>
        <v/>
      </c>
      <c r="AW257" t="inlineStr">
        <is>
          <t>Sales CRM</t>
        </is>
      </c>
      <c r="AX257" t="inlineStr">
        <is>
          <t>Sales CRM</t>
        </is>
      </c>
      <c r="AY257" t="n">
        <v>5</v>
      </c>
      <c r="AZ257" t="n">
        <v>257</v>
      </c>
    </row>
    <row r="258">
      <c r="A258" t="inlineStr">
        <is>
          <t>SALE-002</t>
        </is>
      </c>
      <c r="B258" t="inlineStr">
        <is>
          <t>CRM foundation</t>
        </is>
      </c>
      <c r="C258" t="inlineStr">
        <is>
          <t>How mature is the organization in managing CRM data quality for segmentation, pipeline, ICP, offerings, win/loss reasons and customer health, including ownership, evidence, metrics, fallback procedures and crisis stress testing?</t>
        </is>
      </c>
      <c r="D258" t="inlineStr">
        <is>
          <t>This topic affects exposure to Demand shock; Revenue loss; Reputation crisis. It helps identify how disruption may impact operations, people, revenue, systems, legal exposure or recovery time.</t>
        </is>
      </c>
      <c r="E258" t="inlineStr">
        <is>
          <t>ISO 9001; ISO 10002; ISO 10004; RevOps; MEDDICC; customer success best practices</t>
        </is>
      </c>
      <c r="F258" t="inlineStr">
        <is>
          <t>Policy/SOP; owner/RACI; system report; dashboard; contracts; test records; incident history; interview evidence related to CRM data quality for segmentation, pipeline, ICP, offerings, win/loss reasons and customer health.</t>
        </is>
      </c>
      <c r="G258">
        <f>'Assessment Questions'!J258</f>
        <v/>
      </c>
      <c r="H258">
        <f>IF($Z258="","",IF($Z258="N/A","N/A",VALUE(LEFT($Z258,1))))</f>
        <v/>
      </c>
      <c r="I258">
        <f>IF($H258="","",IF($H258="N/A","",VALUE($H258)/5*$G258))</f>
        <v/>
      </c>
      <c r="J258">
        <f>IF(OR($H258="",$H258="N/A"),"",$G258)</f>
        <v/>
      </c>
      <c r="K258">
        <f>IF(OR($H258="",$H258="N/A"),"",$J258-$I258)</f>
        <v/>
      </c>
      <c r="L258">
        <f>IF($H258="","",IF($H258="N/A","N/A",IF(VALUE($H258)&lt;=1,"Critical",IF(VALUE($H258)&lt;=2,"High",IF(VALUE($H258)&lt;=3,"Medium",IF(VALUE($H258)&lt;=4,"Low","Resilient"))))))</f>
        <v/>
      </c>
      <c r="M258" t="inlineStr">
        <is>
          <t>No reliable evidence that crm data quality for segmentation, pipeline, icp, offerings, win/loss reasons and customer health is defined, owned or managed.</t>
        </is>
      </c>
      <c r="N258" t="inlineStr">
        <is>
          <t>CRM data quality for segmentation, pipeline, ICP, offerings, win/loss reasons and customer health is handled informally and depends on individual knowledge or heroic effort.</t>
        </is>
      </c>
      <c r="O258" t="inlineStr">
        <is>
          <t>CRM data quality for segmentation, pipeline, ICP, offerings, win/loss reasons and customer health is partially documented or implemented, but coverage is inconsistent and not crisis-tested.</t>
        </is>
      </c>
      <c r="P258" t="inlineStr">
        <is>
          <t>CRM data quality for segmentation, pipeline, ICP, offerings, win/loss reasons and customer health is documented, owned, used in normal operations and supported by basic evidence or metrics.</t>
        </is>
      </c>
      <c r="Q258" t="inlineStr">
        <is>
          <t>CRM data quality for segmentation, pipeline, ICP, offerings, win/loss reasons and customer health is measured, periodically reviewed, integrated with related processes and tested against relevant disruption scenarios.</t>
        </is>
      </c>
      <c r="R258" t="inlineStr">
        <is>
          <t>CRM data quality for segmentation, pipeline, ICP, offerings, win/loss reasons and customer health is optimized, continuously improved, automated where practical and demonstrably supports crisis resilience.</t>
        </is>
      </c>
      <c r="S258" t="inlineStr">
        <is>
          <t>Demand shock; Revenue loss; Reputation crisis</t>
        </is>
      </c>
      <c r="T258">
        <f>'Assessment Questions'!W258</f>
        <v/>
      </c>
      <c r="U258">
        <f>'Assessment Questions'!X258</f>
        <v/>
      </c>
      <c r="V258">
        <f>'Assessment Questions'!Y258</f>
        <v/>
      </c>
      <c r="W258" t="n">
        <v>5</v>
      </c>
      <c r="X258" t="n">
        <v>5</v>
      </c>
      <c r="Y258" t="n">
        <v>5</v>
      </c>
      <c r="Z258">
        <f>'Assessment Questions'!AC258</f>
        <v/>
      </c>
      <c r="AA258" t="inlineStr">
        <is>
          <t>Pipeline and forecast</t>
        </is>
      </c>
      <c r="AB258">
        <f>COUNTIF($B$257:$B$280,$AA258)</f>
        <v/>
      </c>
      <c r="AC258">
        <f>IFERROR(SUMPRODUCT(($B$257:$B$280=$AA258)*($H$257:$H$280&lt;&gt;"")*($H$257:$H$280&lt;&gt;"N/A")*IFERROR(VALUE($H$257:$H$280),0))/SUMPRODUCT(($B$257:$B$280=$AA258)*($H$257:$H$280&lt;&gt;"")*($H$257:$H$280&lt;&gt;"N/A")),0)</f>
        <v/>
      </c>
      <c r="AD258">
        <f>AC258/5</f>
        <v/>
      </c>
      <c r="AE258">
        <f>COUNTIFS($B$257:$B$280,$AA258,$L$257:$L$280,"Critical")+COUNTIFS($B$257:$B$280,$AA258,$L$257:$L$280,"High")</f>
        <v/>
      </c>
      <c r="AF258">
        <f>5-AC258</f>
        <v/>
      </c>
      <c r="AG258">
        <f>SUMPRODUCT(($B$257:$B$280=$AA258)*(ISNUMBER($H$257:$H$280)+($H$257:$H$280="N/A")))</f>
        <v/>
      </c>
      <c r="AH258">
        <f>'Assessment Questions'!AK258</f>
        <v/>
      </c>
      <c r="AI258">
        <f>'Assessment Questions'!AL258</f>
        <v/>
      </c>
      <c r="AJ258">
        <f>IF(OR($H258="",$H258="N/A"),"",IF($AH258="",VLOOKUP('Company Profile'!$B$40,_CONFIG_Model_Settings!$A$5:$B$8,2,FALSE),_xlfn.IFNA(VLOOKUP($AH258,_CONFIG_Model_Settings!$A$5:$B$8,2,FALSE),0.9)))</f>
        <v/>
      </c>
      <c r="AK258">
        <f>IF(OR($H258="",$H258="N/A"),"",IF($AI258="",VLOOKUP('Company Profile'!$B$41,_CONFIG_Model_Settings!$A$5:$B$8,2,FALSE),_xlfn.IFNA(VLOOKUP($AI258,_CONFIG_Model_Settings!$A$5:$B$8,2,FALSE),0.9)))</f>
        <v/>
      </c>
      <c r="AL258">
        <f>IF(OR($H258="",$H258="N/A"),"",ROUND(VALUE($H258)*$AJ258*$AK258*$AV258,2))</f>
        <v/>
      </c>
      <c r="AM258">
        <f>IF($AL258="","",ROUND($AL258/5*100,1))</f>
        <v/>
      </c>
      <c r="AN258">
        <f>IFERROR(MIN(5,MAX(0,(SUMIFS(_REF_Model_Content!$D$1:$D$157,_REF_Model_Content!$A$1:$A$157,'Company Profile'!$B$9,_REF_Model_Content!$B$1:$B$157,"Sales CRM"))+_xlfn.IFNA(VLOOKUP('Company Profile'!$B$35,_CONFIG_Model_Settings!$A$11:$B$13,2,0),0))),"")</f>
        <v/>
      </c>
      <c r="AO258">
        <f>IF($AL258="","",MAX(0,ROUND($AN258-$AL258,2)))</f>
        <v/>
      </c>
      <c r="AP258">
        <f>IFERROR(SUMIFS(_REF_Model_Content!$E$1:$E$157,_REF_Model_Content!$A$1:$A$157,'Company Profile'!$B$9,_REF_Model_Content!$B$1:$B$157,"Sales CRM"),1)</f>
        <v/>
      </c>
      <c r="AQ258">
        <f>IF($AO258="","",ROUND($AO258*$AP258*($G258/5),2))</f>
        <v/>
      </c>
      <c r="AR258">
        <f>IF($AO258="","",IF($AO258&gt;=2,"Critical industry gap",IF($AO258&gt;=1,"High industry gap",IF($AO258&gt;=0.5,"Moderate industry gap","Within target"))))</f>
        <v/>
      </c>
      <c r="AS258">
        <f>IF(OR($H258="",$H258="N/A"),0,VALUE($H258)*(($AJ258+$AK258)/2)*$AV258)</f>
        <v/>
      </c>
      <c r="AT258">
        <f>IF(OR($H258="",$H258="N/A"),0,($AJ258+$AK258)/2)</f>
        <v/>
      </c>
      <c r="AU258">
        <f>'Assessment Questions'!AX258</f>
        <v/>
      </c>
      <c r="AV258">
        <f>IF(OR($H258="",$H258="N/A"),"",IF(OR($AU258="",$AU258="Everywhere",$AU258="Not applicable"),1,IF($AU258="Pilot / one team",0.4,IF($AU258="One unit or site",0.7,0.9))))</f>
        <v/>
      </c>
      <c r="AW258" t="inlineStr">
        <is>
          <t>Sales CRM</t>
        </is>
      </c>
      <c r="AX258" t="inlineStr">
        <is>
          <t>Sales CRM</t>
        </is>
      </c>
      <c r="AY258" t="n">
        <v>6</v>
      </c>
      <c r="AZ258" t="n">
        <v>258</v>
      </c>
    </row>
    <row r="259">
      <c r="A259" t="inlineStr">
        <is>
          <t>SALE-004</t>
        </is>
      </c>
      <c r="B259" t="inlineStr">
        <is>
          <t>CRM foundation</t>
        </is>
      </c>
      <c r="C259" t="inlineStr">
        <is>
          <t>How mature is the organization in managing sales process governance from lead to opportunity to contract to handover, including ownership, evidence, metrics, fallback procedures and crisis stress testing?</t>
        </is>
      </c>
      <c r="D259" t="inlineStr">
        <is>
          <t>This topic affects exposure to Demand shock; Revenue loss; Reputation crisis. It helps identify how disruption may impact operations, people, revenue, systems, legal exposure or recovery time.</t>
        </is>
      </c>
      <c r="E259" t="inlineStr">
        <is>
          <t>ISO 9001; ISO 10002; ISO 10004; RevOps; MEDDICC; customer success best practices</t>
        </is>
      </c>
      <c r="F259" t="inlineStr">
        <is>
          <t>Policy/SOP; owner/RACI; system report; dashboard; contracts; test records; incident history; interview evidence related to sales process governance from lead to opportunity to contract to handover.</t>
        </is>
      </c>
      <c r="G259">
        <f>'Assessment Questions'!J259</f>
        <v/>
      </c>
      <c r="H259">
        <f>IF($Z259="","",IF($Z259="N/A","N/A",VALUE(LEFT($Z259,1))))</f>
        <v/>
      </c>
      <c r="I259">
        <f>IF($H259="","",IF($H259="N/A","",VALUE($H259)/5*$G259))</f>
        <v/>
      </c>
      <c r="J259">
        <f>IF(OR($H259="",$H259="N/A"),"",$G259)</f>
        <v/>
      </c>
      <c r="K259">
        <f>IF(OR($H259="",$H259="N/A"),"",$J259-$I259)</f>
        <v/>
      </c>
      <c r="L259">
        <f>IF($H259="","",IF($H259="N/A","N/A",IF(VALUE($H259)&lt;=1,"Critical",IF(VALUE($H259)&lt;=2,"High",IF(VALUE($H259)&lt;=3,"Medium",IF(VALUE($H259)&lt;=4,"Low","Resilient"))))))</f>
        <v/>
      </c>
      <c r="M259" t="inlineStr">
        <is>
          <t>No reliable evidence that sales process governance from lead to opportunity to contract to handover is defined, owned or managed.</t>
        </is>
      </c>
      <c r="N259" t="inlineStr">
        <is>
          <t>Sales process governance from lead to opportunity to contract to handover is handled informally and depends on individual knowledge or heroic effort.</t>
        </is>
      </c>
      <c r="O259" t="inlineStr">
        <is>
          <t>Sales process governance from lead to opportunity to contract to handover is partially documented or implemented, but coverage is inconsistent and not crisis-tested.</t>
        </is>
      </c>
      <c r="P259" t="inlineStr">
        <is>
          <t>Sales process governance from lead to opportunity to contract to handover is documented, owned, used in normal operations and supported by basic evidence or metrics.</t>
        </is>
      </c>
      <c r="Q259" t="inlineStr">
        <is>
          <t>Sales process governance from lead to opportunity to contract to handover is measured, periodically reviewed, integrated with related processes and tested against relevant disruption scenarios.</t>
        </is>
      </c>
      <c r="R259" t="inlineStr">
        <is>
          <t>Sales process governance from lead to opportunity to contract to handover is optimized, continuously improved, automated where practical and demonstrably supports crisis resilience.</t>
        </is>
      </c>
      <c r="S259" t="inlineStr">
        <is>
          <t>Demand shock; Revenue loss; Reputation crisis</t>
        </is>
      </c>
      <c r="T259">
        <f>'Assessment Questions'!W259</f>
        <v/>
      </c>
      <c r="U259">
        <f>'Assessment Questions'!X259</f>
        <v/>
      </c>
      <c r="V259">
        <f>'Assessment Questions'!Y259</f>
        <v/>
      </c>
      <c r="W259" t="n">
        <v>5</v>
      </c>
      <c r="X259" t="n">
        <v>5</v>
      </c>
      <c r="Y259" t="n">
        <v>5</v>
      </c>
      <c r="Z259">
        <f>'Assessment Questions'!AC259</f>
        <v/>
      </c>
      <c r="AA259" t="inlineStr">
        <is>
          <t>Customer continuity</t>
        </is>
      </c>
      <c r="AB259">
        <f>COUNTIF($B$257:$B$280,$AA259)</f>
        <v/>
      </c>
      <c r="AC259">
        <f>IFERROR(SUMPRODUCT(($B$257:$B$280=$AA259)*($H$257:$H$280&lt;&gt;"")*($H$257:$H$280&lt;&gt;"N/A")*IFERROR(VALUE($H$257:$H$280),0))/SUMPRODUCT(($B$257:$B$280=$AA259)*($H$257:$H$280&lt;&gt;"")*($H$257:$H$280&lt;&gt;"N/A")),0)</f>
        <v/>
      </c>
      <c r="AD259">
        <f>AC259/5</f>
        <v/>
      </c>
      <c r="AE259">
        <f>COUNTIFS($B$257:$B$280,$AA259,$L$257:$L$280,"Critical")+COUNTIFS($B$257:$B$280,$AA259,$L$257:$L$280,"High")</f>
        <v/>
      </c>
      <c r="AF259">
        <f>5-AC259</f>
        <v/>
      </c>
      <c r="AG259">
        <f>SUMPRODUCT(($B$257:$B$280=$AA259)*(ISNUMBER($H$257:$H$280)+($H$257:$H$280="N/A")))</f>
        <v/>
      </c>
      <c r="AH259">
        <f>'Assessment Questions'!AK259</f>
        <v/>
      </c>
      <c r="AI259">
        <f>'Assessment Questions'!AL259</f>
        <v/>
      </c>
      <c r="AJ259">
        <f>IF(OR($H259="",$H259="N/A"),"",IF($AH259="",VLOOKUP('Company Profile'!$B$40,_CONFIG_Model_Settings!$A$5:$B$8,2,FALSE),_xlfn.IFNA(VLOOKUP($AH259,_CONFIG_Model_Settings!$A$5:$B$8,2,FALSE),0.9)))</f>
        <v/>
      </c>
      <c r="AK259">
        <f>IF(OR($H259="",$H259="N/A"),"",IF($AI259="",VLOOKUP('Company Profile'!$B$41,_CONFIG_Model_Settings!$A$5:$B$8,2,FALSE),_xlfn.IFNA(VLOOKUP($AI259,_CONFIG_Model_Settings!$A$5:$B$8,2,FALSE),0.9)))</f>
        <v/>
      </c>
      <c r="AL259">
        <f>IF(OR($H259="",$H259="N/A"),"",ROUND(VALUE($H259)*$AJ259*$AK259*$AV259,2))</f>
        <v/>
      </c>
      <c r="AM259">
        <f>IF($AL259="","",ROUND($AL259/5*100,1))</f>
        <v/>
      </c>
      <c r="AN259">
        <f>IFERROR(MIN(5,MAX(0,(SUMIFS(_REF_Model_Content!$D$1:$D$157,_REF_Model_Content!$A$1:$A$157,'Company Profile'!$B$9,_REF_Model_Content!$B$1:$B$157,"Sales CRM"))+_xlfn.IFNA(VLOOKUP('Company Profile'!$B$35,_CONFIG_Model_Settings!$A$11:$B$13,2,0),0))),"")</f>
        <v/>
      </c>
      <c r="AO259">
        <f>IF($AL259="","",MAX(0,ROUND($AN259-$AL259,2)))</f>
        <v/>
      </c>
      <c r="AP259">
        <f>IFERROR(SUMIFS(_REF_Model_Content!$E$1:$E$157,_REF_Model_Content!$A$1:$A$157,'Company Profile'!$B$9,_REF_Model_Content!$B$1:$B$157,"Sales CRM"),1)</f>
        <v/>
      </c>
      <c r="AQ259">
        <f>IF($AO259="","",ROUND($AO259*$AP259*($G259/5),2))</f>
        <v/>
      </c>
      <c r="AR259">
        <f>IF($AO259="","",IF($AO259&gt;=2,"Critical industry gap",IF($AO259&gt;=1,"High industry gap",IF($AO259&gt;=0.5,"Moderate industry gap","Within target"))))</f>
        <v/>
      </c>
      <c r="AS259">
        <f>IF(OR($H259="",$H259="N/A"),0,VALUE($H259)*(($AJ259+$AK259)/2)*$AV259)</f>
        <v/>
      </c>
      <c r="AT259">
        <f>IF(OR($H259="",$H259="N/A"),0,($AJ259+$AK259)/2)</f>
        <v/>
      </c>
      <c r="AU259">
        <f>'Assessment Questions'!AX259</f>
        <v/>
      </c>
      <c r="AV259">
        <f>IF(OR($H259="",$H259="N/A"),"",IF(OR($AU259="",$AU259="Everywhere",$AU259="Not applicable"),1,IF($AU259="Pilot / one team",0.4,IF($AU259="One unit or site",0.7,0.9))))</f>
        <v/>
      </c>
      <c r="AW259" t="inlineStr">
        <is>
          <t>Sales CRM</t>
        </is>
      </c>
      <c r="AX259" t="inlineStr">
        <is>
          <t>Sales CRM</t>
        </is>
      </c>
      <c r="AY259" t="n">
        <v>7</v>
      </c>
      <c r="AZ259" t="n">
        <v>259</v>
      </c>
    </row>
    <row r="260">
      <c r="A260" t="inlineStr">
        <is>
          <t>SALE-005</t>
        </is>
      </c>
      <c r="B260" t="inlineStr">
        <is>
          <t>CRM foundation</t>
        </is>
      </c>
      <c r="C260" t="inlineStr">
        <is>
          <t>How mature is the organization in managing customer and contract data linked to renewal, SLA and revenue risk, including ownership, evidence, metrics, fallback procedures and crisis stress testing?</t>
        </is>
      </c>
      <c r="D260" t="inlineStr">
        <is>
          <t>This topic affects exposure to Demand shock; Revenue loss; Reputation crisis. It helps identify how disruption may impact operations, people, revenue, systems, legal exposure or recovery time.</t>
        </is>
      </c>
      <c r="E260" t="inlineStr">
        <is>
          <t>ISO 9001; ISO 10002; ISO 10004; RevOps; MEDDICC; customer success best practices</t>
        </is>
      </c>
      <c r="F260" t="inlineStr">
        <is>
          <t>Policy/SOP; owner/RACI; system report; dashboard; contracts; test records; incident history; interview evidence related to customer and contract data linked to renewal, SLA and revenue risk.</t>
        </is>
      </c>
      <c r="G260">
        <f>'Assessment Questions'!J260</f>
        <v/>
      </c>
      <c r="H260">
        <f>IF($Z260="","",IF($Z260="N/A","N/A",VALUE(LEFT($Z260,1))))</f>
        <v/>
      </c>
      <c r="I260">
        <f>IF($H260="","",IF($H260="N/A","",VALUE($H260)/5*$G260))</f>
        <v/>
      </c>
      <c r="J260">
        <f>IF(OR($H260="",$H260="N/A"),"",$G260)</f>
        <v/>
      </c>
      <c r="K260">
        <f>IF(OR($H260="",$H260="N/A"),"",$J260-$I260)</f>
        <v/>
      </c>
      <c r="L260">
        <f>IF($H260="","",IF($H260="N/A","N/A",IF(VALUE($H260)&lt;=1,"Critical",IF(VALUE($H260)&lt;=2,"High",IF(VALUE($H260)&lt;=3,"Medium",IF(VALUE($H260)&lt;=4,"Low","Resilient"))))))</f>
        <v/>
      </c>
      <c r="M260" t="inlineStr">
        <is>
          <t>No reliable evidence that customer and contract data linked to renewal, sla and revenue risk is defined, owned or managed.</t>
        </is>
      </c>
      <c r="N260" t="inlineStr">
        <is>
          <t>Customer and contract data linked to renewal, SLA and revenue risk is handled informally and depends on individual knowledge or heroic effort.</t>
        </is>
      </c>
      <c r="O260" t="inlineStr">
        <is>
          <t>Customer and contract data linked to renewal, SLA and revenue risk is partially documented or implemented, but coverage is inconsistent and not crisis-tested.</t>
        </is>
      </c>
      <c r="P260" t="inlineStr">
        <is>
          <t>Customer and contract data linked to renewal, SLA and revenue risk is documented, owned, used in normal operations and supported by basic evidence or metrics.</t>
        </is>
      </c>
      <c r="Q260" t="inlineStr">
        <is>
          <t>Customer and contract data linked to renewal, SLA and revenue risk is measured, periodically reviewed, integrated with related processes and tested against relevant disruption scenarios.</t>
        </is>
      </c>
      <c r="R260" t="inlineStr">
        <is>
          <t>Customer and contract data linked to renewal, SLA and revenue risk is optimized, continuously improved, automated where practical and demonstrably supports crisis resilience.</t>
        </is>
      </c>
      <c r="S260" t="inlineStr">
        <is>
          <t>Demand shock; Revenue loss; Reputation crisis</t>
        </is>
      </c>
      <c r="T260">
        <f>'Assessment Questions'!W260</f>
        <v/>
      </c>
      <c r="U260">
        <f>'Assessment Questions'!X260</f>
        <v/>
      </c>
      <c r="V260">
        <f>'Assessment Questions'!Y260</f>
        <v/>
      </c>
      <c r="W260" t="n">
        <v>5</v>
      </c>
      <c r="X260" t="n">
        <v>5</v>
      </c>
      <c r="Y260" t="n">
        <v>5</v>
      </c>
      <c r="Z260">
        <f>'Assessment Questions'!AC260</f>
        <v/>
      </c>
      <c r="AA260" t="inlineStr">
        <is>
          <t>Revenue controls</t>
        </is>
      </c>
      <c r="AB260">
        <f>COUNTIF($B$257:$B$280,$AA260)</f>
        <v/>
      </c>
      <c r="AC260">
        <f>IFERROR(SUMPRODUCT(($B$257:$B$280=$AA260)*($H$257:$H$280&lt;&gt;"")*($H$257:$H$280&lt;&gt;"N/A")*IFERROR(VALUE($H$257:$H$280),0))/SUMPRODUCT(($B$257:$B$280=$AA260)*($H$257:$H$280&lt;&gt;"")*($H$257:$H$280&lt;&gt;"N/A")),0)</f>
        <v/>
      </c>
      <c r="AD260">
        <f>AC260/5</f>
        <v/>
      </c>
      <c r="AE260">
        <f>COUNTIFS($B$257:$B$280,$AA260,$L$257:$L$280,"Critical")+COUNTIFS($B$257:$B$280,$AA260,$L$257:$L$280,"High")</f>
        <v/>
      </c>
      <c r="AF260">
        <f>5-AC260</f>
        <v/>
      </c>
      <c r="AG260">
        <f>SUMPRODUCT(($B$257:$B$280=$AA260)*(ISNUMBER($H$257:$H$280)+($H$257:$H$280="N/A")))</f>
        <v/>
      </c>
      <c r="AH260">
        <f>'Assessment Questions'!AK260</f>
        <v/>
      </c>
      <c r="AI260">
        <f>'Assessment Questions'!AL260</f>
        <v/>
      </c>
      <c r="AJ260">
        <f>IF(OR($H260="",$H260="N/A"),"",IF($AH260="",VLOOKUP('Company Profile'!$B$40,_CONFIG_Model_Settings!$A$5:$B$8,2,FALSE),_xlfn.IFNA(VLOOKUP($AH260,_CONFIG_Model_Settings!$A$5:$B$8,2,FALSE),0.9)))</f>
        <v/>
      </c>
      <c r="AK260">
        <f>IF(OR($H260="",$H260="N/A"),"",IF($AI260="",VLOOKUP('Company Profile'!$B$41,_CONFIG_Model_Settings!$A$5:$B$8,2,FALSE),_xlfn.IFNA(VLOOKUP($AI260,_CONFIG_Model_Settings!$A$5:$B$8,2,FALSE),0.9)))</f>
        <v/>
      </c>
      <c r="AL260">
        <f>IF(OR($H260="",$H260="N/A"),"",ROUND(VALUE($H260)*$AJ260*$AK260*$AV260,2))</f>
        <v/>
      </c>
      <c r="AM260">
        <f>IF($AL260="","",ROUND($AL260/5*100,1))</f>
        <v/>
      </c>
      <c r="AN260">
        <f>IFERROR(MIN(5,MAX(0,(SUMIFS(_REF_Model_Content!$D$1:$D$157,_REF_Model_Content!$A$1:$A$157,'Company Profile'!$B$9,_REF_Model_Content!$B$1:$B$157,"Sales CRM"))+_xlfn.IFNA(VLOOKUP('Company Profile'!$B$35,_CONFIG_Model_Settings!$A$11:$B$13,2,0),0))),"")</f>
        <v/>
      </c>
      <c r="AO260">
        <f>IF($AL260="","",MAX(0,ROUND($AN260-$AL260,2)))</f>
        <v/>
      </c>
      <c r="AP260">
        <f>IFERROR(SUMIFS(_REF_Model_Content!$E$1:$E$157,_REF_Model_Content!$A$1:$A$157,'Company Profile'!$B$9,_REF_Model_Content!$B$1:$B$157,"Sales CRM"),1)</f>
        <v/>
      </c>
      <c r="AQ260">
        <f>IF($AO260="","",ROUND($AO260*$AP260*($G260/5),2))</f>
        <v/>
      </c>
      <c r="AR260">
        <f>IF($AO260="","",IF($AO260&gt;=2,"Critical industry gap",IF($AO260&gt;=1,"High industry gap",IF($AO260&gt;=0.5,"Moderate industry gap","Within target"))))</f>
        <v/>
      </c>
      <c r="AS260">
        <f>IF(OR($H260="",$H260="N/A"),0,VALUE($H260)*(($AJ260+$AK260)/2)*$AV260)</f>
        <v/>
      </c>
      <c r="AT260">
        <f>IF(OR($H260="",$H260="N/A"),0,($AJ260+$AK260)/2)</f>
        <v/>
      </c>
      <c r="AU260">
        <f>'Assessment Questions'!AX260</f>
        <v/>
      </c>
      <c r="AV260">
        <f>IF(OR($H260="",$H260="N/A"),"",IF(OR($AU260="",$AU260="Everywhere",$AU260="Not applicable"),1,IF($AU260="Pilot / one team",0.4,IF($AU260="One unit or site",0.7,0.9))))</f>
        <v/>
      </c>
      <c r="AW260" t="inlineStr">
        <is>
          <t>Sales CRM</t>
        </is>
      </c>
      <c r="AX260" t="inlineStr">
        <is>
          <t>Sales CRM</t>
        </is>
      </c>
      <c r="AY260" t="n">
        <v>8</v>
      </c>
      <c r="AZ260" t="n">
        <v>260</v>
      </c>
    </row>
    <row r="261">
      <c r="A261" t="inlineStr">
        <is>
          <t>SALE-006</t>
        </is>
      </c>
      <c r="B261" t="inlineStr">
        <is>
          <t>Pipeline and forecast</t>
        </is>
      </c>
      <c r="C261" t="inlineStr">
        <is>
          <t>How mature is the organization in managing pipeline qualification criteria and stage exit rules, including ownership, evidence, metrics, fallback procedures and crisis stress testing?</t>
        </is>
      </c>
      <c r="D261" t="inlineStr">
        <is>
          <t>This topic affects exposure to Demand shock; Revenue loss; Reputation crisis. It helps identify how disruption may impact operations, people, revenue, systems, legal exposure or recovery time.</t>
        </is>
      </c>
      <c r="E261" t="inlineStr">
        <is>
          <t>ISO 9001; ISO 10002; ISO 10004; RevOps; MEDDICC; customer success best practices</t>
        </is>
      </c>
      <c r="F261" t="inlineStr">
        <is>
          <t>Policy/SOP; owner/RACI; system report; dashboard; contracts; test records; incident history; interview evidence related to pipeline qualification criteria and stage exit rules.</t>
        </is>
      </c>
      <c r="G261">
        <f>'Assessment Questions'!J261</f>
        <v/>
      </c>
      <c r="H261">
        <f>IF($Z261="","",IF($Z261="N/A","N/A",VALUE(LEFT($Z261,1))))</f>
        <v/>
      </c>
      <c r="I261">
        <f>IF($H261="","",IF($H261="N/A","",VALUE($H261)/5*$G261))</f>
        <v/>
      </c>
      <c r="J261">
        <f>IF(OR($H261="",$H261="N/A"),"",$G261)</f>
        <v/>
      </c>
      <c r="K261">
        <f>IF(OR($H261="",$H261="N/A"),"",$J261-$I261)</f>
        <v/>
      </c>
      <c r="L261">
        <f>IF($H261="","",IF($H261="N/A","N/A",IF(VALUE($H261)&lt;=1,"Critical",IF(VALUE($H261)&lt;=2,"High",IF(VALUE($H261)&lt;=3,"Medium",IF(VALUE($H261)&lt;=4,"Low","Resilient"))))))</f>
        <v/>
      </c>
      <c r="M261" t="inlineStr">
        <is>
          <t>No reliable evidence that pipeline qualification criteria and stage exit rules is defined, owned or managed.</t>
        </is>
      </c>
      <c r="N261" t="inlineStr">
        <is>
          <t>Pipeline qualification criteria and stage exit rules is handled informally and depends on individual knowledge or heroic effort.</t>
        </is>
      </c>
      <c r="O261" t="inlineStr">
        <is>
          <t>Pipeline qualification criteria and stage exit rules is partially documented or implemented, but coverage is inconsistent and not crisis-tested.</t>
        </is>
      </c>
      <c r="P261" t="inlineStr">
        <is>
          <t>Pipeline qualification criteria and stage exit rules is documented, owned, used in normal operations and supported by basic evidence or metrics.</t>
        </is>
      </c>
      <c r="Q261" t="inlineStr">
        <is>
          <t>Pipeline qualification criteria and stage exit rules is measured, periodically reviewed, integrated with related processes and tested against relevant disruption scenarios.</t>
        </is>
      </c>
      <c r="R261" t="inlineStr">
        <is>
          <t>Pipeline qualification criteria and stage exit rules is optimized, continuously improved, automated where practical and demonstrably supports crisis resilience.</t>
        </is>
      </c>
      <c r="S261" t="inlineStr">
        <is>
          <t>Demand shock; Revenue loss; Reputation crisis</t>
        </is>
      </c>
      <c r="T261">
        <f>'Assessment Questions'!W261</f>
        <v/>
      </c>
      <c r="U261">
        <f>'Assessment Questions'!X261</f>
        <v/>
      </c>
      <c r="V261">
        <f>'Assessment Questions'!Y261</f>
        <v/>
      </c>
      <c r="W261" t="n">
        <v>4</v>
      </c>
      <c r="X261" t="n">
        <v>5</v>
      </c>
      <c r="Y261" t="n">
        <v>5</v>
      </c>
      <c r="Z261">
        <f>'Assessment Questions'!AC261</f>
        <v/>
      </c>
      <c r="AA261" t="inlineStr">
        <is>
          <t>Customer service</t>
        </is>
      </c>
      <c r="AB261">
        <f>COUNTIF($B$257:$B$280,$AA261)</f>
        <v/>
      </c>
      <c r="AC261">
        <f>IFERROR(SUMPRODUCT(($B$257:$B$280=$AA261)*($H$257:$H$280&lt;&gt;"")*($H$257:$H$280&lt;&gt;"N/A")*IFERROR(VALUE($H$257:$H$280),0))/SUMPRODUCT(($B$257:$B$280=$AA261)*($H$257:$H$280&lt;&gt;"")*($H$257:$H$280&lt;&gt;"N/A")),0)</f>
        <v/>
      </c>
      <c r="AD261">
        <f>AC261/5</f>
        <v/>
      </c>
      <c r="AE261">
        <f>COUNTIFS($B$257:$B$280,$AA261,$L$257:$L$280,"Critical")+COUNTIFS($B$257:$B$280,$AA261,$L$257:$L$280,"High")</f>
        <v/>
      </c>
      <c r="AF261">
        <f>5-AC261</f>
        <v/>
      </c>
      <c r="AG261">
        <f>SUMPRODUCT(($B$257:$B$280=$AA261)*(ISNUMBER($H$257:$H$280)+($H$257:$H$280="N/A")))</f>
        <v/>
      </c>
      <c r="AH261">
        <f>'Assessment Questions'!AK261</f>
        <v/>
      </c>
      <c r="AI261">
        <f>'Assessment Questions'!AL261</f>
        <v/>
      </c>
      <c r="AJ261">
        <f>IF(OR($H261="",$H261="N/A"),"",IF($AH261="",VLOOKUP('Company Profile'!$B$40,_CONFIG_Model_Settings!$A$5:$B$8,2,FALSE),_xlfn.IFNA(VLOOKUP($AH261,_CONFIG_Model_Settings!$A$5:$B$8,2,FALSE),0.9)))</f>
        <v/>
      </c>
      <c r="AK261">
        <f>IF(OR($H261="",$H261="N/A"),"",IF($AI261="",VLOOKUP('Company Profile'!$B$41,_CONFIG_Model_Settings!$A$5:$B$8,2,FALSE),_xlfn.IFNA(VLOOKUP($AI261,_CONFIG_Model_Settings!$A$5:$B$8,2,FALSE),0.9)))</f>
        <v/>
      </c>
      <c r="AL261">
        <f>IF(OR($H261="",$H261="N/A"),"",ROUND(VALUE($H261)*$AJ261*$AK261*$AV261,2))</f>
        <v/>
      </c>
      <c r="AM261">
        <f>IF($AL261="","",ROUND($AL261/5*100,1))</f>
        <v/>
      </c>
      <c r="AN261">
        <f>IFERROR(MIN(5,MAX(0,(SUMIFS(_REF_Model_Content!$D$1:$D$157,_REF_Model_Content!$A$1:$A$157,'Company Profile'!$B$9,_REF_Model_Content!$B$1:$B$157,"Sales CRM"))+_xlfn.IFNA(VLOOKUP('Company Profile'!$B$35,_CONFIG_Model_Settings!$A$11:$B$13,2,0),0))),"")</f>
        <v/>
      </c>
      <c r="AO261">
        <f>IF($AL261="","",MAX(0,ROUND($AN261-$AL261,2)))</f>
        <v/>
      </c>
      <c r="AP261">
        <f>IFERROR(SUMIFS(_REF_Model_Content!$E$1:$E$157,_REF_Model_Content!$A$1:$A$157,'Company Profile'!$B$9,_REF_Model_Content!$B$1:$B$157,"Sales CRM"),1)</f>
        <v/>
      </c>
      <c r="AQ261">
        <f>IF($AO261="","",ROUND($AO261*$AP261*($G261/5),2))</f>
        <v/>
      </c>
      <c r="AR261">
        <f>IF($AO261="","",IF($AO261&gt;=2,"Critical industry gap",IF($AO261&gt;=1,"High industry gap",IF($AO261&gt;=0.5,"Moderate industry gap","Within target"))))</f>
        <v/>
      </c>
      <c r="AS261">
        <f>IF(OR($H261="",$H261="N/A"),0,VALUE($H261)*(($AJ261+$AK261)/2)*$AV261)</f>
        <v/>
      </c>
      <c r="AT261">
        <f>IF(OR($H261="",$H261="N/A"),0,($AJ261+$AK261)/2)</f>
        <v/>
      </c>
      <c r="AU261">
        <f>'Assessment Questions'!AX261</f>
        <v/>
      </c>
      <c r="AV261">
        <f>IF(OR($H261="",$H261="N/A"),"",IF(OR($AU261="",$AU261="Everywhere",$AU261="Not applicable"),1,IF($AU261="Pilot / one team",0.4,IF($AU261="One unit or site",0.7,0.9))))</f>
        <v/>
      </c>
      <c r="AW261" t="inlineStr">
        <is>
          <t>Sales CRM</t>
        </is>
      </c>
      <c r="AX261" t="inlineStr">
        <is>
          <t>Sales CRM</t>
        </is>
      </c>
      <c r="AY261" t="n">
        <v>9</v>
      </c>
      <c r="AZ261" t="n">
        <v>261</v>
      </c>
    </row>
    <row r="262">
      <c r="A262" t="inlineStr">
        <is>
          <t>SALE-007</t>
        </is>
      </c>
      <c r="B262" t="inlineStr">
        <is>
          <t>Pipeline and forecast</t>
        </is>
      </c>
      <c r="C262" t="inlineStr">
        <is>
          <t>How mature is the organization in managing pipeline coverage relative to targets, sales cycle, win rate and crisis scenarios, including ownership, evidence, metrics, fallback procedures and crisis stress testing?</t>
        </is>
      </c>
      <c r="D262" t="inlineStr">
        <is>
          <t>This topic affects exposure to Demand shock; Revenue loss; Reputation crisis. It helps identify how disruption may impact operations, people, revenue, systems, legal exposure or recovery time.</t>
        </is>
      </c>
      <c r="E262" t="inlineStr">
        <is>
          <t>ISO 9001; ISO 10002; ISO 10004; RevOps; MEDDICC; customer success best practices</t>
        </is>
      </c>
      <c r="F262" t="inlineStr">
        <is>
          <t>Policy/SOP; owner/RACI; system report; dashboard; contracts; test records; incident history; interview evidence related to pipeline coverage relative to targets, sales cycle, win rate and crisis scenarios.</t>
        </is>
      </c>
      <c r="G262">
        <f>'Assessment Questions'!J262</f>
        <v/>
      </c>
      <c r="H262">
        <f>IF($Z262="","",IF($Z262="N/A","N/A",VALUE(LEFT($Z262,1))))</f>
        <v/>
      </c>
      <c r="I262">
        <f>IF($H262="","",IF($H262="N/A","",VALUE($H262)/5*$G262))</f>
        <v/>
      </c>
      <c r="J262">
        <f>IF(OR($H262="",$H262="N/A"),"",$G262)</f>
        <v/>
      </c>
      <c r="K262">
        <f>IF(OR($H262="",$H262="N/A"),"",$J262-$I262)</f>
        <v/>
      </c>
      <c r="L262">
        <f>IF($H262="","",IF($H262="N/A","N/A",IF(VALUE($H262)&lt;=1,"Critical",IF(VALUE($H262)&lt;=2,"High",IF(VALUE($H262)&lt;=3,"Medium",IF(VALUE($H262)&lt;=4,"Low","Resilient"))))))</f>
        <v/>
      </c>
      <c r="M262" t="inlineStr">
        <is>
          <t>Does not exist; no owner, no documentation, no practice.</t>
        </is>
      </c>
      <c r="N262" t="inlineStr">
        <is>
          <t>Ad hoc; depends entirely on specific individuals.</t>
        </is>
      </c>
      <c r="O262" t="inlineStr">
        <is>
          <t>Partially documented or implemented; coverage inconsistent; never tested under stress.</t>
        </is>
      </c>
      <c r="P262" t="inlineStr">
        <is>
          <t>Documented, owned, executed consistently; basic evidence and metrics exist.</t>
        </is>
      </c>
      <c r="Q262" t="inlineStr">
        <is>
          <t>Measured and periodically tested/audited; integrated with adjacent processes.</t>
        </is>
      </c>
      <c r="R262" t="inlineStr">
        <is>
          <t>Optimized and automated where practical; stress-tested; benchmarked externally.</t>
        </is>
      </c>
      <c r="S262" t="inlineStr">
        <is>
          <t>Demand shock; Revenue loss; Reputation crisis</t>
        </is>
      </c>
      <c r="T262">
        <f>'Assessment Questions'!W262</f>
        <v/>
      </c>
      <c r="U262">
        <f>'Assessment Questions'!X262</f>
        <v/>
      </c>
      <c r="V262">
        <f>'Assessment Questions'!Y262</f>
        <v/>
      </c>
      <c r="W262" t="n">
        <v>4</v>
      </c>
      <c r="X262" t="n">
        <v>5</v>
      </c>
      <c r="Y262" t="n">
        <v>5</v>
      </c>
      <c r="Z262">
        <f>'Assessment Questions'!AC262</f>
        <v/>
      </c>
      <c r="AB262">
        <f>COUNTIF($B$257:$B$280,$AA262)</f>
        <v/>
      </c>
      <c r="AC262">
        <f>IFERROR(SUMPRODUCT(($B$257:$B$280=$AA262)*($H$257:$H$280&lt;&gt;"")*($H$257:$H$280&lt;&gt;"N/A")*IFERROR(VALUE($H$257:$H$280),0))/SUMPRODUCT(($B$257:$B$280=$AA262)*($H$257:$H$280&lt;&gt;"")*($H$257:$H$280&lt;&gt;"N/A")),0)</f>
        <v/>
      </c>
      <c r="AD262">
        <f>AC262/5</f>
        <v/>
      </c>
      <c r="AE262">
        <f>COUNTIFS($B$257:$B$280,$AA262,$L$257:$L$280,"Critical")+COUNTIFS($B$257:$B$280,$AA262,$L$257:$L$280,"High")</f>
        <v/>
      </c>
      <c r="AF262">
        <f>5-AC262</f>
        <v/>
      </c>
      <c r="AG262">
        <f>SUMPRODUCT(($B$257:$B$280=$AA262)*(ISNUMBER($H$257:$H$280)+($H$257:$H$280="N/A")))</f>
        <v/>
      </c>
      <c r="AH262">
        <f>'Assessment Questions'!AK262</f>
        <v/>
      </c>
      <c r="AI262">
        <f>'Assessment Questions'!AL262</f>
        <v/>
      </c>
      <c r="AJ262">
        <f>IF(OR($H262="",$H262="N/A"),"",IF($AH262="",VLOOKUP('Company Profile'!$B$40,_CONFIG_Model_Settings!$A$5:$B$8,2,FALSE),_xlfn.IFNA(VLOOKUP($AH262,_CONFIG_Model_Settings!$A$5:$B$8,2,FALSE),0.9)))</f>
        <v/>
      </c>
      <c r="AK262">
        <f>IF(OR($H262="",$H262="N/A"),"",IF($AI262="",VLOOKUP('Company Profile'!$B$41,_CONFIG_Model_Settings!$A$5:$B$8,2,FALSE),_xlfn.IFNA(VLOOKUP($AI262,_CONFIG_Model_Settings!$A$5:$B$8,2,FALSE),0.9)))</f>
        <v/>
      </c>
      <c r="AL262">
        <f>IF(OR($H262="",$H262="N/A"),"",ROUND(VALUE($H262)*$AJ262*$AK262*$AV262,2))</f>
        <v/>
      </c>
      <c r="AM262">
        <f>IF($AL262="","",ROUND($AL262/5*100,1))</f>
        <v/>
      </c>
      <c r="AN262">
        <f>IFERROR(MIN(5,MAX(0,(SUMIFS(_REF_Model_Content!$D$1:$D$157,_REF_Model_Content!$A$1:$A$157,'Company Profile'!$B$9,_REF_Model_Content!$B$1:$B$157,"Sales CRM"))+_xlfn.IFNA(VLOOKUP('Company Profile'!$B$35,_CONFIG_Model_Settings!$A$11:$B$13,2,0),0))),"")</f>
        <v/>
      </c>
      <c r="AO262">
        <f>IF($AL262="","",MAX(0,ROUND($AN262-$AL262,2)))</f>
        <v/>
      </c>
      <c r="AP262">
        <f>IFERROR(SUMIFS(_REF_Model_Content!$E$1:$E$157,_REF_Model_Content!$A$1:$A$157,'Company Profile'!$B$9,_REF_Model_Content!$B$1:$B$157,"Sales CRM"),1)</f>
        <v/>
      </c>
      <c r="AQ262">
        <f>IF($AO262="","",ROUND($AO262*$AP262*($G262/5),2))</f>
        <v/>
      </c>
      <c r="AR262">
        <f>IF($AO262="","",IF($AO262&gt;=2,"Critical industry gap",IF($AO262&gt;=1,"High industry gap",IF($AO262&gt;=0.5,"Moderate industry gap","Within target"))))</f>
        <v/>
      </c>
      <c r="AS262">
        <f>IF(OR($H262="",$H262="N/A"),0,VALUE($H262)*(($AJ262+$AK262)/2)*$AV262)</f>
        <v/>
      </c>
      <c r="AT262">
        <f>IF(OR($H262="",$H262="N/A"),0,($AJ262+$AK262)/2)</f>
        <v/>
      </c>
      <c r="AU262">
        <f>'Assessment Questions'!AX262</f>
        <v/>
      </c>
      <c r="AV262">
        <f>IF(OR($H262="",$H262="N/A"),"",IF(OR($AU262="",$AU262="Everywhere",$AU262="Not applicable"),1,IF($AU262="Pilot / one team",0.4,IF($AU262="One unit or site",0.7,0.9))))</f>
        <v/>
      </c>
      <c r="AW262" t="inlineStr">
        <is>
          <t>Sales CRM</t>
        </is>
      </c>
      <c r="AX262" t="inlineStr">
        <is>
          <t>Sales CRM</t>
        </is>
      </c>
      <c r="AY262" t="n">
        <v>10</v>
      </c>
      <c r="AZ262" t="n">
        <v>262</v>
      </c>
    </row>
    <row r="263">
      <c r="A263" t="inlineStr">
        <is>
          <t>SALE-008</t>
        </is>
      </c>
      <c r="B263" t="inlineStr">
        <is>
          <t>Pipeline and forecast</t>
        </is>
      </c>
      <c r="C263" t="inlineStr">
        <is>
          <t>How mature is the organization in managing sales forecast cadence connected to finance, delivery and supply planning, including ownership, evidence, metrics, fallback procedures and crisis stress testing?</t>
        </is>
      </c>
      <c r="D263" t="inlineStr">
        <is>
          <t>This topic affects exposure to Demand shock; Revenue loss; Reputation crisis. It helps identify how disruption may impact operations, people, revenue, systems, legal exposure or recovery time.</t>
        </is>
      </c>
      <c r="E263" t="inlineStr">
        <is>
          <t>ISO 9001; ISO 10002; ISO 10004; RevOps; MEDDICC; customer success best practices</t>
        </is>
      </c>
      <c r="F263" t="inlineStr">
        <is>
          <t>Policy/SOP; owner/RACI; system report; dashboard; contracts; test records; incident history; interview evidence related to sales forecast cadence connected to finance, delivery and supply planning.</t>
        </is>
      </c>
      <c r="G263">
        <f>'Assessment Questions'!J263</f>
        <v/>
      </c>
      <c r="H263">
        <f>IF($Z263="","",IF($Z263="N/A","N/A",VALUE(LEFT($Z263,1))))</f>
        <v/>
      </c>
      <c r="I263">
        <f>IF($H263="","",IF($H263="N/A","",VALUE($H263)/5*$G263))</f>
        <v/>
      </c>
      <c r="J263">
        <f>IF(OR($H263="",$H263="N/A"),"",$G263)</f>
        <v/>
      </c>
      <c r="K263">
        <f>IF(OR($H263="",$H263="N/A"),"",$J263-$I263)</f>
        <v/>
      </c>
      <c r="L263">
        <f>IF($H263="","",IF($H263="N/A","N/A",IF(VALUE($H263)&lt;=1,"Critical",IF(VALUE($H263)&lt;=2,"High",IF(VALUE($H263)&lt;=3,"Medium",IF(VALUE($H263)&lt;=4,"Low","Resilient"))))))</f>
        <v/>
      </c>
      <c r="M263" t="inlineStr">
        <is>
          <t>No reliable evidence that sales forecast cadence connected to finance, delivery and supply planning is defined, owned or managed.</t>
        </is>
      </c>
      <c r="N263" t="inlineStr">
        <is>
          <t>Sales forecast cadence connected to finance, delivery and supply planning is handled informally and depends on individual knowledge or heroic effort.</t>
        </is>
      </c>
      <c r="O263" t="inlineStr">
        <is>
          <t>Sales forecast cadence connected to finance, delivery and supply planning is partially documented or implemented, but coverage is inconsistent and not crisis-tested.</t>
        </is>
      </c>
      <c r="P263" t="inlineStr">
        <is>
          <t>Sales forecast cadence connected to finance, delivery and supply planning is documented, owned, used in normal operations and supported by basic evidence or metrics.</t>
        </is>
      </c>
      <c r="Q263" t="inlineStr">
        <is>
          <t>Sales forecast cadence connected to finance, delivery and supply planning is measured, periodically reviewed, integrated with related processes and tested against relevant disruption scenarios.</t>
        </is>
      </c>
      <c r="R263" t="inlineStr">
        <is>
          <t>Sales forecast cadence connected to finance, delivery and supply planning is optimized, continuously improved, automated where practical and demonstrably supports crisis resilience.</t>
        </is>
      </c>
      <c r="S263" t="inlineStr">
        <is>
          <t>Demand shock; Revenue loss; Reputation crisis</t>
        </is>
      </c>
      <c r="T263">
        <f>'Assessment Questions'!W263</f>
        <v/>
      </c>
      <c r="U263">
        <f>'Assessment Questions'!X263</f>
        <v/>
      </c>
      <c r="V263">
        <f>'Assessment Questions'!Y263</f>
        <v/>
      </c>
      <c r="W263" t="n">
        <v>4</v>
      </c>
      <c r="X263" t="n">
        <v>5</v>
      </c>
      <c r="Y263" t="n">
        <v>5</v>
      </c>
      <c r="Z263">
        <f>'Assessment Questions'!AC263</f>
        <v/>
      </c>
      <c r="AB263">
        <f>COUNTIF($B$257:$B$280,$AA263)</f>
        <v/>
      </c>
      <c r="AC263">
        <f>IFERROR(SUMPRODUCT(($B$257:$B$280=$AA263)*($H$257:$H$280&lt;&gt;"")*($H$257:$H$280&lt;&gt;"N/A")*IFERROR(VALUE($H$257:$H$280),0))/SUMPRODUCT(($B$257:$B$280=$AA263)*($H$257:$H$280&lt;&gt;"")*($H$257:$H$280&lt;&gt;"N/A")),0)</f>
        <v/>
      </c>
      <c r="AD263">
        <f>AC263/5</f>
        <v/>
      </c>
      <c r="AE263">
        <f>COUNTIFS($B$257:$B$280,$AA263,$L$257:$L$280,"Critical")+COUNTIFS($B$257:$B$280,$AA263,$L$257:$L$280,"High")</f>
        <v/>
      </c>
      <c r="AF263">
        <f>5-AC263</f>
        <v/>
      </c>
      <c r="AG263">
        <f>SUMPRODUCT(($B$257:$B$280=$AA263)*(ISNUMBER($H$257:$H$280)+($H$257:$H$280="N/A")))</f>
        <v/>
      </c>
      <c r="AH263">
        <f>'Assessment Questions'!AK263</f>
        <v/>
      </c>
      <c r="AI263">
        <f>'Assessment Questions'!AL263</f>
        <v/>
      </c>
      <c r="AJ263">
        <f>IF(OR($H263="",$H263="N/A"),"",IF($AH263="",VLOOKUP('Company Profile'!$B$40,_CONFIG_Model_Settings!$A$5:$B$8,2,FALSE),_xlfn.IFNA(VLOOKUP($AH263,_CONFIG_Model_Settings!$A$5:$B$8,2,FALSE),0.9)))</f>
        <v/>
      </c>
      <c r="AK263">
        <f>IF(OR($H263="",$H263="N/A"),"",IF($AI263="",VLOOKUP('Company Profile'!$B$41,_CONFIG_Model_Settings!$A$5:$B$8,2,FALSE),_xlfn.IFNA(VLOOKUP($AI263,_CONFIG_Model_Settings!$A$5:$B$8,2,FALSE),0.9)))</f>
        <v/>
      </c>
      <c r="AL263">
        <f>IF(OR($H263="",$H263="N/A"),"",ROUND(VALUE($H263)*$AJ263*$AK263*$AV263,2))</f>
        <v/>
      </c>
      <c r="AM263">
        <f>IF($AL263="","",ROUND($AL263/5*100,1))</f>
        <v/>
      </c>
      <c r="AN263">
        <f>IFERROR(MIN(5,MAX(0,(SUMIFS(_REF_Model_Content!$D$1:$D$157,_REF_Model_Content!$A$1:$A$157,'Company Profile'!$B$9,_REF_Model_Content!$B$1:$B$157,"Sales CRM"))+_xlfn.IFNA(VLOOKUP('Company Profile'!$B$35,_CONFIG_Model_Settings!$A$11:$B$13,2,0),0))),"")</f>
        <v/>
      </c>
      <c r="AO263">
        <f>IF($AL263="","",MAX(0,ROUND($AN263-$AL263,2)))</f>
        <v/>
      </c>
      <c r="AP263">
        <f>IFERROR(SUMIFS(_REF_Model_Content!$E$1:$E$157,_REF_Model_Content!$A$1:$A$157,'Company Profile'!$B$9,_REF_Model_Content!$B$1:$B$157,"Sales CRM"),1)</f>
        <v/>
      </c>
      <c r="AQ263">
        <f>IF($AO263="","",ROUND($AO263*$AP263*($G263/5),2))</f>
        <v/>
      </c>
      <c r="AR263">
        <f>IF($AO263="","",IF($AO263&gt;=2,"Critical industry gap",IF($AO263&gt;=1,"High industry gap",IF($AO263&gt;=0.5,"Moderate industry gap","Within target"))))</f>
        <v/>
      </c>
      <c r="AS263">
        <f>IF(OR($H263="",$H263="N/A"),0,VALUE($H263)*(($AJ263+$AK263)/2)*$AV263)</f>
        <v/>
      </c>
      <c r="AT263">
        <f>IF(OR($H263="",$H263="N/A"),0,($AJ263+$AK263)/2)</f>
        <v/>
      </c>
      <c r="AU263">
        <f>'Assessment Questions'!AX263</f>
        <v/>
      </c>
      <c r="AV263">
        <f>IF(OR($H263="",$H263="N/A"),"",IF(OR($AU263="",$AU263="Everywhere",$AU263="Not applicable"),1,IF($AU263="Pilot / one team",0.4,IF($AU263="One unit or site",0.7,0.9))))</f>
        <v/>
      </c>
      <c r="AW263" t="inlineStr">
        <is>
          <t>Sales CRM</t>
        </is>
      </c>
      <c r="AX263" t="inlineStr">
        <is>
          <t>Sales CRM</t>
        </is>
      </c>
      <c r="AY263" t="n">
        <v>11</v>
      </c>
      <c r="AZ263" t="n">
        <v>263</v>
      </c>
    </row>
    <row r="264">
      <c r="A264" t="inlineStr">
        <is>
          <t>SALE-009</t>
        </is>
      </c>
      <c r="B264" t="inlineStr">
        <is>
          <t>Pipeline and forecast</t>
        </is>
      </c>
      <c r="C264" t="inlineStr">
        <is>
          <t>How mature is the organization in managing sales forecast stress tests for delayed decisions, budget cuts and customer churn, including ownership, evidence, metrics, fallback procedures and crisis stress testing?</t>
        </is>
      </c>
      <c r="D264" t="inlineStr">
        <is>
          <t>This topic affects exposure to Demand shock; Revenue loss; Reputation crisis. It helps identify how disruption may impact operations, people, revenue, systems, legal exposure or recovery time.</t>
        </is>
      </c>
      <c r="E264" t="inlineStr">
        <is>
          <t>ISO 9001; ISO 10002; ISO 10004; RevOps; MEDDICC; customer success best practices</t>
        </is>
      </c>
      <c r="F264" t="inlineStr">
        <is>
          <t>Policy/SOP; owner/RACI; system report; dashboard; contracts; test records; incident history; interview evidence related to sales forecast stress tests for delayed decisions, budget cuts and customer churn.</t>
        </is>
      </c>
      <c r="G264">
        <f>'Assessment Questions'!J264</f>
        <v/>
      </c>
      <c r="H264">
        <f>IF($Z264="","",IF($Z264="N/A","N/A",VALUE(LEFT($Z264,1))))</f>
        <v/>
      </c>
      <c r="I264">
        <f>IF($H264="","",IF($H264="N/A","",VALUE($H264)/5*$G264))</f>
        <v/>
      </c>
      <c r="J264">
        <f>IF(OR($H264="",$H264="N/A"),"",$G264)</f>
        <v/>
      </c>
      <c r="K264">
        <f>IF(OR($H264="",$H264="N/A"),"",$J264-$I264)</f>
        <v/>
      </c>
      <c r="L264">
        <f>IF($H264="","",IF($H264="N/A","N/A",IF(VALUE($H264)&lt;=1,"Critical",IF(VALUE($H264)&lt;=2,"High",IF(VALUE($H264)&lt;=3,"Medium",IF(VALUE($H264)&lt;=4,"Low","Resilient"))))))</f>
        <v/>
      </c>
      <c r="M264" t="inlineStr">
        <is>
          <t>Never done; no records exist.</t>
        </is>
      </c>
      <c r="N264" t="inlineStr">
        <is>
          <t>Done once long ago or only after an incident; no schedule, no records.</t>
        </is>
      </c>
      <c r="O264" t="inlineStr">
        <is>
          <t>Done irregularly; results are not documented and findings are not tracked.</t>
        </is>
      </c>
      <c r="P264" t="inlineStr">
        <is>
          <t>Done on a defined schedule (at least annually); results documented, owner assigned.</t>
        </is>
      </c>
      <c r="Q264" t="inlineStr">
        <is>
          <t>Done quarterly/semi-annually; findings tracked to closure, effectiveness measured against targets.</t>
        </is>
      </c>
      <c r="R264" t="inlineStr">
        <is>
          <t>Continuous or automated where possible; results drive improvements and are validated externally (audit/customer).</t>
        </is>
      </c>
      <c r="S264" t="inlineStr">
        <is>
          <t>Demand shock; Revenue loss; Reputation crisis</t>
        </is>
      </c>
      <c r="T264">
        <f>'Assessment Questions'!W264</f>
        <v/>
      </c>
      <c r="U264">
        <f>'Assessment Questions'!X264</f>
        <v/>
      </c>
      <c r="V264">
        <f>'Assessment Questions'!Y264</f>
        <v/>
      </c>
      <c r="W264" t="n">
        <v>4</v>
      </c>
      <c r="X264" t="n">
        <v>5</v>
      </c>
      <c r="Y264" t="n">
        <v>5</v>
      </c>
      <c r="Z264">
        <f>'Assessment Questions'!AC264</f>
        <v/>
      </c>
      <c r="AB264">
        <f>COUNTIF($B$257:$B$280,$AA264)</f>
        <v/>
      </c>
      <c r="AC264">
        <f>IFERROR(SUMPRODUCT(($B$257:$B$280=$AA264)*($H$257:$H$280&lt;&gt;"")*($H$257:$H$280&lt;&gt;"N/A")*IFERROR(VALUE($H$257:$H$280),0))/SUMPRODUCT(($B$257:$B$280=$AA264)*($H$257:$H$280&lt;&gt;"")*($H$257:$H$280&lt;&gt;"N/A")),0)</f>
        <v/>
      </c>
      <c r="AD264">
        <f>AC264/5</f>
        <v/>
      </c>
      <c r="AE264">
        <f>COUNTIFS($B$257:$B$280,$AA264,$L$257:$L$280,"Critical")+COUNTIFS($B$257:$B$280,$AA264,$L$257:$L$280,"High")</f>
        <v/>
      </c>
      <c r="AF264">
        <f>5-AC264</f>
        <v/>
      </c>
      <c r="AG264">
        <f>SUMPRODUCT(($B$257:$B$280=$AA264)*(ISNUMBER($H$257:$H$280)+($H$257:$H$280="N/A")))</f>
        <v/>
      </c>
      <c r="AH264">
        <f>'Assessment Questions'!AK264</f>
        <v/>
      </c>
      <c r="AI264">
        <f>'Assessment Questions'!AL264</f>
        <v/>
      </c>
      <c r="AJ264">
        <f>IF(OR($H264="",$H264="N/A"),"",IF($AH264="",VLOOKUP('Company Profile'!$B$40,_CONFIG_Model_Settings!$A$5:$B$8,2,FALSE),_xlfn.IFNA(VLOOKUP($AH264,_CONFIG_Model_Settings!$A$5:$B$8,2,FALSE),0.9)))</f>
        <v/>
      </c>
      <c r="AK264">
        <f>IF(OR($H264="",$H264="N/A"),"",IF($AI264="",VLOOKUP('Company Profile'!$B$41,_CONFIG_Model_Settings!$A$5:$B$8,2,FALSE),_xlfn.IFNA(VLOOKUP($AI264,_CONFIG_Model_Settings!$A$5:$B$8,2,FALSE),0.9)))</f>
        <v/>
      </c>
      <c r="AL264">
        <f>IF(OR($H264="",$H264="N/A"),"",ROUND(VALUE($H264)*$AJ264*$AK264*$AV264,2))</f>
        <v/>
      </c>
      <c r="AM264">
        <f>IF($AL264="","",ROUND($AL264/5*100,1))</f>
        <v/>
      </c>
      <c r="AN264">
        <f>IFERROR(MIN(5,MAX(0,(SUMIFS(_REF_Model_Content!$D$1:$D$157,_REF_Model_Content!$A$1:$A$157,'Company Profile'!$B$9,_REF_Model_Content!$B$1:$B$157,"Sales CRM"))+_xlfn.IFNA(VLOOKUP('Company Profile'!$B$35,_CONFIG_Model_Settings!$A$11:$B$13,2,0),0))),"")</f>
        <v/>
      </c>
      <c r="AO264">
        <f>IF($AL264="","",MAX(0,ROUND($AN264-$AL264,2)))</f>
        <v/>
      </c>
      <c r="AP264">
        <f>IFERROR(SUMIFS(_REF_Model_Content!$E$1:$E$157,_REF_Model_Content!$A$1:$A$157,'Company Profile'!$B$9,_REF_Model_Content!$B$1:$B$157,"Sales CRM"),1)</f>
        <v/>
      </c>
      <c r="AQ264">
        <f>IF($AO264="","",ROUND($AO264*$AP264*($G264/5),2))</f>
        <v/>
      </c>
      <c r="AR264">
        <f>IF($AO264="","",IF($AO264&gt;=2,"Critical industry gap",IF($AO264&gt;=1,"High industry gap",IF($AO264&gt;=0.5,"Moderate industry gap","Within target"))))</f>
        <v/>
      </c>
      <c r="AS264">
        <f>IF(OR($H264="",$H264="N/A"),0,VALUE($H264)*(($AJ264+$AK264)/2)*$AV264)</f>
        <v/>
      </c>
      <c r="AT264">
        <f>IF(OR($H264="",$H264="N/A"),0,($AJ264+$AK264)/2)</f>
        <v/>
      </c>
      <c r="AU264">
        <f>'Assessment Questions'!AX264</f>
        <v/>
      </c>
      <c r="AV264">
        <f>IF(OR($H264="",$H264="N/A"),"",IF(OR($AU264="",$AU264="Everywhere",$AU264="Not applicable"),1,IF($AU264="Pilot / one team",0.4,IF($AU264="One unit or site",0.7,0.9))))</f>
        <v/>
      </c>
      <c r="AW264" t="inlineStr">
        <is>
          <t>Sales CRM</t>
        </is>
      </c>
      <c r="AX264" t="inlineStr">
        <is>
          <t>Sales CRM</t>
        </is>
      </c>
      <c r="AY264" t="n">
        <v>12</v>
      </c>
      <c r="AZ264" t="n">
        <v>264</v>
      </c>
    </row>
    <row r="265">
      <c r="A265" t="inlineStr">
        <is>
          <t>SALE-010</t>
        </is>
      </c>
      <c r="B265" t="inlineStr">
        <is>
          <t>Pipeline and forecast</t>
        </is>
      </c>
      <c r="C265" t="inlineStr">
        <is>
          <t>How mature is the organization in managing sales analytics by conversion, cycle time, win rate, deal size, margin and loss reason, including ownership, evidence, metrics, fallback procedures and crisis stress testing?</t>
        </is>
      </c>
      <c r="D265" t="inlineStr">
        <is>
          <t>This topic affects exposure to Demand shock; Revenue loss; Reputation crisis. It helps identify how disruption may impact operations, people, revenue, systems, legal exposure or recovery time.</t>
        </is>
      </c>
      <c r="E265" t="inlineStr">
        <is>
          <t>ISO 9001; ISO 10002; ISO 10004; RevOps; MEDDICC; customer success best practices</t>
        </is>
      </c>
      <c r="F265" t="inlineStr">
        <is>
          <t>Policy/SOP; owner/RACI; system report; dashboard; contracts; test records; incident history; interview evidence related to sales analytics by conversion, cycle time, win rate, deal size, margin and loss reason.</t>
        </is>
      </c>
      <c r="G265">
        <f>'Assessment Questions'!J265</f>
        <v/>
      </c>
      <c r="H265">
        <f>IF($Z265="","",IF($Z265="N/A","N/A",VALUE(LEFT($Z265,1))))</f>
        <v/>
      </c>
      <c r="I265">
        <f>IF($H265="","",IF($H265="N/A","",VALUE($H265)/5*$G265))</f>
        <v/>
      </c>
      <c r="J265">
        <f>IF(OR($H265="",$H265="N/A"),"",$G265)</f>
        <v/>
      </c>
      <c r="K265">
        <f>IF(OR($H265="",$H265="N/A"),"",$J265-$I265)</f>
        <v/>
      </c>
      <c r="L265">
        <f>IF($H265="","",IF($H265="N/A","N/A",IF(VALUE($H265)&lt;=1,"Critical",IF(VALUE($H265)&lt;=2,"High",IF(VALUE($H265)&lt;=3,"Medium",IF(VALUE($H265)&lt;=4,"Low","Resilient"))))))</f>
        <v/>
      </c>
      <c r="M265" t="inlineStr">
        <is>
          <t>No reliable evidence that sales analytics by conversion, cycle time, win rate, deal size, margin and loss reason is defined, owned or managed.</t>
        </is>
      </c>
      <c r="N265" t="inlineStr">
        <is>
          <t>Sales analytics by conversion, cycle time, win rate, deal size, margin and loss reason is handled informally and depends on individual knowledge or heroic effort.</t>
        </is>
      </c>
      <c r="O265" t="inlineStr">
        <is>
          <t>Sales analytics by conversion, cycle time, win rate, deal size, margin and loss reason is partially documented or implemented, but coverage is inconsistent and not crisis-tested.</t>
        </is>
      </c>
      <c r="P265" t="inlineStr">
        <is>
          <t>Sales analytics by conversion, cycle time, win rate, deal size, margin and loss reason is documented, owned, used in normal operations and supported by basic evidence or metrics.</t>
        </is>
      </c>
      <c r="Q265" t="inlineStr">
        <is>
          <t>Sales analytics by conversion, cycle time, win rate, deal size, margin and loss reason is measured, periodically reviewed, integrated with related processes and tested against relevant disruption scenarios.</t>
        </is>
      </c>
      <c r="R265" t="inlineStr">
        <is>
          <t>Sales analytics by conversion, cycle time, win rate, deal size, margin and loss reason is optimized, continuously improved, automated where practical and demonstrably supports crisis resilience.</t>
        </is>
      </c>
      <c r="S265" t="inlineStr">
        <is>
          <t>Demand shock; Revenue loss; Reputation crisis</t>
        </is>
      </c>
      <c r="T265">
        <f>'Assessment Questions'!W265</f>
        <v/>
      </c>
      <c r="U265">
        <f>'Assessment Questions'!X265</f>
        <v/>
      </c>
      <c r="V265">
        <f>'Assessment Questions'!Y265</f>
        <v/>
      </c>
      <c r="W265" t="n">
        <v>5</v>
      </c>
      <c r="X265" t="n">
        <v>5</v>
      </c>
      <c r="Y265" t="n">
        <v>5</v>
      </c>
      <c r="Z265">
        <f>'Assessment Questions'!AC265</f>
        <v/>
      </c>
      <c r="AB265">
        <f>COUNTIF($B$257:$B$280,$AA265)</f>
        <v/>
      </c>
      <c r="AC265">
        <f>IFERROR(SUMPRODUCT(($B$257:$B$280=$AA265)*($H$257:$H$280&lt;&gt;"")*($H$257:$H$280&lt;&gt;"N/A")*IFERROR(VALUE($H$257:$H$280),0))/SUMPRODUCT(($B$257:$B$280=$AA265)*($H$257:$H$280&lt;&gt;"")*($H$257:$H$280&lt;&gt;"N/A")),0)</f>
        <v/>
      </c>
      <c r="AD265">
        <f>AC265/5</f>
        <v/>
      </c>
      <c r="AE265">
        <f>COUNTIFS($B$257:$B$280,$AA265,$L$257:$L$280,"Critical")+COUNTIFS($B$257:$B$280,$AA265,$L$257:$L$280,"High")</f>
        <v/>
      </c>
      <c r="AF265">
        <f>5-AC265</f>
        <v/>
      </c>
      <c r="AG265">
        <f>SUMPRODUCT(($B$257:$B$280=$AA265)*(ISNUMBER($H$257:$H$280)+($H$257:$H$280="N/A")))</f>
        <v/>
      </c>
      <c r="AH265">
        <f>'Assessment Questions'!AK265</f>
        <v/>
      </c>
      <c r="AI265">
        <f>'Assessment Questions'!AL265</f>
        <v/>
      </c>
      <c r="AJ265">
        <f>IF(OR($H265="",$H265="N/A"),"",IF($AH265="",VLOOKUP('Company Profile'!$B$40,_CONFIG_Model_Settings!$A$5:$B$8,2,FALSE),_xlfn.IFNA(VLOOKUP($AH265,_CONFIG_Model_Settings!$A$5:$B$8,2,FALSE),0.9)))</f>
        <v/>
      </c>
      <c r="AK265">
        <f>IF(OR($H265="",$H265="N/A"),"",IF($AI265="",VLOOKUP('Company Profile'!$B$41,_CONFIG_Model_Settings!$A$5:$B$8,2,FALSE),_xlfn.IFNA(VLOOKUP($AI265,_CONFIG_Model_Settings!$A$5:$B$8,2,FALSE),0.9)))</f>
        <v/>
      </c>
      <c r="AL265">
        <f>IF(OR($H265="",$H265="N/A"),"",ROUND(VALUE($H265)*$AJ265*$AK265*$AV265,2))</f>
        <v/>
      </c>
      <c r="AM265">
        <f>IF($AL265="","",ROUND($AL265/5*100,1))</f>
        <v/>
      </c>
      <c r="AN265">
        <f>IFERROR(MIN(5,MAX(0,(SUMIFS(_REF_Model_Content!$D$1:$D$157,_REF_Model_Content!$A$1:$A$157,'Company Profile'!$B$9,_REF_Model_Content!$B$1:$B$157,"Sales CRM"))+_xlfn.IFNA(VLOOKUP('Company Profile'!$B$35,_CONFIG_Model_Settings!$A$11:$B$13,2,0),0))),"")</f>
        <v/>
      </c>
      <c r="AO265">
        <f>IF($AL265="","",MAX(0,ROUND($AN265-$AL265,2)))</f>
        <v/>
      </c>
      <c r="AP265">
        <f>IFERROR(SUMIFS(_REF_Model_Content!$E$1:$E$157,_REF_Model_Content!$A$1:$A$157,'Company Profile'!$B$9,_REF_Model_Content!$B$1:$B$157,"Sales CRM"),1)</f>
        <v/>
      </c>
      <c r="AQ265">
        <f>IF($AO265="","",ROUND($AO265*$AP265*($G265/5),2))</f>
        <v/>
      </c>
      <c r="AR265">
        <f>IF($AO265="","",IF($AO265&gt;=2,"Critical industry gap",IF($AO265&gt;=1,"High industry gap",IF($AO265&gt;=0.5,"Moderate industry gap","Within target"))))</f>
        <v/>
      </c>
      <c r="AS265">
        <f>IF(OR($H265="",$H265="N/A"),0,VALUE($H265)*(($AJ265+$AK265)/2)*$AV265)</f>
        <v/>
      </c>
      <c r="AT265">
        <f>IF(OR($H265="",$H265="N/A"),0,($AJ265+$AK265)/2)</f>
        <v/>
      </c>
      <c r="AU265">
        <f>'Assessment Questions'!AX265</f>
        <v/>
      </c>
      <c r="AV265">
        <f>IF(OR($H265="",$H265="N/A"),"",IF(OR($AU265="",$AU265="Everywhere",$AU265="Not applicable"),1,IF($AU265="Pilot / one team",0.4,IF($AU265="One unit or site",0.7,0.9))))</f>
        <v/>
      </c>
      <c r="AW265" t="inlineStr">
        <is>
          <t>Sales CRM</t>
        </is>
      </c>
      <c r="AX265" t="inlineStr">
        <is>
          <t>Sales CRM</t>
        </is>
      </c>
      <c r="AY265" t="n">
        <v>13</v>
      </c>
      <c r="AZ265" t="n">
        <v>265</v>
      </c>
    </row>
    <row r="266">
      <c r="A266" t="inlineStr">
        <is>
          <t>SALE-011</t>
        </is>
      </c>
      <c r="B266" t="inlineStr">
        <is>
          <t>Customer continuity</t>
        </is>
      </c>
      <c r="C266" t="inlineStr">
        <is>
          <t>How mature is the organization in managing customer health scoring using usage, satisfaction, payment behavior, delivery issues and engagement, including ownership, evidence, metrics, fallback procedures and crisis stress testing?</t>
        </is>
      </c>
      <c r="D266" t="inlineStr">
        <is>
          <t>This topic affects exposure to Demand shock; Revenue loss; Reputation crisis. It helps identify how disruption may impact operations, people, revenue, systems, legal exposure or recovery time.</t>
        </is>
      </c>
      <c r="E266" t="inlineStr">
        <is>
          <t>ISO 9001; ISO 10002; ISO 10004; RevOps; MEDDICC; customer success best practices</t>
        </is>
      </c>
      <c r="F266" t="inlineStr">
        <is>
          <t>Policy/SOP; owner/RACI; system report; dashboard; contracts; test records; incident history; interview evidence related to customer health scoring using usage, satisfaction, payment behavior, delivery issues and engagement.</t>
        </is>
      </c>
      <c r="G266">
        <f>'Assessment Questions'!J266</f>
        <v/>
      </c>
      <c r="H266">
        <f>IF($Z266="","",IF($Z266="N/A","N/A",VALUE(LEFT($Z266,1))))</f>
        <v/>
      </c>
      <c r="I266">
        <f>IF($H266="","",IF($H266="N/A","",VALUE($H266)/5*$G266))</f>
        <v/>
      </c>
      <c r="J266">
        <f>IF(OR($H266="",$H266="N/A"),"",$G266)</f>
        <v/>
      </c>
      <c r="K266">
        <f>IF(OR($H266="",$H266="N/A"),"",$J266-$I266)</f>
        <v/>
      </c>
      <c r="L266">
        <f>IF($H266="","",IF($H266="N/A","N/A",IF(VALUE($H266)&lt;=1,"Critical",IF(VALUE($H266)&lt;=2,"High",IF(VALUE($H266)&lt;=3,"Medium",IF(VALUE($H266)&lt;=4,"Low","Resilient"))))))</f>
        <v/>
      </c>
      <c r="M266" t="inlineStr">
        <is>
          <t>No reliable evidence that customer health scoring using usage, satisfaction, payment behavior, delivery issues and engagement is defined, owned or managed.</t>
        </is>
      </c>
      <c r="N266" t="inlineStr">
        <is>
          <t>Customer health scoring using usage, satisfaction, payment behavior, delivery issues and engagement is handled informally and depends on individual knowledge or heroic effort.</t>
        </is>
      </c>
      <c r="O266" t="inlineStr">
        <is>
          <t>Customer health scoring using usage, satisfaction, payment behavior, delivery issues and engagement is partially documented or implemented, but coverage is inconsistent and not crisis-tested.</t>
        </is>
      </c>
      <c r="P266" t="inlineStr">
        <is>
          <t>Customer health scoring using usage, satisfaction, payment behavior, delivery issues and engagement is documented, owned, used in normal operations and supported by basic evidence or metrics.</t>
        </is>
      </c>
      <c r="Q266" t="inlineStr">
        <is>
          <t>Customer health scoring using usage, satisfaction, payment behavior, delivery issues and engagement is measured, periodically reviewed, integrated with related processes and tested against relevant disruption scenarios.</t>
        </is>
      </c>
      <c r="R266" t="inlineStr">
        <is>
          <t>Customer health scoring using usage, satisfaction, payment behavior, delivery issues and engagement is optimized, continuously improved, automated where practical and demonstrably supports crisis resilience.</t>
        </is>
      </c>
      <c r="S266" t="inlineStr">
        <is>
          <t>Demand shock; Revenue loss; Reputation crisis</t>
        </is>
      </c>
      <c r="T266">
        <f>'Assessment Questions'!W266</f>
        <v/>
      </c>
      <c r="U266">
        <f>'Assessment Questions'!X266</f>
        <v/>
      </c>
      <c r="V266">
        <f>'Assessment Questions'!Y266</f>
        <v/>
      </c>
      <c r="W266" t="n">
        <v>4</v>
      </c>
      <c r="X266" t="n">
        <v>5</v>
      </c>
      <c r="Y266" t="n">
        <v>5</v>
      </c>
      <c r="Z266">
        <f>'Assessment Questions'!AC266</f>
        <v/>
      </c>
      <c r="AB266">
        <f>COUNTIF($B$257:$B$280,$AA266)</f>
        <v/>
      </c>
      <c r="AC266">
        <f>IFERROR(SUMPRODUCT(($B$257:$B$280=$AA266)*($H$257:$H$280&lt;&gt;"")*($H$257:$H$280&lt;&gt;"N/A")*IFERROR(VALUE($H$257:$H$280),0))/SUMPRODUCT(($B$257:$B$280=$AA266)*($H$257:$H$280&lt;&gt;"")*($H$257:$H$280&lt;&gt;"N/A")),0)</f>
        <v/>
      </c>
      <c r="AD266">
        <f>AC266/5</f>
        <v/>
      </c>
      <c r="AE266">
        <f>COUNTIFS($B$257:$B$280,$AA266,$L$257:$L$280,"Critical")+COUNTIFS($B$257:$B$280,$AA266,$L$257:$L$280,"High")</f>
        <v/>
      </c>
      <c r="AF266">
        <f>5-AC266</f>
        <v/>
      </c>
      <c r="AG266">
        <f>SUMPRODUCT(($B$257:$B$280=$AA266)*(ISNUMBER($H$257:$H$280)+($H$257:$H$280="N/A")))</f>
        <v/>
      </c>
      <c r="AH266">
        <f>'Assessment Questions'!AK266</f>
        <v/>
      </c>
      <c r="AI266">
        <f>'Assessment Questions'!AL266</f>
        <v/>
      </c>
      <c r="AJ266">
        <f>IF(OR($H266="",$H266="N/A"),"",IF($AH266="",VLOOKUP('Company Profile'!$B$40,_CONFIG_Model_Settings!$A$5:$B$8,2,FALSE),_xlfn.IFNA(VLOOKUP($AH266,_CONFIG_Model_Settings!$A$5:$B$8,2,FALSE),0.9)))</f>
        <v/>
      </c>
      <c r="AK266">
        <f>IF(OR($H266="",$H266="N/A"),"",IF($AI266="",VLOOKUP('Company Profile'!$B$41,_CONFIG_Model_Settings!$A$5:$B$8,2,FALSE),_xlfn.IFNA(VLOOKUP($AI266,_CONFIG_Model_Settings!$A$5:$B$8,2,FALSE),0.9)))</f>
        <v/>
      </c>
      <c r="AL266">
        <f>IF(OR($H266="",$H266="N/A"),"",ROUND(VALUE($H266)*$AJ266*$AK266*$AV266,2))</f>
        <v/>
      </c>
      <c r="AM266">
        <f>IF($AL266="","",ROUND($AL266/5*100,1))</f>
        <v/>
      </c>
      <c r="AN266">
        <f>IFERROR(MIN(5,MAX(0,(SUMIFS(_REF_Model_Content!$D$1:$D$157,_REF_Model_Content!$A$1:$A$157,'Company Profile'!$B$9,_REF_Model_Content!$B$1:$B$157,"Sales CRM"))+_xlfn.IFNA(VLOOKUP('Company Profile'!$B$35,_CONFIG_Model_Settings!$A$11:$B$13,2,0),0))),"")</f>
        <v/>
      </c>
      <c r="AO266">
        <f>IF($AL266="","",MAX(0,ROUND($AN266-$AL266,2)))</f>
        <v/>
      </c>
      <c r="AP266">
        <f>IFERROR(SUMIFS(_REF_Model_Content!$E$1:$E$157,_REF_Model_Content!$A$1:$A$157,'Company Profile'!$B$9,_REF_Model_Content!$B$1:$B$157,"Sales CRM"),1)</f>
        <v/>
      </c>
      <c r="AQ266">
        <f>IF($AO266="","",ROUND($AO266*$AP266*($G266/5),2))</f>
        <v/>
      </c>
      <c r="AR266">
        <f>IF($AO266="","",IF($AO266&gt;=2,"Critical industry gap",IF($AO266&gt;=1,"High industry gap",IF($AO266&gt;=0.5,"Moderate industry gap","Within target"))))</f>
        <v/>
      </c>
      <c r="AS266">
        <f>IF(OR($H266="",$H266="N/A"),0,VALUE($H266)*(($AJ266+$AK266)/2)*$AV266)</f>
        <v/>
      </c>
      <c r="AT266">
        <f>IF(OR($H266="",$H266="N/A"),0,($AJ266+$AK266)/2)</f>
        <v/>
      </c>
      <c r="AU266">
        <f>'Assessment Questions'!AX266</f>
        <v/>
      </c>
      <c r="AV266">
        <f>IF(OR($H266="",$H266="N/A"),"",IF(OR($AU266="",$AU266="Everywhere",$AU266="Not applicable"),1,IF($AU266="Pilot / one team",0.4,IF($AU266="One unit or site",0.7,0.9))))</f>
        <v/>
      </c>
      <c r="AW266" t="inlineStr">
        <is>
          <t>Sales CRM</t>
        </is>
      </c>
      <c r="AX266" t="inlineStr">
        <is>
          <t>Sales CRM</t>
        </is>
      </c>
      <c r="AY266" t="n">
        <v>14</v>
      </c>
      <c r="AZ266" t="n">
        <v>266</v>
      </c>
    </row>
    <row r="267">
      <c r="A267" t="inlineStr">
        <is>
          <t>SALE-012</t>
        </is>
      </c>
      <c r="B267" t="inlineStr">
        <is>
          <t>Customer continuity</t>
        </is>
      </c>
      <c r="C267" t="inlineStr">
        <is>
          <t>How mature is the organization in managing churn risk identification, prioritization and mitigation actions, including ownership, evidence, metrics, fallback procedures and crisis stress testing?</t>
        </is>
      </c>
      <c r="D267" t="inlineStr">
        <is>
          <t>This topic affects exposure to Demand shock; Revenue loss; Reputation crisis. It helps identify how disruption may impact operations, people, revenue, systems, legal exposure or recovery time.</t>
        </is>
      </c>
      <c r="E267" t="inlineStr">
        <is>
          <t>ISO 9001; ISO 10002; ISO 10004; RevOps; MEDDICC; customer success best practices</t>
        </is>
      </c>
      <c r="F267" t="inlineStr">
        <is>
          <t>Policy/SOP; owner/RACI; system report; dashboard; contracts; test records; incident history; interview evidence related to churn risk identification, prioritization and mitigation actions.</t>
        </is>
      </c>
      <c r="G267">
        <f>'Assessment Questions'!J267</f>
        <v/>
      </c>
      <c r="H267">
        <f>IF($Z267="","",IF($Z267="N/A","N/A",VALUE(LEFT($Z267,1))))</f>
        <v/>
      </c>
      <c r="I267">
        <f>IF($H267="","",IF($H267="N/A","",VALUE($H267)/5*$G267))</f>
        <v/>
      </c>
      <c r="J267">
        <f>IF(OR($H267="",$H267="N/A"),"",$G267)</f>
        <v/>
      </c>
      <c r="K267">
        <f>IF(OR($H267="",$H267="N/A"),"",$J267-$I267)</f>
        <v/>
      </c>
      <c r="L267">
        <f>IF($H267="","",IF($H267="N/A","N/A",IF(VALUE($H267)&lt;=1,"Critical",IF(VALUE($H267)&lt;=2,"High",IF(VALUE($H267)&lt;=3,"Medium",IF(VALUE($H267)&lt;=4,"Low","Resilient"))))))</f>
        <v/>
      </c>
      <c r="M267" t="inlineStr">
        <is>
          <t>No reliable evidence that churn risk identification, prioritization and mitigation actions is defined, owned or managed.</t>
        </is>
      </c>
      <c r="N267" t="inlineStr">
        <is>
          <t>Churn risk identification, prioritization and mitigation actions is handled informally and depends on individual knowledge or heroic effort.</t>
        </is>
      </c>
      <c r="O267" t="inlineStr">
        <is>
          <t>Churn risk identification, prioritization and mitigation actions is partially documented or implemented, but coverage is inconsistent and not crisis-tested.</t>
        </is>
      </c>
      <c r="P267" t="inlineStr">
        <is>
          <t>Churn risk identification, prioritization and mitigation actions is documented, owned, used in normal operations and supported by basic evidence or metrics.</t>
        </is>
      </c>
      <c r="Q267" t="inlineStr">
        <is>
          <t>Churn risk identification, prioritization and mitigation actions is measured, periodically reviewed, integrated with related processes and tested against relevant disruption scenarios.</t>
        </is>
      </c>
      <c r="R267" t="inlineStr">
        <is>
          <t>Churn risk identification, prioritization and mitigation actions is optimized, continuously improved, automated where practical and demonstrably supports crisis resilience.</t>
        </is>
      </c>
      <c r="S267" t="inlineStr">
        <is>
          <t>Demand shock; Revenue loss; Reputation crisis</t>
        </is>
      </c>
      <c r="T267">
        <f>'Assessment Questions'!W267</f>
        <v/>
      </c>
      <c r="U267">
        <f>'Assessment Questions'!X267</f>
        <v/>
      </c>
      <c r="V267">
        <f>'Assessment Questions'!Y267</f>
        <v/>
      </c>
      <c r="W267" t="n">
        <v>4</v>
      </c>
      <c r="X267" t="n">
        <v>5</v>
      </c>
      <c r="Y267" t="n">
        <v>5</v>
      </c>
      <c r="Z267">
        <f>'Assessment Questions'!AC267</f>
        <v/>
      </c>
      <c r="AB267">
        <f>COUNTIF($B$257:$B$280,$AA267)</f>
        <v/>
      </c>
      <c r="AC267">
        <f>IFERROR(SUMPRODUCT(($B$257:$B$280=$AA267)*($H$257:$H$280&lt;&gt;"")*($H$257:$H$280&lt;&gt;"N/A")*IFERROR(VALUE($H$257:$H$280),0))/SUMPRODUCT(($B$257:$B$280=$AA267)*($H$257:$H$280&lt;&gt;"")*($H$257:$H$280&lt;&gt;"N/A")),0)</f>
        <v/>
      </c>
      <c r="AD267">
        <f>AC267/5</f>
        <v/>
      </c>
      <c r="AE267">
        <f>COUNTIFS($B$257:$B$280,$AA267,$L$257:$L$280,"Critical")+COUNTIFS($B$257:$B$280,$AA267,$L$257:$L$280,"High")</f>
        <v/>
      </c>
      <c r="AF267">
        <f>5-AC267</f>
        <v/>
      </c>
      <c r="AG267">
        <f>SUMPRODUCT(($B$257:$B$280=$AA267)*(ISNUMBER($H$257:$H$280)+($H$257:$H$280="N/A")))</f>
        <v/>
      </c>
      <c r="AH267">
        <f>'Assessment Questions'!AK267</f>
        <v/>
      </c>
      <c r="AI267">
        <f>'Assessment Questions'!AL267</f>
        <v/>
      </c>
      <c r="AJ267">
        <f>IF(OR($H267="",$H267="N/A"),"",IF($AH267="",VLOOKUP('Company Profile'!$B$40,_CONFIG_Model_Settings!$A$5:$B$8,2,FALSE),_xlfn.IFNA(VLOOKUP($AH267,_CONFIG_Model_Settings!$A$5:$B$8,2,FALSE),0.9)))</f>
        <v/>
      </c>
      <c r="AK267">
        <f>IF(OR($H267="",$H267="N/A"),"",IF($AI267="",VLOOKUP('Company Profile'!$B$41,_CONFIG_Model_Settings!$A$5:$B$8,2,FALSE),_xlfn.IFNA(VLOOKUP($AI267,_CONFIG_Model_Settings!$A$5:$B$8,2,FALSE),0.9)))</f>
        <v/>
      </c>
      <c r="AL267">
        <f>IF(OR($H267="",$H267="N/A"),"",ROUND(VALUE($H267)*$AJ267*$AK267*$AV267,2))</f>
        <v/>
      </c>
      <c r="AM267">
        <f>IF($AL267="","",ROUND($AL267/5*100,1))</f>
        <v/>
      </c>
      <c r="AN267">
        <f>IFERROR(MIN(5,MAX(0,(SUMIFS(_REF_Model_Content!$D$1:$D$157,_REF_Model_Content!$A$1:$A$157,'Company Profile'!$B$9,_REF_Model_Content!$B$1:$B$157,"Sales CRM"))+_xlfn.IFNA(VLOOKUP('Company Profile'!$B$35,_CONFIG_Model_Settings!$A$11:$B$13,2,0),0))),"")</f>
        <v/>
      </c>
      <c r="AO267">
        <f>IF($AL267="","",MAX(0,ROUND($AN267-$AL267,2)))</f>
        <v/>
      </c>
      <c r="AP267">
        <f>IFERROR(SUMIFS(_REF_Model_Content!$E$1:$E$157,_REF_Model_Content!$A$1:$A$157,'Company Profile'!$B$9,_REF_Model_Content!$B$1:$B$157,"Sales CRM"),1)</f>
        <v/>
      </c>
      <c r="AQ267">
        <f>IF($AO267="","",ROUND($AO267*$AP267*($G267/5),2))</f>
        <v/>
      </c>
      <c r="AR267">
        <f>IF($AO267="","",IF($AO267&gt;=2,"Critical industry gap",IF($AO267&gt;=1,"High industry gap",IF($AO267&gt;=0.5,"Moderate industry gap","Within target"))))</f>
        <v/>
      </c>
      <c r="AS267">
        <f>IF(OR($H267="",$H267="N/A"),0,VALUE($H267)*(($AJ267+$AK267)/2)*$AV267)</f>
        <v/>
      </c>
      <c r="AT267">
        <f>IF(OR($H267="",$H267="N/A"),0,($AJ267+$AK267)/2)</f>
        <v/>
      </c>
      <c r="AU267">
        <f>'Assessment Questions'!AX267</f>
        <v/>
      </c>
      <c r="AV267">
        <f>IF(OR($H267="",$H267="N/A"),"",IF(OR($AU267="",$AU267="Everywhere",$AU267="Not applicable"),1,IF($AU267="Pilot / one team",0.4,IF($AU267="One unit or site",0.7,0.9))))</f>
        <v/>
      </c>
      <c r="AW267" t="inlineStr">
        <is>
          <t>Sales CRM</t>
        </is>
      </c>
      <c r="AX267" t="inlineStr">
        <is>
          <t>Sales CRM</t>
        </is>
      </c>
      <c r="AY267" t="n">
        <v>15</v>
      </c>
      <c r="AZ267" t="n">
        <v>267</v>
      </c>
    </row>
    <row r="268">
      <c r="A268" t="inlineStr">
        <is>
          <t>SALE-013</t>
        </is>
      </c>
      <c r="B268" t="inlineStr">
        <is>
          <t>Customer continuity</t>
        </is>
      </c>
      <c r="C268" t="inlineStr">
        <is>
          <t>How mature is the organization in managing renewal calendar and proactive renewal process, including ownership, evidence, metrics, fallback procedures and crisis stress testing?</t>
        </is>
      </c>
      <c r="D268" t="inlineStr">
        <is>
          <t>This topic affects exposure to Demand shock; Revenue loss; Reputation crisis. It helps identify how disruption may impact operations, people, revenue, systems, legal exposure or recovery time.</t>
        </is>
      </c>
      <c r="E268" t="inlineStr">
        <is>
          <t>ISO 9001; ISO 10002; ISO 10004; RevOps; MEDDICC; customer success best practices</t>
        </is>
      </c>
      <c r="F268" t="inlineStr">
        <is>
          <t>Policy/SOP; owner/RACI; system report; dashboard; contracts; test records; incident history; interview evidence related to renewal calendar and proactive renewal process.</t>
        </is>
      </c>
      <c r="G268">
        <f>'Assessment Questions'!J268</f>
        <v/>
      </c>
      <c r="H268">
        <f>IF($Z268="","",IF($Z268="N/A","N/A",VALUE(LEFT($Z268,1))))</f>
        <v/>
      </c>
      <c r="I268">
        <f>IF($H268="","",IF($H268="N/A","",VALUE($H268)/5*$G268))</f>
        <v/>
      </c>
      <c r="J268">
        <f>IF(OR($H268="",$H268="N/A"),"",$G268)</f>
        <v/>
      </c>
      <c r="K268">
        <f>IF(OR($H268="",$H268="N/A"),"",$J268-$I268)</f>
        <v/>
      </c>
      <c r="L268">
        <f>IF($H268="","",IF($H268="N/A","N/A",IF(VALUE($H268)&lt;=1,"Critical",IF(VALUE($H268)&lt;=2,"High",IF(VALUE($H268)&lt;=3,"Medium",IF(VALUE($H268)&lt;=4,"Low","Resilient"))))))</f>
        <v/>
      </c>
      <c r="M268" t="inlineStr">
        <is>
          <t>No reliable evidence that renewal calendar and proactive renewal process is defined, owned or managed.</t>
        </is>
      </c>
      <c r="N268" t="inlineStr">
        <is>
          <t>Renewal calendar and proactive renewal process is handled informally and depends on individual knowledge or heroic effort.</t>
        </is>
      </c>
      <c r="O268" t="inlineStr">
        <is>
          <t>Renewal calendar and proactive renewal process is partially documented or implemented, but coverage is inconsistent and not crisis-tested.</t>
        </is>
      </c>
      <c r="P268" t="inlineStr">
        <is>
          <t>Renewal calendar and proactive renewal process is documented, owned, used in normal operations and supported by basic evidence or metrics.</t>
        </is>
      </c>
      <c r="Q268" t="inlineStr">
        <is>
          <t>Renewal calendar and proactive renewal process is measured, periodically reviewed, integrated with related processes and tested against relevant disruption scenarios.</t>
        </is>
      </c>
      <c r="R268" t="inlineStr">
        <is>
          <t>Renewal calendar and proactive renewal process is optimized, continuously improved, automated where practical and demonstrably supports crisis resilience.</t>
        </is>
      </c>
      <c r="S268" t="inlineStr">
        <is>
          <t>Demand shock; Revenue loss; Reputation crisis</t>
        </is>
      </c>
      <c r="T268">
        <f>'Assessment Questions'!W268</f>
        <v/>
      </c>
      <c r="U268">
        <f>'Assessment Questions'!X268</f>
        <v/>
      </c>
      <c r="V268">
        <f>'Assessment Questions'!Y268</f>
        <v/>
      </c>
      <c r="W268" t="n">
        <v>4</v>
      </c>
      <c r="X268" t="n">
        <v>5</v>
      </c>
      <c r="Y268" t="n">
        <v>5</v>
      </c>
      <c r="Z268">
        <f>'Assessment Questions'!AC268</f>
        <v/>
      </c>
      <c r="AB268">
        <f>COUNTIF($B$257:$B$280,$AA268)</f>
        <v/>
      </c>
      <c r="AC268">
        <f>IFERROR(SUMPRODUCT(($B$257:$B$280=$AA268)*($H$257:$H$280&lt;&gt;"")*($H$257:$H$280&lt;&gt;"N/A")*IFERROR(VALUE($H$257:$H$280),0))/SUMPRODUCT(($B$257:$B$280=$AA268)*($H$257:$H$280&lt;&gt;"")*($H$257:$H$280&lt;&gt;"N/A")),0)</f>
        <v/>
      </c>
      <c r="AD268">
        <f>AC268/5</f>
        <v/>
      </c>
      <c r="AE268">
        <f>COUNTIFS($B$257:$B$280,$AA268,$L$257:$L$280,"Critical")+COUNTIFS($B$257:$B$280,$AA268,$L$257:$L$280,"High")</f>
        <v/>
      </c>
      <c r="AF268">
        <f>5-AC268</f>
        <v/>
      </c>
      <c r="AG268">
        <f>SUMPRODUCT(($B$257:$B$280=$AA268)*(ISNUMBER($H$257:$H$280)+($H$257:$H$280="N/A")))</f>
        <v/>
      </c>
      <c r="AH268">
        <f>'Assessment Questions'!AK268</f>
        <v/>
      </c>
      <c r="AI268">
        <f>'Assessment Questions'!AL268</f>
        <v/>
      </c>
      <c r="AJ268">
        <f>IF(OR($H268="",$H268="N/A"),"",IF($AH268="",VLOOKUP('Company Profile'!$B$40,_CONFIG_Model_Settings!$A$5:$B$8,2,FALSE),_xlfn.IFNA(VLOOKUP($AH268,_CONFIG_Model_Settings!$A$5:$B$8,2,FALSE),0.9)))</f>
        <v/>
      </c>
      <c r="AK268">
        <f>IF(OR($H268="",$H268="N/A"),"",IF($AI268="",VLOOKUP('Company Profile'!$B$41,_CONFIG_Model_Settings!$A$5:$B$8,2,FALSE),_xlfn.IFNA(VLOOKUP($AI268,_CONFIG_Model_Settings!$A$5:$B$8,2,FALSE),0.9)))</f>
        <v/>
      </c>
      <c r="AL268">
        <f>IF(OR($H268="",$H268="N/A"),"",ROUND(VALUE($H268)*$AJ268*$AK268*$AV268,2))</f>
        <v/>
      </c>
      <c r="AM268">
        <f>IF($AL268="","",ROUND($AL268/5*100,1))</f>
        <v/>
      </c>
      <c r="AN268">
        <f>IFERROR(MIN(5,MAX(0,(SUMIFS(_REF_Model_Content!$D$1:$D$157,_REF_Model_Content!$A$1:$A$157,'Company Profile'!$B$9,_REF_Model_Content!$B$1:$B$157,"Sales CRM"))+_xlfn.IFNA(VLOOKUP('Company Profile'!$B$35,_CONFIG_Model_Settings!$A$11:$B$13,2,0),0))),"")</f>
        <v/>
      </c>
      <c r="AO268">
        <f>IF($AL268="","",MAX(0,ROUND($AN268-$AL268,2)))</f>
        <v/>
      </c>
      <c r="AP268">
        <f>IFERROR(SUMIFS(_REF_Model_Content!$E$1:$E$157,_REF_Model_Content!$A$1:$A$157,'Company Profile'!$B$9,_REF_Model_Content!$B$1:$B$157,"Sales CRM"),1)</f>
        <v/>
      </c>
      <c r="AQ268">
        <f>IF($AO268="","",ROUND($AO268*$AP268*($G268/5),2))</f>
        <v/>
      </c>
      <c r="AR268">
        <f>IF($AO268="","",IF($AO268&gt;=2,"Critical industry gap",IF($AO268&gt;=1,"High industry gap",IF($AO268&gt;=0.5,"Moderate industry gap","Within target"))))</f>
        <v/>
      </c>
      <c r="AS268">
        <f>IF(OR($H268="",$H268="N/A"),0,VALUE($H268)*(($AJ268+$AK268)/2)*$AV268)</f>
        <v/>
      </c>
      <c r="AT268">
        <f>IF(OR($H268="",$H268="N/A"),0,($AJ268+$AK268)/2)</f>
        <v/>
      </c>
      <c r="AU268">
        <f>'Assessment Questions'!AX268</f>
        <v/>
      </c>
      <c r="AV268">
        <f>IF(OR($H268="",$H268="N/A"),"",IF(OR($AU268="",$AU268="Everywhere",$AU268="Not applicable"),1,IF($AU268="Pilot / one team",0.4,IF($AU268="One unit or site",0.7,0.9))))</f>
        <v/>
      </c>
      <c r="AW268" t="inlineStr">
        <is>
          <t>Sales CRM</t>
        </is>
      </c>
      <c r="AX268" t="inlineStr">
        <is>
          <t>Sales CRM</t>
        </is>
      </c>
      <c r="AY268" t="n">
        <v>16</v>
      </c>
      <c r="AZ268" t="n">
        <v>268</v>
      </c>
    </row>
    <row r="269">
      <c r="A269" t="inlineStr">
        <is>
          <t>SALE-014</t>
        </is>
      </c>
      <c r="B269" t="inlineStr">
        <is>
          <t>Customer continuity</t>
        </is>
      </c>
      <c r="C269" t="inlineStr">
        <is>
          <t>How mature is the organization in managing critical account plans covering stakeholders, risks, contracts, renewals and crisis communication, including ownership, evidence, metrics, fallback procedures and crisis stress testing?</t>
        </is>
      </c>
      <c r="D269" t="inlineStr">
        <is>
          <t>This topic affects exposure to Demand shock; Revenue loss; Reputation crisis. It helps identify how disruption may impact operations, people, revenue, systems, legal exposure or recovery time.</t>
        </is>
      </c>
      <c r="E269" t="inlineStr">
        <is>
          <t>ISO 9001; ISO 10002; ISO 10004; RevOps; MEDDICC; customer success best practices</t>
        </is>
      </c>
      <c r="F269" t="inlineStr">
        <is>
          <t>Policy/SOP; owner/RACI; system report; dashboard; contracts; test records; incident history; interview evidence related to critical account plans covering stakeholders, risks, contracts, renewals and crisis communication.</t>
        </is>
      </c>
      <c r="G269">
        <f>'Assessment Questions'!J269</f>
        <v/>
      </c>
      <c r="H269">
        <f>IF($Z269="","",IF($Z269="N/A","N/A",VALUE(LEFT($Z269,1))))</f>
        <v/>
      </c>
      <c r="I269">
        <f>IF($H269="","",IF($H269="N/A","",VALUE($H269)/5*$G269))</f>
        <v/>
      </c>
      <c r="J269">
        <f>IF(OR($H269="",$H269="N/A"),"",$G269)</f>
        <v/>
      </c>
      <c r="K269">
        <f>IF(OR($H269="",$H269="N/A"),"",$J269-$I269)</f>
        <v/>
      </c>
      <c r="L269">
        <f>IF($H269="","",IF($H269="N/A","N/A",IF(VALUE($H269)&lt;=1,"Critical",IF(VALUE($H269)&lt;=2,"High",IF(VALUE($H269)&lt;=3,"Medium",IF(VALUE($H269)&lt;=4,"Low","Resilient"))))))</f>
        <v/>
      </c>
      <c r="M269" t="inlineStr">
        <is>
          <t>No plan or procedure exists.</t>
        </is>
      </c>
      <c r="N269" t="inlineStr">
        <is>
          <t>Knowledge lives with individuals; nothing usable is written down.</t>
        </is>
      </c>
      <c r="O269" t="inlineStr">
        <is>
          <t>Drafted but outdated, not approved, or unknown to the people who must use it.</t>
        </is>
      </c>
      <c r="P269" t="inlineStr">
        <is>
          <t>Approved and current; owners assigned; affected staff know it exists and where to find it.</t>
        </is>
      </c>
      <c r="Q269" t="inlineStr">
        <is>
          <t>Tested against realistic scenarios; updated after each test or real incident.</t>
        </is>
      </c>
      <c r="R269" t="inlineStr">
        <is>
          <t>Exercised regularly including external parties; readiness measured; continuously improved.</t>
        </is>
      </c>
      <c r="S269" t="inlineStr">
        <is>
          <t>Demand shock; Revenue loss; Reputation crisis</t>
        </is>
      </c>
      <c r="T269">
        <f>'Assessment Questions'!W269</f>
        <v/>
      </c>
      <c r="U269">
        <f>'Assessment Questions'!X269</f>
        <v/>
      </c>
      <c r="V269">
        <f>'Assessment Questions'!Y269</f>
        <v/>
      </c>
      <c r="W269" t="n">
        <v>4</v>
      </c>
      <c r="X269" t="n">
        <v>5</v>
      </c>
      <c r="Y269" t="n">
        <v>5</v>
      </c>
      <c r="Z269">
        <f>'Assessment Questions'!AC269</f>
        <v/>
      </c>
      <c r="AB269">
        <f>COUNTIF($B$257:$B$280,$AA269)</f>
        <v/>
      </c>
      <c r="AC269">
        <f>IFERROR(SUMPRODUCT(($B$257:$B$280=$AA269)*($H$257:$H$280&lt;&gt;"")*($H$257:$H$280&lt;&gt;"N/A")*IFERROR(VALUE($H$257:$H$280),0))/SUMPRODUCT(($B$257:$B$280=$AA269)*($H$257:$H$280&lt;&gt;"")*($H$257:$H$280&lt;&gt;"N/A")),0)</f>
        <v/>
      </c>
      <c r="AD269">
        <f>AC269/5</f>
        <v/>
      </c>
      <c r="AE269">
        <f>COUNTIFS($B$257:$B$280,$AA269,$L$257:$L$280,"Critical")+COUNTIFS($B$257:$B$280,$AA269,$L$257:$L$280,"High")</f>
        <v/>
      </c>
      <c r="AF269">
        <f>5-AC269</f>
        <v/>
      </c>
      <c r="AG269">
        <f>SUMPRODUCT(($B$257:$B$280=$AA269)*(ISNUMBER($H$257:$H$280)+($H$257:$H$280="N/A")))</f>
        <v/>
      </c>
      <c r="AH269">
        <f>'Assessment Questions'!AK269</f>
        <v/>
      </c>
      <c r="AI269">
        <f>'Assessment Questions'!AL269</f>
        <v/>
      </c>
      <c r="AJ269">
        <f>IF(OR($H269="",$H269="N/A"),"",IF($AH269="",VLOOKUP('Company Profile'!$B$40,_CONFIG_Model_Settings!$A$5:$B$8,2,FALSE),_xlfn.IFNA(VLOOKUP($AH269,_CONFIG_Model_Settings!$A$5:$B$8,2,FALSE),0.9)))</f>
        <v/>
      </c>
      <c r="AK269">
        <f>IF(OR($H269="",$H269="N/A"),"",IF($AI269="",VLOOKUP('Company Profile'!$B$41,_CONFIG_Model_Settings!$A$5:$B$8,2,FALSE),_xlfn.IFNA(VLOOKUP($AI269,_CONFIG_Model_Settings!$A$5:$B$8,2,FALSE),0.9)))</f>
        <v/>
      </c>
      <c r="AL269">
        <f>IF(OR($H269="",$H269="N/A"),"",ROUND(VALUE($H269)*$AJ269*$AK269*$AV269,2))</f>
        <v/>
      </c>
      <c r="AM269">
        <f>IF($AL269="","",ROUND($AL269/5*100,1))</f>
        <v/>
      </c>
      <c r="AN269">
        <f>IFERROR(MIN(5,MAX(0,(SUMIFS(_REF_Model_Content!$D$1:$D$157,_REF_Model_Content!$A$1:$A$157,'Company Profile'!$B$9,_REF_Model_Content!$B$1:$B$157,"Sales CRM"))+_xlfn.IFNA(VLOOKUP('Company Profile'!$B$35,_CONFIG_Model_Settings!$A$11:$B$13,2,0),0))),"")</f>
        <v/>
      </c>
      <c r="AO269">
        <f>IF($AL269="","",MAX(0,ROUND($AN269-$AL269,2)))</f>
        <v/>
      </c>
      <c r="AP269">
        <f>IFERROR(SUMIFS(_REF_Model_Content!$E$1:$E$157,_REF_Model_Content!$A$1:$A$157,'Company Profile'!$B$9,_REF_Model_Content!$B$1:$B$157,"Sales CRM"),1)</f>
        <v/>
      </c>
      <c r="AQ269">
        <f>IF($AO269="","",ROUND($AO269*$AP269*($G269/5),2))</f>
        <v/>
      </c>
      <c r="AR269">
        <f>IF($AO269="","",IF($AO269&gt;=2,"Critical industry gap",IF($AO269&gt;=1,"High industry gap",IF($AO269&gt;=0.5,"Moderate industry gap","Within target"))))</f>
        <v/>
      </c>
      <c r="AS269">
        <f>IF(OR($H269="",$H269="N/A"),0,VALUE($H269)*(($AJ269+$AK269)/2)*$AV269)</f>
        <v/>
      </c>
      <c r="AT269">
        <f>IF(OR($H269="",$H269="N/A"),0,($AJ269+$AK269)/2)</f>
        <v/>
      </c>
      <c r="AU269">
        <f>'Assessment Questions'!AX269</f>
        <v/>
      </c>
      <c r="AV269">
        <f>IF(OR($H269="",$H269="N/A"),"",IF(OR($AU269="",$AU269="Everywhere",$AU269="Not applicable"),1,IF($AU269="Pilot / one team",0.4,IF($AU269="One unit or site",0.7,0.9))))</f>
        <v/>
      </c>
      <c r="AW269" t="inlineStr">
        <is>
          <t>Sales CRM</t>
        </is>
      </c>
      <c r="AX269" t="inlineStr">
        <is>
          <t>Sales CRM</t>
        </is>
      </c>
      <c r="AY269" t="n">
        <v>17</v>
      </c>
      <c r="AZ269" t="n">
        <v>269</v>
      </c>
    </row>
    <row r="270">
      <c r="A270" t="inlineStr">
        <is>
          <t>SALE-015</t>
        </is>
      </c>
      <c r="B270" t="inlineStr">
        <is>
          <t>Customer continuity</t>
        </is>
      </c>
      <c r="C270" t="inlineStr">
        <is>
          <t>How mature is the organization in managing customer notification rules for incidents, delays, cyber events and service disruption, including ownership, evidence, metrics, fallback procedures and crisis stress testing?</t>
        </is>
      </c>
      <c r="D270" t="inlineStr">
        <is>
          <t>This topic affects exposure to Demand shock; Revenue loss; Reputation crisis. It helps identify how disruption may impact operations, people, revenue, systems, legal exposure or recovery time.</t>
        </is>
      </c>
      <c r="E270" t="inlineStr">
        <is>
          <t>ISO 9001; ISO 10002; ISO 10004; RevOps; MEDDICC; customer success best practices</t>
        </is>
      </c>
      <c r="F270" t="inlineStr">
        <is>
          <t>Policy/SOP; owner/RACI; system report; dashboard; contracts; test records; incident history; interview evidence related to customer notification rules for incidents, delays, cyber events and service disruption.</t>
        </is>
      </c>
      <c r="G270">
        <f>'Assessment Questions'!J270</f>
        <v/>
      </c>
      <c r="H270">
        <f>IF($Z270="","",IF($Z270="N/A","N/A",VALUE(LEFT($Z270,1))))</f>
        <v/>
      </c>
      <c r="I270">
        <f>IF($H270="","",IF($H270="N/A","",VALUE($H270)/5*$G270))</f>
        <v/>
      </c>
      <c r="J270">
        <f>IF(OR($H270="",$H270="N/A"),"",$G270)</f>
        <v/>
      </c>
      <c r="K270">
        <f>IF(OR($H270="",$H270="N/A"),"",$J270-$I270)</f>
        <v/>
      </c>
      <c r="L270">
        <f>IF($H270="","",IF($H270="N/A","N/A",IF(VALUE($H270)&lt;=1,"Critical",IF(VALUE($H270)&lt;=2,"High",IF(VALUE($H270)&lt;=3,"Medium",IF(VALUE($H270)&lt;=4,"Low","Resilient"))))))</f>
        <v/>
      </c>
      <c r="M270" t="inlineStr">
        <is>
          <t>Does not exist; no owner, no documentation, no practice.</t>
        </is>
      </c>
      <c r="N270" t="inlineStr">
        <is>
          <t>Ad hoc; depends entirely on specific individuals.</t>
        </is>
      </c>
      <c r="O270" t="inlineStr">
        <is>
          <t>Partially documented or implemented; coverage inconsistent; never tested under stress.</t>
        </is>
      </c>
      <c r="P270" t="inlineStr">
        <is>
          <t>Documented, owned, executed consistently; basic evidence and metrics exist.</t>
        </is>
      </c>
      <c r="Q270" t="inlineStr">
        <is>
          <t>Measured and periodically tested/audited; integrated with adjacent processes.</t>
        </is>
      </c>
      <c r="R270" t="inlineStr">
        <is>
          <t>Optimized and automated where practical; stress-tested; benchmarked externally.</t>
        </is>
      </c>
      <c r="S270" t="inlineStr">
        <is>
          <t>Demand shock; Revenue loss; Reputation crisis</t>
        </is>
      </c>
      <c r="T270">
        <f>'Assessment Questions'!W270</f>
        <v/>
      </c>
      <c r="U270">
        <f>'Assessment Questions'!X270</f>
        <v/>
      </c>
      <c r="V270">
        <f>'Assessment Questions'!Y270</f>
        <v/>
      </c>
      <c r="W270" t="n">
        <v>5</v>
      </c>
      <c r="X270" t="n">
        <v>5</v>
      </c>
      <c r="Y270" t="n">
        <v>5</v>
      </c>
      <c r="Z270">
        <f>'Assessment Questions'!AC270</f>
        <v/>
      </c>
      <c r="AB270">
        <f>COUNTIF($B$257:$B$280,$AA270)</f>
        <v/>
      </c>
      <c r="AC270">
        <f>IFERROR(SUMPRODUCT(($B$257:$B$280=$AA270)*($H$257:$H$280&lt;&gt;"")*($H$257:$H$280&lt;&gt;"N/A")*IFERROR(VALUE($H$257:$H$280),0))/SUMPRODUCT(($B$257:$B$280=$AA270)*($H$257:$H$280&lt;&gt;"")*($H$257:$H$280&lt;&gt;"N/A")),0)</f>
        <v/>
      </c>
      <c r="AD270">
        <f>AC270/5</f>
        <v/>
      </c>
      <c r="AE270">
        <f>COUNTIFS($B$257:$B$280,$AA270,$L$257:$L$280,"Critical")+COUNTIFS($B$257:$B$280,$AA270,$L$257:$L$280,"High")</f>
        <v/>
      </c>
      <c r="AF270">
        <f>5-AC270</f>
        <v/>
      </c>
      <c r="AG270">
        <f>SUMPRODUCT(($B$257:$B$280=$AA270)*(ISNUMBER($H$257:$H$280)+($H$257:$H$280="N/A")))</f>
        <v/>
      </c>
      <c r="AH270">
        <f>'Assessment Questions'!AK270</f>
        <v/>
      </c>
      <c r="AI270">
        <f>'Assessment Questions'!AL270</f>
        <v/>
      </c>
      <c r="AJ270">
        <f>IF(OR($H270="",$H270="N/A"),"",IF($AH270="",VLOOKUP('Company Profile'!$B$40,_CONFIG_Model_Settings!$A$5:$B$8,2,FALSE),_xlfn.IFNA(VLOOKUP($AH270,_CONFIG_Model_Settings!$A$5:$B$8,2,FALSE),0.9)))</f>
        <v/>
      </c>
      <c r="AK270">
        <f>IF(OR($H270="",$H270="N/A"),"",IF($AI270="",VLOOKUP('Company Profile'!$B$41,_CONFIG_Model_Settings!$A$5:$B$8,2,FALSE),_xlfn.IFNA(VLOOKUP($AI270,_CONFIG_Model_Settings!$A$5:$B$8,2,FALSE),0.9)))</f>
        <v/>
      </c>
      <c r="AL270">
        <f>IF(OR($H270="",$H270="N/A"),"",ROUND(VALUE($H270)*$AJ270*$AK270*$AV270,2))</f>
        <v/>
      </c>
      <c r="AM270">
        <f>IF($AL270="","",ROUND($AL270/5*100,1))</f>
        <v/>
      </c>
      <c r="AN270">
        <f>IFERROR(MIN(5,MAX(0,(SUMIFS(_REF_Model_Content!$D$1:$D$157,_REF_Model_Content!$A$1:$A$157,'Company Profile'!$B$9,_REF_Model_Content!$B$1:$B$157,"Sales CRM"))+_xlfn.IFNA(VLOOKUP('Company Profile'!$B$35,_CONFIG_Model_Settings!$A$11:$B$13,2,0),0))),"")</f>
        <v/>
      </c>
      <c r="AO270">
        <f>IF($AL270="","",MAX(0,ROUND($AN270-$AL270,2)))</f>
        <v/>
      </c>
      <c r="AP270">
        <f>IFERROR(SUMIFS(_REF_Model_Content!$E$1:$E$157,_REF_Model_Content!$A$1:$A$157,'Company Profile'!$B$9,_REF_Model_Content!$B$1:$B$157,"Sales CRM"),1)</f>
        <v/>
      </c>
      <c r="AQ270">
        <f>IF($AO270="","",ROUND($AO270*$AP270*($G270/5),2))</f>
        <v/>
      </c>
      <c r="AR270">
        <f>IF($AO270="","",IF($AO270&gt;=2,"Critical industry gap",IF($AO270&gt;=1,"High industry gap",IF($AO270&gt;=0.5,"Moderate industry gap","Within target"))))</f>
        <v/>
      </c>
      <c r="AS270">
        <f>IF(OR($H270="",$H270="N/A"),0,VALUE($H270)*(($AJ270+$AK270)/2)*$AV270)</f>
        <v/>
      </c>
      <c r="AT270">
        <f>IF(OR($H270="",$H270="N/A"),0,($AJ270+$AK270)/2)</f>
        <v/>
      </c>
      <c r="AU270">
        <f>'Assessment Questions'!AX270</f>
        <v/>
      </c>
      <c r="AV270">
        <f>IF(OR($H270="",$H270="N/A"),"",IF(OR($AU270="",$AU270="Everywhere",$AU270="Not applicable"),1,IF($AU270="Pilot / one team",0.4,IF($AU270="One unit or site",0.7,0.9))))</f>
        <v/>
      </c>
      <c r="AW270" t="inlineStr">
        <is>
          <t>Sales CRM</t>
        </is>
      </c>
      <c r="AX270" t="inlineStr">
        <is>
          <t>Sales CRM</t>
        </is>
      </c>
      <c r="AY270" t="n">
        <v>18</v>
      </c>
      <c r="AZ270" t="n">
        <v>270</v>
      </c>
    </row>
    <row r="271">
      <c r="A271" t="inlineStr">
        <is>
          <t>SALE-016</t>
        </is>
      </c>
      <c r="B271" t="inlineStr">
        <is>
          <t>Customer continuity</t>
        </is>
      </c>
      <c r="C271" t="inlineStr">
        <is>
          <t>How mature is the organization in managing support knowledge base and agent fallback if experienced people are unavailable, including ownership, evidence, metrics, fallback procedures and crisis stress testing?</t>
        </is>
      </c>
      <c r="D271" t="inlineStr">
        <is>
          <t>This topic affects exposure to Demand shock; Revenue loss; Reputation crisis. It helps identify how disruption may impact operations, people, revenue, systems, legal exposure or recovery time.</t>
        </is>
      </c>
      <c r="E271" t="inlineStr">
        <is>
          <t>ISO 9001; ISO 10002; ISO 10004; RevOps; MEDDICC; customer success best practices</t>
        </is>
      </c>
      <c r="F271" t="inlineStr">
        <is>
          <t>Policy/SOP; owner/RACI; system report; dashboard; contracts; test records; incident history; interview evidence related to support knowledge base and agent fallback if experienced people are unavailable.</t>
        </is>
      </c>
      <c r="G271">
        <f>'Assessment Questions'!J271</f>
        <v/>
      </c>
      <c r="H271">
        <f>IF($Z271="","",IF($Z271="N/A","N/A",VALUE(LEFT($Z271,1))))</f>
        <v/>
      </c>
      <c r="I271">
        <f>IF($H271="","",IF($H271="N/A","",VALUE($H271)/5*$G271))</f>
        <v/>
      </c>
      <c r="J271">
        <f>IF(OR($H271="",$H271="N/A"),"",$G271)</f>
        <v/>
      </c>
      <c r="K271">
        <f>IF(OR($H271="",$H271="N/A"),"",$J271-$I271)</f>
        <v/>
      </c>
      <c r="L271">
        <f>IF($H271="","",IF($H271="N/A","N/A",IF(VALUE($H271)&lt;=1,"Critical",IF(VALUE($H271)&lt;=2,"High",IF(VALUE($H271)&lt;=3,"Medium",IF(VALUE($H271)&lt;=4,"Low","Resilient"))))))</f>
        <v/>
      </c>
      <c r="M271" t="inlineStr">
        <is>
          <t>No reliable evidence that support knowledge base and agent fallback if experienced people are unavailable is defined, owned or managed.</t>
        </is>
      </c>
      <c r="N271" t="inlineStr">
        <is>
          <t>Support knowledge base and agent fallback if experienced people are unavailable is handled informally and depends on individual knowledge or heroic effort.</t>
        </is>
      </c>
      <c r="O271" t="inlineStr">
        <is>
          <t>Support knowledge base and agent fallback if experienced people are unavailable is partially documented or implemented, but coverage is inconsistent and not crisis-tested.</t>
        </is>
      </c>
      <c r="P271" t="inlineStr">
        <is>
          <t>Support knowledge base and agent fallback if experienced people are unavailable is documented, owned, used in normal operations and supported by basic evidence or metrics.</t>
        </is>
      </c>
      <c r="Q271" t="inlineStr">
        <is>
          <t>Support knowledge base and agent fallback if experienced people are unavailable is measured, periodically reviewed, integrated with related processes and tested against relevant disruption scenarios.</t>
        </is>
      </c>
      <c r="R271" t="inlineStr">
        <is>
          <t>Support knowledge base and agent fallback if experienced people are unavailable is optimized, continuously improved, automated where practical and demonstrably supports crisis resilience.</t>
        </is>
      </c>
      <c r="S271" t="inlineStr">
        <is>
          <t>Demand shock; Revenue loss; Reputation crisis</t>
        </is>
      </c>
      <c r="T271">
        <f>'Assessment Questions'!W271</f>
        <v/>
      </c>
      <c r="U271">
        <f>'Assessment Questions'!X271</f>
        <v/>
      </c>
      <c r="V271">
        <f>'Assessment Questions'!Y271</f>
        <v/>
      </c>
      <c r="W271" t="n">
        <v>4</v>
      </c>
      <c r="X271" t="n">
        <v>5</v>
      </c>
      <c r="Y271" t="n">
        <v>5</v>
      </c>
      <c r="Z271">
        <f>'Assessment Questions'!AC271</f>
        <v/>
      </c>
      <c r="AB271">
        <f>COUNTIF($B$257:$B$280,$AA271)</f>
        <v/>
      </c>
      <c r="AC271">
        <f>IFERROR(SUMPRODUCT(($B$257:$B$280=$AA271)*($H$257:$H$280&lt;&gt;"")*($H$257:$H$280&lt;&gt;"N/A")*IFERROR(VALUE($H$257:$H$280),0))/SUMPRODUCT(($B$257:$B$280=$AA271)*($H$257:$H$280&lt;&gt;"")*($H$257:$H$280&lt;&gt;"N/A")),0)</f>
        <v/>
      </c>
      <c r="AD271">
        <f>AC271/5</f>
        <v/>
      </c>
      <c r="AE271">
        <f>COUNTIFS($B$257:$B$280,$AA271,$L$257:$L$280,"Critical")+COUNTIFS($B$257:$B$280,$AA271,$L$257:$L$280,"High")</f>
        <v/>
      </c>
      <c r="AF271">
        <f>5-AC271</f>
        <v/>
      </c>
      <c r="AG271">
        <f>SUMPRODUCT(($B$257:$B$280=$AA271)*(ISNUMBER($H$257:$H$280)+($H$257:$H$280="N/A")))</f>
        <v/>
      </c>
      <c r="AH271">
        <f>'Assessment Questions'!AK271</f>
        <v/>
      </c>
      <c r="AI271">
        <f>'Assessment Questions'!AL271</f>
        <v/>
      </c>
      <c r="AJ271">
        <f>IF(OR($H271="",$H271="N/A"),"",IF($AH271="",VLOOKUP('Company Profile'!$B$40,_CONFIG_Model_Settings!$A$5:$B$8,2,FALSE),_xlfn.IFNA(VLOOKUP($AH271,_CONFIG_Model_Settings!$A$5:$B$8,2,FALSE),0.9)))</f>
        <v/>
      </c>
      <c r="AK271">
        <f>IF(OR($H271="",$H271="N/A"),"",IF($AI271="",VLOOKUP('Company Profile'!$B$41,_CONFIG_Model_Settings!$A$5:$B$8,2,FALSE),_xlfn.IFNA(VLOOKUP($AI271,_CONFIG_Model_Settings!$A$5:$B$8,2,FALSE),0.9)))</f>
        <v/>
      </c>
      <c r="AL271">
        <f>IF(OR($H271="",$H271="N/A"),"",ROUND(VALUE($H271)*$AJ271*$AK271*$AV271,2))</f>
        <v/>
      </c>
      <c r="AM271">
        <f>IF($AL271="","",ROUND($AL271/5*100,1))</f>
        <v/>
      </c>
      <c r="AN271">
        <f>IFERROR(MIN(5,MAX(0,(SUMIFS(_REF_Model_Content!$D$1:$D$157,_REF_Model_Content!$A$1:$A$157,'Company Profile'!$B$9,_REF_Model_Content!$B$1:$B$157,"Sales CRM"))+_xlfn.IFNA(VLOOKUP('Company Profile'!$B$35,_CONFIG_Model_Settings!$A$11:$B$13,2,0),0))),"")</f>
        <v/>
      </c>
      <c r="AO271">
        <f>IF($AL271="","",MAX(0,ROUND($AN271-$AL271,2)))</f>
        <v/>
      </c>
      <c r="AP271">
        <f>IFERROR(SUMIFS(_REF_Model_Content!$E$1:$E$157,_REF_Model_Content!$A$1:$A$157,'Company Profile'!$B$9,_REF_Model_Content!$B$1:$B$157,"Sales CRM"),1)</f>
        <v/>
      </c>
      <c r="AQ271">
        <f>IF($AO271="","",ROUND($AO271*$AP271*($G271/5),2))</f>
        <v/>
      </c>
      <c r="AR271">
        <f>IF($AO271="","",IF($AO271&gt;=2,"Critical industry gap",IF($AO271&gt;=1,"High industry gap",IF($AO271&gt;=0.5,"Moderate industry gap","Within target"))))</f>
        <v/>
      </c>
      <c r="AS271">
        <f>IF(OR($H271="",$H271="N/A"),0,VALUE($H271)*(($AJ271+$AK271)/2)*$AV271)</f>
        <v/>
      </c>
      <c r="AT271">
        <f>IF(OR($H271="",$H271="N/A"),0,($AJ271+$AK271)/2)</f>
        <v/>
      </c>
      <c r="AU271">
        <f>'Assessment Questions'!AX271</f>
        <v/>
      </c>
      <c r="AV271">
        <f>IF(OR($H271="",$H271="N/A"),"",IF(OR($AU271="",$AU271="Everywhere",$AU271="Not applicable"),1,IF($AU271="Pilot / one team",0.4,IF($AU271="One unit or site",0.7,0.9))))</f>
        <v/>
      </c>
      <c r="AW271" t="inlineStr">
        <is>
          <t>Sales CRM</t>
        </is>
      </c>
      <c r="AX271" t="inlineStr">
        <is>
          <t>Sales CRM</t>
        </is>
      </c>
      <c r="AY271" t="n">
        <v>19</v>
      </c>
      <c r="AZ271" t="n">
        <v>271</v>
      </c>
    </row>
    <row r="272">
      <c r="A272" t="inlineStr">
        <is>
          <t>SALE-017</t>
        </is>
      </c>
      <c r="B272" t="inlineStr">
        <is>
          <t>Revenue controls</t>
        </is>
      </c>
      <c r="C272" t="inlineStr">
        <is>
          <t>How mature is the organization in managing discount governance, pricing exceptions, payment terms and margin protection, including ownership, evidence, metrics, fallback procedures and crisis stress testing?</t>
        </is>
      </c>
      <c r="D272" t="inlineStr">
        <is>
          <t>This topic affects exposure to Demand shock; Revenue loss; Reputation crisis. It helps identify how disruption may impact operations, people, revenue, systems, legal exposure or recovery time.</t>
        </is>
      </c>
      <c r="E272" t="inlineStr">
        <is>
          <t>ISO 9001; ISO 10002; ISO 10004; RevOps; MEDDICC; customer success best practices</t>
        </is>
      </c>
      <c r="F272" t="inlineStr">
        <is>
          <t>Policy/SOP; owner/RACI; system report; dashboard; contracts; test records; incident history; interview evidence related to discount governance, pricing exceptions, payment terms and margin protection.</t>
        </is>
      </c>
      <c r="G272">
        <f>'Assessment Questions'!J272</f>
        <v/>
      </c>
      <c r="H272">
        <f>IF($Z272="","",IF($Z272="N/A","N/A",VALUE(LEFT($Z272,1))))</f>
        <v/>
      </c>
      <c r="I272">
        <f>IF($H272="","",IF($H272="N/A","",VALUE($H272)/5*$G272))</f>
        <v/>
      </c>
      <c r="J272">
        <f>IF(OR($H272="",$H272="N/A"),"",$G272)</f>
        <v/>
      </c>
      <c r="K272">
        <f>IF(OR($H272="",$H272="N/A"),"",$J272-$I272)</f>
        <v/>
      </c>
      <c r="L272">
        <f>IF($H272="","",IF($H272="N/A","N/A",IF(VALUE($H272)&lt;=1,"Critical",IF(VALUE($H272)&lt;=2,"High",IF(VALUE($H272)&lt;=3,"Medium",IF(VALUE($H272)&lt;=4,"Low","Resilient"))))))</f>
        <v/>
      </c>
      <c r="M272" t="inlineStr">
        <is>
          <t>No reliable evidence that discount governance, pricing exceptions, payment terms and margin protection is defined, owned or managed.</t>
        </is>
      </c>
      <c r="N272" t="inlineStr">
        <is>
          <t>Discount governance, pricing exceptions, payment terms and margin protection is handled informally and depends on individual knowledge or heroic effort.</t>
        </is>
      </c>
      <c r="O272" t="inlineStr">
        <is>
          <t>Discount governance, pricing exceptions, payment terms and margin protection is partially documented or implemented, but coverage is inconsistent and not crisis-tested.</t>
        </is>
      </c>
      <c r="P272" t="inlineStr">
        <is>
          <t>Discount governance, pricing exceptions, payment terms and margin protection is documented, owned, used in normal operations and supported by basic evidence or metrics.</t>
        </is>
      </c>
      <c r="Q272" t="inlineStr">
        <is>
          <t>Discount governance, pricing exceptions, payment terms and margin protection is measured, periodically reviewed, integrated with related processes and tested against relevant disruption scenarios.</t>
        </is>
      </c>
      <c r="R272" t="inlineStr">
        <is>
          <t>Discount governance, pricing exceptions, payment terms and margin protection is optimized, continuously improved, automated where practical and demonstrably supports crisis resilience.</t>
        </is>
      </c>
      <c r="S272" t="inlineStr">
        <is>
          <t>Demand shock; Revenue loss; Reputation crisis</t>
        </is>
      </c>
      <c r="T272">
        <f>'Assessment Questions'!W272</f>
        <v/>
      </c>
      <c r="U272">
        <f>'Assessment Questions'!X272</f>
        <v/>
      </c>
      <c r="V272">
        <f>'Assessment Questions'!Y272</f>
        <v/>
      </c>
      <c r="W272" t="n">
        <v>4</v>
      </c>
      <c r="X272" t="n">
        <v>5</v>
      </c>
      <c r="Y272" t="n">
        <v>5</v>
      </c>
      <c r="Z272">
        <f>'Assessment Questions'!AC272</f>
        <v/>
      </c>
      <c r="AB272">
        <f>COUNTIF($B$257:$B$280,$AA272)</f>
        <v/>
      </c>
      <c r="AC272">
        <f>IFERROR(SUMPRODUCT(($B$257:$B$280=$AA272)*($H$257:$H$280&lt;&gt;"")*($H$257:$H$280&lt;&gt;"N/A")*IFERROR(VALUE($H$257:$H$280),0))/SUMPRODUCT(($B$257:$B$280=$AA272)*($H$257:$H$280&lt;&gt;"")*($H$257:$H$280&lt;&gt;"N/A")),0)</f>
        <v/>
      </c>
      <c r="AD272">
        <f>AC272/5</f>
        <v/>
      </c>
      <c r="AE272">
        <f>COUNTIFS($B$257:$B$280,$AA272,$L$257:$L$280,"Critical")+COUNTIFS($B$257:$B$280,$AA272,$L$257:$L$280,"High")</f>
        <v/>
      </c>
      <c r="AF272">
        <f>5-AC272</f>
        <v/>
      </c>
      <c r="AG272">
        <f>SUMPRODUCT(($B$257:$B$280=$AA272)*(ISNUMBER($H$257:$H$280)+($H$257:$H$280="N/A")))</f>
        <v/>
      </c>
      <c r="AH272">
        <f>'Assessment Questions'!AK272</f>
        <v/>
      </c>
      <c r="AI272">
        <f>'Assessment Questions'!AL272</f>
        <v/>
      </c>
      <c r="AJ272">
        <f>IF(OR($H272="",$H272="N/A"),"",IF($AH272="",VLOOKUP('Company Profile'!$B$40,_CONFIG_Model_Settings!$A$5:$B$8,2,FALSE),_xlfn.IFNA(VLOOKUP($AH272,_CONFIG_Model_Settings!$A$5:$B$8,2,FALSE),0.9)))</f>
        <v/>
      </c>
      <c r="AK272">
        <f>IF(OR($H272="",$H272="N/A"),"",IF($AI272="",VLOOKUP('Company Profile'!$B$41,_CONFIG_Model_Settings!$A$5:$B$8,2,FALSE),_xlfn.IFNA(VLOOKUP($AI272,_CONFIG_Model_Settings!$A$5:$B$8,2,FALSE),0.9)))</f>
        <v/>
      </c>
      <c r="AL272">
        <f>IF(OR($H272="",$H272="N/A"),"",ROUND(VALUE($H272)*$AJ272*$AK272*$AV272,2))</f>
        <v/>
      </c>
      <c r="AM272">
        <f>IF($AL272="","",ROUND($AL272/5*100,1))</f>
        <v/>
      </c>
      <c r="AN272">
        <f>IFERROR(MIN(5,MAX(0,(SUMIFS(_REF_Model_Content!$D$1:$D$157,_REF_Model_Content!$A$1:$A$157,'Company Profile'!$B$9,_REF_Model_Content!$B$1:$B$157,"Sales CRM"))+_xlfn.IFNA(VLOOKUP('Company Profile'!$B$35,_CONFIG_Model_Settings!$A$11:$B$13,2,0),0))),"")</f>
        <v/>
      </c>
      <c r="AO272">
        <f>IF($AL272="","",MAX(0,ROUND($AN272-$AL272,2)))</f>
        <v/>
      </c>
      <c r="AP272">
        <f>IFERROR(SUMIFS(_REF_Model_Content!$E$1:$E$157,_REF_Model_Content!$A$1:$A$157,'Company Profile'!$B$9,_REF_Model_Content!$B$1:$B$157,"Sales CRM"),1)</f>
        <v/>
      </c>
      <c r="AQ272">
        <f>IF($AO272="","",ROUND($AO272*$AP272*($G272/5),2))</f>
        <v/>
      </c>
      <c r="AR272">
        <f>IF($AO272="","",IF($AO272&gt;=2,"Critical industry gap",IF($AO272&gt;=1,"High industry gap",IF($AO272&gt;=0.5,"Moderate industry gap","Within target"))))</f>
        <v/>
      </c>
      <c r="AS272">
        <f>IF(OR($H272="",$H272="N/A"),0,VALUE($H272)*(($AJ272+$AK272)/2)*$AV272)</f>
        <v/>
      </c>
      <c r="AT272">
        <f>IF(OR($H272="",$H272="N/A"),0,($AJ272+$AK272)/2)</f>
        <v/>
      </c>
      <c r="AU272">
        <f>'Assessment Questions'!AX272</f>
        <v/>
      </c>
      <c r="AV272">
        <f>IF(OR($H272="",$H272="N/A"),"",IF(OR($AU272="",$AU272="Everywhere",$AU272="Not applicable"),1,IF($AU272="Pilot / one team",0.4,IF($AU272="One unit or site",0.7,0.9))))</f>
        <v/>
      </c>
      <c r="AW272" t="inlineStr">
        <is>
          <t>Sales CRM</t>
        </is>
      </c>
      <c r="AX272" t="inlineStr">
        <is>
          <t>Sales CRM</t>
        </is>
      </c>
      <c r="AY272" t="n">
        <v>20</v>
      </c>
      <c r="AZ272" t="n">
        <v>272</v>
      </c>
    </row>
    <row r="273">
      <c r="A273" t="inlineStr">
        <is>
          <t>SALE-018</t>
        </is>
      </c>
      <c r="B273" t="inlineStr">
        <is>
          <t>Revenue controls</t>
        </is>
      </c>
      <c r="C273" t="inlineStr">
        <is>
          <t>How mature is the organization in managing deal review for margin, delivery feasibility, legal obligations, security and crisis risk, including ownership, evidence, metrics, fallback procedures and crisis stress testing?</t>
        </is>
      </c>
      <c r="D273" t="inlineStr">
        <is>
          <t>This topic affects exposure to Demand shock; Revenue loss; Reputation crisis. It helps identify how disruption may impact operations, people, revenue, systems, legal exposure or recovery time.</t>
        </is>
      </c>
      <c r="E273" t="inlineStr">
        <is>
          <t>ISO 9001; ISO 10002; ISO 10004; RevOps; MEDDICC; customer success best practices</t>
        </is>
      </c>
      <c r="F273" t="inlineStr">
        <is>
          <t>Policy/SOP; owner/RACI; system report; dashboard; contracts; test records; incident history; interview evidence related to deal review for margin, delivery feasibility, legal obligations, security and crisis risk.</t>
        </is>
      </c>
      <c r="G273">
        <f>'Assessment Questions'!J273</f>
        <v/>
      </c>
      <c r="H273">
        <f>IF($Z273="","",IF($Z273="N/A","N/A",VALUE(LEFT($Z273,1))))</f>
        <v/>
      </c>
      <c r="I273">
        <f>IF($H273="","",IF($H273="N/A","",VALUE($H273)/5*$G273))</f>
        <v/>
      </c>
      <c r="J273">
        <f>IF(OR($H273="",$H273="N/A"),"",$G273)</f>
        <v/>
      </c>
      <c r="K273">
        <f>IF(OR($H273="",$H273="N/A"),"",$J273-$I273)</f>
        <v/>
      </c>
      <c r="L273">
        <f>IF($H273="","",IF($H273="N/A","N/A",IF(VALUE($H273)&lt;=1,"Critical",IF(VALUE($H273)&lt;=2,"High",IF(VALUE($H273)&lt;=3,"Medium",IF(VALUE($H273)&lt;=4,"Low","Resilient"))))))</f>
        <v/>
      </c>
      <c r="M273" t="inlineStr">
        <is>
          <t>Does not exist; no owner, no documentation, no practice.</t>
        </is>
      </c>
      <c r="N273" t="inlineStr">
        <is>
          <t>Ad hoc; depends entirely on specific individuals.</t>
        </is>
      </c>
      <c r="O273" t="inlineStr">
        <is>
          <t>Partially documented or implemented; coverage inconsistent; never tested under stress.</t>
        </is>
      </c>
      <c r="P273" t="inlineStr">
        <is>
          <t>Documented, owned, executed consistently; basic evidence and metrics exist.</t>
        </is>
      </c>
      <c r="Q273" t="inlineStr">
        <is>
          <t>Measured and periodically tested/audited; integrated with adjacent processes.</t>
        </is>
      </c>
      <c r="R273" t="inlineStr">
        <is>
          <t>Optimized and automated where practical; stress-tested; benchmarked externally.</t>
        </is>
      </c>
      <c r="S273" t="inlineStr">
        <is>
          <t>Demand shock; Revenue loss; Reputation crisis</t>
        </is>
      </c>
      <c r="T273">
        <f>'Assessment Questions'!W273</f>
        <v/>
      </c>
      <c r="U273">
        <f>'Assessment Questions'!X273</f>
        <v/>
      </c>
      <c r="V273">
        <f>'Assessment Questions'!Y273</f>
        <v/>
      </c>
      <c r="W273" t="n">
        <v>4</v>
      </c>
      <c r="X273" t="n">
        <v>5</v>
      </c>
      <c r="Y273" t="n">
        <v>5</v>
      </c>
      <c r="Z273">
        <f>'Assessment Questions'!AC273</f>
        <v/>
      </c>
      <c r="AB273">
        <f>COUNTIF($B$257:$B$280,$AA273)</f>
        <v/>
      </c>
      <c r="AC273">
        <f>IFERROR(SUMPRODUCT(($B$257:$B$280=$AA273)*($H$257:$H$280&lt;&gt;"")*($H$257:$H$280&lt;&gt;"N/A")*IFERROR(VALUE($H$257:$H$280),0))/SUMPRODUCT(($B$257:$B$280=$AA273)*($H$257:$H$280&lt;&gt;"")*($H$257:$H$280&lt;&gt;"N/A")),0)</f>
        <v/>
      </c>
      <c r="AD273">
        <f>AC273/5</f>
        <v/>
      </c>
      <c r="AE273">
        <f>COUNTIFS($B$257:$B$280,$AA273,$L$257:$L$280,"Critical")+COUNTIFS($B$257:$B$280,$AA273,$L$257:$L$280,"High")</f>
        <v/>
      </c>
      <c r="AF273">
        <f>5-AC273</f>
        <v/>
      </c>
      <c r="AG273">
        <f>SUMPRODUCT(($B$257:$B$280=$AA273)*(ISNUMBER($H$257:$H$280)+($H$257:$H$280="N/A")))</f>
        <v/>
      </c>
      <c r="AH273">
        <f>'Assessment Questions'!AK273</f>
        <v/>
      </c>
      <c r="AI273">
        <f>'Assessment Questions'!AL273</f>
        <v/>
      </c>
      <c r="AJ273">
        <f>IF(OR($H273="",$H273="N/A"),"",IF($AH273="",VLOOKUP('Company Profile'!$B$40,_CONFIG_Model_Settings!$A$5:$B$8,2,FALSE),_xlfn.IFNA(VLOOKUP($AH273,_CONFIG_Model_Settings!$A$5:$B$8,2,FALSE),0.9)))</f>
        <v/>
      </c>
      <c r="AK273">
        <f>IF(OR($H273="",$H273="N/A"),"",IF($AI273="",VLOOKUP('Company Profile'!$B$41,_CONFIG_Model_Settings!$A$5:$B$8,2,FALSE),_xlfn.IFNA(VLOOKUP($AI273,_CONFIG_Model_Settings!$A$5:$B$8,2,FALSE),0.9)))</f>
        <v/>
      </c>
      <c r="AL273">
        <f>IF(OR($H273="",$H273="N/A"),"",ROUND(VALUE($H273)*$AJ273*$AK273*$AV273,2))</f>
        <v/>
      </c>
      <c r="AM273">
        <f>IF($AL273="","",ROUND($AL273/5*100,1))</f>
        <v/>
      </c>
      <c r="AN273">
        <f>IFERROR(MIN(5,MAX(0,(SUMIFS(_REF_Model_Content!$D$1:$D$157,_REF_Model_Content!$A$1:$A$157,'Company Profile'!$B$9,_REF_Model_Content!$B$1:$B$157,"Sales CRM"))+_xlfn.IFNA(VLOOKUP('Company Profile'!$B$35,_CONFIG_Model_Settings!$A$11:$B$13,2,0),0))),"")</f>
        <v/>
      </c>
      <c r="AO273">
        <f>IF($AL273="","",MAX(0,ROUND($AN273-$AL273,2)))</f>
        <v/>
      </c>
      <c r="AP273">
        <f>IFERROR(SUMIFS(_REF_Model_Content!$E$1:$E$157,_REF_Model_Content!$A$1:$A$157,'Company Profile'!$B$9,_REF_Model_Content!$B$1:$B$157,"Sales CRM"),1)</f>
        <v/>
      </c>
      <c r="AQ273">
        <f>IF($AO273="","",ROUND($AO273*$AP273*($G273/5),2))</f>
        <v/>
      </c>
      <c r="AR273">
        <f>IF($AO273="","",IF($AO273&gt;=2,"Critical industry gap",IF($AO273&gt;=1,"High industry gap",IF($AO273&gt;=0.5,"Moderate industry gap","Within target"))))</f>
        <v/>
      </c>
      <c r="AS273">
        <f>IF(OR($H273="",$H273="N/A"),0,VALUE($H273)*(($AJ273+$AK273)/2)*$AV273)</f>
        <v/>
      </c>
      <c r="AT273">
        <f>IF(OR($H273="",$H273="N/A"),0,($AJ273+$AK273)/2)</f>
        <v/>
      </c>
      <c r="AU273">
        <f>'Assessment Questions'!AX273</f>
        <v/>
      </c>
      <c r="AV273">
        <f>IF(OR($H273="",$H273="N/A"),"",IF(OR($AU273="",$AU273="Everywhere",$AU273="Not applicable"),1,IF($AU273="Pilot / one team",0.4,IF($AU273="One unit or site",0.7,0.9))))</f>
        <v/>
      </c>
      <c r="AW273" t="inlineStr">
        <is>
          <t>Sales CRM</t>
        </is>
      </c>
      <c r="AX273" t="inlineStr">
        <is>
          <t>Sales CRM</t>
        </is>
      </c>
      <c r="AY273" t="n">
        <v>21</v>
      </c>
      <c r="AZ273" t="n">
        <v>273</v>
      </c>
    </row>
    <row r="274">
      <c r="A274" t="inlineStr">
        <is>
          <t>SALE-020</t>
        </is>
      </c>
      <c r="B274" t="inlineStr">
        <is>
          <t>Revenue controls</t>
        </is>
      </c>
      <c r="C274" t="inlineStr">
        <is>
          <t>How mature is the organization in managing sales channel continuity if offices close, travel stops, events cancel or one channel fails, including ownership, evidence, metrics, fallback procedures and crisis stress testing?</t>
        </is>
      </c>
      <c r="D274" t="inlineStr">
        <is>
          <t>This topic affects exposure to Demand shock; Revenue loss; Reputation crisis. It helps identify how disruption may impact operations, people, revenue, systems, legal exposure or recovery time.</t>
        </is>
      </c>
      <c r="E274" t="inlineStr">
        <is>
          <t>ISO 9001; ISO 10002; ISO 10004; RevOps; MEDDICC; customer success best practices</t>
        </is>
      </c>
      <c r="F274" t="inlineStr">
        <is>
          <t>Policy/SOP; owner/RACI; system report; dashboard; contracts; test records; incident history; interview evidence related to sales channel continuity if offices close, travel stops, events cancel or one channel fails.</t>
        </is>
      </c>
      <c r="G274">
        <f>'Assessment Questions'!J274</f>
        <v/>
      </c>
      <c r="H274">
        <f>IF($Z274="","",IF($Z274="N/A","N/A",VALUE(LEFT($Z274,1))))</f>
        <v/>
      </c>
      <c r="I274">
        <f>IF($H274="","",IF($H274="N/A","",VALUE($H274)/5*$G274))</f>
        <v/>
      </c>
      <c r="J274">
        <f>IF(OR($H274="",$H274="N/A"),"",$G274)</f>
        <v/>
      </c>
      <c r="K274">
        <f>IF(OR($H274="",$H274="N/A"),"",$J274-$I274)</f>
        <v/>
      </c>
      <c r="L274">
        <f>IF($H274="","",IF($H274="N/A","N/A",IF(VALUE($H274)&lt;=1,"Critical",IF(VALUE($H274)&lt;=2,"High",IF(VALUE($H274)&lt;=3,"Medium",IF(VALUE($H274)&lt;=4,"Low","Resilient"))))))</f>
        <v/>
      </c>
      <c r="M274" t="inlineStr">
        <is>
          <t>Does not exist; no owner, no documentation, no practice.</t>
        </is>
      </c>
      <c r="N274" t="inlineStr">
        <is>
          <t>Ad hoc; depends entirely on specific individuals.</t>
        </is>
      </c>
      <c r="O274" t="inlineStr">
        <is>
          <t>Partially documented or implemented; coverage inconsistent; never tested under stress.</t>
        </is>
      </c>
      <c r="P274" t="inlineStr">
        <is>
          <t>Documented, owned, executed consistently; basic evidence and metrics exist.</t>
        </is>
      </c>
      <c r="Q274" t="inlineStr">
        <is>
          <t>Measured and periodically tested/audited; integrated with adjacent processes.</t>
        </is>
      </c>
      <c r="R274" t="inlineStr">
        <is>
          <t>Optimized and automated where practical; stress-tested; benchmarked externally.</t>
        </is>
      </c>
      <c r="S274" t="inlineStr">
        <is>
          <t>Demand shock; Revenue loss; Reputation crisis</t>
        </is>
      </c>
      <c r="T274">
        <f>'Assessment Questions'!W274</f>
        <v/>
      </c>
      <c r="U274">
        <f>'Assessment Questions'!X274</f>
        <v/>
      </c>
      <c r="V274">
        <f>'Assessment Questions'!Y274</f>
        <v/>
      </c>
      <c r="W274" t="n">
        <v>4</v>
      </c>
      <c r="X274" t="n">
        <v>5</v>
      </c>
      <c r="Y274" t="n">
        <v>5</v>
      </c>
      <c r="Z274">
        <f>'Assessment Questions'!AC274</f>
        <v/>
      </c>
      <c r="AB274">
        <f>COUNTIF($B$257:$B$280,$AA274)</f>
        <v/>
      </c>
      <c r="AC274">
        <f>IFERROR(SUMPRODUCT(($B$257:$B$280=$AA274)*($H$257:$H$280&lt;&gt;"")*($H$257:$H$280&lt;&gt;"N/A")*IFERROR(VALUE($H$257:$H$280),0))/SUMPRODUCT(($B$257:$B$280=$AA274)*($H$257:$H$280&lt;&gt;"")*($H$257:$H$280&lt;&gt;"N/A")),0)</f>
        <v/>
      </c>
      <c r="AD274">
        <f>AC274/5</f>
        <v/>
      </c>
      <c r="AE274">
        <f>COUNTIFS($B$257:$B$280,$AA274,$L$257:$L$280,"Critical")+COUNTIFS($B$257:$B$280,$AA274,$L$257:$L$280,"High")</f>
        <v/>
      </c>
      <c r="AF274">
        <f>5-AC274</f>
        <v/>
      </c>
      <c r="AG274">
        <f>SUMPRODUCT(($B$257:$B$280=$AA274)*(ISNUMBER($H$257:$H$280)+($H$257:$H$280="N/A")))</f>
        <v/>
      </c>
      <c r="AH274">
        <f>'Assessment Questions'!AK274</f>
        <v/>
      </c>
      <c r="AI274">
        <f>'Assessment Questions'!AL274</f>
        <v/>
      </c>
      <c r="AJ274">
        <f>IF(OR($H274="",$H274="N/A"),"",IF($AH274="",VLOOKUP('Company Profile'!$B$40,_CONFIG_Model_Settings!$A$5:$B$8,2,FALSE),_xlfn.IFNA(VLOOKUP($AH274,_CONFIG_Model_Settings!$A$5:$B$8,2,FALSE),0.9)))</f>
        <v/>
      </c>
      <c r="AK274">
        <f>IF(OR($H274="",$H274="N/A"),"",IF($AI274="",VLOOKUP('Company Profile'!$B$41,_CONFIG_Model_Settings!$A$5:$B$8,2,FALSE),_xlfn.IFNA(VLOOKUP($AI274,_CONFIG_Model_Settings!$A$5:$B$8,2,FALSE),0.9)))</f>
        <v/>
      </c>
      <c r="AL274">
        <f>IF(OR($H274="",$H274="N/A"),"",ROUND(VALUE($H274)*$AJ274*$AK274*$AV274,2))</f>
        <v/>
      </c>
      <c r="AM274">
        <f>IF($AL274="","",ROUND($AL274/5*100,1))</f>
        <v/>
      </c>
      <c r="AN274">
        <f>IFERROR(MIN(5,MAX(0,(SUMIFS(_REF_Model_Content!$D$1:$D$157,_REF_Model_Content!$A$1:$A$157,'Company Profile'!$B$9,_REF_Model_Content!$B$1:$B$157,"Sales CRM"))+_xlfn.IFNA(VLOOKUP('Company Profile'!$B$35,_CONFIG_Model_Settings!$A$11:$B$13,2,0),0))),"")</f>
        <v/>
      </c>
      <c r="AO274">
        <f>IF($AL274="","",MAX(0,ROUND($AN274-$AL274,2)))</f>
        <v/>
      </c>
      <c r="AP274">
        <f>IFERROR(SUMIFS(_REF_Model_Content!$E$1:$E$157,_REF_Model_Content!$A$1:$A$157,'Company Profile'!$B$9,_REF_Model_Content!$B$1:$B$157,"Sales CRM"),1)</f>
        <v/>
      </c>
      <c r="AQ274">
        <f>IF($AO274="","",ROUND($AO274*$AP274*($G274/5),2))</f>
        <v/>
      </c>
      <c r="AR274">
        <f>IF($AO274="","",IF($AO274&gt;=2,"Critical industry gap",IF($AO274&gt;=1,"High industry gap",IF($AO274&gt;=0.5,"Moderate industry gap","Within target"))))</f>
        <v/>
      </c>
      <c r="AS274">
        <f>IF(OR($H274="",$H274="N/A"),0,VALUE($H274)*(($AJ274+$AK274)/2)*$AV274)</f>
        <v/>
      </c>
      <c r="AT274">
        <f>IF(OR($H274="",$H274="N/A"),0,($AJ274+$AK274)/2)</f>
        <v/>
      </c>
      <c r="AU274">
        <f>'Assessment Questions'!AX274</f>
        <v/>
      </c>
      <c r="AV274">
        <f>IF(OR($H274="",$H274="N/A"),"",IF(OR($AU274="",$AU274="Everywhere",$AU274="Not applicable"),1,IF($AU274="Pilot / one team",0.4,IF($AU274="One unit or site",0.7,0.9))))</f>
        <v/>
      </c>
      <c r="AW274" t="inlineStr">
        <is>
          <t>Sales CRM</t>
        </is>
      </c>
      <c r="AX274" t="inlineStr">
        <is>
          <t>Sales CRM</t>
        </is>
      </c>
      <c r="AY274" t="n">
        <v>22</v>
      </c>
      <c r="AZ274" t="n">
        <v>274</v>
      </c>
    </row>
    <row r="275">
      <c r="A275" t="inlineStr">
        <is>
          <t>SALE-021</t>
        </is>
      </c>
      <c r="B275" t="inlineStr">
        <is>
          <t>Revenue controls</t>
        </is>
      </c>
      <c r="C275" t="inlineStr">
        <is>
          <t>How mature is the organization in managing ecommerce continuity for payments, logistics, website, stock and customer support where relevant, including ownership, evidence, metrics, fallback procedures and crisis stress testing?</t>
        </is>
      </c>
      <c r="D275" t="inlineStr">
        <is>
          <t>This topic affects exposure to Demand shock; Revenue loss; Reputation crisis. It helps identify how disruption may impact operations, people, revenue, systems, legal exposure or recovery time.</t>
        </is>
      </c>
      <c r="E275" t="inlineStr">
        <is>
          <t>ISO 9001; ISO 10002; ISO 10004; RevOps; MEDDICC; customer success best practices</t>
        </is>
      </c>
      <c r="F275" t="inlineStr">
        <is>
          <t>Policy/SOP; owner/RACI; system report; dashboard; contracts; test records; incident history; interview evidence related to ecommerce continuity for payments, logistics, website, stock and customer support where relevant.</t>
        </is>
      </c>
      <c r="G275">
        <f>'Assessment Questions'!J275</f>
        <v/>
      </c>
      <c r="H275">
        <f>IF($Z275="","",IF($Z275="N/A","N/A",VALUE(LEFT($Z275,1))))</f>
        <v/>
      </c>
      <c r="I275">
        <f>IF($H275="","",IF($H275="N/A","",VALUE($H275)/5*$G275))</f>
        <v/>
      </c>
      <c r="J275">
        <f>IF(OR($H275="",$H275="N/A"),"",$G275)</f>
        <v/>
      </c>
      <c r="K275">
        <f>IF(OR($H275="",$H275="N/A"),"",$J275-$I275)</f>
        <v/>
      </c>
      <c r="L275">
        <f>IF($H275="","",IF($H275="N/A","N/A",IF(VALUE($H275)&lt;=1,"Critical",IF(VALUE($H275)&lt;=2,"High",IF(VALUE($H275)&lt;=3,"Medium",IF(VALUE($H275)&lt;=4,"Low","Resilient"))))))</f>
        <v/>
      </c>
      <c r="M275" t="inlineStr">
        <is>
          <t>Does not exist; no owner, no documentation, no practice.</t>
        </is>
      </c>
      <c r="N275" t="inlineStr">
        <is>
          <t>Ad hoc; depends entirely on specific individuals.</t>
        </is>
      </c>
      <c r="O275" t="inlineStr">
        <is>
          <t>Partially documented or implemented; coverage inconsistent; never tested under stress.</t>
        </is>
      </c>
      <c r="P275" t="inlineStr">
        <is>
          <t>Documented, owned, executed consistently; basic evidence and metrics exist.</t>
        </is>
      </c>
      <c r="Q275" t="inlineStr">
        <is>
          <t>Measured and periodically tested/audited; integrated with adjacent processes.</t>
        </is>
      </c>
      <c r="R275" t="inlineStr">
        <is>
          <t>Optimized and automated where practical; stress-tested; benchmarked externally.</t>
        </is>
      </c>
      <c r="S275" t="inlineStr">
        <is>
          <t>Demand shock; Revenue loss; Reputation crisis</t>
        </is>
      </c>
      <c r="T275">
        <f>'Assessment Questions'!W275</f>
        <v/>
      </c>
      <c r="U275">
        <f>'Assessment Questions'!X275</f>
        <v/>
      </c>
      <c r="V275">
        <f>'Assessment Questions'!Y275</f>
        <v/>
      </c>
      <c r="W275" t="n">
        <v>4</v>
      </c>
      <c r="X275" t="n">
        <v>5</v>
      </c>
      <c r="Y275" t="n">
        <v>5</v>
      </c>
      <c r="Z275">
        <f>'Assessment Questions'!AC275</f>
        <v/>
      </c>
      <c r="AB275">
        <f>COUNTIF($B$257:$B$280,$AA275)</f>
        <v/>
      </c>
      <c r="AC275">
        <f>IFERROR(SUMPRODUCT(($B$257:$B$280=$AA275)*($H$257:$H$280&lt;&gt;"")*($H$257:$H$280&lt;&gt;"N/A")*IFERROR(VALUE($H$257:$H$280),0))/SUMPRODUCT(($B$257:$B$280=$AA275)*($H$257:$H$280&lt;&gt;"")*($H$257:$H$280&lt;&gt;"N/A")),0)</f>
        <v/>
      </c>
      <c r="AD275">
        <f>AC275/5</f>
        <v/>
      </c>
      <c r="AE275">
        <f>COUNTIFS($B$257:$B$280,$AA275,$L$257:$L$280,"Critical")+COUNTIFS($B$257:$B$280,$AA275,$L$257:$L$280,"High")</f>
        <v/>
      </c>
      <c r="AF275">
        <f>5-AC275</f>
        <v/>
      </c>
      <c r="AG275">
        <f>SUMPRODUCT(($B$257:$B$280=$AA275)*(ISNUMBER($H$257:$H$280)+($H$257:$H$280="N/A")))</f>
        <v/>
      </c>
      <c r="AH275">
        <f>'Assessment Questions'!AK275</f>
        <v/>
      </c>
      <c r="AI275">
        <f>'Assessment Questions'!AL275</f>
        <v/>
      </c>
      <c r="AJ275">
        <f>IF(OR($H275="",$H275="N/A"),"",IF($AH275="",VLOOKUP('Company Profile'!$B$40,_CONFIG_Model_Settings!$A$5:$B$8,2,FALSE),_xlfn.IFNA(VLOOKUP($AH275,_CONFIG_Model_Settings!$A$5:$B$8,2,FALSE),0.9)))</f>
        <v/>
      </c>
      <c r="AK275">
        <f>IF(OR($H275="",$H275="N/A"),"",IF($AI275="",VLOOKUP('Company Profile'!$B$41,_CONFIG_Model_Settings!$A$5:$B$8,2,FALSE),_xlfn.IFNA(VLOOKUP($AI275,_CONFIG_Model_Settings!$A$5:$B$8,2,FALSE),0.9)))</f>
        <v/>
      </c>
      <c r="AL275">
        <f>IF(OR($H275="",$H275="N/A"),"",ROUND(VALUE($H275)*$AJ275*$AK275*$AV275,2))</f>
        <v/>
      </c>
      <c r="AM275">
        <f>IF($AL275="","",ROUND($AL275/5*100,1))</f>
        <v/>
      </c>
      <c r="AN275">
        <f>IFERROR(MIN(5,MAX(0,(SUMIFS(_REF_Model_Content!$D$1:$D$157,_REF_Model_Content!$A$1:$A$157,'Company Profile'!$B$9,_REF_Model_Content!$B$1:$B$157,"Sales CRM"))+_xlfn.IFNA(VLOOKUP('Company Profile'!$B$35,_CONFIG_Model_Settings!$A$11:$B$13,2,0),0))),"")</f>
        <v/>
      </c>
      <c r="AO275">
        <f>IF($AL275="","",MAX(0,ROUND($AN275-$AL275,2)))</f>
        <v/>
      </c>
      <c r="AP275">
        <f>IFERROR(SUMIFS(_REF_Model_Content!$E$1:$E$157,_REF_Model_Content!$A$1:$A$157,'Company Profile'!$B$9,_REF_Model_Content!$B$1:$B$157,"Sales CRM"),1)</f>
        <v/>
      </c>
      <c r="AQ275">
        <f>IF($AO275="","",ROUND($AO275*$AP275*($G275/5),2))</f>
        <v/>
      </c>
      <c r="AR275">
        <f>IF($AO275="","",IF($AO275&gt;=2,"Critical industry gap",IF($AO275&gt;=1,"High industry gap",IF($AO275&gt;=0.5,"Moderate industry gap","Within target"))))</f>
        <v/>
      </c>
      <c r="AS275">
        <f>IF(OR($H275="",$H275="N/A"),0,VALUE($H275)*(($AJ275+$AK275)/2)*$AV275)</f>
        <v/>
      </c>
      <c r="AT275">
        <f>IF(OR($H275="",$H275="N/A"),0,($AJ275+$AK275)/2)</f>
        <v/>
      </c>
      <c r="AU275">
        <f>'Assessment Questions'!AX275</f>
        <v/>
      </c>
      <c r="AV275">
        <f>IF(OR($H275="",$H275="N/A"),"",IF(OR($AU275="",$AU275="Everywhere",$AU275="Not applicable"),1,IF($AU275="Pilot / one team",0.4,IF($AU275="One unit or site",0.7,0.9))))</f>
        <v/>
      </c>
      <c r="AW275" t="inlineStr">
        <is>
          <t>Sales CRM</t>
        </is>
      </c>
      <c r="AX275" t="inlineStr">
        <is>
          <t>Sales CRM</t>
        </is>
      </c>
      <c r="AY275" t="n">
        <v>23</v>
      </c>
      <c r="AZ275" t="n">
        <v>275</v>
      </c>
    </row>
    <row r="276">
      <c r="A276" t="inlineStr">
        <is>
          <t>SALE-022</t>
        </is>
      </c>
      <c r="B276" t="inlineStr">
        <is>
          <t>Customer service</t>
        </is>
      </c>
      <c r="C276" t="inlineStr">
        <is>
          <t>How mature is the organization in managing customer service operating model with channels, coverage hours, tiers and service levels, including ownership, evidence, metrics, fallback procedures and crisis stress testing?</t>
        </is>
      </c>
      <c r="D276" t="inlineStr">
        <is>
          <t>This topic affects exposure to Demand shock; Reputation crisis; Workforce disruption. It helps identify how disruption may impact operations, people, revenue, systems, legal exposure or recovery time.</t>
        </is>
      </c>
      <c r="E276" t="inlineStr">
        <is>
          <t>APQC PCF 6.0; ITIL; ISO 10002; ISO 22301</t>
        </is>
      </c>
      <c r="F276" t="inlineStr">
        <is>
          <t>Policy/SOP; owner/RACI; system report; dashboard; contracts; test records; incident history; interview evidence related to CRM as single source of truth for accounts, contacts, opportunities, activities and forecasts.</t>
        </is>
      </c>
      <c r="G276">
        <f>'Assessment Questions'!J276</f>
        <v/>
      </c>
      <c r="H276">
        <f>IF($Z276="","",IF($Z276="N/A","N/A",VALUE(LEFT($Z276,1))))</f>
        <v/>
      </c>
      <c r="I276">
        <f>IF($H276="","",IF($H276="N/A","",VALUE($H276)/5*$G276))</f>
        <v/>
      </c>
      <c r="J276">
        <f>IF(OR($H276="",$H276="N/A"),"",$G276)</f>
        <v/>
      </c>
      <c r="K276">
        <f>IF(OR($H276="",$H276="N/A"),"",$J276-$I276)</f>
        <v/>
      </c>
      <c r="L276">
        <f>IF($H276="","",IF($H276="N/A","N/A",IF(VALUE($H276)&lt;=1,"Critical",IF(VALUE($H276)&lt;=2,"High",IF(VALUE($H276)&lt;=3,"Medium",IF(VALUE($H276)&lt;=4,"Low","Resilient"))))))</f>
        <v/>
      </c>
      <c r="M276" t="inlineStr">
        <is>
          <t>No reliable evidence that customer service operating model with channels, coverage hours, tiers and service levels is defined, owned or managed.</t>
        </is>
      </c>
      <c r="N276" t="inlineStr">
        <is>
          <t>Customer service operating model with channels, coverage hours, tiers and service levels is handled informally and depends on individual knowledge or heroic effort.</t>
        </is>
      </c>
      <c r="O276" t="inlineStr">
        <is>
          <t>Customer service operating model with channels, coverage hours, tiers and service levels is partially documented or implemented, but coverage is inconsistent and not crisis-tested.</t>
        </is>
      </c>
      <c r="P276" t="inlineStr">
        <is>
          <t>Customer service operating model with channels, coverage hours, tiers and service levels is documented, owned, used in normal operations and supported by basic evidence or metrics.</t>
        </is>
      </c>
      <c r="Q276" t="inlineStr">
        <is>
          <t>Customer service operating model with channels, coverage hours, tiers and service levels is measured, periodically reviewed, integrated with related processes and tested against relevant disruption scenarios.</t>
        </is>
      </c>
      <c r="R276" t="inlineStr">
        <is>
          <t>Customer service operating model with channels, coverage hours, tiers and service levels is optimized, continuously improved, automated where practical and demonstrably supports crisis resilience.</t>
        </is>
      </c>
      <c r="S276" t="inlineStr">
        <is>
          <t>Demand shock; Reputation crisis; Workforce disruption</t>
        </is>
      </c>
      <c r="T276">
        <f>'Assessment Questions'!W276</f>
        <v/>
      </c>
      <c r="U276">
        <f>'Assessment Questions'!X276</f>
        <v/>
      </c>
      <c r="V276">
        <f>'Assessment Questions'!Y276</f>
        <v/>
      </c>
      <c r="W276" t="n">
        <v>4</v>
      </c>
      <c r="X276" t="n">
        <v>4</v>
      </c>
      <c r="Y276" t="n">
        <v>5</v>
      </c>
      <c r="Z276">
        <f>'Assessment Questions'!AC276</f>
        <v/>
      </c>
      <c r="AB276">
        <f>COUNTIF($B$257:$B$280,$AA276)</f>
        <v/>
      </c>
      <c r="AC276">
        <f>IFERROR(SUMPRODUCT(($B$257:$B$280=$AA276)*($H$257:$H$280&lt;&gt;"")*($H$257:$H$280&lt;&gt;"N/A")*IFERROR(VALUE($H$257:$H$280),0))/SUMPRODUCT(($B$257:$B$280=$AA276)*($H$257:$H$280&lt;&gt;"")*($H$257:$H$280&lt;&gt;"N/A")),0)</f>
        <v/>
      </c>
      <c r="AD276">
        <f>AC276/5</f>
        <v/>
      </c>
      <c r="AE276">
        <f>COUNTIFS($B$257:$B$280,$AA276,$L$257:$L$280,"Critical")+COUNTIFS($B$257:$B$280,$AA276,$L$257:$L$280,"High")</f>
        <v/>
      </c>
      <c r="AF276">
        <f>5-AC276</f>
        <v/>
      </c>
      <c r="AG276">
        <f>SUMPRODUCT(($B$257:$B$280=$AA276)*(ISNUMBER($H$257:$H$280)+($H$257:$H$280="N/A")))</f>
        <v/>
      </c>
      <c r="AH276">
        <f>'Assessment Questions'!AK276</f>
        <v/>
      </c>
      <c r="AI276">
        <f>'Assessment Questions'!AL276</f>
        <v/>
      </c>
      <c r="AJ276">
        <f>IF(OR($H276="",$H276="N/A"),"",IF($AH276="",VLOOKUP('Company Profile'!$B$40,_CONFIG_Model_Settings!$A$5:$B$8,2,FALSE),_xlfn.IFNA(VLOOKUP($AH276,_CONFIG_Model_Settings!$A$5:$B$8,2,FALSE),0.9)))</f>
        <v/>
      </c>
      <c r="AK276">
        <f>IF(OR($H276="",$H276="N/A"),"",IF($AI276="",VLOOKUP('Company Profile'!$B$41,_CONFIG_Model_Settings!$A$5:$B$8,2,FALSE),_xlfn.IFNA(VLOOKUP($AI276,_CONFIG_Model_Settings!$A$5:$B$8,2,FALSE),0.9)))</f>
        <v/>
      </c>
      <c r="AL276">
        <f>IF(OR($H276="",$H276="N/A"),"",ROUND(VALUE($H276)*$AJ276*$AK276*$AV276,2))</f>
        <v/>
      </c>
      <c r="AM276">
        <f>IF($AL276="","",ROUND($AL276/5*100,1))</f>
        <v/>
      </c>
      <c r="AN276">
        <f>IFERROR(MIN(5,MAX(0,(SUMIFS(_REF_Model_Content!$D$1:$D$157,_REF_Model_Content!$A$1:$A$157,'Company Profile'!$B$9,_REF_Model_Content!$B$1:$B$157,"Sales CRM"))+_xlfn.IFNA(VLOOKUP('Company Profile'!$B$35,_CONFIG_Model_Settings!$A$11:$B$13,2,0),0))),"")</f>
        <v/>
      </c>
      <c r="AO276">
        <f>IF($AL276="","",MAX(0,ROUND($AN276-$AL276,2)))</f>
        <v/>
      </c>
      <c r="AP276">
        <f>IFERROR(SUMIFS(_REF_Model_Content!$E$1:$E$157,_REF_Model_Content!$A$1:$A$157,'Company Profile'!$B$9,_REF_Model_Content!$B$1:$B$157,"Sales CRM"),1)</f>
        <v/>
      </c>
      <c r="AQ276">
        <f>IF($AO276="","",ROUND($AO276*$AP276*($G276/5),2))</f>
        <v/>
      </c>
      <c r="AR276">
        <f>IF($AO276="","",IF($AO276&gt;=2,"Critical industry gap",IF($AO276&gt;=1,"High industry gap",IF($AO276&gt;=0.5,"Moderate industry gap","Within target"))))</f>
        <v/>
      </c>
      <c r="AS276">
        <f>IF(OR($H276="",$H276="N/A"),0,VALUE($H276)*(($AJ276+$AK276)/2)*$AV276)</f>
        <v/>
      </c>
      <c r="AT276">
        <f>IF(OR($H276="",$H276="N/A"),0,($AJ276+$AK276)/2)</f>
        <v/>
      </c>
      <c r="AU276">
        <f>'Assessment Questions'!AX276</f>
        <v/>
      </c>
      <c r="AV276">
        <f>IF(OR($H276="",$H276="N/A"),"",IF(OR($AU276="",$AU276="Everywhere",$AU276="Not applicable"),1,IF($AU276="Pilot / one team",0.4,IF($AU276="One unit or site",0.7,0.9))))</f>
        <v/>
      </c>
      <c r="AW276" t="inlineStr">
        <is>
          <t>Sales CRM</t>
        </is>
      </c>
      <c r="AX276" t="inlineStr">
        <is>
          <t>Sales CRM</t>
        </is>
      </c>
      <c r="AY276" t="n">
        <v>24</v>
      </c>
      <c r="AZ276" t="n">
        <v>276</v>
      </c>
    </row>
    <row r="277">
      <c r="A277" t="inlineStr">
        <is>
          <t>SALE-023</t>
        </is>
      </c>
      <c r="B277" t="inlineStr">
        <is>
          <t>Customer service</t>
        </is>
      </c>
      <c r="C277" t="inlineStr">
        <is>
          <t>How mature is the organization in managing case and ticket management with logging, categorization, prioritization, escalation and backlog control, including ownership, evidence, metrics, fallback procedures and crisis stress testing?</t>
        </is>
      </c>
      <c r="D277" t="inlineStr">
        <is>
          <t>This topic affects exposure to Demand shock; Reputation crisis; Cyberattack/ransomware. It helps identify how disruption may impact operations, people, revenue, systems, legal exposure or recovery time.</t>
        </is>
      </c>
      <c r="E277" t="inlineStr">
        <is>
          <t>APQC PCF 6.2; ITIL; ISO 10002</t>
        </is>
      </c>
      <c r="F277" t="inlineStr">
        <is>
          <t>Policy/SOP; owner/RACI; system report; dashboard; contracts; test records; incident history; interview evidence related to CRM as single source of truth for accounts, contacts, opportunities, activities and forecasts.</t>
        </is>
      </c>
      <c r="G277">
        <f>'Assessment Questions'!J277</f>
        <v/>
      </c>
      <c r="H277">
        <f>IF($Z277="","",IF($Z277="N/A","N/A",VALUE(LEFT($Z277,1))))</f>
        <v/>
      </c>
      <c r="I277">
        <f>IF($H277="","",IF($H277="N/A","",VALUE($H277)/5*$G277))</f>
        <v/>
      </c>
      <c r="J277">
        <f>IF(OR($H277="",$H277="N/A"),"",$G277)</f>
        <v/>
      </c>
      <c r="K277">
        <f>IF(OR($H277="",$H277="N/A"),"",$J277-$I277)</f>
        <v/>
      </c>
      <c r="L277">
        <f>IF($H277="","",IF($H277="N/A","N/A",IF(VALUE($H277)&lt;=1,"Critical",IF(VALUE($H277)&lt;=2,"High",IF(VALUE($H277)&lt;=3,"Medium",IF(VALUE($H277)&lt;=4,"Low","Resilient"))))))</f>
        <v/>
      </c>
      <c r="M277" t="inlineStr">
        <is>
          <t>No reliable evidence that case and ticket management with logging, categorization, prioritization, escalation and backlog control is defined, owned or managed.</t>
        </is>
      </c>
      <c r="N277" t="inlineStr">
        <is>
          <t>Case and ticket management with logging, categorization, prioritization, escalation and backlog control is handled informally and depends on individual knowledge or heroic effort.</t>
        </is>
      </c>
      <c r="O277" t="inlineStr">
        <is>
          <t>Case and ticket management with logging, categorization, prioritization, escalation and backlog control is partially documented or implemented, but coverage is inconsistent and not crisis-tested.</t>
        </is>
      </c>
      <c r="P277" t="inlineStr">
        <is>
          <t>Case and ticket management with logging, categorization, prioritization, escalation and backlog control is documented, owned, used in normal operations and supported by basic evidence or metrics.</t>
        </is>
      </c>
      <c r="Q277" t="inlineStr">
        <is>
          <t>Case and ticket management with logging, categorization, prioritization, escalation and backlog control is measured, periodically reviewed, integrated with related processes and tested against relevant disruption scenarios.</t>
        </is>
      </c>
      <c r="R277" t="inlineStr">
        <is>
          <t>Case and ticket management with logging, categorization, prioritization, escalation and backlog control is optimized, continuously improved, automated where practical and demonstrably supports crisis resilience.</t>
        </is>
      </c>
      <c r="S277" t="inlineStr">
        <is>
          <t>Demand shock; Reputation crisis; Cyberattack/ransomware</t>
        </is>
      </c>
      <c r="T277">
        <f>'Assessment Questions'!W277</f>
        <v/>
      </c>
      <c r="U277">
        <f>'Assessment Questions'!X277</f>
        <v/>
      </c>
      <c r="V277">
        <f>'Assessment Questions'!Y277</f>
        <v/>
      </c>
      <c r="W277" t="n">
        <v>5</v>
      </c>
      <c r="X277" t="n">
        <v>4</v>
      </c>
      <c r="Y277" t="n">
        <v>5</v>
      </c>
      <c r="Z277">
        <f>'Assessment Questions'!AC277</f>
        <v/>
      </c>
      <c r="AB277">
        <f>COUNTIF($B$257:$B$280,$AA277)</f>
        <v/>
      </c>
      <c r="AC277">
        <f>IFERROR(SUMPRODUCT(($B$257:$B$280=$AA277)*($H$257:$H$280&lt;&gt;"")*($H$257:$H$280&lt;&gt;"N/A")*IFERROR(VALUE($H$257:$H$280),0))/SUMPRODUCT(($B$257:$B$280=$AA277)*($H$257:$H$280&lt;&gt;"")*($H$257:$H$280&lt;&gt;"N/A")),0)</f>
        <v/>
      </c>
      <c r="AD277">
        <f>AC277/5</f>
        <v/>
      </c>
      <c r="AE277">
        <f>COUNTIFS($B$257:$B$280,$AA277,$L$257:$L$280,"Critical")+COUNTIFS($B$257:$B$280,$AA277,$L$257:$L$280,"High")</f>
        <v/>
      </c>
      <c r="AF277">
        <f>5-AC277</f>
        <v/>
      </c>
      <c r="AG277">
        <f>SUMPRODUCT(($B$257:$B$280=$AA277)*(ISNUMBER($H$257:$H$280)+($H$257:$H$280="N/A")))</f>
        <v/>
      </c>
      <c r="AH277">
        <f>'Assessment Questions'!AK277</f>
        <v/>
      </c>
      <c r="AI277">
        <f>'Assessment Questions'!AL277</f>
        <v/>
      </c>
      <c r="AJ277">
        <f>IF(OR($H277="",$H277="N/A"),"",IF($AH277="",VLOOKUP('Company Profile'!$B$40,_CONFIG_Model_Settings!$A$5:$B$8,2,FALSE),_xlfn.IFNA(VLOOKUP($AH277,_CONFIG_Model_Settings!$A$5:$B$8,2,FALSE),0.9)))</f>
        <v/>
      </c>
      <c r="AK277">
        <f>IF(OR($H277="",$H277="N/A"),"",IF($AI277="",VLOOKUP('Company Profile'!$B$41,_CONFIG_Model_Settings!$A$5:$B$8,2,FALSE),_xlfn.IFNA(VLOOKUP($AI277,_CONFIG_Model_Settings!$A$5:$B$8,2,FALSE),0.9)))</f>
        <v/>
      </c>
      <c r="AL277">
        <f>IF(OR($H277="",$H277="N/A"),"",ROUND(VALUE($H277)*$AJ277*$AK277*$AV277,2))</f>
        <v/>
      </c>
      <c r="AM277">
        <f>IF($AL277="","",ROUND($AL277/5*100,1))</f>
        <v/>
      </c>
      <c r="AN277">
        <f>IFERROR(MIN(5,MAX(0,(SUMIFS(_REF_Model_Content!$D$1:$D$157,_REF_Model_Content!$A$1:$A$157,'Company Profile'!$B$9,_REF_Model_Content!$B$1:$B$157,"Sales CRM"))+_xlfn.IFNA(VLOOKUP('Company Profile'!$B$35,_CONFIG_Model_Settings!$A$11:$B$13,2,0),0))),"")</f>
        <v/>
      </c>
      <c r="AO277">
        <f>IF($AL277="","",MAX(0,ROUND($AN277-$AL277,2)))</f>
        <v/>
      </c>
      <c r="AP277">
        <f>IFERROR(SUMIFS(_REF_Model_Content!$E$1:$E$157,_REF_Model_Content!$A$1:$A$157,'Company Profile'!$B$9,_REF_Model_Content!$B$1:$B$157,"Sales CRM"),1)</f>
        <v/>
      </c>
      <c r="AQ277">
        <f>IF($AO277="","",ROUND($AO277*$AP277*($G277/5),2))</f>
        <v/>
      </c>
      <c r="AR277">
        <f>IF($AO277="","",IF($AO277&gt;=2,"Critical industry gap",IF($AO277&gt;=1,"High industry gap",IF($AO277&gt;=0.5,"Moderate industry gap","Within target"))))</f>
        <v/>
      </c>
      <c r="AS277">
        <f>IF(OR($H277="",$H277="N/A"),0,VALUE($H277)*(($AJ277+$AK277)/2)*$AV277)</f>
        <v/>
      </c>
      <c r="AT277">
        <f>IF(OR($H277="",$H277="N/A"),0,($AJ277+$AK277)/2)</f>
        <v/>
      </c>
      <c r="AU277">
        <f>'Assessment Questions'!AX277</f>
        <v/>
      </c>
      <c r="AV277">
        <f>IF(OR($H277="",$H277="N/A"),"",IF(OR($AU277="",$AU277="Everywhere",$AU277="Not applicable"),1,IF($AU277="Pilot / one team",0.4,IF($AU277="One unit or site",0.7,0.9))))</f>
        <v/>
      </c>
      <c r="AW277" t="inlineStr">
        <is>
          <t>Sales CRM</t>
        </is>
      </c>
      <c r="AX277" t="inlineStr">
        <is>
          <t>Sales CRM</t>
        </is>
      </c>
      <c r="AY277" t="n">
        <v>25</v>
      </c>
      <c r="AZ277" t="n">
        <v>277</v>
      </c>
    </row>
    <row r="278">
      <c r="A278" t="inlineStr">
        <is>
          <t>SALE-024</t>
        </is>
      </c>
      <c r="B278" t="inlineStr">
        <is>
          <t>Customer service</t>
        </is>
      </c>
      <c r="C278" t="inlineStr">
        <is>
          <t>How mature is the organization in managing customer service continuity with surge handling, channel failover and after-hours emergency coverage, including ownership, evidence, metrics, fallback procedures and crisis stress testing?</t>
        </is>
      </c>
      <c r="D278" t="inlineStr">
        <is>
          <t>This topic affects exposure to Demand shock; Workforce disruption; Cloud/SaaS outage. It helps identify how disruption may impact operations, people, revenue, systems, legal exposure or recovery time.</t>
        </is>
      </c>
      <c r="E278" t="inlineStr">
        <is>
          <t>ISO 22301; ITIL; APQC PCF 6.0</t>
        </is>
      </c>
      <c r="F278" t="inlineStr">
        <is>
          <t>Policy/SOP; owner/RACI; system report; dashboard; contracts; test records; incident history; interview evidence related to CRM as single source of truth for accounts, contacts, opportunities, activities and forecasts.</t>
        </is>
      </c>
      <c r="G278">
        <f>'Assessment Questions'!J278</f>
        <v/>
      </c>
      <c r="H278">
        <f>IF($Z278="","",IF($Z278="N/A","N/A",VALUE(LEFT($Z278,1))))</f>
        <v/>
      </c>
      <c r="I278">
        <f>IF($H278="","",IF($H278="N/A","",VALUE($H278)/5*$G278))</f>
        <v/>
      </c>
      <c r="J278">
        <f>IF(OR($H278="",$H278="N/A"),"",$G278)</f>
        <v/>
      </c>
      <c r="K278">
        <f>IF(OR($H278="",$H278="N/A"),"",$J278-$I278)</f>
        <v/>
      </c>
      <c r="L278">
        <f>IF($H278="","",IF($H278="N/A","N/A",IF(VALUE($H278)&lt;=1,"Critical",IF(VALUE($H278)&lt;=2,"High",IF(VALUE($H278)&lt;=3,"Medium",IF(VALUE($H278)&lt;=4,"Low","Resilient"))))))</f>
        <v/>
      </c>
      <c r="M278" t="inlineStr">
        <is>
          <t>Does not exist; no owner, no documentation, no practice.</t>
        </is>
      </c>
      <c r="N278" t="inlineStr">
        <is>
          <t>Ad hoc; depends entirely on specific individuals.</t>
        </is>
      </c>
      <c r="O278" t="inlineStr">
        <is>
          <t>Partially documented or implemented; coverage inconsistent; never tested under stress.</t>
        </is>
      </c>
      <c r="P278" t="inlineStr">
        <is>
          <t>Documented, owned, executed consistently; basic evidence and metrics exist.</t>
        </is>
      </c>
      <c r="Q278" t="inlineStr">
        <is>
          <t>Measured and periodically tested/audited; integrated with adjacent processes.</t>
        </is>
      </c>
      <c r="R278" t="inlineStr">
        <is>
          <t>Optimized and automated where practical; stress-tested; benchmarked externally.</t>
        </is>
      </c>
      <c r="S278" t="inlineStr">
        <is>
          <t>Demand shock; Workforce disruption; Cloud/SaaS outage</t>
        </is>
      </c>
      <c r="T278">
        <f>'Assessment Questions'!W278</f>
        <v/>
      </c>
      <c r="U278">
        <f>'Assessment Questions'!X278</f>
        <v/>
      </c>
      <c r="V278">
        <f>'Assessment Questions'!Y278</f>
        <v/>
      </c>
      <c r="W278" t="n">
        <v>4</v>
      </c>
      <c r="X278" t="n">
        <v>5</v>
      </c>
      <c r="Y278" t="n">
        <v>4</v>
      </c>
      <c r="Z278">
        <f>'Assessment Questions'!AC278</f>
        <v/>
      </c>
      <c r="AB278">
        <f>COUNTIF($B$257:$B$280,$AA278)</f>
        <v/>
      </c>
      <c r="AC278">
        <f>IFERROR(SUMPRODUCT(($B$257:$B$280=$AA278)*($H$257:$H$280&lt;&gt;"")*($H$257:$H$280&lt;&gt;"N/A")*IFERROR(VALUE($H$257:$H$280),0))/SUMPRODUCT(($B$257:$B$280=$AA278)*($H$257:$H$280&lt;&gt;"")*($H$257:$H$280&lt;&gt;"N/A")),0)</f>
        <v/>
      </c>
      <c r="AD278">
        <f>AC278/5</f>
        <v/>
      </c>
      <c r="AE278">
        <f>COUNTIFS($B$257:$B$280,$AA278,$L$257:$L$280,"Critical")+COUNTIFS($B$257:$B$280,$AA278,$L$257:$L$280,"High")</f>
        <v/>
      </c>
      <c r="AF278">
        <f>5-AC278</f>
        <v/>
      </c>
      <c r="AG278">
        <f>SUMPRODUCT(($B$257:$B$280=$AA278)*(ISNUMBER($H$257:$H$280)+($H$257:$H$280="N/A")))</f>
        <v/>
      </c>
      <c r="AH278">
        <f>'Assessment Questions'!AK278</f>
        <v/>
      </c>
      <c r="AI278">
        <f>'Assessment Questions'!AL278</f>
        <v/>
      </c>
      <c r="AJ278">
        <f>IF(OR($H278="",$H278="N/A"),"",IF($AH278="",VLOOKUP('Company Profile'!$B$40,_CONFIG_Model_Settings!$A$5:$B$8,2,FALSE),_xlfn.IFNA(VLOOKUP($AH278,_CONFIG_Model_Settings!$A$5:$B$8,2,FALSE),0.9)))</f>
        <v/>
      </c>
      <c r="AK278">
        <f>IF(OR($H278="",$H278="N/A"),"",IF($AI278="",VLOOKUP('Company Profile'!$B$41,_CONFIG_Model_Settings!$A$5:$B$8,2,FALSE),_xlfn.IFNA(VLOOKUP($AI278,_CONFIG_Model_Settings!$A$5:$B$8,2,FALSE),0.9)))</f>
        <v/>
      </c>
      <c r="AL278">
        <f>IF(OR($H278="",$H278="N/A"),"",ROUND(VALUE($H278)*$AJ278*$AK278*$AV278,2))</f>
        <v/>
      </c>
      <c r="AM278">
        <f>IF($AL278="","",ROUND($AL278/5*100,1))</f>
        <v/>
      </c>
      <c r="AN278">
        <f>IFERROR(MIN(5,MAX(0,(SUMIFS(_REF_Model_Content!$D$1:$D$157,_REF_Model_Content!$A$1:$A$157,'Company Profile'!$B$9,_REF_Model_Content!$B$1:$B$157,"Sales CRM"))+_xlfn.IFNA(VLOOKUP('Company Profile'!$B$35,_CONFIG_Model_Settings!$A$11:$B$13,2,0),0))),"")</f>
        <v/>
      </c>
      <c r="AO278">
        <f>IF($AL278="","",MAX(0,ROUND($AN278-$AL278,2)))</f>
        <v/>
      </c>
      <c r="AP278">
        <f>IFERROR(SUMIFS(_REF_Model_Content!$E$1:$E$157,_REF_Model_Content!$A$1:$A$157,'Company Profile'!$B$9,_REF_Model_Content!$B$1:$B$157,"Sales CRM"),1)</f>
        <v/>
      </c>
      <c r="AQ278">
        <f>IF($AO278="","",ROUND($AO278*$AP278*($G278/5),2))</f>
        <v/>
      </c>
      <c r="AR278">
        <f>IF($AO278="","",IF($AO278&gt;=2,"Critical industry gap",IF($AO278&gt;=1,"High industry gap",IF($AO278&gt;=0.5,"Moderate industry gap","Within target"))))</f>
        <v/>
      </c>
      <c r="AS278">
        <f>IF(OR($H278="",$H278="N/A"),0,VALUE($H278)*(($AJ278+$AK278)/2)*$AV278)</f>
        <v/>
      </c>
      <c r="AT278">
        <f>IF(OR($H278="",$H278="N/A"),0,($AJ278+$AK278)/2)</f>
        <v/>
      </c>
      <c r="AU278">
        <f>'Assessment Questions'!AX278</f>
        <v/>
      </c>
      <c r="AV278">
        <f>IF(OR($H278="",$H278="N/A"),"",IF(OR($AU278="",$AU278="Everywhere",$AU278="Not applicable"),1,IF($AU278="Pilot / one team",0.4,IF($AU278="One unit or site",0.7,0.9))))</f>
        <v/>
      </c>
      <c r="AW278" t="inlineStr">
        <is>
          <t>Sales CRM</t>
        </is>
      </c>
      <c r="AX278" t="inlineStr">
        <is>
          <t>Sales CRM</t>
        </is>
      </c>
      <c r="AY278" t="n">
        <v>26</v>
      </c>
      <c r="AZ278" t="n">
        <v>278</v>
      </c>
    </row>
    <row r="279">
      <c r="A279" t="inlineStr">
        <is>
          <t>SALE-025</t>
        </is>
      </c>
      <c r="B279" t="inlineStr">
        <is>
          <t>Customer service</t>
        </is>
      </c>
      <c r="C279" t="inlineStr">
        <is>
          <t>How mature is the organization in managing voice-of-customer loop converting complaints and feedback into product and process improvements, including ownership, evidence, metrics, fallback procedures and crisis stress testing?</t>
        </is>
      </c>
      <c r="D279" t="inlineStr">
        <is>
          <t>This topic affects exposure to Reputation crisis; Demand shock. It helps identify how disruption may impact operations, people, revenue, systems, legal exposure or recovery time.</t>
        </is>
      </c>
      <c r="E279" t="inlineStr">
        <is>
          <t>ISO 10002; ISO 10004; APQC PCF 6.3</t>
        </is>
      </c>
      <c r="F279" t="inlineStr">
        <is>
          <t>Policy/SOP; owner/RACI; system report; dashboard; contracts; test records; incident history; interview evidence related to CRM as single source of truth for accounts, contacts, opportunities, activities and forecasts.</t>
        </is>
      </c>
      <c r="G279">
        <f>'Assessment Questions'!J279</f>
        <v/>
      </c>
      <c r="H279">
        <f>IF($Z279="","",IF($Z279="N/A","N/A",VALUE(LEFT($Z279,1))))</f>
        <v/>
      </c>
      <c r="I279">
        <f>IF($H279="","",IF($H279="N/A","",VALUE($H279)/5*$G279))</f>
        <v/>
      </c>
      <c r="J279">
        <f>IF(OR($H279="",$H279="N/A"),"",$G279)</f>
        <v/>
      </c>
      <c r="K279">
        <f>IF(OR($H279="",$H279="N/A"),"",$J279-$I279)</f>
        <v/>
      </c>
      <c r="L279">
        <f>IF($H279="","",IF($H279="N/A","N/A",IF(VALUE($H279)&lt;=1,"Critical",IF(VALUE($H279)&lt;=2,"High",IF(VALUE($H279)&lt;=3,"Medium",IF(VALUE($H279)&lt;=4,"Low","Resilient"))))))</f>
        <v/>
      </c>
      <c r="M279" t="inlineStr">
        <is>
          <t>No reliable evidence that voice-of-customer loop converting complaints and feedback into product and process improvements is defined, owned or managed.</t>
        </is>
      </c>
      <c r="N279" t="inlineStr">
        <is>
          <t>Voice-of-customer loop converting complaints and feedback into product and process improvements is handled informally and depends on individual knowledge or heroic effort.</t>
        </is>
      </c>
      <c r="O279" t="inlineStr">
        <is>
          <t>Voice-of-customer loop converting complaints and feedback into product and process improvements is partially documented or implemented, but coverage is inconsistent and not crisis-tested.</t>
        </is>
      </c>
      <c r="P279" t="inlineStr">
        <is>
          <t>Voice-of-customer loop converting complaints and feedback into product and process improvements is documented, owned, used in normal operations and supported by basic evidence or metrics.</t>
        </is>
      </c>
      <c r="Q279" t="inlineStr">
        <is>
          <t>Voice-of-customer loop converting complaints and feedback into product and process improvements is measured, periodically reviewed, integrated with related processes and tested against relevant disruption scenarios.</t>
        </is>
      </c>
      <c r="R279" t="inlineStr">
        <is>
          <t>Voice-of-customer loop converting complaints and feedback into product and process improvements is optimized, continuously improved, automated where practical and demonstrably supports crisis resilience.</t>
        </is>
      </c>
      <c r="S279" t="inlineStr">
        <is>
          <t>Reputation crisis; Demand shock</t>
        </is>
      </c>
      <c r="T279">
        <f>'Assessment Questions'!W279</f>
        <v/>
      </c>
      <c r="U279">
        <f>'Assessment Questions'!X279</f>
        <v/>
      </c>
      <c r="V279">
        <f>'Assessment Questions'!Y279</f>
        <v/>
      </c>
      <c r="W279" t="n">
        <v>3</v>
      </c>
      <c r="X279" t="n">
        <v>3</v>
      </c>
      <c r="Y279" t="n">
        <v>5</v>
      </c>
      <c r="Z279">
        <f>'Assessment Questions'!AC279</f>
        <v/>
      </c>
      <c r="AB279">
        <f>COUNTIF($B$257:$B$280,$AA279)</f>
        <v/>
      </c>
      <c r="AC279">
        <f>IFERROR(SUMPRODUCT(($B$257:$B$280=$AA279)*($H$257:$H$280&lt;&gt;"")*($H$257:$H$280&lt;&gt;"N/A")*IFERROR(VALUE($H$257:$H$280),0))/SUMPRODUCT(($B$257:$B$280=$AA279)*($H$257:$H$280&lt;&gt;"")*($H$257:$H$280&lt;&gt;"N/A")),0)</f>
        <v/>
      </c>
      <c r="AD279">
        <f>AC279/5</f>
        <v/>
      </c>
      <c r="AE279">
        <f>COUNTIFS($B$257:$B$280,$AA279,$L$257:$L$280,"Critical")+COUNTIFS($B$257:$B$280,$AA279,$L$257:$L$280,"High")</f>
        <v/>
      </c>
      <c r="AF279">
        <f>5-AC279</f>
        <v/>
      </c>
      <c r="AG279">
        <f>SUMPRODUCT(($B$257:$B$280=$AA279)*(ISNUMBER($H$257:$H$280)+($H$257:$H$280="N/A")))</f>
        <v/>
      </c>
      <c r="AH279">
        <f>'Assessment Questions'!AK279</f>
        <v/>
      </c>
      <c r="AI279">
        <f>'Assessment Questions'!AL279</f>
        <v/>
      </c>
      <c r="AJ279">
        <f>IF(OR($H279="",$H279="N/A"),"",IF($AH279="",VLOOKUP('Company Profile'!$B$40,_CONFIG_Model_Settings!$A$5:$B$8,2,FALSE),_xlfn.IFNA(VLOOKUP($AH279,_CONFIG_Model_Settings!$A$5:$B$8,2,FALSE),0.9)))</f>
        <v/>
      </c>
      <c r="AK279">
        <f>IF(OR($H279="",$H279="N/A"),"",IF($AI279="",VLOOKUP('Company Profile'!$B$41,_CONFIG_Model_Settings!$A$5:$B$8,2,FALSE),_xlfn.IFNA(VLOOKUP($AI279,_CONFIG_Model_Settings!$A$5:$B$8,2,FALSE),0.9)))</f>
        <v/>
      </c>
      <c r="AL279">
        <f>IF(OR($H279="",$H279="N/A"),"",ROUND(VALUE($H279)*$AJ279*$AK279*$AV279,2))</f>
        <v/>
      </c>
      <c r="AM279">
        <f>IF($AL279="","",ROUND($AL279/5*100,1))</f>
        <v/>
      </c>
      <c r="AN279">
        <f>IFERROR(MIN(5,MAX(0,(SUMIFS(_REF_Model_Content!$D$1:$D$157,_REF_Model_Content!$A$1:$A$157,'Company Profile'!$B$9,_REF_Model_Content!$B$1:$B$157,"Sales CRM"))+_xlfn.IFNA(VLOOKUP('Company Profile'!$B$35,_CONFIG_Model_Settings!$A$11:$B$13,2,0),0))),"")</f>
        <v/>
      </c>
      <c r="AO279">
        <f>IF($AL279="","",MAX(0,ROUND($AN279-$AL279,2)))</f>
        <v/>
      </c>
      <c r="AP279">
        <f>IFERROR(SUMIFS(_REF_Model_Content!$E$1:$E$157,_REF_Model_Content!$A$1:$A$157,'Company Profile'!$B$9,_REF_Model_Content!$B$1:$B$157,"Sales CRM"),1)</f>
        <v/>
      </c>
      <c r="AQ279">
        <f>IF($AO279="","",ROUND($AO279*$AP279*($G279/5),2))</f>
        <v/>
      </c>
      <c r="AR279">
        <f>IF($AO279="","",IF($AO279&gt;=2,"Critical industry gap",IF($AO279&gt;=1,"High industry gap",IF($AO279&gt;=0.5,"Moderate industry gap","Within target"))))</f>
        <v/>
      </c>
      <c r="AS279">
        <f>IF(OR($H279="",$H279="N/A"),0,VALUE($H279)*(($AJ279+$AK279)/2)*$AV279)</f>
        <v/>
      </c>
      <c r="AT279">
        <f>IF(OR($H279="",$H279="N/A"),0,($AJ279+$AK279)/2)</f>
        <v/>
      </c>
      <c r="AU279">
        <f>'Assessment Questions'!AX279</f>
        <v/>
      </c>
      <c r="AV279">
        <f>IF(OR($H279="",$H279="N/A"),"",IF(OR($AU279="",$AU279="Everywhere",$AU279="Not applicable"),1,IF($AU279="Pilot / one team",0.4,IF($AU279="One unit or site",0.7,0.9))))</f>
        <v/>
      </c>
      <c r="AW279" t="inlineStr">
        <is>
          <t>Sales CRM</t>
        </is>
      </c>
      <c r="AX279" t="inlineStr">
        <is>
          <t>Sales CRM</t>
        </is>
      </c>
      <c r="AY279" t="n">
        <v>27</v>
      </c>
      <c r="AZ279" t="n">
        <v>279</v>
      </c>
    </row>
    <row r="280">
      <c r="A280" t="inlineStr">
        <is>
          <t>SALE-026</t>
        </is>
      </c>
      <c r="B280" t="inlineStr">
        <is>
          <t>Customer service</t>
        </is>
      </c>
      <c r="C280" t="inlineStr">
        <is>
          <t>How mature is the organization in managing systematic customer perception measurement with NPS or CSAT trends, segmentation and follow-up actions, including ownership, evidence, metrics, fallback procedures and crisis stress testing?</t>
        </is>
      </c>
      <c r="D280" t="inlineStr">
        <is>
          <t>This topic affects exposure to Reputation crisis; Demand shock; Key customer loss. It helps identify how disruption may impact operations, people, revenue, systems, legal exposure or recovery time.</t>
        </is>
      </c>
      <c r="E280" t="inlineStr">
        <is>
          <t>ISO 10004; EFQM 2025 Results; APQC PCF 3.0</t>
        </is>
      </c>
      <c r="F280" t="inlineStr">
        <is>
          <t>Policy/SOP; owner/RACI; system report; dashboard; contracts; test records; incident history; interview evidence related to CRM as single source of truth for accounts, contacts, opportunities, activities and forecasts.</t>
        </is>
      </c>
      <c r="G280">
        <f>'Assessment Questions'!J280</f>
        <v/>
      </c>
      <c r="H280">
        <f>IF($Z280="","",IF($Z280="N/A","N/A",VALUE(LEFT($Z280,1))))</f>
        <v/>
      </c>
      <c r="I280">
        <f>IF($H280="","",IF($H280="N/A","",VALUE($H280)/5*$G280))</f>
        <v/>
      </c>
      <c r="J280">
        <f>IF(OR($H280="",$H280="N/A"),"",$G280)</f>
        <v/>
      </c>
      <c r="K280">
        <f>IF(OR($H280="",$H280="N/A"),"",$J280-$I280)</f>
        <v/>
      </c>
      <c r="L280">
        <f>IF($H280="","",IF($H280="N/A","N/A",IF(VALUE($H280)&lt;=1,"Critical",IF(VALUE($H280)&lt;=2,"High",IF(VALUE($H280)&lt;=3,"Medium",IF(VALUE($H280)&lt;=4,"Low","Resilient"))))))</f>
        <v/>
      </c>
      <c r="M280" t="inlineStr">
        <is>
          <t>No reliable evidence that systematic customer perception measurement with NPS or CSAT trends, segmentation and follow-up actions is defined, owned or managed.</t>
        </is>
      </c>
      <c r="N280" t="inlineStr">
        <is>
          <t>Systematic customer perception measurement with NPS or CSAT trends, segmentation and follow-up actions is handled informally and depends on individual knowledge or heroic effort.</t>
        </is>
      </c>
      <c r="O280" t="inlineStr">
        <is>
          <t>Systematic customer perception measurement with NPS or CSAT trends, segmentation and follow-up actions is partially documented or implemented, but coverage is inconsistent and not crisis-tested.</t>
        </is>
      </c>
      <c r="P280" t="inlineStr">
        <is>
          <t>Systematic customer perception measurement with NPS or CSAT trends, segmentation and follow-up actions is documented, owned, used in normal operations and supported by basic evidence or metrics.</t>
        </is>
      </c>
      <c r="Q280" t="inlineStr">
        <is>
          <t>Systematic customer perception measurement with NPS or CSAT trends, segmentation and follow-up actions is measured, periodically reviewed, integrated with related processes and tested against relevant disruption scenarios.</t>
        </is>
      </c>
      <c r="R280" t="inlineStr">
        <is>
          <t>Systematic customer perception measurement with NPS or CSAT trends, segmentation and follow-up actions is optimized, continuously improved, automated where practical and demonstrably supports crisis resilience.</t>
        </is>
      </c>
      <c r="S280" t="inlineStr">
        <is>
          <t>Reputation crisis; Demand shock; Key customer loss</t>
        </is>
      </c>
      <c r="T280">
        <f>'Assessment Questions'!W280</f>
        <v/>
      </c>
      <c r="U280">
        <f>'Assessment Questions'!X280</f>
        <v/>
      </c>
      <c r="V280">
        <f>'Assessment Questions'!Y280</f>
        <v/>
      </c>
      <c r="W280" t="n">
        <v>4</v>
      </c>
      <c r="X280" t="n">
        <v>3</v>
      </c>
      <c r="Y280" t="n">
        <v>4</v>
      </c>
      <c r="Z280">
        <f>'Assessment Questions'!AC280</f>
        <v/>
      </c>
      <c r="AB280">
        <f>COUNTIF($B$257:$B$280,$AA280)</f>
        <v/>
      </c>
      <c r="AC280">
        <f>IFERROR(SUMPRODUCT(($B$257:$B$280=$AA280)*($H$257:$H$280&lt;&gt;"")*($H$257:$H$280&lt;&gt;"N/A")*IFERROR(VALUE($H$257:$H$280),0))/SUMPRODUCT(($B$257:$B$280=$AA280)*($H$257:$H$280&lt;&gt;"")*($H$257:$H$280&lt;&gt;"N/A")),0)</f>
        <v/>
      </c>
      <c r="AD280">
        <f>AC280/5</f>
        <v/>
      </c>
      <c r="AE280">
        <f>COUNTIFS($B$257:$B$280,$AA280,$L$257:$L$280,"Critical")+COUNTIFS($B$257:$B$280,$AA280,$L$257:$L$280,"High")</f>
        <v/>
      </c>
      <c r="AF280">
        <f>5-AC280</f>
        <v/>
      </c>
      <c r="AG280">
        <f>SUMPRODUCT(($B$257:$B$280=$AA280)*(ISNUMBER($H$257:$H$280)+($H$257:$H$280="N/A")))</f>
        <v/>
      </c>
      <c r="AH280">
        <f>'Assessment Questions'!AK280</f>
        <v/>
      </c>
      <c r="AI280">
        <f>'Assessment Questions'!AL280</f>
        <v/>
      </c>
      <c r="AJ280">
        <f>IF(OR($H280="",$H280="N/A"),"",IF($AH280="",VLOOKUP('Company Profile'!$B$40,_CONFIG_Model_Settings!$A$5:$B$8,2,FALSE),_xlfn.IFNA(VLOOKUP($AH280,_CONFIG_Model_Settings!$A$5:$B$8,2,FALSE),0.9)))</f>
        <v/>
      </c>
      <c r="AK280">
        <f>IF(OR($H280="",$H280="N/A"),"",IF($AI280="",VLOOKUP('Company Profile'!$B$41,_CONFIG_Model_Settings!$A$5:$B$8,2,FALSE),_xlfn.IFNA(VLOOKUP($AI280,_CONFIG_Model_Settings!$A$5:$B$8,2,FALSE),0.9)))</f>
        <v/>
      </c>
      <c r="AL280">
        <f>IF(OR($H280="",$H280="N/A"),"",ROUND(VALUE($H280)*$AJ280*$AK280*$AV280,2))</f>
        <v/>
      </c>
      <c r="AM280">
        <f>IF($AL280="","",ROUND($AL280/5*100,1))</f>
        <v/>
      </c>
      <c r="AN280">
        <f>IFERROR(MIN(5,MAX(0,(SUMIFS(_REF_Model_Content!$D$1:$D$157,_REF_Model_Content!$A$1:$A$157,'Company Profile'!$B$9,_REF_Model_Content!$B$1:$B$157,"Sales CRM"))+_xlfn.IFNA(VLOOKUP('Company Profile'!$B$35,_CONFIG_Model_Settings!$A$11:$B$13,2,0),0))),"")</f>
        <v/>
      </c>
      <c r="AO280">
        <f>IF($AL280="","",MAX(0,ROUND($AN280-$AL280,2)))</f>
        <v/>
      </c>
      <c r="AP280">
        <f>IFERROR(SUMIFS(_REF_Model_Content!$E$1:$E$157,_REF_Model_Content!$A$1:$A$157,'Company Profile'!$B$9,_REF_Model_Content!$B$1:$B$157,"Sales CRM"),1)</f>
        <v/>
      </c>
      <c r="AQ280">
        <f>IF($AO280="","",ROUND($AO280*$AP280*($G280/5),2))</f>
        <v/>
      </c>
      <c r="AR280">
        <f>IF($AO280="","",IF($AO280&gt;=2,"Critical industry gap",IF($AO280&gt;=1,"High industry gap",IF($AO280&gt;=0.5,"Moderate industry gap","Within target"))))</f>
        <v/>
      </c>
      <c r="AS280">
        <f>IF(OR($H280="",$H280="N/A"),0,VALUE($H280)*(($AJ280+$AK280)/2)*$AV280)</f>
        <v/>
      </c>
      <c r="AT280">
        <f>IF(OR($H280="",$H280="N/A"),0,($AJ280+$AK280)/2)</f>
        <v/>
      </c>
      <c r="AU280">
        <f>'Assessment Questions'!AX280</f>
        <v/>
      </c>
      <c r="AV280">
        <f>IF(OR($H280="",$H280="N/A"),"",IF(OR($AU280="",$AU280="Everywhere",$AU280="Not applicable"),1,IF($AU280="Pilot / one team",0.4,IF($AU280="One unit or site",0.7,0.9))))</f>
        <v/>
      </c>
      <c r="AW280" t="inlineStr">
        <is>
          <t>Sales CRM</t>
        </is>
      </c>
      <c r="AX280" t="inlineStr">
        <is>
          <t>Sales CRM</t>
        </is>
      </c>
      <c r="AY280" t="n">
        <v>28</v>
      </c>
      <c r="AZ280" t="n">
        <v>280</v>
      </c>
    </row>
    <row r="281">
      <c r="A281" t="inlineStr">
        <is>
          <t>MARK-001</t>
        </is>
      </c>
      <c r="B281" t="inlineStr">
        <is>
          <t>Brand and market presence</t>
        </is>
      </c>
      <c r="C281" t="inlineStr">
        <is>
          <t>How mature is the organization in managing brand positioning aligned with ICP, offering, differentiation and proof points, including ownership, evidence, metrics, fallback procedures and crisis stress testing?</t>
        </is>
      </c>
      <c r="D281" t="inlineStr">
        <is>
          <t>This topic affects exposure to Reputation crisis; Demand shock; IT outage. It helps identify how disruption may impact operations, people, revenue, systems, legal exposure or recovery time.</t>
        </is>
      </c>
      <c r="E281" t="inlineStr">
        <is>
          <t>ISO 10002; ISO 10004; ISO 20671-1; ISO 22301; AMEC; crisis communication best practices</t>
        </is>
      </c>
      <c r="F281" t="inlineStr">
        <is>
          <t>Policy/SOP; owner/RACI; system report; dashboard; contracts; test records; incident history; interview evidence related to brand positioning aligned with ICP, offering, differentiation and proof points.</t>
        </is>
      </c>
      <c r="G281">
        <f>'Assessment Questions'!J281</f>
        <v/>
      </c>
      <c r="H281">
        <f>IF($Z281="","",IF($Z281="N/A","N/A",VALUE(LEFT($Z281,1))))</f>
        <v/>
      </c>
      <c r="I281">
        <f>IF($H281="","",IF($H281="N/A","",VALUE($H281)/5*$G281))</f>
        <v/>
      </c>
      <c r="J281">
        <f>IF(OR($H281="",$H281="N/A"),"",$G281)</f>
        <v/>
      </c>
      <c r="K281">
        <f>IF(OR($H281="",$H281="N/A"),"",$J281-$I281)</f>
        <v/>
      </c>
      <c r="L281">
        <f>IF($H281="","",IF($H281="N/A","N/A",IF(VALUE($H281)&lt;=1,"Critical",IF(VALUE($H281)&lt;=2,"High",IF(VALUE($H281)&lt;=3,"Medium",IF(VALUE($H281)&lt;=4,"Low","Resilient"))))))</f>
        <v/>
      </c>
      <c r="M281" t="inlineStr">
        <is>
          <t>No reliable evidence that brand positioning aligned with icp, offering, differentiation and proof points is defined, owned or managed.</t>
        </is>
      </c>
      <c r="N281" t="inlineStr">
        <is>
          <t>Brand positioning aligned with ICP, offering, differentiation and proof points is handled informally and depends on individual knowledge or heroic effort.</t>
        </is>
      </c>
      <c r="O281" t="inlineStr">
        <is>
          <t>Brand positioning aligned with ICP, offering, differentiation and proof points is partially documented or implemented, but coverage is inconsistent and not crisis-tested.</t>
        </is>
      </c>
      <c r="P281" t="inlineStr">
        <is>
          <t>Brand positioning aligned with ICP, offering, differentiation and proof points is documented, owned, used in normal operations and supported by basic evidence or metrics.</t>
        </is>
      </c>
      <c r="Q281" t="inlineStr">
        <is>
          <t>Brand positioning aligned with ICP, offering, differentiation and proof points is measured, periodically reviewed, integrated with related processes and tested against relevant disruption scenarios.</t>
        </is>
      </c>
      <c r="R281" t="inlineStr">
        <is>
          <t>Brand positioning aligned with ICP, offering, differentiation and proof points is optimized, continuously improved, automated where practical and demonstrably supports crisis resilience.</t>
        </is>
      </c>
      <c r="S281" t="inlineStr">
        <is>
          <t>Reputation crisis; Demand shock; IT outage</t>
        </is>
      </c>
      <c r="T281">
        <f>'Assessment Questions'!W281</f>
        <v/>
      </c>
      <c r="U281">
        <f>'Assessment Questions'!X281</f>
        <v/>
      </c>
      <c r="V281">
        <f>'Assessment Questions'!Y281</f>
        <v/>
      </c>
      <c r="W281" t="n">
        <v>4</v>
      </c>
      <c r="X281" t="n">
        <v>5</v>
      </c>
      <c r="Y281" t="n">
        <v>5</v>
      </c>
      <c r="Z281">
        <f>'Assessment Questions'!AC281</f>
        <v/>
      </c>
      <c r="AA281" t="inlineStr">
        <is>
          <t>Brand and market presence</t>
        </is>
      </c>
      <c r="AB281">
        <f>COUNTIF($B$281:$B$296,$AA281)</f>
        <v/>
      </c>
      <c r="AC281">
        <f>IFERROR(SUMPRODUCT(($B$281:$B$296=$AA281)*($H$281:$H$296&lt;&gt;"")*($H$281:$H$296&lt;&gt;"N/A")*IFERROR(VALUE($H$281:$H$296),0))/SUMPRODUCT(($B$281:$B$296=$AA281)*($H$281:$H$296&lt;&gt;"")*($H$281:$H$296&lt;&gt;"N/A")),0)</f>
        <v/>
      </c>
      <c r="AD281">
        <f>AC281/5</f>
        <v/>
      </c>
      <c r="AE281">
        <f>COUNTIFS($B$281:$B$296,$AA281,$L$281:$L$296,"Critical")+COUNTIFS($B$281:$B$296,$AA281,$L$281:$L$296,"High")</f>
        <v/>
      </c>
      <c r="AF281">
        <f>5-AC281</f>
        <v/>
      </c>
      <c r="AG281">
        <f>SUMPRODUCT(($B$281:$B$296=$AA281)*(ISNUMBER($H$281:$H$296)+($H$281:$H$296="N/A")))</f>
        <v/>
      </c>
      <c r="AH281">
        <f>'Assessment Questions'!AK281</f>
        <v/>
      </c>
      <c r="AI281">
        <f>'Assessment Questions'!AL281</f>
        <v/>
      </c>
      <c r="AJ281">
        <f>IF(OR($H281="",$H281="N/A"),"",IF($AH281="",VLOOKUP('Company Profile'!$B$40,_CONFIG_Model_Settings!$A$5:$B$8,2,FALSE),_xlfn.IFNA(VLOOKUP($AH281,_CONFIG_Model_Settings!$A$5:$B$8,2,FALSE),0.9)))</f>
        <v/>
      </c>
      <c r="AK281">
        <f>IF(OR($H281="",$H281="N/A"),"",IF($AI281="",VLOOKUP('Company Profile'!$B$41,_CONFIG_Model_Settings!$A$5:$B$8,2,FALSE),_xlfn.IFNA(VLOOKUP($AI281,_CONFIG_Model_Settings!$A$5:$B$8,2,FALSE),0.9)))</f>
        <v/>
      </c>
      <c r="AL281">
        <f>IF(OR($H281="",$H281="N/A"),"",ROUND(VALUE($H281)*$AJ281*$AK281*$AV281,2))</f>
        <v/>
      </c>
      <c r="AM281">
        <f>IF($AL281="","",ROUND($AL281/5*100,1))</f>
        <v/>
      </c>
      <c r="AN281">
        <f>IFERROR(MIN(5,MAX(0,(SUMIFS(_REF_Model_Content!$D$1:$D$157,_REF_Model_Content!$A$1:$A$157,'Company Profile'!$B$9,_REF_Model_Content!$B$1:$B$157,"Marketing Comms"))+_xlfn.IFNA(VLOOKUP('Company Profile'!$B$35,_CONFIG_Model_Settings!$A$11:$B$13,2,0),0))),"")</f>
        <v/>
      </c>
      <c r="AO281">
        <f>IF($AL281="","",MAX(0,ROUND($AN281-$AL281,2)))</f>
        <v/>
      </c>
      <c r="AP281">
        <f>IFERROR(SUMIFS(_REF_Model_Content!$E$1:$E$157,_REF_Model_Content!$A$1:$A$157,'Company Profile'!$B$9,_REF_Model_Content!$B$1:$B$157,"Marketing Comms"),1)</f>
        <v/>
      </c>
      <c r="AQ281">
        <f>IF($AO281="","",ROUND($AO281*$AP281*($G281/5),2))</f>
        <v/>
      </c>
      <c r="AR281">
        <f>IF($AO281="","",IF($AO281&gt;=2,"Critical industry gap",IF($AO281&gt;=1,"High industry gap",IF($AO281&gt;=0.5,"Moderate industry gap","Within target"))))</f>
        <v/>
      </c>
      <c r="AS281">
        <f>IF(OR($H281="",$H281="N/A"),0,VALUE($H281)*(($AJ281+$AK281)/2)*$AV281)</f>
        <v/>
      </c>
      <c r="AT281">
        <f>IF(OR($H281="",$H281="N/A"),0,($AJ281+$AK281)/2)</f>
        <v/>
      </c>
      <c r="AU281">
        <f>'Assessment Questions'!AX281</f>
        <v/>
      </c>
      <c r="AV281">
        <f>IF(OR($H281="",$H281="N/A"),"",IF(OR($AU281="",$AU281="Everywhere",$AU281="Not applicable"),1,IF($AU281="Pilot / one team",0.4,IF($AU281="One unit or site",0.7,0.9))))</f>
        <v/>
      </c>
      <c r="AW281" t="inlineStr">
        <is>
          <t>Marketing Comms</t>
        </is>
      </c>
      <c r="AX281" t="inlineStr">
        <is>
          <t>Marketing Comms</t>
        </is>
      </c>
      <c r="AY281" t="n">
        <v>5</v>
      </c>
      <c r="AZ281" t="n">
        <v>281</v>
      </c>
    </row>
    <row r="282">
      <c r="A282" t="inlineStr">
        <is>
          <t>MARK-002</t>
        </is>
      </c>
      <c r="B282" t="inlineStr">
        <is>
          <t>Brand and market presence</t>
        </is>
      </c>
      <c r="C282" t="inlineStr">
        <is>
          <t>How mature is the organization in managing digital channel dependency across website, search, paid media, social, events and partners, including ownership, evidence, metrics, fallback procedures and crisis stress testing?</t>
        </is>
      </c>
      <c r="D282" t="inlineStr">
        <is>
          <t>This topic affects exposure to Reputation crisis; Demand shock; IT outage. It helps identify how disruption may impact operations, people, revenue, systems, legal exposure or recovery time.</t>
        </is>
      </c>
      <c r="E282" t="inlineStr">
        <is>
          <t>ISO 10002; ISO 10004; ISO 20671-1; ISO 22301; AMEC; crisis communication best practices</t>
        </is>
      </c>
      <c r="F282" t="inlineStr">
        <is>
          <t>Policy/SOP; owner/RACI; system report; dashboard; contracts; test records; incident history; interview evidence related to digital channel dependency across website, search, paid media, social, events and partners.</t>
        </is>
      </c>
      <c r="G282">
        <f>'Assessment Questions'!J282</f>
        <v/>
      </c>
      <c r="H282">
        <f>IF($Z282="","",IF($Z282="N/A","N/A",VALUE(LEFT($Z282,1))))</f>
        <v/>
      </c>
      <c r="I282">
        <f>IF($H282="","",IF($H282="N/A","",VALUE($H282)/5*$G282))</f>
        <v/>
      </c>
      <c r="J282">
        <f>IF(OR($H282="",$H282="N/A"),"",$G282)</f>
        <v/>
      </c>
      <c r="K282">
        <f>IF(OR($H282="",$H282="N/A"),"",$J282-$I282)</f>
        <v/>
      </c>
      <c r="L282">
        <f>IF($H282="","",IF($H282="N/A","N/A",IF(VALUE($H282)&lt;=1,"Critical",IF(VALUE($H282)&lt;=2,"High",IF(VALUE($H282)&lt;=3,"Medium",IF(VALUE($H282)&lt;=4,"Low","Resilient"))))))</f>
        <v/>
      </c>
      <c r="M282" t="inlineStr">
        <is>
          <t>Does not exist; no owner, no documentation, no practice.</t>
        </is>
      </c>
      <c r="N282" t="inlineStr">
        <is>
          <t>Ad hoc; depends entirely on specific individuals.</t>
        </is>
      </c>
      <c r="O282" t="inlineStr">
        <is>
          <t>Partially documented or implemented; coverage inconsistent; never tested under stress.</t>
        </is>
      </c>
      <c r="P282" t="inlineStr">
        <is>
          <t>Documented, owned, executed consistently; basic evidence and metrics exist.</t>
        </is>
      </c>
      <c r="Q282" t="inlineStr">
        <is>
          <t>Measured and periodically tested/audited; integrated with adjacent processes.</t>
        </is>
      </c>
      <c r="R282" t="inlineStr">
        <is>
          <t>Optimized and automated where practical; stress-tested; benchmarked externally.</t>
        </is>
      </c>
      <c r="S282" t="inlineStr">
        <is>
          <t>Reputation crisis; Demand shock; IT outage</t>
        </is>
      </c>
      <c r="T282">
        <f>'Assessment Questions'!W282</f>
        <v/>
      </c>
      <c r="U282">
        <f>'Assessment Questions'!X282</f>
        <v/>
      </c>
      <c r="V282">
        <f>'Assessment Questions'!Y282</f>
        <v/>
      </c>
      <c r="W282" t="n">
        <v>4</v>
      </c>
      <c r="X282" t="n">
        <v>5</v>
      </c>
      <c r="Y282" t="n">
        <v>5</v>
      </c>
      <c r="Z282">
        <f>'Assessment Questions'!AC282</f>
        <v/>
      </c>
      <c r="AA282" t="inlineStr">
        <is>
          <t>Crisis communication</t>
        </is>
      </c>
      <c r="AB282">
        <f>COUNTIF($B$281:$B$296,$AA282)</f>
        <v/>
      </c>
      <c r="AC282">
        <f>IFERROR(SUMPRODUCT(($B$281:$B$296=$AA282)*($H$281:$H$296&lt;&gt;"")*($H$281:$H$296&lt;&gt;"N/A")*IFERROR(VALUE($H$281:$H$296),0))/SUMPRODUCT(($B$281:$B$296=$AA282)*($H$281:$H$296&lt;&gt;"")*($H$281:$H$296&lt;&gt;"N/A")),0)</f>
        <v/>
      </c>
      <c r="AD282">
        <f>AC282/5</f>
        <v/>
      </c>
      <c r="AE282">
        <f>COUNTIFS($B$281:$B$296,$AA282,$L$281:$L$296,"Critical")+COUNTIFS($B$281:$B$296,$AA282,$L$281:$L$296,"High")</f>
        <v/>
      </c>
      <c r="AF282">
        <f>5-AC282</f>
        <v/>
      </c>
      <c r="AG282">
        <f>SUMPRODUCT(($B$281:$B$296=$AA282)*(ISNUMBER($H$281:$H$296)+($H$281:$H$296="N/A")))</f>
        <v/>
      </c>
      <c r="AH282">
        <f>'Assessment Questions'!AK282</f>
        <v/>
      </c>
      <c r="AI282">
        <f>'Assessment Questions'!AL282</f>
        <v/>
      </c>
      <c r="AJ282">
        <f>IF(OR($H282="",$H282="N/A"),"",IF($AH282="",VLOOKUP('Company Profile'!$B$40,_CONFIG_Model_Settings!$A$5:$B$8,2,FALSE),_xlfn.IFNA(VLOOKUP($AH282,_CONFIG_Model_Settings!$A$5:$B$8,2,FALSE),0.9)))</f>
        <v/>
      </c>
      <c r="AK282">
        <f>IF(OR($H282="",$H282="N/A"),"",IF($AI282="",VLOOKUP('Company Profile'!$B$41,_CONFIG_Model_Settings!$A$5:$B$8,2,FALSE),_xlfn.IFNA(VLOOKUP($AI282,_CONFIG_Model_Settings!$A$5:$B$8,2,FALSE),0.9)))</f>
        <v/>
      </c>
      <c r="AL282">
        <f>IF(OR($H282="",$H282="N/A"),"",ROUND(VALUE($H282)*$AJ282*$AK282*$AV282,2))</f>
        <v/>
      </c>
      <c r="AM282">
        <f>IF($AL282="","",ROUND($AL282/5*100,1))</f>
        <v/>
      </c>
      <c r="AN282">
        <f>IFERROR(MIN(5,MAX(0,(SUMIFS(_REF_Model_Content!$D$1:$D$157,_REF_Model_Content!$A$1:$A$157,'Company Profile'!$B$9,_REF_Model_Content!$B$1:$B$157,"Marketing Comms"))+_xlfn.IFNA(VLOOKUP('Company Profile'!$B$35,_CONFIG_Model_Settings!$A$11:$B$13,2,0),0))),"")</f>
        <v/>
      </c>
      <c r="AO282">
        <f>IF($AL282="","",MAX(0,ROUND($AN282-$AL282,2)))</f>
        <v/>
      </c>
      <c r="AP282">
        <f>IFERROR(SUMIFS(_REF_Model_Content!$E$1:$E$157,_REF_Model_Content!$A$1:$A$157,'Company Profile'!$B$9,_REF_Model_Content!$B$1:$B$157,"Marketing Comms"),1)</f>
        <v/>
      </c>
      <c r="AQ282">
        <f>IF($AO282="","",ROUND($AO282*$AP282*($G282/5),2))</f>
        <v/>
      </c>
      <c r="AR282">
        <f>IF($AO282="","",IF($AO282&gt;=2,"Critical industry gap",IF($AO282&gt;=1,"High industry gap",IF($AO282&gt;=0.5,"Moderate industry gap","Within target"))))</f>
        <v/>
      </c>
      <c r="AS282">
        <f>IF(OR($H282="",$H282="N/A"),0,VALUE($H282)*(($AJ282+$AK282)/2)*$AV282)</f>
        <v/>
      </c>
      <c r="AT282">
        <f>IF(OR($H282="",$H282="N/A"),0,($AJ282+$AK282)/2)</f>
        <v/>
      </c>
      <c r="AU282">
        <f>'Assessment Questions'!AX282</f>
        <v/>
      </c>
      <c r="AV282">
        <f>IF(OR($H282="",$H282="N/A"),"",IF(OR($AU282="",$AU282="Everywhere",$AU282="Not applicable"),1,IF($AU282="Pilot / one team",0.4,IF($AU282="One unit or site",0.7,0.9))))</f>
        <v/>
      </c>
      <c r="AW282" t="inlineStr">
        <is>
          <t>Marketing Comms</t>
        </is>
      </c>
      <c r="AX282" t="inlineStr">
        <is>
          <t>Marketing Comms</t>
        </is>
      </c>
      <c r="AY282" t="n">
        <v>6</v>
      </c>
      <c r="AZ282" t="n">
        <v>282</v>
      </c>
    </row>
    <row r="283">
      <c r="A283" t="inlineStr">
        <is>
          <t>MARK-003</t>
        </is>
      </c>
      <c r="B283" t="inlineStr">
        <is>
          <t>Brand and market presence</t>
        </is>
      </c>
      <c r="C283" t="inlineStr">
        <is>
          <t>How mature is the organization in managing website and lead-form availability during traffic spikes, cyberattacks or hosting outages, including ownership, evidence, metrics, fallback procedures and crisis stress testing?</t>
        </is>
      </c>
      <c r="D283" t="inlineStr">
        <is>
          <t>This topic affects exposure to Reputation crisis; Demand shock; IT outage. It helps identify how disruption may impact operations, people, revenue, systems, legal exposure or recovery time.</t>
        </is>
      </c>
      <c r="E283" t="inlineStr">
        <is>
          <t>ISO 10002; ISO 10004; ISO 20671-1; ISO 22301; AMEC; crisis communication best practices</t>
        </is>
      </c>
      <c r="F283" t="inlineStr">
        <is>
          <t>Policy/SOP; owner/RACI; system report; dashboard; contracts; test records; incident history; interview evidence related to website and lead-form availability during traffic spikes, cyberattacks or hosting outages.</t>
        </is>
      </c>
      <c r="G283">
        <f>'Assessment Questions'!J283</f>
        <v/>
      </c>
      <c r="H283">
        <f>IF($Z283="","",IF($Z283="N/A","N/A",VALUE(LEFT($Z283,1))))</f>
        <v/>
      </c>
      <c r="I283">
        <f>IF($H283="","",IF($H283="N/A","",VALUE($H283)/5*$G283))</f>
        <v/>
      </c>
      <c r="J283">
        <f>IF(OR($H283="",$H283="N/A"),"",$G283)</f>
        <v/>
      </c>
      <c r="K283">
        <f>IF(OR($H283="",$H283="N/A"),"",$J283-$I283)</f>
        <v/>
      </c>
      <c r="L283">
        <f>IF($H283="","",IF($H283="N/A","N/A",IF(VALUE($H283)&lt;=1,"Critical",IF(VALUE($H283)&lt;=2,"High",IF(VALUE($H283)&lt;=3,"Medium",IF(VALUE($H283)&lt;=4,"Low","Resilient"))))))</f>
        <v/>
      </c>
      <c r="M283" t="inlineStr">
        <is>
          <t>Does not exist; no owner, no documentation, no practice.</t>
        </is>
      </c>
      <c r="N283" t="inlineStr">
        <is>
          <t>Ad hoc; depends entirely on specific individuals.</t>
        </is>
      </c>
      <c r="O283" t="inlineStr">
        <is>
          <t>Partially documented or implemented; coverage inconsistent; never tested under stress.</t>
        </is>
      </c>
      <c r="P283" t="inlineStr">
        <is>
          <t>Documented, owned, executed consistently; basic evidence and metrics exist.</t>
        </is>
      </c>
      <c r="Q283" t="inlineStr">
        <is>
          <t>Measured and periodically tested/audited; integrated with adjacent processes.</t>
        </is>
      </c>
      <c r="R283" t="inlineStr">
        <is>
          <t>Optimized and automated where practical; stress-tested; benchmarked externally.</t>
        </is>
      </c>
      <c r="S283" t="inlineStr">
        <is>
          <t>Reputation crisis; Demand shock; IT outage</t>
        </is>
      </c>
      <c r="T283">
        <f>'Assessment Questions'!W283</f>
        <v/>
      </c>
      <c r="U283">
        <f>'Assessment Questions'!X283</f>
        <v/>
      </c>
      <c r="V283">
        <f>'Assessment Questions'!Y283</f>
        <v/>
      </c>
      <c r="W283" t="n">
        <v>4</v>
      </c>
      <c r="X283" t="n">
        <v>5</v>
      </c>
      <c r="Y283" t="n">
        <v>5</v>
      </c>
      <c r="Z283">
        <f>'Assessment Questions'!AC283</f>
        <v/>
      </c>
      <c r="AA283" t="inlineStr">
        <is>
          <t>Marketing operations</t>
        </is>
      </c>
      <c r="AB283">
        <f>COUNTIF($B$281:$B$296,$AA283)</f>
        <v/>
      </c>
      <c r="AC283">
        <f>IFERROR(SUMPRODUCT(($B$281:$B$296=$AA283)*($H$281:$H$296&lt;&gt;"")*($H$281:$H$296&lt;&gt;"N/A")*IFERROR(VALUE($H$281:$H$296),0))/SUMPRODUCT(($B$281:$B$296=$AA283)*($H$281:$H$296&lt;&gt;"")*($H$281:$H$296&lt;&gt;"N/A")),0)</f>
        <v/>
      </c>
      <c r="AD283">
        <f>AC283/5</f>
        <v/>
      </c>
      <c r="AE283">
        <f>COUNTIFS($B$281:$B$296,$AA283,$L$281:$L$296,"Critical")+COUNTIFS($B$281:$B$296,$AA283,$L$281:$L$296,"High")</f>
        <v/>
      </c>
      <c r="AF283">
        <f>5-AC283</f>
        <v/>
      </c>
      <c r="AG283">
        <f>SUMPRODUCT(($B$281:$B$296=$AA283)*(ISNUMBER($H$281:$H$296)+($H$281:$H$296="N/A")))</f>
        <v/>
      </c>
      <c r="AH283">
        <f>'Assessment Questions'!AK283</f>
        <v/>
      </c>
      <c r="AI283">
        <f>'Assessment Questions'!AL283</f>
        <v/>
      </c>
      <c r="AJ283">
        <f>IF(OR($H283="",$H283="N/A"),"",IF($AH283="",VLOOKUP('Company Profile'!$B$40,_CONFIG_Model_Settings!$A$5:$B$8,2,FALSE),_xlfn.IFNA(VLOOKUP($AH283,_CONFIG_Model_Settings!$A$5:$B$8,2,FALSE),0.9)))</f>
        <v/>
      </c>
      <c r="AK283">
        <f>IF(OR($H283="",$H283="N/A"),"",IF($AI283="",VLOOKUP('Company Profile'!$B$41,_CONFIG_Model_Settings!$A$5:$B$8,2,FALSE),_xlfn.IFNA(VLOOKUP($AI283,_CONFIG_Model_Settings!$A$5:$B$8,2,FALSE),0.9)))</f>
        <v/>
      </c>
      <c r="AL283">
        <f>IF(OR($H283="",$H283="N/A"),"",ROUND(VALUE($H283)*$AJ283*$AK283*$AV283,2))</f>
        <v/>
      </c>
      <c r="AM283">
        <f>IF($AL283="","",ROUND($AL283/5*100,1))</f>
        <v/>
      </c>
      <c r="AN283">
        <f>IFERROR(MIN(5,MAX(0,(SUMIFS(_REF_Model_Content!$D$1:$D$157,_REF_Model_Content!$A$1:$A$157,'Company Profile'!$B$9,_REF_Model_Content!$B$1:$B$157,"Marketing Comms"))+_xlfn.IFNA(VLOOKUP('Company Profile'!$B$35,_CONFIG_Model_Settings!$A$11:$B$13,2,0),0))),"")</f>
        <v/>
      </c>
      <c r="AO283">
        <f>IF($AL283="","",MAX(0,ROUND($AN283-$AL283,2)))</f>
        <v/>
      </c>
      <c r="AP283">
        <f>IFERROR(SUMIFS(_REF_Model_Content!$E$1:$E$157,_REF_Model_Content!$A$1:$A$157,'Company Profile'!$B$9,_REF_Model_Content!$B$1:$B$157,"Marketing Comms"),1)</f>
        <v/>
      </c>
      <c r="AQ283">
        <f>IF($AO283="","",ROUND($AO283*$AP283*($G283/5),2))</f>
        <v/>
      </c>
      <c r="AR283">
        <f>IF($AO283="","",IF($AO283&gt;=2,"Critical industry gap",IF($AO283&gt;=1,"High industry gap",IF($AO283&gt;=0.5,"Moderate industry gap","Within target"))))</f>
        <v/>
      </c>
      <c r="AS283">
        <f>IF(OR($H283="",$H283="N/A"),0,VALUE($H283)*(($AJ283+$AK283)/2)*$AV283)</f>
        <v/>
      </c>
      <c r="AT283">
        <f>IF(OR($H283="",$H283="N/A"),0,($AJ283+$AK283)/2)</f>
        <v/>
      </c>
      <c r="AU283">
        <f>'Assessment Questions'!AX283</f>
        <v/>
      </c>
      <c r="AV283">
        <f>IF(OR($H283="",$H283="N/A"),"",IF(OR($AU283="",$AU283="Everywhere",$AU283="Not applicable"),1,IF($AU283="Pilot / one team",0.4,IF($AU283="One unit or site",0.7,0.9))))</f>
        <v/>
      </c>
      <c r="AW283" t="inlineStr">
        <is>
          <t>Marketing Comms</t>
        </is>
      </c>
      <c r="AX283" t="inlineStr">
        <is>
          <t>Marketing Comms</t>
        </is>
      </c>
      <c r="AY283" t="n">
        <v>7</v>
      </c>
      <c r="AZ283" t="n">
        <v>283</v>
      </c>
    </row>
    <row r="284">
      <c r="A284" t="inlineStr">
        <is>
          <t>MARK-004</t>
        </is>
      </c>
      <c r="B284" t="inlineStr">
        <is>
          <t>Brand and market presence</t>
        </is>
      </c>
      <c r="C284" t="inlineStr">
        <is>
          <t>How mature is the organization in managing campaign performance, attribution, conversion, CAC and channel ROI measurement, including ownership, evidence, metrics, fallback procedures and crisis stress testing?</t>
        </is>
      </c>
      <c r="D284" t="inlineStr">
        <is>
          <t>This topic affects exposure to Reputation crisis; Demand shock; IT outage. It helps identify how disruption may impact operations, people, revenue, systems, legal exposure or recovery time.</t>
        </is>
      </c>
      <c r="E284" t="inlineStr">
        <is>
          <t>ISO 10002; ISO 10004; ISO 20671-1; ISO 22301; AMEC; crisis communication best practices</t>
        </is>
      </c>
      <c r="F284" t="inlineStr">
        <is>
          <t>Policy/SOP; owner/RACI; system report; dashboard; contracts; test records; incident history; interview evidence related to campaign performance, attribution, conversion, CAC and channel ROI measurement.</t>
        </is>
      </c>
      <c r="G284">
        <f>'Assessment Questions'!J284</f>
        <v/>
      </c>
      <c r="H284">
        <f>IF($Z284="","",IF($Z284="N/A","N/A",VALUE(LEFT($Z284,1))))</f>
        <v/>
      </c>
      <c r="I284">
        <f>IF($H284="","",IF($H284="N/A","",VALUE($H284)/5*$G284))</f>
        <v/>
      </c>
      <c r="J284">
        <f>IF(OR($H284="",$H284="N/A"),"",$G284)</f>
        <v/>
      </c>
      <c r="K284">
        <f>IF(OR($H284="",$H284="N/A"),"",$J284-$I284)</f>
        <v/>
      </c>
      <c r="L284">
        <f>IF($H284="","",IF($H284="N/A","N/A",IF(VALUE($H284)&lt;=1,"Critical",IF(VALUE($H284)&lt;=2,"High",IF(VALUE($H284)&lt;=3,"Medium",IF(VALUE($H284)&lt;=4,"Low","Resilient"))))))</f>
        <v/>
      </c>
      <c r="M284" t="inlineStr">
        <is>
          <t>No reliable evidence that campaign performance, attribution, conversion, cac and channel roi measurement is defined, owned or managed.</t>
        </is>
      </c>
      <c r="N284" t="inlineStr">
        <is>
          <t>Campaign performance, attribution, conversion, CAC and channel ROI measurement is handled informally and depends on individual knowledge or heroic effort.</t>
        </is>
      </c>
      <c r="O284" t="inlineStr">
        <is>
          <t>Campaign performance, attribution, conversion, CAC and channel ROI measurement is partially documented or implemented, but coverage is inconsistent and not crisis-tested.</t>
        </is>
      </c>
      <c r="P284" t="inlineStr">
        <is>
          <t>Campaign performance, attribution, conversion, CAC and channel ROI measurement is documented, owned, used in normal operations and supported by basic evidence or metrics.</t>
        </is>
      </c>
      <c r="Q284" t="inlineStr">
        <is>
          <t>Campaign performance, attribution, conversion, CAC and channel ROI measurement is measured, periodically reviewed, integrated with related processes and tested against relevant disruption scenarios.</t>
        </is>
      </c>
      <c r="R284" t="inlineStr">
        <is>
          <t>Campaign performance, attribution, conversion, CAC and channel ROI measurement is optimized, continuously improved, automated where practical and demonstrably supports crisis resilience.</t>
        </is>
      </c>
      <c r="S284" t="inlineStr">
        <is>
          <t>Reputation crisis; Demand shock; IT outage</t>
        </is>
      </c>
      <c r="T284">
        <f>'Assessment Questions'!W284</f>
        <v/>
      </c>
      <c r="U284">
        <f>'Assessment Questions'!X284</f>
        <v/>
      </c>
      <c r="V284">
        <f>'Assessment Questions'!Y284</f>
        <v/>
      </c>
      <c r="W284" t="n">
        <v>4</v>
      </c>
      <c r="X284" t="n">
        <v>5</v>
      </c>
      <c r="Y284" t="n">
        <v>5</v>
      </c>
      <c r="Z284">
        <f>'Assessment Questions'!AC284</f>
        <v/>
      </c>
      <c r="AB284">
        <f>COUNTIF($B$281:$B$296,$AA284)</f>
        <v/>
      </c>
      <c r="AC284">
        <f>IFERROR(SUMPRODUCT(($B$281:$B$296=$AA284)*($H$281:$H$296&lt;&gt;"")*($H$281:$H$296&lt;&gt;"N/A")*IFERROR(VALUE($H$281:$H$296),0))/SUMPRODUCT(($B$281:$B$296=$AA284)*($H$281:$H$296&lt;&gt;"")*($H$281:$H$296&lt;&gt;"N/A")),0)</f>
        <v/>
      </c>
      <c r="AD284">
        <f>AC284/5</f>
        <v/>
      </c>
      <c r="AE284">
        <f>COUNTIFS($B$281:$B$296,$AA284,$L$281:$L$296,"Critical")+COUNTIFS($B$281:$B$296,$AA284,$L$281:$L$296,"High")</f>
        <v/>
      </c>
      <c r="AF284">
        <f>5-AC284</f>
        <v/>
      </c>
      <c r="AG284">
        <f>SUMPRODUCT(($B$281:$B$296=$AA284)*(ISNUMBER($H$281:$H$296)+($H$281:$H$296="N/A")))</f>
        <v/>
      </c>
      <c r="AH284">
        <f>'Assessment Questions'!AK284</f>
        <v/>
      </c>
      <c r="AI284">
        <f>'Assessment Questions'!AL284</f>
        <v/>
      </c>
      <c r="AJ284">
        <f>IF(OR($H284="",$H284="N/A"),"",IF($AH284="",VLOOKUP('Company Profile'!$B$40,_CONFIG_Model_Settings!$A$5:$B$8,2,FALSE),_xlfn.IFNA(VLOOKUP($AH284,_CONFIG_Model_Settings!$A$5:$B$8,2,FALSE),0.9)))</f>
        <v/>
      </c>
      <c r="AK284">
        <f>IF(OR($H284="",$H284="N/A"),"",IF($AI284="",VLOOKUP('Company Profile'!$B$41,_CONFIG_Model_Settings!$A$5:$B$8,2,FALSE),_xlfn.IFNA(VLOOKUP($AI284,_CONFIG_Model_Settings!$A$5:$B$8,2,FALSE),0.9)))</f>
        <v/>
      </c>
      <c r="AL284">
        <f>IF(OR($H284="",$H284="N/A"),"",ROUND(VALUE($H284)*$AJ284*$AK284*$AV284,2))</f>
        <v/>
      </c>
      <c r="AM284">
        <f>IF($AL284="","",ROUND($AL284/5*100,1))</f>
        <v/>
      </c>
      <c r="AN284">
        <f>IFERROR(MIN(5,MAX(0,(SUMIFS(_REF_Model_Content!$D$1:$D$157,_REF_Model_Content!$A$1:$A$157,'Company Profile'!$B$9,_REF_Model_Content!$B$1:$B$157,"Marketing Comms"))+_xlfn.IFNA(VLOOKUP('Company Profile'!$B$35,_CONFIG_Model_Settings!$A$11:$B$13,2,0),0))),"")</f>
        <v/>
      </c>
      <c r="AO284">
        <f>IF($AL284="","",MAX(0,ROUND($AN284-$AL284,2)))</f>
        <v/>
      </c>
      <c r="AP284">
        <f>IFERROR(SUMIFS(_REF_Model_Content!$E$1:$E$157,_REF_Model_Content!$A$1:$A$157,'Company Profile'!$B$9,_REF_Model_Content!$B$1:$B$157,"Marketing Comms"),1)</f>
        <v/>
      </c>
      <c r="AQ284">
        <f>IF($AO284="","",ROUND($AO284*$AP284*($G284/5),2))</f>
        <v/>
      </c>
      <c r="AR284">
        <f>IF($AO284="","",IF($AO284&gt;=2,"Critical industry gap",IF($AO284&gt;=1,"High industry gap",IF($AO284&gt;=0.5,"Moderate industry gap","Within target"))))</f>
        <v/>
      </c>
      <c r="AS284">
        <f>IF(OR($H284="",$H284="N/A"),0,VALUE($H284)*(($AJ284+$AK284)/2)*$AV284)</f>
        <v/>
      </c>
      <c r="AT284">
        <f>IF(OR($H284="",$H284="N/A"),0,($AJ284+$AK284)/2)</f>
        <v/>
      </c>
      <c r="AU284">
        <f>'Assessment Questions'!AX284</f>
        <v/>
      </c>
      <c r="AV284">
        <f>IF(OR($H284="",$H284="N/A"),"",IF(OR($AU284="",$AU284="Everywhere",$AU284="Not applicable"),1,IF($AU284="Pilot / one team",0.4,IF($AU284="One unit or site",0.7,0.9))))</f>
        <v/>
      </c>
      <c r="AW284" t="inlineStr">
        <is>
          <t>Marketing Comms</t>
        </is>
      </c>
      <c r="AX284" t="inlineStr">
        <is>
          <t>Marketing Comms</t>
        </is>
      </c>
      <c r="AY284" t="n">
        <v>8</v>
      </c>
      <c r="AZ284" t="n">
        <v>284</v>
      </c>
    </row>
    <row r="285">
      <c r="A285" t="inlineStr">
        <is>
          <t>MARK-005</t>
        </is>
      </c>
      <c r="B285" t="inlineStr">
        <is>
          <t>Brand and market presence</t>
        </is>
      </c>
      <c r="C285" t="inlineStr">
        <is>
          <t>How mature is the organization in managing lead capture, routing, qualification and follow-up resilience, including ownership, evidence, metrics, fallback procedures and crisis stress testing?</t>
        </is>
      </c>
      <c r="D285" t="inlineStr">
        <is>
          <t>This topic affects exposure to Reputation crisis; Demand shock; IT outage. It helps identify how disruption may impact operations, people, revenue, systems, legal exposure or recovery time.</t>
        </is>
      </c>
      <c r="E285" t="inlineStr">
        <is>
          <t>ISO 10002; ISO 10004; ISO 20671-1; ISO 22301; AMEC; crisis communication best practices</t>
        </is>
      </c>
      <c r="F285" t="inlineStr">
        <is>
          <t>Policy/SOP; owner/RACI; system report; dashboard; contracts; test records; incident history; interview evidence related to lead capture, routing, qualification and follow-up resilience.</t>
        </is>
      </c>
      <c r="G285">
        <f>'Assessment Questions'!J285</f>
        <v/>
      </c>
      <c r="H285">
        <f>IF($Z285="","",IF($Z285="N/A","N/A",VALUE(LEFT($Z285,1))))</f>
        <v/>
      </c>
      <c r="I285">
        <f>IF($H285="","",IF($H285="N/A","",VALUE($H285)/5*$G285))</f>
        <v/>
      </c>
      <c r="J285">
        <f>IF(OR($H285="",$H285="N/A"),"",$G285)</f>
        <v/>
      </c>
      <c r="K285">
        <f>IF(OR($H285="",$H285="N/A"),"",$J285-$I285)</f>
        <v/>
      </c>
      <c r="L285">
        <f>IF($H285="","",IF($H285="N/A","N/A",IF(VALUE($H285)&lt;=1,"Critical",IF(VALUE($H285)&lt;=2,"High",IF(VALUE($H285)&lt;=3,"Medium",IF(VALUE($H285)&lt;=4,"Low","Resilient"))))))</f>
        <v/>
      </c>
      <c r="M285" t="inlineStr">
        <is>
          <t>No reliable evidence that lead capture, routing, qualification and follow-up resilience is defined, owned or managed.</t>
        </is>
      </c>
      <c r="N285" t="inlineStr">
        <is>
          <t>Lead capture, routing, qualification and follow-up resilience is handled informally and depends on individual knowledge or heroic effort.</t>
        </is>
      </c>
      <c r="O285" t="inlineStr">
        <is>
          <t>Lead capture, routing, qualification and follow-up resilience is partially documented or implemented, but coverage is inconsistent and not crisis-tested.</t>
        </is>
      </c>
      <c r="P285" t="inlineStr">
        <is>
          <t>Lead capture, routing, qualification and follow-up resilience is documented, owned, used in normal operations and supported by basic evidence or metrics.</t>
        </is>
      </c>
      <c r="Q285" t="inlineStr">
        <is>
          <t>Lead capture, routing, qualification and follow-up resilience is measured, periodically reviewed, integrated with related processes and tested against relevant disruption scenarios.</t>
        </is>
      </c>
      <c r="R285" t="inlineStr">
        <is>
          <t>Lead capture, routing, qualification and follow-up resilience is optimized, continuously improved, automated where practical and demonstrably supports crisis resilience.</t>
        </is>
      </c>
      <c r="S285" t="inlineStr">
        <is>
          <t>Reputation crisis; Demand shock; IT outage</t>
        </is>
      </c>
      <c r="T285">
        <f>'Assessment Questions'!W285</f>
        <v/>
      </c>
      <c r="U285">
        <f>'Assessment Questions'!X285</f>
        <v/>
      </c>
      <c r="V285">
        <f>'Assessment Questions'!Y285</f>
        <v/>
      </c>
      <c r="W285" t="n">
        <v>4</v>
      </c>
      <c r="X285" t="n">
        <v>5</v>
      </c>
      <c r="Y285" t="n">
        <v>5</v>
      </c>
      <c r="Z285">
        <f>'Assessment Questions'!AC285</f>
        <v/>
      </c>
      <c r="AB285">
        <f>COUNTIF($B$281:$B$296,$AA285)</f>
        <v/>
      </c>
      <c r="AC285">
        <f>IFERROR(SUMPRODUCT(($B$281:$B$296=$AA285)*($H$281:$H$296&lt;&gt;"")*($H$281:$H$296&lt;&gt;"N/A")*IFERROR(VALUE($H$281:$H$296),0))/SUMPRODUCT(($B$281:$B$296=$AA285)*($H$281:$H$296&lt;&gt;"")*($H$281:$H$296&lt;&gt;"N/A")),0)</f>
        <v/>
      </c>
      <c r="AD285">
        <f>AC285/5</f>
        <v/>
      </c>
      <c r="AE285">
        <f>COUNTIFS($B$281:$B$296,$AA285,$L$281:$L$296,"Critical")+COUNTIFS($B$281:$B$296,$AA285,$L$281:$L$296,"High")</f>
        <v/>
      </c>
      <c r="AF285">
        <f>5-AC285</f>
        <v/>
      </c>
      <c r="AG285">
        <f>SUMPRODUCT(($B$281:$B$296=$AA285)*(ISNUMBER($H$281:$H$296)+($H$281:$H$296="N/A")))</f>
        <v/>
      </c>
      <c r="AH285">
        <f>'Assessment Questions'!AK285</f>
        <v/>
      </c>
      <c r="AI285">
        <f>'Assessment Questions'!AL285</f>
        <v/>
      </c>
      <c r="AJ285">
        <f>IF(OR($H285="",$H285="N/A"),"",IF($AH285="",VLOOKUP('Company Profile'!$B$40,_CONFIG_Model_Settings!$A$5:$B$8,2,FALSE),_xlfn.IFNA(VLOOKUP($AH285,_CONFIG_Model_Settings!$A$5:$B$8,2,FALSE),0.9)))</f>
        <v/>
      </c>
      <c r="AK285">
        <f>IF(OR($H285="",$H285="N/A"),"",IF($AI285="",VLOOKUP('Company Profile'!$B$41,_CONFIG_Model_Settings!$A$5:$B$8,2,FALSE),_xlfn.IFNA(VLOOKUP($AI285,_CONFIG_Model_Settings!$A$5:$B$8,2,FALSE),0.9)))</f>
        <v/>
      </c>
      <c r="AL285">
        <f>IF(OR($H285="",$H285="N/A"),"",ROUND(VALUE($H285)*$AJ285*$AK285*$AV285,2))</f>
        <v/>
      </c>
      <c r="AM285">
        <f>IF($AL285="","",ROUND($AL285/5*100,1))</f>
        <v/>
      </c>
      <c r="AN285">
        <f>IFERROR(MIN(5,MAX(0,(SUMIFS(_REF_Model_Content!$D$1:$D$157,_REF_Model_Content!$A$1:$A$157,'Company Profile'!$B$9,_REF_Model_Content!$B$1:$B$157,"Marketing Comms"))+_xlfn.IFNA(VLOOKUP('Company Profile'!$B$35,_CONFIG_Model_Settings!$A$11:$B$13,2,0),0))),"")</f>
        <v/>
      </c>
      <c r="AO285">
        <f>IF($AL285="","",MAX(0,ROUND($AN285-$AL285,2)))</f>
        <v/>
      </c>
      <c r="AP285">
        <f>IFERROR(SUMIFS(_REF_Model_Content!$E$1:$E$157,_REF_Model_Content!$A$1:$A$157,'Company Profile'!$B$9,_REF_Model_Content!$B$1:$B$157,"Marketing Comms"),1)</f>
        <v/>
      </c>
      <c r="AQ285">
        <f>IF($AO285="","",ROUND($AO285*$AP285*($G285/5),2))</f>
        <v/>
      </c>
      <c r="AR285">
        <f>IF($AO285="","",IF($AO285&gt;=2,"Critical industry gap",IF($AO285&gt;=1,"High industry gap",IF($AO285&gt;=0.5,"Moderate industry gap","Within target"))))</f>
        <v/>
      </c>
      <c r="AS285">
        <f>IF(OR($H285="",$H285="N/A"),0,VALUE($H285)*(($AJ285+$AK285)/2)*$AV285)</f>
        <v/>
      </c>
      <c r="AT285">
        <f>IF(OR($H285="",$H285="N/A"),0,($AJ285+$AK285)/2)</f>
        <v/>
      </c>
      <c r="AU285">
        <f>'Assessment Questions'!AX285</f>
        <v/>
      </c>
      <c r="AV285">
        <f>IF(OR($H285="",$H285="N/A"),"",IF(OR($AU285="",$AU285="Everywhere",$AU285="Not applicable"),1,IF($AU285="Pilot / one team",0.4,IF($AU285="One unit or site",0.7,0.9))))</f>
        <v/>
      </c>
      <c r="AW285" t="inlineStr">
        <is>
          <t>Marketing Comms</t>
        </is>
      </c>
      <c r="AX285" t="inlineStr">
        <is>
          <t>Marketing Comms</t>
        </is>
      </c>
      <c r="AY285" t="n">
        <v>9</v>
      </c>
      <c r="AZ285" t="n">
        <v>285</v>
      </c>
    </row>
    <row r="286">
      <c r="A286" t="inlineStr">
        <is>
          <t>MARK-006</t>
        </is>
      </c>
      <c r="B286" t="inlineStr">
        <is>
          <t>Crisis communication</t>
        </is>
      </c>
      <c r="C286" t="inlineStr">
        <is>
          <t>How mature is the organization in managing approved crisis communication templates for customers, employees, media, regulators and partners, including ownership, evidence, metrics, fallback procedures and crisis stress testing?</t>
        </is>
      </c>
      <c r="D286" t="inlineStr">
        <is>
          <t>This topic affects exposure to Reputation crisis; Demand shock; IT outage. It helps identify how disruption may impact operations, people, revenue, systems, legal exposure or recovery time.</t>
        </is>
      </c>
      <c r="E286" t="inlineStr">
        <is>
          <t>ISO 10002; ISO 10004; ISO 20671-1; ISO 22301; AMEC; crisis communication best practices</t>
        </is>
      </c>
      <c r="F286" t="inlineStr">
        <is>
          <t>Policy/SOP; owner/RACI; system report; dashboard; contracts; test records; incident history; interview evidence related to approved crisis communication templates for customers, employees, media, regulators and partners.</t>
        </is>
      </c>
      <c r="G286">
        <f>'Assessment Questions'!J286</f>
        <v/>
      </c>
      <c r="H286">
        <f>IF($Z286="","",IF($Z286="N/A","N/A",VALUE(LEFT($Z286,1))))</f>
        <v/>
      </c>
      <c r="I286">
        <f>IF($H286="","",IF($H286="N/A","",VALUE($H286)/5*$G286))</f>
        <v/>
      </c>
      <c r="J286">
        <f>IF(OR($H286="",$H286="N/A"),"",$G286)</f>
        <v/>
      </c>
      <c r="K286">
        <f>IF(OR($H286="",$H286="N/A"),"",$J286-$I286)</f>
        <v/>
      </c>
      <c r="L286">
        <f>IF($H286="","",IF($H286="N/A","N/A",IF(VALUE($H286)&lt;=1,"Critical",IF(VALUE($H286)&lt;=2,"High",IF(VALUE($H286)&lt;=3,"Medium",IF(VALUE($H286)&lt;=4,"Low","Resilient"))))))</f>
        <v/>
      </c>
      <c r="M286" t="inlineStr">
        <is>
          <t>Does not exist; no owner, no documentation, no practice.</t>
        </is>
      </c>
      <c r="N286" t="inlineStr">
        <is>
          <t>Ad hoc; depends entirely on specific individuals.</t>
        </is>
      </c>
      <c r="O286" t="inlineStr">
        <is>
          <t>Partially documented or implemented; coverage inconsistent; never tested under stress.</t>
        </is>
      </c>
      <c r="P286" t="inlineStr">
        <is>
          <t>Documented, owned, executed consistently; basic evidence and metrics exist.</t>
        </is>
      </c>
      <c r="Q286" t="inlineStr">
        <is>
          <t>Measured and periodically tested/audited; integrated with adjacent processes.</t>
        </is>
      </c>
      <c r="R286" t="inlineStr">
        <is>
          <t>Optimized and automated where practical; stress-tested; benchmarked externally.</t>
        </is>
      </c>
      <c r="S286" t="inlineStr">
        <is>
          <t>Reputation crisis; Demand shock; IT outage</t>
        </is>
      </c>
      <c r="T286">
        <f>'Assessment Questions'!W286</f>
        <v/>
      </c>
      <c r="U286">
        <f>'Assessment Questions'!X286</f>
        <v/>
      </c>
      <c r="V286">
        <f>'Assessment Questions'!Y286</f>
        <v/>
      </c>
      <c r="W286" t="n">
        <v>4</v>
      </c>
      <c r="X286" t="n">
        <v>5</v>
      </c>
      <c r="Y286" t="n">
        <v>5</v>
      </c>
      <c r="Z286">
        <f>'Assessment Questions'!AC286</f>
        <v/>
      </c>
      <c r="AB286">
        <f>COUNTIF($B$281:$B$296,$AA286)</f>
        <v/>
      </c>
      <c r="AC286">
        <f>IFERROR(SUMPRODUCT(($B$281:$B$296=$AA286)*($H$281:$H$296&lt;&gt;"")*($H$281:$H$296&lt;&gt;"N/A")*IFERROR(VALUE($H$281:$H$296),0))/SUMPRODUCT(($B$281:$B$296=$AA286)*($H$281:$H$296&lt;&gt;"")*($H$281:$H$296&lt;&gt;"N/A")),0)</f>
        <v/>
      </c>
      <c r="AD286">
        <f>AC286/5</f>
        <v/>
      </c>
      <c r="AE286">
        <f>COUNTIFS($B$281:$B$296,$AA286,$L$281:$L$296,"Critical")+COUNTIFS($B$281:$B$296,$AA286,$L$281:$L$296,"High")</f>
        <v/>
      </c>
      <c r="AF286">
        <f>5-AC286</f>
        <v/>
      </c>
      <c r="AG286">
        <f>SUMPRODUCT(($B$281:$B$296=$AA286)*(ISNUMBER($H$281:$H$296)+($H$281:$H$296="N/A")))</f>
        <v/>
      </c>
      <c r="AH286">
        <f>'Assessment Questions'!AK286</f>
        <v/>
      </c>
      <c r="AI286">
        <f>'Assessment Questions'!AL286</f>
        <v/>
      </c>
      <c r="AJ286">
        <f>IF(OR($H286="",$H286="N/A"),"",IF($AH286="",VLOOKUP('Company Profile'!$B$40,_CONFIG_Model_Settings!$A$5:$B$8,2,FALSE),_xlfn.IFNA(VLOOKUP($AH286,_CONFIG_Model_Settings!$A$5:$B$8,2,FALSE),0.9)))</f>
        <v/>
      </c>
      <c r="AK286">
        <f>IF(OR($H286="",$H286="N/A"),"",IF($AI286="",VLOOKUP('Company Profile'!$B$41,_CONFIG_Model_Settings!$A$5:$B$8,2,FALSE),_xlfn.IFNA(VLOOKUP($AI286,_CONFIG_Model_Settings!$A$5:$B$8,2,FALSE),0.9)))</f>
        <v/>
      </c>
      <c r="AL286">
        <f>IF(OR($H286="",$H286="N/A"),"",ROUND(VALUE($H286)*$AJ286*$AK286*$AV286,2))</f>
        <v/>
      </c>
      <c r="AM286">
        <f>IF($AL286="","",ROUND($AL286/5*100,1))</f>
        <v/>
      </c>
      <c r="AN286">
        <f>IFERROR(MIN(5,MAX(0,(SUMIFS(_REF_Model_Content!$D$1:$D$157,_REF_Model_Content!$A$1:$A$157,'Company Profile'!$B$9,_REF_Model_Content!$B$1:$B$157,"Marketing Comms"))+_xlfn.IFNA(VLOOKUP('Company Profile'!$B$35,_CONFIG_Model_Settings!$A$11:$B$13,2,0),0))),"")</f>
        <v/>
      </c>
      <c r="AO286">
        <f>IF($AL286="","",MAX(0,ROUND($AN286-$AL286,2)))</f>
        <v/>
      </c>
      <c r="AP286">
        <f>IFERROR(SUMIFS(_REF_Model_Content!$E$1:$E$157,_REF_Model_Content!$A$1:$A$157,'Company Profile'!$B$9,_REF_Model_Content!$B$1:$B$157,"Marketing Comms"),1)</f>
        <v/>
      </c>
      <c r="AQ286">
        <f>IF($AO286="","",ROUND($AO286*$AP286*($G286/5),2))</f>
        <v/>
      </c>
      <c r="AR286">
        <f>IF($AO286="","",IF($AO286&gt;=2,"Critical industry gap",IF($AO286&gt;=1,"High industry gap",IF($AO286&gt;=0.5,"Moderate industry gap","Within target"))))</f>
        <v/>
      </c>
      <c r="AS286">
        <f>IF(OR($H286="",$H286="N/A"),0,VALUE($H286)*(($AJ286+$AK286)/2)*$AV286)</f>
        <v/>
      </c>
      <c r="AT286">
        <f>IF(OR($H286="",$H286="N/A"),0,($AJ286+$AK286)/2)</f>
        <v/>
      </c>
      <c r="AU286">
        <f>'Assessment Questions'!AX286</f>
        <v/>
      </c>
      <c r="AV286">
        <f>IF(OR($H286="",$H286="N/A"),"",IF(OR($AU286="",$AU286="Everywhere",$AU286="Not applicable"),1,IF($AU286="Pilot / one team",0.4,IF($AU286="One unit or site",0.7,0.9))))</f>
        <v/>
      </c>
      <c r="AW286" t="inlineStr">
        <is>
          <t>Marketing Comms</t>
        </is>
      </c>
      <c r="AX286" t="inlineStr">
        <is>
          <t>Marketing Comms</t>
        </is>
      </c>
      <c r="AY286" t="n">
        <v>10</v>
      </c>
      <c r="AZ286" t="n">
        <v>286</v>
      </c>
    </row>
    <row r="287">
      <c r="A287" t="inlineStr">
        <is>
          <t>MARK-007</t>
        </is>
      </c>
      <c r="B287" t="inlineStr">
        <is>
          <t>Crisis communication</t>
        </is>
      </c>
      <c r="C287" t="inlineStr">
        <is>
          <t>How mature is the organization in managing spokesperson identification, media training and backup coverage, including ownership, evidence, metrics, fallback procedures and crisis stress testing?</t>
        </is>
      </c>
      <c r="D287" t="inlineStr">
        <is>
          <t>This topic affects exposure to Reputation crisis; Demand shock; IT outage. It helps identify how disruption may impact operations, people, revenue, systems, legal exposure or recovery time.</t>
        </is>
      </c>
      <c r="E287" t="inlineStr">
        <is>
          <t>ISO 10002; ISO 10004; ISO 20671-1; ISO 22301; AMEC; crisis communication best practices</t>
        </is>
      </c>
      <c r="F287" t="inlineStr">
        <is>
          <t>Policy/SOP; owner/RACI; system report; dashboard; contracts; test records; incident history; interview evidence related to spokesperson identification, media training and backup coverage.</t>
        </is>
      </c>
      <c r="G287">
        <f>'Assessment Questions'!J287</f>
        <v/>
      </c>
      <c r="H287">
        <f>IF($Z287="","",IF($Z287="N/A","N/A",VALUE(LEFT($Z287,1))))</f>
        <v/>
      </c>
      <c r="I287">
        <f>IF($H287="","",IF($H287="N/A","",VALUE($H287)/5*$G287))</f>
        <v/>
      </c>
      <c r="J287">
        <f>IF(OR($H287="",$H287="N/A"),"",$G287)</f>
        <v/>
      </c>
      <c r="K287">
        <f>IF(OR($H287="",$H287="N/A"),"",$J287-$I287)</f>
        <v/>
      </c>
      <c r="L287">
        <f>IF($H287="","",IF($H287="N/A","N/A",IF(VALUE($H287)&lt;=1,"Critical",IF(VALUE($H287)&lt;=2,"High",IF(VALUE($H287)&lt;=3,"Medium",IF(VALUE($H287)&lt;=4,"Low","Resilient"))))))</f>
        <v/>
      </c>
      <c r="M287" t="inlineStr">
        <is>
          <t>Never done; no records exist.</t>
        </is>
      </c>
      <c r="N287" t="inlineStr">
        <is>
          <t>Done once long ago or only after an incident; no schedule, no records.</t>
        </is>
      </c>
      <c r="O287" t="inlineStr">
        <is>
          <t>Done irregularly; results are not documented and findings are not tracked.</t>
        </is>
      </c>
      <c r="P287" t="inlineStr">
        <is>
          <t>Done on a defined schedule (at least annually); results documented, owner assigned.</t>
        </is>
      </c>
      <c r="Q287" t="inlineStr">
        <is>
          <t>Done quarterly/semi-annually; findings tracked to closure, effectiveness measured against targets.</t>
        </is>
      </c>
      <c r="R287" t="inlineStr">
        <is>
          <t>Continuous or automated where possible; results drive improvements and are validated externally (audit/customer).</t>
        </is>
      </c>
      <c r="S287" t="inlineStr">
        <is>
          <t>Reputation crisis; Demand shock; IT outage</t>
        </is>
      </c>
      <c r="T287">
        <f>'Assessment Questions'!W287</f>
        <v/>
      </c>
      <c r="U287">
        <f>'Assessment Questions'!X287</f>
        <v/>
      </c>
      <c r="V287">
        <f>'Assessment Questions'!Y287</f>
        <v/>
      </c>
      <c r="W287" t="n">
        <v>5</v>
      </c>
      <c r="X287" t="n">
        <v>5</v>
      </c>
      <c r="Y287" t="n">
        <v>5</v>
      </c>
      <c r="Z287">
        <f>'Assessment Questions'!AC287</f>
        <v/>
      </c>
      <c r="AB287">
        <f>COUNTIF($B$281:$B$296,$AA287)</f>
        <v/>
      </c>
      <c r="AC287">
        <f>IFERROR(SUMPRODUCT(($B$281:$B$296=$AA287)*($H$281:$H$296&lt;&gt;"")*($H$281:$H$296&lt;&gt;"N/A")*IFERROR(VALUE($H$281:$H$296),0))/SUMPRODUCT(($B$281:$B$296=$AA287)*($H$281:$H$296&lt;&gt;"")*($H$281:$H$296&lt;&gt;"N/A")),0)</f>
        <v/>
      </c>
      <c r="AD287">
        <f>AC287/5</f>
        <v/>
      </c>
      <c r="AE287">
        <f>COUNTIFS($B$281:$B$296,$AA287,$L$281:$L$296,"Critical")+COUNTIFS($B$281:$B$296,$AA287,$L$281:$L$296,"High")</f>
        <v/>
      </c>
      <c r="AF287">
        <f>5-AC287</f>
        <v/>
      </c>
      <c r="AG287">
        <f>SUMPRODUCT(($B$281:$B$296=$AA287)*(ISNUMBER($H$281:$H$296)+($H$281:$H$296="N/A")))</f>
        <v/>
      </c>
      <c r="AH287">
        <f>'Assessment Questions'!AK287</f>
        <v/>
      </c>
      <c r="AI287">
        <f>'Assessment Questions'!AL287</f>
        <v/>
      </c>
      <c r="AJ287">
        <f>IF(OR($H287="",$H287="N/A"),"",IF($AH287="",VLOOKUP('Company Profile'!$B$40,_CONFIG_Model_Settings!$A$5:$B$8,2,FALSE),_xlfn.IFNA(VLOOKUP($AH287,_CONFIG_Model_Settings!$A$5:$B$8,2,FALSE),0.9)))</f>
        <v/>
      </c>
      <c r="AK287">
        <f>IF(OR($H287="",$H287="N/A"),"",IF($AI287="",VLOOKUP('Company Profile'!$B$41,_CONFIG_Model_Settings!$A$5:$B$8,2,FALSE),_xlfn.IFNA(VLOOKUP($AI287,_CONFIG_Model_Settings!$A$5:$B$8,2,FALSE),0.9)))</f>
        <v/>
      </c>
      <c r="AL287">
        <f>IF(OR($H287="",$H287="N/A"),"",ROUND(VALUE($H287)*$AJ287*$AK287*$AV287,2))</f>
        <v/>
      </c>
      <c r="AM287">
        <f>IF($AL287="","",ROUND($AL287/5*100,1))</f>
        <v/>
      </c>
      <c r="AN287">
        <f>IFERROR(MIN(5,MAX(0,(SUMIFS(_REF_Model_Content!$D$1:$D$157,_REF_Model_Content!$A$1:$A$157,'Company Profile'!$B$9,_REF_Model_Content!$B$1:$B$157,"Marketing Comms"))+_xlfn.IFNA(VLOOKUP('Company Profile'!$B$35,_CONFIG_Model_Settings!$A$11:$B$13,2,0),0))),"")</f>
        <v/>
      </c>
      <c r="AO287">
        <f>IF($AL287="","",MAX(0,ROUND($AN287-$AL287,2)))</f>
        <v/>
      </c>
      <c r="AP287">
        <f>IFERROR(SUMIFS(_REF_Model_Content!$E$1:$E$157,_REF_Model_Content!$A$1:$A$157,'Company Profile'!$B$9,_REF_Model_Content!$B$1:$B$157,"Marketing Comms"),1)</f>
        <v/>
      </c>
      <c r="AQ287">
        <f>IF($AO287="","",ROUND($AO287*$AP287*($G287/5),2))</f>
        <v/>
      </c>
      <c r="AR287">
        <f>IF($AO287="","",IF($AO287&gt;=2,"Critical industry gap",IF($AO287&gt;=1,"High industry gap",IF($AO287&gt;=0.5,"Moderate industry gap","Within target"))))</f>
        <v/>
      </c>
      <c r="AS287">
        <f>IF(OR($H287="",$H287="N/A"),0,VALUE($H287)*(($AJ287+$AK287)/2)*$AV287)</f>
        <v/>
      </c>
      <c r="AT287">
        <f>IF(OR($H287="",$H287="N/A"),0,($AJ287+$AK287)/2)</f>
        <v/>
      </c>
      <c r="AU287">
        <f>'Assessment Questions'!AX287</f>
        <v/>
      </c>
      <c r="AV287">
        <f>IF(OR($H287="",$H287="N/A"),"",IF(OR($AU287="",$AU287="Everywhere",$AU287="Not applicable"),1,IF($AU287="Pilot / one team",0.4,IF($AU287="One unit or site",0.7,0.9))))</f>
        <v/>
      </c>
      <c r="AW287" t="inlineStr">
        <is>
          <t>Marketing Comms</t>
        </is>
      </c>
      <c r="AX287" t="inlineStr">
        <is>
          <t>Marketing Comms</t>
        </is>
      </c>
      <c r="AY287" t="n">
        <v>11</v>
      </c>
      <c r="AZ287" t="n">
        <v>287</v>
      </c>
    </row>
    <row r="288">
      <c r="A288" t="inlineStr">
        <is>
          <t>MARK-008</t>
        </is>
      </c>
      <c r="B288" t="inlineStr">
        <is>
          <t>Crisis communication</t>
        </is>
      </c>
      <c r="C288" t="inlineStr">
        <is>
          <t>How mature is the organization in managing media, social, review and customer sentiment monitoring, including ownership, evidence, metrics, fallback procedures and crisis stress testing?</t>
        </is>
      </c>
      <c r="D288" t="inlineStr">
        <is>
          <t>This topic affects exposure to Reputation crisis; Demand shock; IT outage. It helps identify how disruption may impact operations, people, revenue, systems, legal exposure or recovery time.</t>
        </is>
      </c>
      <c r="E288" t="inlineStr">
        <is>
          <t>ISO 10002; ISO 10004; ISO 20671-1; ISO 22301; AMEC; crisis communication best practices</t>
        </is>
      </c>
      <c r="F288" t="inlineStr">
        <is>
          <t>Policy/SOP; owner/RACI; system report; dashboard; contracts; test records; incident history; interview evidence related to media, social, review and customer sentiment monitoring.</t>
        </is>
      </c>
      <c r="G288">
        <f>'Assessment Questions'!J288</f>
        <v/>
      </c>
      <c r="H288">
        <f>IF($Z288="","",IF($Z288="N/A","N/A",VALUE(LEFT($Z288,1))))</f>
        <v/>
      </c>
      <c r="I288">
        <f>IF($H288="","",IF($H288="N/A","",VALUE($H288)/5*$G288))</f>
        <v/>
      </c>
      <c r="J288">
        <f>IF(OR($H288="",$H288="N/A"),"",$G288)</f>
        <v/>
      </c>
      <c r="K288">
        <f>IF(OR($H288="",$H288="N/A"),"",$J288-$I288)</f>
        <v/>
      </c>
      <c r="L288">
        <f>IF($H288="","",IF($H288="N/A","N/A",IF(VALUE($H288)&lt;=1,"Critical",IF(VALUE($H288)&lt;=2,"High",IF(VALUE($H288)&lt;=3,"Medium",IF(VALUE($H288)&lt;=4,"Low","Resilient"))))))</f>
        <v/>
      </c>
      <c r="M288" t="inlineStr">
        <is>
          <t>No reliable evidence that media, social, review and customer sentiment monitoring is defined, owned or managed.</t>
        </is>
      </c>
      <c r="N288" t="inlineStr">
        <is>
          <t>Media, social, review and customer sentiment monitoring is handled informally and depends on individual knowledge or heroic effort.</t>
        </is>
      </c>
      <c r="O288" t="inlineStr">
        <is>
          <t>Media, social, review and customer sentiment monitoring is partially documented or implemented, but coverage is inconsistent and not crisis-tested.</t>
        </is>
      </c>
      <c r="P288" t="inlineStr">
        <is>
          <t>Media, social, review and customer sentiment monitoring is documented, owned, used in normal operations and supported by basic evidence or metrics.</t>
        </is>
      </c>
      <c r="Q288" t="inlineStr">
        <is>
          <t>Media, social, review and customer sentiment monitoring is measured, periodically reviewed, integrated with related processes and tested against relevant disruption scenarios.</t>
        </is>
      </c>
      <c r="R288" t="inlineStr">
        <is>
          <t>Media, social, review and customer sentiment monitoring is optimized, continuously improved, automated where practical and demonstrably supports crisis resilience.</t>
        </is>
      </c>
      <c r="S288" t="inlineStr">
        <is>
          <t>Reputation crisis; Demand shock; IT outage</t>
        </is>
      </c>
      <c r="T288">
        <f>'Assessment Questions'!W288</f>
        <v/>
      </c>
      <c r="U288">
        <f>'Assessment Questions'!X288</f>
        <v/>
      </c>
      <c r="V288">
        <f>'Assessment Questions'!Y288</f>
        <v/>
      </c>
      <c r="W288" t="n">
        <v>4</v>
      </c>
      <c r="X288" t="n">
        <v>5</v>
      </c>
      <c r="Y288" t="n">
        <v>5</v>
      </c>
      <c r="Z288">
        <f>'Assessment Questions'!AC288</f>
        <v/>
      </c>
      <c r="AB288">
        <f>COUNTIF($B$281:$B$296,$AA288)</f>
        <v/>
      </c>
      <c r="AC288">
        <f>IFERROR(SUMPRODUCT(($B$281:$B$296=$AA288)*($H$281:$H$296&lt;&gt;"")*($H$281:$H$296&lt;&gt;"N/A")*IFERROR(VALUE($H$281:$H$296),0))/SUMPRODUCT(($B$281:$B$296=$AA288)*($H$281:$H$296&lt;&gt;"")*($H$281:$H$296&lt;&gt;"N/A")),0)</f>
        <v/>
      </c>
      <c r="AD288">
        <f>AC288/5</f>
        <v/>
      </c>
      <c r="AE288">
        <f>COUNTIFS($B$281:$B$296,$AA288,$L$281:$L$296,"Critical")+COUNTIFS($B$281:$B$296,$AA288,$L$281:$L$296,"High")</f>
        <v/>
      </c>
      <c r="AF288">
        <f>5-AC288</f>
        <v/>
      </c>
      <c r="AG288">
        <f>SUMPRODUCT(($B$281:$B$296=$AA288)*(ISNUMBER($H$281:$H$296)+($H$281:$H$296="N/A")))</f>
        <v/>
      </c>
      <c r="AH288">
        <f>'Assessment Questions'!AK288</f>
        <v/>
      </c>
      <c r="AI288">
        <f>'Assessment Questions'!AL288</f>
        <v/>
      </c>
      <c r="AJ288">
        <f>IF(OR($H288="",$H288="N/A"),"",IF($AH288="",VLOOKUP('Company Profile'!$B$40,_CONFIG_Model_Settings!$A$5:$B$8,2,FALSE),_xlfn.IFNA(VLOOKUP($AH288,_CONFIG_Model_Settings!$A$5:$B$8,2,FALSE),0.9)))</f>
        <v/>
      </c>
      <c r="AK288">
        <f>IF(OR($H288="",$H288="N/A"),"",IF($AI288="",VLOOKUP('Company Profile'!$B$41,_CONFIG_Model_Settings!$A$5:$B$8,2,FALSE),_xlfn.IFNA(VLOOKUP($AI288,_CONFIG_Model_Settings!$A$5:$B$8,2,FALSE),0.9)))</f>
        <v/>
      </c>
      <c r="AL288">
        <f>IF(OR($H288="",$H288="N/A"),"",ROUND(VALUE($H288)*$AJ288*$AK288*$AV288,2))</f>
        <v/>
      </c>
      <c r="AM288">
        <f>IF($AL288="","",ROUND($AL288/5*100,1))</f>
        <v/>
      </c>
      <c r="AN288">
        <f>IFERROR(MIN(5,MAX(0,(SUMIFS(_REF_Model_Content!$D$1:$D$157,_REF_Model_Content!$A$1:$A$157,'Company Profile'!$B$9,_REF_Model_Content!$B$1:$B$157,"Marketing Comms"))+_xlfn.IFNA(VLOOKUP('Company Profile'!$B$35,_CONFIG_Model_Settings!$A$11:$B$13,2,0),0))),"")</f>
        <v/>
      </c>
      <c r="AO288">
        <f>IF($AL288="","",MAX(0,ROUND($AN288-$AL288,2)))</f>
        <v/>
      </c>
      <c r="AP288">
        <f>IFERROR(SUMIFS(_REF_Model_Content!$E$1:$E$157,_REF_Model_Content!$A$1:$A$157,'Company Profile'!$B$9,_REF_Model_Content!$B$1:$B$157,"Marketing Comms"),1)</f>
        <v/>
      </c>
      <c r="AQ288">
        <f>IF($AO288="","",ROUND($AO288*$AP288*($G288/5),2))</f>
        <v/>
      </c>
      <c r="AR288">
        <f>IF($AO288="","",IF($AO288&gt;=2,"Critical industry gap",IF($AO288&gt;=1,"High industry gap",IF($AO288&gt;=0.5,"Moderate industry gap","Within target"))))</f>
        <v/>
      </c>
      <c r="AS288">
        <f>IF(OR($H288="",$H288="N/A"),0,VALUE($H288)*(($AJ288+$AK288)/2)*$AV288)</f>
        <v/>
      </c>
      <c r="AT288">
        <f>IF(OR($H288="",$H288="N/A"),0,($AJ288+$AK288)/2)</f>
        <v/>
      </c>
      <c r="AU288">
        <f>'Assessment Questions'!AX288</f>
        <v/>
      </c>
      <c r="AV288">
        <f>IF(OR($H288="",$H288="N/A"),"",IF(OR($AU288="",$AU288="Everywhere",$AU288="Not applicable"),1,IF($AU288="Pilot / one team",0.4,IF($AU288="One unit or site",0.7,0.9))))</f>
        <v/>
      </c>
      <c r="AW288" t="inlineStr">
        <is>
          <t>Marketing Comms</t>
        </is>
      </c>
      <c r="AX288" t="inlineStr">
        <is>
          <t>Marketing Comms</t>
        </is>
      </c>
      <c r="AY288" t="n">
        <v>12</v>
      </c>
      <c r="AZ288" t="n">
        <v>288</v>
      </c>
    </row>
    <row r="289">
      <c r="A289" t="inlineStr">
        <is>
          <t>MARK-009</t>
        </is>
      </c>
      <c r="B289" t="inlineStr">
        <is>
          <t>Crisis communication</t>
        </is>
      </c>
      <c r="C289" t="inlineStr">
        <is>
          <t>How mature is the organization in managing escalation and approval rules for sensitive public responses, including ownership, evidence, metrics, fallback procedures and crisis stress testing?</t>
        </is>
      </c>
      <c r="D289" t="inlineStr">
        <is>
          <t>This topic affects exposure to Reputation crisis; Demand shock; IT outage. It helps identify how disruption may impact operations, people, revenue, systems, legal exposure or recovery time.</t>
        </is>
      </c>
      <c r="E289" t="inlineStr">
        <is>
          <t>ISO 10002; ISO 10004; ISO 20671-1; ISO 22301; AMEC; crisis communication best practices</t>
        </is>
      </c>
      <c r="F289" t="inlineStr">
        <is>
          <t>Policy/SOP; owner/RACI; system report; dashboard; contracts; test records; incident history; interview evidence related to escalation and approval rules for sensitive public responses.</t>
        </is>
      </c>
      <c r="G289">
        <f>'Assessment Questions'!J289</f>
        <v/>
      </c>
      <c r="H289">
        <f>IF($Z289="","",IF($Z289="N/A","N/A",VALUE(LEFT($Z289,1))))</f>
        <v/>
      </c>
      <c r="I289">
        <f>IF($H289="","",IF($H289="N/A","",VALUE($H289)/5*$G289))</f>
        <v/>
      </c>
      <c r="J289">
        <f>IF(OR($H289="",$H289="N/A"),"",$G289)</f>
        <v/>
      </c>
      <c r="K289">
        <f>IF(OR($H289="",$H289="N/A"),"",$J289-$I289)</f>
        <v/>
      </c>
      <c r="L289">
        <f>IF($H289="","",IF($H289="N/A","N/A",IF(VALUE($H289)&lt;=1,"Critical",IF(VALUE($H289)&lt;=2,"High",IF(VALUE($H289)&lt;=3,"Medium",IF(VALUE($H289)&lt;=4,"Low","Resilient"))))))</f>
        <v/>
      </c>
      <c r="M289" t="inlineStr">
        <is>
          <t>No reliable evidence that escalation and approval rules for sensitive public responses is defined, owned or managed.</t>
        </is>
      </c>
      <c r="N289" t="inlineStr">
        <is>
          <t>Escalation and approval rules for sensitive public responses is handled informally and depends on individual knowledge or heroic effort.</t>
        </is>
      </c>
      <c r="O289" t="inlineStr">
        <is>
          <t>Escalation and approval rules for sensitive public responses is partially documented or implemented, but coverage is inconsistent and not crisis-tested.</t>
        </is>
      </c>
      <c r="P289" t="inlineStr">
        <is>
          <t>Escalation and approval rules for sensitive public responses is documented, owned, used in normal operations and supported by basic evidence or metrics.</t>
        </is>
      </c>
      <c r="Q289" t="inlineStr">
        <is>
          <t>Escalation and approval rules for sensitive public responses is measured, periodically reviewed, integrated with related processes and tested against relevant disruption scenarios.</t>
        </is>
      </c>
      <c r="R289" t="inlineStr">
        <is>
          <t>Escalation and approval rules for sensitive public responses is optimized, continuously improved, automated where practical and demonstrably supports crisis resilience.</t>
        </is>
      </c>
      <c r="S289" t="inlineStr">
        <is>
          <t>Reputation crisis; Demand shock; IT outage</t>
        </is>
      </c>
      <c r="T289">
        <f>'Assessment Questions'!W289</f>
        <v/>
      </c>
      <c r="U289">
        <f>'Assessment Questions'!X289</f>
        <v/>
      </c>
      <c r="V289">
        <f>'Assessment Questions'!Y289</f>
        <v/>
      </c>
      <c r="W289" t="n">
        <v>4</v>
      </c>
      <c r="X289" t="n">
        <v>5</v>
      </c>
      <c r="Y289" t="n">
        <v>5</v>
      </c>
      <c r="Z289">
        <f>'Assessment Questions'!AC289</f>
        <v/>
      </c>
      <c r="AB289">
        <f>COUNTIF($B$281:$B$296,$AA289)</f>
        <v/>
      </c>
      <c r="AC289">
        <f>IFERROR(SUMPRODUCT(($B$281:$B$296=$AA289)*($H$281:$H$296&lt;&gt;"")*($H$281:$H$296&lt;&gt;"N/A")*IFERROR(VALUE($H$281:$H$296),0))/SUMPRODUCT(($B$281:$B$296=$AA289)*($H$281:$H$296&lt;&gt;"")*($H$281:$H$296&lt;&gt;"N/A")),0)</f>
        <v/>
      </c>
      <c r="AD289">
        <f>AC289/5</f>
        <v/>
      </c>
      <c r="AE289">
        <f>COUNTIFS($B$281:$B$296,$AA289,$L$281:$L$296,"Critical")+COUNTIFS($B$281:$B$296,$AA289,$L$281:$L$296,"High")</f>
        <v/>
      </c>
      <c r="AF289">
        <f>5-AC289</f>
        <v/>
      </c>
      <c r="AG289">
        <f>SUMPRODUCT(($B$281:$B$296=$AA289)*(ISNUMBER($H$281:$H$296)+($H$281:$H$296="N/A")))</f>
        <v/>
      </c>
      <c r="AH289">
        <f>'Assessment Questions'!AK289</f>
        <v/>
      </c>
      <c r="AI289">
        <f>'Assessment Questions'!AL289</f>
        <v/>
      </c>
      <c r="AJ289">
        <f>IF(OR($H289="",$H289="N/A"),"",IF($AH289="",VLOOKUP('Company Profile'!$B$40,_CONFIG_Model_Settings!$A$5:$B$8,2,FALSE),_xlfn.IFNA(VLOOKUP($AH289,_CONFIG_Model_Settings!$A$5:$B$8,2,FALSE),0.9)))</f>
        <v/>
      </c>
      <c r="AK289">
        <f>IF(OR($H289="",$H289="N/A"),"",IF($AI289="",VLOOKUP('Company Profile'!$B$41,_CONFIG_Model_Settings!$A$5:$B$8,2,FALSE),_xlfn.IFNA(VLOOKUP($AI289,_CONFIG_Model_Settings!$A$5:$B$8,2,FALSE),0.9)))</f>
        <v/>
      </c>
      <c r="AL289">
        <f>IF(OR($H289="",$H289="N/A"),"",ROUND(VALUE($H289)*$AJ289*$AK289*$AV289,2))</f>
        <v/>
      </c>
      <c r="AM289">
        <f>IF($AL289="","",ROUND($AL289/5*100,1))</f>
        <v/>
      </c>
      <c r="AN289">
        <f>IFERROR(MIN(5,MAX(0,(SUMIFS(_REF_Model_Content!$D$1:$D$157,_REF_Model_Content!$A$1:$A$157,'Company Profile'!$B$9,_REF_Model_Content!$B$1:$B$157,"Marketing Comms"))+_xlfn.IFNA(VLOOKUP('Company Profile'!$B$35,_CONFIG_Model_Settings!$A$11:$B$13,2,0),0))),"")</f>
        <v/>
      </c>
      <c r="AO289">
        <f>IF($AL289="","",MAX(0,ROUND($AN289-$AL289,2)))</f>
        <v/>
      </c>
      <c r="AP289">
        <f>IFERROR(SUMIFS(_REF_Model_Content!$E$1:$E$157,_REF_Model_Content!$A$1:$A$157,'Company Profile'!$B$9,_REF_Model_Content!$B$1:$B$157,"Marketing Comms"),1)</f>
        <v/>
      </c>
      <c r="AQ289">
        <f>IF($AO289="","",ROUND($AO289*$AP289*($G289/5),2))</f>
        <v/>
      </c>
      <c r="AR289">
        <f>IF($AO289="","",IF($AO289&gt;=2,"Critical industry gap",IF($AO289&gt;=1,"High industry gap",IF($AO289&gt;=0.5,"Moderate industry gap","Within target"))))</f>
        <v/>
      </c>
      <c r="AS289">
        <f>IF(OR($H289="",$H289="N/A"),0,VALUE($H289)*(($AJ289+$AK289)/2)*$AV289)</f>
        <v/>
      </c>
      <c r="AT289">
        <f>IF(OR($H289="",$H289="N/A"),0,($AJ289+$AK289)/2)</f>
        <v/>
      </c>
      <c r="AU289">
        <f>'Assessment Questions'!AX289</f>
        <v/>
      </c>
      <c r="AV289">
        <f>IF(OR($H289="",$H289="N/A"),"",IF(OR($AU289="",$AU289="Everywhere",$AU289="Not applicable"),1,IF($AU289="Pilot / one team",0.4,IF($AU289="One unit or site",0.7,0.9))))</f>
        <v/>
      </c>
      <c r="AW289" t="inlineStr">
        <is>
          <t>Marketing Comms</t>
        </is>
      </c>
      <c r="AX289" t="inlineStr">
        <is>
          <t>Marketing Comms</t>
        </is>
      </c>
      <c r="AY289" t="n">
        <v>13</v>
      </c>
      <c r="AZ289" t="n">
        <v>289</v>
      </c>
    </row>
    <row r="290">
      <c r="A290" t="inlineStr">
        <is>
          <t>MARK-010</t>
        </is>
      </c>
      <c r="B290" t="inlineStr">
        <is>
          <t>Crisis communication</t>
        </is>
      </c>
      <c r="C290" t="inlineStr">
        <is>
          <t>How mature is the organization in managing customer communication channel diversity across email, phone, portal, SMS, account managers and social media, including ownership, evidence, metrics, fallback procedures and crisis stress testing?</t>
        </is>
      </c>
      <c r="D290" t="inlineStr">
        <is>
          <t>This topic affects exposure to Reputation crisis; Demand shock; IT outage. It helps identify how disruption may impact operations, people, revenue, systems, legal exposure or recovery time.</t>
        </is>
      </c>
      <c r="E290" t="inlineStr">
        <is>
          <t>ISO 10002; ISO 10004; ISO 20671-1; ISO 22301; AMEC; crisis communication best practices</t>
        </is>
      </c>
      <c r="F290" t="inlineStr">
        <is>
          <t>Policy/SOP; owner/RACI; system report; dashboard; contracts; test records; incident history; interview evidence related to customer communication channel diversity across email, phone, portal, SMS, account managers and social media.</t>
        </is>
      </c>
      <c r="G290">
        <f>'Assessment Questions'!J290</f>
        <v/>
      </c>
      <c r="H290">
        <f>IF($Z290="","",IF($Z290="N/A","N/A",VALUE(LEFT($Z290,1))))</f>
        <v/>
      </c>
      <c r="I290">
        <f>IF($H290="","",IF($H290="N/A","",VALUE($H290)/5*$G290))</f>
        <v/>
      </c>
      <c r="J290">
        <f>IF(OR($H290="",$H290="N/A"),"",$G290)</f>
        <v/>
      </c>
      <c r="K290">
        <f>IF(OR($H290="",$H290="N/A"),"",$J290-$I290)</f>
        <v/>
      </c>
      <c r="L290">
        <f>IF($H290="","",IF($H290="N/A","N/A",IF(VALUE($H290)&lt;=1,"Critical",IF(VALUE($H290)&lt;=2,"High",IF(VALUE($H290)&lt;=3,"Medium",IF(VALUE($H290)&lt;=4,"Low","Resilient"))))))</f>
        <v/>
      </c>
      <c r="M290" t="inlineStr">
        <is>
          <t>No reliable evidence that customer communication channel diversity across email, phone, portal, sms, account managers and social media is defined, owned or managed.</t>
        </is>
      </c>
      <c r="N290" t="inlineStr">
        <is>
          <t>Customer communication channel diversity across email, phone, portal, SMS, account managers and social media is handled informally and depends on individual knowledge or heroic effort.</t>
        </is>
      </c>
      <c r="O290" t="inlineStr">
        <is>
          <t>Customer communication channel diversity across email, phone, portal, SMS, account managers and social media is partially documented or implemented, but coverage is inconsistent and not crisis-tested.</t>
        </is>
      </c>
      <c r="P290" t="inlineStr">
        <is>
          <t>Customer communication channel diversity across email, phone, portal, SMS, account managers and social media is documented, owned, used in normal operations and supported by basic evidence or metrics.</t>
        </is>
      </c>
      <c r="Q290" t="inlineStr">
        <is>
          <t>Customer communication channel diversity across email, phone, portal, SMS, account managers and social media is measured, periodically reviewed, integrated with related processes and tested against relevant disruption scenarios.</t>
        </is>
      </c>
      <c r="R290" t="inlineStr">
        <is>
          <t>Customer communication channel diversity across email, phone, portal, SMS, account managers and social media is optimized, continuously improved, automated where practical and demonstrably supports crisis resilience.</t>
        </is>
      </c>
      <c r="S290" t="inlineStr">
        <is>
          <t>Reputation crisis; Demand shock; IT outage</t>
        </is>
      </c>
      <c r="T290">
        <f>'Assessment Questions'!W290</f>
        <v/>
      </c>
      <c r="U290">
        <f>'Assessment Questions'!X290</f>
        <v/>
      </c>
      <c r="V290">
        <f>'Assessment Questions'!Y290</f>
        <v/>
      </c>
      <c r="W290" t="n">
        <v>4</v>
      </c>
      <c r="X290" t="n">
        <v>5</v>
      </c>
      <c r="Y290" t="n">
        <v>5</v>
      </c>
      <c r="Z290">
        <f>'Assessment Questions'!AC290</f>
        <v/>
      </c>
      <c r="AB290">
        <f>COUNTIF($B$281:$B$296,$AA290)</f>
        <v/>
      </c>
      <c r="AC290">
        <f>IFERROR(SUMPRODUCT(($B$281:$B$296=$AA290)*($H$281:$H$296&lt;&gt;"")*($H$281:$H$296&lt;&gt;"N/A")*IFERROR(VALUE($H$281:$H$296),0))/SUMPRODUCT(($B$281:$B$296=$AA290)*($H$281:$H$296&lt;&gt;"")*($H$281:$H$296&lt;&gt;"N/A")),0)</f>
        <v/>
      </c>
      <c r="AD290">
        <f>AC290/5</f>
        <v/>
      </c>
      <c r="AE290">
        <f>COUNTIFS($B$281:$B$296,$AA290,$L$281:$L$296,"Critical")+COUNTIFS($B$281:$B$296,$AA290,$L$281:$L$296,"High")</f>
        <v/>
      </c>
      <c r="AF290">
        <f>5-AC290</f>
        <v/>
      </c>
      <c r="AG290">
        <f>SUMPRODUCT(($B$281:$B$296=$AA290)*(ISNUMBER($H$281:$H$296)+($H$281:$H$296="N/A")))</f>
        <v/>
      </c>
      <c r="AH290">
        <f>'Assessment Questions'!AK290</f>
        <v/>
      </c>
      <c r="AI290">
        <f>'Assessment Questions'!AL290</f>
        <v/>
      </c>
      <c r="AJ290">
        <f>IF(OR($H290="",$H290="N/A"),"",IF($AH290="",VLOOKUP('Company Profile'!$B$40,_CONFIG_Model_Settings!$A$5:$B$8,2,FALSE),_xlfn.IFNA(VLOOKUP($AH290,_CONFIG_Model_Settings!$A$5:$B$8,2,FALSE),0.9)))</f>
        <v/>
      </c>
      <c r="AK290">
        <f>IF(OR($H290="",$H290="N/A"),"",IF($AI290="",VLOOKUP('Company Profile'!$B$41,_CONFIG_Model_Settings!$A$5:$B$8,2,FALSE),_xlfn.IFNA(VLOOKUP($AI290,_CONFIG_Model_Settings!$A$5:$B$8,2,FALSE),0.9)))</f>
        <v/>
      </c>
      <c r="AL290">
        <f>IF(OR($H290="",$H290="N/A"),"",ROUND(VALUE($H290)*$AJ290*$AK290*$AV290,2))</f>
        <v/>
      </c>
      <c r="AM290">
        <f>IF($AL290="","",ROUND($AL290/5*100,1))</f>
        <v/>
      </c>
      <c r="AN290">
        <f>IFERROR(MIN(5,MAX(0,(SUMIFS(_REF_Model_Content!$D$1:$D$157,_REF_Model_Content!$A$1:$A$157,'Company Profile'!$B$9,_REF_Model_Content!$B$1:$B$157,"Marketing Comms"))+_xlfn.IFNA(VLOOKUP('Company Profile'!$B$35,_CONFIG_Model_Settings!$A$11:$B$13,2,0),0))),"")</f>
        <v/>
      </c>
      <c r="AO290">
        <f>IF($AL290="","",MAX(0,ROUND($AN290-$AL290,2)))</f>
        <v/>
      </c>
      <c r="AP290">
        <f>IFERROR(SUMIFS(_REF_Model_Content!$E$1:$E$157,_REF_Model_Content!$A$1:$A$157,'Company Profile'!$B$9,_REF_Model_Content!$B$1:$B$157,"Marketing Comms"),1)</f>
        <v/>
      </c>
      <c r="AQ290">
        <f>IF($AO290="","",ROUND($AO290*$AP290*($G290/5),2))</f>
        <v/>
      </c>
      <c r="AR290">
        <f>IF($AO290="","",IF($AO290&gt;=2,"Critical industry gap",IF($AO290&gt;=1,"High industry gap",IF($AO290&gt;=0.5,"Moderate industry gap","Within target"))))</f>
        <v/>
      </c>
      <c r="AS290">
        <f>IF(OR($H290="",$H290="N/A"),0,VALUE($H290)*(($AJ290+$AK290)/2)*$AV290)</f>
        <v/>
      </c>
      <c r="AT290">
        <f>IF(OR($H290="",$H290="N/A"),0,($AJ290+$AK290)/2)</f>
        <v/>
      </c>
      <c r="AU290">
        <f>'Assessment Questions'!AX290</f>
        <v/>
      </c>
      <c r="AV290">
        <f>IF(OR($H290="",$H290="N/A"),"",IF(OR($AU290="",$AU290="Everywhere",$AU290="Not applicable"),1,IF($AU290="Pilot / one team",0.4,IF($AU290="One unit or site",0.7,0.9))))</f>
        <v/>
      </c>
      <c r="AW290" t="inlineStr">
        <is>
          <t>Marketing Comms</t>
        </is>
      </c>
      <c r="AX290" t="inlineStr">
        <is>
          <t>Marketing Comms</t>
        </is>
      </c>
      <c r="AY290" t="n">
        <v>14</v>
      </c>
      <c r="AZ290" t="n">
        <v>290</v>
      </c>
    </row>
    <row r="291">
      <c r="A291" t="inlineStr">
        <is>
          <t>MARK-011</t>
        </is>
      </c>
      <c r="B291" t="inlineStr">
        <is>
          <t>Crisis communication</t>
        </is>
      </c>
      <c r="C291" t="inlineStr">
        <is>
          <t>How mature is the organization in managing misinformation, impersonation, fake invoice and brand-abuse response process, including ownership, evidence, metrics, fallback procedures and crisis stress testing?</t>
        </is>
      </c>
      <c r="D291" t="inlineStr">
        <is>
          <t>This topic affects exposure to Reputation crisis; Demand shock; IT outage. It helps identify how disruption may impact operations, people, revenue, systems, legal exposure or recovery time.</t>
        </is>
      </c>
      <c r="E291" t="inlineStr">
        <is>
          <t>ISO 10002; ISO 10004; ISO 20671-1; ISO 22301; AMEC; crisis communication best practices</t>
        </is>
      </c>
      <c r="F291" t="inlineStr">
        <is>
          <t>Policy/SOP; owner/RACI; system report; dashboard; contracts; test records; incident history; interview evidence related to misinformation, impersonation, fake invoice and brand-abuse response process.</t>
        </is>
      </c>
      <c r="G291">
        <f>'Assessment Questions'!J291</f>
        <v/>
      </c>
      <c r="H291">
        <f>IF($Z291="","",IF($Z291="N/A","N/A",VALUE(LEFT($Z291,1))))</f>
        <v/>
      </c>
      <c r="I291">
        <f>IF($H291="","",IF($H291="N/A","",VALUE($H291)/5*$G291))</f>
        <v/>
      </c>
      <c r="J291">
        <f>IF(OR($H291="",$H291="N/A"),"",$G291)</f>
        <v/>
      </c>
      <c r="K291">
        <f>IF(OR($H291="",$H291="N/A"),"",$J291-$I291)</f>
        <v/>
      </c>
      <c r="L291">
        <f>IF($H291="","",IF($H291="N/A","N/A",IF(VALUE($H291)&lt;=1,"Critical",IF(VALUE($H291)&lt;=2,"High",IF(VALUE($H291)&lt;=3,"Medium",IF(VALUE($H291)&lt;=4,"Low","Resilient"))))))</f>
        <v/>
      </c>
      <c r="M291" t="inlineStr">
        <is>
          <t>No reliable evidence that misinformation, impersonation, fake invoice and brand-abuse response process is defined, owned or managed.</t>
        </is>
      </c>
      <c r="N291" t="inlineStr">
        <is>
          <t>Misinformation, impersonation, fake invoice and brand-abuse response process is handled informally and depends on individual knowledge or heroic effort.</t>
        </is>
      </c>
      <c r="O291" t="inlineStr">
        <is>
          <t>Misinformation, impersonation, fake invoice and brand-abuse response process is partially documented or implemented, but coverage is inconsistent and not crisis-tested.</t>
        </is>
      </c>
      <c r="P291" t="inlineStr">
        <is>
          <t>Misinformation, impersonation, fake invoice and brand-abuse response process is documented, owned, used in normal operations and supported by basic evidence or metrics.</t>
        </is>
      </c>
      <c r="Q291" t="inlineStr">
        <is>
          <t>Misinformation, impersonation, fake invoice and brand-abuse response process is measured, periodically reviewed, integrated with related processes and tested against relevant disruption scenarios.</t>
        </is>
      </c>
      <c r="R291" t="inlineStr">
        <is>
          <t>Misinformation, impersonation, fake invoice and brand-abuse response process is optimized, continuously improved, automated where practical and demonstrably supports crisis resilience.</t>
        </is>
      </c>
      <c r="S291" t="inlineStr">
        <is>
          <t>Reputation crisis; Demand shock; IT outage</t>
        </is>
      </c>
      <c r="T291">
        <f>'Assessment Questions'!W291</f>
        <v/>
      </c>
      <c r="U291">
        <f>'Assessment Questions'!X291</f>
        <v/>
      </c>
      <c r="V291">
        <f>'Assessment Questions'!Y291</f>
        <v/>
      </c>
      <c r="W291" t="n">
        <v>4</v>
      </c>
      <c r="X291" t="n">
        <v>5</v>
      </c>
      <c r="Y291" t="n">
        <v>5</v>
      </c>
      <c r="Z291">
        <f>'Assessment Questions'!AC291</f>
        <v/>
      </c>
      <c r="AB291">
        <f>COUNTIF($B$281:$B$296,$AA291)</f>
        <v/>
      </c>
      <c r="AC291">
        <f>IFERROR(SUMPRODUCT(($B$281:$B$296=$AA291)*($H$281:$H$296&lt;&gt;"")*($H$281:$H$296&lt;&gt;"N/A")*IFERROR(VALUE($H$281:$H$296),0))/SUMPRODUCT(($B$281:$B$296=$AA291)*($H$281:$H$296&lt;&gt;"")*($H$281:$H$296&lt;&gt;"N/A")),0)</f>
        <v/>
      </c>
      <c r="AD291">
        <f>AC291/5</f>
        <v/>
      </c>
      <c r="AE291">
        <f>COUNTIFS($B$281:$B$296,$AA291,$L$281:$L$296,"Critical")+COUNTIFS($B$281:$B$296,$AA291,$L$281:$L$296,"High")</f>
        <v/>
      </c>
      <c r="AF291">
        <f>5-AC291</f>
        <v/>
      </c>
      <c r="AG291">
        <f>SUMPRODUCT(($B$281:$B$296=$AA291)*(ISNUMBER($H$281:$H$296)+($H$281:$H$296="N/A")))</f>
        <v/>
      </c>
      <c r="AH291">
        <f>'Assessment Questions'!AK291</f>
        <v/>
      </c>
      <c r="AI291">
        <f>'Assessment Questions'!AL291</f>
        <v/>
      </c>
      <c r="AJ291">
        <f>IF(OR($H291="",$H291="N/A"),"",IF($AH291="",VLOOKUP('Company Profile'!$B$40,_CONFIG_Model_Settings!$A$5:$B$8,2,FALSE),_xlfn.IFNA(VLOOKUP($AH291,_CONFIG_Model_Settings!$A$5:$B$8,2,FALSE),0.9)))</f>
        <v/>
      </c>
      <c r="AK291">
        <f>IF(OR($H291="",$H291="N/A"),"",IF($AI291="",VLOOKUP('Company Profile'!$B$41,_CONFIG_Model_Settings!$A$5:$B$8,2,FALSE),_xlfn.IFNA(VLOOKUP($AI291,_CONFIG_Model_Settings!$A$5:$B$8,2,FALSE),0.9)))</f>
        <v/>
      </c>
      <c r="AL291">
        <f>IF(OR($H291="",$H291="N/A"),"",ROUND(VALUE($H291)*$AJ291*$AK291*$AV291,2))</f>
        <v/>
      </c>
      <c r="AM291">
        <f>IF($AL291="","",ROUND($AL291/5*100,1))</f>
        <v/>
      </c>
      <c r="AN291">
        <f>IFERROR(MIN(5,MAX(0,(SUMIFS(_REF_Model_Content!$D$1:$D$157,_REF_Model_Content!$A$1:$A$157,'Company Profile'!$B$9,_REF_Model_Content!$B$1:$B$157,"Marketing Comms"))+_xlfn.IFNA(VLOOKUP('Company Profile'!$B$35,_CONFIG_Model_Settings!$A$11:$B$13,2,0),0))),"")</f>
        <v/>
      </c>
      <c r="AO291">
        <f>IF($AL291="","",MAX(0,ROUND($AN291-$AL291,2)))</f>
        <v/>
      </c>
      <c r="AP291">
        <f>IFERROR(SUMIFS(_REF_Model_Content!$E$1:$E$157,_REF_Model_Content!$A$1:$A$157,'Company Profile'!$B$9,_REF_Model_Content!$B$1:$B$157,"Marketing Comms"),1)</f>
        <v/>
      </c>
      <c r="AQ291">
        <f>IF($AO291="","",ROUND($AO291*$AP291*($G291/5),2))</f>
        <v/>
      </c>
      <c r="AR291">
        <f>IF($AO291="","",IF($AO291&gt;=2,"Critical industry gap",IF($AO291&gt;=1,"High industry gap",IF($AO291&gt;=0.5,"Moderate industry gap","Within target"))))</f>
        <v/>
      </c>
      <c r="AS291">
        <f>IF(OR($H291="",$H291="N/A"),0,VALUE($H291)*(($AJ291+$AK291)/2)*$AV291)</f>
        <v/>
      </c>
      <c r="AT291">
        <f>IF(OR($H291="",$H291="N/A"),0,($AJ291+$AK291)/2)</f>
        <v/>
      </c>
      <c r="AU291">
        <f>'Assessment Questions'!AX291</f>
        <v/>
      </c>
      <c r="AV291">
        <f>IF(OR($H291="",$H291="N/A"),"",IF(OR($AU291="",$AU291="Everywhere",$AU291="Not applicable"),1,IF($AU291="Pilot / one team",0.4,IF($AU291="One unit or site",0.7,0.9))))</f>
        <v/>
      </c>
      <c r="AW291" t="inlineStr">
        <is>
          <t>Marketing Comms</t>
        </is>
      </c>
      <c r="AX291" t="inlineStr">
        <is>
          <t>Marketing Comms</t>
        </is>
      </c>
      <c r="AY291" t="n">
        <v>15</v>
      </c>
      <c r="AZ291" t="n">
        <v>291</v>
      </c>
    </row>
    <row r="292">
      <c r="A292" t="inlineStr">
        <is>
          <t>MARK-012</t>
        </is>
      </c>
      <c r="B292" t="inlineStr">
        <is>
          <t>Marketing operations</t>
        </is>
      </c>
      <c r="C292" t="inlineStr">
        <is>
          <t>How mature is the organization in managing critical marketing and communication asset access if cloud tools or key people are unavailable, including ownership, evidence, metrics, fallback procedures and crisis stress testing?</t>
        </is>
      </c>
      <c r="D292" t="inlineStr">
        <is>
          <t>This topic affects exposure to Reputation crisis; Demand shock; IT outage. It helps identify how disruption may impact operations, people, revenue, systems, legal exposure or recovery time.</t>
        </is>
      </c>
      <c r="E292" t="inlineStr">
        <is>
          <t>ISO 10002; ISO 10004; ISO 20671-1; ISO 22301; AMEC; crisis communication best practices</t>
        </is>
      </c>
      <c r="F292" t="inlineStr">
        <is>
          <t>Policy/SOP; owner/RACI; system report; dashboard; contracts; test records; incident history; interview evidence related to critical marketing and communication asset access if cloud tools or key people are unavailable.</t>
        </is>
      </c>
      <c r="G292">
        <f>'Assessment Questions'!J292</f>
        <v/>
      </c>
      <c r="H292">
        <f>IF($Z292="","",IF($Z292="N/A","N/A",VALUE(LEFT($Z292,1))))</f>
        <v/>
      </c>
      <c r="I292">
        <f>IF($H292="","",IF($H292="N/A","",VALUE($H292)/5*$G292))</f>
        <v/>
      </c>
      <c r="J292">
        <f>IF(OR($H292="",$H292="N/A"),"",$G292)</f>
        <v/>
      </c>
      <c r="K292">
        <f>IF(OR($H292="",$H292="N/A"),"",$J292-$I292)</f>
        <v/>
      </c>
      <c r="L292">
        <f>IF($H292="","",IF($H292="N/A","N/A",IF(VALUE($H292)&lt;=1,"Critical",IF(VALUE($H292)&lt;=2,"High",IF(VALUE($H292)&lt;=3,"Medium",IF(VALUE($H292)&lt;=4,"Low","Resilient"))))))</f>
        <v/>
      </c>
      <c r="M292" t="inlineStr">
        <is>
          <t>Does not exist; no owner, no documentation, no practice.</t>
        </is>
      </c>
      <c r="N292" t="inlineStr">
        <is>
          <t>Ad hoc; depends entirely on specific individuals.</t>
        </is>
      </c>
      <c r="O292" t="inlineStr">
        <is>
          <t>Partially documented or implemented; coverage inconsistent; never tested under stress.</t>
        </is>
      </c>
      <c r="P292" t="inlineStr">
        <is>
          <t>Documented, owned, executed consistently; basic evidence and metrics exist.</t>
        </is>
      </c>
      <c r="Q292" t="inlineStr">
        <is>
          <t>Measured and periodically tested/audited; integrated with adjacent processes.</t>
        </is>
      </c>
      <c r="R292" t="inlineStr">
        <is>
          <t>Optimized and automated where practical; stress-tested; benchmarked externally.</t>
        </is>
      </c>
      <c r="S292" t="inlineStr">
        <is>
          <t>Reputation crisis; Demand shock; IT outage</t>
        </is>
      </c>
      <c r="T292">
        <f>'Assessment Questions'!W292</f>
        <v/>
      </c>
      <c r="U292">
        <f>'Assessment Questions'!X292</f>
        <v/>
      </c>
      <c r="V292">
        <f>'Assessment Questions'!Y292</f>
        <v/>
      </c>
      <c r="W292" t="n">
        <v>5</v>
      </c>
      <c r="X292" t="n">
        <v>5</v>
      </c>
      <c r="Y292" t="n">
        <v>5</v>
      </c>
      <c r="Z292">
        <f>'Assessment Questions'!AC292</f>
        <v/>
      </c>
      <c r="AB292">
        <f>COUNTIF($B$281:$B$296,$AA292)</f>
        <v/>
      </c>
      <c r="AC292">
        <f>IFERROR(SUMPRODUCT(($B$281:$B$296=$AA292)*($H$281:$H$296&lt;&gt;"")*($H$281:$H$296&lt;&gt;"N/A")*IFERROR(VALUE($H$281:$H$296),0))/SUMPRODUCT(($B$281:$B$296=$AA292)*($H$281:$H$296&lt;&gt;"")*($H$281:$H$296&lt;&gt;"N/A")),0)</f>
        <v/>
      </c>
      <c r="AD292">
        <f>AC292/5</f>
        <v/>
      </c>
      <c r="AE292">
        <f>COUNTIFS($B$281:$B$296,$AA292,$L$281:$L$296,"Critical")+COUNTIFS($B$281:$B$296,$AA292,$L$281:$L$296,"High")</f>
        <v/>
      </c>
      <c r="AF292">
        <f>5-AC292</f>
        <v/>
      </c>
      <c r="AG292">
        <f>SUMPRODUCT(($B$281:$B$296=$AA292)*(ISNUMBER($H$281:$H$296)+($H$281:$H$296="N/A")))</f>
        <v/>
      </c>
      <c r="AH292">
        <f>'Assessment Questions'!AK292</f>
        <v/>
      </c>
      <c r="AI292">
        <f>'Assessment Questions'!AL292</f>
        <v/>
      </c>
      <c r="AJ292">
        <f>IF(OR($H292="",$H292="N/A"),"",IF($AH292="",VLOOKUP('Company Profile'!$B$40,_CONFIG_Model_Settings!$A$5:$B$8,2,FALSE),_xlfn.IFNA(VLOOKUP($AH292,_CONFIG_Model_Settings!$A$5:$B$8,2,FALSE),0.9)))</f>
        <v/>
      </c>
      <c r="AK292">
        <f>IF(OR($H292="",$H292="N/A"),"",IF($AI292="",VLOOKUP('Company Profile'!$B$41,_CONFIG_Model_Settings!$A$5:$B$8,2,FALSE),_xlfn.IFNA(VLOOKUP($AI292,_CONFIG_Model_Settings!$A$5:$B$8,2,FALSE),0.9)))</f>
        <v/>
      </c>
      <c r="AL292">
        <f>IF(OR($H292="",$H292="N/A"),"",ROUND(VALUE($H292)*$AJ292*$AK292*$AV292,2))</f>
        <v/>
      </c>
      <c r="AM292">
        <f>IF($AL292="","",ROUND($AL292/5*100,1))</f>
        <v/>
      </c>
      <c r="AN292">
        <f>IFERROR(MIN(5,MAX(0,(SUMIFS(_REF_Model_Content!$D$1:$D$157,_REF_Model_Content!$A$1:$A$157,'Company Profile'!$B$9,_REF_Model_Content!$B$1:$B$157,"Marketing Comms"))+_xlfn.IFNA(VLOOKUP('Company Profile'!$B$35,_CONFIG_Model_Settings!$A$11:$B$13,2,0),0))),"")</f>
        <v/>
      </c>
      <c r="AO292">
        <f>IF($AL292="","",MAX(0,ROUND($AN292-$AL292,2)))</f>
        <v/>
      </c>
      <c r="AP292">
        <f>IFERROR(SUMIFS(_REF_Model_Content!$E$1:$E$157,_REF_Model_Content!$A$1:$A$157,'Company Profile'!$B$9,_REF_Model_Content!$B$1:$B$157,"Marketing Comms"),1)</f>
        <v/>
      </c>
      <c r="AQ292">
        <f>IF($AO292="","",ROUND($AO292*$AP292*($G292/5),2))</f>
        <v/>
      </c>
      <c r="AR292">
        <f>IF($AO292="","",IF($AO292&gt;=2,"Critical industry gap",IF($AO292&gt;=1,"High industry gap",IF($AO292&gt;=0.5,"Moderate industry gap","Within target"))))</f>
        <v/>
      </c>
      <c r="AS292">
        <f>IF(OR($H292="",$H292="N/A"),0,VALUE($H292)*(($AJ292+$AK292)/2)*$AV292)</f>
        <v/>
      </c>
      <c r="AT292">
        <f>IF(OR($H292="",$H292="N/A"),0,($AJ292+$AK292)/2)</f>
        <v/>
      </c>
      <c r="AU292">
        <f>'Assessment Questions'!AX292</f>
        <v/>
      </c>
      <c r="AV292">
        <f>IF(OR($H292="",$H292="N/A"),"",IF(OR($AU292="",$AU292="Everywhere",$AU292="Not applicable"),1,IF($AU292="Pilot / one team",0.4,IF($AU292="One unit or site",0.7,0.9))))</f>
        <v/>
      </c>
      <c r="AW292" t="inlineStr">
        <is>
          <t>Marketing Comms</t>
        </is>
      </c>
      <c r="AX292" t="inlineStr">
        <is>
          <t>Marketing Comms</t>
        </is>
      </c>
      <c r="AY292" t="n">
        <v>16</v>
      </c>
      <c r="AZ292" t="n">
        <v>292</v>
      </c>
    </row>
    <row r="293">
      <c r="A293" t="inlineStr">
        <is>
          <t>MARK-013</t>
        </is>
      </c>
      <c r="B293" t="inlineStr">
        <is>
          <t>Marketing operations</t>
        </is>
      </c>
      <c r="C293" t="inlineStr">
        <is>
          <t>How mature is the organization in managing marketing automation, email, analytics, CMS, domain and DNS dependency documentation, including ownership, evidence, metrics, fallback procedures and crisis stress testing?</t>
        </is>
      </c>
      <c r="D293" t="inlineStr">
        <is>
          <t>This topic affects exposure to Reputation crisis; Demand shock; IT outage. It helps identify how disruption may impact operations, people, revenue, systems, legal exposure or recovery time.</t>
        </is>
      </c>
      <c r="E293" t="inlineStr">
        <is>
          <t>ISO 10002; ISO 10004; ISO 20671-1; ISO 22301; AMEC; crisis communication best practices</t>
        </is>
      </c>
      <c r="F293" t="inlineStr">
        <is>
          <t>Policy/SOP; owner/RACI; system report; dashboard; contracts; test records; incident history; interview evidence related to marketing automation, email, analytics, CMS, domain and DNS dependency documentation.</t>
        </is>
      </c>
      <c r="G293">
        <f>'Assessment Questions'!J293</f>
        <v/>
      </c>
      <c r="H293">
        <f>IF($Z293="","",IF($Z293="N/A","N/A",VALUE(LEFT($Z293,1))))</f>
        <v/>
      </c>
      <c r="I293">
        <f>IF($H293="","",IF($H293="N/A","",VALUE($H293)/5*$G293))</f>
        <v/>
      </c>
      <c r="J293">
        <f>IF(OR($H293="",$H293="N/A"),"",$G293)</f>
        <v/>
      </c>
      <c r="K293">
        <f>IF(OR($H293="",$H293="N/A"),"",$J293-$I293)</f>
        <v/>
      </c>
      <c r="L293">
        <f>IF($H293="","",IF($H293="N/A","N/A",IF(VALUE($H293)&lt;=1,"Critical",IF(VALUE($H293)&lt;=2,"High",IF(VALUE($H293)&lt;=3,"Medium",IF(VALUE($H293)&lt;=4,"Low","Resilient"))))))</f>
        <v/>
      </c>
      <c r="M293" t="inlineStr">
        <is>
          <t>No reliable evidence that marketing automation, email, analytics, cms, domain and dns dependency documentation is defined, owned or managed.</t>
        </is>
      </c>
      <c r="N293" t="inlineStr">
        <is>
          <t>Marketing automation, email, analytics, CMS, domain and DNS dependency documentation is handled informally and depends on individual knowledge or heroic effort.</t>
        </is>
      </c>
      <c r="O293" t="inlineStr">
        <is>
          <t>Marketing automation, email, analytics, CMS, domain and DNS dependency documentation is partially documented or implemented, but coverage is inconsistent and not crisis-tested.</t>
        </is>
      </c>
      <c r="P293" t="inlineStr">
        <is>
          <t>Marketing automation, email, analytics, CMS, domain and DNS dependency documentation is documented, owned, used in normal operations and supported by basic evidence or metrics.</t>
        </is>
      </c>
      <c r="Q293" t="inlineStr">
        <is>
          <t>Marketing automation, email, analytics, CMS, domain and DNS dependency documentation is measured, periodically reviewed, integrated with related processes and tested against relevant disruption scenarios.</t>
        </is>
      </c>
      <c r="R293" t="inlineStr">
        <is>
          <t>Marketing automation, email, analytics, CMS, domain and DNS dependency documentation is optimized, continuously improved, automated where practical and demonstrably supports crisis resilience.</t>
        </is>
      </c>
      <c r="S293" t="inlineStr">
        <is>
          <t>Reputation crisis; Demand shock; IT outage</t>
        </is>
      </c>
      <c r="T293">
        <f>'Assessment Questions'!W293</f>
        <v/>
      </c>
      <c r="U293">
        <f>'Assessment Questions'!X293</f>
        <v/>
      </c>
      <c r="V293">
        <f>'Assessment Questions'!Y293</f>
        <v/>
      </c>
      <c r="W293" t="n">
        <v>5</v>
      </c>
      <c r="X293" t="n">
        <v>5</v>
      </c>
      <c r="Y293" t="n">
        <v>5</v>
      </c>
      <c r="Z293">
        <f>'Assessment Questions'!AC293</f>
        <v/>
      </c>
      <c r="AB293">
        <f>COUNTIF($B$281:$B$296,$AA293)</f>
        <v/>
      </c>
      <c r="AC293">
        <f>IFERROR(SUMPRODUCT(($B$281:$B$296=$AA293)*($H$281:$H$296&lt;&gt;"")*($H$281:$H$296&lt;&gt;"N/A")*IFERROR(VALUE($H$281:$H$296),0))/SUMPRODUCT(($B$281:$B$296=$AA293)*($H$281:$H$296&lt;&gt;"")*($H$281:$H$296&lt;&gt;"N/A")),0)</f>
        <v/>
      </c>
      <c r="AD293">
        <f>AC293/5</f>
        <v/>
      </c>
      <c r="AE293">
        <f>COUNTIFS($B$281:$B$296,$AA293,$L$281:$L$296,"Critical")+COUNTIFS($B$281:$B$296,$AA293,$L$281:$L$296,"High")</f>
        <v/>
      </c>
      <c r="AF293">
        <f>5-AC293</f>
        <v/>
      </c>
      <c r="AG293">
        <f>SUMPRODUCT(($B$281:$B$296=$AA293)*(ISNUMBER($H$281:$H$296)+($H$281:$H$296="N/A")))</f>
        <v/>
      </c>
      <c r="AH293">
        <f>'Assessment Questions'!AK293</f>
        <v/>
      </c>
      <c r="AI293">
        <f>'Assessment Questions'!AL293</f>
        <v/>
      </c>
      <c r="AJ293">
        <f>IF(OR($H293="",$H293="N/A"),"",IF($AH293="",VLOOKUP('Company Profile'!$B$40,_CONFIG_Model_Settings!$A$5:$B$8,2,FALSE),_xlfn.IFNA(VLOOKUP($AH293,_CONFIG_Model_Settings!$A$5:$B$8,2,FALSE),0.9)))</f>
        <v/>
      </c>
      <c r="AK293">
        <f>IF(OR($H293="",$H293="N/A"),"",IF($AI293="",VLOOKUP('Company Profile'!$B$41,_CONFIG_Model_Settings!$A$5:$B$8,2,FALSE),_xlfn.IFNA(VLOOKUP($AI293,_CONFIG_Model_Settings!$A$5:$B$8,2,FALSE),0.9)))</f>
        <v/>
      </c>
      <c r="AL293">
        <f>IF(OR($H293="",$H293="N/A"),"",ROUND(VALUE($H293)*$AJ293*$AK293*$AV293,2))</f>
        <v/>
      </c>
      <c r="AM293">
        <f>IF($AL293="","",ROUND($AL293/5*100,1))</f>
        <v/>
      </c>
      <c r="AN293">
        <f>IFERROR(MIN(5,MAX(0,(SUMIFS(_REF_Model_Content!$D$1:$D$157,_REF_Model_Content!$A$1:$A$157,'Company Profile'!$B$9,_REF_Model_Content!$B$1:$B$157,"Marketing Comms"))+_xlfn.IFNA(VLOOKUP('Company Profile'!$B$35,_CONFIG_Model_Settings!$A$11:$B$13,2,0),0))),"")</f>
        <v/>
      </c>
      <c r="AO293">
        <f>IF($AL293="","",MAX(0,ROUND($AN293-$AL293,2)))</f>
        <v/>
      </c>
      <c r="AP293">
        <f>IFERROR(SUMIFS(_REF_Model_Content!$E$1:$E$157,_REF_Model_Content!$A$1:$A$157,'Company Profile'!$B$9,_REF_Model_Content!$B$1:$B$157,"Marketing Comms"),1)</f>
        <v/>
      </c>
      <c r="AQ293">
        <f>IF($AO293="","",ROUND($AO293*$AP293*($G293/5),2))</f>
        <v/>
      </c>
      <c r="AR293">
        <f>IF($AO293="","",IF($AO293&gt;=2,"Critical industry gap",IF($AO293&gt;=1,"High industry gap",IF($AO293&gt;=0.5,"Moderate industry gap","Within target"))))</f>
        <v/>
      </c>
      <c r="AS293">
        <f>IF(OR($H293="",$H293="N/A"),0,VALUE($H293)*(($AJ293+$AK293)/2)*$AV293)</f>
        <v/>
      </c>
      <c r="AT293">
        <f>IF(OR($H293="",$H293="N/A"),0,($AJ293+$AK293)/2)</f>
        <v/>
      </c>
      <c r="AU293">
        <f>'Assessment Questions'!AX293</f>
        <v/>
      </c>
      <c r="AV293">
        <f>IF(OR($H293="",$H293="N/A"),"",IF(OR($AU293="",$AU293="Everywhere",$AU293="Not applicable"),1,IF($AU293="Pilot / one team",0.4,IF($AU293="One unit or site",0.7,0.9))))</f>
        <v/>
      </c>
      <c r="AW293" t="inlineStr">
        <is>
          <t>Marketing Comms</t>
        </is>
      </c>
      <c r="AX293" t="inlineStr">
        <is>
          <t>Marketing Comms</t>
        </is>
      </c>
      <c r="AY293" t="n">
        <v>17</v>
      </c>
      <c r="AZ293" t="n">
        <v>293</v>
      </c>
    </row>
    <row r="294">
      <c r="A294" t="inlineStr">
        <is>
          <t>MARK-014</t>
        </is>
      </c>
      <c r="B294" t="inlineStr">
        <is>
          <t>Marketing operations</t>
        </is>
      </c>
      <c r="C294" t="inlineStr">
        <is>
          <t>How mature is the organization in managing privacy, consent, unsubscribe, advertising claims and industry marketing compliance, including ownership, evidence, metrics, fallback procedures and crisis stress testing?</t>
        </is>
      </c>
      <c r="D294" t="inlineStr">
        <is>
          <t>This topic affects exposure to Reputation crisis; Demand shock; IT outage. It helps identify how disruption may impact operations, people, revenue, systems, legal exposure or recovery time.</t>
        </is>
      </c>
      <c r="E294" t="inlineStr">
        <is>
          <t>ISO 10002; ISO 10004; ISO 20671-1; ISO 22301; AMEC; crisis communication best practices</t>
        </is>
      </c>
      <c r="F294" t="inlineStr">
        <is>
          <t>Policy/SOP; owner/RACI; system report; dashboard; contracts; test records; incident history; interview evidence related to privacy, consent, unsubscribe, advertising claims and industry marketing compliance.</t>
        </is>
      </c>
      <c r="G294">
        <f>'Assessment Questions'!J294</f>
        <v/>
      </c>
      <c r="H294">
        <f>IF($Z294="","",IF($Z294="N/A","N/A",VALUE(LEFT($Z294,1))))</f>
        <v/>
      </c>
      <c r="I294">
        <f>IF($H294="","",IF($H294="N/A","",VALUE($H294)/5*$G294))</f>
        <v/>
      </c>
      <c r="J294">
        <f>IF(OR($H294="",$H294="N/A"),"",$G294)</f>
        <v/>
      </c>
      <c r="K294">
        <f>IF(OR($H294="",$H294="N/A"),"",$J294-$I294)</f>
        <v/>
      </c>
      <c r="L294">
        <f>IF($H294="","",IF($H294="N/A","N/A",IF(VALUE($H294)&lt;=1,"Critical",IF(VALUE($H294)&lt;=2,"High",IF(VALUE($H294)&lt;=3,"Medium",IF(VALUE($H294)&lt;=4,"Low","Resilient"))))))</f>
        <v/>
      </c>
      <c r="M294" t="inlineStr">
        <is>
          <t>No reliable evidence that privacy, consent, unsubscribe, advertising claims and industry marketing compliance is defined, owned or managed.</t>
        </is>
      </c>
      <c r="N294" t="inlineStr">
        <is>
          <t>Privacy, consent, unsubscribe, advertising claims and industry marketing compliance is handled informally and depends on individual knowledge or heroic effort.</t>
        </is>
      </c>
      <c r="O294" t="inlineStr">
        <is>
          <t>Privacy, consent, unsubscribe, advertising claims and industry marketing compliance is partially documented or implemented, but coverage is inconsistent and not crisis-tested.</t>
        </is>
      </c>
      <c r="P294" t="inlineStr">
        <is>
          <t>Privacy, consent, unsubscribe, advertising claims and industry marketing compliance is documented, owned, used in normal operations and supported by basic evidence or metrics.</t>
        </is>
      </c>
      <c r="Q294" t="inlineStr">
        <is>
          <t>Privacy, consent, unsubscribe, advertising claims and industry marketing compliance is measured, periodically reviewed, integrated with related processes and tested against relevant disruption scenarios.</t>
        </is>
      </c>
      <c r="R294" t="inlineStr">
        <is>
          <t>Privacy, consent, unsubscribe, advertising claims and industry marketing compliance is optimized, continuously improved, automated where practical and demonstrably supports crisis resilience.</t>
        </is>
      </c>
      <c r="S294" t="inlineStr">
        <is>
          <t>Reputation crisis; Demand shock; IT outage</t>
        </is>
      </c>
      <c r="T294">
        <f>'Assessment Questions'!W294</f>
        <v/>
      </c>
      <c r="U294">
        <f>'Assessment Questions'!X294</f>
        <v/>
      </c>
      <c r="V294">
        <f>'Assessment Questions'!Y294</f>
        <v/>
      </c>
      <c r="W294" t="n">
        <v>4</v>
      </c>
      <c r="X294" t="n">
        <v>5</v>
      </c>
      <c r="Y294" t="n">
        <v>5</v>
      </c>
      <c r="Z294">
        <f>'Assessment Questions'!AC294</f>
        <v/>
      </c>
      <c r="AB294">
        <f>COUNTIF($B$281:$B$296,$AA294)</f>
        <v/>
      </c>
      <c r="AC294">
        <f>IFERROR(SUMPRODUCT(($B$281:$B$296=$AA294)*($H$281:$H$296&lt;&gt;"")*($H$281:$H$296&lt;&gt;"N/A")*IFERROR(VALUE($H$281:$H$296),0))/SUMPRODUCT(($B$281:$B$296=$AA294)*($H$281:$H$296&lt;&gt;"")*($H$281:$H$296&lt;&gt;"N/A")),0)</f>
        <v/>
      </c>
      <c r="AD294">
        <f>AC294/5</f>
        <v/>
      </c>
      <c r="AE294">
        <f>COUNTIFS($B$281:$B$296,$AA294,$L$281:$L$296,"Critical")+COUNTIFS($B$281:$B$296,$AA294,$L$281:$L$296,"High")</f>
        <v/>
      </c>
      <c r="AF294">
        <f>5-AC294</f>
        <v/>
      </c>
      <c r="AG294">
        <f>SUMPRODUCT(($B$281:$B$296=$AA294)*(ISNUMBER($H$281:$H$296)+($H$281:$H$296="N/A")))</f>
        <v/>
      </c>
      <c r="AH294">
        <f>'Assessment Questions'!AK294</f>
        <v/>
      </c>
      <c r="AI294">
        <f>'Assessment Questions'!AL294</f>
        <v/>
      </c>
      <c r="AJ294">
        <f>IF(OR($H294="",$H294="N/A"),"",IF($AH294="",VLOOKUP('Company Profile'!$B$40,_CONFIG_Model_Settings!$A$5:$B$8,2,FALSE),_xlfn.IFNA(VLOOKUP($AH294,_CONFIG_Model_Settings!$A$5:$B$8,2,FALSE),0.9)))</f>
        <v/>
      </c>
      <c r="AK294">
        <f>IF(OR($H294="",$H294="N/A"),"",IF($AI294="",VLOOKUP('Company Profile'!$B$41,_CONFIG_Model_Settings!$A$5:$B$8,2,FALSE),_xlfn.IFNA(VLOOKUP($AI294,_CONFIG_Model_Settings!$A$5:$B$8,2,FALSE),0.9)))</f>
        <v/>
      </c>
      <c r="AL294">
        <f>IF(OR($H294="",$H294="N/A"),"",ROUND(VALUE($H294)*$AJ294*$AK294*$AV294,2))</f>
        <v/>
      </c>
      <c r="AM294">
        <f>IF($AL294="","",ROUND($AL294/5*100,1))</f>
        <v/>
      </c>
      <c r="AN294">
        <f>IFERROR(MIN(5,MAX(0,(SUMIFS(_REF_Model_Content!$D$1:$D$157,_REF_Model_Content!$A$1:$A$157,'Company Profile'!$B$9,_REF_Model_Content!$B$1:$B$157,"Marketing Comms"))+_xlfn.IFNA(VLOOKUP('Company Profile'!$B$35,_CONFIG_Model_Settings!$A$11:$B$13,2,0),0))),"")</f>
        <v/>
      </c>
      <c r="AO294">
        <f>IF($AL294="","",MAX(0,ROUND($AN294-$AL294,2)))</f>
        <v/>
      </c>
      <c r="AP294">
        <f>IFERROR(SUMIFS(_REF_Model_Content!$E$1:$E$157,_REF_Model_Content!$A$1:$A$157,'Company Profile'!$B$9,_REF_Model_Content!$B$1:$B$157,"Marketing Comms"),1)</f>
        <v/>
      </c>
      <c r="AQ294">
        <f>IF($AO294="","",ROUND($AO294*$AP294*($G294/5),2))</f>
        <v/>
      </c>
      <c r="AR294">
        <f>IF($AO294="","",IF($AO294&gt;=2,"Critical industry gap",IF($AO294&gt;=1,"High industry gap",IF($AO294&gt;=0.5,"Moderate industry gap","Within target"))))</f>
        <v/>
      </c>
      <c r="AS294">
        <f>IF(OR($H294="",$H294="N/A"),0,VALUE($H294)*(($AJ294+$AK294)/2)*$AV294)</f>
        <v/>
      </c>
      <c r="AT294">
        <f>IF(OR($H294="",$H294="N/A"),0,($AJ294+$AK294)/2)</f>
        <v/>
      </c>
      <c r="AU294">
        <f>'Assessment Questions'!AX294</f>
        <v/>
      </c>
      <c r="AV294">
        <f>IF(OR($H294="",$H294="N/A"),"",IF(OR($AU294="",$AU294="Everywhere",$AU294="Not applicable"),1,IF($AU294="Pilot / one team",0.4,IF($AU294="One unit or site",0.7,0.9))))</f>
        <v/>
      </c>
      <c r="AW294" t="inlineStr">
        <is>
          <t>Marketing Comms</t>
        </is>
      </c>
      <c r="AX294" t="inlineStr">
        <is>
          <t>Marketing Comms</t>
        </is>
      </c>
      <c r="AY294" t="n">
        <v>18</v>
      </c>
      <c r="AZ294" t="n">
        <v>294</v>
      </c>
    </row>
    <row r="295">
      <c r="A295" t="inlineStr">
        <is>
          <t>MARK-015</t>
        </is>
      </c>
      <c r="B295" t="inlineStr">
        <is>
          <t>Marketing operations</t>
        </is>
      </c>
      <c r="C295" t="inlineStr">
        <is>
          <t>How mature is the organization in managing demand-generation playbooks for budget cuts, channel failure, competitive pressure or geopolitical restrictions, including ownership, evidence, metrics, fallback procedures and crisis stress testing?</t>
        </is>
      </c>
      <c r="D295" t="inlineStr">
        <is>
          <t>This topic affects exposure to Reputation crisis; Demand shock; IT outage. It helps identify how disruption may impact operations, people, revenue, systems, legal exposure or recovery time.</t>
        </is>
      </c>
      <c r="E295" t="inlineStr">
        <is>
          <t>ISO 10002; ISO 10004; ISO 20671-1; ISO 22301; AMEC; crisis communication best practices</t>
        </is>
      </c>
      <c r="F295" t="inlineStr">
        <is>
          <t>Policy/SOP; owner/RACI; system report; dashboard; contracts; test records; incident history; interview evidence related to demand-generation playbooks for budget cuts, channel failure, competitive pressure or geopolitical restrictions.</t>
        </is>
      </c>
      <c r="G295">
        <f>'Assessment Questions'!J295</f>
        <v/>
      </c>
      <c r="H295">
        <f>IF($Z295="","",IF($Z295="N/A","N/A",VALUE(LEFT($Z295,1))))</f>
        <v/>
      </c>
      <c r="I295">
        <f>IF($H295="","",IF($H295="N/A","",VALUE($H295)/5*$G295))</f>
        <v/>
      </c>
      <c r="J295">
        <f>IF(OR($H295="",$H295="N/A"),"",$G295)</f>
        <v/>
      </c>
      <c r="K295">
        <f>IF(OR($H295="",$H295="N/A"),"",$J295-$I295)</f>
        <v/>
      </c>
      <c r="L295">
        <f>IF($H295="","",IF($H295="N/A","N/A",IF(VALUE($H295)&lt;=1,"Critical",IF(VALUE($H295)&lt;=2,"High",IF(VALUE($H295)&lt;=3,"Medium",IF(VALUE($H295)&lt;=4,"Low","Resilient"))))))</f>
        <v/>
      </c>
      <c r="M295" t="inlineStr">
        <is>
          <t>No reliable evidence that demand-generation playbooks for budget cuts, channel failure, competitive pressure or geopolitical restrictions is defined, owned or managed.</t>
        </is>
      </c>
      <c r="N295" t="inlineStr">
        <is>
          <t>Demand-generation playbooks for budget cuts, channel failure, competitive pressure or geopolitical restrictions is handled informally and depends on individual knowledge or heroic effort.</t>
        </is>
      </c>
      <c r="O295" t="inlineStr">
        <is>
          <t>Demand-generation playbooks for budget cuts, channel failure, competitive pressure or geopolitical restrictions is partially documented or implemented, but coverage is inconsistent and not crisis-tested.</t>
        </is>
      </c>
      <c r="P295" t="inlineStr">
        <is>
          <t>Demand-generation playbooks for budget cuts, channel failure, competitive pressure or geopolitical restrictions is documented, owned, used in normal operations and supported by basic evidence or metrics.</t>
        </is>
      </c>
      <c r="Q295" t="inlineStr">
        <is>
          <t>Demand-generation playbooks for budget cuts, channel failure, competitive pressure or geopolitical restrictions is measured, periodically reviewed, integrated with related processes and tested against relevant disruption scenarios.</t>
        </is>
      </c>
      <c r="R295" t="inlineStr">
        <is>
          <t>Demand-generation playbooks for budget cuts, channel failure, competitive pressure or geopolitical restrictions is optimized, continuously improved, automated where practical and demonstrably supports crisis resilience.</t>
        </is>
      </c>
      <c r="S295" t="inlineStr">
        <is>
          <t>Reputation crisis; Demand shock; IT outage</t>
        </is>
      </c>
      <c r="T295">
        <f>'Assessment Questions'!W295</f>
        <v/>
      </c>
      <c r="U295">
        <f>'Assessment Questions'!X295</f>
        <v/>
      </c>
      <c r="V295">
        <f>'Assessment Questions'!Y295</f>
        <v/>
      </c>
      <c r="W295" t="n">
        <v>4</v>
      </c>
      <c r="X295" t="n">
        <v>5</v>
      </c>
      <c r="Y295" t="n">
        <v>5</v>
      </c>
      <c r="Z295">
        <f>'Assessment Questions'!AC295</f>
        <v/>
      </c>
      <c r="AB295">
        <f>COUNTIF($B$281:$B$296,$AA295)</f>
        <v/>
      </c>
      <c r="AC295">
        <f>IFERROR(SUMPRODUCT(($B$281:$B$296=$AA295)*($H$281:$H$296&lt;&gt;"")*($H$281:$H$296&lt;&gt;"N/A")*IFERROR(VALUE($H$281:$H$296),0))/SUMPRODUCT(($B$281:$B$296=$AA295)*($H$281:$H$296&lt;&gt;"")*($H$281:$H$296&lt;&gt;"N/A")),0)</f>
        <v/>
      </c>
      <c r="AD295">
        <f>AC295/5</f>
        <v/>
      </c>
      <c r="AE295">
        <f>COUNTIFS($B$281:$B$296,$AA295,$L$281:$L$296,"Critical")+COUNTIFS($B$281:$B$296,$AA295,$L$281:$L$296,"High")</f>
        <v/>
      </c>
      <c r="AF295">
        <f>5-AC295</f>
        <v/>
      </c>
      <c r="AG295">
        <f>SUMPRODUCT(($B$281:$B$296=$AA295)*(ISNUMBER($H$281:$H$296)+($H$281:$H$296="N/A")))</f>
        <v/>
      </c>
      <c r="AH295">
        <f>'Assessment Questions'!AK295</f>
        <v/>
      </c>
      <c r="AI295">
        <f>'Assessment Questions'!AL295</f>
        <v/>
      </c>
      <c r="AJ295">
        <f>IF(OR($H295="",$H295="N/A"),"",IF($AH295="",VLOOKUP('Company Profile'!$B$40,_CONFIG_Model_Settings!$A$5:$B$8,2,FALSE),_xlfn.IFNA(VLOOKUP($AH295,_CONFIG_Model_Settings!$A$5:$B$8,2,FALSE),0.9)))</f>
        <v/>
      </c>
      <c r="AK295">
        <f>IF(OR($H295="",$H295="N/A"),"",IF($AI295="",VLOOKUP('Company Profile'!$B$41,_CONFIG_Model_Settings!$A$5:$B$8,2,FALSE),_xlfn.IFNA(VLOOKUP($AI295,_CONFIG_Model_Settings!$A$5:$B$8,2,FALSE),0.9)))</f>
        <v/>
      </c>
      <c r="AL295">
        <f>IF(OR($H295="",$H295="N/A"),"",ROUND(VALUE($H295)*$AJ295*$AK295*$AV295,2))</f>
        <v/>
      </c>
      <c r="AM295">
        <f>IF($AL295="","",ROUND($AL295/5*100,1))</f>
        <v/>
      </c>
      <c r="AN295">
        <f>IFERROR(MIN(5,MAX(0,(SUMIFS(_REF_Model_Content!$D$1:$D$157,_REF_Model_Content!$A$1:$A$157,'Company Profile'!$B$9,_REF_Model_Content!$B$1:$B$157,"Marketing Comms"))+_xlfn.IFNA(VLOOKUP('Company Profile'!$B$35,_CONFIG_Model_Settings!$A$11:$B$13,2,0),0))),"")</f>
        <v/>
      </c>
      <c r="AO295">
        <f>IF($AL295="","",MAX(0,ROUND($AN295-$AL295,2)))</f>
        <v/>
      </c>
      <c r="AP295">
        <f>IFERROR(SUMIFS(_REF_Model_Content!$E$1:$E$157,_REF_Model_Content!$A$1:$A$157,'Company Profile'!$B$9,_REF_Model_Content!$B$1:$B$157,"Marketing Comms"),1)</f>
        <v/>
      </c>
      <c r="AQ295">
        <f>IF($AO295="","",ROUND($AO295*$AP295*($G295/5),2))</f>
        <v/>
      </c>
      <c r="AR295">
        <f>IF($AO295="","",IF($AO295&gt;=2,"Critical industry gap",IF($AO295&gt;=1,"High industry gap",IF($AO295&gt;=0.5,"Moderate industry gap","Within target"))))</f>
        <v/>
      </c>
      <c r="AS295">
        <f>IF(OR($H295="",$H295="N/A"),0,VALUE($H295)*(($AJ295+$AK295)/2)*$AV295)</f>
        <v/>
      </c>
      <c r="AT295">
        <f>IF(OR($H295="",$H295="N/A"),0,($AJ295+$AK295)/2)</f>
        <v/>
      </c>
      <c r="AU295">
        <f>'Assessment Questions'!AX295</f>
        <v/>
      </c>
      <c r="AV295">
        <f>IF(OR($H295="",$H295="N/A"),"",IF(OR($AU295="",$AU295="Everywhere",$AU295="Not applicable"),1,IF($AU295="Pilot / one team",0.4,IF($AU295="One unit or site",0.7,0.9))))</f>
        <v/>
      </c>
      <c r="AW295" t="inlineStr">
        <is>
          <t>Marketing Comms</t>
        </is>
      </c>
      <c r="AX295" t="inlineStr">
        <is>
          <t>Marketing Comms</t>
        </is>
      </c>
      <c r="AY295" t="n">
        <v>19</v>
      </c>
      <c r="AZ295" t="n">
        <v>295</v>
      </c>
    </row>
    <row r="296">
      <c r="A296" t="inlineStr">
        <is>
          <t>MARK-016</t>
        </is>
      </c>
      <c r="B296" t="inlineStr">
        <is>
          <t>Marketing operations</t>
        </is>
      </c>
      <c r="C296" t="inlineStr">
        <is>
          <t>How mature is the organization in managing sales-marketing alignment on ICP, lead definitions, messages, offers and crisis concerns, including ownership, evidence, metrics, fallback procedures and crisis stress testing?</t>
        </is>
      </c>
      <c r="D296" t="inlineStr">
        <is>
          <t>This topic affects exposure to Reputation crisis; Demand shock; IT outage. It helps identify how disruption may impact operations, people, revenue, systems, legal exposure or recovery time.</t>
        </is>
      </c>
      <c r="E296" t="inlineStr">
        <is>
          <t>ISO 10002; ISO 10004; ISO 20671-1; ISO 22301; AMEC; crisis communication best practices</t>
        </is>
      </c>
      <c r="F296" t="inlineStr">
        <is>
          <t>Policy/SOP; owner/RACI; system report; dashboard; contracts; test records; incident history; interview evidence related to sales-marketing alignment on ICP, lead definitions, messages, offers and crisis concerns.</t>
        </is>
      </c>
      <c r="G296">
        <f>'Assessment Questions'!J296</f>
        <v/>
      </c>
      <c r="H296">
        <f>IF($Z296="","",IF($Z296="N/A","N/A",VALUE(LEFT($Z296,1))))</f>
        <v/>
      </c>
      <c r="I296">
        <f>IF($H296="","",IF($H296="N/A","",VALUE($H296)/5*$G296))</f>
        <v/>
      </c>
      <c r="J296">
        <f>IF(OR($H296="",$H296="N/A"),"",$G296)</f>
        <v/>
      </c>
      <c r="K296">
        <f>IF(OR($H296="",$H296="N/A"),"",$J296-$I296)</f>
        <v/>
      </c>
      <c r="L296">
        <f>IF($H296="","",IF($H296="N/A","N/A",IF(VALUE($H296)&lt;=1,"Critical",IF(VALUE($H296)&lt;=2,"High",IF(VALUE($H296)&lt;=3,"Medium",IF(VALUE($H296)&lt;=4,"Low","Resilient"))))))</f>
        <v/>
      </c>
      <c r="M296" t="inlineStr">
        <is>
          <t>Does not exist; no owner, no documentation, no practice.</t>
        </is>
      </c>
      <c r="N296" t="inlineStr">
        <is>
          <t>Ad hoc; depends entirely on specific individuals.</t>
        </is>
      </c>
      <c r="O296" t="inlineStr">
        <is>
          <t>Partially documented or implemented; coverage inconsistent; never tested under stress.</t>
        </is>
      </c>
      <c r="P296" t="inlineStr">
        <is>
          <t>Documented, owned, executed consistently; basic evidence and metrics exist.</t>
        </is>
      </c>
      <c r="Q296" t="inlineStr">
        <is>
          <t>Measured and periodically tested/audited; integrated with adjacent processes.</t>
        </is>
      </c>
      <c r="R296" t="inlineStr">
        <is>
          <t>Optimized and automated where practical; stress-tested; benchmarked externally.</t>
        </is>
      </c>
      <c r="S296" t="inlineStr">
        <is>
          <t>Reputation crisis; Demand shock; IT outage</t>
        </is>
      </c>
      <c r="T296">
        <f>'Assessment Questions'!W296</f>
        <v/>
      </c>
      <c r="U296">
        <f>'Assessment Questions'!X296</f>
        <v/>
      </c>
      <c r="V296">
        <f>'Assessment Questions'!Y296</f>
        <v/>
      </c>
      <c r="W296" t="n">
        <v>4</v>
      </c>
      <c r="X296" t="n">
        <v>5</v>
      </c>
      <c r="Y296" t="n">
        <v>5</v>
      </c>
      <c r="Z296">
        <f>'Assessment Questions'!AC296</f>
        <v/>
      </c>
      <c r="AB296">
        <f>COUNTIF($B$281:$B$296,$AA296)</f>
        <v/>
      </c>
      <c r="AC296">
        <f>IFERROR(SUMPRODUCT(($B$281:$B$296=$AA296)*($H$281:$H$296&lt;&gt;"")*($H$281:$H$296&lt;&gt;"N/A")*IFERROR(VALUE($H$281:$H$296),0))/SUMPRODUCT(($B$281:$B$296=$AA296)*($H$281:$H$296&lt;&gt;"")*($H$281:$H$296&lt;&gt;"N/A")),0)</f>
        <v/>
      </c>
      <c r="AD296">
        <f>AC296/5</f>
        <v/>
      </c>
      <c r="AE296">
        <f>COUNTIFS($B$281:$B$296,$AA296,$L$281:$L$296,"Critical")+COUNTIFS($B$281:$B$296,$AA296,$L$281:$L$296,"High")</f>
        <v/>
      </c>
      <c r="AF296">
        <f>5-AC296</f>
        <v/>
      </c>
      <c r="AG296">
        <f>SUMPRODUCT(($B$281:$B$296=$AA296)*(ISNUMBER($H$281:$H$296)+($H$281:$H$296="N/A")))</f>
        <v/>
      </c>
      <c r="AH296">
        <f>'Assessment Questions'!AK296</f>
        <v/>
      </c>
      <c r="AI296">
        <f>'Assessment Questions'!AL296</f>
        <v/>
      </c>
      <c r="AJ296">
        <f>IF(OR($H296="",$H296="N/A"),"",IF($AH296="",VLOOKUP('Company Profile'!$B$40,_CONFIG_Model_Settings!$A$5:$B$8,2,FALSE),_xlfn.IFNA(VLOOKUP($AH296,_CONFIG_Model_Settings!$A$5:$B$8,2,FALSE),0.9)))</f>
        <v/>
      </c>
      <c r="AK296">
        <f>IF(OR($H296="",$H296="N/A"),"",IF($AI296="",VLOOKUP('Company Profile'!$B$41,_CONFIG_Model_Settings!$A$5:$B$8,2,FALSE),_xlfn.IFNA(VLOOKUP($AI296,_CONFIG_Model_Settings!$A$5:$B$8,2,FALSE),0.9)))</f>
        <v/>
      </c>
      <c r="AL296">
        <f>IF(OR($H296="",$H296="N/A"),"",ROUND(VALUE($H296)*$AJ296*$AK296*$AV296,2))</f>
        <v/>
      </c>
      <c r="AM296">
        <f>IF($AL296="","",ROUND($AL296/5*100,1))</f>
        <v/>
      </c>
      <c r="AN296">
        <f>IFERROR(MIN(5,MAX(0,(SUMIFS(_REF_Model_Content!$D$1:$D$157,_REF_Model_Content!$A$1:$A$157,'Company Profile'!$B$9,_REF_Model_Content!$B$1:$B$157,"Marketing Comms"))+_xlfn.IFNA(VLOOKUP('Company Profile'!$B$35,_CONFIG_Model_Settings!$A$11:$B$13,2,0),0))),"")</f>
        <v/>
      </c>
      <c r="AO296">
        <f>IF($AL296="","",MAX(0,ROUND($AN296-$AL296,2)))</f>
        <v/>
      </c>
      <c r="AP296">
        <f>IFERROR(SUMIFS(_REF_Model_Content!$E$1:$E$157,_REF_Model_Content!$A$1:$A$157,'Company Profile'!$B$9,_REF_Model_Content!$B$1:$B$157,"Marketing Comms"),1)</f>
        <v/>
      </c>
      <c r="AQ296">
        <f>IF($AO296="","",ROUND($AO296*$AP296*($G296/5),2))</f>
        <v/>
      </c>
      <c r="AR296">
        <f>IF($AO296="","",IF($AO296&gt;=2,"Critical industry gap",IF($AO296&gt;=1,"High industry gap",IF($AO296&gt;=0.5,"Moderate industry gap","Within target"))))</f>
        <v/>
      </c>
      <c r="AS296">
        <f>IF(OR($H296="",$H296="N/A"),0,VALUE($H296)*(($AJ296+$AK296)/2)*$AV296)</f>
        <v/>
      </c>
      <c r="AT296">
        <f>IF(OR($H296="",$H296="N/A"),0,($AJ296+$AK296)/2)</f>
        <v/>
      </c>
      <c r="AU296">
        <f>'Assessment Questions'!AX296</f>
        <v/>
      </c>
      <c r="AV296">
        <f>IF(OR($H296="",$H296="N/A"),"",IF(OR($AU296="",$AU296="Everywhere",$AU296="Not applicable"),1,IF($AU296="Pilot / one team",0.4,IF($AU296="One unit or site",0.7,0.9))))</f>
        <v/>
      </c>
      <c r="AW296" t="inlineStr">
        <is>
          <t>Marketing Comms</t>
        </is>
      </c>
      <c r="AX296" t="inlineStr">
        <is>
          <t>Marketing Comms</t>
        </is>
      </c>
      <c r="AY296" t="n">
        <v>20</v>
      </c>
      <c r="AZ296" t="n">
        <v>296</v>
      </c>
    </row>
    <row r="297">
      <c r="A297" t="inlineStr">
        <is>
          <t>ITCL-001</t>
        </is>
      </c>
      <c r="B297" t="inlineStr">
        <is>
          <t>IT inventory and architecture</t>
        </is>
      </c>
      <c r="C297" t="inlineStr">
        <is>
          <t>How mature is the organization in managing complete inventory of applications, infrastructure, cloud accounts, integrations, data stores and owners, including ownership, evidence, metrics, fallback procedures and crisis stress testing?</t>
        </is>
      </c>
      <c r="D297" t="inlineStr">
        <is>
          <t>This topic affects exposure to IT outage; Cloud outage; Data loss; Cyberattack. It helps identify how disruption may impact operations, people, revenue, systems, legal exposure or recovery time.</t>
        </is>
      </c>
      <c r="E297" t="inlineStr">
        <is>
          <t>ISO/IEC 27001; ISO/IEC 20000-1; NIST CSF 2.0; NIST SP 800-34; COBIT; ITIL 4; FinOps</t>
        </is>
      </c>
      <c r="F297" t="inlineStr">
        <is>
          <t>Policy/SOP; owner/RACI; system report; dashboard; contracts; test records; incident history; interview evidence related to complete inventory of applications, infrastructure, cloud accounts, integrations, data stores and owners.</t>
        </is>
      </c>
      <c r="G297">
        <f>'Assessment Questions'!J297</f>
        <v/>
      </c>
      <c r="H297">
        <f>IF($Z297="","",IF($Z297="N/A","N/A",VALUE(LEFT($Z297,1))))</f>
        <v/>
      </c>
      <c r="I297">
        <f>IF($H297="","",IF($H297="N/A","",VALUE($H297)/5*$G297))</f>
        <v/>
      </c>
      <c r="J297">
        <f>IF(OR($H297="",$H297="N/A"),"",$G297)</f>
        <v/>
      </c>
      <c r="K297">
        <f>IF(OR($H297="",$H297="N/A"),"",$J297-$I297)</f>
        <v/>
      </c>
      <c r="L297">
        <f>IF($H297="","",IF($H297="N/A","N/A",IF(VALUE($H297)&lt;=1,"Critical",IF(VALUE($H297)&lt;=2,"High",IF(VALUE($H297)&lt;=3,"Medium",IF(VALUE($H297)&lt;=4,"Low","Resilient"))))))</f>
        <v/>
      </c>
      <c r="M297" t="inlineStr">
        <is>
          <t>No inventory/register exists.</t>
        </is>
      </c>
      <c r="N297" t="inlineStr">
        <is>
          <t>Partial lists live in individuals' heads or personal files.</t>
        </is>
      </c>
      <c r="O297" t="inlineStr">
        <is>
          <t>A register exists but is incomplete or outdated (&gt;1 year) and has no owner.</t>
        </is>
      </c>
      <c r="P297" t="inlineStr">
        <is>
          <t>Owned, documented, updated on a defined schedule, covers the main scope.</t>
        </is>
      </c>
      <c r="Q297" t="inlineStr">
        <is>
          <t>Complete and periodically reviewed; integrated with related processes; completeness measured.</t>
        </is>
      </c>
      <c r="R297" t="inlineStr">
        <is>
          <t>Maintained automatically or synced with systems; drives decisions; audited.</t>
        </is>
      </c>
      <c r="S297" t="inlineStr">
        <is>
          <t>IT outage; Cloud outage; Data loss; Cyberattack</t>
        </is>
      </c>
      <c r="T297">
        <f>'Assessment Questions'!W297</f>
        <v/>
      </c>
      <c r="U297">
        <f>'Assessment Questions'!X297</f>
        <v/>
      </c>
      <c r="V297">
        <f>'Assessment Questions'!Y297</f>
        <v/>
      </c>
      <c r="W297" t="n">
        <v>5</v>
      </c>
      <c r="X297" t="n">
        <v>5</v>
      </c>
      <c r="Y297" t="n">
        <v>5</v>
      </c>
      <c r="Z297">
        <f>'Assessment Questions'!AC297</f>
        <v/>
      </c>
      <c r="AA297" t="inlineStr">
        <is>
          <t>IT inventory and architecture</t>
        </is>
      </c>
      <c r="AB297">
        <f>COUNTIF($B$297:$B$324,$AA297)</f>
        <v/>
      </c>
      <c r="AC297">
        <f>IFERROR(SUMPRODUCT(($B$297:$B$324=$AA297)*($H$297:$H$324&lt;&gt;"")*($H$297:$H$324&lt;&gt;"N/A")*IFERROR(VALUE($H$297:$H$324),0))/SUMPRODUCT(($B$297:$B$324=$AA297)*($H$297:$H$324&lt;&gt;"")*($H$297:$H$324&lt;&gt;"N/A")),0)</f>
        <v/>
      </c>
      <c r="AD297">
        <f>AC297/5</f>
        <v/>
      </c>
      <c r="AE297">
        <f>COUNTIFS($B$297:$B$324,$AA297,$L$297:$L$324,"Critical")+COUNTIFS($B$297:$B$324,$AA297,$L$297:$L$324,"High")</f>
        <v/>
      </c>
      <c r="AF297">
        <f>5-AC297</f>
        <v/>
      </c>
      <c r="AG297">
        <f>SUMPRODUCT(($B$297:$B$324=$AA297)*(ISNUMBER($H$297:$H$324)+($H$297:$H$324="N/A")))</f>
        <v/>
      </c>
      <c r="AH297">
        <f>'Assessment Questions'!AK297</f>
        <v/>
      </c>
      <c r="AI297">
        <f>'Assessment Questions'!AL297</f>
        <v/>
      </c>
      <c r="AJ297">
        <f>IF(OR($H297="",$H297="N/A"),"",IF($AH297="",VLOOKUP('Company Profile'!$B$40,_CONFIG_Model_Settings!$A$5:$B$8,2,FALSE),_xlfn.IFNA(VLOOKUP($AH297,_CONFIG_Model_Settings!$A$5:$B$8,2,FALSE),0.9)))</f>
        <v/>
      </c>
      <c r="AK297">
        <f>IF(OR($H297="",$H297="N/A"),"",IF($AI297="",VLOOKUP('Company Profile'!$B$41,_CONFIG_Model_Settings!$A$5:$B$8,2,FALSE),_xlfn.IFNA(VLOOKUP($AI297,_CONFIG_Model_Settings!$A$5:$B$8,2,FALSE),0.9)))</f>
        <v/>
      </c>
      <c r="AL297">
        <f>IF(OR($H297="",$H297="N/A"),"",ROUND(VALUE($H297)*$AJ297*$AK297*$AV297,2))</f>
        <v/>
      </c>
      <c r="AM297">
        <f>IF($AL297="","",ROUND($AL297/5*100,1))</f>
        <v/>
      </c>
      <c r="AN297">
        <f>IFERROR(MIN(5,MAX(0,(SUMIFS(_REF_Model_Content!$D$1:$D$157,_REF_Model_Content!$A$1:$A$157,'Company Profile'!$B$9,_REF_Model_Content!$B$1:$B$157,"IT Cloud DR"))+_xlfn.IFNA(VLOOKUP('Company Profile'!$B$35,_CONFIG_Model_Settings!$A$11:$B$13,2,0),0))),"")</f>
        <v/>
      </c>
      <c r="AO297">
        <f>IF($AL297="","",MAX(0,ROUND($AN297-$AL297,2)))</f>
        <v/>
      </c>
      <c r="AP297">
        <f>IFERROR(SUMIFS(_REF_Model_Content!$E$1:$E$157,_REF_Model_Content!$A$1:$A$157,'Company Profile'!$B$9,_REF_Model_Content!$B$1:$B$157,"IT Cloud DR"),1)</f>
        <v/>
      </c>
      <c r="AQ297">
        <f>IF($AO297="","",ROUND($AO297*$AP297*($G297/5),2))</f>
        <v/>
      </c>
      <c r="AR297">
        <f>IF($AO297="","",IF($AO297&gt;=2,"Critical industry gap",IF($AO297&gt;=1,"High industry gap",IF($AO297&gt;=0.5,"Moderate industry gap","Within target"))))</f>
        <v/>
      </c>
      <c r="AS297">
        <f>IF(OR($H297="",$H297="N/A"),0,VALUE($H297)*(($AJ297+$AK297)/2)*$AV297)</f>
        <v/>
      </c>
      <c r="AT297">
        <f>IF(OR($H297="",$H297="N/A"),0,($AJ297+$AK297)/2)</f>
        <v/>
      </c>
      <c r="AU297">
        <f>'Assessment Questions'!AX297</f>
        <v/>
      </c>
      <c r="AV297">
        <f>IF(OR($H297="",$H297="N/A"),"",IF(OR($AU297="",$AU297="Everywhere",$AU297="Not applicable"),1,IF($AU297="Pilot / one team",0.4,IF($AU297="One unit or site",0.7,0.9))))</f>
        <v/>
      </c>
      <c r="AW297" t="inlineStr">
        <is>
          <t>IT Cloud DR</t>
        </is>
      </c>
      <c r="AX297" t="inlineStr">
        <is>
          <t>IT Cloud DR</t>
        </is>
      </c>
      <c r="AY297" t="n">
        <v>5</v>
      </c>
      <c r="AZ297" t="n">
        <v>297</v>
      </c>
    </row>
    <row r="298">
      <c r="A298" t="inlineStr">
        <is>
          <t>ITCL-002</t>
        </is>
      </c>
      <c r="B298" t="inlineStr">
        <is>
          <t>IT inventory and architecture</t>
        </is>
      </c>
      <c r="C298" t="inlineStr">
        <is>
          <t>How mature is the organization in managing system criticality tiering by business process, RTO, RPO, users and data sensitivity, including ownership, evidence, metrics, fallback procedures and crisis stress testing?</t>
        </is>
      </c>
      <c r="D298" t="inlineStr">
        <is>
          <t>This topic affects exposure to IT outage; Cloud outage; Data loss; Cyberattack. It helps identify how disruption may impact operations, people, revenue, systems, legal exposure or recovery time.</t>
        </is>
      </c>
      <c r="E298" t="inlineStr">
        <is>
          <t>ISO/IEC 27001; ISO/IEC 20000-1; NIST CSF 2.0; NIST SP 800-34; COBIT; ITIL 4; FinOps</t>
        </is>
      </c>
      <c r="F298" t="inlineStr">
        <is>
          <t>Policy/SOP; owner/RACI; system report; dashboard; contracts; test records; incident history; interview evidence related to system criticality tiering by business process, RTO, RPO, users and data sensitivity.</t>
        </is>
      </c>
      <c r="G298">
        <f>'Assessment Questions'!J298</f>
        <v/>
      </c>
      <c r="H298">
        <f>IF($Z298="","",IF($Z298="N/A","N/A",VALUE(LEFT($Z298,1))))</f>
        <v/>
      </c>
      <c r="I298">
        <f>IF($H298="","",IF($H298="N/A","",VALUE($H298)/5*$G298))</f>
        <v/>
      </c>
      <c r="J298">
        <f>IF(OR($H298="",$H298="N/A"),"",$G298)</f>
        <v/>
      </c>
      <c r="K298">
        <f>IF(OR($H298="",$H298="N/A"),"",$J298-$I298)</f>
        <v/>
      </c>
      <c r="L298">
        <f>IF($H298="","",IF($H298="N/A","N/A",IF(VALUE($H298)&lt;=1,"Critical",IF(VALUE($H298)&lt;=2,"High",IF(VALUE($H298)&lt;=3,"Medium",IF(VALUE($H298)&lt;=4,"Low","Resilient"))))))</f>
        <v/>
      </c>
      <c r="M298" t="inlineStr">
        <is>
          <t>Does not exist; no owner, no documentation, no practice.</t>
        </is>
      </c>
      <c r="N298" t="inlineStr">
        <is>
          <t>Ad hoc; depends entirely on specific individuals.</t>
        </is>
      </c>
      <c r="O298" t="inlineStr">
        <is>
          <t>Partially documented or implemented; coverage inconsistent; never tested under stress.</t>
        </is>
      </c>
      <c r="P298" t="inlineStr">
        <is>
          <t>Documented, owned, executed consistently; basic evidence and metrics exist.</t>
        </is>
      </c>
      <c r="Q298" t="inlineStr">
        <is>
          <t>Measured and periodically tested/audited; integrated with adjacent processes.</t>
        </is>
      </c>
      <c r="R298" t="inlineStr">
        <is>
          <t>Optimized and automated where practical; stress-tested; benchmarked externally.</t>
        </is>
      </c>
      <c r="S298" t="inlineStr">
        <is>
          <t>IT outage; Cloud outage; Data loss; Cyberattack</t>
        </is>
      </c>
      <c r="T298">
        <f>'Assessment Questions'!W298</f>
        <v/>
      </c>
      <c r="U298">
        <f>'Assessment Questions'!X298</f>
        <v/>
      </c>
      <c r="V298">
        <f>'Assessment Questions'!Y298</f>
        <v/>
      </c>
      <c r="W298" t="n">
        <v>5</v>
      </c>
      <c r="X298" t="n">
        <v>5</v>
      </c>
      <c r="Y298" t="n">
        <v>5</v>
      </c>
      <c r="Z298">
        <f>'Assessment Questions'!AC298</f>
        <v/>
      </c>
      <c r="AA298" t="inlineStr">
        <is>
          <t>Cloud usage</t>
        </is>
      </c>
      <c r="AB298">
        <f>COUNTIF($B$297:$B$324,$AA298)</f>
        <v/>
      </c>
      <c r="AC298">
        <f>IFERROR(SUMPRODUCT(($B$297:$B$324=$AA298)*($H$297:$H$324&lt;&gt;"")*($H$297:$H$324&lt;&gt;"N/A")*IFERROR(VALUE($H$297:$H$324),0))/SUMPRODUCT(($B$297:$B$324=$AA298)*($H$297:$H$324&lt;&gt;"")*($H$297:$H$324&lt;&gt;"N/A")),0)</f>
        <v/>
      </c>
      <c r="AD298">
        <f>AC298/5</f>
        <v/>
      </c>
      <c r="AE298">
        <f>COUNTIFS($B$297:$B$324,$AA298,$L$297:$L$324,"Critical")+COUNTIFS($B$297:$B$324,$AA298,$L$297:$L$324,"High")</f>
        <v/>
      </c>
      <c r="AF298">
        <f>5-AC298</f>
        <v/>
      </c>
      <c r="AG298">
        <f>SUMPRODUCT(($B$297:$B$324=$AA298)*(ISNUMBER($H$297:$H$324)+($H$297:$H$324="N/A")))</f>
        <v/>
      </c>
      <c r="AH298">
        <f>'Assessment Questions'!AK298</f>
        <v/>
      </c>
      <c r="AI298">
        <f>'Assessment Questions'!AL298</f>
        <v/>
      </c>
      <c r="AJ298">
        <f>IF(OR($H298="",$H298="N/A"),"",IF($AH298="",VLOOKUP('Company Profile'!$B$40,_CONFIG_Model_Settings!$A$5:$B$8,2,FALSE),_xlfn.IFNA(VLOOKUP($AH298,_CONFIG_Model_Settings!$A$5:$B$8,2,FALSE),0.9)))</f>
        <v/>
      </c>
      <c r="AK298">
        <f>IF(OR($H298="",$H298="N/A"),"",IF($AI298="",VLOOKUP('Company Profile'!$B$41,_CONFIG_Model_Settings!$A$5:$B$8,2,FALSE),_xlfn.IFNA(VLOOKUP($AI298,_CONFIG_Model_Settings!$A$5:$B$8,2,FALSE),0.9)))</f>
        <v/>
      </c>
      <c r="AL298">
        <f>IF(OR($H298="",$H298="N/A"),"",ROUND(VALUE($H298)*$AJ298*$AK298*$AV298,2))</f>
        <v/>
      </c>
      <c r="AM298">
        <f>IF($AL298="","",ROUND($AL298/5*100,1))</f>
        <v/>
      </c>
      <c r="AN298">
        <f>IFERROR(MIN(5,MAX(0,(SUMIFS(_REF_Model_Content!$D$1:$D$157,_REF_Model_Content!$A$1:$A$157,'Company Profile'!$B$9,_REF_Model_Content!$B$1:$B$157,"IT Cloud DR"))+_xlfn.IFNA(VLOOKUP('Company Profile'!$B$35,_CONFIG_Model_Settings!$A$11:$B$13,2,0),0))),"")</f>
        <v/>
      </c>
      <c r="AO298">
        <f>IF($AL298="","",MAX(0,ROUND($AN298-$AL298,2)))</f>
        <v/>
      </c>
      <c r="AP298">
        <f>IFERROR(SUMIFS(_REF_Model_Content!$E$1:$E$157,_REF_Model_Content!$A$1:$A$157,'Company Profile'!$B$9,_REF_Model_Content!$B$1:$B$157,"IT Cloud DR"),1)</f>
        <v/>
      </c>
      <c r="AQ298">
        <f>IF($AO298="","",ROUND($AO298*$AP298*($G298/5),2))</f>
        <v/>
      </c>
      <c r="AR298">
        <f>IF($AO298="","",IF($AO298&gt;=2,"Critical industry gap",IF($AO298&gt;=1,"High industry gap",IF($AO298&gt;=0.5,"Moderate industry gap","Within target"))))</f>
        <v/>
      </c>
      <c r="AS298">
        <f>IF(OR($H298="",$H298="N/A"),0,VALUE($H298)*(($AJ298+$AK298)/2)*$AV298)</f>
        <v/>
      </c>
      <c r="AT298">
        <f>IF(OR($H298="",$H298="N/A"),0,($AJ298+$AK298)/2)</f>
        <v/>
      </c>
      <c r="AU298">
        <f>'Assessment Questions'!AX298</f>
        <v/>
      </c>
      <c r="AV298">
        <f>IF(OR($H298="",$H298="N/A"),"",IF(OR($AU298="",$AU298="Everywhere",$AU298="Not applicable"),1,IF($AU298="Pilot / one team",0.4,IF($AU298="One unit or site",0.7,0.9))))</f>
        <v/>
      </c>
      <c r="AW298" t="inlineStr">
        <is>
          <t>IT Cloud DR</t>
        </is>
      </c>
      <c r="AX298" t="inlineStr">
        <is>
          <t>IT Cloud DR</t>
        </is>
      </c>
      <c r="AY298" t="n">
        <v>6</v>
      </c>
      <c r="AZ298" t="n">
        <v>298</v>
      </c>
    </row>
    <row r="299">
      <c r="A299" t="inlineStr">
        <is>
          <t>ITCL-003</t>
        </is>
      </c>
      <c r="B299" t="inlineStr">
        <is>
          <t>IT inventory and architecture</t>
        </is>
      </c>
      <c r="C299" t="inlineStr">
        <is>
          <t>How mature is the organization in managing current-state and target-state IT architecture documentation, including ownership, evidence, metrics, fallback procedures and crisis stress testing?</t>
        </is>
      </c>
      <c r="D299" t="inlineStr">
        <is>
          <t>This topic affects exposure to IT outage; Cloud outage; Data loss; Cyberattack. It helps identify how disruption may impact operations, people, revenue, systems, legal exposure or recovery time.</t>
        </is>
      </c>
      <c r="E299" t="inlineStr">
        <is>
          <t>ISO/IEC 27001; ISO/IEC 20000-1; NIST CSF 2.0; NIST SP 800-34; COBIT; ITIL 4; FinOps</t>
        </is>
      </c>
      <c r="F299" t="inlineStr">
        <is>
          <t>Policy/SOP; owner/RACI; system report; dashboard; contracts; test records; incident history; interview evidence related to current-state and target-state IT architecture documentation.</t>
        </is>
      </c>
      <c r="G299">
        <f>'Assessment Questions'!J299</f>
        <v/>
      </c>
      <c r="H299">
        <f>IF($Z299="","",IF($Z299="N/A","N/A",VALUE(LEFT($Z299,1))))</f>
        <v/>
      </c>
      <c r="I299">
        <f>IF($H299="","",IF($H299="N/A","",VALUE($H299)/5*$G299))</f>
        <v/>
      </c>
      <c r="J299">
        <f>IF(OR($H299="",$H299="N/A"),"",$G299)</f>
        <v/>
      </c>
      <c r="K299">
        <f>IF(OR($H299="",$H299="N/A"),"",$J299-$I299)</f>
        <v/>
      </c>
      <c r="L299">
        <f>IF($H299="","",IF($H299="N/A","N/A",IF(VALUE($H299)&lt;=1,"Critical",IF(VALUE($H299)&lt;=2,"High",IF(VALUE($H299)&lt;=3,"Medium",IF(VALUE($H299)&lt;=4,"Low","Resilient"))))))</f>
        <v/>
      </c>
      <c r="M299" t="inlineStr">
        <is>
          <t>No reliable evidence that current-state and target-state it architecture documentation is defined, owned or managed.</t>
        </is>
      </c>
      <c r="N299" t="inlineStr">
        <is>
          <t>Current-state and target-state IT architecture documentation is handled informally and depends on individual knowledge or heroic effort.</t>
        </is>
      </c>
      <c r="O299" t="inlineStr">
        <is>
          <t>Current-state and target-state IT architecture documentation is partially documented or implemented, but coverage is inconsistent and not crisis-tested.</t>
        </is>
      </c>
      <c r="P299" t="inlineStr">
        <is>
          <t>Current-state and target-state IT architecture documentation is documented, owned, used in normal operations and supported by basic evidence or metrics.</t>
        </is>
      </c>
      <c r="Q299" t="inlineStr">
        <is>
          <t>Current-state and target-state IT architecture documentation is measured, periodically reviewed, integrated with related processes and tested against relevant disruption scenarios.</t>
        </is>
      </c>
      <c r="R299" t="inlineStr">
        <is>
          <t>Current-state and target-state IT architecture documentation is optimized, continuously improved, automated where practical and demonstrably supports crisis resilience.</t>
        </is>
      </c>
      <c r="S299" t="inlineStr">
        <is>
          <t>IT outage; Cloud outage; Data loss; Cyberattack</t>
        </is>
      </c>
      <c r="T299">
        <f>'Assessment Questions'!W299</f>
        <v/>
      </c>
      <c r="U299">
        <f>'Assessment Questions'!X299</f>
        <v/>
      </c>
      <c r="V299">
        <f>'Assessment Questions'!Y299</f>
        <v/>
      </c>
      <c r="W299" t="n">
        <v>5</v>
      </c>
      <c r="X299" t="n">
        <v>5</v>
      </c>
      <c r="Y299" t="n">
        <v>5</v>
      </c>
      <c r="Z299">
        <f>'Assessment Questions'!AC299</f>
        <v/>
      </c>
      <c r="AA299" t="inlineStr">
        <is>
          <t>Resilience and DR</t>
        </is>
      </c>
      <c r="AB299">
        <f>COUNTIF($B$297:$B$324,$AA299)</f>
        <v/>
      </c>
      <c r="AC299">
        <f>IFERROR(SUMPRODUCT(($B$297:$B$324=$AA299)*($H$297:$H$324&lt;&gt;"")*($H$297:$H$324&lt;&gt;"N/A")*IFERROR(VALUE($H$297:$H$324),0))/SUMPRODUCT(($B$297:$B$324=$AA299)*($H$297:$H$324&lt;&gt;"")*($H$297:$H$324&lt;&gt;"N/A")),0)</f>
        <v/>
      </c>
      <c r="AD299">
        <f>AC299/5</f>
        <v/>
      </c>
      <c r="AE299">
        <f>COUNTIFS($B$297:$B$324,$AA299,$L$297:$L$324,"Critical")+COUNTIFS($B$297:$B$324,$AA299,$L$297:$L$324,"High")</f>
        <v/>
      </c>
      <c r="AF299">
        <f>5-AC299</f>
        <v/>
      </c>
      <c r="AG299">
        <f>SUMPRODUCT(($B$297:$B$324=$AA299)*(ISNUMBER($H$297:$H$324)+($H$297:$H$324="N/A")))</f>
        <v/>
      </c>
      <c r="AH299">
        <f>'Assessment Questions'!AK299</f>
        <v/>
      </c>
      <c r="AI299">
        <f>'Assessment Questions'!AL299</f>
        <v/>
      </c>
      <c r="AJ299">
        <f>IF(OR($H299="",$H299="N/A"),"",IF($AH299="",VLOOKUP('Company Profile'!$B$40,_CONFIG_Model_Settings!$A$5:$B$8,2,FALSE),_xlfn.IFNA(VLOOKUP($AH299,_CONFIG_Model_Settings!$A$5:$B$8,2,FALSE),0.9)))</f>
        <v/>
      </c>
      <c r="AK299">
        <f>IF(OR($H299="",$H299="N/A"),"",IF($AI299="",VLOOKUP('Company Profile'!$B$41,_CONFIG_Model_Settings!$A$5:$B$8,2,FALSE),_xlfn.IFNA(VLOOKUP($AI299,_CONFIG_Model_Settings!$A$5:$B$8,2,FALSE),0.9)))</f>
        <v/>
      </c>
      <c r="AL299">
        <f>IF(OR($H299="",$H299="N/A"),"",ROUND(VALUE($H299)*$AJ299*$AK299*$AV299,2))</f>
        <v/>
      </c>
      <c r="AM299">
        <f>IF($AL299="","",ROUND($AL299/5*100,1))</f>
        <v/>
      </c>
      <c r="AN299">
        <f>IFERROR(MIN(5,MAX(0,(SUMIFS(_REF_Model_Content!$D$1:$D$157,_REF_Model_Content!$A$1:$A$157,'Company Profile'!$B$9,_REF_Model_Content!$B$1:$B$157,"IT Cloud DR"))+_xlfn.IFNA(VLOOKUP('Company Profile'!$B$35,_CONFIG_Model_Settings!$A$11:$B$13,2,0),0))),"")</f>
        <v/>
      </c>
      <c r="AO299">
        <f>IF($AL299="","",MAX(0,ROUND($AN299-$AL299,2)))</f>
        <v/>
      </c>
      <c r="AP299">
        <f>IFERROR(SUMIFS(_REF_Model_Content!$E$1:$E$157,_REF_Model_Content!$A$1:$A$157,'Company Profile'!$B$9,_REF_Model_Content!$B$1:$B$157,"IT Cloud DR"),1)</f>
        <v/>
      </c>
      <c r="AQ299">
        <f>IF($AO299="","",ROUND($AO299*$AP299*($G299/5),2))</f>
        <v/>
      </c>
      <c r="AR299">
        <f>IF($AO299="","",IF($AO299&gt;=2,"Critical industry gap",IF($AO299&gt;=1,"High industry gap",IF($AO299&gt;=0.5,"Moderate industry gap","Within target"))))</f>
        <v/>
      </c>
      <c r="AS299">
        <f>IF(OR($H299="",$H299="N/A"),0,VALUE($H299)*(($AJ299+$AK299)/2)*$AV299)</f>
        <v/>
      </c>
      <c r="AT299">
        <f>IF(OR($H299="",$H299="N/A"),0,($AJ299+$AK299)/2)</f>
        <v/>
      </c>
      <c r="AU299">
        <f>'Assessment Questions'!AX299</f>
        <v/>
      </c>
      <c r="AV299">
        <f>IF(OR($H299="",$H299="N/A"),"",IF(OR($AU299="",$AU299="Everywhere",$AU299="Not applicable"),1,IF($AU299="Pilot / one team",0.4,IF($AU299="One unit or site",0.7,0.9))))</f>
        <v/>
      </c>
      <c r="AW299" t="inlineStr">
        <is>
          <t>IT Cloud DR</t>
        </is>
      </c>
      <c r="AX299" t="inlineStr">
        <is>
          <t>IT Cloud DR</t>
        </is>
      </c>
      <c r="AY299" t="n">
        <v>7</v>
      </c>
      <c r="AZ299" t="n">
        <v>299</v>
      </c>
    </row>
    <row r="300">
      <c r="A300" t="inlineStr">
        <is>
          <t>ITCL-004</t>
        </is>
      </c>
      <c r="B300" t="inlineStr">
        <is>
          <t>IT inventory and architecture</t>
        </is>
      </c>
      <c r="C300" t="inlineStr">
        <is>
          <t>How mature is the organization in managing technical single points of failure across network, identity, DNS, cloud, databases, integrations and support teams, including ownership, evidence, metrics, fallback procedures and crisis stress testing?</t>
        </is>
      </c>
      <c r="D300" t="inlineStr">
        <is>
          <t>This topic affects exposure to IT outage; Cloud outage; Data loss; Cyberattack. It helps identify how disruption may impact operations, people, revenue, systems, legal exposure or recovery time.</t>
        </is>
      </c>
      <c r="E300" t="inlineStr">
        <is>
          <t>ISO/IEC 27001; ISO/IEC 20000-1; NIST CSF 2.0; NIST SP 800-34; COBIT; ITIL 4; FinOps</t>
        </is>
      </c>
      <c r="F300" t="inlineStr">
        <is>
          <t>Policy/SOP; owner/RACI; system report; dashboard; contracts; test records; incident history; interview evidence related to technical single points of failure across network, identity, DNS, cloud, databases, integrations and support teams.</t>
        </is>
      </c>
      <c r="G300">
        <f>'Assessment Questions'!J300</f>
        <v/>
      </c>
      <c r="H300">
        <f>IF($Z300="","",IF($Z300="N/A","N/A",VALUE(LEFT($Z300,1))))</f>
        <v/>
      </c>
      <c r="I300">
        <f>IF($H300="","",IF($H300="N/A","",VALUE($H300)/5*$G300))</f>
        <v/>
      </c>
      <c r="J300">
        <f>IF(OR($H300="",$H300="N/A"),"",$G300)</f>
        <v/>
      </c>
      <c r="K300">
        <f>IF(OR($H300="",$H300="N/A"),"",$J300-$I300)</f>
        <v/>
      </c>
      <c r="L300">
        <f>IF($H300="","",IF($H300="N/A","N/A",IF(VALUE($H300)&lt;=1,"Critical",IF(VALUE($H300)&lt;=2,"High",IF(VALUE($H300)&lt;=3,"Medium",IF(VALUE($H300)&lt;=4,"Low","Resilient"))))))</f>
        <v/>
      </c>
      <c r="M300" t="inlineStr">
        <is>
          <t>Does not exist; no owner, no documentation, no practice.</t>
        </is>
      </c>
      <c r="N300" t="inlineStr">
        <is>
          <t>Ad hoc; depends entirely on specific individuals.</t>
        </is>
      </c>
      <c r="O300" t="inlineStr">
        <is>
          <t>Partially documented or implemented; coverage inconsistent; never tested under stress.</t>
        </is>
      </c>
      <c r="P300" t="inlineStr">
        <is>
          <t>Documented, owned, executed consistently; basic evidence and metrics exist.</t>
        </is>
      </c>
      <c r="Q300" t="inlineStr">
        <is>
          <t>Measured and periodically tested/audited; integrated with adjacent processes.</t>
        </is>
      </c>
      <c r="R300" t="inlineStr">
        <is>
          <t>Optimized and automated where practical; stress-tested; benchmarked externally.</t>
        </is>
      </c>
      <c r="S300" t="inlineStr">
        <is>
          <t>IT outage; Cloud outage; Data loss; Cyberattack</t>
        </is>
      </c>
      <c r="T300">
        <f>'Assessment Questions'!W300</f>
        <v/>
      </c>
      <c r="U300">
        <f>'Assessment Questions'!X300</f>
        <v/>
      </c>
      <c r="V300">
        <f>'Assessment Questions'!Y300</f>
        <v/>
      </c>
      <c r="W300" t="n">
        <v>5</v>
      </c>
      <c r="X300" t="n">
        <v>5</v>
      </c>
      <c r="Y300" t="n">
        <v>5</v>
      </c>
      <c r="Z300">
        <f>'Assessment Questions'!AC300</f>
        <v/>
      </c>
      <c r="AA300" t="inlineStr">
        <is>
          <t>Operations</t>
        </is>
      </c>
      <c r="AB300">
        <f>COUNTIF($B$297:$B$324,$AA300)</f>
        <v/>
      </c>
      <c r="AC300">
        <f>IFERROR(SUMPRODUCT(($B$297:$B$324=$AA300)*($H$297:$H$324&lt;&gt;"")*($H$297:$H$324&lt;&gt;"N/A")*IFERROR(VALUE($H$297:$H$324),0))/SUMPRODUCT(($B$297:$B$324=$AA300)*($H$297:$H$324&lt;&gt;"")*($H$297:$H$324&lt;&gt;"N/A")),0)</f>
        <v/>
      </c>
      <c r="AD300">
        <f>AC300/5</f>
        <v/>
      </c>
      <c r="AE300">
        <f>COUNTIFS($B$297:$B$324,$AA300,$L$297:$L$324,"Critical")+COUNTIFS($B$297:$B$324,$AA300,$L$297:$L$324,"High")</f>
        <v/>
      </c>
      <c r="AF300">
        <f>5-AC300</f>
        <v/>
      </c>
      <c r="AG300">
        <f>SUMPRODUCT(($B$297:$B$324=$AA300)*(ISNUMBER($H$297:$H$324)+($H$297:$H$324="N/A")))</f>
        <v/>
      </c>
      <c r="AH300">
        <f>'Assessment Questions'!AK300</f>
        <v/>
      </c>
      <c r="AI300">
        <f>'Assessment Questions'!AL300</f>
        <v/>
      </c>
      <c r="AJ300">
        <f>IF(OR($H300="",$H300="N/A"),"",IF($AH300="",VLOOKUP('Company Profile'!$B$40,_CONFIG_Model_Settings!$A$5:$B$8,2,FALSE),_xlfn.IFNA(VLOOKUP($AH300,_CONFIG_Model_Settings!$A$5:$B$8,2,FALSE),0.9)))</f>
        <v/>
      </c>
      <c r="AK300">
        <f>IF(OR($H300="",$H300="N/A"),"",IF($AI300="",VLOOKUP('Company Profile'!$B$41,_CONFIG_Model_Settings!$A$5:$B$8,2,FALSE),_xlfn.IFNA(VLOOKUP($AI300,_CONFIG_Model_Settings!$A$5:$B$8,2,FALSE),0.9)))</f>
        <v/>
      </c>
      <c r="AL300">
        <f>IF(OR($H300="",$H300="N/A"),"",ROUND(VALUE($H300)*$AJ300*$AK300*$AV300,2))</f>
        <v/>
      </c>
      <c r="AM300">
        <f>IF($AL300="","",ROUND($AL300/5*100,1))</f>
        <v/>
      </c>
      <c r="AN300">
        <f>IFERROR(MIN(5,MAX(0,(SUMIFS(_REF_Model_Content!$D$1:$D$157,_REF_Model_Content!$A$1:$A$157,'Company Profile'!$B$9,_REF_Model_Content!$B$1:$B$157,"IT Cloud DR"))+_xlfn.IFNA(VLOOKUP('Company Profile'!$B$35,_CONFIG_Model_Settings!$A$11:$B$13,2,0),0))),"")</f>
        <v/>
      </c>
      <c r="AO300">
        <f>IF($AL300="","",MAX(0,ROUND($AN300-$AL300,2)))</f>
        <v/>
      </c>
      <c r="AP300">
        <f>IFERROR(SUMIFS(_REF_Model_Content!$E$1:$E$157,_REF_Model_Content!$A$1:$A$157,'Company Profile'!$B$9,_REF_Model_Content!$B$1:$B$157,"IT Cloud DR"),1)</f>
        <v/>
      </c>
      <c r="AQ300">
        <f>IF($AO300="","",ROUND($AO300*$AP300*($G300/5),2))</f>
        <v/>
      </c>
      <c r="AR300">
        <f>IF($AO300="","",IF($AO300&gt;=2,"Critical industry gap",IF($AO300&gt;=1,"High industry gap",IF($AO300&gt;=0.5,"Moderate industry gap","Within target"))))</f>
        <v/>
      </c>
      <c r="AS300">
        <f>IF(OR($H300="",$H300="N/A"),0,VALUE($H300)*(($AJ300+$AK300)/2)*$AV300)</f>
        <v/>
      </c>
      <c r="AT300">
        <f>IF(OR($H300="",$H300="N/A"),0,($AJ300+$AK300)/2)</f>
        <v/>
      </c>
      <c r="AU300">
        <f>'Assessment Questions'!AX300</f>
        <v/>
      </c>
      <c r="AV300">
        <f>IF(OR($H300="",$H300="N/A"),"",IF(OR($AU300="",$AU300="Everywhere",$AU300="Not applicable"),1,IF($AU300="Pilot / one team",0.4,IF($AU300="One unit or site",0.7,0.9))))</f>
        <v/>
      </c>
      <c r="AW300" t="inlineStr">
        <is>
          <t>IT Cloud DR</t>
        </is>
      </c>
      <c r="AX300" t="inlineStr">
        <is>
          <t>IT Cloud DR</t>
        </is>
      </c>
      <c r="AY300" t="n">
        <v>8</v>
      </c>
      <c r="AZ300" t="n">
        <v>300</v>
      </c>
    </row>
    <row r="301">
      <c r="A301" t="inlineStr">
        <is>
          <t>ITCL-005</t>
        </is>
      </c>
      <c r="B301" t="inlineStr">
        <is>
          <t>IT inventory and architecture</t>
        </is>
      </c>
      <c r="C301" t="inlineStr">
        <is>
          <t>How mature is the organization in managing legacy system risk for vendor support, skills, security, integration and replacement options, including ownership, evidence, metrics, fallback procedures and crisis stress testing?</t>
        </is>
      </c>
      <c r="D301" t="inlineStr">
        <is>
          <t>This topic affects exposure to IT outage; Cloud outage; Data loss; Cyberattack. It helps identify how disruption may impact operations, people, revenue, systems, legal exposure or recovery time.</t>
        </is>
      </c>
      <c r="E301" t="inlineStr">
        <is>
          <t>ISO/IEC 27001; ISO/IEC 20000-1; NIST CSF 2.0; NIST SP 800-34; COBIT; ITIL 4; FinOps</t>
        </is>
      </c>
      <c r="F301" t="inlineStr">
        <is>
          <t>Policy/SOP; owner/RACI; system report; dashboard; contracts; test records; incident history; interview evidence related to legacy system risk for vendor support, skills, security, integration and replacement options.</t>
        </is>
      </c>
      <c r="G301">
        <f>'Assessment Questions'!J301</f>
        <v/>
      </c>
      <c r="H301">
        <f>IF($Z301="","",IF($Z301="N/A","N/A",VALUE(LEFT($Z301,1))))</f>
        <v/>
      </c>
      <c r="I301">
        <f>IF($H301="","",IF($H301="N/A","",VALUE($H301)/5*$G301))</f>
        <v/>
      </c>
      <c r="J301">
        <f>IF(OR($H301="",$H301="N/A"),"",$G301)</f>
        <v/>
      </c>
      <c r="K301">
        <f>IF(OR($H301="",$H301="N/A"),"",$J301-$I301)</f>
        <v/>
      </c>
      <c r="L301">
        <f>IF($H301="","",IF($H301="N/A","N/A",IF(VALUE($H301)&lt;=1,"Critical",IF(VALUE($H301)&lt;=2,"High",IF(VALUE($H301)&lt;=3,"Medium",IF(VALUE($H301)&lt;=4,"Low","Resilient"))))))</f>
        <v/>
      </c>
      <c r="M301" t="inlineStr">
        <is>
          <t>No reliable evidence that legacy system risk for vendor support, skills, security, integration and replacement options is defined, owned or managed.</t>
        </is>
      </c>
      <c r="N301" t="inlineStr">
        <is>
          <t>Legacy system risk for vendor support, skills, security, integration and replacement options is handled informally and depends on individual knowledge or heroic effort.</t>
        </is>
      </c>
      <c r="O301" t="inlineStr">
        <is>
          <t>Legacy system risk for vendor support, skills, security, integration and replacement options is partially documented or implemented, but coverage is inconsistent and not crisis-tested.</t>
        </is>
      </c>
      <c r="P301" t="inlineStr">
        <is>
          <t>Legacy system risk for vendor support, skills, security, integration and replacement options is documented, owned, used in normal operations and supported by basic evidence or metrics.</t>
        </is>
      </c>
      <c r="Q301" t="inlineStr">
        <is>
          <t>Legacy system risk for vendor support, skills, security, integration and replacement options is measured, periodically reviewed, integrated with related processes and tested against relevant disruption scenarios.</t>
        </is>
      </c>
      <c r="R301" t="inlineStr">
        <is>
          <t>Legacy system risk for vendor support, skills, security, integration and replacement options is optimized, continuously improved, automated where practical and demonstrably supports crisis resilience.</t>
        </is>
      </c>
      <c r="S301" t="inlineStr">
        <is>
          <t>IT outage; Cloud outage; Data loss; Cyberattack</t>
        </is>
      </c>
      <c r="T301">
        <f>'Assessment Questions'!W301</f>
        <v/>
      </c>
      <c r="U301">
        <f>'Assessment Questions'!X301</f>
        <v/>
      </c>
      <c r="V301">
        <f>'Assessment Questions'!Y301</f>
        <v/>
      </c>
      <c r="W301" t="n">
        <v>5</v>
      </c>
      <c r="X301" t="n">
        <v>5</v>
      </c>
      <c r="Y301" t="n">
        <v>5</v>
      </c>
      <c r="Z301">
        <f>'Assessment Questions'!AC301</f>
        <v/>
      </c>
      <c r="AA301" t="inlineStr">
        <is>
          <t>SaaS and integrations</t>
        </is>
      </c>
      <c r="AB301">
        <f>COUNTIF($B$297:$B$324,$AA301)</f>
        <v/>
      </c>
      <c r="AC301">
        <f>IFERROR(SUMPRODUCT(($B$297:$B$324=$AA301)*($H$297:$H$324&lt;&gt;"")*($H$297:$H$324&lt;&gt;"N/A")*IFERROR(VALUE($H$297:$H$324),0))/SUMPRODUCT(($B$297:$B$324=$AA301)*($H$297:$H$324&lt;&gt;"")*($H$297:$H$324&lt;&gt;"N/A")),0)</f>
        <v/>
      </c>
      <c r="AD301">
        <f>AC301/5</f>
        <v/>
      </c>
      <c r="AE301">
        <f>COUNTIFS($B$297:$B$324,$AA301,$L$297:$L$324,"Critical")+COUNTIFS($B$297:$B$324,$AA301,$L$297:$L$324,"High")</f>
        <v/>
      </c>
      <c r="AF301">
        <f>5-AC301</f>
        <v/>
      </c>
      <c r="AG301">
        <f>SUMPRODUCT(($B$297:$B$324=$AA301)*(ISNUMBER($H$297:$H$324)+($H$297:$H$324="N/A")))</f>
        <v/>
      </c>
      <c r="AH301">
        <f>'Assessment Questions'!AK301</f>
        <v/>
      </c>
      <c r="AI301">
        <f>'Assessment Questions'!AL301</f>
        <v/>
      </c>
      <c r="AJ301">
        <f>IF(OR($H301="",$H301="N/A"),"",IF($AH301="",VLOOKUP('Company Profile'!$B$40,_CONFIG_Model_Settings!$A$5:$B$8,2,FALSE),_xlfn.IFNA(VLOOKUP($AH301,_CONFIG_Model_Settings!$A$5:$B$8,2,FALSE),0.9)))</f>
        <v/>
      </c>
      <c r="AK301">
        <f>IF(OR($H301="",$H301="N/A"),"",IF($AI301="",VLOOKUP('Company Profile'!$B$41,_CONFIG_Model_Settings!$A$5:$B$8,2,FALSE),_xlfn.IFNA(VLOOKUP($AI301,_CONFIG_Model_Settings!$A$5:$B$8,2,FALSE),0.9)))</f>
        <v/>
      </c>
      <c r="AL301">
        <f>IF(OR($H301="",$H301="N/A"),"",ROUND(VALUE($H301)*$AJ301*$AK301*$AV301,2))</f>
        <v/>
      </c>
      <c r="AM301">
        <f>IF($AL301="","",ROUND($AL301/5*100,1))</f>
        <v/>
      </c>
      <c r="AN301">
        <f>IFERROR(MIN(5,MAX(0,(SUMIFS(_REF_Model_Content!$D$1:$D$157,_REF_Model_Content!$A$1:$A$157,'Company Profile'!$B$9,_REF_Model_Content!$B$1:$B$157,"IT Cloud DR"))+_xlfn.IFNA(VLOOKUP('Company Profile'!$B$35,_CONFIG_Model_Settings!$A$11:$B$13,2,0),0))),"")</f>
        <v/>
      </c>
      <c r="AO301">
        <f>IF($AL301="","",MAX(0,ROUND($AN301-$AL301,2)))</f>
        <v/>
      </c>
      <c r="AP301">
        <f>IFERROR(SUMIFS(_REF_Model_Content!$E$1:$E$157,_REF_Model_Content!$A$1:$A$157,'Company Profile'!$B$9,_REF_Model_Content!$B$1:$B$157,"IT Cloud DR"),1)</f>
        <v/>
      </c>
      <c r="AQ301">
        <f>IF($AO301="","",ROUND($AO301*$AP301*($G301/5),2))</f>
        <v/>
      </c>
      <c r="AR301">
        <f>IF($AO301="","",IF($AO301&gt;=2,"Critical industry gap",IF($AO301&gt;=1,"High industry gap",IF($AO301&gt;=0.5,"Moderate industry gap","Within target"))))</f>
        <v/>
      </c>
      <c r="AS301">
        <f>IF(OR($H301="",$H301="N/A"),0,VALUE($H301)*(($AJ301+$AK301)/2)*$AV301)</f>
        <v/>
      </c>
      <c r="AT301">
        <f>IF(OR($H301="",$H301="N/A"),0,($AJ301+$AK301)/2)</f>
        <v/>
      </c>
      <c r="AU301">
        <f>'Assessment Questions'!AX301</f>
        <v/>
      </c>
      <c r="AV301">
        <f>IF(OR($H301="",$H301="N/A"),"",IF(OR($AU301="",$AU301="Everywhere",$AU301="Not applicable"),1,IF($AU301="Pilot / one team",0.4,IF($AU301="One unit or site",0.7,0.9))))</f>
        <v/>
      </c>
      <c r="AW301" t="inlineStr">
        <is>
          <t>IT Cloud DR</t>
        </is>
      </c>
      <c r="AX301" t="inlineStr">
        <is>
          <t>IT Cloud DR</t>
        </is>
      </c>
      <c r="AY301" t="n">
        <v>9</v>
      </c>
      <c r="AZ301" t="n">
        <v>301</v>
      </c>
    </row>
    <row r="302">
      <c r="A302" t="inlineStr">
        <is>
          <t>ITCL-006</t>
        </is>
      </c>
      <c r="B302" t="inlineStr">
        <is>
          <t>IT inventory and architecture</t>
        </is>
      </c>
      <c r="C302" t="inlineStr">
        <is>
          <t>How mature is the organization in managing technical debt register linked to resilience, security and business impact, including ownership, evidence, metrics, fallback procedures and crisis stress testing?</t>
        </is>
      </c>
      <c r="D302" t="inlineStr">
        <is>
          <t>This topic affects exposure to IT outage; Cloud outage; Data loss; Cyberattack. It helps identify how disruption may impact operations, people, revenue, systems, legal exposure or recovery time.</t>
        </is>
      </c>
      <c r="E302" t="inlineStr">
        <is>
          <t>ISO/IEC 27001; ISO/IEC 20000-1; NIST CSF 2.0; NIST SP 800-34; COBIT; ITIL 4; FinOps</t>
        </is>
      </c>
      <c r="F302" t="inlineStr">
        <is>
          <t>Policy/SOP; owner/RACI; system report; dashboard; contracts; test records; incident history; interview evidence related to technical debt register linked to resilience, security and business impact.</t>
        </is>
      </c>
      <c r="G302">
        <f>'Assessment Questions'!J302</f>
        <v/>
      </c>
      <c r="H302">
        <f>IF($Z302="","",IF($Z302="N/A","N/A",VALUE(LEFT($Z302,1))))</f>
        <v/>
      </c>
      <c r="I302">
        <f>IF($H302="","",IF($H302="N/A","",VALUE($H302)/5*$G302))</f>
        <v/>
      </c>
      <c r="J302">
        <f>IF(OR($H302="",$H302="N/A"),"",$G302)</f>
        <v/>
      </c>
      <c r="K302">
        <f>IF(OR($H302="",$H302="N/A"),"",$J302-$I302)</f>
        <v/>
      </c>
      <c r="L302">
        <f>IF($H302="","",IF($H302="N/A","N/A",IF(VALUE($H302)&lt;=1,"Critical",IF(VALUE($H302)&lt;=2,"High",IF(VALUE($H302)&lt;=3,"Medium",IF(VALUE($H302)&lt;=4,"Low","Resilient"))))))</f>
        <v/>
      </c>
      <c r="M302" t="inlineStr">
        <is>
          <t>No reliable evidence that technical debt register linked to resilience, security and business impact is defined, owned or managed.</t>
        </is>
      </c>
      <c r="N302" t="inlineStr">
        <is>
          <t>Technical debt register linked to resilience, security and business impact is handled informally and depends on individual knowledge or heroic effort.</t>
        </is>
      </c>
      <c r="O302" t="inlineStr">
        <is>
          <t>Technical debt register linked to resilience, security and business impact is partially documented or implemented, but coverage is inconsistent and not crisis-tested.</t>
        </is>
      </c>
      <c r="P302" t="inlineStr">
        <is>
          <t>Technical debt register linked to resilience, security and business impact is documented, owned, used in normal operations and supported by basic evidence or metrics.</t>
        </is>
      </c>
      <c r="Q302" t="inlineStr">
        <is>
          <t>Technical debt register linked to resilience, security and business impact is measured, periodically reviewed, integrated with related processes and tested against relevant disruption scenarios.</t>
        </is>
      </c>
      <c r="R302" t="inlineStr">
        <is>
          <t>Technical debt register linked to resilience, security and business impact is optimized, continuously improved, automated where practical and demonstrably supports crisis resilience.</t>
        </is>
      </c>
      <c r="S302" t="inlineStr">
        <is>
          <t>IT outage; Cloud outage; Data loss; Cyberattack</t>
        </is>
      </c>
      <c r="T302">
        <f>'Assessment Questions'!W302</f>
        <v/>
      </c>
      <c r="U302">
        <f>'Assessment Questions'!X302</f>
        <v/>
      </c>
      <c r="V302">
        <f>'Assessment Questions'!Y302</f>
        <v/>
      </c>
      <c r="W302" t="n">
        <v>5</v>
      </c>
      <c r="X302" t="n">
        <v>5</v>
      </c>
      <c r="Y302" t="n">
        <v>5</v>
      </c>
      <c r="Z302">
        <f>'Assessment Questions'!AC302</f>
        <v/>
      </c>
      <c r="AB302">
        <f>COUNTIF($B$297:$B$324,$AA302)</f>
        <v/>
      </c>
      <c r="AC302">
        <f>IFERROR(SUMPRODUCT(($B$297:$B$324=$AA302)*($H$297:$H$324&lt;&gt;"")*($H$297:$H$324&lt;&gt;"N/A")*IFERROR(VALUE($H$297:$H$324),0))/SUMPRODUCT(($B$297:$B$324=$AA302)*($H$297:$H$324&lt;&gt;"")*($H$297:$H$324&lt;&gt;"N/A")),0)</f>
        <v/>
      </c>
      <c r="AD302">
        <f>AC302/5</f>
        <v/>
      </c>
      <c r="AE302">
        <f>COUNTIFS($B$297:$B$324,$AA302,$L$297:$L$324,"Critical")+COUNTIFS($B$297:$B$324,$AA302,$L$297:$L$324,"High")</f>
        <v/>
      </c>
      <c r="AF302">
        <f>5-AC302</f>
        <v/>
      </c>
      <c r="AG302">
        <f>SUMPRODUCT(($B$297:$B$324=$AA302)*(ISNUMBER($H$297:$H$324)+($H$297:$H$324="N/A")))</f>
        <v/>
      </c>
      <c r="AH302">
        <f>'Assessment Questions'!AK302</f>
        <v/>
      </c>
      <c r="AI302">
        <f>'Assessment Questions'!AL302</f>
        <v/>
      </c>
      <c r="AJ302">
        <f>IF(OR($H302="",$H302="N/A"),"",IF($AH302="",VLOOKUP('Company Profile'!$B$40,_CONFIG_Model_Settings!$A$5:$B$8,2,FALSE),_xlfn.IFNA(VLOOKUP($AH302,_CONFIG_Model_Settings!$A$5:$B$8,2,FALSE),0.9)))</f>
        <v/>
      </c>
      <c r="AK302">
        <f>IF(OR($H302="",$H302="N/A"),"",IF($AI302="",VLOOKUP('Company Profile'!$B$41,_CONFIG_Model_Settings!$A$5:$B$8,2,FALSE),_xlfn.IFNA(VLOOKUP($AI302,_CONFIG_Model_Settings!$A$5:$B$8,2,FALSE),0.9)))</f>
        <v/>
      </c>
      <c r="AL302">
        <f>IF(OR($H302="",$H302="N/A"),"",ROUND(VALUE($H302)*$AJ302*$AK302*$AV302,2))</f>
        <v/>
      </c>
      <c r="AM302">
        <f>IF($AL302="","",ROUND($AL302/5*100,1))</f>
        <v/>
      </c>
      <c r="AN302">
        <f>IFERROR(MIN(5,MAX(0,(SUMIFS(_REF_Model_Content!$D$1:$D$157,_REF_Model_Content!$A$1:$A$157,'Company Profile'!$B$9,_REF_Model_Content!$B$1:$B$157,"IT Cloud DR"))+_xlfn.IFNA(VLOOKUP('Company Profile'!$B$35,_CONFIG_Model_Settings!$A$11:$B$13,2,0),0))),"")</f>
        <v/>
      </c>
      <c r="AO302">
        <f>IF($AL302="","",MAX(0,ROUND($AN302-$AL302,2)))</f>
        <v/>
      </c>
      <c r="AP302">
        <f>IFERROR(SUMIFS(_REF_Model_Content!$E$1:$E$157,_REF_Model_Content!$A$1:$A$157,'Company Profile'!$B$9,_REF_Model_Content!$B$1:$B$157,"IT Cloud DR"),1)</f>
        <v/>
      </c>
      <c r="AQ302">
        <f>IF($AO302="","",ROUND($AO302*$AP302*($G302/5),2))</f>
        <v/>
      </c>
      <c r="AR302">
        <f>IF($AO302="","",IF($AO302&gt;=2,"Critical industry gap",IF($AO302&gt;=1,"High industry gap",IF($AO302&gt;=0.5,"Moderate industry gap","Within target"))))</f>
        <v/>
      </c>
      <c r="AS302">
        <f>IF(OR($H302="",$H302="N/A"),0,VALUE($H302)*(($AJ302+$AK302)/2)*$AV302)</f>
        <v/>
      </c>
      <c r="AT302">
        <f>IF(OR($H302="",$H302="N/A"),0,($AJ302+$AK302)/2)</f>
        <v/>
      </c>
      <c r="AU302">
        <f>'Assessment Questions'!AX302</f>
        <v/>
      </c>
      <c r="AV302">
        <f>IF(OR($H302="",$H302="N/A"),"",IF(OR($AU302="",$AU302="Everywhere",$AU302="Not applicable"),1,IF($AU302="Pilot / one team",0.4,IF($AU302="One unit or site",0.7,0.9))))</f>
        <v/>
      </c>
      <c r="AW302" t="inlineStr">
        <is>
          <t>IT Cloud DR</t>
        </is>
      </c>
      <c r="AX302" t="inlineStr">
        <is>
          <t>IT Cloud DR</t>
        </is>
      </c>
      <c r="AY302" t="n">
        <v>10</v>
      </c>
      <c r="AZ302" t="n">
        <v>302</v>
      </c>
    </row>
    <row r="303">
      <c r="A303" t="inlineStr">
        <is>
          <t>ITCL-007</t>
        </is>
      </c>
      <c r="B303" t="inlineStr">
        <is>
          <t>Cloud usage</t>
        </is>
      </c>
      <c r="C303" t="inlineStr">
        <is>
          <t>How mature is the organization in managing cloud account, subscription or project governance with ownership, billing, IAM, tagging and guardrails, including ownership, evidence, metrics, fallback procedures and crisis stress testing?</t>
        </is>
      </c>
      <c r="D303" t="inlineStr">
        <is>
          <t>This topic affects exposure to IT outage; Cloud outage; Data loss; Cyberattack. It helps identify how disruption may impact operations, people, revenue, systems, legal exposure or recovery time.</t>
        </is>
      </c>
      <c r="E303" t="inlineStr">
        <is>
          <t>ISO/IEC 27001; ISO/IEC 20000-1; NIST CSF 2.0; NIST SP 800-34; COBIT; ITIL 4; FinOps</t>
        </is>
      </c>
      <c r="F303" t="inlineStr">
        <is>
          <t>Policy/SOP; owner/RACI; system report; dashboard; contracts; test records; incident history; interview evidence related to cloud account, subscription or project governance with ownership, billing, IAM, tagging and guardrails.</t>
        </is>
      </c>
      <c r="G303">
        <f>'Assessment Questions'!J303</f>
        <v/>
      </c>
      <c r="H303">
        <f>IF($Z303="","",IF($Z303="N/A","N/A",VALUE(LEFT($Z303,1))))</f>
        <v/>
      </c>
      <c r="I303">
        <f>IF($H303="","",IF($H303="N/A","",VALUE($H303)/5*$G303))</f>
        <v/>
      </c>
      <c r="J303">
        <f>IF(OR($H303="",$H303="N/A"),"",$G303)</f>
        <v/>
      </c>
      <c r="K303">
        <f>IF(OR($H303="",$H303="N/A"),"",$J303-$I303)</f>
        <v/>
      </c>
      <c r="L303">
        <f>IF($H303="","",IF($H303="N/A","N/A",IF(VALUE($H303)&lt;=1,"Critical",IF(VALUE($H303)&lt;=2,"High",IF(VALUE($H303)&lt;=3,"Medium",IF(VALUE($H303)&lt;=4,"Low","Resilient"))))))</f>
        <v/>
      </c>
      <c r="M303" t="inlineStr">
        <is>
          <t>Does not exist; no owner, no documentation, no practice.</t>
        </is>
      </c>
      <c r="N303" t="inlineStr">
        <is>
          <t>Ad hoc; depends entirely on specific individuals.</t>
        </is>
      </c>
      <c r="O303" t="inlineStr">
        <is>
          <t>Partially documented or implemented; coverage inconsistent; never tested under stress.</t>
        </is>
      </c>
      <c r="P303" t="inlineStr">
        <is>
          <t>Documented, owned, executed consistently; basic evidence and metrics exist.</t>
        </is>
      </c>
      <c r="Q303" t="inlineStr">
        <is>
          <t>Measured and periodically tested/audited; integrated with adjacent processes.</t>
        </is>
      </c>
      <c r="R303" t="inlineStr">
        <is>
          <t>Optimized and automated where practical; stress-tested; benchmarked externally.</t>
        </is>
      </c>
      <c r="S303" t="inlineStr">
        <is>
          <t>IT outage; Cloud outage; Data loss; Cyberattack</t>
        </is>
      </c>
      <c r="T303">
        <f>'Assessment Questions'!W303</f>
        <v/>
      </c>
      <c r="U303">
        <f>'Assessment Questions'!X303</f>
        <v/>
      </c>
      <c r="V303">
        <f>'Assessment Questions'!Y303</f>
        <v/>
      </c>
      <c r="W303" t="n">
        <v>5</v>
      </c>
      <c r="X303" t="n">
        <v>5</v>
      </c>
      <c r="Y303" t="n">
        <v>5</v>
      </c>
      <c r="Z303">
        <f>'Assessment Questions'!AC303</f>
        <v/>
      </c>
      <c r="AB303">
        <f>COUNTIF($B$297:$B$324,$AA303)</f>
        <v/>
      </c>
      <c r="AC303">
        <f>IFERROR(SUMPRODUCT(($B$297:$B$324=$AA303)*($H$297:$H$324&lt;&gt;"")*($H$297:$H$324&lt;&gt;"N/A")*IFERROR(VALUE($H$297:$H$324),0))/SUMPRODUCT(($B$297:$B$324=$AA303)*($H$297:$H$324&lt;&gt;"")*($H$297:$H$324&lt;&gt;"N/A")),0)</f>
        <v/>
      </c>
      <c r="AD303">
        <f>AC303/5</f>
        <v/>
      </c>
      <c r="AE303">
        <f>COUNTIFS($B$297:$B$324,$AA303,$L$297:$L$324,"Critical")+COUNTIFS($B$297:$B$324,$AA303,$L$297:$L$324,"High")</f>
        <v/>
      </c>
      <c r="AF303">
        <f>5-AC303</f>
        <v/>
      </c>
      <c r="AG303">
        <f>SUMPRODUCT(($B$297:$B$324=$AA303)*(ISNUMBER($H$297:$H$324)+($H$297:$H$324="N/A")))</f>
        <v/>
      </c>
      <c r="AH303">
        <f>'Assessment Questions'!AK303</f>
        <v/>
      </c>
      <c r="AI303">
        <f>'Assessment Questions'!AL303</f>
        <v/>
      </c>
      <c r="AJ303">
        <f>IF(OR($H303="",$H303="N/A"),"",IF($AH303="",VLOOKUP('Company Profile'!$B$40,_CONFIG_Model_Settings!$A$5:$B$8,2,FALSE),_xlfn.IFNA(VLOOKUP($AH303,_CONFIG_Model_Settings!$A$5:$B$8,2,FALSE),0.9)))</f>
        <v/>
      </c>
      <c r="AK303">
        <f>IF(OR($H303="",$H303="N/A"),"",IF($AI303="",VLOOKUP('Company Profile'!$B$41,_CONFIG_Model_Settings!$A$5:$B$8,2,FALSE),_xlfn.IFNA(VLOOKUP($AI303,_CONFIG_Model_Settings!$A$5:$B$8,2,FALSE),0.9)))</f>
        <v/>
      </c>
      <c r="AL303">
        <f>IF(OR($H303="",$H303="N/A"),"",ROUND(VALUE($H303)*$AJ303*$AK303*$AV303,2))</f>
        <v/>
      </c>
      <c r="AM303">
        <f>IF($AL303="","",ROUND($AL303/5*100,1))</f>
        <v/>
      </c>
      <c r="AN303">
        <f>IFERROR(MIN(5,MAX(0,(SUMIFS(_REF_Model_Content!$D$1:$D$157,_REF_Model_Content!$A$1:$A$157,'Company Profile'!$B$9,_REF_Model_Content!$B$1:$B$157,"IT Cloud DR"))+_xlfn.IFNA(VLOOKUP('Company Profile'!$B$35,_CONFIG_Model_Settings!$A$11:$B$13,2,0),0))),"")</f>
        <v/>
      </c>
      <c r="AO303">
        <f>IF($AL303="","",MAX(0,ROUND($AN303-$AL303,2)))</f>
        <v/>
      </c>
      <c r="AP303">
        <f>IFERROR(SUMIFS(_REF_Model_Content!$E$1:$E$157,_REF_Model_Content!$A$1:$A$157,'Company Profile'!$B$9,_REF_Model_Content!$B$1:$B$157,"IT Cloud DR"),1)</f>
        <v/>
      </c>
      <c r="AQ303">
        <f>IF($AO303="","",ROUND($AO303*$AP303*($G303/5),2))</f>
        <v/>
      </c>
      <c r="AR303">
        <f>IF($AO303="","",IF($AO303&gt;=2,"Critical industry gap",IF($AO303&gt;=1,"High industry gap",IF($AO303&gt;=0.5,"Moderate industry gap","Within target"))))</f>
        <v/>
      </c>
      <c r="AS303">
        <f>IF(OR($H303="",$H303="N/A"),0,VALUE($H303)*(($AJ303+$AK303)/2)*$AV303)</f>
        <v/>
      </c>
      <c r="AT303">
        <f>IF(OR($H303="",$H303="N/A"),0,($AJ303+$AK303)/2)</f>
        <v/>
      </c>
      <c r="AU303">
        <f>'Assessment Questions'!AX303</f>
        <v/>
      </c>
      <c r="AV303">
        <f>IF(OR($H303="",$H303="N/A"),"",IF(OR($AU303="",$AU303="Everywhere",$AU303="Not applicable"),1,IF($AU303="Pilot / one team",0.4,IF($AU303="One unit or site",0.7,0.9))))</f>
        <v/>
      </c>
      <c r="AW303" t="inlineStr">
        <is>
          <t>IT Cloud DR</t>
        </is>
      </c>
      <c r="AX303" t="inlineStr">
        <is>
          <t>IT Cloud DR</t>
        </is>
      </c>
      <c r="AY303" t="n">
        <v>11</v>
      </c>
      <c r="AZ303" t="n">
        <v>303</v>
      </c>
    </row>
    <row r="304">
      <c r="A304" t="inlineStr">
        <is>
          <t>ITCL-008</t>
        </is>
      </c>
      <c r="B304" t="inlineStr">
        <is>
          <t>Cloud usage</t>
        </is>
      </c>
      <c r="C304" t="inlineStr">
        <is>
          <t>How mature is the organization in managing cloud provider, SaaS, region and managed-service concentration risk, including ownership, evidence, metrics, fallback procedures and crisis stress testing?</t>
        </is>
      </c>
      <c r="D304" t="inlineStr">
        <is>
          <t>This topic affects exposure to IT outage; Cloud outage; Data loss; Cyberattack. It helps identify how disruption may impact operations, people, revenue, systems, legal exposure or recovery time.</t>
        </is>
      </c>
      <c r="E304" t="inlineStr">
        <is>
          <t>ISO/IEC 27001; ISO/IEC 20000-1; NIST CSF 2.0; NIST SP 800-34; COBIT; ITIL 4; FinOps</t>
        </is>
      </c>
      <c r="F304" t="inlineStr">
        <is>
          <t>Policy/SOP; owner/RACI; system report; dashboard; contracts; test records; incident history; interview evidence related to cloud provider, SaaS, region and managed-service concentration risk.</t>
        </is>
      </c>
      <c r="G304">
        <f>'Assessment Questions'!J304</f>
        <v/>
      </c>
      <c r="H304">
        <f>IF($Z304="","",IF($Z304="N/A","N/A",VALUE(LEFT($Z304,1))))</f>
        <v/>
      </c>
      <c r="I304">
        <f>IF($H304="","",IF($H304="N/A","",VALUE($H304)/5*$G304))</f>
        <v/>
      </c>
      <c r="J304">
        <f>IF(OR($H304="",$H304="N/A"),"",$G304)</f>
        <v/>
      </c>
      <c r="K304">
        <f>IF(OR($H304="",$H304="N/A"),"",$J304-$I304)</f>
        <v/>
      </c>
      <c r="L304">
        <f>IF($H304="","",IF($H304="N/A","N/A",IF(VALUE($H304)&lt;=1,"Critical",IF(VALUE($H304)&lt;=2,"High",IF(VALUE($H304)&lt;=3,"Medium",IF(VALUE($H304)&lt;=4,"Low","Resilient"))))))</f>
        <v/>
      </c>
      <c r="M304" t="inlineStr">
        <is>
          <t>Does not exist; no owner, no documentation, no practice.</t>
        </is>
      </c>
      <c r="N304" t="inlineStr">
        <is>
          <t>Ad hoc; depends entirely on specific individuals.</t>
        </is>
      </c>
      <c r="O304" t="inlineStr">
        <is>
          <t>Partially documented or implemented; coverage inconsistent; never tested under stress.</t>
        </is>
      </c>
      <c r="P304" t="inlineStr">
        <is>
          <t>Documented, owned, executed consistently; basic evidence and metrics exist.</t>
        </is>
      </c>
      <c r="Q304" t="inlineStr">
        <is>
          <t>Measured and periodically tested/audited; integrated with adjacent processes.</t>
        </is>
      </c>
      <c r="R304" t="inlineStr">
        <is>
          <t>Optimized and automated where practical; stress-tested; benchmarked externally.</t>
        </is>
      </c>
      <c r="S304" t="inlineStr">
        <is>
          <t>IT outage; Cloud outage; Data loss; Cyberattack</t>
        </is>
      </c>
      <c r="T304">
        <f>'Assessment Questions'!W304</f>
        <v/>
      </c>
      <c r="U304">
        <f>'Assessment Questions'!X304</f>
        <v/>
      </c>
      <c r="V304">
        <f>'Assessment Questions'!Y304</f>
        <v/>
      </c>
      <c r="W304" t="n">
        <v>5</v>
      </c>
      <c r="X304" t="n">
        <v>5</v>
      </c>
      <c r="Y304" t="n">
        <v>5</v>
      </c>
      <c r="Z304">
        <f>'Assessment Questions'!AC304</f>
        <v/>
      </c>
      <c r="AB304">
        <f>COUNTIF($B$297:$B$324,$AA304)</f>
        <v/>
      </c>
      <c r="AC304">
        <f>IFERROR(SUMPRODUCT(($B$297:$B$324=$AA304)*($H$297:$H$324&lt;&gt;"")*($H$297:$H$324&lt;&gt;"N/A")*IFERROR(VALUE($H$297:$H$324),0))/SUMPRODUCT(($B$297:$B$324=$AA304)*($H$297:$H$324&lt;&gt;"")*($H$297:$H$324&lt;&gt;"N/A")),0)</f>
        <v/>
      </c>
      <c r="AD304">
        <f>AC304/5</f>
        <v/>
      </c>
      <c r="AE304">
        <f>COUNTIFS($B$297:$B$324,$AA304,$L$297:$L$324,"Critical")+COUNTIFS($B$297:$B$324,$AA304,$L$297:$L$324,"High")</f>
        <v/>
      </c>
      <c r="AF304">
        <f>5-AC304</f>
        <v/>
      </c>
      <c r="AG304">
        <f>SUMPRODUCT(($B$297:$B$324=$AA304)*(ISNUMBER($H$297:$H$324)+($H$297:$H$324="N/A")))</f>
        <v/>
      </c>
      <c r="AH304">
        <f>'Assessment Questions'!AK304</f>
        <v/>
      </c>
      <c r="AI304">
        <f>'Assessment Questions'!AL304</f>
        <v/>
      </c>
      <c r="AJ304">
        <f>IF(OR($H304="",$H304="N/A"),"",IF($AH304="",VLOOKUP('Company Profile'!$B$40,_CONFIG_Model_Settings!$A$5:$B$8,2,FALSE),_xlfn.IFNA(VLOOKUP($AH304,_CONFIG_Model_Settings!$A$5:$B$8,2,FALSE),0.9)))</f>
        <v/>
      </c>
      <c r="AK304">
        <f>IF(OR($H304="",$H304="N/A"),"",IF($AI304="",VLOOKUP('Company Profile'!$B$41,_CONFIG_Model_Settings!$A$5:$B$8,2,FALSE),_xlfn.IFNA(VLOOKUP($AI304,_CONFIG_Model_Settings!$A$5:$B$8,2,FALSE),0.9)))</f>
        <v/>
      </c>
      <c r="AL304">
        <f>IF(OR($H304="",$H304="N/A"),"",ROUND(VALUE($H304)*$AJ304*$AK304*$AV304,2))</f>
        <v/>
      </c>
      <c r="AM304">
        <f>IF($AL304="","",ROUND($AL304/5*100,1))</f>
        <v/>
      </c>
      <c r="AN304">
        <f>IFERROR(MIN(5,MAX(0,(SUMIFS(_REF_Model_Content!$D$1:$D$157,_REF_Model_Content!$A$1:$A$157,'Company Profile'!$B$9,_REF_Model_Content!$B$1:$B$157,"IT Cloud DR"))+_xlfn.IFNA(VLOOKUP('Company Profile'!$B$35,_CONFIG_Model_Settings!$A$11:$B$13,2,0),0))),"")</f>
        <v/>
      </c>
      <c r="AO304">
        <f>IF($AL304="","",MAX(0,ROUND($AN304-$AL304,2)))</f>
        <v/>
      </c>
      <c r="AP304">
        <f>IFERROR(SUMIFS(_REF_Model_Content!$E$1:$E$157,_REF_Model_Content!$A$1:$A$157,'Company Profile'!$B$9,_REF_Model_Content!$B$1:$B$157,"IT Cloud DR"),1)</f>
        <v/>
      </c>
      <c r="AQ304">
        <f>IF($AO304="","",ROUND($AO304*$AP304*($G304/5),2))</f>
        <v/>
      </c>
      <c r="AR304">
        <f>IF($AO304="","",IF($AO304&gt;=2,"Critical industry gap",IF($AO304&gt;=1,"High industry gap",IF($AO304&gt;=0.5,"Moderate industry gap","Within target"))))</f>
        <v/>
      </c>
      <c r="AS304">
        <f>IF(OR($H304="",$H304="N/A"),0,VALUE($H304)*(($AJ304+$AK304)/2)*$AV304)</f>
        <v/>
      </c>
      <c r="AT304">
        <f>IF(OR($H304="",$H304="N/A"),0,($AJ304+$AK304)/2)</f>
        <v/>
      </c>
      <c r="AU304">
        <f>'Assessment Questions'!AX304</f>
        <v/>
      </c>
      <c r="AV304">
        <f>IF(OR($H304="",$H304="N/A"),"",IF(OR($AU304="",$AU304="Everywhere",$AU304="Not applicable"),1,IF($AU304="Pilot / one team",0.4,IF($AU304="One unit or site",0.7,0.9))))</f>
        <v/>
      </c>
      <c r="AW304" t="inlineStr">
        <is>
          <t>IT Cloud DR</t>
        </is>
      </c>
      <c r="AX304" t="inlineStr">
        <is>
          <t>IT Cloud DR</t>
        </is>
      </c>
      <c r="AY304" t="n">
        <v>12</v>
      </c>
      <c r="AZ304" t="n">
        <v>304</v>
      </c>
    </row>
    <row r="305">
      <c r="A305" t="inlineStr">
        <is>
          <t>ITCL-009</t>
        </is>
      </c>
      <c r="B305" t="inlineStr">
        <is>
          <t>Cloud usage</t>
        </is>
      </c>
      <c r="C305" t="inlineStr">
        <is>
          <t>How mature is the organization in managing multi-region, multi-zone or failover design for critical cloud services where justified, including ownership, evidence, metrics, fallback procedures and crisis stress testing?</t>
        </is>
      </c>
      <c r="D305" t="inlineStr">
        <is>
          <t>This topic affects exposure to IT outage; Cloud outage; Data loss; Cyberattack. It helps identify how disruption may impact operations, people, revenue, systems, legal exposure or recovery time.</t>
        </is>
      </c>
      <c r="E305" t="inlineStr">
        <is>
          <t>ISO/IEC 27001; ISO/IEC 20000-1; NIST CSF 2.0; NIST SP 800-34; COBIT; ITIL 4; FinOps</t>
        </is>
      </c>
      <c r="F305" t="inlineStr">
        <is>
          <t>Policy/SOP; owner/RACI; system report; dashboard; contracts; test records; incident history; interview evidence related to multi-region, multi-zone or failover design for critical cloud services where justified.</t>
        </is>
      </c>
      <c r="G305">
        <f>'Assessment Questions'!J305</f>
        <v/>
      </c>
      <c r="H305">
        <f>IF($Z305="","",IF($Z305="N/A","N/A",VALUE(LEFT($Z305,1))))</f>
        <v/>
      </c>
      <c r="I305">
        <f>IF($H305="","",IF($H305="N/A","",VALUE($H305)/5*$G305))</f>
        <v/>
      </c>
      <c r="J305">
        <f>IF(OR($H305="",$H305="N/A"),"",$G305)</f>
        <v/>
      </c>
      <c r="K305">
        <f>IF(OR($H305="",$H305="N/A"),"",$J305-$I305)</f>
        <v/>
      </c>
      <c r="L305">
        <f>IF($H305="","",IF($H305="N/A","N/A",IF(VALUE($H305)&lt;=1,"Critical",IF(VALUE($H305)&lt;=2,"High",IF(VALUE($H305)&lt;=3,"Medium",IF(VALUE($H305)&lt;=4,"Low","Resilient"))))))</f>
        <v/>
      </c>
      <c r="M305" t="inlineStr">
        <is>
          <t>Does not exist; no owner, no documentation, no practice.</t>
        </is>
      </c>
      <c r="N305" t="inlineStr">
        <is>
          <t>Ad hoc; depends entirely on specific individuals.</t>
        </is>
      </c>
      <c r="O305" t="inlineStr">
        <is>
          <t>Partially documented or implemented; coverage inconsistent; never tested under stress.</t>
        </is>
      </c>
      <c r="P305" t="inlineStr">
        <is>
          <t>Documented, owned, executed consistently; basic evidence and metrics exist.</t>
        </is>
      </c>
      <c r="Q305" t="inlineStr">
        <is>
          <t>Measured and periodically tested/audited; integrated with adjacent processes.</t>
        </is>
      </c>
      <c r="R305" t="inlineStr">
        <is>
          <t>Optimized and automated where practical; stress-tested; benchmarked externally.</t>
        </is>
      </c>
      <c r="S305" t="inlineStr">
        <is>
          <t>IT outage; Cloud outage; Data loss; Cyberattack</t>
        </is>
      </c>
      <c r="T305">
        <f>'Assessment Questions'!W305</f>
        <v/>
      </c>
      <c r="U305">
        <f>'Assessment Questions'!X305</f>
        <v/>
      </c>
      <c r="V305">
        <f>'Assessment Questions'!Y305</f>
        <v/>
      </c>
      <c r="W305" t="n">
        <v>5</v>
      </c>
      <c r="X305" t="n">
        <v>5</v>
      </c>
      <c r="Y305" t="n">
        <v>5</v>
      </c>
      <c r="Z305">
        <f>'Assessment Questions'!AC305</f>
        <v/>
      </c>
      <c r="AB305">
        <f>COUNTIF($B$297:$B$324,$AA305)</f>
        <v/>
      </c>
      <c r="AC305">
        <f>IFERROR(SUMPRODUCT(($B$297:$B$324=$AA305)*($H$297:$H$324&lt;&gt;"")*($H$297:$H$324&lt;&gt;"N/A")*IFERROR(VALUE($H$297:$H$324),0))/SUMPRODUCT(($B$297:$B$324=$AA305)*($H$297:$H$324&lt;&gt;"")*($H$297:$H$324&lt;&gt;"N/A")),0)</f>
        <v/>
      </c>
      <c r="AD305">
        <f>AC305/5</f>
        <v/>
      </c>
      <c r="AE305">
        <f>COUNTIFS($B$297:$B$324,$AA305,$L$297:$L$324,"Critical")+COUNTIFS($B$297:$B$324,$AA305,$L$297:$L$324,"High")</f>
        <v/>
      </c>
      <c r="AF305">
        <f>5-AC305</f>
        <v/>
      </c>
      <c r="AG305">
        <f>SUMPRODUCT(($B$297:$B$324=$AA305)*(ISNUMBER($H$297:$H$324)+($H$297:$H$324="N/A")))</f>
        <v/>
      </c>
      <c r="AH305">
        <f>'Assessment Questions'!AK305</f>
        <v/>
      </c>
      <c r="AI305">
        <f>'Assessment Questions'!AL305</f>
        <v/>
      </c>
      <c r="AJ305">
        <f>IF(OR($H305="",$H305="N/A"),"",IF($AH305="",VLOOKUP('Company Profile'!$B$40,_CONFIG_Model_Settings!$A$5:$B$8,2,FALSE),_xlfn.IFNA(VLOOKUP($AH305,_CONFIG_Model_Settings!$A$5:$B$8,2,FALSE),0.9)))</f>
        <v/>
      </c>
      <c r="AK305">
        <f>IF(OR($H305="",$H305="N/A"),"",IF($AI305="",VLOOKUP('Company Profile'!$B$41,_CONFIG_Model_Settings!$A$5:$B$8,2,FALSE),_xlfn.IFNA(VLOOKUP($AI305,_CONFIG_Model_Settings!$A$5:$B$8,2,FALSE),0.9)))</f>
        <v/>
      </c>
      <c r="AL305">
        <f>IF(OR($H305="",$H305="N/A"),"",ROUND(VALUE($H305)*$AJ305*$AK305*$AV305,2))</f>
        <v/>
      </c>
      <c r="AM305">
        <f>IF($AL305="","",ROUND($AL305/5*100,1))</f>
        <v/>
      </c>
      <c r="AN305">
        <f>IFERROR(MIN(5,MAX(0,(SUMIFS(_REF_Model_Content!$D$1:$D$157,_REF_Model_Content!$A$1:$A$157,'Company Profile'!$B$9,_REF_Model_Content!$B$1:$B$157,"IT Cloud DR"))+_xlfn.IFNA(VLOOKUP('Company Profile'!$B$35,_CONFIG_Model_Settings!$A$11:$B$13,2,0),0))),"")</f>
        <v/>
      </c>
      <c r="AO305">
        <f>IF($AL305="","",MAX(0,ROUND($AN305-$AL305,2)))</f>
        <v/>
      </c>
      <c r="AP305">
        <f>IFERROR(SUMIFS(_REF_Model_Content!$E$1:$E$157,_REF_Model_Content!$A$1:$A$157,'Company Profile'!$B$9,_REF_Model_Content!$B$1:$B$157,"IT Cloud DR"),1)</f>
        <v/>
      </c>
      <c r="AQ305">
        <f>IF($AO305="","",ROUND($AO305*$AP305*($G305/5),2))</f>
        <v/>
      </c>
      <c r="AR305">
        <f>IF($AO305="","",IF($AO305&gt;=2,"Critical industry gap",IF($AO305&gt;=1,"High industry gap",IF($AO305&gt;=0.5,"Moderate industry gap","Within target"))))</f>
        <v/>
      </c>
      <c r="AS305">
        <f>IF(OR($H305="",$H305="N/A"),0,VALUE($H305)*(($AJ305+$AK305)/2)*$AV305)</f>
        <v/>
      </c>
      <c r="AT305">
        <f>IF(OR($H305="",$H305="N/A"),0,($AJ305+$AK305)/2)</f>
        <v/>
      </c>
      <c r="AU305">
        <f>'Assessment Questions'!AX305</f>
        <v/>
      </c>
      <c r="AV305">
        <f>IF(OR($H305="",$H305="N/A"),"",IF(OR($AU305="",$AU305="Everywhere",$AU305="Not applicable"),1,IF($AU305="Pilot / one team",0.4,IF($AU305="One unit or site",0.7,0.9))))</f>
        <v/>
      </c>
      <c r="AW305" t="inlineStr">
        <is>
          <t>IT Cloud DR</t>
        </is>
      </c>
      <c r="AX305" t="inlineStr">
        <is>
          <t>IT Cloud DR</t>
        </is>
      </c>
      <c r="AY305" t="n">
        <v>13</v>
      </c>
      <c r="AZ305" t="n">
        <v>305</v>
      </c>
    </row>
    <row r="306">
      <c r="A306" t="inlineStr">
        <is>
          <t>ITCL-010</t>
        </is>
      </c>
      <c r="B306" t="inlineStr">
        <is>
          <t>Cloud usage</t>
        </is>
      </c>
      <c r="C306" t="inlineStr">
        <is>
          <t>How mature is the organization in managing cloud cost monitoring, budgets, alerts, forecasting and FinOps practices, including ownership, evidence, metrics, fallback procedures and crisis stress testing?</t>
        </is>
      </c>
      <c r="D306" t="inlineStr">
        <is>
          <t>This topic affects exposure to IT outage; Cloud outage; Data loss; Cyberattack. It helps identify how disruption may impact operations, people, revenue, systems, legal exposure or recovery time.</t>
        </is>
      </c>
      <c r="E306" t="inlineStr">
        <is>
          <t>ISO/IEC 27001; ISO/IEC 20000-1; NIST CSF 2.0; NIST SP 800-34; COBIT; ITIL 4; FinOps</t>
        </is>
      </c>
      <c r="F306" t="inlineStr">
        <is>
          <t>Policy/SOP; owner/RACI; system report; dashboard; contracts; test records; incident history; interview evidence related to cloud cost monitoring, budgets, alerts, forecasting and FinOps practices.</t>
        </is>
      </c>
      <c r="G306">
        <f>'Assessment Questions'!J306</f>
        <v/>
      </c>
      <c r="H306">
        <f>IF($Z306="","",IF($Z306="N/A","N/A",VALUE(LEFT($Z306,1))))</f>
        <v/>
      </c>
      <c r="I306">
        <f>IF($H306="","",IF($H306="N/A","",VALUE($H306)/5*$G306))</f>
        <v/>
      </c>
      <c r="J306">
        <f>IF(OR($H306="",$H306="N/A"),"",$G306)</f>
        <v/>
      </c>
      <c r="K306">
        <f>IF(OR($H306="",$H306="N/A"),"",$J306-$I306)</f>
        <v/>
      </c>
      <c r="L306">
        <f>IF($H306="","",IF($H306="N/A","N/A",IF(VALUE($H306)&lt;=1,"Critical",IF(VALUE($H306)&lt;=2,"High",IF(VALUE($H306)&lt;=3,"Medium",IF(VALUE($H306)&lt;=4,"Low","Resilient"))))))</f>
        <v/>
      </c>
      <c r="M306" t="inlineStr">
        <is>
          <t>Nothing is monitored or measured.</t>
        </is>
      </c>
      <c r="N306" t="inlineStr">
        <is>
          <t>Occasional manual checks by individuals.</t>
        </is>
      </c>
      <c r="O306" t="inlineStr">
        <is>
          <t>Some metrics exist but are not reviewed regularly and trigger no action.</t>
        </is>
      </c>
      <c r="P306" t="inlineStr">
        <is>
          <t>Defined metrics with an owner, reviewed on a set cadence.</t>
        </is>
      </c>
      <c r="Q306" t="inlineStr">
        <is>
          <t>Thresholds and alerts in place; deviations trigger documented action; trends analyzed.</t>
        </is>
      </c>
      <c r="R306" t="inlineStr">
        <is>
          <t>Automated monitoring with leading indicators, integrated into management decisions.</t>
        </is>
      </c>
      <c r="S306" t="inlineStr">
        <is>
          <t>IT outage; Cloud outage; Data loss; Cyberattack</t>
        </is>
      </c>
      <c r="T306">
        <f>'Assessment Questions'!W306</f>
        <v/>
      </c>
      <c r="U306">
        <f>'Assessment Questions'!X306</f>
        <v/>
      </c>
      <c r="V306">
        <f>'Assessment Questions'!Y306</f>
        <v/>
      </c>
      <c r="W306" t="n">
        <v>5</v>
      </c>
      <c r="X306" t="n">
        <v>5</v>
      </c>
      <c r="Y306" t="n">
        <v>5</v>
      </c>
      <c r="Z306">
        <f>'Assessment Questions'!AC306</f>
        <v/>
      </c>
      <c r="AB306">
        <f>COUNTIF($B$297:$B$324,$AA306)</f>
        <v/>
      </c>
      <c r="AC306">
        <f>IFERROR(SUMPRODUCT(($B$297:$B$324=$AA306)*($H$297:$H$324&lt;&gt;"")*($H$297:$H$324&lt;&gt;"N/A")*IFERROR(VALUE($H$297:$H$324),0))/SUMPRODUCT(($B$297:$B$324=$AA306)*($H$297:$H$324&lt;&gt;"")*($H$297:$H$324&lt;&gt;"N/A")),0)</f>
        <v/>
      </c>
      <c r="AD306">
        <f>AC306/5</f>
        <v/>
      </c>
      <c r="AE306">
        <f>COUNTIFS($B$297:$B$324,$AA306,$L$297:$L$324,"Critical")+COUNTIFS($B$297:$B$324,$AA306,$L$297:$L$324,"High")</f>
        <v/>
      </c>
      <c r="AF306">
        <f>5-AC306</f>
        <v/>
      </c>
      <c r="AG306">
        <f>SUMPRODUCT(($B$297:$B$324=$AA306)*(ISNUMBER($H$297:$H$324)+($H$297:$H$324="N/A")))</f>
        <v/>
      </c>
      <c r="AH306">
        <f>'Assessment Questions'!AK306</f>
        <v/>
      </c>
      <c r="AI306">
        <f>'Assessment Questions'!AL306</f>
        <v/>
      </c>
      <c r="AJ306">
        <f>IF(OR($H306="",$H306="N/A"),"",IF($AH306="",VLOOKUP('Company Profile'!$B$40,_CONFIG_Model_Settings!$A$5:$B$8,2,FALSE),_xlfn.IFNA(VLOOKUP($AH306,_CONFIG_Model_Settings!$A$5:$B$8,2,FALSE),0.9)))</f>
        <v/>
      </c>
      <c r="AK306">
        <f>IF(OR($H306="",$H306="N/A"),"",IF($AI306="",VLOOKUP('Company Profile'!$B$41,_CONFIG_Model_Settings!$A$5:$B$8,2,FALSE),_xlfn.IFNA(VLOOKUP($AI306,_CONFIG_Model_Settings!$A$5:$B$8,2,FALSE),0.9)))</f>
        <v/>
      </c>
      <c r="AL306">
        <f>IF(OR($H306="",$H306="N/A"),"",ROUND(VALUE($H306)*$AJ306*$AK306*$AV306,2))</f>
        <v/>
      </c>
      <c r="AM306">
        <f>IF($AL306="","",ROUND($AL306/5*100,1))</f>
        <v/>
      </c>
      <c r="AN306">
        <f>IFERROR(MIN(5,MAX(0,(SUMIFS(_REF_Model_Content!$D$1:$D$157,_REF_Model_Content!$A$1:$A$157,'Company Profile'!$B$9,_REF_Model_Content!$B$1:$B$157,"IT Cloud DR"))+_xlfn.IFNA(VLOOKUP('Company Profile'!$B$35,_CONFIG_Model_Settings!$A$11:$B$13,2,0),0))),"")</f>
        <v/>
      </c>
      <c r="AO306">
        <f>IF($AL306="","",MAX(0,ROUND($AN306-$AL306,2)))</f>
        <v/>
      </c>
      <c r="AP306">
        <f>IFERROR(SUMIFS(_REF_Model_Content!$E$1:$E$157,_REF_Model_Content!$A$1:$A$157,'Company Profile'!$B$9,_REF_Model_Content!$B$1:$B$157,"IT Cloud DR"),1)</f>
        <v/>
      </c>
      <c r="AQ306">
        <f>IF($AO306="","",ROUND($AO306*$AP306*($G306/5),2))</f>
        <v/>
      </c>
      <c r="AR306">
        <f>IF($AO306="","",IF($AO306&gt;=2,"Critical industry gap",IF($AO306&gt;=1,"High industry gap",IF($AO306&gt;=0.5,"Moderate industry gap","Within target"))))</f>
        <v/>
      </c>
      <c r="AS306">
        <f>IF(OR($H306="",$H306="N/A"),0,VALUE($H306)*(($AJ306+$AK306)/2)*$AV306)</f>
        <v/>
      </c>
      <c r="AT306">
        <f>IF(OR($H306="",$H306="N/A"),0,($AJ306+$AK306)/2)</f>
        <v/>
      </c>
      <c r="AU306">
        <f>'Assessment Questions'!AX306</f>
        <v/>
      </c>
      <c r="AV306">
        <f>IF(OR($H306="",$H306="N/A"),"",IF(OR($AU306="",$AU306="Everywhere",$AU306="Not applicable"),1,IF($AU306="Pilot / one team",0.4,IF($AU306="One unit or site",0.7,0.9))))</f>
        <v/>
      </c>
      <c r="AW306" t="inlineStr">
        <is>
          <t>IT Cloud DR</t>
        </is>
      </c>
      <c r="AX306" t="inlineStr">
        <is>
          <t>IT Cloud DR</t>
        </is>
      </c>
      <c r="AY306" t="n">
        <v>14</v>
      </c>
      <c r="AZ306" t="n">
        <v>306</v>
      </c>
    </row>
    <row r="307">
      <c r="A307" t="inlineStr">
        <is>
          <t>ITCL-012</t>
        </is>
      </c>
      <c r="B307" t="inlineStr">
        <is>
          <t>Cloud usage</t>
        </is>
      </c>
      <c r="C307" t="inlineStr">
        <is>
          <t>How mature is the organization in managing cloud backup and restore of configurations, data, infrastructure-as-code and managed services, including ownership, evidence, metrics, fallback procedures and crisis stress testing?</t>
        </is>
      </c>
      <c r="D307" t="inlineStr">
        <is>
          <t>This topic affects exposure to IT outage; Cloud outage; Data loss; Cyberattack. It helps identify how disruption may impact operations, people, revenue, systems, legal exposure or recovery time.</t>
        </is>
      </c>
      <c r="E307" t="inlineStr">
        <is>
          <t>ISO/IEC 27001; ISO/IEC 20000-1; NIST CSF 2.0; NIST SP 800-34; COBIT; ITIL 4; FinOps</t>
        </is>
      </c>
      <c r="F307" t="inlineStr">
        <is>
          <t>Policy/SOP; owner/RACI; system report; dashboard; contracts; test records; incident history; interview evidence related to cloud backup and restore of configurations, data, infrastructure-as-code and managed services.</t>
        </is>
      </c>
      <c r="G307">
        <f>'Assessment Questions'!J307</f>
        <v/>
      </c>
      <c r="H307">
        <f>IF($Z307="","",IF($Z307="N/A","N/A",VALUE(LEFT($Z307,1))))</f>
        <v/>
      </c>
      <c r="I307">
        <f>IF($H307="","",IF($H307="N/A","",VALUE($H307)/5*$G307))</f>
        <v/>
      </c>
      <c r="J307">
        <f>IF(OR($H307="",$H307="N/A"),"",$G307)</f>
        <v/>
      </c>
      <c r="K307">
        <f>IF(OR($H307="",$H307="N/A"),"",$J307-$I307)</f>
        <v/>
      </c>
      <c r="L307">
        <f>IF($H307="","",IF($H307="N/A","N/A",IF(VALUE($H307)&lt;=1,"Critical",IF(VALUE($H307)&lt;=2,"High",IF(VALUE($H307)&lt;=3,"Medium",IF(VALUE($H307)&lt;=4,"Low","Resilient"))))))</f>
        <v/>
      </c>
      <c r="M307" t="inlineStr">
        <is>
          <t>Never done; no records exist.</t>
        </is>
      </c>
      <c r="N307" t="inlineStr">
        <is>
          <t>Done once long ago or only after an incident; no schedule, no records.</t>
        </is>
      </c>
      <c r="O307" t="inlineStr">
        <is>
          <t>Done irregularly; results are not documented and findings are not tracked.</t>
        </is>
      </c>
      <c r="P307" t="inlineStr">
        <is>
          <t>Done on a defined schedule (at least annually); results documented, owner assigned.</t>
        </is>
      </c>
      <c r="Q307" t="inlineStr">
        <is>
          <t>Done quarterly/semi-annually; findings tracked to closure, effectiveness measured against targets.</t>
        </is>
      </c>
      <c r="R307" t="inlineStr">
        <is>
          <t>Continuous or automated where possible; results drive improvements and are validated externally (audit/customer).</t>
        </is>
      </c>
      <c r="S307" t="inlineStr">
        <is>
          <t>IT outage; Cloud outage; Data loss; Cyberattack</t>
        </is>
      </c>
      <c r="T307">
        <f>'Assessment Questions'!W307</f>
        <v/>
      </c>
      <c r="U307">
        <f>'Assessment Questions'!X307</f>
        <v/>
      </c>
      <c r="V307">
        <f>'Assessment Questions'!Y307</f>
        <v/>
      </c>
      <c r="W307" t="n">
        <v>5</v>
      </c>
      <c r="X307" t="n">
        <v>5</v>
      </c>
      <c r="Y307" t="n">
        <v>5</v>
      </c>
      <c r="Z307">
        <f>'Assessment Questions'!AC307</f>
        <v/>
      </c>
      <c r="AB307">
        <f>COUNTIF($B$297:$B$324,$AA307)</f>
        <v/>
      </c>
      <c r="AC307">
        <f>IFERROR(SUMPRODUCT(($B$297:$B$324=$AA307)*($H$297:$H$324&lt;&gt;"")*($H$297:$H$324&lt;&gt;"N/A")*IFERROR(VALUE($H$297:$H$324),0))/SUMPRODUCT(($B$297:$B$324=$AA307)*($H$297:$H$324&lt;&gt;"")*($H$297:$H$324&lt;&gt;"N/A")),0)</f>
        <v/>
      </c>
      <c r="AD307">
        <f>AC307/5</f>
        <v/>
      </c>
      <c r="AE307">
        <f>COUNTIFS($B$297:$B$324,$AA307,$L$297:$L$324,"Critical")+COUNTIFS($B$297:$B$324,$AA307,$L$297:$L$324,"High")</f>
        <v/>
      </c>
      <c r="AF307">
        <f>5-AC307</f>
        <v/>
      </c>
      <c r="AG307">
        <f>SUMPRODUCT(($B$297:$B$324=$AA307)*(ISNUMBER($H$297:$H$324)+($H$297:$H$324="N/A")))</f>
        <v/>
      </c>
      <c r="AH307">
        <f>'Assessment Questions'!AK307</f>
        <v/>
      </c>
      <c r="AI307">
        <f>'Assessment Questions'!AL307</f>
        <v/>
      </c>
      <c r="AJ307">
        <f>IF(OR($H307="",$H307="N/A"),"",IF($AH307="",VLOOKUP('Company Profile'!$B$40,_CONFIG_Model_Settings!$A$5:$B$8,2,FALSE),_xlfn.IFNA(VLOOKUP($AH307,_CONFIG_Model_Settings!$A$5:$B$8,2,FALSE),0.9)))</f>
        <v/>
      </c>
      <c r="AK307">
        <f>IF(OR($H307="",$H307="N/A"),"",IF($AI307="",VLOOKUP('Company Profile'!$B$41,_CONFIG_Model_Settings!$A$5:$B$8,2,FALSE),_xlfn.IFNA(VLOOKUP($AI307,_CONFIG_Model_Settings!$A$5:$B$8,2,FALSE),0.9)))</f>
        <v/>
      </c>
      <c r="AL307">
        <f>IF(OR($H307="",$H307="N/A"),"",ROUND(VALUE($H307)*$AJ307*$AK307*$AV307,2))</f>
        <v/>
      </c>
      <c r="AM307">
        <f>IF($AL307="","",ROUND($AL307/5*100,1))</f>
        <v/>
      </c>
      <c r="AN307">
        <f>IFERROR(MIN(5,MAX(0,(SUMIFS(_REF_Model_Content!$D$1:$D$157,_REF_Model_Content!$A$1:$A$157,'Company Profile'!$B$9,_REF_Model_Content!$B$1:$B$157,"IT Cloud DR"))+_xlfn.IFNA(VLOOKUP('Company Profile'!$B$35,_CONFIG_Model_Settings!$A$11:$B$13,2,0),0))),"")</f>
        <v/>
      </c>
      <c r="AO307">
        <f>IF($AL307="","",MAX(0,ROUND($AN307-$AL307,2)))</f>
        <v/>
      </c>
      <c r="AP307">
        <f>IFERROR(SUMIFS(_REF_Model_Content!$E$1:$E$157,_REF_Model_Content!$A$1:$A$157,'Company Profile'!$B$9,_REF_Model_Content!$B$1:$B$157,"IT Cloud DR"),1)</f>
        <v/>
      </c>
      <c r="AQ307">
        <f>IF($AO307="","",ROUND($AO307*$AP307*($G307/5),2))</f>
        <v/>
      </c>
      <c r="AR307">
        <f>IF($AO307="","",IF($AO307&gt;=2,"Critical industry gap",IF($AO307&gt;=1,"High industry gap",IF($AO307&gt;=0.5,"Moderate industry gap","Within target"))))</f>
        <v/>
      </c>
      <c r="AS307">
        <f>IF(OR($H307="",$H307="N/A"),0,VALUE($H307)*(($AJ307+$AK307)/2)*$AV307)</f>
        <v/>
      </c>
      <c r="AT307">
        <f>IF(OR($H307="",$H307="N/A"),0,($AJ307+$AK307)/2)</f>
        <v/>
      </c>
      <c r="AU307">
        <f>'Assessment Questions'!AX307</f>
        <v/>
      </c>
      <c r="AV307">
        <f>IF(OR($H307="",$H307="N/A"),"",IF(OR($AU307="",$AU307="Everywhere",$AU307="Not applicable"),1,IF($AU307="Pilot / one team",0.4,IF($AU307="One unit or site",0.7,0.9))))</f>
        <v/>
      </c>
      <c r="AW307" t="inlineStr">
        <is>
          <t>IT Cloud DR</t>
        </is>
      </c>
      <c r="AX307" t="inlineStr">
        <is>
          <t>IT Cloud DR</t>
        </is>
      </c>
      <c r="AY307" t="n">
        <v>15</v>
      </c>
      <c r="AZ307" t="n">
        <v>307</v>
      </c>
    </row>
    <row r="308">
      <c r="A308" t="inlineStr">
        <is>
          <t>ITCL-013</t>
        </is>
      </c>
      <c r="B308" t="inlineStr">
        <is>
          <t>Resilience and DR</t>
        </is>
      </c>
      <c r="C308" t="inlineStr">
        <is>
          <t>How mature is the organization in managing backup coverage for systems, databases, files, SaaS data, configurations and cloud resources, including ownership, evidence, metrics, fallback procedures and crisis stress testing?</t>
        </is>
      </c>
      <c r="D308" t="inlineStr">
        <is>
          <t>This topic affects exposure to IT outage; Cloud outage; Data loss; Cyberattack. It helps identify how disruption may impact operations, people, revenue, systems, legal exposure or recovery time.</t>
        </is>
      </c>
      <c r="E308" t="inlineStr">
        <is>
          <t>ISO/IEC 27001; ISO/IEC 20000-1; NIST CSF 2.0; NIST SP 800-34; COBIT; ITIL 4; FinOps</t>
        </is>
      </c>
      <c r="F308" t="inlineStr">
        <is>
          <t>Policy/SOP; owner/RACI; system report; dashboard; contracts; test records; incident history; interview evidence related to backup coverage for systems, databases, files, SaaS data, configurations and cloud resources.</t>
        </is>
      </c>
      <c r="G308">
        <f>'Assessment Questions'!J308</f>
        <v/>
      </c>
      <c r="H308">
        <f>IF($Z308="","",IF($Z308="N/A","N/A",VALUE(LEFT($Z308,1))))</f>
        <v/>
      </c>
      <c r="I308">
        <f>IF($H308="","",IF($H308="N/A","",VALUE($H308)/5*$G308))</f>
        <v/>
      </c>
      <c r="J308">
        <f>IF(OR($H308="",$H308="N/A"),"",$G308)</f>
        <v/>
      </c>
      <c r="K308">
        <f>IF(OR($H308="",$H308="N/A"),"",$J308-$I308)</f>
        <v/>
      </c>
      <c r="L308">
        <f>IF($H308="","",IF($H308="N/A","N/A",IF(VALUE($H308)&lt;=1,"Critical",IF(VALUE($H308)&lt;=2,"High",IF(VALUE($H308)&lt;=3,"Medium",IF(VALUE($H308)&lt;=4,"Low","Resilient"))))))</f>
        <v/>
      </c>
      <c r="M308" t="inlineStr">
        <is>
          <t>Does not exist; no owner, no documentation, no practice.</t>
        </is>
      </c>
      <c r="N308" t="inlineStr">
        <is>
          <t>Ad hoc; depends entirely on specific individuals.</t>
        </is>
      </c>
      <c r="O308" t="inlineStr">
        <is>
          <t>Partially documented or implemented; coverage inconsistent; never tested under stress.</t>
        </is>
      </c>
      <c r="P308" t="inlineStr">
        <is>
          <t>Documented, owned, executed consistently; basic evidence and metrics exist.</t>
        </is>
      </c>
      <c r="Q308" t="inlineStr">
        <is>
          <t>Measured and periodically tested/audited; integrated with adjacent processes.</t>
        </is>
      </c>
      <c r="R308" t="inlineStr">
        <is>
          <t>Optimized and automated where practical; stress-tested; benchmarked externally.</t>
        </is>
      </c>
      <c r="S308" t="inlineStr">
        <is>
          <t>IT outage; Cloud outage; Data loss; Cyberattack</t>
        </is>
      </c>
      <c r="T308">
        <f>'Assessment Questions'!W308</f>
        <v/>
      </c>
      <c r="U308">
        <f>'Assessment Questions'!X308</f>
        <v/>
      </c>
      <c r="V308">
        <f>'Assessment Questions'!Y308</f>
        <v/>
      </c>
      <c r="W308" t="n">
        <v>5</v>
      </c>
      <c r="X308" t="n">
        <v>5</v>
      </c>
      <c r="Y308" t="n">
        <v>5</v>
      </c>
      <c r="Z308">
        <f>'Assessment Questions'!AC308</f>
        <v/>
      </c>
      <c r="AB308">
        <f>COUNTIF($B$297:$B$324,$AA308)</f>
        <v/>
      </c>
      <c r="AC308">
        <f>IFERROR(SUMPRODUCT(($B$297:$B$324=$AA308)*($H$297:$H$324&lt;&gt;"")*($H$297:$H$324&lt;&gt;"N/A")*IFERROR(VALUE($H$297:$H$324),0))/SUMPRODUCT(($B$297:$B$324=$AA308)*($H$297:$H$324&lt;&gt;"")*($H$297:$H$324&lt;&gt;"N/A")),0)</f>
        <v/>
      </c>
      <c r="AD308">
        <f>AC308/5</f>
        <v/>
      </c>
      <c r="AE308">
        <f>COUNTIFS($B$297:$B$324,$AA308,$L$297:$L$324,"Critical")+COUNTIFS($B$297:$B$324,$AA308,$L$297:$L$324,"High")</f>
        <v/>
      </c>
      <c r="AF308">
        <f>5-AC308</f>
        <v/>
      </c>
      <c r="AG308">
        <f>SUMPRODUCT(($B$297:$B$324=$AA308)*(ISNUMBER($H$297:$H$324)+($H$297:$H$324="N/A")))</f>
        <v/>
      </c>
      <c r="AH308">
        <f>'Assessment Questions'!AK308</f>
        <v/>
      </c>
      <c r="AI308">
        <f>'Assessment Questions'!AL308</f>
        <v/>
      </c>
      <c r="AJ308">
        <f>IF(OR($H308="",$H308="N/A"),"",IF($AH308="",VLOOKUP('Company Profile'!$B$40,_CONFIG_Model_Settings!$A$5:$B$8,2,FALSE),_xlfn.IFNA(VLOOKUP($AH308,_CONFIG_Model_Settings!$A$5:$B$8,2,FALSE),0.9)))</f>
        <v/>
      </c>
      <c r="AK308">
        <f>IF(OR($H308="",$H308="N/A"),"",IF($AI308="",VLOOKUP('Company Profile'!$B$41,_CONFIG_Model_Settings!$A$5:$B$8,2,FALSE),_xlfn.IFNA(VLOOKUP($AI308,_CONFIG_Model_Settings!$A$5:$B$8,2,FALSE),0.9)))</f>
        <v/>
      </c>
      <c r="AL308">
        <f>IF(OR($H308="",$H308="N/A"),"",ROUND(VALUE($H308)*$AJ308*$AK308*$AV308,2))</f>
        <v/>
      </c>
      <c r="AM308">
        <f>IF($AL308="","",ROUND($AL308/5*100,1))</f>
        <v/>
      </c>
      <c r="AN308">
        <f>IFERROR(MIN(5,MAX(0,(SUMIFS(_REF_Model_Content!$D$1:$D$157,_REF_Model_Content!$A$1:$A$157,'Company Profile'!$B$9,_REF_Model_Content!$B$1:$B$157,"IT Cloud DR"))+_xlfn.IFNA(VLOOKUP('Company Profile'!$B$35,_CONFIG_Model_Settings!$A$11:$B$13,2,0),0))),"")</f>
        <v/>
      </c>
      <c r="AO308">
        <f>IF($AL308="","",MAX(0,ROUND($AN308-$AL308,2)))</f>
        <v/>
      </c>
      <c r="AP308">
        <f>IFERROR(SUMIFS(_REF_Model_Content!$E$1:$E$157,_REF_Model_Content!$A$1:$A$157,'Company Profile'!$B$9,_REF_Model_Content!$B$1:$B$157,"IT Cloud DR"),1)</f>
        <v/>
      </c>
      <c r="AQ308">
        <f>IF($AO308="","",ROUND($AO308*$AP308*($G308/5),2))</f>
        <v/>
      </c>
      <c r="AR308">
        <f>IF($AO308="","",IF($AO308&gt;=2,"Critical industry gap",IF($AO308&gt;=1,"High industry gap",IF($AO308&gt;=0.5,"Moderate industry gap","Within target"))))</f>
        <v/>
      </c>
      <c r="AS308">
        <f>IF(OR($H308="",$H308="N/A"),0,VALUE($H308)*(($AJ308+$AK308)/2)*$AV308)</f>
        <v/>
      </c>
      <c r="AT308">
        <f>IF(OR($H308="",$H308="N/A"),0,($AJ308+$AK308)/2)</f>
        <v/>
      </c>
      <c r="AU308">
        <f>'Assessment Questions'!AX308</f>
        <v/>
      </c>
      <c r="AV308">
        <f>IF(OR($H308="",$H308="N/A"),"",IF(OR($AU308="",$AU308="Everywhere",$AU308="Not applicable"),1,IF($AU308="Pilot / one team",0.4,IF($AU308="One unit or site",0.7,0.9))))</f>
        <v/>
      </c>
      <c r="AW308" t="inlineStr">
        <is>
          <t>IT Cloud DR</t>
        </is>
      </c>
      <c r="AX308" t="inlineStr">
        <is>
          <t>IT Cloud DR</t>
        </is>
      </c>
      <c r="AY308" t="n">
        <v>16</v>
      </c>
      <c r="AZ308" t="n">
        <v>308</v>
      </c>
    </row>
    <row r="309">
      <c r="A309" t="inlineStr">
        <is>
          <t>ITCL-014</t>
        </is>
      </c>
      <c r="B309" t="inlineStr">
        <is>
          <t>Resilience and DR</t>
        </is>
      </c>
      <c r="C309" t="inlineStr">
        <is>
          <t>How mature is the organization in managing regular restore testing against defined RTO and RPO, including ownership, evidence, metrics, fallback procedures and crisis stress testing?</t>
        </is>
      </c>
      <c r="D309" t="inlineStr">
        <is>
          <t>This topic affects exposure to IT outage; Cloud outage; Data loss; Cyberattack. It helps identify how disruption may impact operations, people, revenue, systems, legal exposure or recovery time.</t>
        </is>
      </c>
      <c r="E309" t="inlineStr">
        <is>
          <t>ISO/IEC 27001; ISO/IEC 20000-1; NIST CSF 2.0; NIST SP 800-34; COBIT; ITIL 4; FinOps</t>
        </is>
      </c>
      <c r="F309" t="inlineStr">
        <is>
          <t>Policy/SOP; owner/RACI; system report; dashboard; contracts; test records; incident history; interview evidence related to regular restore testing against defined RTO and RPO.</t>
        </is>
      </c>
      <c r="G309">
        <f>'Assessment Questions'!J309</f>
        <v/>
      </c>
      <c r="H309">
        <f>IF($Z309="","",IF($Z309="N/A","N/A",VALUE(LEFT($Z309,1))))</f>
        <v/>
      </c>
      <c r="I309">
        <f>IF($H309="","",IF($H309="N/A","",VALUE($H309)/5*$G309))</f>
        <v/>
      </c>
      <c r="J309">
        <f>IF(OR($H309="",$H309="N/A"),"",$G309)</f>
        <v/>
      </c>
      <c r="K309">
        <f>IF(OR($H309="",$H309="N/A"),"",$J309-$I309)</f>
        <v/>
      </c>
      <c r="L309">
        <f>IF($H309="","",IF($H309="N/A","N/A",IF(VALUE($H309)&lt;=1,"Critical",IF(VALUE($H309)&lt;=2,"High",IF(VALUE($H309)&lt;=3,"Medium",IF(VALUE($H309)&lt;=4,"Low","Resilient"))))))</f>
        <v/>
      </c>
      <c r="M309" t="inlineStr">
        <is>
          <t>No backups or restores have never been attempted.</t>
        </is>
      </c>
      <c r="N309" t="inlineStr">
        <is>
          <t>Backups exist; restore never tested.</t>
        </is>
      </c>
      <c r="O309" t="inlineStr">
        <is>
          <t>Restore tested once or long ago; RTO/RPO unknown.</t>
        </is>
      </c>
      <c r="P309" t="inlineStr">
        <is>
          <t>Restore tested at least annually; RTO/RPO defined and met in tests.</t>
        </is>
      </c>
      <c r="Q309" t="inlineStr">
        <is>
          <t>Restore tested quarterly incl. critical systems; RTO/RPO measured and reported.</t>
        </is>
      </c>
      <c r="R309" t="inlineStr">
        <is>
          <t>Automated recovery/failover, tested regularly; recovery proven during real events or full DR exercises.</t>
        </is>
      </c>
      <c r="S309" t="inlineStr">
        <is>
          <t>IT outage; Cloud outage; Data loss; Cyberattack</t>
        </is>
      </c>
      <c r="T309">
        <f>'Assessment Questions'!W309</f>
        <v/>
      </c>
      <c r="U309">
        <f>'Assessment Questions'!X309</f>
        <v/>
      </c>
      <c r="V309">
        <f>'Assessment Questions'!Y309</f>
        <v/>
      </c>
      <c r="W309" t="n">
        <v>5</v>
      </c>
      <c r="X309" t="n">
        <v>5</v>
      </c>
      <c r="Y309" t="n">
        <v>5</v>
      </c>
      <c r="Z309">
        <f>'Assessment Questions'!AC309</f>
        <v/>
      </c>
      <c r="AB309">
        <f>COUNTIF($B$297:$B$324,$AA309)</f>
        <v/>
      </c>
      <c r="AC309">
        <f>IFERROR(SUMPRODUCT(($B$297:$B$324=$AA309)*($H$297:$H$324&lt;&gt;"")*($H$297:$H$324&lt;&gt;"N/A")*IFERROR(VALUE($H$297:$H$324),0))/SUMPRODUCT(($B$297:$B$324=$AA309)*($H$297:$H$324&lt;&gt;"")*($H$297:$H$324&lt;&gt;"N/A")),0)</f>
        <v/>
      </c>
      <c r="AD309">
        <f>AC309/5</f>
        <v/>
      </c>
      <c r="AE309">
        <f>COUNTIFS($B$297:$B$324,$AA309,$L$297:$L$324,"Critical")+COUNTIFS($B$297:$B$324,$AA309,$L$297:$L$324,"High")</f>
        <v/>
      </c>
      <c r="AF309">
        <f>5-AC309</f>
        <v/>
      </c>
      <c r="AG309">
        <f>SUMPRODUCT(($B$297:$B$324=$AA309)*(ISNUMBER($H$297:$H$324)+($H$297:$H$324="N/A")))</f>
        <v/>
      </c>
      <c r="AH309">
        <f>'Assessment Questions'!AK309</f>
        <v/>
      </c>
      <c r="AI309">
        <f>'Assessment Questions'!AL309</f>
        <v/>
      </c>
      <c r="AJ309">
        <f>IF(OR($H309="",$H309="N/A"),"",IF($AH309="",VLOOKUP('Company Profile'!$B$40,_CONFIG_Model_Settings!$A$5:$B$8,2,FALSE),_xlfn.IFNA(VLOOKUP($AH309,_CONFIG_Model_Settings!$A$5:$B$8,2,FALSE),0.9)))</f>
        <v/>
      </c>
      <c r="AK309">
        <f>IF(OR($H309="",$H309="N/A"),"",IF($AI309="",VLOOKUP('Company Profile'!$B$41,_CONFIG_Model_Settings!$A$5:$B$8,2,FALSE),_xlfn.IFNA(VLOOKUP($AI309,_CONFIG_Model_Settings!$A$5:$B$8,2,FALSE),0.9)))</f>
        <v/>
      </c>
      <c r="AL309">
        <f>IF(OR($H309="",$H309="N/A"),"",ROUND(VALUE($H309)*$AJ309*$AK309*$AV309,2))</f>
        <v/>
      </c>
      <c r="AM309">
        <f>IF($AL309="","",ROUND($AL309/5*100,1))</f>
        <v/>
      </c>
      <c r="AN309">
        <f>IFERROR(MIN(5,MAX(0,(SUMIFS(_REF_Model_Content!$D$1:$D$157,_REF_Model_Content!$A$1:$A$157,'Company Profile'!$B$9,_REF_Model_Content!$B$1:$B$157,"IT Cloud DR"))+_xlfn.IFNA(VLOOKUP('Company Profile'!$B$35,_CONFIG_Model_Settings!$A$11:$B$13,2,0),0))),"")</f>
        <v/>
      </c>
      <c r="AO309">
        <f>IF($AL309="","",MAX(0,ROUND($AN309-$AL309,2)))</f>
        <v/>
      </c>
      <c r="AP309">
        <f>IFERROR(SUMIFS(_REF_Model_Content!$E$1:$E$157,_REF_Model_Content!$A$1:$A$157,'Company Profile'!$B$9,_REF_Model_Content!$B$1:$B$157,"IT Cloud DR"),1)</f>
        <v/>
      </c>
      <c r="AQ309">
        <f>IF($AO309="","",ROUND($AO309*$AP309*($G309/5),2))</f>
        <v/>
      </c>
      <c r="AR309">
        <f>IF($AO309="","",IF($AO309&gt;=2,"Critical industry gap",IF($AO309&gt;=1,"High industry gap",IF($AO309&gt;=0.5,"Moderate industry gap","Within target"))))</f>
        <v/>
      </c>
      <c r="AS309">
        <f>IF(OR($H309="",$H309="N/A"),0,VALUE($H309)*(($AJ309+$AK309)/2)*$AV309)</f>
        <v/>
      </c>
      <c r="AT309">
        <f>IF(OR($H309="",$H309="N/A"),0,($AJ309+$AK309)/2)</f>
        <v/>
      </c>
      <c r="AU309">
        <f>'Assessment Questions'!AX309</f>
        <v/>
      </c>
      <c r="AV309">
        <f>IF(OR($H309="",$H309="N/A"),"",IF(OR($AU309="",$AU309="Everywhere",$AU309="Not applicable"),1,IF($AU309="Pilot / one team",0.4,IF($AU309="One unit or site",0.7,0.9))))</f>
        <v/>
      </c>
      <c r="AW309" t="inlineStr">
        <is>
          <t>IT Cloud DR</t>
        </is>
      </c>
      <c r="AX309" t="inlineStr">
        <is>
          <t>IT Cloud DR</t>
        </is>
      </c>
      <c r="AY309" t="n">
        <v>17</v>
      </c>
      <c r="AZ309" t="n">
        <v>309</v>
      </c>
    </row>
    <row r="310">
      <c r="A310" t="inlineStr">
        <is>
          <t>ITCL-015</t>
        </is>
      </c>
      <c r="B310" t="inlineStr">
        <is>
          <t>Resilience and DR</t>
        </is>
      </c>
      <c r="C310" t="inlineStr">
        <is>
          <t>How mature is the organization in managing DR runbooks for critical systems with owners, dependencies and communication rules, including ownership, evidence, metrics, fallback procedures and crisis stress testing?</t>
        </is>
      </c>
      <c r="D310" t="inlineStr">
        <is>
          <t>This topic affects exposure to IT outage; Cloud outage; Data loss; Cyberattack. It helps identify how disruption may impact operations, people, revenue, systems, legal exposure or recovery time.</t>
        </is>
      </c>
      <c r="E310" t="inlineStr">
        <is>
          <t>ISO/IEC 27001; ISO/IEC 20000-1; NIST CSF 2.0; NIST SP 800-34; COBIT; ITIL 4; FinOps</t>
        </is>
      </c>
      <c r="F310" t="inlineStr">
        <is>
          <t>Policy/SOP; owner/RACI; system report; dashboard; contracts; test records; incident history; interview evidence related to DR runbooks for critical systems with owners, dependencies and communication rules.</t>
        </is>
      </c>
      <c r="G310">
        <f>'Assessment Questions'!J310</f>
        <v/>
      </c>
      <c r="H310">
        <f>IF($Z310="","",IF($Z310="N/A","N/A",VALUE(LEFT($Z310,1))))</f>
        <v/>
      </c>
      <c r="I310">
        <f>IF($H310="","",IF($H310="N/A","",VALUE($H310)/5*$G310))</f>
        <v/>
      </c>
      <c r="J310">
        <f>IF(OR($H310="",$H310="N/A"),"",$G310)</f>
        <v/>
      </c>
      <c r="K310">
        <f>IF(OR($H310="",$H310="N/A"),"",$J310-$I310)</f>
        <v/>
      </c>
      <c r="L310">
        <f>IF($H310="","",IF($H310="N/A","N/A",IF(VALUE($H310)&lt;=1,"Critical",IF(VALUE($H310)&lt;=2,"High",IF(VALUE($H310)&lt;=3,"Medium",IF(VALUE($H310)&lt;=4,"Low","Resilient"))))))</f>
        <v/>
      </c>
      <c r="M310" t="inlineStr">
        <is>
          <t>No plan or procedure exists.</t>
        </is>
      </c>
      <c r="N310" t="inlineStr">
        <is>
          <t>Knowledge lives with individuals; nothing usable is written down.</t>
        </is>
      </c>
      <c r="O310" t="inlineStr">
        <is>
          <t>Drafted but outdated, not approved, or unknown to the people who must use it.</t>
        </is>
      </c>
      <c r="P310" t="inlineStr">
        <is>
          <t>Approved and current; owners assigned; affected staff know it exists and where to find it.</t>
        </is>
      </c>
      <c r="Q310" t="inlineStr">
        <is>
          <t>Tested against realistic scenarios; updated after each test or real incident.</t>
        </is>
      </c>
      <c r="R310" t="inlineStr">
        <is>
          <t>Exercised regularly including external parties; readiness measured; continuously improved.</t>
        </is>
      </c>
      <c r="S310" t="inlineStr">
        <is>
          <t>IT outage; Cloud outage; Data loss; Cyberattack</t>
        </is>
      </c>
      <c r="T310">
        <f>'Assessment Questions'!W310</f>
        <v/>
      </c>
      <c r="U310">
        <f>'Assessment Questions'!X310</f>
        <v/>
      </c>
      <c r="V310">
        <f>'Assessment Questions'!Y310</f>
        <v/>
      </c>
      <c r="W310" t="n">
        <v>5</v>
      </c>
      <c r="X310" t="n">
        <v>5</v>
      </c>
      <c r="Y310" t="n">
        <v>5</v>
      </c>
      <c r="Z310">
        <f>'Assessment Questions'!AC310</f>
        <v/>
      </c>
      <c r="AB310">
        <f>COUNTIF($B$297:$B$324,$AA310)</f>
        <v/>
      </c>
      <c r="AC310">
        <f>IFERROR(SUMPRODUCT(($B$297:$B$324=$AA310)*($H$297:$H$324&lt;&gt;"")*($H$297:$H$324&lt;&gt;"N/A")*IFERROR(VALUE($H$297:$H$324),0))/SUMPRODUCT(($B$297:$B$324=$AA310)*($H$297:$H$324&lt;&gt;"")*($H$297:$H$324&lt;&gt;"N/A")),0)</f>
        <v/>
      </c>
      <c r="AD310">
        <f>AC310/5</f>
        <v/>
      </c>
      <c r="AE310">
        <f>COUNTIFS($B$297:$B$324,$AA310,$L$297:$L$324,"Critical")+COUNTIFS($B$297:$B$324,$AA310,$L$297:$L$324,"High")</f>
        <v/>
      </c>
      <c r="AF310">
        <f>5-AC310</f>
        <v/>
      </c>
      <c r="AG310">
        <f>SUMPRODUCT(($B$297:$B$324=$AA310)*(ISNUMBER($H$297:$H$324)+($H$297:$H$324="N/A")))</f>
        <v/>
      </c>
      <c r="AH310">
        <f>'Assessment Questions'!AK310</f>
        <v/>
      </c>
      <c r="AI310">
        <f>'Assessment Questions'!AL310</f>
        <v/>
      </c>
      <c r="AJ310">
        <f>IF(OR($H310="",$H310="N/A"),"",IF($AH310="",VLOOKUP('Company Profile'!$B$40,_CONFIG_Model_Settings!$A$5:$B$8,2,FALSE),_xlfn.IFNA(VLOOKUP($AH310,_CONFIG_Model_Settings!$A$5:$B$8,2,FALSE),0.9)))</f>
        <v/>
      </c>
      <c r="AK310">
        <f>IF(OR($H310="",$H310="N/A"),"",IF($AI310="",VLOOKUP('Company Profile'!$B$41,_CONFIG_Model_Settings!$A$5:$B$8,2,FALSE),_xlfn.IFNA(VLOOKUP($AI310,_CONFIG_Model_Settings!$A$5:$B$8,2,FALSE),0.9)))</f>
        <v/>
      </c>
      <c r="AL310">
        <f>IF(OR($H310="",$H310="N/A"),"",ROUND(VALUE($H310)*$AJ310*$AK310*$AV310,2))</f>
        <v/>
      </c>
      <c r="AM310">
        <f>IF($AL310="","",ROUND($AL310/5*100,1))</f>
        <v/>
      </c>
      <c r="AN310">
        <f>IFERROR(MIN(5,MAX(0,(SUMIFS(_REF_Model_Content!$D$1:$D$157,_REF_Model_Content!$A$1:$A$157,'Company Profile'!$B$9,_REF_Model_Content!$B$1:$B$157,"IT Cloud DR"))+_xlfn.IFNA(VLOOKUP('Company Profile'!$B$35,_CONFIG_Model_Settings!$A$11:$B$13,2,0),0))),"")</f>
        <v/>
      </c>
      <c r="AO310">
        <f>IF($AL310="","",MAX(0,ROUND($AN310-$AL310,2)))</f>
        <v/>
      </c>
      <c r="AP310">
        <f>IFERROR(SUMIFS(_REF_Model_Content!$E$1:$E$157,_REF_Model_Content!$A$1:$A$157,'Company Profile'!$B$9,_REF_Model_Content!$B$1:$B$157,"IT Cloud DR"),1)</f>
        <v/>
      </c>
      <c r="AQ310">
        <f>IF($AO310="","",ROUND($AO310*$AP310*($G310/5),2))</f>
        <v/>
      </c>
      <c r="AR310">
        <f>IF($AO310="","",IF($AO310&gt;=2,"Critical industry gap",IF($AO310&gt;=1,"High industry gap",IF($AO310&gt;=0.5,"Moderate industry gap","Within target"))))</f>
        <v/>
      </c>
      <c r="AS310">
        <f>IF(OR($H310="",$H310="N/A"),0,VALUE($H310)*(($AJ310+$AK310)/2)*$AV310)</f>
        <v/>
      </c>
      <c r="AT310">
        <f>IF(OR($H310="",$H310="N/A"),0,($AJ310+$AK310)/2)</f>
        <v/>
      </c>
      <c r="AU310">
        <f>'Assessment Questions'!AX310</f>
        <v/>
      </c>
      <c r="AV310">
        <f>IF(OR($H310="",$H310="N/A"),"",IF(OR($AU310="",$AU310="Everywhere",$AU310="Not applicable"),1,IF($AU310="Pilot / one team",0.4,IF($AU310="One unit or site",0.7,0.9))))</f>
        <v/>
      </c>
      <c r="AW310" t="inlineStr">
        <is>
          <t>IT Cloud DR</t>
        </is>
      </c>
      <c r="AX310" t="inlineStr">
        <is>
          <t>IT Cloud DR</t>
        </is>
      </c>
      <c r="AY310" t="n">
        <v>18</v>
      </c>
      <c r="AZ310" t="n">
        <v>310</v>
      </c>
    </row>
    <row r="311">
      <c r="A311" t="inlineStr">
        <is>
          <t>ITCL-016</t>
        </is>
      </c>
      <c r="B311" t="inlineStr">
        <is>
          <t>Resilience and DR</t>
        </is>
      </c>
      <c r="C311" t="inlineStr">
        <is>
          <t>How mature is the organization in managing DR exercises for ransomware, cloud region failure, identity outage and data corruption, including ownership, evidence, metrics, fallback procedures and crisis stress testing?</t>
        </is>
      </c>
      <c r="D311" t="inlineStr">
        <is>
          <t>This topic affects exposure to IT outage; Cloud outage; Data loss; Cyberattack. It helps identify how disruption may impact operations, people, revenue, systems, legal exposure or recovery time.</t>
        </is>
      </c>
      <c r="E311" t="inlineStr">
        <is>
          <t>ISO/IEC 27001; ISO/IEC 20000-1; NIST CSF 2.0; NIST SP 800-34; COBIT; ITIL 4; FinOps</t>
        </is>
      </c>
      <c r="F311" t="inlineStr">
        <is>
          <t>Policy/SOP; owner/RACI; system report; dashboard; contracts; test records; incident history; interview evidence related to DR exercises for ransomware, cloud region failure, identity outage and data corruption.</t>
        </is>
      </c>
      <c r="G311">
        <f>'Assessment Questions'!J311</f>
        <v/>
      </c>
      <c r="H311">
        <f>IF($Z311="","",IF($Z311="N/A","N/A",VALUE(LEFT($Z311,1))))</f>
        <v/>
      </c>
      <c r="I311">
        <f>IF($H311="","",IF($H311="N/A","",VALUE($H311)/5*$G311))</f>
        <v/>
      </c>
      <c r="J311">
        <f>IF(OR($H311="",$H311="N/A"),"",$G311)</f>
        <v/>
      </c>
      <c r="K311">
        <f>IF(OR($H311="",$H311="N/A"),"",$J311-$I311)</f>
        <v/>
      </c>
      <c r="L311">
        <f>IF($H311="","",IF($H311="N/A","N/A",IF(VALUE($H311)&lt;=1,"Critical",IF(VALUE($H311)&lt;=2,"High",IF(VALUE($H311)&lt;=3,"Medium",IF(VALUE($H311)&lt;=4,"Low","Resilient"))))))</f>
        <v/>
      </c>
      <c r="M311" t="inlineStr">
        <is>
          <t>Never done; no records exist.</t>
        </is>
      </c>
      <c r="N311" t="inlineStr">
        <is>
          <t>Done once long ago or only after an incident; no schedule, no records.</t>
        </is>
      </c>
      <c r="O311" t="inlineStr">
        <is>
          <t>Done irregularly; results are not documented and findings are not tracked.</t>
        </is>
      </c>
      <c r="P311" t="inlineStr">
        <is>
          <t>Done on a defined schedule (at least annually); results documented, owner assigned.</t>
        </is>
      </c>
      <c r="Q311" t="inlineStr">
        <is>
          <t>Done quarterly/semi-annually; findings tracked to closure, effectiveness measured against targets.</t>
        </is>
      </c>
      <c r="R311" t="inlineStr">
        <is>
          <t>Continuous or automated where possible; results drive improvements and are validated externally (audit/customer).</t>
        </is>
      </c>
      <c r="S311" t="inlineStr">
        <is>
          <t>IT outage; Cloud outage; Data loss; Cyberattack</t>
        </is>
      </c>
      <c r="T311">
        <f>'Assessment Questions'!W311</f>
        <v/>
      </c>
      <c r="U311">
        <f>'Assessment Questions'!X311</f>
        <v/>
      </c>
      <c r="V311">
        <f>'Assessment Questions'!Y311</f>
        <v/>
      </c>
      <c r="W311" t="n">
        <v>5</v>
      </c>
      <c r="X311" t="n">
        <v>5</v>
      </c>
      <c r="Y311" t="n">
        <v>5</v>
      </c>
      <c r="Z311">
        <f>'Assessment Questions'!AC311</f>
        <v/>
      </c>
      <c r="AB311">
        <f>COUNTIF($B$297:$B$324,$AA311)</f>
        <v/>
      </c>
      <c r="AC311">
        <f>IFERROR(SUMPRODUCT(($B$297:$B$324=$AA311)*($H$297:$H$324&lt;&gt;"")*($H$297:$H$324&lt;&gt;"N/A")*IFERROR(VALUE($H$297:$H$324),0))/SUMPRODUCT(($B$297:$B$324=$AA311)*($H$297:$H$324&lt;&gt;"")*($H$297:$H$324&lt;&gt;"N/A")),0)</f>
        <v/>
      </c>
      <c r="AD311">
        <f>AC311/5</f>
        <v/>
      </c>
      <c r="AE311">
        <f>COUNTIFS($B$297:$B$324,$AA311,$L$297:$L$324,"Critical")+COUNTIFS($B$297:$B$324,$AA311,$L$297:$L$324,"High")</f>
        <v/>
      </c>
      <c r="AF311">
        <f>5-AC311</f>
        <v/>
      </c>
      <c r="AG311">
        <f>SUMPRODUCT(($B$297:$B$324=$AA311)*(ISNUMBER($H$297:$H$324)+($H$297:$H$324="N/A")))</f>
        <v/>
      </c>
      <c r="AH311">
        <f>'Assessment Questions'!AK311</f>
        <v/>
      </c>
      <c r="AI311">
        <f>'Assessment Questions'!AL311</f>
        <v/>
      </c>
      <c r="AJ311">
        <f>IF(OR($H311="",$H311="N/A"),"",IF($AH311="",VLOOKUP('Company Profile'!$B$40,_CONFIG_Model_Settings!$A$5:$B$8,2,FALSE),_xlfn.IFNA(VLOOKUP($AH311,_CONFIG_Model_Settings!$A$5:$B$8,2,FALSE),0.9)))</f>
        <v/>
      </c>
      <c r="AK311">
        <f>IF(OR($H311="",$H311="N/A"),"",IF($AI311="",VLOOKUP('Company Profile'!$B$41,_CONFIG_Model_Settings!$A$5:$B$8,2,FALSE),_xlfn.IFNA(VLOOKUP($AI311,_CONFIG_Model_Settings!$A$5:$B$8,2,FALSE),0.9)))</f>
        <v/>
      </c>
      <c r="AL311">
        <f>IF(OR($H311="",$H311="N/A"),"",ROUND(VALUE($H311)*$AJ311*$AK311*$AV311,2))</f>
        <v/>
      </c>
      <c r="AM311">
        <f>IF($AL311="","",ROUND($AL311/5*100,1))</f>
        <v/>
      </c>
      <c r="AN311">
        <f>IFERROR(MIN(5,MAX(0,(SUMIFS(_REF_Model_Content!$D$1:$D$157,_REF_Model_Content!$A$1:$A$157,'Company Profile'!$B$9,_REF_Model_Content!$B$1:$B$157,"IT Cloud DR"))+_xlfn.IFNA(VLOOKUP('Company Profile'!$B$35,_CONFIG_Model_Settings!$A$11:$B$13,2,0),0))),"")</f>
        <v/>
      </c>
      <c r="AO311">
        <f>IF($AL311="","",MAX(0,ROUND($AN311-$AL311,2)))</f>
        <v/>
      </c>
      <c r="AP311">
        <f>IFERROR(SUMIFS(_REF_Model_Content!$E$1:$E$157,_REF_Model_Content!$A$1:$A$157,'Company Profile'!$B$9,_REF_Model_Content!$B$1:$B$157,"IT Cloud DR"),1)</f>
        <v/>
      </c>
      <c r="AQ311">
        <f>IF($AO311="","",ROUND($AO311*$AP311*($G311/5),2))</f>
        <v/>
      </c>
      <c r="AR311">
        <f>IF($AO311="","",IF($AO311&gt;=2,"Critical industry gap",IF($AO311&gt;=1,"High industry gap",IF($AO311&gt;=0.5,"Moderate industry gap","Within target"))))</f>
        <v/>
      </c>
      <c r="AS311">
        <f>IF(OR($H311="",$H311="N/A"),0,VALUE($H311)*(($AJ311+$AK311)/2)*$AV311)</f>
        <v/>
      </c>
      <c r="AT311">
        <f>IF(OR($H311="",$H311="N/A"),0,($AJ311+$AK311)/2)</f>
        <v/>
      </c>
      <c r="AU311">
        <f>'Assessment Questions'!AX311</f>
        <v/>
      </c>
      <c r="AV311">
        <f>IF(OR($H311="",$H311="N/A"),"",IF(OR($AU311="",$AU311="Everywhere",$AU311="Not applicable"),1,IF($AU311="Pilot / one team",0.4,IF($AU311="One unit or site",0.7,0.9))))</f>
        <v/>
      </c>
      <c r="AW311" t="inlineStr">
        <is>
          <t>IT Cloud DR</t>
        </is>
      </c>
      <c r="AX311" t="inlineStr">
        <is>
          <t>IT Cloud DR</t>
        </is>
      </c>
      <c r="AY311" t="n">
        <v>19</v>
      </c>
      <c r="AZ311" t="n">
        <v>311</v>
      </c>
    </row>
    <row r="312">
      <c r="A312" t="inlineStr">
        <is>
          <t>ITCL-017</t>
        </is>
      </c>
      <c r="B312" t="inlineStr">
        <is>
          <t>Resilience and DR</t>
        </is>
      </c>
      <c r="C312" t="inlineStr">
        <is>
          <t>How mature is the organization in managing manual fallback for critical IT-dependent business processes, including ownership, evidence, metrics, fallback procedures and crisis stress testing?</t>
        </is>
      </c>
      <c r="D312" t="inlineStr">
        <is>
          <t>This topic affects exposure to IT outage; Cloud outage; Data loss; Cyberattack. It helps identify how disruption may impact operations, people, revenue, systems, legal exposure or recovery time.</t>
        </is>
      </c>
      <c r="E312" t="inlineStr">
        <is>
          <t>ISO/IEC 27001; ISO/IEC 20000-1; NIST CSF 2.0; NIST SP 800-34; COBIT; ITIL 4; FinOps</t>
        </is>
      </c>
      <c r="F312" t="inlineStr">
        <is>
          <t>Policy/SOP; owner/RACI; system report; dashboard; contracts; test records; incident history; interview evidence related to manual fallback for critical IT-dependent business processes.</t>
        </is>
      </c>
      <c r="G312">
        <f>'Assessment Questions'!J312</f>
        <v/>
      </c>
      <c r="H312">
        <f>IF($Z312="","",IF($Z312="N/A","N/A",VALUE(LEFT($Z312,1))))</f>
        <v/>
      </c>
      <c r="I312">
        <f>IF($H312="","",IF($H312="N/A","",VALUE($H312)/5*$G312))</f>
        <v/>
      </c>
      <c r="J312">
        <f>IF(OR($H312="",$H312="N/A"),"",$G312)</f>
        <v/>
      </c>
      <c r="K312">
        <f>IF(OR($H312="",$H312="N/A"),"",$J312-$I312)</f>
        <v/>
      </c>
      <c r="L312">
        <f>IF($H312="","",IF($H312="N/A","N/A",IF(VALUE($H312)&lt;=1,"Critical",IF(VALUE($H312)&lt;=2,"High",IF(VALUE($H312)&lt;=3,"Medium",IF(VALUE($H312)&lt;=4,"Low","Resilient"))))))</f>
        <v/>
      </c>
      <c r="M312" t="inlineStr">
        <is>
          <t>Does not exist; no owner, no documentation, no practice.</t>
        </is>
      </c>
      <c r="N312" t="inlineStr">
        <is>
          <t>Ad hoc; depends entirely on specific individuals.</t>
        </is>
      </c>
      <c r="O312" t="inlineStr">
        <is>
          <t>Partially documented or implemented; coverage inconsistent; never tested under stress.</t>
        </is>
      </c>
      <c r="P312" t="inlineStr">
        <is>
          <t>Documented, owned, executed consistently; basic evidence and metrics exist.</t>
        </is>
      </c>
      <c r="Q312" t="inlineStr">
        <is>
          <t>Measured and periodically tested/audited; integrated with adjacent processes.</t>
        </is>
      </c>
      <c r="R312" t="inlineStr">
        <is>
          <t>Optimized and automated where practical; stress-tested; benchmarked externally.</t>
        </is>
      </c>
      <c r="S312" t="inlineStr">
        <is>
          <t>IT outage; Cloud outage; Data loss; Cyberattack</t>
        </is>
      </c>
      <c r="T312">
        <f>'Assessment Questions'!W312</f>
        <v/>
      </c>
      <c r="U312">
        <f>'Assessment Questions'!X312</f>
        <v/>
      </c>
      <c r="V312">
        <f>'Assessment Questions'!Y312</f>
        <v/>
      </c>
      <c r="W312" t="n">
        <v>5</v>
      </c>
      <c r="X312" t="n">
        <v>5</v>
      </c>
      <c r="Y312" t="n">
        <v>5</v>
      </c>
      <c r="Z312">
        <f>'Assessment Questions'!AC312</f>
        <v/>
      </c>
      <c r="AB312">
        <f>COUNTIF($B$297:$B$324,$AA312)</f>
        <v/>
      </c>
      <c r="AC312">
        <f>IFERROR(SUMPRODUCT(($B$297:$B$324=$AA312)*($H$297:$H$324&lt;&gt;"")*($H$297:$H$324&lt;&gt;"N/A")*IFERROR(VALUE($H$297:$H$324),0))/SUMPRODUCT(($B$297:$B$324=$AA312)*($H$297:$H$324&lt;&gt;"")*($H$297:$H$324&lt;&gt;"N/A")),0)</f>
        <v/>
      </c>
      <c r="AD312">
        <f>AC312/5</f>
        <v/>
      </c>
      <c r="AE312">
        <f>COUNTIFS($B$297:$B$324,$AA312,$L$297:$L$324,"Critical")+COUNTIFS($B$297:$B$324,$AA312,$L$297:$L$324,"High")</f>
        <v/>
      </c>
      <c r="AF312">
        <f>5-AC312</f>
        <v/>
      </c>
      <c r="AG312">
        <f>SUMPRODUCT(($B$297:$B$324=$AA312)*(ISNUMBER($H$297:$H$324)+($H$297:$H$324="N/A")))</f>
        <v/>
      </c>
      <c r="AH312">
        <f>'Assessment Questions'!AK312</f>
        <v/>
      </c>
      <c r="AI312">
        <f>'Assessment Questions'!AL312</f>
        <v/>
      </c>
      <c r="AJ312">
        <f>IF(OR($H312="",$H312="N/A"),"",IF($AH312="",VLOOKUP('Company Profile'!$B$40,_CONFIG_Model_Settings!$A$5:$B$8,2,FALSE),_xlfn.IFNA(VLOOKUP($AH312,_CONFIG_Model_Settings!$A$5:$B$8,2,FALSE),0.9)))</f>
        <v/>
      </c>
      <c r="AK312">
        <f>IF(OR($H312="",$H312="N/A"),"",IF($AI312="",VLOOKUP('Company Profile'!$B$41,_CONFIG_Model_Settings!$A$5:$B$8,2,FALSE),_xlfn.IFNA(VLOOKUP($AI312,_CONFIG_Model_Settings!$A$5:$B$8,2,FALSE),0.9)))</f>
        <v/>
      </c>
      <c r="AL312">
        <f>IF(OR($H312="",$H312="N/A"),"",ROUND(VALUE($H312)*$AJ312*$AK312*$AV312,2))</f>
        <v/>
      </c>
      <c r="AM312">
        <f>IF($AL312="","",ROUND($AL312/5*100,1))</f>
        <v/>
      </c>
      <c r="AN312">
        <f>IFERROR(MIN(5,MAX(0,(SUMIFS(_REF_Model_Content!$D$1:$D$157,_REF_Model_Content!$A$1:$A$157,'Company Profile'!$B$9,_REF_Model_Content!$B$1:$B$157,"IT Cloud DR"))+_xlfn.IFNA(VLOOKUP('Company Profile'!$B$35,_CONFIG_Model_Settings!$A$11:$B$13,2,0),0))),"")</f>
        <v/>
      </c>
      <c r="AO312">
        <f>IF($AL312="","",MAX(0,ROUND($AN312-$AL312,2)))</f>
        <v/>
      </c>
      <c r="AP312">
        <f>IFERROR(SUMIFS(_REF_Model_Content!$E$1:$E$157,_REF_Model_Content!$A$1:$A$157,'Company Profile'!$B$9,_REF_Model_Content!$B$1:$B$157,"IT Cloud DR"),1)</f>
        <v/>
      </c>
      <c r="AQ312">
        <f>IF($AO312="","",ROUND($AO312*$AP312*($G312/5),2))</f>
        <v/>
      </c>
      <c r="AR312">
        <f>IF($AO312="","",IF($AO312&gt;=2,"Critical industry gap",IF($AO312&gt;=1,"High industry gap",IF($AO312&gt;=0.5,"Moderate industry gap","Within target"))))</f>
        <v/>
      </c>
      <c r="AS312">
        <f>IF(OR($H312="",$H312="N/A"),0,VALUE($H312)*(($AJ312+$AK312)/2)*$AV312)</f>
        <v/>
      </c>
      <c r="AT312">
        <f>IF(OR($H312="",$H312="N/A"),0,($AJ312+$AK312)/2)</f>
        <v/>
      </c>
      <c r="AU312">
        <f>'Assessment Questions'!AX312</f>
        <v/>
      </c>
      <c r="AV312">
        <f>IF(OR($H312="",$H312="N/A"),"",IF(OR($AU312="",$AU312="Everywhere",$AU312="Not applicable"),1,IF($AU312="Pilot / one team",0.4,IF($AU312="One unit or site",0.7,0.9))))</f>
        <v/>
      </c>
      <c r="AW312" t="inlineStr">
        <is>
          <t>IT Cloud DR</t>
        </is>
      </c>
      <c r="AX312" t="inlineStr">
        <is>
          <t>IT Cloud DR</t>
        </is>
      </c>
      <c r="AY312" t="n">
        <v>20</v>
      </c>
      <c r="AZ312" t="n">
        <v>312</v>
      </c>
    </row>
    <row r="313">
      <c r="A313" t="inlineStr">
        <is>
          <t>ITCL-018</t>
        </is>
      </c>
      <c r="B313" t="inlineStr">
        <is>
          <t>Resilience and DR</t>
        </is>
      </c>
      <c r="C313" t="inlineStr">
        <is>
          <t>How mature is the organization in managing on-call coverage, escalation and vendor support for critical systems, including ownership, evidence, metrics, fallback procedures and crisis stress testing?</t>
        </is>
      </c>
      <c r="D313" t="inlineStr">
        <is>
          <t>This topic affects exposure to IT outage; Cloud outage; Data loss; Cyberattack. It helps identify how disruption may impact operations, people, revenue, systems, legal exposure or recovery time.</t>
        </is>
      </c>
      <c r="E313" t="inlineStr">
        <is>
          <t>ISO/IEC 27001; ISO/IEC 20000-1; NIST CSF 2.0; NIST SP 800-34; COBIT; ITIL 4; FinOps</t>
        </is>
      </c>
      <c r="F313" t="inlineStr">
        <is>
          <t>Policy/SOP; owner/RACI; system report; dashboard; contracts; test records; incident history; interview evidence related to on-call coverage, escalation and vendor support for critical systems.</t>
        </is>
      </c>
      <c r="G313">
        <f>'Assessment Questions'!J313</f>
        <v/>
      </c>
      <c r="H313">
        <f>IF($Z313="","",IF($Z313="N/A","N/A",VALUE(LEFT($Z313,1))))</f>
        <v/>
      </c>
      <c r="I313">
        <f>IF($H313="","",IF($H313="N/A","",VALUE($H313)/5*$G313))</f>
        <v/>
      </c>
      <c r="J313">
        <f>IF(OR($H313="",$H313="N/A"),"",$G313)</f>
        <v/>
      </c>
      <c r="K313">
        <f>IF(OR($H313="",$H313="N/A"),"",$J313-$I313)</f>
        <v/>
      </c>
      <c r="L313">
        <f>IF($H313="","",IF($H313="N/A","N/A",IF(VALUE($H313)&lt;=1,"Critical",IF(VALUE($H313)&lt;=2,"High",IF(VALUE($H313)&lt;=3,"Medium",IF(VALUE($H313)&lt;=4,"Low","Resilient"))))))</f>
        <v/>
      </c>
      <c r="M313" t="inlineStr">
        <is>
          <t>Does not exist; no owner, no documentation, no practice.</t>
        </is>
      </c>
      <c r="N313" t="inlineStr">
        <is>
          <t>Ad hoc; depends entirely on specific individuals.</t>
        </is>
      </c>
      <c r="O313" t="inlineStr">
        <is>
          <t>Partially documented or implemented; coverage inconsistent; never tested under stress.</t>
        </is>
      </c>
      <c r="P313" t="inlineStr">
        <is>
          <t>Documented, owned, executed consistently; basic evidence and metrics exist.</t>
        </is>
      </c>
      <c r="Q313" t="inlineStr">
        <is>
          <t>Measured and periodically tested/audited; integrated with adjacent processes.</t>
        </is>
      </c>
      <c r="R313" t="inlineStr">
        <is>
          <t>Optimized and automated where practical; stress-tested; benchmarked externally.</t>
        </is>
      </c>
      <c r="S313" t="inlineStr">
        <is>
          <t>IT outage; Cloud outage; Data loss; Cyberattack</t>
        </is>
      </c>
      <c r="T313">
        <f>'Assessment Questions'!W313</f>
        <v/>
      </c>
      <c r="U313">
        <f>'Assessment Questions'!X313</f>
        <v/>
      </c>
      <c r="V313">
        <f>'Assessment Questions'!Y313</f>
        <v/>
      </c>
      <c r="W313" t="n">
        <v>5</v>
      </c>
      <c r="X313" t="n">
        <v>5</v>
      </c>
      <c r="Y313" t="n">
        <v>5</v>
      </c>
      <c r="Z313">
        <f>'Assessment Questions'!AC313</f>
        <v/>
      </c>
      <c r="AB313">
        <f>COUNTIF($B$297:$B$324,$AA313)</f>
        <v/>
      </c>
      <c r="AC313">
        <f>IFERROR(SUMPRODUCT(($B$297:$B$324=$AA313)*($H$297:$H$324&lt;&gt;"")*($H$297:$H$324&lt;&gt;"N/A")*IFERROR(VALUE($H$297:$H$324),0))/SUMPRODUCT(($B$297:$B$324=$AA313)*($H$297:$H$324&lt;&gt;"")*($H$297:$H$324&lt;&gt;"N/A")),0)</f>
        <v/>
      </c>
      <c r="AD313">
        <f>AC313/5</f>
        <v/>
      </c>
      <c r="AE313">
        <f>COUNTIFS($B$297:$B$324,$AA313,$L$297:$L$324,"Critical")+COUNTIFS($B$297:$B$324,$AA313,$L$297:$L$324,"High")</f>
        <v/>
      </c>
      <c r="AF313">
        <f>5-AC313</f>
        <v/>
      </c>
      <c r="AG313">
        <f>SUMPRODUCT(($B$297:$B$324=$AA313)*(ISNUMBER($H$297:$H$324)+($H$297:$H$324="N/A")))</f>
        <v/>
      </c>
      <c r="AH313">
        <f>'Assessment Questions'!AK313</f>
        <v/>
      </c>
      <c r="AI313">
        <f>'Assessment Questions'!AL313</f>
        <v/>
      </c>
      <c r="AJ313">
        <f>IF(OR($H313="",$H313="N/A"),"",IF($AH313="",VLOOKUP('Company Profile'!$B$40,_CONFIG_Model_Settings!$A$5:$B$8,2,FALSE),_xlfn.IFNA(VLOOKUP($AH313,_CONFIG_Model_Settings!$A$5:$B$8,2,FALSE),0.9)))</f>
        <v/>
      </c>
      <c r="AK313">
        <f>IF(OR($H313="",$H313="N/A"),"",IF($AI313="",VLOOKUP('Company Profile'!$B$41,_CONFIG_Model_Settings!$A$5:$B$8,2,FALSE),_xlfn.IFNA(VLOOKUP($AI313,_CONFIG_Model_Settings!$A$5:$B$8,2,FALSE),0.9)))</f>
        <v/>
      </c>
      <c r="AL313">
        <f>IF(OR($H313="",$H313="N/A"),"",ROUND(VALUE($H313)*$AJ313*$AK313*$AV313,2))</f>
        <v/>
      </c>
      <c r="AM313">
        <f>IF($AL313="","",ROUND($AL313/5*100,1))</f>
        <v/>
      </c>
      <c r="AN313">
        <f>IFERROR(MIN(5,MAX(0,(SUMIFS(_REF_Model_Content!$D$1:$D$157,_REF_Model_Content!$A$1:$A$157,'Company Profile'!$B$9,_REF_Model_Content!$B$1:$B$157,"IT Cloud DR"))+_xlfn.IFNA(VLOOKUP('Company Profile'!$B$35,_CONFIG_Model_Settings!$A$11:$B$13,2,0),0))),"")</f>
        <v/>
      </c>
      <c r="AO313">
        <f>IF($AL313="","",MAX(0,ROUND($AN313-$AL313,2)))</f>
        <v/>
      </c>
      <c r="AP313">
        <f>IFERROR(SUMIFS(_REF_Model_Content!$E$1:$E$157,_REF_Model_Content!$A$1:$A$157,'Company Profile'!$B$9,_REF_Model_Content!$B$1:$B$157,"IT Cloud DR"),1)</f>
        <v/>
      </c>
      <c r="AQ313">
        <f>IF($AO313="","",ROUND($AO313*$AP313*($G313/5),2))</f>
        <v/>
      </c>
      <c r="AR313">
        <f>IF($AO313="","",IF($AO313&gt;=2,"Critical industry gap",IF($AO313&gt;=1,"High industry gap",IF($AO313&gt;=0.5,"Moderate industry gap","Within target"))))</f>
        <v/>
      </c>
      <c r="AS313">
        <f>IF(OR($H313="",$H313="N/A"),0,VALUE($H313)*(($AJ313+$AK313)/2)*$AV313)</f>
        <v/>
      </c>
      <c r="AT313">
        <f>IF(OR($H313="",$H313="N/A"),0,($AJ313+$AK313)/2)</f>
        <v/>
      </c>
      <c r="AU313">
        <f>'Assessment Questions'!AX313</f>
        <v/>
      </c>
      <c r="AV313">
        <f>IF(OR($H313="",$H313="N/A"),"",IF(OR($AU313="",$AU313="Everywhere",$AU313="Not applicable"),1,IF($AU313="Pilot / one team",0.4,IF($AU313="One unit or site",0.7,0.9))))</f>
        <v/>
      </c>
      <c r="AW313" t="inlineStr">
        <is>
          <t>IT Cloud DR</t>
        </is>
      </c>
      <c r="AX313" t="inlineStr">
        <is>
          <t>IT Cloud DR</t>
        </is>
      </c>
      <c r="AY313" t="n">
        <v>21</v>
      </c>
      <c r="AZ313" t="n">
        <v>313</v>
      </c>
    </row>
    <row r="314">
      <c r="A314" t="inlineStr">
        <is>
          <t>ITCL-019</t>
        </is>
      </c>
      <c r="B314" t="inlineStr">
        <is>
          <t>Operations</t>
        </is>
      </c>
      <c r="C314" t="inlineStr">
        <is>
          <t>How mature is the organization in managing IT service management for incidents, requests, problems, changes and assets, including ownership, evidence, metrics, fallback procedures and crisis stress testing?</t>
        </is>
      </c>
      <c r="D314" t="inlineStr">
        <is>
          <t>This topic affects exposure to IT outage; Cloud outage; Data loss; Cyberattack. It helps identify how disruption may impact operations, people, revenue, systems, legal exposure or recovery time.</t>
        </is>
      </c>
      <c r="E314" t="inlineStr">
        <is>
          <t>ISO/IEC 27001; ISO/IEC 20000-1; NIST CSF 2.0; NIST SP 800-34; COBIT; ITIL 4; FinOps</t>
        </is>
      </c>
      <c r="F314" t="inlineStr">
        <is>
          <t>Policy/SOP; owner/RACI; system report; dashboard; contracts; test records; incident history; interview evidence related to IT service management for incidents, requests, problems, changes and assets.</t>
        </is>
      </c>
      <c r="G314">
        <f>'Assessment Questions'!J314</f>
        <v/>
      </c>
      <c r="H314">
        <f>IF($Z314="","",IF($Z314="N/A","N/A",VALUE(LEFT($Z314,1))))</f>
        <v/>
      </c>
      <c r="I314">
        <f>IF($H314="","",IF($H314="N/A","",VALUE($H314)/5*$G314))</f>
        <v/>
      </c>
      <c r="J314">
        <f>IF(OR($H314="",$H314="N/A"),"",$G314)</f>
        <v/>
      </c>
      <c r="K314">
        <f>IF(OR($H314="",$H314="N/A"),"",$J314-$I314)</f>
        <v/>
      </c>
      <c r="L314">
        <f>IF($H314="","",IF($H314="N/A","N/A",IF(VALUE($H314)&lt;=1,"Critical",IF(VALUE($H314)&lt;=2,"High",IF(VALUE($H314)&lt;=3,"Medium",IF(VALUE($H314)&lt;=4,"Low","Resilient"))))))</f>
        <v/>
      </c>
      <c r="M314" t="inlineStr">
        <is>
          <t>Does not exist; no owner, no documentation, no practice.</t>
        </is>
      </c>
      <c r="N314" t="inlineStr">
        <is>
          <t>Ad hoc; depends entirely on specific individuals.</t>
        </is>
      </c>
      <c r="O314" t="inlineStr">
        <is>
          <t>Partially documented or implemented; coverage inconsistent; never tested under stress.</t>
        </is>
      </c>
      <c r="P314" t="inlineStr">
        <is>
          <t>Documented, owned, executed consistently; basic evidence and metrics exist.</t>
        </is>
      </c>
      <c r="Q314" t="inlineStr">
        <is>
          <t>Measured and periodically tested/audited; integrated with adjacent processes.</t>
        </is>
      </c>
      <c r="R314" t="inlineStr">
        <is>
          <t>Optimized and automated where practical; stress-tested; benchmarked externally.</t>
        </is>
      </c>
      <c r="S314" t="inlineStr">
        <is>
          <t>IT outage; Cloud outage; Data loss; Cyberattack</t>
        </is>
      </c>
      <c r="T314">
        <f>'Assessment Questions'!W314</f>
        <v/>
      </c>
      <c r="U314">
        <f>'Assessment Questions'!X314</f>
        <v/>
      </c>
      <c r="V314">
        <f>'Assessment Questions'!Y314</f>
        <v/>
      </c>
      <c r="W314" t="n">
        <v>5</v>
      </c>
      <c r="X314" t="n">
        <v>5</v>
      </c>
      <c r="Y314" t="n">
        <v>5</v>
      </c>
      <c r="Z314">
        <f>'Assessment Questions'!AC314</f>
        <v/>
      </c>
      <c r="AB314">
        <f>COUNTIF($B$297:$B$324,$AA314)</f>
        <v/>
      </c>
      <c r="AC314">
        <f>IFERROR(SUMPRODUCT(($B$297:$B$324=$AA314)*($H$297:$H$324&lt;&gt;"")*($H$297:$H$324&lt;&gt;"N/A")*IFERROR(VALUE($H$297:$H$324),0))/SUMPRODUCT(($B$297:$B$324=$AA314)*($H$297:$H$324&lt;&gt;"")*($H$297:$H$324&lt;&gt;"N/A")),0)</f>
        <v/>
      </c>
      <c r="AD314">
        <f>AC314/5</f>
        <v/>
      </c>
      <c r="AE314">
        <f>COUNTIFS($B$297:$B$324,$AA314,$L$297:$L$324,"Critical")+COUNTIFS($B$297:$B$324,$AA314,$L$297:$L$324,"High")</f>
        <v/>
      </c>
      <c r="AF314">
        <f>5-AC314</f>
        <v/>
      </c>
      <c r="AG314">
        <f>SUMPRODUCT(($B$297:$B$324=$AA314)*(ISNUMBER($H$297:$H$324)+($H$297:$H$324="N/A")))</f>
        <v/>
      </c>
      <c r="AH314">
        <f>'Assessment Questions'!AK314</f>
        <v/>
      </c>
      <c r="AI314">
        <f>'Assessment Questions'!AL314</f>
        <v/>
      </c>
      <c r="AJ314">
        <f>IF(OR($H314="",$H314="N/A"),"",IF($AH314="",VLOOKUP('Company Profile'!$B$40,_CONFIG_Model_Settings!$A$5:$B$8,2,FALSE),_xlfn.IFNA(VLOOKUP($AH314,_CONFIG_Model_Settings!$A$5:$B$8,2,FALSE),0.9)))</f>
        <v/>
      </c>
      <c r="AK314">
        <f>IF(OR($H314="",$H314="N/A"),"",IF($AI314="",VLOOKUP('Company Profile'!$B$41,_CONFIG_Model_Settings!$A$5:$B$8,2,FALSE),_xlfn.IFNA(VLOOKUP($AI314,_CONFIG_Model_Settings!$A$5:$B$8,2,FALSE),0.9)))</f>
        <v/>
      </c>
      <c r="AL314">
        <f>IF(OR($H314="",$H314="N/A"),"",ROUND(VALUE($H314)*$AJ314*$AK314*$AV314,2))</f>
        <v/>
      </c>
      <c r="AM314">
        <f>IF($AL314="","",ROUND($AL314/5*100,1))</f>
        <v/>
      </c>
      <c r="AN314">
        <f>IFERROR(MIN(5,MAX(0,(SUMIFS(_REF_Model_Content!$D$1:$D$157,_REF_Model_Content!$A$1:$A$157,'Company Profile'!$B$9,_REF_Model_Content!$B$1:$B$157,"IT Cloud DR"))+_xlfn.IFNA(VLOOKUP('Company Profile'!$B$35,_CONFIG_Model_Settings!$A$11:$B$13,2,0),0))),"")</f>
        <v/>
      </c>
      <c r="AO314">
        <f>IF($AL314="","",MAX(0,ROUND($AN314-$AL314,2)))</f>
        <v/>
      </c>
      <c r="AP314">
        <f>IFERROR(SUMIFS(_REF_Model_Content!$E$1:$E$157,_REF_Model_Content!$A$1:$A$157,'Company Profile'!$B$9,_REF_Model_Content!$B$1:$B$157,"IT Cloud DR"),1)</f>
        <v/>
      </c>
      <c r="AQ314">
        <f>IF($AO314="","",ROUND($AO314*$AP314*($G314/5),2))</f>
        <v/>
      </c>
      <c r="AR314">
        <f>IF($AO314="","",IF($AO314&gt;=2,"Critical industry gap",IF($AO314&gt;=1,"High industry gap",IF($AO314&gt;=0.5,"Moderate industry gap","Within target"))))</f>
        <v/>
      </c>
      <c r="AS314">
        <f>IF(OR($H314="",$H314="N/A"),0,VALUE($H314)*(($AJ314+$AK314)/2)*$AV314)</f>
        <v/>
      </c>
      <c r="AT314">
        <f>IF(OR($H314="",$H314="N/A"),0,($AJ314+$AK314)/2)</f>
        <v/>
      </c>
      <c r="AU314">
        <f>'Assessment Questions'!AX314</f>
        <v/>
      </c>
      <c r="AV314">
        <f>IF(OR($H314="",$H314="N/A"),"",IF(OR($AU314="",$AU314="Everywhere",$AU314="Not applicable"),1,IF($AU314="Pilot / one team",0.4,IF($AU314="One unit or site",0.7,0.9))))</f>
        <v/>
      </c>
      <c r="AW314" t="inlineStr">
        <is>
          <t>IT Cloud DR</t>
        </is>
      </c>
      <c r="AX314" t="inlineStr">
        <is>
          <t>IT Cloud DR</t>
        </is>
      </c>
      <c r="AY314" t="n">
        <v>22</v>
      </c>
      <c r="AZ314" t="n">
        <v>314</v>
      </c>
    </row>
    <row r="315">
      <c r="A315" t="inlineStr">
        <is>
          <t>ITCL-020</t>
        </is>
      </c>
      <c r="B315" t="inlineStr">
        <is>
          <t>Operations</t>
        </is>
      </c>
      <c r="C315" t="inlineStr">
        <is>
          <t>How mature is the organization in managing monitoring and alerting for availability, performance, capacity, security and user impact, including ownership, evidence, metrics, fallback procedures and crisis stress testing?</t>
        </is>
      </c>
      <c r="D315" t="inlineStr">
        <is>
          <t>This topic affects exposure to IT outage; Cloud outage; Data loss; Cyberattack. It helps identify how disruption may impact operations, people, revenue, systems, legal exposure or recovery time.</t>
        </is>
      </c>
      <c r="E315" t="inlineStr">
        <is>
          <t>ISO/IEC 27001; ISO/IEC 20000-1; NIST CSF 2.0; NIST SP 800-34; COBIT; ITIL 4; FinOps</t>
        </is>
      </c>
      <c r="F315" t="inlineStr">
        <is>
          <t>Policy/SOP; owner/RACI; system report; dashboard; contracts; test records; incident history; interview evidence related to monitoring and alerting for availability, performance, capacity, security and user impact.</t>
        </is>
      </c>
      <c r="G315">
        <f>'Assessment Questions'!J315</f>
        <v/>
      </c>
      <c r="H315">
        <f>IF($Z315="","",IF($Z315="N/A","N/A",VALUE(LEFT($Z315,1))))</f>
        <v/>
      </c>
      <c r="I315">
        <f>IF($H315="","",IF($H315="N/A","",VALUE($H315)/5*$G315))</f>
        <v/>
      </c>
      <c r="J315">
        <f>IF(OR($H315="",$H315="N/A"),"",$G315)</f>
        <v/>
      </c>
      <c r="K315">
        <f>IF(OR($H315="",$H315="N/A"),"",$J315-$I315)</f>
        <v/>
      </c>
      <c r="L315">
        <f>IF($H315="","",IF($H315="N/A","N/A",IF(VALUE($H315)&lt;=1,"Critical",IF(VALUE($H315)&lt;=2,"High",IF(VALUE($H315)&lt;=3,"Medium",IF(VALUE($H315)&lt;=4,"Low","Resilient"))))))</f>
        <v/>
      </c>
      <c r="M315" t="inlineStr">
        <is>
          <t>No reliable evidence that monitoring and alerting for availability, performance, capacity, security and user impact is defined, owned or managed.</t>
        </is>
      </c>
      <c r="N315" t="inlineStr">
        <is>
          <t>Monitoring and alerting for availability, performance, capacity, security and user impact is handled informally and depends on individual knowledge or heroic effort.</t>
        </is>
      </c>
      <c r="O315" t="inlineStr">
        <is>
          <t>Monitoring and alerting for availability, performance, capacity, security and user impact is partially documented or implemented, but coverage is inconsistent and not crisis-tested.</t>
        </is>
      </c>
      <c r="P315" t="inlineStr">
        <is>
          <t>Monitoring and alerting for availability, performance, capacity, security and user impact is documented, owned, used in normal operations and supported by basic evidence or metrics.</t>
        </is>
      </c>
      <c r="Q315" t="inlineStr">
        <is>
          <t>Monitoring and alerting for availability, performance, capacity, security and user impact is measured, periodically reviewed, integrated with related processes and tested against relevant disruption scenarios.</t>
        </is>
      </c>
      <c r="R315" t="inlineStr">
        <is>
          <t>Monitoring and alerting for availability, performance, capacity, security and user impact is optimized, continuously improved, automated where practical and demonstrably supports crisis resilience.</t>
        </is>
      </c>
      <c r="S315" t="inlineStr">
        <is>
          <t>IT outage; Cloud outage; Data loss; Cyberattack</t>
        </is>
      </c>
      <c r="T315">
        <f>'Assessment Questions'!W315</f>
        <v/>
      </c>
      <c r="U315">
        <f>'Assessment Questions'!X315</f>
        <v/>
      </c>
      <c r="V315">
        <f>'Assessment Questions'!Y315</f>
        <v/>
      </c>
      <c r="W315" t="n">
        <v>5</v>
      </c>
      <c r="X315" t="n">
        <v>5</v>
      </c>
      <c r="Y315" t="n">
        <v>5</v>
      </c>
      <c r="Z315">
        <f>'Assessment Questions'!AC315</f>
        <v/>
      </c>
      <c r="AB315">
        <f>COUNTIF($B$297:$B$324,$AA315)</f>
        <v/>
      </c>
      <c r="AC315">
        <f>IFERROR(SUMPRODUCT(($B$297:$B$324=$AA315)*($H$297:$H$324&lt;&gt;"")*($H$297:$H$324&lt;&gt;"N/A")*IFERROR(VALUE($H$297:$H$324),0))/SUMPRODUCT(($B$297:$B$324=$AA315)*($H$297:$H$324&lt;&gt;"")*($H$297:$H$324&lt;&gt;"N/A")),0)</f>
        <v/>
      </c>
      <c r="AD315">
        <f>AC315/5</f>
        <v/>
      </c>
      <c r="AE315">
        <f>COUNTIFS($B$297:$B$324,$AA315,$L$297:$L$324,"Critical")+COUNTIFS($B$297:$B$324,$AA315,$L$297:$L$324,"High")</f>
        <v/>
      </c>
      <c r="AF315">
        <f>5-AC315</f>
        <v/>
      </c>
      <c r="AG315">
        <f>SUMPRODUCT(($B$297:$B$324=$AA315)*(ISNUMBER($H$297:$H$324)+($H$297:$H$324="N/A")))</f>
        <v/>
      </c>
      <c r="AH315">
        <f>'Assessment Questions'!AK315</f>
        <v/>
      </c>
      <c r="AI315">
        <f>'Assessment Questions'!AL315</f>
        <v/>
      </c>
      <c r="AJ315">
        <f>IF(OR($H315="",$H315="N/A"),"",IF($AH315="",VLOOKUP('Company Profile'!$B$40,_CONFIG_Model_Settings!$A$5:$B$8,2,FALSE),_xlfn.IFNA(VLOOKUP($AH315,_CONFIG_Model_Settings!$A$5:$B$8,2,FALSE),0.9)))</f>
        <v/>
      </c>
      <c r="AK315">
        <f>IF(OR($H315="",$H315="N/A"),"",IF($AI315="",VLOOKUP('Company Profile'!$B$41,_CONFIG_Model_Settings!$A$5:$B$8,2,FALSE),_xlfn.IFNA(VLOOKUP($AI315,_CONFIG_Model_Settings!$A$5:$B$8,2,FALSE),0.9)))</f>
        <v/>
      </c>
      <c r="AL315">
        <f>IF(OR($H315="",$H315="N/A"),"",ROUND(VALUE($H315)*$AJ315*$AK315*$AV315,2))</f>
        <v/>
      </c>
      <c r="AM315">
        <f>IF($AL315="","",ROUND($AL315/5*100,1))</f>
        <v/>
      </c>
      <c r="AN315">
        <f>IFERROR(MIN(5,MAX(0,(SUMIFS(_REF_Model_Content!$D$1:$D$157,_REF_Model_Content!$A$1:$A$157,'Company Profile'!$B$9,_REF_Model_Content!$B$1:$B$157,"IT Cloud DR"))+_xlfn.IFNA(VLOOKUP('Company Profile'!$B$35,_CONFIG_Model_Settings!$A$11:$B$13,2,0),0))),"")</f>
        <v/>
      </c>
      <c r="AO315">
        <f>IF($AL315="","",MAX(0,ROUND($AN315-$AL315,2)))</f>
        <v/>
      </c>
      <c r="AP315">
        <f>IFERROR(SUMIFS(_REF_Model_Content!$E$1:$E$157,_REF_Model_Content!$A$1:$A$157,'Company Profile'!$B$9,_REF_Model_Content!$B$1:$B$157,"IT Cloud DR"),1)</f>
        <v/>
      </c>
      <c r="AQ315">
        <f>IF($AO315="","",ROUND($AO315*$AP315*($G315/5),2))</f>
        <v/>
      </c>
      <c r="AR315">
        <f>IF($AO315="","",IF($AO315&gt;=2,"Critical industry gap",IF($AO315&gt;=1,"High industry gap",IF($AO315&gt;=0.5,"Moderate industry gap","Within target"))))</f>
        <v/>
      </c>
      <c r="AS315">
        <f>IF(OR($H315="",$H315="N/A"),0,VALUE($H315)*(($AJ315+$AK315)/2)*$AV315)</f>
        <v/>
      </c>
      <c r="AT315">
        <f>IF(OR($H315="",$H315="N/A"),0,($AJ315+$AK315)/2)</f>
        <v/>
      </c>
      <c r="AU315">
        <f>'Assessment Questions'!AX315</f>
        <v/>
      </c>
      <c r="AV315">
        <f>IF(OR($H315="",$H315="N/A"),"",IF(OR($AU315="",$AU315="Everywhere",$AU315="Not applicable"),1,IF($AU315="Pilot / one team",0.4,IF($AU315="One unit or site",0.7,0.9))))</f>
        <v/>
      </c>
      <c r="AW315" t="inlineStr">
        <is>
          <t>IT Cloud DR</t>
        </is>
      </c>
      <c r="AX315" t="inlineStr">
        <is>
          <t>IT Cloud DR</t>
        </is>
      </c>
      <c r="AY315" t="n">
        <v>23</v>
      </c>
      <c r="AZ315" t="n">
        <v>315</v>
      </c>
    </row>
    <row r="316">
      <c r="A316" t="inlineStr">
        <is>
          <t>ITCL-021</t>
        </is>
      </c>
      <c r="B316" t="inlineStr">
        <is>
          <t>Operations</t>
        </is>
      </c>
      <c r="C316" t="inlineStr">
        <is>
          <t>How mature is the organization in managing network resilience for internet, DNS, firewalls, VPN/ZTNA, routing and telecom, including ownership, evidence, metrics, fallback procedures and crisis stress testing?</t>
        </is>
      </c>
      <c r="D316" t="inlineStr">
        <is>
          <t>This topic affects exposure to IT outage; Cloud outage; Data loss; Cyberattack. It helps identify how disruption may impact operations, people, revenue, systems, legal exposure or recovery time.</t>
        </is>
      </c>
      <c r="E316" t="inlineStr">
        <is>
          <t>ISO/IEC 27001; ISO/IEC 20000-1; NIST CSF 2.0; NIST SP 800-34; COBIT; ITIL 4; FinOps</t>
        </is>
      </c>
      <c r="F316" t="inlineStr">
        <is>
          <t>Policy/SOP; owner/RACI; system report; dashboard; contracts; test records; incident history; interview evidence related to network resilience for internet, DNS, firewalls, VPN/ZTNA, routing and telecom.</t>
        </is>
      </c>
      <c r="G316">
        <f>'Assessment Questions'!J316</f>
        <v/>
      </c>
      <c r="H316">
        <f>IF($Z316="","",IF($Z316="N/A","N/A",VALUE(LEFT($Z316,1))))</f>
        <v/>
      </c>
      <c r="I316">
        <f>IF($H316="","",IF($H316="N/A","",VALUE($H316)/5*$G316))</f>
        <v/>
      </c>
      <c r="J316">
        <f>IF(OR($H316="",$H316="N/A"),"",$G316)</f>
        <v/>
      </c>
      <c r="K316">
        <f>IF(OR($H316="",$H316="N/A"),"",$J316-$I316)</f>
        <v/>
      </c>
      <c r="L316">
        <f>IF($H316="","",IF($H316="N/A","N/A",IF(VALUE($H316)&lt;=1,"Critical",IF(VALUE($H316)&lt;=2,"High",IF(VALUE($H316)&lt;=3,"Medium",IF(VALUE($H316)&lt;=4,"Low","Resilient"))))))</f>
        <v/>
      </c>
      <c r="M316" t="inlineStr">
        <is>
          <t>No reliable evidence that network resilience for internet, dns, firewalls, vpn/ztna, routing and telecom is defined, owned or managed.</t>
        </is>
      </c>
      <c r="N316" t="inlineStr">
        <is>
          <t>Network resilience for internet, DNS, firewalls, VPN/ZTNA, routing and telecom is handled informally and depends on individual knowledge or heroic effort.</t>
        </is>
      </c>
      <c r="O316" t="inlineStr">
        <is>
          <t>Network resilience for internet, DNS, firewalls, VPN/ZTNA, routing and telecom is partially documented or implemented, but coverage is inconsistent and not crisis-tested.</t>
        </is>
      </c>
      <c r="P316" t="inlineStr">
        <is>
          <t>Network resilience for internet, DNS, firewalls, VPN/ZTNA, routing and telecom is documented, owned, used in normal operations and supported by basic evidence or metrics.</t>
        </is>
      </c>
      <c r="Q316" t="inlineStr">
        <is>
          <t>Network resilience for internet, DNS, firewalls, VPN/ZTNA, routing and telecom is measured, periodically reviewed, integrated with related processes and tested against relevant disruption scenarios.</t>
        </is>
      </c>
      <c r="R316" t="inlineStr">
        <is>
          <t>Network resilience for internet, DNS, firewalls, VPN/ZTNA, routing and telecom is optimized, continuously improved, automated where practical and demonstrably supports crisis resilience.</t>
        </is>
      </c>
      <c r="S316" t="inlineStr">
        <is>
          <t>IT outage; Cloud outage; Data loss; Cyberattack</t>
        </is>
      </c>
      <c r="T316">
        <f>'Assessment Questions'!W316</f>
        <v/>
      </c>
      <c r="U316">
        <f>'Assessment Questions'!X316</f>
        <v/>
      </c>
      <c r="V316">
        <f>'Assessment Questions'!Y316</f>
        <v/>
      </c>
      <c r="W316" t="n">
        <v>5</v>
      </c>
      <c r="X316" t="n">
        <v>5</v>
      </c>
      <c r="Y316" t="n">
        <v>5</v>
      </c>
      <c r="Z316">
        <f>'Assessment Questions'!AC316</f>
        <v/>
      </c>
      <c r="AB316">
        <f>COUNTIF($B$297:$B$324,$AA316)</f>
        <v/>
      </c>
      <c r="AC316">
        <f>IFERROR(SUMPRODUCT(($B$297:$B$324=$AA316)*($H$297:$H$324&lt;&gt;"")*($H$297:$H$324&lt;&gt;"N/A")*IFERROR(VALUE($H$297:$H$324),0))/SUMPRODUCT(($B$297:$B$324=$AA316)*($H$297:$H$324&lt;&gt;"")*($H$297:$H$324&lt;&gt;"N/A")),0)</f>
        <v/>
      </c>
      <c r="AD316">
        <f>AC316/5</f>
        <v/>
      </c>
      <c r="AE316">
        <f>COUNTIFS($B$297:$B$324,$AA316,$L$297:$L$324,"Critical")+COUNTIFS($B$297:$B$324,$AA316,$L$297:$L$324,"High")</f>
        <v/>
      </c>
      <c r="AF316">
        <f>5-AC316</f>
        <v/>
      </c>
      <c r="AG316">
        <f>SUMPRODUCT(($B$297:$B$324=$AA316)*(ISNUMBER($H$297:$H$324)+($H$297:$H$324="N/A")))</f>
        <v/>
      </c>
      <c r="AH316">
        <f>'Assessment Questions'!AK316</f>
        <v/>
      </c>
      <c r="AI316">
        <f>'Assessment Questions'!AL316</f>
        <v/>
      </c>
      <c r="AJ316">
        <f>IF(OR($H316="",$H316="N/A"),"",IF($AH316="",VLOOKUP('Company Profile'!$B$40,_CONFIG_Model_Settings!$A$5:$B$8,2,FALSE),_xlfn.IFNA(VLOOKUP($AH316,_CONFIG_Model_Settings!$A$5:$B$8,2,FALSE),0.9)))</f>
        <v/>
      </c>
      <c r="AK316">
        <f>IF(OR($H316="",$H316="N/A"),"",IF($AI316="",VLOOKUP('Company Profile'!$B$41,_CONFIG_Model_Settings!$A$5:$B$8,2,FALSE),_xlfn.IFNA(VLOOKUP($AI316,_CONFIG_Model_Settings!$A$5:$B$8,2,FALSE),0.9)))</f>
        <v/>
      </c>
      <c r="AL316">
        <f>IF(OR($H316="",$H316="N/A"),"",ROUND(VALUE($H316)*$AJ316*$AK316*$AV316,2))</f>
        <v/>
      </c>
      <c r="AM316">
        <f>IF($AL316="","",ROUND($AL316/5*100,1))</f>
        <v/>
      </c>
      <c r="AN316">
        <f>IFERROR(MIN(5,MAX(0,(SUMIFS(_REF_Model_Content!$D$1:$D$157,_REF_Model_Content!$A$1:$A$157,'Company Profile'!$B$9,_REF_Model_Content!$B$1:$B$157,"IT Cloud DR"))+_xlfn.IFNA(VLOOKUP('Company Profile'!$B$35,_CONFIG_Model_Settings!$A$11:$B$13,2,0),0))),"")</f>
        <v/>
      </c>
      <c r="AO316">
        <f>IF($AL316="","",MAX(0,ROUND($AN316-$AL316,2)))</f>
        <v/>
      </c>
      <c r="AP316">
        <f>IFERROR(SUMIFS(_REF_Model_Content!$E$1:$E$157,_REF_Model_Content!$A$1:$A$157,'Company Profile'!$B$9,_REF_Model_Content!$B$1:$B$157,"IT Cloud DR"),1)</f>
        <v/>
      </c>
      <c r="AQ316">
        <f>IF($AO316="","",ROUND($AO316*$AP316*($G316/5),2))</f>
        <v/>
      </c>
      <c r="AR316">
        <f>IF($AO316="","",IF($AO316&gt;=2,"Critical industry gap",IF($AO316&gt;=1,"High industry gap",IF($AO316&gt;=0.5,"Moderate industry gap","Within target"))))</f>
        <v/>
      </c>
      <c r="AS316">
        <f>IF(OR($H316="",$H316="N/A"),0,VALUE($H316)*(($AJ316+$AK316)/2)*$AV316)</f>
        <v/>
      </c>
      <c r="AT316">
        <f>IF(OR($H316="",$H316="N/A"),0,($AJ316+$AK316)/2)</f>
        <v/>
      </c>
      <c r="AU316">
        <f>'Assessment Questions'!AX316</f>
        <v/>
      </c>
      <c r="AV316">
        <f>IF(OR($H316="",$H316="N/A"),"",IF(OR($AU316="",$AU316="Everywhere",$AU316="Not applicable"),1,IF($AU316="Pilot / one team",0.4,IF($AU316="One unit or site",0.7,0.9))))</f>
        <v/>
      </c>
      <c r="AW316" t="inlineStr">
        <is>
          <t>IT Cloud DR</t>
        </is>
      </c>
      <c r="AX316" t="inlineStr">
        <is>
          <t>IT Cloud DR</t>
        </is>
      </c>
      <c r="AY316" t="n">
        <v>24</v>
      </c>
      <c r="AZ316" t="n">
        <v>316</v>
      </c>
    </row>
    <row r="317">
      <c r="A317" t="inlineStr">
        <is>
          <t>ITCL-022</t>
        </is>
      </c>
      <c r="B317" t="inlineStr">
        <is>
          <t>Operations</t>
        </is>
      </c>
      <c r="C317" t="inlineStr">
        <is>
          <t>How mature is the organization in managing secure remote access for critical users during remote-only operations, including ownership, evidence, metrics, fallback procedures and crisis stress testing?</t>
        </is>
      </c>
      <c r="D317" t="inlineStr">
        <is>
          <t>This topic affects exposure to IT outage; Cloud outage; Data loss; Cyberattack. It helps identify how disruption may impact operations, people, revenue, systems, legal exposure or recovery time.</t>
        </is>
      </c>
      <c r="E317" t="inlineStr">
        <is>
          <t>ISO/IEC 27001; ISO/IEC 20000-1; NIST CSF 2.0; NIST SP 800-34; COBIT; ITIL 4; FinOps</t>
        </is>
      </c>
      <c r="F317" t="inlineStr">
        <is>
          <t>Policy/SOP; owner/RACI; system report; dashboard; contracts; test records; incident history; interview evidence related to secure remote access for critical users during remote-only operations.</t>
        </is>
      </c>
      <c r="G317">
        <f>'Assessment Questions'!J317</f>
        <v/>
      </c>
      <c r="H317">
        <f>IF($Z317="","",IF($Z317="N/A","N/A",VALUE(LEFT($Z317,1))))</f>
        <v/>
      </c>
      <c r="I317">
        <f>IF($H317="","",IF($H317="N/A","",VALUE($H317)/5*$G317))</f>
        <v/>
      </c>
      <c r="J317">
        <f>IF(OR($H317="",$H317="N/A"),"",$G317)</f>
        <v/>
      </c>
      <c r="K317">
        <f>IF(OR($H317="",$H317="N/A"),"",$J317-$I317)</f>
        <v/>
      </c>
      <c r="L317">
        <f>IF($H317="","",IF($H317="N/A","N/A",IF(VALUE($H317)&lt;=1,"Critical",IF(VALUE($H317)&lt;=2,"High",IF(VALUE($H317)&lt;=3,"Medium",IF(VALUE($H317)&lt;=4,"Low","Resilient"))))))</f>
        <v/>
      </c>
      <c r="M317" t="inlineStr">
        <is>
          <t>Does not exist; no owner, no documentation, no practice.</t>
        </is>
      </c>
      <c r="N317" t="inlineStr">
        <is>
          <t>Ad hoc; depends entirely on specific individuals.</t>
        </is>
      </c>
      <c r="O317" t="inlineStr">
        <is>
          <t>Partially documented or implemented; coverage inconsistent; never tested under stress.</t>
        </is>
      </c>
      <c r="P317" t="inlineStr">
        <is>
          <t>Documented, owned, executed consistently; basic evidence and metrics exist.</t>
        </is>
      </c>
      <c r="Q317" t="inlineStr">
        <is>
          <t>Measured and periodically tested/audited; integrated with adjacent processes.</t>
        </is>
      </c>
      <c r="R317" t="inlineStr">
        <is>
          <t>Optimized and automated where practical; stress-tested; benchmarked externally.</t>
        </is>
      </c>
      <c r="S317" t="inlineStr">
        <is>
          <t>IT outage; Cloud outage; Data loss; Cyberattack</t>
        </is>
      </c>
      <c r="T317">
        <f>'Assessment Questions'!W317</f>
        <v/>
      </c>
      <c r="U317">
        <f>'Assessment Questions'!X317</f>
        <v/>
      </c>
      <c r="V317">
        <f>'Assessment Questions'!Y317</f>
        <v/>
      </c>
      <c r="W317" t="n">
        <v>5</v>
      </c>
      <c r="X317" t="n">
        <v>5</v>
      </c>
      <c r="Y317" t="n">
        <v>5</v>
      </c>
      <c r="Z317">
        <f>'Assessment Questions'!AC317</f>
        <v/>
      </c>
      <c r="AB317">
        <f>COUNTIF($B$297:$B$324,$AA317)</f>
        <v/>
      </c>
      <c r="AC317">
        <f>IFERROR(SUMPRODUCT(($B$297:$B$324=$AA317)*($H$297:$H$324&lt;&gt;"")*($H$297:$H$324&lt;&gt;"N/A")*IFERROR(VALUE($H$297:$H$324),0))/SUMPRODUCT(($B$297:$B$324=$AA317)*($H$297:$H$324&lt;&gt;"")*($H$297:$H$324&lt;&gt;"N/A")),0)</f>
        <v/>
      </c>
      <c r="AD317">
        <f>AC317/5</f>
        <v/>
      </c>
      <c r="AE317">
        <f>COUNTIFS($B$297:$B$324,$AA317,$L$297:$L$324,"Critical")+COUNTIFS($B$297:$B$324,$AA317,$L$297:$L$324,"High")</f>
        <v/>
      </c>
      <c r="AF317">
        <f>5-AC317</f>
        <v/>
      </c>
      <c r="AG317">
        <f>SUMPRODUCT(($B$297:$B$324=$AA317)*(ISNUMBER($H$297:$H$324)+($H$297:$H$324="N/A")))</f>
        <v/>
      </c>
      <c r="AH317">
        <f>'Assessment Questions'!AK317</f>
        <v/>
      </c>
      <c r="AI317">
        <f>'Assessment Questions'!AL317</f>
        <v/>
      </c>
      <c r="AJ317">
        <f>IF(OR($H317="",$H317="N/A"),"",IF($AH317="",VLOOKUP('Company Profile'!$B$40,_CONFIG_Model_Settings!$A$5:$B$8,2,FALSE),_xlfn.IFNA(VLOOKUP($AH317,_CONFIG_Model_Settings!$A$5:$B$8,2,FALSE),0.9)))</f>
        <v/>
      </c>
      <c r="AK317">
        <f>IF(OR($H317="",$H317="N/A"),"",IF($AI317="",VLOOKUP('Company Profile'!$B$41,_CONFIG_Model_Settings!$A$5:$B$8,2,FALSE),_xlfn.IFNA(VLOOKUP($AI317,_CONFIG_Model_Settings!$A$5:$B$8,2,FALSE),0.9)))</f>
        <v/>
      </c>
      <c r="AL317">
        <f>IF(OR($H317="",$H317="N/A"),"",ROUND(VALUE($H317)*$AJ317*$AK317*$AV317,2))</f>
        <v/>
      </c>
      <c r="AM317">
        <f>IF($AL317="","",ROUND($AL317/5*100,1))</f>
        <v/>
      </c>
      <c r="AN317">
        <f>IFERROR(MIN(5,MAX(0,(SUMIFS(_REF_Model_Content!$D$1:$D$157,_REF_Model_Content!$A$1:$A$157,'Company Profile'!$B$9,_REF_Model_Content!$B$1:$B$157,"IT Cloud DR"))+_xlfn.IFNA(VLOOKUP('Company Profile'!$B$35,_CONFIG_Model_Settings!$A$11:$B$13,2,0),0))),"")</f>
        <v/>
      </c>
      <c r="AO317">
        <f>IF($AL317="","",MAX(0,ROUND($AN317-$AL317,2)))</f>
        <v/>
      </c>
      <c r="AP317">
        <f>IFERROR(SUMIFS(_REF_Model_Content!$E$1:$E$157,_REF_Model_Content!$A$1:$A$157,'Company Profile'!$B$9,_REF_Model_Content!$B$1:$B$157,"IT Cloud DR"),1)</f>
        <v/>
      </c>
      <c r="AQ317">
        <f>IF($AO317="","",ROUND($AO317*$AP317*($G317/5),2))</f>
        <v/>
      </c>
      <c r="AR317">
        <f>IF($AO317="","",IF($AO317&gt;=2,"Critical industry gap",IF($AO317&gt;=1,"High industry gap",IF($AO317&gt;=0.5,"Moderate industry gap","Within target"))))</f>
        <v/>
      </c>
      <c r="AS317">
        <f>IF(OR($H317="",$H317="N/A"),0,VALUE($H317)*(($AJ317+$AK317)/2)*$AV317)</f>
        <v/>
      </c>
      <c r="AT317">
        <f>IF(OR($H317="",$H317="N/A"),0,($AJ317+$AK317)/2)</f>
        <v/>
      </c>
      <c r="AU317">
        <f>'Assessment Questions'!AX317</f>
        <v/>
      </c>
      <c r="AV317">
        <f>IF(OR($H317="",$H317="N/A"),"",IF(OR($AU317="",$AU317="Everywhere",$AU317="Not applicable"),1,IF($AU317="Pilot / one team",0.4,IF($AU317="One unit or site",0.7,0.9))))</f>
        <v/>
      </c>
      <c r="AW317" t="inlineStr">
        <is>
          <t>IT Cloud DR</t>
        </is>
      </c>
      <c r="AX317" t="inlineStr">
        <is>
          <t>IT Cloud DR</t>
        </is>
      </c>
      <c r="AY317" t="n">
        <v>25</v>
      </c>
      <c r="AZ317" t="n">
        <v>317</v>
      </c>
    </row>
    <row r="318">
      <c r="A318" t="inlineStr">
        <is>
          <t>ITCL-023</t>
        </is>
      </c>
      <c r="B318" t="inlineStr">
        <is>
          <t>Operations</t>
        </is>
      </c>
      <c r="C318" t="inlineStr">
        <is>
          <t>How mature is the organization in managing endpoint inventory, patching, encryption, backup and remote management, including ownership, evidence, metrics, fallback procedures and crisis stress testing?</t>
        </is>
      </c>
      <c r="D318" t="inlineStr">
        <is>
          <t>This topic affects exposure to IT outage; Cloud outage; Data loss; Cyberattack. It helps identify how disruption may impact operations, people, revenue, systems, legal exposure or recovery time.</t>
        </is>
      </c>
      <c r="E318" t="inlineStr">
        <is>
          <t>ISO/IEC 27001; ISO/IEC 20000-1; NIST CSF 2.0; NIST SP 800-34; COBIT; ITIL 4; FinOps</t>
        </is>
      </c>
      <c r="F318" t="inlineStr">
        <is>
          <t>Policy/SOP; owner/RACI; system report; dashboard; contracts; test records; incident history; interview evidence related to endpoint inventory, patching, encryption, backup and remote management.</t>
        </is>
      </c>
      <c r="G318">
        <f>'Assessment Questions'!J318</f>
        <v/>
      </c>
      <c r="H318">
        <f>IF($Z318="","",IF($Z318="N/A","N/A",VALUE(LEFT($Z318,1))))</f>
        <v/>
      </c>
      <c r="I318">
        <f>IF($H318="","",IF($H318="N/A","",VALUE($H318)/5*$G318))</f>
        <v/>
      </c>
      <c r="J318">
        <f>IF(OR($H318="",$H318="N/A"),"",$G318)</f>
        <v/>
      </c>
      <c r="K318">
        <f>IF(OR($H318="",$H318="N/A"),"",$J318-$I318)</f>
        <v/>
      </c>
      <c r="L318">
        <f>IF($H318="","",IF($H318="N/A","N/A",IF(VALUE($H318)&lt;=1,"Critical",IF(VALUE($H318)&lt;=2,"High",IF(VALUE($H318)&lt;=3,"Medium",IF(VALUE($H318)&lt;=4,"Low","Resilient"))))))</f>
        <v/>
      </c>
      <c r="M318" t="inlineStr">
        <is>
          <t>No inventory/register exists.</t>
        </is>
      </c>
      <c r="N318" t="inlineStr">
        <is>
          <t>Partial lists live in individuals' heads or personal files.</t>
        </is>
      </c>
      <c r="O318" t="inlineStr">
        <is>
          <t>A register exists but is incomplete or outdated (&gt;1 year) and has no owner.</t>
        </is>
      </c>
      <c r="P318" t="inlineStr">
        <is>
          <t>Owned, documented, updated on a defined schedule, covers the main scope.</t>
        </is>
      </c>
      <c r="Q318" t="inlineStr">
        <is>
          <t>Complete and periodically reviewed; integrated with related processes; completeness measured.</t>
        </is>
      </c>
      <c r="R318" t="inlineStr">
        <is>
          <t>Maintained automatically or synced with systems; drives decisions; audited.</t>
        </is>
      </c>
      <c r="S318" t="inlineStr">
        <is>
          <t>IT outage; Cloud outage; Data loss; Cyberattack</t>
        </is>
      </c>
      <c r="T318">
        <f>'Assessment Questions'!W318</f>
        <v/>
      </c>
      <c r="U318">
        <f>'Assessment Questions'!X318</f>
        <v/>
      </c>
      <c r="V318">
        <f>'Assessment Questions'!Y318</f>
        <v/>
      </c>
      <c r="W318" t="n">
        <v>5</v>
      </c>
      <c r="X318" t="n">
        <v>5</v>
      </c>
      <c r="Y318" t="n">
        <v>5</v>
      </c>
      <c r="Z318">
        <f>'Assessment Questions'!AC318</f>
        <v/>
      </c>
      <c r="AB318">
        <f>COUNTIF($B$297:$B$324,$AA318)</f>
        <v/>
      </c>
      <c r="AC318">
        <f>IFERROR(SUMPRODUCT(($B$297:$B$324=$AA318)*($H$297:$H$324&lt;&gt;"")*($H$297:$H$324&lt;&gt;"N/A")*IFERROR(VALUE($H$297:$H$324),0))/SUMPRODUCT(($B$297:$B$324=$AA318)*($H$297:$H$324&lt;&gt;"")*($H$297:$H$324&lt;&gt;"N/A")),0)</f>
        <v/>
      </c>
      <c r="AD318">
        <f>AC318/5</f>
        <v/>
      </c>
      <c r="AE318">
        <f>COUNTIFS($B$297:$B$324,$AA318,$L$297:$L$324,"Critical")+COUNTIFS($B$297:$B$324,$AA318,$L$297:$L$324,"High")</f>
        <v/>
      </c>
      <c r="AF318">
        <f>5-AC318</f>
        <v/>
      </c>
      <c r="AG318">
        <f>SUMPRODUCT(($B$297:$B$324=$AA318)*(ISNUMBER($H$297:$H$324)+($H$297:$H$324="N/A")))</f>
        <v/>
      </c>
      <c r="AH318">
        <f>'Assessment Questions'!AK318</f>
        <v/>
      </c>
      <c r="AI318">
        <f>'Assessment Questions'!AL318</f>
        <v/>
      </c>
      <c r="AJ318">
        <f>IF(OR($H318="",$H318="N/A"),"",IF($AH318="",VLOOKUP('Company Profile'!$B$40,_CONFIG_Model_Settings!$A$5:$B$8,2,FALSE),_xlfn.IFNA(VLOOKUP($AH318,_CONFIG_Model_Settings!$A$5:$B$8,2,FALSE),0.9)))</f>
        <v/>
      </c>
      <c r="AK318">
        <f>IF(OR($H318="",$H318="N/A"),"",IF($AI318="",VLOOKUP('Company Profile'!$B$41,_CONFIG_Model_Settings!$A$5:$B$8,2,FALSE),_xlfn.IFNA(VLOOKUP($AI318,_CONFIG_Model_Settings!$A$5:$B$8,2,FALSE),0.9)))</f>
        <v/>
      </c>
      <c r="AL318">
        <f>IF(OR($H318="",$H318="N/A"),"",ROUND(VALUE($H318)*$AJ318*$AK318*$AV318,2))</f>
        <v/>
      </c>
      <c r="AM318">
        <f>IF($AL318="","",ROUND($AL318/5*100,1))</f>
        <v/>
      </c>
      <c r="AN318">
        <f>IFERROR(MIN(5,MAX(0,(SUMIFS(_REF_Model_Content!$D$1:$D$157,_REF_Model_Content!$A$1:$A$157,'Company Profile'!$B$9,_REF_Model_Content!$B$1:$B$157,"IT Cloud DR"))+_xlfn.IFNA(VLOOKUP('Company Profile'!$B$35,_CONFIG_Model_Settings!$A$11:$B$13,2,0),0))),"")</f>
        <v/>
      </c>
      <c r="AO318">
        <f>IF($AL318="","",MAX(0,ROUND($AN318-$AL318,2)))</f>
        <v/>
      </c>
      <c r="AP318">
        <f>IFERROR(SUMIFS(_REF_Model_Content!$E$1:$E$157,_REF_Model_Content!$A$1:$A$157,'Company Profile'!$B$9,_REF_Model_Content!$B$1:$B$157,"IT Cloud DR"),1)</f>
        <v/>
      </c>
      <c r="AQ318">
        <f>IF($AO318="","",ROUND($AO318*$AP318*($G318/5),2))</f>
        <v/>
      </c>
      <c r="AR318">
        <f>IF($AO318="","",IF($AO318&gt;=2,"Critical industry gap",IF($AO318&gt;=1,"High industry gap",IF($AO318&gt;=0.5,"Moderate industry gap","Within target"))))</f>
        <v/>
      </c>
      <c r="AS318">
        <f>IF(OR($H318="",$H318="N/A"),0,VALUE($H318)*(($AJ318+$AK318)/2)*$AV318)</f>
        <v/>
      </c>
      <c r="AT318">
        <f>IF(OR($H318="",$H318="N/A"),0,($AJ318+$AK318)/2)</f>
        <v/>
      </c>
      <c r="AU318">
        <f>'Assessment Questions'!AX318</f>
        <v/>
      </c>
      <c r="AV318">
        <f>IF(OR($H318="",$H318="N/A"),"",IF(OR($AU318="",$AU318="Everywhere",$AU318="Not applicable"),1,IF($AU318="Pilot / one team",0.4,IF($AU318="One unit or site",0.7,0.9))))</f>
        <v/>
      </c>
      <c r="AW318" t="inlineStr">
        <is>
          <t>IT Cloud DR</t>
        </is>
      </c>
      <c r="AX318" t="inlineStr">
        <is>
          <t>IT Cloud DR</t>
        </is>
      </c>
      <c r="AY318" t="n">
        <v>26</v>
      </c>
      <c r="AZ318" t="n">
        <v>318</v>
      </c>
    </row>
    <row r="319">
      <c r="A319" t="inlineStr">
        <is>
          <t>ITCL-024</t>
        </is>
      </c>
      <c r="B319" t="inlineStr">
        <is>
          <t>Operations</t>
        </is>
      </c>
      <c r="C319" t="inlineStr">
        <is>
          <t>How mature is the organization in managing license continuity for software, cloud services and critical SaaS tools, including ownership, evidence, metrics, fallback procedures and crisis stress testing?</t>
        </is>
      </c>
      <c r="D319" t="inlineStr">
        <is>
          <t>This topic affects exposure to IT outage; Cloud outage; Data loss; Cyberattack. It helps identify how disruption may impact operations, people, revenue, systems, legal exposure or recovery time.</t>
        </is>
      </c>
      <c r="E319" t="inlineStr">
        <is>
          <t>ISO/IEC 27001; ISO/IEC 20000-1; NIST CSF 2.0; NIST SP 800-34; COBIT; ITIL 4; FinOps</t>
        </is>
      </c>
      <c r="F319" t="inlineStr">
        <is>
          <t>Policy/SOP; owner/RACI; system report; dashboard; contracts; test records; incident history; interview evidence related to license continuity for software, cloud services and critical SaaS tools.</t>
        </is>
      </c>
      <c r="G319">
        <f>'Assessment Questions'!J319</f>
        <v/>
      </c>
      <c r="H319">
        <f>IF($Z319="","",IF($Z319="N/A","N/A",VALUE(LEFT($Z319,1))))</f>
        <v/>
      </c>
      <c r="I319">
        <f>IF($H319="","",IF($H319="N/A","",VALUE($H319)/5*$G319))</f>
        <v/>
      </c>
      <c r="J319">
        <f>IF(OR($H319="",$H319="N/A"),"",$G319)</f>
        <v/>
      </c>
      <c r="K319">
        <f>IF(OR($H319="",$H319="N/A"),"",$J319-$I319)</f>
        <v/>
      </c>
      <c r="L319">
        <f>IF($H319="","",IF($H319="N/A","N/A",IF(VALUE($H319)&lt;=1,"Critical",IF(VALUE($H319)&lt;=2,"High",IF(VALUE($H319)&lt;=3,"Medium",IF(VALUE($H319)&lt;=4,"Low","Resilient"))))))</f>
        <v/>
      </c>
      <c r="M319" t="inlineStr">
        <is>
          <t>Does not exist; no owner, no documentation, no practice.</t>
        </is>
      </c>
      <c r="N319" t="inlineStr">
        <is>
          <t>Ad hoc; depends entirely on specific individuals.</t>
        </is>
      </c>
      <c r="O319" t="inlineStr">
        <is>
          <t>Partially documented or implemented; coverage inconsistent; never tested under stress.</t>
        </is>
      </c>
      <c r="P319" t="inlineStr">
        <is>
          <t>Documented, owned, executed consistently; basic evidence and metrics exist.</t>
        </is>
      </c>
      <c r="Q319" t="inlineStr">
        <is>
          <t>Measured and periodically tested/audited; integrated with adjacent processes.</t>
        </is>
      </c>
      <c r="R319" t="inlineStr">
        <is>
          <t>Optimized and automated where practical; stress-tested; benchmarked externally.</t>
        </is>
      </c>
      <c r="S319" t="inlineStr">
        <is>
          <t>IT outage; Cloud outage; Data loss; Cyberattack</t>
        </is>
      </c>
      <c r="T319">
        <f>'Assessment Questions'!W319</f>
        <v/>
      </c>
      <c r="U319">
        <f>'Assessment Questions'!X319</f>
        <v/>
      </c>
      <c r="V319">
        <f>'Assessment Questions'!Y319</f>
        <v/>
      </c>
      <c r="W319" t="n">
        <v>5</v>
      </c>
      <c r="X319" t="n">
        <v>5</v>
      </c>
      <c r="Y319" t="n">
        <v>5</v>
      </c>
      <c r="Z319">
        <f>'Assessment Questions'!AC319</f>
        <v/>
      </c>
      <c r="AB319">
        <f>COUNTIF($B$297:$B$324,$AA319)</f>
        <v/>
      </c>
      <c r="AC319">
        <f>IFERROR(SUMPRODUCT(($B$297:$B$324=$AA319)*($H$297:$H$324&lt;&gt;"")*($H$297:$H$324&lt;&gt;"N/A")*IFERROR(VALUE($H$297:$H$324),0))/SUMPRODUCT(($B$297:$B$324=$AA319)*($H$297:$H$324&lt;&gt;"")*($H$297:$H$324&lt;&gt;"N/A")),0)</f>
        <v/>
      </c>
      <c r="AD319">
        <f>AC319/5</f>
        <v/>
      </c>
      <c r="AE319">
        <f>COUNTIFS($B$297:$B$324,$AA319,$L$297:$L$324,"Critical")+COUNTIFS($B$297:$B$324,$AA319,$L$297:$L$324,"High")</f>
        <v/>
      </c>
      <c r="AF319">
        <f>5-AC319</f>
        <v/>
      </c>
      <c r="AG319">
        <f>SUMPRODUCT(($B$297:$B$324=$AA319)*(ISNUMBER($H$297:$H$324)+($H$297:$H$324="N/A")))</f>
        <v/>
      </c>
      <c r="AH319">
        <f>'Assessment Questions'!AK319</f>
        <v/>
      </c>
      <c r="AI319">
        <f>'Assessment Questions'!AL319</f>
        <v/>
      </c>
      <c r="AJ319">
        <f>IF(OR($H319="",$H319="N/A"),"",IF($AH319="",VLOOKUP('Company Profile'!$B$40,_CONFIG_Model_Settings!$A$5:$B$8,2,FALSE),_xlfn.IFNA(VLOOKUP($AH319,_CONFIG_Model_Settings!$A$5:$B$8,2,FALSE),0.9)))</f>
        <v/>
      </c>
      <c r="AK319">
        <f>IF(OR($H319="",$H319="N/A"),"",IF($AI319="",VLOOKUP('Company Profile'!$B$41,_CONFIG_Model_Settings!$A$5:$B$8,2,FALSE),_xlfn.IFNA(VLOOKUP($AI319,_CONFIG_Model_Settings!$A$5:$B$8,2,FALSE),0.9)))</f>
        <v/>
      </c>
      <c r="AL319">
        <f>IF(OR($H319="",$H319="N/A"),"",ROUND(VALUE($H319)*$AJ319*$AK319*$AV319,2))</f>
        <v/>
      </c>
      <c r="AM319">
        <f>IF($AL319="","",ROUND($AL319/5*100,1))</f>
        <v/>
      </c>
      <c r="AN319">
        <f>IFERROR(MIN(5,MAX(0,(SUMIFS(_REF_Model_Content!$D$1:$D$157,_REF_Model_Content!$A$1:$A$157,'Company Profile'!$B$9,_REF_Model_Content!$B$1:$B$157,"IT Cloud DR"))+_xlfn.IFNA(VLOOKUP('Company Profile'!$B$35,_CONFIG_Model_Settings!$A$11:$B$13,2,0),0))),"")</f>
        <v/>
      </c>
      <c r="AO319">
        <f>IF($AL319="","",MAX(0,ROUND($AN319-$AL319,2)))</f>
        <v/>
      </c>
      <c r="AP319">
        <f>IFERROR(SUMIFS(_REF_Model_Content!$E$1:$E$157,_REF_Model_Content!$A$1:$A$157,'Company Profile'!$B$9,_REF_Model_Content!$B$1:$B$157,"IT Cloud DR"),1)</f>
        <v/>
      </c>
      <c r="AQ319">
        <f>IF($AO319="","",ROUND($AO319*$AP319*($G319/5),2))</f>
        <v/>
      </c>
      <c r="AR319">
        <f>IF($AO319="","",IF($AO319&gt;=2,"Critical industry gap",IF($AO319&gt;=1,"High industry gap",IF($AO319&gt;=0.5,"Moderate industry gap","Within target"))))</f>
        <v/>
      </c>
      <c r="AS319">
        <f>IF(OR($H319="",$H319="N/A"),0,VALUE($H319)*(($AJ319+$AK319)/2)*$AV319)</f>
        <v/>
      </c>
      <c r="AT319">
        <f>IF(OR($H319="",$H319="N/A"),0,($AJ319+$AK319)/2)</f>
        <v/>
      </c>
      <c r="AU319">
        <f>'Assessment Questions'!AX319</f>
        <v/>
      </c>
      <c r="AV319">
        <f>IF(OR($H319="",$H319="N/A"),"",IF(OR($AU319="",$AU319="Everywhere",$AU319="Not applicable"),1,IF($AU319="Pilot / one team",0.4,IF($AU319="One unit or site",0.7,0.9))))</f>
        <v/>
      </c>
      <c r="AW319" t="inlineStr">
        <is>
          <t>IT Cloud DR</t>
        </is>
      </c>
      <c r="AX319" t="inlineStr">
        <is>
          <t>IT Cloud DR</t>
        </is>
      </c>
      <c r="AY319" t="n">
        <v>27</v>
      </c>
      <c r="AZ319" t="n">
        <v>319</v>
      </c>
    </row>
    <row r="320">
      <c r="A320" t="inlineStr">
        <is>
          <t>ITCL-025</t>
        </is>
      </c>
      <c r="B320" t="inlineStr">
        <is>
          <t>SaaS and integrations</t>
        </is>
      </c>
      <c r="C320" t="inlineStr">
        <is>
          <t>How mature is the organization in managing critical SaaS assessment for availability, export, backup, admin access, integrations and contract continuity, including ownership, evidence, metrics, fallback procedures and crisis stress testing?</t>
        </is>
      </c>
      <c r="D320" t="inlineStr">
        <is>
          <t>This topic affects exposure to IT outage; Cloud outage; Data loss; Cyberattack. It helps identify how disruption may impact operations, people, revenue, systems, legal exposure or recovery time.</t>
        </is>
      </c>
      <c r="E320" t="inlineStr">
        <is>
          <t>ISO/IEC 27001; ISO/IEC 20000-1; NIST CSF 2.0; NIST SP 800-34; COBIT; ITIL 4; FinOps</t>
        </is>
      </c>
      <c r="F320" t="inlineStr">
        <is>
          <t>Policy/SOP; owner/RACI; system report; dashboard; contracts; test records; incident history; interview evidence related to critical SaaS assessment for availability, export, backup, admin access, integrations and contract continuity.</t>
        </is>
      </c>
      <c r="G320">
        <f>'Assessment Questions'!J320</f>
        <v/>
      </c>
      <c r="H320">
        <f>IF($Z320="","",IF($Z320="N/A","N/A",VALUE(LEFT($Z320,1))))</f>
        <v/>
      </c>
      <c r="I320">
        <f>IF($H320="","",IF($H320="N/A","",VALUE($H320)/5*$G320))</f>
        <v/>
      </c>
      <c r="J320">
        <f>IF(OR($H320="",$H320="N/A"),"",$G320)</f>
        <v/>
      </c>
      <c r="K320">
        <f>IF(OR($H320="",$H320="N/A"),"",$J320-$I320)</f>
        <v/>
      </c>
      <c r="L320">
        <f>IF($H320="","",IF($H320="N/A","N/A",IF(VALUE($H320)&lt;=1,"Critical",IF(VALUE($H320)&lt;=2,"High",IF(VALUE($H320)&lt;=3,"Medium",IF(VALUE($H320)&lt;=4,"Low","Resilient"))))))</f>
        <v/>
      </c>
      <c r="M320" t="inlineStr">
        <is>
          <t>Does not exist; no owner, no documentation, no practice.</t>
        </is>
      </c>
      <c r="N320" t="inlineStr">
        <is>
          <t>Ad hoc; depends entirely on specific individuals.</t>
        </is>
      </c>
      <c r="O320" t="inlineStr">
        <is>
          <t>Partially documented or implemented; coverage inconsistent; never tested under stress.</t>
        </is>
      </c>
      <c r="P320" t="inlineStr">
        <is>
          <t>Documented, owned, executed consistently; basic evidence and metrics exist.</t>
        </is>
      </c>
      <c r="Q320" t="inlineStr">
        <is>
          <t>Measured and periodically tested/audited; integrated with adjacent processes.</t>
        </is>
      </c>
      <c r="R320" t="inlineStr">
        <is>
          <t>Optimized and automated where practical; stress-tested; benchmarked externally.</t>
        </is>
      </c>
      <c r="S320" t="inlineStr">
        <is>
          <t>IT outage; Cloud outage; Data loss; Cyberattack</t>
        </is>
      </c>
      <c r="T320">
        <f>'Assessment Questions'!W320</f>
        <v/>
      </c>
      <c r="U320">
        <f>'Assessment Questions'!X320</f>
        <v/>
      </c>
      <c r="V320">
        <f>'Assessment Questions'!Y320</f>
        <v/>
      </c>
      <c r="W320" t="n">
        <v>5</v>
      </c>
      <c r="X320" t="n">
        <v>5</v>
      </c>
      <c r="Y320" t="n">
        <v>5</v>
      </c>
      <c r="Z320">
        <f>'Assessment Questions'!AC320</f>
        <v/>
      </c>
      <c r="AB320">
        <f>COUNTIF($B$297:$B$324,$AA320)</f>
        <v/>
      </c>
      <c r="AC320">
        <f>IFERROR(SUMPRODUCT(($B$297:$B$324=$AA320)*($H$297:$H$324&lt;&gt;"")*($H$297:$H$324&lt;&gt;"N/A")*IFERROR(VALUE($H$297:$H$324),0))/SUMPRODUCT(($B$297:$B$324=$AA320)*($H$297:$H$324&lt;&gt;"")*($H$297:$H$324&lt;&gt;"N/A")),0)</f>
        <v/>
      </c>
      <c r="AD320">
        <f>AC320/5</f>
        <v/>
      </c>
      <c r="AE320">
        <f>COUNTIFS($B$297:$B$324,$AA320,$L$297:$L$324,"Critical")+COUNTIFS($B$297:$B$324,$AA320,$L$297:$L$324,"High")</f>
        <v/>
      </c>
      <c r="AF320">
        <f>5-AC320</f>
        <v/>
      </c>
      <c r="AG320">
        <f>SUMPRODUCT(($B$297:$B$324=$AA320)*(ISNUMBER($H$297:$H$324)+($H$297:$H$324="N/A")))</f>
        <v/>
      </c>
      <c r="AH320">
        <f>'Assessment Questions'!AK320</f>
        <v/>
      </c>
      <c r="AI320">
        <f>'Assessment Questions'!AL320</f>
        <v/>
      </c>
      <c r="AJ320">
        <f>IF(OR($H320="",$H320="N/A"),"",IF($AH320="",VLOOKUP('Company Profile'!$B$40,_CONFIG_Model_Settings!$A$5:$B$8,2,FALSE),_xlfn.IFNA(VLOOKUP($AH320,_CONFIG_Model_Settings!$A$5:$B$8,2,FALSE),0.9)))</f>
        <v/>
      </c>
      <c r="AK320">
        <f>IF(OR($H320="",$H320="N/A"),"",IF($AI320="",VLOOKUP('Company Profile'!$B$41,_CONFIG_Model_Settings!$A$5:$B$8,2,FALSE),_xlfn.IFNA(VLOOKUP($AI320,_CONFIG_Model_Settings!$A$5:$B$8,2,FALSE),0.9)))</f>
        <v/>
      </c>
      <c r="AL320">
        <f>IF(OR($H320="",$H320="N/A"),"",ROUND(VALUE($H320)*$AJ320*$AK320*$AV320,2))</f>
        <v/>
      </c>
      <c r="AM320">
        <f>IF($AL320="","",ROUND($AL320/5*100,1))</f>
        <v/>
      </c>
      <c r="AN320">
        <f>IFERROR(MIN(5,MAX(0,(SUMIFS(_REF_Model_Content!$D$1:$D$157,_REF_Model_Content!$A$1:$A$157,'Company Profile'!$B$9,_REF_Model_Content!$B$1:$B$157,"IT Cloud DR"))+_xlfn.IFNA(VLOOKUP('Company Profile'!$B$35,_CONFIG_Model_Settings!$A$11:$B$13,2,0),0))),"")</f>
        <v/>
      </c>
      <c r="AO320">
        <f>IF($AL320="","",MAX(0,ROUND($AN320-$AL320,2)))</f>
        <v/>
      </c>
      <c r="AP320">
        <f>IFERROR(SUMIFS(_REF_Model_Content!$E$1:$E$157,_REF_Model_Content!$A$1:$A$157,'Company Profile'!$B$9,_REF_Model_Content!$B$1:$B$157,"IT Cloud DR"),1)</f>
        <v/>
      </c>
      <c r="AQ320">
        <f>IF($AO320="","",ROUND($AO320*$AP320*($G320/5),2))</f>
        <v/>
      </c>
      <c r="AR320">
        <f>IF($AO320="","",IF($AO320&gt;=2,"Critical industry gap",IF($AO320&gt;=1,"High industry gap",IF($AO320&gt;=0.5,"Moderate industry gap","Within target"))))</f>
        <v/>
      </c>
      <c r="AS320">
        <f>IF(OR($H320="",$H320="N/A"),0,VALUE($H320)*(($AJ320+$AK320)/2)*$AV320)</f>
        <v/>
      </c>
      <c r="AT320">
        <f>IF(OR($H320="",$H320="N/A"),0,($AJ320+$AK320)/2)</f>
        <v/>
      </c>
      <c r="AU320">
        <f>'Assessment Questions'!AX320</f>
        <v/>
      </c>
      <c r="AV320">
        <f>IF(OR($H320="",$H320="N/A"),"",IF(OR($AU320="",$AU320="Everywhere",$AU320="Not applicable"),1,IF($AU320="Pilot / one team",0.4,IF($AU320="One unit or site",0.7,0.9))))</f>
        <v/>
      </c>
      <c r="AW320" t="inlineStr">
        <is>
          <t>IT Cloud DR</t>
        </is>
      </c>
      <c r="AX320" t="inlineStr">
        <is>
          <t>IT Cloud DR</t>
        </is>
      </c>
      <c r="AY320" t="n">
        <v>28</v>
      </c>
      <c r="AZ320" t="n">
        <v>320</v>
      </c>
    </row>
    <row r="321">
      <c r="A321" t="inlineStr">
        <is>
          <t>ITCL-026</t>
        </is>
      </c>
      <c r="B321" t="inlineStr">
        <is>
          <t>SaaS and integrations</t>
        </is>
      </c>
      <c r="C321" t="inlineStr">
        <is>
          <t>How mature is the organization in managing SaaS data backup or exportability if provider or account becomes unavailable, including ownership, evidence, metrics, fallback procedures and crisis stress testing?</t>
        </is>
      </c>
      <c r="D321" t="inlineStr">
        <is>
          <t>This topic affects exposure to IT outage; Cloud outage; Data loss; Cyberattack. It helps identify how disruption may impact operations, people, revenue, systems, legal exposure or recovery time.</t>
        </is>
      </c>
      <c r="E321" t="inlineStr">
        <is>
          <t>ISO/IEC 27001; ISO/IEC 20000-1; NIST CSF 2.0; NIST SP 800-34; COBIT; ITIL 4; FinOps</t>
        </is>
      </c>
      <c r="F321" t="inlineStr">
        <is>
          <t>Policy/SOP; owner/RACI; system report; dashboard; contracts; test records; incident history; interview evidence related to SaaS data backup or exportability if provider or account becomes unavailable.</t>
        </is>
      </c>
      <c r="G321">
        <f>'Assessment Questions'!J321</f>
        <v/>
      </c>
      <c r="H321">
        <f>IF($Z321="","",IF($Z321="N/A","N/A",VALUE(LEFT($Z321,1))))</f>
        <v/>
      </c>
      <c r="I321">
        <f>IF($H321="","",IF($H321="N/A","",VALUE($H321)/5*$G321))</f>
        <v/>
      </c>
      <c r="J321">
        <f>IF(OR($H321="",$H321="N/A"),"",$G321)</f>
        <v/>
      </c>
      <c r="K321">
        <f>IF(OR($H321="",$H321="N/A"),"",$J321-$I321)</f>
        <v/>
      </c>
      <c r="L321">
        <f>IF($H321="","",IF($H321="N/A","N/A",IF(VALUE($H321)&lt;=1,"Critical",IF(VALUE($H321)&lt;=2,"High",IF(VALUE($H321)&lt;=3,"Medium",IF(VALUE($H321)&lt;=4,"Low","Resilient"))))))</f>
        <v/>
      </c>
      <c r="M321" t="inlineStr">
        <is>
          <t>Does not exist; no owner, no documentation, no practice.</t>
        </is>
      </c>
      <c r="N321" t="inlineStr">
        <is>
          <t>Ad hoc; depends entirely on specific individuals.</t>
        </is>
      </c>
      <c r="O321" t="inlineStr">
        <is>
          <t>Partially documented or implemented; coverage inconsistent; never tested under stress.</t>
        </is>
      </c>
      <c r="P321" t="inlineStr">
        <is>
          <t>Documented, owned, executed consistently; basic evidence and metrics exist.</t>
        </is>
      </c>
      <c r="Q321" t="inlineStr">
        <is>
          <t>Measured and periodically tested/audited; integrated with adjacent processes.</t>
        </is>
      </c>
      <c r="R321" t="inlineStr">
        <is>
          <t>Optimized and automated where practical; stress-tested; benchmarked externally.</t>
        </is>
      </c>
      <c r="S321" t="inlineStr">
        <is>
          <t>IT outage; Cloud outage; Data loss; Cyberattack</t>
        </is>
      </c>
      <c r="T321">
        <f>'Assessment Questions'!W321</f>
        <v/>
      </c>
      <c r="U321">
        <f>'Assessment Questions'!X321</f>
        <v/>
      </c>
      <c r="V321">
        <f>'Assessment Questions'!Y321</f>
        <v/>
      </c>
      <c r="W321" t="n">
        <v>5</v>
      </c>
      <c r="X321" t="n">
        <v>5</v>
      </c>
      <c r="Y321" t="n">
        <v>5</v>
      </c>
      <c r="Z321">
        <f>'Assessment Questions'!AC321</f>
        <v/>
      </c>
      <c r="AB321">
        <f>COUNTIF($B$297:$B$324,$AA321)</f>
        <v/>
      </c>
      <c r="AC321">
        <f>IFERROR(SUMPRODUCT(($B$297:$B$324=$AA321)*($H$297:$H$324&lt;&gt;"")*($H$297:$H$324&lt;&gt;"N/A")*IFERROR(VALUE($H$297:$H$324),0))/SUMPRODUCT(($B$297:$B$324=$AA321)*($H$297:$H$324&lt;&gt;"")*($H$297:$H$324&lt;&gt;"N/A")),0)</f>
        <v/>
      </c>
      <c r="AD321">
        <f>AC321/5</f>
        <v/>
      </c>
      <c r="AE321">
        <f>COUNTIFS($B$297:$B$324,$AA321,$L$297:$L$324,"Critical")+COUNTIFS($B$297:$B$324,$AA321,$L$297:$L$324,"High")</f>
        <v/>
      </c>
      <c r="AF321">
        <f>5-AC321</f>
        <v/>
      </c>
      <c r="AG321">
        <f>SUMPRODUCT(($B$297:$B$324=$AA321)*(ISNUMBER($H$297:$H$324)+($H$297:$H$324="N/A")))</f>
        <v/>
      </c>
      <c r="AH321">
        <f>'Assessment Questions'!AK321</f>
        <v/>
      </c>
      <c r="AI321">
        <f>'Assessment Questions'!AL321</f>
        <v/>
      </c>
      <c r="AJ321">
        <f>IF(OR($H321="",$H321="N/A"),"",IF($AH321="",VLOOKUP('Company Profile'!$B$40,_CONFIG_Model_Settings!$A$5:$B$8,2,FALSE),_xlfn.IFNA(VLOOKUP($AH321,_CONFIG_Model_Settings!$A$5:$B$8,2,FALSE),0.9)))</f>
        <v/>
      </c>
      <c r="AK321">
        <f>IF(OR($H321="",$H321="N/A"),"",IF($AI321="",VLOOKUP('Company Profile'!$B$41,_CONFIG_Model_Settings!$A$5:$B$8,2,FALSE),_xlfn.IFNA(VLOOKUP($AI321,_CONFIG_Model_Settings!$A$5:$B$8,2,FALSE),0.9)))</f>
        <v/>
      </c>
      <c r="AL321">
        <f>IF(OR($H321="",$H321="N/A"),"",ROUND(VALUE($H321)*$AJ321*$AK321*$AV321,2))</f>
        <v/>
      </c>
      <c r="AM321">
        <f>IF($AL321="","",ROUND($AL321/5*100,1))</f>
        <v/>
      </c>
      <c r="AN321">
        <f>IFERROR(MIN(5,MAX(0,(SUMIFS(_REF_Model_Content!$D$1:$D$157,_REF_Model_Content!$A$1:$A$157,'Company Profile'!$B$9,_REF_Model_Content!$B$1:$B$157,"IT Cloud DR"))+_xlfn.IFNA(VLOOKUP('Company Profile'!$B$35,_CONFIG_Model_Settings!$A$11:$B$13,2,0),0))),"")</f>
        <v/>
      </c>
      <c r="AO321">
        <f>IF($AL321="","",MAX(0,ROUND($AN321-$AL321,2)))</f>
        <v/>
      </c>
      <c r="AP321">
        <f>IFERROR(SUMIFS(_REF_Model_Content!$E$1:$E$157,_REF_Model_Content!$A$1:$A$157,'Company Profile'!$B$9,_REF_Model_Content!$B$1:$B$157,"IT Cloud DR"),1)</f>
        <v/>
      </c>
      <c r="AQ321">
        <f>IF($AO321="","",ROUND($AO321*$AP321*($G321/5),2))</f>
        <v/>
      </c>
      <c r="AR321">
        <f>IF($AO321="","",IF($AO321&gt;=2,"Critical industry gap",IF($AO321&gt;=1,"High industry gap",IF($AO321&gt;=0.5,"Moderate industry gap","Within target"))))</f>
        <v/>
      </c>
      <c r="AS321">
        <f>IF(OR($H321="",$H321="N/A"),0,VALUE($H321)*(($AJ321+$AK321)/2)*$AV321)</f>
        <v/>
      </c>
      <c r="AT321">
        <f>IF(OR($H321="",$H321="N/A"),0,($AJ321+$AK321)/2)</f>
        <v/>
      </c>
      <c r="AU321">
        <f>'Assessment Questions'!AX321</f>
        <v/>
      </c>
      <c r="AV321">
        <f>IF(OR($H321="",$H321="N/A"),"",IF(OR($AU321="",$AU321="Everywhere",$AU321="Not applicable"),1,IF($AU321="Pilot / one team",0.4,IF($AU321="One unit or site",0.7,0.9))))</f>
        <v/>
      </c>
      <c r="AW321" t="inlineStr">
        <is>
          <t>IT Cloud DR</t>
        </is>
      </c>
      <c r="AX321" t="inlineStr">
        <is>
          <t>IT Cloud DR</t>
        </is>
      </c>
      <c r="AY321" t="n">
        <v>29</v>
      </c>
      <c r="AZ321" t="n">
        <v>321</v>
      </c>
    </row>
    <row r="322">
      <c r="A322" t="inlineStr">
        <is>
          <t>ITCL-027</t>
        </is>
      </c>
      <c r="B322" t="inlineStr">
        <is>
          <t>SaaS and integrations</t>
        </is>
      </c>
      <c r="C322" t="inlineStr">
        <is>
          <t>How mature is the organization in managing API, ETL, middleware, file exchange and manual integration catalog, including ownership, evidence, metrics, fallback procedures and crisis stress testing?</t>
        </is>
      </c>
      <c r="D322" t="inlineStr">
        <is>
          <t>This topic affects exposure to IT outage; Cloud outage; Data loss; Cyberattack. It helps identify how disruption may impact operations, people, revenue, systems, legal exposure or recovery time.</t>
        </is>
      </c>
      <c r="E322" t="inlineStr">
        <is>
          <t>ISO/IEC 27001; ISO/IEC 20000-1; NIST CSF 2.0; NIST SP 800-34; COBIT; ITIL 4; FinOps</t>
        </is>
      </c>
      <c r="F322" t="inlineStr">
        <is>
          <t>Policy/SOP; owner/RACI; system report; dashboard; contracts; test records; incident history; interview evidence related to API, ETL, middleware, file exchange and manual integration catalog.</t>
        </is>
      </c>
      <c r="G322">
        <f>'Assessment Questions'!J322</f>
        <v/>
      </c>
      <c r="H322">
        <f>IF($Z322="","",IF($Z322="N/A","N/A",VALUE(LEFT($Z322,1))))</f>
        <v/>
      </c>
      <c r="I322">
        <f>IF($H322="","",IF($H322="N/A","",VALUE($H322)/5*$G322))</f>
        <v/>
      </c>
      <c r="J322">
        <f>IF(OR($H322="",$H322="N/A"),"",$G322)</f>
        <v/>
      </c>
      <c r="K322">
        <f>IF(OR($H322="",$H322="N/A"),"",$J322-$I322)</f>
        <v/>
      </c>
      <c r="L322">
        <f>IF($H322="","",IF($H322="N/A","N/A",IF(VALUE($H322)&lt;=1,"Critical",IF(VALUE($H322)&lt;=2,"High",IF(VALUE($H322)&lt;=3,"Medium",IF(VALUE($H322)&lt;=4,"Low","Resilient"))))))</f>
        <v/>
      </c>
      <c r="M322" t="inlineStr">
        <is>
          <t>No reliable evidence that api, etl, middleware, file exchange and manual integration catalog is defined, owned or managed.</t>
        </is>
      </c>
      <c r="N322" t="inlineStr">
        <is>
          <t>API, ETL, middleware, file exchange and manual integration catalog is handled informally and depends on individual knowledge or heroic effort.</t>
        </is>
      </c>
      <c r="O322" t="inlineStr">
        <is>
          <t>API, ETL, middleware, file exchange and manual integration catalog is partially documented or implemented, but coverage is inconsistent and not crisis-tested.</t>
        </is>
      </c>
      <c r="P322" t="inlineStr">
        <is>
          <t>API, ETL, middleware, file exchange and manual integration catalog is documented, owned, used in normal operations and supported by basic evidence or metrics.</t>
        </is>
      </c>
      <c r="Q322" t="inlineStr">
        <is>
          <t>API, ETL, middleware, file exchange and manual integration catalog is measured, periodically reviewed, integrated with related processes and tested against relevant disruption scenarios.</t>
        </is>
      </c>
      <c r="R322" t="inlineStr">
        <is>
          <t>API, ETL, middleware, file exchange and manual integration catalog is optimized, continuously improved, automated where practical and demonstrably supports crisis resilience.</t>
        </is>
      </c>
      <c r="S322" t="inlineStr">
        <is>
          <t>IT outage; Cloud outage; Data loss; Cyberattack</t>
        </is>
      </c>
      <c r="T322">
        <f>'Assessment Questions'!W322</f>
        <v/>
      </c>
      <c r="U322">
        <f>'Assessment Questions'!X322</f>
        <v/>
      </c>
      <c r="V322">
        <f>'Assessment Questions'!Y322</f>
        <v/>
      </c>
      <c r="W322" t="n">
        <v>5</v>
      </c>
      <c r="X322" t="n">
        <v>5</v>
      </c>
      <c r="Y322" t="n">
        <v>5</v>
      </c>
      <c r="Z322">
        <f>'Assessment Questions'!AC322</f>
        <v/>
      </c>
      <c r="AB322">
        <f>COUNTIF($B$297:$B$324,$AA322)</f>
        <v/>
      </c>
      <c r="AC322">
        <f>IFERROR(SUMPRODUCT(($B$297:$B$324=$AA322)*($H$297:$H$324&lt;&gt;"")*($H$297:$H$324&lt;&gt;"N/A")*IFERROR(VALUE($H$297:$H$324),0))/SUMPRODUCT(($B$297:$B$324=$AA322)*($H$297:$H$324&lt;&gt;"")*($H$297:$H$324&lt;&gt;"N/A")),0)</f>
        <v/>
      </c>
      <c r="AD322">
        <f>AC322/5</f>
        <v/>
      </c>
      <c r="AE322">
        <f>COUNTIFS($B$297:$B$324,$AA322,$L$297:$L$324,"Critical")+COUNTIFS($B$297:$B$324,$AA322,$L$297:$L$324,"High")</f>
        <v/>
      </c>
      <c r="AF322">
        <f>5-AC322</f>
        <v/>
      </c>
      <c r="AG322">
        <f>SUMPRODUCT(($B$297:$B$324=$AA322)*(ISNUMBER($H$297:$H$324)+($H$297:$H$324="N/A")))</f>
        <v/>
      </c>
      <c r="AH322">
        <f>'Assessment Questions'!AK322</f>
        <v/>
      </c>
      <c r="AI322">
        <f>'Assessment Questions'!AL322</f>
        <v/>
      </c>
      <c r="AJ322">
        <f>IF(OR($H322="",$H322="N/A"),"",IF($AH322="",VLOOKUP('Company Profile'!$B$40,_CONFIG_Model_Settings!$A$5:$B$8,2,FALSE),_xlfn.IFNA(VLOOKUP($AH322,_CONFIG_Model_Settings!$A$5:$B$8,2,FALSE),0.9)))</f>
        <v/>
      </c>
      <c r="AK322">
        <f>IF(OR($H322="",$H322="N/A"),"",IF($AI322="",VLOOKUP('Company Profile'!$B$41,_CONFIG_Model_Settings!$A$5:$B$8,2,FALSE),_xlfn.IFNA(VLOOKUP($AI322,_CONFIG_Model_Settings!$A$5:$B$8,2,FALSE),0.9)))</f>
        <v/>
      </c>
      <c r="AL322">
        <f>IF(OR($H322="",$H322="N/A"),"",ROUND(VALUE($H322)*$AJ322*$AK322*$AV322,2))</f>
        <v/>
      </c>
      <c r="AM322">
        <f>IF($AL322="","",ROUND($AL322/5*100,1))</f>
        <v/>
      </c>
      <c r="AN322">
        <f>IFERROR(MIN(5,MAX(0,(SUMIFS(_REF_Model_Content!$D$1:$D$157,_REF_Model_Content!$A$1:$A$157,'Company Profile'!$B$9,_REF_Model_Content!$B$1:$B$157,"IT Cloud DR"))+_xlfn.IFNA(VLOOKUP('Company Profile'!$B$35,_CONFIG_Model_Settings!$A$11:$B$13,2,0),0))),"")</f>
        <v/>
      </c>
      <c r="AO322">
        <f>IF($AL322="","",MAX(0,ROUND($AN322-$AL322,2)))</f>
        <v/>
      </c>
      <c r="AP322">
        <f>IFERROR(SUMIFS(_REF_Model_Content!$E$1:$E$157,_REF_Model_Content!$A$1:$A$157,'Company Profile'!$B$9,_REF_Model_Content!$B$1:$B$157,"IT Cloud DR"),1)</f>
        <v/>
      </c>
      <c r="AQ322">
        <f>IF($AO322="","",ROUND($AO322*$AP322*($G322/5),2))</f>
        <v/>
      </c>
      <c r="AR322">
        <f>IF($AO322="","",IF($AO322&gt;=2,"Critical industry gap",IF($AO322&gt;=1,"High industry gap",IF($AO322&gt;=0.5,"Moderate industry gap","Within target"))))</f>
        <v/>
      </c>
      <c r="AS322">
        <f>IF(OR($H322="",$H322="N/A"),0,VALUE($H322)*(($AJ322+$AK322)/2)*$AV322)</f>
        <v/>
      </c>
      <c r="AT322">
        <f>IF(OR($H322="",$H322="N/A"),0,($AJ322+$AK322)/2)</f>
        <v/>
      </c>
      <c r="AU322">
        <f>'Assessment Questions'!AX322</f>
        <v/>
      </c>
      <c r="AV322">
        <f>IF(OR($H322="",$H322="N/A"),"",IF(OR($AU322="",$AU322="Everywhere",$AU322="Not applicable"),1,IF($AU322="Pilot / one team",0.4,IF($AU322="One unit or site",0.7,0.9))))</f>
        <v/>
      </c>
      <c r="AW322" t="inlineStr">
        <is>
          <t>IT Cloud DR</t>
        </is>
      </c>
      <c r="AX322" t="inlineStr">
        <is>
          <t>IT Cloud DR</t>
        </is>
      </c>
      <c r="AY322" t="n">
        <v>30</v>
      </c>
      <c r="AZ322" t="n">
        <v>322</v>
      </c>
    </row>
    <row r="323">
      <c r="A323" t="inlineStr">
        <is>
          <t>ITCL-028</t>
        </is>
      </c>
      <c r="B323" t="inlineStr">
        <is>
          <t>SaaS and integrations</t>
        </is>
      </c>
      <c r="C323" t="inlineStr">
        <is>
          <t>How mature is the organization in managing integration monitoring, retry, queue, reconciliation and fallback procedures, including ownership, evidence, metrics, fallback procedures and crisis stress testing?</t>
        </is>
      </c>
      <c r="D323" t="inlineStr">
        <is>
          <t>This topic affects exposure to IT outage; Cloud outage; Data loss; Cyberattack. It helps identify how disruption may impact operations, people, revenue, systems, legal exposure or recovery time.</t>
        </is>
      </c>
      <c r="E323" t="inlineStr">
        <is>
          <t>ISO/IEC 27001; ISO/IEC 20000-1; NIST CSF 2.0; NIST SP 800-34; COBIT; ITIL 4; FinOps</t>
        </is>
      </c>
      <c r="F323" t="inlineStr">
        <is>
          <t>Policy/SOP; owner/RACI; system report; dashboard; contracts; test records; incident history; interview evidence related to integration monitoring, retry, queue, reconciliation and fallback procedures.</t>
        </is>
      </c>
      <c r="G323">
        <f>'Assessment Questions'!J323</f>
        <v/>
      </c>
      <c r="H323">
        <f>IF($Z323="","",IF($Z323="N/A","N/A",VALUE(LEFT($Z323,1))))</f>
        <v/>
      </c>
      <c r="I323">
        <f>IF($H323="","",IF($H323="N/A","",VALUE($H323)/5*$G323))</f>
        <v/>
      </c>
      <c r="J323">
        <f>IF(OR($H323="",$H323="N/A"),"",$G323)</f>
        <v/>
      </c>
      <c r="K323">
        <f>IF(OR($H323="",$H323="N/A"),"",$J323-$I323)</f>
        <v/>
      </c>
      <c r="L323">
        <f>IF($H323="","",IF($H323="N/A","N/A",IF(VALUE($H323)&lt;=1,"Critical",IF(VALUE($H323)&lt;=2,"High",IF(VALUE($H323)&lt;=3,"Medium",IF(VALUE($H323)&lt;=4,"Low","Resilient"))))))</f>
        <v/>
      </c>
      <c r="M323" t="inlineStr">
        <is>
          <t>No reliable evidence that integration monitoring, retry, queue, reconciliation and fallback procedures is defined, owned or managed.</t>
        </is>
      </c>
      <c r="N323" t="inlineStr">
        <is>
          <t>Integration monitoring, retry, queue, reconciliation and fallback procedures is handled informally and depends on individual knowledge or heroic effort.</t>
        </is>
      </c>
      <c r="O323" t="inlineStr">
        <is>
          <t>Integration monitoring, retry, queue, reconciliation and fallback procedures is partially documented or implemented, but coverage is inconsistent and not crisis-tested.</t>
        </is>
      </c>
      <c r="P323" t="inlineStr">
        <is>
          <t>Integration monitoring, retry, queue, reconciliation and fallback procedures is documented, owned, used in normal operations and supported by basic evidence or metrics.</t>
        </is>
      </c>
      <c r="Q323" t="inlineStr">
        <is>
          <t>Integration monitoring, retry, queue, reconciliation and fallback procedures is measured, periodically reviewed, integrated with related processes and tested against relevant disruption scenarios.</t>
        </is>
      </c>
      <c r="R323" t="inlineStr">
        <is>
          <t>Integration monitoring, retry, queue, reconciliation and fallback procedures is optimized, continuously improved, automated where practical and demonstrably supports crisis resilience.</t>
        </is>
      </c>
      <c r="S323" t="inlineStr">
        <is>
          <t>IT outage; Cloud outage; Data loss; Cyberattack</t>
        </is>
      </c>
      <c r="T323">
        <f>'Assessment Questions'!W323</f>
        <v/>
      </c>
      <c r="U323">
        <f>'Assessment Questions'!X323</f>
        <v/>
      </c>
      <c r="V323">
        <f>'Assessment Questions'!Y323</f>
        <v/>
      </c>
      <c r="W323" t="n">
        <v>5</v>
      </c>
      <c r="X323" t="n">
        <v>5</v>
      </c>
      <c r="Y323" t="n">
        <v>5</v>
      </c>
      <c r="Z323">
        <f>'Assessment Questions'!AC323</f>
        <v/>
      </c>
      <c r="AB323">
        <f>COUNTIF($B$297:$B$324,$AA323)</f>
        <v/>
      </c>
      <c r="AC323">
        <f>IFERROR(SUMPRODUCT(($B$297:$B$324=$AA323)*($H$297:$H$324&lt;&gt;"")*($H$297:$H$324&lt;&gt;"N/A")*IFERROR(VALUE($H$297:$H$324),0))/SUMPRODUCT(($B$297:$B$324=$AA323)*($H$297:$H$324&lt;&gt;"")*($H$297:$H$324&lt;&gt;"N/A")),0)</f>
        <v/>
      </c>
      <c r="AD323">
        <f>AC323/5</f>
        <v/>
      </c>
      <c r="AE323">
        <f>COUNTIFS($B$297:$B$324,$AA323,$L$297:$L$324,"Critical")+COUNTIFS($B$297:$B$324,$AA323,$L$297:$L$324,"High")</f>
        <v/>
      </c>
      <c r="AF323">
        <f>5-AC323</f>
        <v/>
      </c>
      <c r="AG323">
        <f>SUMPRODUCT(($B$297:$B$324=$AA323)*(ISNUMBER($H$297:$H$324)+($H$297:$H$324="N/A")))</f>
        <v/>
      </c>
      <c r="AH323">
        <f>'Assessment Questions'!AK323</f>
        <v/>
      </c>
      <c r="AI323">
        <f>'Assessment Questions'!AL323</f>
        <v/>
      </c>
      <c r="AJ323">
        <f>IF(OR($H323="",$H323="N/A"),"",IF($AH323="",VLOOKUP('Company Profile'!$B$40,_CONFIG_Model_Settings!$A$5:$B$8,2,FALSE),_xlfn.IFNA(VLOOKUP($AH323,_CONFIG_Model_Settings!$A$5:$B$8,2,FALSE),0.9)))</f>
        <v/>
      </c>
      <c r="AK323">
        <f>IF(OR($H323="",$H323="N/A"),"",IF($AI323="",VLOOKUP('Company Profile'!$B$41,_CONFIG_Model_Settings!$A$5:$B$8,2,FALSE),_xlfn.IFNA(VLOOKUP($AI323,_CONFIG_Model_Settings!$A$5:$B$8,2,FALSE),0.9)))</f>
        <v/>
      </c>
      <c r="AL323">
        <f>IF(OR($H323="",$H323="N/A"),"",ROUND(VALUE($H323)*$AJ323*$AK323*$AV323,2))</f>
        <v/>
      </c>
      <c r="AM323">
        <f>IF($AL323="","",ROUND($AL323/5*100,1))</f>
        <v/>
      </c>
      <c r="AN323">
        <f>IFERROR(MIN(5,MAX(0,(SUMIFS(_REF_Model_Content!$D$1:$D$157,_REF_Model_Content!$A$1:$A$157,'Company Profile'!$B$9,_REF_Model_Content!$B$1:$B$157,"IT Cloud DR"))+_xlfn.IFNA(VLOOKUP('Company Profile'!$B$35,_CONFIG_Model_Settings!$A$11:$B$13,2,0),0))),"")</f>
        <v/>
      </c>
      <c r="AO323">
        <f>IF($AL323="","",MAX(0,ROUND($AN323-$AL323,2)))</f>
        <v/>
      </c>
      <c r="AP323">
        <f>IFERROR(SUMIFS(_REF_Model_Content!$E$1:$E$157,_REF_Model_Content!$A$1:$A$157,'Company Profile'!$B$9,_REF_Model_Content!$B$1:$B$157,"IT Cloud DR"),1)</f>
        <v/>
      </c>
      <c r="AQ323">
        <f>IF($AO323="","",ROUND($AO323*$AP323*($G323/5),2))</f>
        <v/>
      </c>
      <c r="AR323">
        <f>IF($AO323="","",IF($AO323&gt;=2,"Critical industry gap",IF($AO323&gt;=1,"High industry gap",IF($AO323&gt;=0.5,"Moderate industry gap","Within target"))))</f>
        <v/>
      </c>
      <c r="AS323">
        <f>IF(OR($H323="",$H323="N/A"),0,VALUE($H323)*(($AJ323+$AK323)/2)*$AV323)</f>
        <v/>
      </c>
      <c r="AT323">
        <f>IF(OR($H323="",$H323="N/A"),0,($AJ323+$AK323)/2)</f>
        <v/>
      </c>
      <c r="AU323">
        <f>'Assessment Questions'!AX323</f>
        <v/>
      </c>
      <c r="AV323">
        <f>IF(OR($H323="",$H323="N/A"),"",IF(OR($AU323="",$AU323="Everywhere",$AU323="Not applicable"),1,IF($AU323="Pilot / one team",0.4,IF($AU323="One unit or site",0.7,0.9))))</f>
        <v/>
      </c>
      <c r="AW323" t="inlineStr">
        <is>
          <t>IT Cloud DR</t>
        </is>
      </c>
      <c r="AX323" t="inlineStr">
        <is>
          <t>IT Cloud DR</t>
        </is>
      </c>
      <c r="AY323" t="n">
        <v>31</v>
      </c>
      <c r="AZ323" t="n">
        <v>323</v>
      </c>
    </row>
    <row r="324">
      <c r="A324" t="inlineStr">
        <is>
          <t>ITCL-029</t>
        </is>
      </c>
      <c r="B324" t="inlineStr">
        <is>
          <t>SaaS and integrations</t>
        </is>
      </c>
      <c r="C324" t="inlineStr">
        <is>
          <t>How mature is the organization in managing configuration management and version control for infrastructure, cloud and applications, including ownership, evidence, metrics, fallback procedures and crisis stress testing?</t>
        </is>
      </c>
      <c r="D324" t="inlineStr">
        <is>
          <t>This topic affects exposure to IT outage; Cloud outage; Data loss; Cyberattack. It helps identify how disruption may impact operations, people, revenue, systems, legal exposure or recovery time.</t>
        </is>
      </c>
      <c r="E324" t="inlineStr">
        <is>
          <t>ISO/IEC 27001; ISO/IEC 20000-1; NIST CSF 2.0; NIST SP 800-34; COBIT; ITIL 4; FinOps</t>
        </is>
      </c>
      <c r="F324" t="inlineStr">
        <is>
          <t>Policy/SOP; owner/RACI; system report; dashboard; contracts; test records; incident history; interview evidence related to configuration management and version control for infrastructure, cloud and applications.</t>
        </is>
      </c>
      <c r="G324">
        <f>'Assessment Questions'!J324</f>
        <v/>
      </c>
      <c r="H324">
        <f>IF($Z324="","",IF($Z324="N/A","N/A",VALUE(LEFT($Z324,1))))</f>
        <v/>
      </c>
      <c r="I324">
        <f>IF($H324="","",IF($H324="N/A","",VALUE($H324)/5*$G324))</f>
        <v/>
      </c>
      <c r="J324">
        <f>IF(OR($H324="",$H324="N/A"),"",$G324)</f>
        <v/>
      </c>
      <c r="K324">
        <f>IF(OR($H324="",$H324="N/A"),"",$J324-$I324)</f>
        <v/>
      </c>
      <c r="L324">
        <f>IF($H324="","",IF($H324="N/A","N/A",IF(VALUE($H324)&lt;=1,"Critical",IF(VALUE($H324)&lt;=2,"High",IF(VALUE($H324)&lt;=3,"Medium",IF(VALUE($H324)&lt;=4,"Low","Resilient"))))))</f>
        <v/>
      </c>
      <c r="M324" t="inlineStr">
        <is>
          <t>Does not exist; no owner, no documentation, no practice.</t>
        </is>
      </c>
      <c r="N324" t="inlineStr">
        <is>
          <t>Ad hoc; depends entirely on specific individuals.</t>
        </is>
      </c>
      <c r="O324" t="inlineStr">
        <is>
          <t>Partially documented or implemented; coverage inconsistent; never tested under stress.</t>
        </is>
      </c>
      <c r="P324" t="inlineStr">
        <is>
          <t>Documented, owned, executed consistently; basic evidence and metrics exist.</t>
        </is>
      </c>
      <c r="Q324" t="inlineStr">
        <is>
          <t>Measured and periodically tested/audited; integrated with adjacent processes.</t>
        </is>
      </c>
      <c r="R324" t="inlineStr">
        <is>
          <t>Optimized and automated where practical; stress-tested; benchmarked externally.</t>
        </is>
      </c>
      <c r="S324" t="inlineStr">
        <is>
          <t>IT outage; Cloud outage; Data loss; Cyberattack</t>
        </is>
      </c>
      <c r="T324">
        <f>'Assessment Questions'!W324</f>
        <v/>
      </c>
      <c r="U324">
        <f>'Assessment Questions'!X324</f>
        <v/>
      </c>
      <c r="V324">
        <f>'Assessment Questions'!Y324</f>
        <v/>
      </c>
      <c r="W324" t="n">
        <v>5</v>
      </c>
      <c r="X324" t="n">
        <v>5</v>
      </c>
      <c r="Y324" t="n">
        <v>5</v>
      </c>
      <c r="Z324">
        <f>'Assessment Questions'!AC324</f>
        <v/>
      </c>
      <c r="AB324">
        <f>COUNTIF($B$297:$B$324,$AA324)</f>
        <v/>
      </c>
      <c r="AC324">
        <f>IFERROR(SUMPRODUCT(($B$297:$B$324=$AA324)*($H$297:$H$324&lt;&gt;"")*($H$297:$H$324&lt;&gt;"N/A")*IFERROR(VALUE($H$297:$H$324),0))/SUMPRODUCT(($B$297:$B$324=$AA324)*($H$297:$H$324&lt;&gt;"")*($H$297:$H$324&lt;&gt;"N/A")),0)</f>
        <v/>
      </c>
      <c r="AD324">
        <f>AC324/5</f>
        <v/>
      </c>
      <c r="AE324">
        <f>COUNTIFS($B$297:$B$324,$AA324,$L$297:$L$324,"Critical")+COUNTIFS($B$297:$B$324,$AA324,$L$297:$L$324,"High")</f>
        <v/>
      </c>
      <c r="AF324">
        <f>5-AC324</f>
        <v/>
      </c>
      <c r="AG324">
        <f>SUMPRODUCT(($B$297:$B$324=$AA324)*(ISNUMBER($H$297:$H$324)+($H$297:$H$324="N/A")))</f>
        <v/>
      </c>
      <c r="AH324">
        <f>'Assessment Questions'!AK324</f>
        <v/>
      </c>
      <c r="AI324">
        <f>'Assessment Questions'!AL324</f>
        <v/>
      </c>
      <c r="AJ324">
        <f>IF(OR($H324="",$H324="N/A"),"",IF($AH324="",VLOOKUP('Company Profile'!$B$40,_CONFIG_Model_Settings!$A$5:$B$8,2,FALSE),_xlfn.IFNA(VLOOKUP($AH324,_CONFIG_Model_Settings!$A$5:$B$8,2,FALSE),0.9)))</f>
        <v/>
      </c>
      <c r="AK324">
        <f>IF(OR($H324="",$H324="N/A"),"",IF($AI324="",VLOOKUP('Company Profile'!$B$41,_CONFIG_Model_Settings!$A$5:$B$8,2,FALSE),_xlfn.IFNA(VLOOKUP($AI324,_CONFIG_Model_Settings!$A$5:$B$8,2,FALSE),0.9)))</f>
        <v/>
      </c>
      <c r="AL324">
        <f>IF(OR($H324="",$H324="N/A"),"",ROUND(VALUE($H324)*$AJ324*$AK324*$AV324,2))</f>
        <v/>
      </c>
      <c r="AM324">
        <f>IF($AL324="","",ROUND($AL324/5*100,1))</f>
        <v/>
      </c>
      <c r="AN324">
        <f>IFERROR(MIN(5,MAX(0,(SUMIFS(_REF_Model_Content!$D$1:$D$157,_REF_Model_Content!$A$1:$A$157,'Company Profile'!$B$9,_REF_Model_Content!$B$1:$B$157,"IT Cloud DR"))+_xlfn.IFNA(VLOOKUP('Company Profile'!$B$35,_CONFIG_Model_Settings!$A$11:$B$13,2,0),0))),"")</f>
        <v/>
      </c>
      <c r="AO324">
        <f>IF($AL324="","",MAX(0,ROUND($AN324-$AL324,2)))</f>
        <v/>
      </c>
      <c r="AP324">
        <f>IFERROR(SUMIFS(_REF_Model_Content!$E$1:$E$157,_REF_Model_Content!$A$1:$A$157,'Company Profile'!$B$9,_REF_Model_Content!$B$1:$B$157,"IT Cloud DR"),1)</f>
        <v/>
      </c>
      <c r="AQ324">
        <f>IF($AO324="","",ROUND($AO324*$AP324*($G324/5),2))</f>
        <v/>
      </c>
      <c r="AR324">
        <f>IF($AO324="","",IF($AO324&gt;=2,"Critical industry gap",IF($AO324&gt;=1,"High industry gap",IF($AO324&gt;=0.5,"Moderate industry gap","Within target"))))</f>
        <v/>
      </c>
      <c r="AS324">
        <f>IF(OR($H324="",$H324="N/A"),0,VALUE($H324)*(($AJ324+$AK324)/2)*$AV324)</f>
        <v/>
      </c>
      <c r="AT324">
        <f>IF(OR($H324="",$H324="N/A"),0,($AJ324+$AK324)/2)</f>
        <v/>
      </c>
      <c r="AU324">
        <f>'Assessment Questions'!AX324</f>
        <v/>
      </c>
      <c r="AV324">
        <f>IF(OR($H324="",$H324="N/A"),"",IF(OR($AU324="",$AU324="Everywhere",$AU324="Not applicable"),1,IF($AU324="Pilot / one team",0.4,IF($AU324="One unit or site",0.7,0.9))))</f>
        <v/>
      </c>
      <c r="AW324" t="inlineStr">
        <is>
          <t>IT Cloud DR</t>
        </is>
      </c>
      <c r="AX324" t="inlineStr">
        <is>
          <t>IT Cloud DR</t>
        </is>
      </c>
      <c r="AY324" t="n">
        <v>32</v>
      </c>
      <c r="AZ324" t="n">
        <v>324</v>
      </c>
    </row>
    <row r="325">
      <c r="A325" t="inlineStr">
        <is>
          <t>BUSI-001</t>
        </is>
      </c>
      <c r="B325" t="inlineStr">
        <is>
          <t>ERP</t>
        </is>
      </c>
      <c r="C325" t="inlineStr">
        <is>
          <t>How mature is the organization in managing ERP process coverage for finance, procurement, inventory, orders, production or project accounting, including ownership, evidence, metrics, fallback procedures and crisis stress testing?</t>
        </is>
      </c>
      <c r="D325" t="inlineStr">
        <is>
          <t>This topic affects exposure to IT outage; Decision failure; Process disruption. It helps identify how disruption may impact operations, people, revenue, systems, legal exposure or recovery time.</t>
        </is>
      </c>
      <c r="E325" t="inlineStr">
        <is>
          <t>COBIT; ITIL 4; ISO/IEC 27001; ISO/IEC 20000-1; ERP/CRM/MES/HRMS implementation practices</t>
        </is>
      </c>
      <c r="F325" t="inlineStr">
        <is>
          <t>Policy/SOP; owner/RACI; system report; dashboard; contracts; test records; incident history; interview evidence related to ERP process coverage for finance, procurement, inventory, orders, production or project accounting.</t>
        </is>
      </c>
      <c r="G325">
        <f>'Assessment Questions'!J325</f>
        <v/>
      </c>
      <c r="H325">
        <f>IF($Z325="","",IF($Z325="N/A","N/A",VALUE(LEFT($Z325,1))))</f>
        <v/>
      </c>
      <c r="I325">
        <f>IF($H325="","",IF($H325="N/A","",VALUE($H325)/5*$G325))</f>
        <v/>
      </c>
      <c r="J325">
        <f>IF(OR($H325="",$H325="N/A"),"",$G325)</f>
        <v/>
      </c>
      <c r="K325">
        <f>IF(OR($H325="",$H325="N/A"),"",$J325-$I325)</f>
        <v/>
      </c>
      <c r="L325">
        <f>IF($H325="","",IF($H325="N/A","N/A",IF(VALUE($H325)&lt;=1,"Critical",IF(VALUE($H325)&lt;=2,"High",IF(VALUE($H325)&lt;=3,"Medium",IF(VALUE($H325)&lt;=4,"Low","Resilient"))))))</f>
        <v/>
      </c>
      <c r="M325" t="inlineStr">
        <is>
          <t>No inventory/register exists.</t>
        </is>
      </c>
      <c r="N325" t="inlineStr">
        <is>
          <t>Partial lists live in individuals' heads or personal files.</t>
        </is>
      </c>
      <c r="O325" t="inlineStr">
        <is>
          <t>A register exists but is incomplete or outdated (&gt;1 year) and has no owner.</t>
        </is>
      </c>
      <c r="P325" t="inlineStr">
        <is>
          <t>Owned, documented, updated on a defined schedule, covers the main scope.</t>
        </is>
      </c>
      <c r="Q325" t="inlineStr">
        <is>
          <t>Complete and periodically reviewed; integrated with related processes; completeness measured.</t>
        </is>
      </c>
      <c r="R325" t="inlineStr">
        <is>
          <t>Maintained automatically or synced with systems; drives decisions; audited.</t>
        </is>
      </c>
      <c r="S325" t="inlineStr">
        <is>
          <t>IT outage; Decision failure; Process disruption</t>
        </is>
      </c>
      <c r="T325">
        <f>'Assessment Questions'!W325</f>
        <v/>
      </c>
      <c r="U325">
        <f>'Assessment Questions'!X325</f>
        <v/>
      </c>
      <c r="V325">
        <f>'Assessment Questions'!Y325</f>
        <v/>
      </c>
      <c r="W325" t="n">
        <v>5</v>
      </c>
      <c r="X325" t="n">
        <v>5</v>
      </c>
      <c r="Y325" t="n">
        <v>5</v>
      </c>
      <c r="Z325">
        <f>'Assessment Questions'!AC325</f>
        <v/>
      </c>
      <c r="AA325" t="inlineStr">
        <is>
          <t>ERP</t>
        </is>
      </c>
      <c r="AB325">
        <f>COUNTIF($B$325:$B$345,$AA325)</f>
        <v/>
      </c>
      <c r="AC325">
        <f>IFERROR(SUMPRODUCT(($B$325:$B$345=$AA325)*($H$325:$H$345&lt;&gt;"")*($H$325:$H$345&lt;&gt;"N/A")*IFERROR(VALUE($H$325:$H$345),0))/SUMPRODUCT(($B$325:$B$345=$AA325)*($H$325:$H$345&lt;&gt;"")*($H$325:$H$345&lt;&gt;"N/A")),0)</f>
        <v/>
      </c>
      <c r="AD325">
        <f>AC325/5</f>
        <v/>
      </c>
      <c r="AE325">
        <f>COUNTIFS($B$325:$B$345,$AA325,$L$325:$L$345,"Critical")+COUNTIFS($B$325:$B$345,$AA325,$L$325:$L$345,"High")</f>
        <v/>
      </c>
      <c r="AF325">
        <f>5-AC325</f>
        <v/>
      </c>
      <c r="AG325">
        <f>SUMPRODUCT(($B$325:$B$345=$AA325)*(ISNUMBER($H$325:$H$345)+($H$325:$H$345="N/A")))</f>
        <v/>
      </c>
      <c r="AH325">
        <f>'Assessment Questions'!AK325</f>
        <v/>
      </c>
      <c r="AI325">
        <f>'Assessment Questions'!AL325</f>
        <v/>
      </c>
      <c r="AJ325">
        <f>IF(OR($H325="",$H325="N/A"),"",IF($AH325="",VLOOKUP('Company Profile'!$B$40,_CONFIG_Model_Settings!$A$5:$B$8,2,FALSE),_xlfn.IFNA(VLOOKUP($AH325,_CONFIG_Model_Settings!$A$5:$B$8,2,FALSE),0.9)))</f>
        <v/>
      </c>
      <c r="AK325">
        <f>IF(OR($H325="",$H325="N/A"),"",IF($AI325="",VLOOKUP('Company Profile'!$B$41,_CONFIG_Model_Settings!$A$5:$B$8,2,FALSE),_xlfn.IFNA(VLOOKUP($AI325,_CONFIG_Model_Settings!$A$5:$B$8,2,FALSE),0.9)))</f>
        <v/>
      </c>
      <c r="AL325">
        <f>IF(OR($H325="",$H325="N/A"),"",ROUND(VALUE($H325)*$AJ325*$AK325*$AV325,2))</f>
        <v/>
      </c>
      <c r="AM325">
        <f>IF($AL325="","",ROUND($AL325/5*100,1))</f>
        <v/>
      </c>
      <c r="AN325">
        <f>IFERROR(MIN(5,MAX(0,(SUMIFS(_REF_Model_Content!$D$1:$D$157,_REF_Model_Content!$A$1:$A$157,'Company Profile'!$B$9,_REF_Model_Content!$B$1:$B$157,"Business Systems"))+_xlfn.IFNA(VLOOKUP('Company Profile'!$B$35,_CONFIG_Model_Settings!$A$11:$B$13,2,0),0))),"")</f>
        <v/>
      </c>
      <c r="AO325">
        <f>IF($AL325="","",MAX(0,ROUND($AN325-$AL325,2)))</f>
        <v/>
      </c>
      <c r="AP325">
        <f>IFERROR(SUMIFS(_REF_Model_Content!$E$1:$E$157,_REF_Model_Content!$A$1:$A$157,'Company Profile'!$B$9,_REF_Model_Content!$B$1:$B$157,"Business Systems"),1)</f>
        <v/>
      </c>
      <c r="AQ325">
        <f>IF($AO325="","",ROUND($AO325*$AP325*($G325/5),2))</f>
        <v/>
      </c>
      <c r="AR325">
        <f>IF($AO325="","",IF($AO325&gt;=2,"Critical industry gap",IF($AO325&gt;=1,"High industry gap",IF($AO325&gt;=0.5,"Moderate industry gap","Within target"))))</f>
        <v/>
      </c>
      <c r="AS325">
        <f>IF(OR($H325="",$H325="N/A"),0,VALUE($H325)*(($AJ325+$AK325)/2)*$AV325)</f>
        <v/>
      </c>
      <c r="AT325">
        <f>IF(OR($H325="",$H325="N/A"),0,($AJ325+$AK325)/2)</f>
        <v/>
      </c>
      <c r="AU325">
        <f>'Assessment Questions'!AX325</f>
        <v/>
      </c>
      <c r="AV325">
        <f>IF(OR($H325="",$H325="N/A"),"",IF(OR($AU325="",$AU325="Everywhere",$AU325="Not applicable"),1,IF($AU325="Pilot / one team",0.4,IF($AU325="One unit or site",0.7,0.9))))</f>
        <v/>
      </c>
      <c r="AW325" t="inlineStr">
        <is>
          <t>Business Systems</t>
        </is>
      </c>
      <c r="AX325" t="inlineStr">
        <is>
          <t>Business Systems</t>
        </is>
      </c>
      <c r="AY325" t="n">
        <v>5</v>
      </c>
      <c r="AZ325" t="n">
        <v>325</v>
      </c>
    </row>
    <row r="326">
      <c r="A326" t="inlineStr">
        <is>
          <t>BUSI-002</t>
        </is>
      </c>
      <c r="B326" t="inlineStr">
        <is>
          <t>ERP</t>
        </is>
      </c>
      <c r="C326" t="inlineStr">
        <is>
          <t>How mature is the organization in managing ERP master data governance for customers, suppliers, items, BOMs, chart of accounts, cost centers and pricing, including ownership, evidence, metrics, fallback procedures and crisis stress testing?</t>
        </is>
      </c>
      <c r="D326" t="inlineStr">
        <is>
          <t>This topic affects exposure to IT outage; Decision failure; Process disruption. It helps identify how disruption may impact operations, people, revenue, systems, legal exposure or recovery time.</t>
        </is>
      </c>
      <c r="E326" t="inlineStr">
        <is>
          <t>COBIT; ITIL 4; ISO/IEC 27001; ISO/IEC 20000-1; ERP/CRM/MES/HRMS implementation practices</t>
        </is>
      </c>
      <c r="F326" t="inlineStr">
        <is>
          <t>Policy/SOP; owner/RACI; system report; dashboard; contracts; test records; incident history; interview evidence related to ERP master data governance for customers, suppliers, items, BOMs, chart of accounts, cost centers and pricing.</t>
        </is>
      </c>
      <c r="G326">
        <f>'Assessment Questions'!J326</f>
        <v/>
      </c>
      <c r="H326">
        <f>IF($Z326="","",IF($Z326="N/A","N/A",VALUE(LEFT($Z326,1))))</f>
        <v/>
      </c>
      <c r="I326">
        <f>IF($H326="","",IF($H326="N/A","",VALUE($H326)/5*$G326))</f>
        <v/>
      </c>
      <c r="J326">
        <f>IF(OR($H326="",$H326="N/A"),"",$G326)</f>
        <v/>
      </c>
      <c r="K326">
        <f>IF(OR($H326="",$H326="N/A"),"",$J326-$I326)</f>
        <v/>
      </c>
      <c r="L326">
        <f>IF($H326="","",IF($H326="N/A","N/A",IF(VALUE($H326)&lt;=1,"Critical",IF(VALUE($H326)&lt;=2,"High",IF(VALUE($H326)&lt;=3,"Medium",IF(VALUE($H326)&lt;=4,"Low","Resilient"))))))</f>
        <v/>
      </c>
      <c r="M326" t="inlineStr">
        <is>
          <t>Does not exist; no owner, no documentation, no practice.</t>
        </is>
      </c>
      <c r="N326" t="inlineStr">
        <is>
          <t>Ad hoc; depends entirely on specific individuals.</t>
        </is>
      </c>
      <c r="O326" t="inlineStr">
        <is>
          <t>Partially documented or implemented; coverage inconsistent; never tested under stress.</t>
        </is>
      </c>
      <c r="P326" t="inlineStr">
        <is>
          <t>Documented, owned, executed consistently; basic evidence and metrics exist.</t>
        </is>
      </c>
      <c r="Q326" t="inlineStr">
        <is>
          <t>Measured and periodically tested/audited; integrated with adjacent processes.</t>
        </is>
      </c>
      <c r="R326" t="inlineStr">
        <is>
          <t>Optimized and automated where practical; stress-tested; benchmarked externally.</t>
        </is>
      </c>
      <c r="S326" t="inlineStr">
        <is>
          <t>IT outage; Decision failure; Process disruption</t>
        </is>
      </c>
      <c r="T326">
        <f>'Assessment Questions'!W326</f>
        <v/>
      </c>
      <c r="U326">
        <f>'Assessment Questions'!X326</f>
        <v/>
      </c>
      <c r="V326">
        <f>'Assessment Questions'!Y326</f>
        <v/>
      </c>
      <c r="W326" t="n">
        <v>5</v>
      </c>
      <c r="X326" t="n">
        <v>5</v>
      </c>
      <c r="Y326" t="n">
        <v>5</v>
      </c>
      <c r="Z326">
        <f>'Assessment Questions'!AC326</f>
        <v/>
      </c>
      <c r="AA326" t="inlineStr">
        <is>
          <t>CRM and commerce</t>
        </is>
      </c>
      <c r="AB326">
        <f>COUNTIF($B$325:$B$345,$AA326)</f>
        <v/>
      </c>
      <c r="AC326">
        <f>IFERROR(SUMPRODUCT(($B$325:$B$345=$AA326)*($H$325:$H$345&lt;&gt;"")*($H$325:$H$345&lt;&gt;"N/A")*IFERROR(VALUE($H$325:$H$345),0))/SUMPRODUCT(($B$325:$B$345=$AA326)*($H$325:$H$345&lt;&gt;"")*($H$325:$H$345&lt;&gt;"N/A")),0)</f>
        <v/>
      </c>
      <c r="AD326">
        <f>AC326/5</f>
        <v/>
      </c>
      <c r="AE326">
        <f>COUNTIFS($B$325:$B$345,$AA326,$L$325:$L$345,"Critical")+COUNTIFS($B$325:$B$345,$AA326,$L$325:$L$345,"High")</f>
        <v/>
      </c>
      <c r="AF326">
        <f>5-AC326</f>
        <v/>
      </c>
      <c r="AG326">
        <f>SUMPRODUCT(($B$325:$B$345=$AA326)*(ISNUMBER($H$325:$H$345)+($H$325:$H$345="N/A")))</f>
        <v/>
      </c>
      <c r="AH326">
        <f>'Assessment Questions'!AK326</f>
        <v/>
      </c>
      <c r="AI326">
        <f>'Assessment Questions'!AL326</f>
        <v/>
      </c>
      <c r="AJ326">
        <f>IF(OR($H326="",$H326="N/A"),"",IF($AH326="",VLOOKUP('Company Profile'!$B$40,_CONFIG_Model_Settings!$A$5:$B$8,2,FALSE),_xlfn.IFNA(VLOOKUP($AH326,_CONFIG_Model_Settings!$A$5:$B$8,2,FALSE),0.9)))</f>
        <v/>
      </c>
      <c r="AK326">
        <f>IF(OR($H326="",$H326="N/A"),"",IF($AI326="",VLOOKUP('Company Profile'!$B$41,_CONFIG_Model_Settings!$A$5:$B$8,2,FALSE),_xlfn.IFNA(VLOOKUP($AI326,_CONFIG_Model_Settings!$A$5:$B$8,2,FALSE),0.9)))</f>
        <v/>
      </c>
      <c r="AL326">
        <f>IF(OR($H326="",$H326="N/A"),"",ROUND(VALUE($H326)*$AJ326*$AK326*$AV326,2))</f>
        <v/>
      </c>
      <c r="AM326">
        <f>IF($AL326="","",ROUND($AL326/5*100,1))</f>
        <v/>
      </c>
      <c r="AN326">
        <f>IFERROR(MIN(5,MAX(0,(SUMIFS(_REF_Model_Content!$D$1:$D$157,_REF_Model_Content!$A$1:$A$157,'Company Profile'!$B$9,_REF_Model_Content!$B$1:$B$157,"Business Systems"))+_xlfn.IFNA(VLOOKUP('Company Profile'!$B$35,_CONFIG_Model_Settings!$A$11:$B$13,2,0),0))),"")</f>
        <v/>
      </c>
      <c r="AO326">
        <f>IF($AL326="","",MAX(0,ROUND($AN326-$AL326,2)))</f>
        <v/>
      </c>
      <c r="AP326">
        <f>IFERROR(SUMIFS(_REF_Model_Content!$E$1:$E$157,_REF_Model_Content!$A$1:$A$157,'Company Profile'!$B$9,_REF_Model_Content!$B$1:$B$157,"Business Systems"),1)</f>
        <v/>
      </c>
      <c r="AQ326">
        <f>IF($AO326="","",ROUND($AO326*$AP326*($G326/5),2))</f>
        <v/>
      </c>
      <c r="AR326">
        <f>IF($AO326="","",IF($AO326&gt;=2,"Critical industry gap",IF($AO326&gt;=1,"High industry gap",IF($AO326&gt;=0.5,"Moderate industry gap","Within target"))))</f>
        <v/>
      </c>
      <c r="AS326">
        <f>IF(OR($H326="",$H326="N/A"),0,VALUE($H326)*(($AJ326+$AK326)/2)*$AV326)</f>
        <v/>
      </c>
      <c r="AT326">
        <f>IF(OR($H326="",$H326="N/A"),0,($AJ326+$AK326)/2)</f>
        <v/>
      </c>
      <c r="AU326">
        <f>'Assessment Questions'!AX326</f>
        <v/>
      </c>
      <c r="AV326">
        <f>IF(OR($H326="",$H326="N/A"),"",IF(OR($AU326="",$AU326="Everywhere",$AU326="Not applicable"),1,IF($AU326="Pilot / one team",0.4,IF($AU326="One unit or site",0.7,0.9))))</f>
        <v/>
      </c>
      <c r="AW326" t="inlineStr">
        <is>
          <t>Business Systems</t>
        </is>
      </c>
      <c r="AX326" t="inlineStr">
        <is>
          <t>Business Systems</t>
        </is>
      </c>
      <c r="AY326" t="n">
        <v>6</v>
      </c>
      <c r="AZ326" t="n">
        <v>326</v>
      </c>
    </row>
    <row r="327">
      <c r="A327" t="inlineStr">
        <is>
          <t>BUSI-003</t>
        </is>
      </c>
      <c r="B327" t="inlineStr">
        <is>
          <t>ERP</t>
        </is>
      </c>
      <c r="C327" t="inlineStr">
        <is>
          <t>How mature is the organization in managing ERP access controls, approvals and segregation of duties, including ownership, evidence, metrics, fallback procedures and crisis stress testing?</t>
        </is>
      </c>
      <c r="D327" t="inlineStr">
        <is>
          <t>This topic affects exposure to IT outage; Decision failure; Process disruption. It helps identify how disruption may impact operations, people, revenue, systems, legal exposure or recovery time.</t>
        </is>
      </c>
      <c r="E327" t="inlineStr">
        <is>
          <t>COBIT; ITIL 4; ISO/IEC 27001; ISO/IEC 20000-1; ERP/CRM/MES/HRMS implementation practices</t>
        </is>
      </c>
      <c r="F327" t="inlineStr">
        <is>
          <t>Policy/SOP; owner/RACI; system report; dashboard; contracts; test records; incident history; interview evidence related to ERP access controls, approvals and segregation of duties.</t>
        </is>
      </c>
      <c r="G327">
        <f>'Assessment Questions'!J327</f>
        <v/>
      </c>
      <c r="H327">
        <f>IF($Z327="","",IF($Z327="N/A","N/A",VALUE(LEFT($Z327,1))))</f>
        <v/>
      </c>
      <c r="I327">
        <f>IF($H327="","",IF($H327="N/A","",VALUE($H327)/5*$G327))</f>
        <v/>
      </c>
      <c r="J327">
        <f>IF(OR($H327="",$H327="N/A"),"",$G327)</f>
        <v/>
      </c>
      <c r="K327">
        <f>IF(OR($H327="",$H327="N/A"),"",$J327-$I327)</f>
        <v/>
      </c>
      <c r="L327">
        <f>IF($H327="","",IF($H327="N/A","N/A",IF(VALUE($H327)&lt;=1,"Critical",IF(VALUE($H327)&lt;=2,"High",IF(VALUE($H327)&lt;=3,"Medium",IF(VALUE($H327)&lt;=4,"Low","Resilient"))))))</f>
        <v/>
      </c>
      <c r="M327" t="inlineStr">
        <is>
          <t>Does not exist; no owner, no documentation, no practice.</t>
        </is>
      </c>
      <c r="N327" t="inlineStr">
        <is>
          <t>Ad hoc; depends entirely on specific individuals.</t>
        </is>
      </c>
      <c r="O327" t="inlineStr">
        <is>
          <t>Partially documented or implemented; coverage inconsistent; never tested under stress.</t>
        </is>
      </c>
      <c r="P327" t="inlineStr">
        <is>
          <t>Documented, owned, executed consistently; basic evidence and metrics exist.</t>
        </is>
      </c>
      <c r="Q327" t="inlineStr">
        <is>
          <t>Measured and periodically tested/audited; integrated with adjacent processes.</t>
        </is>
      </c>
      <c r="R327" t="inlineStr">
        <is>
          <t>Optimized and automated where practical; stress-tested; benchmarked externally.</t>
        </is>
      </c>
      <c r="S327" t="inlineStr">
        <is>
          <t>IT outage; Decision failure; Process disruption</t>
        </is>
      </c>
      <c r="T327">
        <f>'Assessment Questions'!W327</f>
        <v/>
      </c>
      <c r="U327">
        <f>'Assessment Questions'!X327</f>
        <v/>
      </c>
      <c r="V327">
        <f>'Assessment Questions'!Y327</f>
        <v/>
      </c>
      <c r="W327" t="n">
        <v>5</v>
      </c>
      <c r="X327" t="n">
        <v>5</v>
      </c>
      <c r="Y327" t="n">
        <v>5</v>
      </c>
      <c r="Z327">
        <f>'Assessment Questions'!AC327</f>
        <v/>
      </c>
      <c r="AA327" t="inlineStr">
        <is>
          <t>MES WMS TMS</t>
        </is>
      </c>
      <c r="AB327">
        <f>COUNTIF($B$325:$B$345,$AA327)</f>
        <v/>
      </c>
      <c r="AC327">
        <f>IFERROR(SUMPRODUCT(($B$325:$B$345=$AA327)*($H$325:$H$345&lt;&gt;"")*($H$325:$H$345&lt;&gt;"N/A")*IFERROR(VALUE($H$325:$H$345),0))/SUMPRODUCT(($B$325:$B$345=$AA327)*($H$325:$H$345&lt;&gt;"")*($H$325:$H$345&lt;&gt;"N/A")),0)</f>
        <v/>
      </c>
      <c r="AD327">
        <f>AC327/5</f>
        <v/>
      </c>
      <c r="AE327">
        <f>COUNTIFS($B$325:$B$345,$AA327,$L$325:$L$345,"Critical")+COUNTIFS($B$325:$B$345,$AA327,$L$325:$L$345,"High")</f>
        <v/>
      </c>
      <c r="AF327">
        <f>5-AC327</f>
        <v/>
      </c>
      <c r="AG327">
        <f>SUMPRODUCT(($B$325:$B$345=$AA327)*(ISNUMBER($H$325:$H$345)+($H$325:$H$345="N/A")))</f>
        <v/>
      </c>
      <c r="AH327">
        <f>'Assessment Questions'!AK327</f>
        <v/>
      </c>
      <c r="AI327">
        <f>'Assessment Questions'!AL327</f>
        <v/>
      </c>
      <c r="AJ327">
        <f>IF(OR($H327="",$H327="N/A"),"",IF($AH327="",VLOOKUP('Company Profile'!$B$40,_CONFIG_Model_Settings!$A$5:$B$8,2,FALSE),_xlfn.IFNA(VLOOKUP($AH327,_CONFIG_Model_Settings!$A$5:$B$8,2,FALSE),0.9)))</f>
        <v/>
      </c>
      <c r="AK327">
        <f>IF(OR($H327="",$H327="N/A"),"",IF($AI327="",VLOOKUP('Company Profile'!$B$41,_CONFIG_Model_Settings!$A$5:$B$8,2,FALSE),_xlfn.IFNA(VLOOKUP($AI327,_CONFIG_Model_Settings!$A$5:$B$8,2,FALSE),0.9)))</f>
        <v/>
      </c>
      <c r="AL327">
        <f>IF(OR($H327="",$H327="N/A"),"",ROUND(VALUE($H327)*$AJ327*$AK327*$AV327,2))</f>
        <v/>
      </c>
      <c r="AM327">
        <f>IF($AL327="","",ROUND($AL327/5*100,1))</f>
        <v/>
      </c>
      <c r="AN327">
        <f>IFERROR(MIN(5,MAX(0,(SUMIFS(_REF_Model_Content!$D$1:$D$157,_REF_Model_Content!$A$1:$A$157,'Company Profile'!$B$9,_REF_Model_Content!$B$1:$B$157,"Business Systems"))+_xlfn.IFNA(VLOOKUP('Company Profile'!$B$35,_CONFIG_Model_Settings!$A$11:$B$13,2,0),0))),"")</f>
        <v/>
      </c>
      <c r="AO327">
        <f>IF($AL327="","",MAX(0,ROUND($AN327-$AL327,2)))</f>
        <v/>
      </c>
      <c r="AP327">
        <f>IFERROR(SUMIFS(_REF_Model_Content!$E$1:$E$157,_REF_Model_Content!$A$1:$A$157,'Company Profile'!$B$9,_REF_Model_Content!$B$1:$B$157,"Business Systems"),1)</f>
        <v/>
      </c>
      <c r="AQ327">
        <f>IF($AO327="","",ROUND($AO327*$AP327*($G327/5),2))</f>
        <v/>
      </c>
      <c r="AR327">
        <f>IF($AO327="","",IF($AO327&gt;=2,"Critical industry gap",IF($AO327&gt;=1,"High industry gap",IF($AO327&gt;=0.5,"Moderate industry gap","Within target"))))</f>
        <v/>
      </c>
      <c r="AS327">
        <f>IF(OR($H327="",$H327="N/A"),0,VALUE($H327)*(($AJ327+$AK327)/2)*$AV327)</f>
        <v/>
      </c>
      <c r="AT327">
        <f>IF(OR($H327="",$H327="N/A"),0,($AJ327+$AK327)/2)</f>
        <v/>
      </c>
      <c r="AU327">
        <f>'Assessment Questions'!AX327</f>
        <v/>
      </c>
      <c r="AV327">
        <f>IF(OR($H327="",$H327="N/A"),"",IF(OR($AU327="",$AU327="Everywhere",$AU327="Not applicable"),1,IF($AU327="Pilot / one team",0.4,IF($AU327="One unit or site",0.7,0.9))))</f>
        <v/>
      </c>
      <c r="AW327" t="inlineStr">
        <is>
          <t>Business Systems</t>
        </is>
      </c>
      <c r="AX327" t="inlineStr">
        <is>
          <t>Business Systems</t>
        </is>
      </c>
      <c r="AY327" t="n">
        <v>7</v>
      </c>
      <c r="AZ327" t="n">
        <v>327</v>
      </c>
    </row>
    <row r="328">
      <c r="A328" t="inlineStr">
        <is>
          <t>BUSI-004</t>
        </is>
      </c>
      <c r="B328" t="inlineStr">
        <is>
          <t>ERP</t>
        </is>
      </c>
      <c r="C328" t="inlineStr">
        <is>
          <t>How mature is the organization in managing ERP continuity with RTO, RPO, backup, vendor support and manual fallback, including ownership, evidence, metrics, fallback procedures and crisis stress testing?</t>
        </is>
      </c>
      <c r="D328" t="inlineStr">
        <is>
          <t>This topic affects exposure to IT outage; Decision failure; Process disruption. It helps identify how disruption may impact operations, people, revenue, systems, legal exposure or recovery time.</t>
        </is>
      </c>
      <c r="E328" t="inlineStr">
        <is>
          <t>COBIT; ITIL 4; ISO/IEC 27001; ISO/IEC 20000-1; ERP/CRM/MES/HRMS implementation practices</t>
        </is>
      </c>
      <c r="F328" t="inlineStr">
        <is>
          <t>Policy/SOP; owner/RACI; system report; dashboard; contracts; test records; incident history; interview evidence related to ERP continuity with RTO, RPO, backup, vendor support and manual fallback.</t>
        </is>
      </c>
      <c r="G328">
        <f>'Assessment Questions'!J328</f>
        <v/>
      </c>
      <c r="H328">
        <f>IF($Z328="","",IF($Z328="N/A","N/A",VALUE(LEFT($Z328,1))))</f>
        <v/>
      </c>
      <c r="I328">
        <f>IF($H328="","",IF($H328="N/A","",VALUE($H328)/5*$G328))</f>
        <v/>
      </c>
      <c r="J328">
        <f>IF(OR($H328="",$H328="N/A"),"",$G328)</f>
        <v/>
      </c>
      <c r="K328">
        <f>IF(OR($H328="",$H328="N/A"),"",$J328-$I328)</f>
        <v/>
      </c>
      <c r="L328">
        <f>IF($H328="","",IF($H328="N/A","N/A",IF(VALUE($H328)&lt;=1,"Critical",IF(VALUE($H328)&lt;=2,"High",IF(VALUE($H328)&lt;=3,"Medium",IF(VALUE($H328)&lt;=4,"Low","Resilient"))))))</f>
        <v/>
      </c>
      <c r="M328" t="inlineStr">
        <is>
          <t>Does not exist; no owner, no documentation, no practice.</t>
        </is>
      </c>
      <c r="N328" t="inlineStr">
        <is>
          <t>Ad hoc; depends entirely on specific individuals.</t>
        </is>
      </c>
      <c r="O328" t="inlineStr">
        <is>
          <t>Partially documented or implemented; coverage inconsistent; never tested under stress.</t>
        </is>
      </c>
      <c r="P328" t="inlineStr">
        <is>
          <t>Documented, owned, executed consistently; basic evidence and metrics exist.</t>
        </is>
      </c>
      <c r="Q328" t="inlineStr">
        <is>
          <t>Measured and periodically tested/audited; integrated with adjacent processes.</t>
        </is>
      </c>
      <c r="R328" t="inlineStr">
        <is>
          <t>Optimized and automated where practical; stress-tested; benchmarked externally.</t>
        </is>
      </c>
      <c r="S328" t="inlineStr">
        <is>
          <t>IT outage; Decision failure; Process disruption</t>
        </is>
      </c>
      <c r="T328">
        <f>'Assessment Questions'!W328</f>
        <v/>
      </c>
      <c r="U328">
        <f>'Assessment Questions'!X328</f>
        <v/>
      </c>
      <c r="V328">
        <f>'Assessment Questions'!Y328</f>
        <v/>
      </c>
      <c r="W328" t="n">
        <v>5</v>
      </c>
      <c r="X328" t="n">
        <v>5</v>
      </c>
      <c r="Y328" t="n">
        <v>5</v>
      </c>
      <c r="Z328">
        <f>'Assessment Questions'!AC328</f>
        <v/>
      </c>
      <c r="AA328" t="inlineStr">
        <is>
          <t>HRMS and finance systems</t>
        </is>
      </c>
      <c r="AB328">
        <f>COUNTIF($B$325:$B$345,$AA328)</f>
        <v/>
      </c>
      <c r="AC328">
        <f>IFERROR(SUMPRODUCT(($B$325:$B$345=$AA328)*($H$325:$H$345&lt;&gt;"")*($H$325:$H$345&lt;&gt;"N/A")*IFERROR(VALUE($H$325:$H$345),0))/SUMPRODUCT(($B$325:$B$345=$AA328)*($H$325:$H$345&lt;&gt;"")*($H$325:$H$345&lt;&gt;"N/A")),0)</f>
        <v/>
      </c>
      <c r="AD328">
        <f>AC328/5</f>
        <v/>
      </c>
      <c r="AE328">
        <f>COUNTIFS($B$325:$B$345,$AA328,$L$325:$L$345,"Critical")+COUNTIFS($B$325:$B$345,$AA328,$L$325:$L$345,"High")</f>
        <v/>
      </c>
      <c r="AF328">
        <f>5-AC328</f>
        <v/>
      </c>
      <c r="AG328">
        <f>SUMPRODUCT(($B$325:$B$345=$AA328)*(ISNUMBER($H$325:$H$345)+($H$325:$H$345="N/A")))</f>
        <v/>
      </c>
      <c r="AH328">
        <f>'Assessment Questions'!AK328</f>
        <v/>
      </c>
      <c r="AI328">
        <f>'Assessment Questions'!AL328</f>
        <v/>
      </c>
      <c r="AJ328">
        <f>IF(OR($H328="",$H328="N/A"),"",IF($AH328="",VLOOKUP('Company Profile'!$B$40,_CONFIG_Model_Settings!$A$5:$B$8,2,FALSE),_xlfn.IFNA(VLOOKUP($AH328,_CONFIG_Model_Settings!$A$5:$B$8,2,FALSE),0.9)))</f>
        <v/>
      </c>
      <c r="AK328">
        <f>IF(OR($H328="",$H328="N/A"),"",IF($AI328="",VLOOKUP('Company Profile'!$B$41,_CONFIG_Model_Settings!$A$5:$B$8,2,FALSE),_xlfn.IFNA(VLOOKUP($AI328,_CONFIG_Model_Settings!$A$5:$B$8,2,FALSE),0.9)))</f>
        <v/>
      </c>
      <c r="AL328">
        <f>IF(OR($H328="",$H328="N/A"),"",ROUND(VALUE($H328)*$AJ328*$AK328*$AV328,2))</f>
        <v/>
      </c>
      <c r="AM328">
        <f>IF($AL328="","",ROUND($AL328/5*100,1))</f>
        <v/>
      </c>
      <c r="AN328">
        <f>IFERROR(MIN(5,MAX(0,(SUMIFS(_REF_Model_Content!$D$1:$D$157,_REF_Model_Content!$A$1:$A$157,'Company Profile'!$B$9,_REF_Model_Content!$B$1:$B$157,"Business Systems"))+_xlfn.IFNA(VLOOKUP('Company Profile'!$B$35,_CONFIG_Model_Settings!$A$11:$B$13,2,0),0))),"")</f>
        <v/>
      </c>
      <c r="AO328">
        <f>IF($AL328="","",MAX(0,ROUND($AN328-$AL328,2)))</f>
        <v/>
      </c>
      <c r="AP328">
        <f>IFERROR(SUMIFS(_REF_Model_Content!$E$1:$E$157,_REF_Model_Content!$A$1:$A$157,'Company Profile'!$B$9,_REF_Model_Content!$B$1:$B$157,"Business Systems"),1)</f>
        <v/>
      </c>
      <c r="AQ328">
        <f>IF($AO328="","",ROUND($AO328*$AP328*($G328/5),2))</f>
        <v/>
      </c>
      <c r="AR328">
        <f>IF($AO328="","",IF($AO328&gt;=2,"Critical industry gap",IF($AO328&gt;=1,"High industry gap",IF($AO328&gt;=0.5,"Moderate industry gap","Within target"))))</f>
        <v/>
      </c>
      <c r="AS328">
        <f>IF(OR($H328="",$H328="N/A"),0,VALUE($H328)*(($AJ328+$AK328)/2)*$AV328)</f>
        <v/>
      </c>
      <c r="AT328">
        <f>IF(OR($H328="",$H328="N/A"),0,($AJ328+$AK328)/2)</f>
        <v/>
      </c>
      <c r="AU328">
        <f>'Assessment Questions'!AX328</f>
        <v/>
      </c>
      <c r="AV328">
        <f>IF(OR($H328="",$H328="N/A"),"",IF(OR($AU328="",$AU328="Everywhere",$AU328="Not applicable"),1,IF($AU328="Pilot / one team",0.4,IF($AU328="One unit or site",0.7,0.9))))</f>
        <v/>
      </c>
      <c r="AW328" t="inlineStr">
        <is>
          <t>Business Systems</t>
        </is>
      </c>
      <c r="AX328" t="inlineStr">
        <is>
          <t>Business Systems</t>
        </is>
      </c>
      <c r="AY328" t="n">
        <v>8</v>
      </c>
      <c r="AZ328" t="n">
        <v>328</v>
      </c>
    </row>
    <row r="329">
      <c r="A329" t="inlineStr">
        <is>
          <t>BUSI-005</t>
        </is>
      </c>
      <c r="B329" t="inlineStr">
        <is>
          <t>ERP</t>
        </is>
      </c>
      <c r="C329" t="inlineStr">
        <is>
          <t>How mature is the organization in managing ERP workflow for procure-to-pay, order-to-cash, record-to-report and plan-to-produce where relevant, including ownership, evidence, metrics, fallback procedures and crisis stress testing?</t>
        </is>
      </c>
      <c r="D329" t="inlineStr">
        <is>
          <t>This topic affects exposure to IT outage; Decision failure; Process disruption. It helps identify how disruption may impact operations, people, revenue, systems, legal exposure or recovery time.</t>
        </is>
      </c>
      <c r="E329" t="inlineStr">
        <is>
          <t>COBIT; ITIL 4; ISO/IEC 27001; ISO/IEC 20000-1; ERP/CRM/MES/HRMS implementation practices</t>
        </is>
      </c>
      <c r="F329" t="inlineStr">
        <is>
          <t>Policy/SOP; owner/RACI; system report; dashboard; contracts; test records; incident history; interview evidence related to ERP workflow for procure-to-pay, order-to-cash, record-to-report and plan-to-produce where relevant.</t>
        </is>
      </c>
      <c r="G329">
        <f>'Assessment Questions'!J329</f>
        <v/>
      </c>
      <c r="H329">
        <f>IF($Z329="","",IF($Z329="N/A","N/A",VALUE(LEFT($Z329,1))))</f>
        <v/>
      </c>
      <c r="I329">
        <f>IF($H329="","",IF($H329="N/A","",VALUE($H329)/5*$G329))</f>
        <v/>
      </c>
      <c r="J329">
        <f>IF(OR($H329="",$H329="N/A"),"",$G329)</f>
        <v/>
      </c>
      <c r="K329">
        <f>IF(OR($H329="",$H329="N/A"),"",$J329-$I329)</f>
        <v/>
      </c>
      <c r="L329">
        <f>IF($H329="","",IF($H329="N/A","N/A",IF(VALUE($H329)&lt;=1,"Critical",IF(VALUE($H329)&lt;=2,"High",IF(VALUE($H329)&lt;=3,"Medium",IF(VALUE($H329)&lt;=4,"Low","Resilient"))))))</f>
        <v/>
      </c>
      <c r="M329" t="inlineStr">
        <is>
          <t>No plan or procedure exists.</t>
        </is>
      </c>
      <c r="N329" t="inlineStr">
        <is>
          <t>Knowledge lives with individuals; nothing usable is written down.</t>
        </is>
      </c>
      <c r="O329" t="inlineStr">
        <is>
          <t>Drafted but outdated, not approved, or unknown to the people who must use it.</t>
        </is>
      </c>
      <c r="P329" t="inlineStr">
        <is>
          <t>Approved and current; owners assigned; affected staff know it exists and where to find it.</t>
        </is>
      </c>
      <c r="Q329" t="inlineStr">
        <is>
          <t>Tested against realistic scenarios; updated after each test or real incident.</t>
        </is>
      </c>
      <c r="R329" t="inlineStr">
        <is>
          <t>Exercised regularly including external parties; readiness measured; continuously improved.</t>
        </is>
      </c>
      <c r="S329" t="inlineStr">
        <is>
          <t>IT outage; Decision failure; Process disruption</t>
        </is>
      </c>
      <c r="T329">
        <f>'Assessment Questions'!W329</f>
        <v/>
      </c>
      <c r="U329">
        <f>'Assessment Questions'!X329</f>
        <v/>
      </c>
      <c r="V329">
        <f>'Assessment Questions'!Y329</f>
        <v/>
      </c>
      <c r="W329" t="n">
        <v>5</v>
      </c>
      <c r="X329" t="n">
        <v>5</v>
      </c>
      <c r="Y329" t="n">
        <v>5</v>
      </c>
      <c r="Z329">
        <f>'Assessment Questions'!AC329</f>
        <v/>
      </c>
      <c r="AA329" t="inlineStr">
        <is>
          <t>Governance and lifecycle</t>
        </is>
      </c>
      <c r="AB329">
        <f>COUNTIF($B$325:$B$345,$AA329)</f>
        <v/>
      </c>
      <c r="AC329">
        <f>IFERROR(SUMPRODUCT(($B$325:$B$345=$AA329)*($H$325:$H$345&lt;&gt;"")*($H$325:$H$345&lt;&gt;"N/A")*IFERROR(VALUE($H$325:$H$345),0))/SUMPRODUCT(($B$325:$B$345=$AA329)*($H$325:$H$345&lt;&gt;"")*($H$325:$H$345&lt;&gt;"N/A")),0)</f>
        <v/>
      </c>
      <c r="AD329">
        <f>AC329/5</f>
        <v/>
      </c>
      <c r="AE329">
        <f>COUNTIFS($B$325:$B$345,$AA329,$L$325:$L$345,"Critical")+COUNTIFS($B$325:$B$345,$AA329,$L$325:$L$345,"High")</f>
        <v/>
      </c>
      <c r="AF329">
        <f>5-AC329</f>
        <v/>
      </c>
      <c r="AG329">
        <f>SUMPRODUCT(($B$325:$B$345=$AA329)*(ISNUMBER($H$325:$H$345)+($H$325:$H$345="N/A")))</f>
        <v/>
      </c>
      <c r="AH329">
        <f>'Assessment Questions'!AK329</f>
        <v/>
      </c>
      <c r="AI329">
        <f>'Assessment Questions'!AL329</f>
        <v/>
      </c>
      <c r="AJ329">
        <f>IF(OR($H329="",$H329="N/A"),"",IF($AH329="",VLOOKUP('Company Profile'!$B$40,_CONFIG_Model_Settings!$A$5:$B$8,2,FALSE),_xlfn.IFNA(VLOOKUP($AH329,_CONFIG_Model_Settings!$A$5:$B$8,2,FALSE),0.9)))</f>
        <v/>
      </c>
      <c r="AK329">
        <f>IF(OR($H329="",$H329="N/A"),"",IF($AI329="",VLOOKUP('Company Profile'!$B$41,_CONFIG_Model_Settings!$A$5:$B$8,2,FALSE),_xlfn.IFNA(VLOOKUP($AI329,_CONFIG_Model_Settings!$A$5:$B$8,2,FALSE),0.9)))</f>
        <v/>
      </c>
      <c r="AL329">
        <f>IF(OR($H329="",$H329="N/A"),"",ROUND(VALUE($H329)*$AJ329*$AK329*$AV329,2))</f>
        <v/>
      </c>
      <c r="AM329">
        <f>IF($AL329="","",ROUND($AL329/5*100,1))</f>
        <v/>
      </c>
      <c r="AN329">
        <f>IFERROR(MIN(5,MAX(0,(SUMIFS(_REF_Model_Content!$D$1:$D$157,_REF_Model_Content!$A$1:$A$157,'Company Profile'!$B$9,_REF_Model_Content!$B$1:$B$157,"Business Systems"))+_xlfn.IFNA(VLOOKUP('Company Profile'!$B$35,_CONFIG_Model_Settings!$A$11:$B$13,2,0),0))),"")</f>
        <v/>
      </c>
      <c r="AO329">
        <f>IF($AL329="","",MAX(0,ROUND($AN329-$AL329,2)))</f>
        <v/>
      </c>
      <c r="AP329">
        <f>IFERROR(SUMIFS(_REF_Model_Content!$E$1:$E$157,_REF_Model_Content!$A$1:$A$157,'Company Profile'!$B$9,_REF_Model_Content!$B$1:$B$157,"Business Systems"),1)</f>
        <v/>
      </c>
      <c r="AQ329">
        <f>IF($AO329="","",ROUND($AO329*$AP329*($G329/5),2))</f>
        <v/>
      </c>
      <c r="AR329">
        <f>IF($AO329="","",IF($AO329&gt;=2,"Critical industry gap",IF($AO329&gt;=1,"High industry gap",IF($AO329&gt;=0.5,"Moderate industry gap","Within target"))))</f>
        <v/>
      </c>
      <c r="AS329">
        <f>IF(OR($H329="",$H329="N/A"),0,VALUE($H329)*(($AJ329+$AK329)/2)*$AV329)</f>
        <v/>
      </c>
      <c r="AT329">
        <f>IF(OR($H329="",$H329="N/A"),0,($AJ329+$AK329)/2)</f>
        <v/>
      </c>
      <c r="AU329">
        <f>'Assessment Questions'!AX329</f>
        <v/>
      </c>
      <c r="AV329">
        <f>IF(OR($H329="",$H329="N/A"),"",IF(OR($AU329="",$AU329="Everywhere",$AU329="Not applicable"),1,IF($AU329="Pilot / one team",0.4,IF($AU329="One unit or site",0.7,0.9))))</f>
        <v/>
      </c>
      <c r="AW329" t="inlineStr">
        <is>
          <t>Business Systems</t>
        </is>
      </c>
      <c r="AX329" t="inlineStr">
        <is>
          <t>Business Systems</t>
        </is>
      </c>
      <c r="AY329" t="n">
        <v>9</v>
      </c>
      <c r="AZ329" t="n">
        <v>329</v>
      </c>
    </row>
    <row r="330">
      <c r="A330" t="inlineStr">
        <is>
          <t>BUSI-006</t>
        </is>
      </c>
      <c r="B330" t="inlineStr">
        <is>
          <t>CRM and commerce</t>
        </is>
      </c>
      <c r="C330" t="inlineStr">
        <is>
          <t>How mature is the organization in managing CRM process coverage for lead-to-cash, customer ownership, pipeline, forecast and account management, including ownership, evidence, metrics, fallback procedures and crisis stress testing?</t>
        </is>
      </c>
      <c r="D330" t="inlineStr">
        <is>
          <t>This topic affects exposure to IT outage; Decision failure; Process disruption. It helps identify how disruption may impact operations, people, revenue, systems, legal exposure or recovery time.</t>
        </is>
      </c>
      <c r="E330" t="inlineStr">
        <is>
          <t>COBIT; ITIL 4; ISO/IEC 27001; ISO/IEC 20000-1; ERP/CRM/MES/HRMS implementation practices</t>
        </is>
      </c>
      <c r="F330" t="inlineStr">
        <is>
          <t>Policy/SOP; owner/RACI; system report; dashboard; contracts; test records; incident history; interview evidence related to CRM process coverage for lead-to-cash, customer ownership, pipeline, forecast and account management.</t>
        </is>
      </c>
      <c r="G330">
        <f>'Assessment Questions'!J330</f>
        <v/>
      </c>
      <c r="H330">
        <f>IF($Z330="","",IF($Z330="N/A","N/A",VALUE(LEFT($Z330,1))))</f>
        <v/>
      </c>
      <c r="I330">
        <f>IF($H330="","",IF($H330="N/A","",VALUE($H330)/5*$G330))</f>
        <v/>
      </c>
      <c r="J330">
        <f>IF(OR($H330="",$H330="N/A"),"",$G330)</f>
        <v/>
      </c>
      <c r="K330">
        <f>IF(OR($H330="",$H330="N/A"),"",$J330-$I330)</f>
        <v/>
      </c>
      <c r="L330">
        <f>IF($H330="","",IF($H330="N/A","N/A",IF(VALUE($H330)&lt;=1,"Critical",IF(VALUE($H330)&lt;=2,"High",IF(VALUE($H330)&lt;=3,"Medium",IF(VALUE($H330)&lt;=4,"Low","Resilient"))))))</f>
        <v/>
      </c>
      <c r="M330" t="inlineStr">
        <is>
          <t>Does not exist; no owner, no documentation, no practice.</t>
        </is>
      </c>
      <c r="N330" t="inlineStr">
        <is>
          <t>Ad hoc; depends entirely on specific individuals.</t>
        </is>
      </c>
      <c r="O330" t="inlineStr">
        <is>
          <t>Partially documented or implemented; coverage inconsistent; never tested under stress.</t>
        </is>
      </c>
      <c r="P330" t="inlineStr">
        <is>
          <t>Documented, owned, executed consistently; basic evidence and metrics exist.</t>
        </is>
      </c>
      <c r="Q330" t="inlineStr">
        <is>
          <t>Measured and periodically tested/audited; integrated with adjacent processes.</t>
        </is>
      </c>
      <c r="R330" t="inlineStr">
        <is>
          <t>Optimized and automated where practical; stress-tested; benchmarked externally.</t>
        </is>
      </c>
      <c r="S330" t="inlineStr">
        <is>
          <t>IT outage; Decision failure; Process disruption</t>
        </is>
      </c>
      <c r="T330">
        <f>'Assessment Questions'!W330</f>
        <v/>
      </c>
      <c r="U330">
        <f>'Assessment Questions'!X330</f>
        <v/>
      </c>
      <c r="V330">
        <f>'Assessment Questions'!Y330</f>
        <v/>
      </c>
      <c r="W330" t="n">
        <v>5</v>
      </c>
      <c r="X330" t="n">
        <v>5</v>
      </c>
      <c r="Y330" t="n">
        <v>5</v>
      </c>
      <c r="Z330">
        <f>'Assessment Questions'!AC330</f>
        <v/>
      </c>
      <c r="AB330">
        <f>COUNTIF($B$325:$B$345,$AA330)</f>
        <v/>
      </c>
      <c r="AC330">
        <f>IFERROR(SUMPRODUCT(($B$325:$B$345=$AA330)*($H$325:$H$345&lt;&gt;"")*($H$325:$H$345&lt;&gt;"N/A")*IFERROR(VALUE($H$325:$H$345),0))/SUMPRODUCT(($B$325:$B$345=$AA330)*($H$325:$H$345&lt;&gt;"")*($H$325:$H$345&lt;&gt;"N/A")),0)</f>
        <v/>
      </c>
      <c r="AD330">
        <f>AC330/5</f>
        <v/>
      </c>
      <c r="AE330">
        <f>COUNTIFS($B$325:$B$345,$AA330,$L$325:$L$345,"Critical")+COUNTIFS($B$325:$B$345,$AA330,$L$325:$L$345,"High")</f>
        <v/>
      </c>
      <c r="AF330">
        <f>5-AC330</f>
        <v/>
      </c>
      <c r="AG330">
        <f>SUMPRODUCT(($B$325:$B$345=$AA330)*(ISNUMBER($H$325:$H$345)+($H$325:$H$345="N/A")))</f>
        <v/>
      </c>
      <c r="AH330">
        <f>'Assessment Questions'!AK330</f>
        <v/>
      </c>
      <c r="AI330">
        <f>'Assessment Questions'!AL330</f>
        <v/>
      </c>
      <c r="AJ330">
        <f>IF(OR($H330="",$H330="N/A"),"",IF($AH330="",VLOOKUP('Company Profile'!$B$40,_CONFIG_Model_Settings!$A$5:$B$8,2,FALSE),_xlfn.IFNA(VLOOKUP($AH330,_CONFIG_Model_Settings!$A$5:$B$8,2,FALSE),0.9)))</f>
        <v/>
      </c>
      <c r="AK330">
        <f>IF(OR($H330="",$H330="N/A"),"",IF($AI330="",VLOOKUP('Company Profile'!$B$41,_CONFIG_Model_Settings!$A$5:$B$8,2,FALSE),_xlfn.IFNA(VLOOKUP($AI330,_CONFIG_Model_Settings!$A$5:$B$8,2,FALSE),0.9)))</f>
        <v/>
      </c>
      <c r="AL330">
        <f>IF(OR($H330="",$H330="N/A"),"",ROUND(VALUE($H330)*$AJ330*$AK330*$AV330,2))</f>
        <v/>
      </c>
      <c r="AM330">
        <f>IF($AL330="","",ROUND($AL330/5*100,1))</f>
        <v/>
      </c>
      <c r="AN330">
        <f>IFERROR(MIN(5,MAX(0,(SUMIFS(_REF_Model_Content!$D$1:$D$157,_REF_Model_Content!$A$1:$A$157,'Company Profile'!$B$9,_REF_Model_Content!$B$1:$B$157,"Business Systems"))+_xlfn.IFNA(VLOOKUP('Company Profile'!$B$35,_CONFIG_Model_Settings!$A$11:$B$13,2,0),0))),"")</f>
        <v/>
      </c>
      <c r="AO330">
        <f>IF($AL330="","",MAX(0,ROUND($AN330-$AL330,2)))</f>
        <v/>
      </c>
      <c r="AP330">
        <f>IFERROR(SUMIFS(_REF_Model_Content!$E$1:$E$157,_REF_Model_Content!$A$1:$A$157,'Company Profile'!$B$9,_REF_Model_Content!$B$1:$B$157,"Business Systems"),1)</f>
        <v/>
      </c>
      <c r="AQ330">
        <f>IF($AO330="","",ROUND($AO330*$AP330*($G330/5),2))</f>
        <v/>
      </c>
      <c r="AR330">
        <f>IF($AO330="","",IF($AO330&gt;=2,"Critical industry gap",IF($AO330&gt;=1,"High industry gap",IF($AO330&gt;=0.5,"Moderate industry gap","Within target"))))</f>
        <v/>
      </c>
      <c r="AS330">
        <f>IF(OR($H330="",$H330="N/A"),0,VALUE($H330)*(($AJ330+$AK330)/2)*$AV330)</f>
        <v/>
      </c>
      <c r="AT330">
        <f>IF(OR($H330="",$H330="N/A"),0,($AJ330+$AK330)/2)</f>
        <v/>
      </c>
      <c r="AU330">
        <f>'Assessment Questions'!AX330</f>
        <v/>
      </c>
      <c r="AV330">
        <f>IF(OR($H330="",$H330="N/A"),"",IF(OR($AU330="",$AU330="Everywhere",$AU330="Not applicable"),1,IF($AU330="Pilot / one team",0.4,IF($AU330="One unit or site",0.7,0.9))))</f>
        <v/>
      </c>
      <c r="AW330" t="inlineStr">
        <is>
          <t>Business Systems</t>
        </is>
      </c>
      <c r="AX330" t="inlineStr">
        <is>
          <t>Business Systems</t>
        </is>
      </c>
      <c r="AY330" t="n">
        <v>10</v>
      </c>
      <c r="AZ330" t="n">
        <v>330</v>
      </c>
    </row>
    <row r="331">
      <c r="A331" t="inlineStr">
        <is>
          <t>BUSI-007</t>
        </is>
      </c>
      <c r="B331" t="inlineStr">
        <is>
          <t>CRM and commerce</t>
        </is>
      </c>
      <c r="C331" t="inlineStr">
        <is>
          <t>How mature is the organization in managing CRM integration with ERP, billing, support, ecommerce and marketing automation, including ownership, evidence, metrics, fallback procedures and crisis stress testing?</t>
        </is>
      </c>
      <c r="D331" t="inlineStr">
        <is>
          <t>This topic affects exposure to IT outage; Decision failure; Process disruption. It helps identify how disruption may impact operations, people, revenue, systems, legal exposure or recovery time.</t>
        </is>
      </c>
      <c r="E331" t="inlineStr">
        <is>
          <t>COBIT; ITIL 4; ISO/IEC 27001; ISO/IEC 20000-1; ERP/CRM/MES/HRMS implementation practices</t>
        </is>
      </c>
      <c r="F331" t="inlineStr">
        <is>
          <t>Policy/SOP; owner/RACI; system report; dashboard; contracts; test records; incident history; interview evidence related to CRM integration with ERP, billing, support, ecommerce and marketing automation.</t>
        </is>
      </c>
      <c r="G331">
        <f>'Assessment Questions'!J331</f>
        <v/>
      </c>
      <c r="H331">
        <f>IF($Z331="","",IF($Z331="N/A","N/A",VALUE(LEFT($Z331,1))))</f>
        <v/>
      </c>
      <c r="I331">
        <f>IF($H331="","",IF($H331="N/A","",VALUE($H331)/5*$G331))</f>
        <v/>
      </c>
      <c r="J331">
        <f>IF(OR($H331="",$H331="N/A"),"",$G331)</f>
        <v/>
      </c>
      <c r="K331">
        <f>IF(OR($H331="",$H331="N/A"),"",$J331-$I331)</f>
        <v/>
      </c>
      <c r="L331">
        <f>IF($H331="","",IF($H331="N/A","N/A",IF(VALUE($H331)&lt;=1,"Critical",IF(VALUE($H331)&lt;=2,"High",IF(VALUE($H331)&lt;=3,"Medium",IF(VALUE($H331)&lt;=4,"Low","Resilient"))))))</f>
        <v/>
      </c>
      <c r="M331" t="inlineStr">
        <is>
          <t>Does not exist; no owner, no documentation, no practice.</t>
        </is>
      </c>
      <c r="N331" t="inlineStr">
        <is>
          <t>Ad hoc; depends entirely on specific individuals.</t>
        </is>
      </c>
      <c r="O331" t="inlineStr">
        <is>
          <t>Partially documented or implemented; coverage inconsistent; never tested under stress.</t>
        </is>
      </c>
      <c r="P331" t="inlineStr">
        <is>
          <t>Documented, owned, executed consistently; basic evidence and metrics exist.</t>
        </is>
      </c>
      <c r="Q331" t="inlineStr">
        <is>
          <t>Measured and periodically tested/audited; integrated with adjacent processes.</t>
        </is>
      </c>
      <c r="R331" t="inlineStr">
        <is>
          <t>Optimized and automated where practical; stress-tested; benchmarked externally.</t>
        </is>
      </c>
      <c r="S331" t="inlineStr">
        <is>
          <t>IT outage; Decision failure; Process disruption</t>
        </is>
      </c>
      <c r="T331">
        <f>'Assessment Questions'!W331</f>
        <v/>
      </c>
      <c r="U331">
        <f>'Assessment Questions'!X331</f>
        <v/>
      </c>
      <c r="V331">
        <f>'Assessment Questions'!Y331</f>
        <v/>
      </c>
      <c r="W331" t="n">
        <v>5</v>
      </c>
      <c r="X331" t="n">
        <v>5</v>
      </c>
      <c r="Y331" t="n">
        <v>5</v>
      </c>
      <c r="Z331">
        <f>'Assessment Questions'!AC331</f>
        <v/>
      </c>
      <c r="AB331">
        <f>COUNTIF($B$325:$B$345,$AA331)</f>
        <v/>
      </c>
      <c r="AC331">
        <f>IFERROR(SUMPRODUCT(($B$325:$B$345=$AA331)*($H$325:$H$345&lt;&gt;"")*($H$325:$H$345&lt;&gt;"N/A")*IFERROR(VALUE($H$325:$H$345),0))/SUMPRODUCT(($B$325:$B$345=$AA331)*($H$325:$H$345&lt;&gt;"")*($H$325:$H$345&lt;&gt;"N/A")),0)</f>
        <v/>
      </c>
      <c r="AD331">
        <f>AC331/5</f>
        <v/>
      </c>
      <c r="AE331">
        <f>COUNTIFS($B$325:$B$345,$AA331,$L$325:$L$345,"Critical")+COUNTIFS($B$325:$B$345,$AA331,$L$325:$L$345,"High")</f>
        <v/>
      </c>
      <c r="AF331">
        <f>5-AC331</f>
        <v/>
      </c>
      <c r="AG331">
        <f>SUMPRODUCT(($B$325:$B$345=$AA331)*(ISNUMBER($H$325:$H$345)+($H$325:$H$345="N/A")))</f>
        <v/>
      </c>
      <c r="AH331">
        <f>'Assessment Questions'!AK331</f>
        <v/>
      </c>
      <c r="AI331">
        <f>'Assessment Questions'!AL331</f>
        <v/>
      </c>
      <c r="AJ331">
        <f>IF(OR($H331="",$H331="N/A"),"",IF($AH331="",VLOOKUP('Company Profile'!$B$40,_CONFIG_Model_Settings!$A$5:$B$8,2,FALSE),_xlfn.IFNA(VLOOKUP($AH331,_CONFIG_Model_Settings!$A$5:$B$8,2,FALSE),0.9)))</f>
        <v/>
      </c>
      <c r="AK331">
        <f>IF(OR($H331="",$H331="N/A"),"",IF($AI331="",VLOOKUP('Company Profile'!$B$41,_CONFIG_Model_Settings!$A$5:$B$8,2,FALSE),_xlfn.IFNA(VLOOKUP($AI331,_CONFIG_Model_Settings!$A$5:$B$8,2,FALSE),0.9)))</f>
        <v/>
      </c>
      <c r="AL331">
        <f>IF(OR($H331="",$H331="N/A"),"",ROUND(VALUE($H331)*$AJ331*$AK331*$AV331,2))</f>
        <v/>
      </c>
      <c r="AM331">
        <f>IF($AL331="","",ROUND($AL331/5*100,1))</f>
        <v/>
      </c>
      <c r="AN331">
        <f>IFERROR(MIN(5,MAX(0,(SUMIFS(_REF_Model_Content!$D$1:$D$157,_REF_Model_Content!$A$1:$A$157,'Company Profile'!$B$9,_REF_Model_Content!$B$1:$B$157,"Business Systems"))+_xlfn.IFNA(VLOOKUP('Company Profile'!$B$35,_CONFIG_Model_Settings!$A$11:$B$13,2,0),0))),"")</f>
        <v/>
      </c>
      <c r="AO331">
        <f>IF($AL331="","",MAX(0,ROUND($AN331-$AL331,2)))</f>
        <v/>
      </c>
      <c r="AP331">
        <f>IFERROR(SUMIFS(_REF_Model_Content!$E$1:$E$157,_REF_Model_Content!$A$1:$A$157,'Company Profile'!$B$9,_REF_Model_Content!$B$1:$B$157,"Business Systems"),1)</f>
        <v/>
      </c>
      <c r="AQ331">
        <f>IF($AO331="","",ROUND($AO331*$AP331*($G331/5),2))</f>
        <v/>
      </c>
      <c r="AR331">
        <f>IF($AO331="","",IF($AO331&gt;=2,"Critical industry gap",IF($AO331&gt;=1,"High industry gap",IF($AO331&gt;=0.5,"Moderate industry gap","Within target"))))</f>
        <v/>
      </c>
      <c r="AS331">
        <f>IF(OR($H331="",$H331="N/A"),0,VALUE($H331)*(($AJ331+$AK331)/2)*$AV331)</f>
        <v/>
      </c>
      <c r="AT331">
        <f>IF(OR($H331="",$H331="N/A"),0,($AJ331+$AK331)/2)</f>
        <v/>
      </c>
      <c r="AU331">
        <f>'Assessment Questions'!AX331</f>
        <v/>
      </c>
      <c r="AV331">
        <f>IF(OR($H331="",$H331="N/A"),"",IF(OR($AU331="",$AU331="Everywhere",$AU331="Not applicable"),1,IF($AU331="Pilot / one team",0.4,IF($AU331="One unit or site",0.7,0.9))))</f>
        <v/>
      </c>
      <c r="AW331" t="inlineStr">
        <is>
          <t>Business Systems</t>
        </is>
      </c>
      <c r="AX331" t="inlineStr">
        <is>
          <t>Business Systems</t>
        </is>
      </c>
      <c r="AY331" t="n">
        <v>11</v>
      </c>
      <c r="AZ331" t="n">
        <v>331</v>
      </c>
    </row>
    <row r="332">
      <c r="A332" t="inlineStr">
        <is>
          <t>BUSI-009</t>
        </is>
      </c>
      <c r="B332" t="inlineStr">
        <is>
          <t>CRM and commerce</t>
        </is>
      </c>
      <c r="C332" t="inlineStr">
        <is>
          <t>How mature is the organization in managing customer portal availability and data accuracy during disruption, including ownership, evidence, metrics, fallback procedures and crisis stress testing?</t>
        </is>
      </c>
      <c r="D332" t="inlineStr">
        <is>
          <t>This topic affects exposure to IT outage; Decision failure; Process disruption. It helps identify how disruption may impact operations, people, revenue, systems, legal exposure or recovery time.</t>
        </is>
      </c>
      <c r="E332" t="inlineStr">
        <is>
          <t>COBIT; ITIL 4; ISO/IEC 27001; ISO/IEC 20000-1; ERP/CRM/MES/HRMS implementation practices</t>
        </is>
      </c>
      <c r="F332" t="inlineStr">
        <is>
          <t>Policy/SOP; owner/RACI; system report; dashboard; contracts; test records; incident history; interview evidence related to customer portal availability and data accuracy during disruption.</t>
        </is>
      </c>
      <c r="G332">
        <f>'Assessment Questions'!J332</f>
        <v/>
      </c>
      <c r="H332">
        <f>IF($Z332="","",IF($Z332="N/A","N/A",VALUE(LEFT($Z332,1))))</f>
        <v/>
      </c>
      <c r="I332">
        <f>IF($H332="","",IF($H332="N/A","",VALUE($H332)/5*$G332))</f>
        <v/>
      </c>
      <c r="J332">
        <f>IF(OR($H332="",$H332="N/A"),"",$G332)</f>
        <v/>
      </c>
      <c r="K332">
        <f>IF(OR($H332="",$H332="N/A"),"",$J332-$I332)</f>
        <v/>
      </c>
      <c r="L332">
        <f>IF($H332="","",IF($H332="N/A","N/A",IF(VALUE($H332)&lt;=1,"Critical",IF(VALUE($H332)&lt;=2,"High",IF(VALUE($H332)&lt;=3,"Medium",IF(VALUE($H332)&lt;=4,"Low","Resilient"))))))</f>
        <v/>
      </c>
      <c r="M332" t="inlineStr">
        <is>
          <t>No reliable evidence that customer portal availability and data accuracy during disruption is defined, owned or managed.</t>
        </is>
      </c>
      <c r="N332" t="inlineStr">
        <is>
          <t>Customer portal availability and data accuracy during disruption is handled informally and depends on individual knowledge or heroic effort.</t>
        </is>
      </c>
      <c r="O332" t="inlineStr">
        <is>
          <t>Customer portal availability and data accuracy during disruption is partially documented or implemented, but coverage is inconsistent and not crisis-tested.</t>
        </is>
      </c>
      <c r="P332" t="inlineStr">
        <is>
          <t>Customer portal availability and data accuracy during disruption is documented, owned, used in normal operations and supported by basic evidence or metrics.</t>
        </is>
      </c>
      <c r="Q332" t="inlineStr">
        <is>
          <t>Customer portal availability and data accuracy during disruption is measured, periodically reviewed, integrated with related processes and tested against relevant disruption scenarios.</t>
        </is>
      </c>
      <c r="R332" t="inlineStr">
        <is>
          <t>Customer portal availability and data accuracy during disruption is optimized, continuously improved, automated where practical and demonstrably supports crisis resilience.</t>
        </is>
      </c>
      <c r="S332" t="inlineStr">
        <is>
          <t>IT outage; Decision failure; Process disruption</t>
        </is>
      </c>
      <c r="T332">
        <f>'Assessment Questions'!W332</f>
        <v/>
      </c>
      <c r="U332">
        <f>'Assessment Questions'!X332</f>
        <v/>
      </c>
      <c r="V332">
        <f>'Assessment Questions'!Y332</f>
        <v/>
      </c>
      <c r="W332" t="n">
        <v>5</v>
      </c>
      <c r="X332" t="n">
        <v>5</v>
      </c>
      <c r="Y332" t="n">
        <v>5</v>
      </c>
      <c r="Z332">
        <f>'Assessment Questions'!AC332</f>
        <v/>
      </c>
      <c r="AB332">
        <f>COUNTIF($B$325:$B$345,$AA332)</f>
        <v/>
      </c>
      <c r="AC332">
        <f>IFERROR(SUMPRODUCT(($B$325:$B$345=$AA332)*($H$325:$H$345&lt;&gt;"")*($H$325:$H$345&lt;&gt;"N/A")*IFERROR(VALUE($H$325:$H$345),0))/SUMPRODUCT(($B$325:$B$345=$AA332)*($H$325:$H$345&lt;&gt;"")*($H$325:$H$345&lt;&gt;"N/A")),0)</f>
        <v/>
      </c>
      <c r="AD332">
        <f>AC332/5</f>
        <v/>
      </c>
      <c r="AE332">
        <f>COUNTIFS($B$325:$B$345,$AA332,$L$325:$L$345,"Critical")+COUNTIFS($B$325:$B$345,$AA332,$L$325:$L$345,"High")</f>
        <v/>
      </c>
      <c r="AF332">
        <f>5-AC332</f>
        <v/>
      </c>
      <c r="AG332">
        <f>SUMPRODUCT(($B$325:$B$345=$AA332)*(ISNUMBER($H$325:$H$345)+($H$325:$H$345="N/A")))</f>
        <v/>
      </c>
      <c r="AH332">
        <f>'Assessment Questions'!AK332</f>
        <v/>
      </c>
      <c r="AI332">
        <f>'Assessment Questions'!AL332</f>
        <v/>
      </c>
      <c r="AJ332">
        <f>IF(OR($H332="",$H332="N/A"),"",IF($AH332="",VLOOKUP('Company Profile'!$B$40,_CONFIG_Model_Settings!$A$5:$B$8,2,FALSE),_xlfn.IFNA(VLOOKUP($AH332,_CONFIG_Model_Settings!$A$5:$B$8,2,FALSE),0.9)))</f>
        <v/>
      </c>
      <c r="AK332">
        <f>IF(OR($H332="",$H332="N/A"),"",IF($AI332="",VLOOKUP('Company Profile'!$B$41,_CONFIG_Model_Settings!$A$5:$B$8,2,FALSE),_xlfn.IFNA(VLOOKUP($AI332,_CONFIG_Model_Settings!$A$5:$B$8,2,FALSE),0.9)))</f>
        <v/>
      </c>
      <c r="AL332">
        <f>IF(OR($H332="",$H332="N/A"),"",ROUND(VALUE($H332)*$AJ332*$AK332*$AV332,2))</f>
        <v/>
      </c>
      <c r="AM332">
        <f>IF($AL332="","",ROUND($AL332/5*100,1))</f>
        <v/>
      </c>
      <c r="AN332">
        <f>IFERROR(MIN(5,MAX(0,(SUMIFS(_REF_Model_Content!$D$1:$D$157,_REF_Model_Content!$A$1:$A$157,'Company Profile'!$B$9,_REF_Model_Content!$B$1:$B$157,"Business Systems"))+_xlfn.IFNA(VLOOKUP('Company Profile'!$B$35,_CONFIG_Model_Settings!$A$11:$B$13,2,0),0))),"")</f>
        <v/>
      </c>
      <c r="AO332">
        <f>IF($AL332="","",MAX(0,ROUND($AN332-$AL332,2)))</f>
        <v/>
      </c>
      <c r="AP332">
        <f>IFERROR(SUMIFS(_REF_Model_Content!$E$1:$E$157,_REF_Model_Content!$A$1:$A$157,'Company Profile'!$B$9,_REF_Model_Content!$B$1:$B$157,"Business Systems"),1)</f>
        <v/>
      </c>
      <c r="AQ332">
        <f>IF($AO332="","",ROUND($AO332*$AP332*($G332/5),2))</f>
        <v/>
      </c>
      <c r="AR332">
        <f>IF($AO332="","",IF($AO332&gt;=2,"Critical industry gap",IF($AO332&gt;=1,"High industry gap",IF($AO332&gt;=0.5,"Moderate industry gap","Within target"))))</f>
        <v/>
      </c>
      <c r="AS332">
        <f>IF(OR($H332="",$H332="N/A"),0,VALUE($H332)*(($AJ332+$AK332)/2)*$AV332)</f>
        <v/>
      </c>
      <c r="AT332">
        <f>IF(OR($H332="",$H332="N/A"),0,($AJ332+$AK332)/2)</f>
        <v/>
      </c>
      <c r="AU332">
        <f>'Assessment Questions'!AX332</f>
        <v/>
      </c>
      <c r="AV332">
        <f>IF(OR($H332="",$H332="N/A"),"",IF(OR($AU332="",$AU332="Everywhere",$AU332="Not applicable"),1,IF($AU332="Pilot / one team",0.4,IF($AU332="One unit or site",0.7,0.9))))</f>
        <v/>
      </c>
      <c r="AW332" t="inlineStr">
        <is>
          <t>Business Systems</t>
        </is>
      </c>
      <c r="AX332" t="inlineStr">
        <is>
          <t>Business Systems</t>
        </is>
      </c>
      <c r="AY332" t="n">
        <v>12</v>
      </c>
      <c r="AZ332" t="n">
        <v>332</v>
      </c>
    </row>
    <row r="333">
      <c r="A333" t="inlineStr">
        <is>
          <t>BUSI-010</t>
        </is>
      </c>
      <c r="B333" t="inlineStr">
        <is>
          <t>MES WMS TMS</t>
        </is>
      </c>
      <c r="C333" t="inlineStr">
        <is>
          <t>How mature is the organization in managing MES support for production orders, execution, traceability, downtime, quality and labor, including ownership, evidence, metrics, fallback procedures and crisis stress testing?</t>
        </is>
      </c>
      <c r="D333" t="inlineStr">
        <is>
          <t>This topic affects exposure to IT outage; Decision failure; Process disruption. It helps identify how disruption may impact operations, people, revenue, systems, legal exposure or recovery time.</t>
        </is>
      </c>
      <c r="E333" t="inlineStr">
        <is>
          <t>COBIT; ITIL 4; ISO/IEC 27001; ISO/IEC 20000-1; ERP/CRM/MES/HRMS implementation practices</t>
        </is>
      </c>
      <c r="F333" t="inlineStr">
        <is>
          <t>Policy/SOP; owner/RACI; system report; dashboard; contracts; test records; incident history; interview evidence related to MES support for production orders, execution, traceability, downtime, quality and labor.</t>
        </is>
      </c>
      <c r="G333">
        <f>'Assessment Questions'!J333</f>
        <v/>
      </c>
      <c r="H333">
        <f>IF($Z333="","",IF($Z333="N/A","N/A",VALUE(LEFT($Z333,1))))</f>
        <v/>
      </c>
      <c r="I333">
        <f>IF($H333="","",IF($H333="N/A","",VALUE($H333)/5*$G333))</f>
        <v/>
      </c>
      <c r="J333">
        <f>IF(OR($H333="",$H333="N/A"),"",$G333)</f>
        <v/>
      </c>
      <c r="K333">
        <f>IF(OR($H333="",$H333="N/A"),"",$J333-$I333)</f>
        <v/>
      </c>
      <c r="L333">
        <f>IF($H333="","",IF($H333="N/A","N/A",IF(VALUE($H333)&lt;=1,"Critical",IF(VALUE($H333)&lt;=2,"High",IF(VALUE($H333)&lt;=3,"Medium",IF(VALUE($H333)&lt;=4,"Low","Resilient"))))))</f>
        <v/>
      </c>
      <c r="M333" t="inlineStr">
        <is>
          <t>Does not exist; no owner, no documentation, no practice.</t>
        </is>
      </c>
      <c r="N333" t="inlineStr">
        <is>
          <t>Ad hoc; depends entirely on specific individuals.</t>
        </is>
      </c>
      <c r="O333" t="inlineStr">
        <is>
          <t>Partially documented or implemented; coverage inconsistent; never tested under stress.</t>
        </is>
      </c>
      <c r="P333" t="inlineStr">
        <is>
          <t>Documented, owned, executed consistently; basic evidence and metrics exist.</t>
        </is>
      </c>
      <c r="Q333" t="inlineStr">
        <is>
          <t>Measured and periodically tested/audited; integrated with adjacent processes.</t>
        </is>
      </c>
      <c r="R333" t="inlineStr">
        <is>
          <t>Optimized and automated where practical; stress-tested; benchmarked externally.</t>
        </is>
      </c>
      <c r="S333" t="inlineStr">
        <is>
          <t>IT outage; Decision failure; Process disruption</t>
        </is>
      </c>
      <c r="T333">
        <f>'Assessment Questions'!W333</f>
        <v/>
      </c>
      <c r="U333">
        <f>'Assessment Questions'!X333</f>
        <v/>
      </c>
      <c r="V333">
        <f>'Assessment Questions'!Y333</f>
        <v/>
      </c>
      <c r="W333" t="n">
        <v>5</v>
      </c>
      <c r="X333" t="n">
        <v>5</v>
      </c>
      <c r="Y333" t="n">
        <v>5</v>
      </c>
      <c r="Z333">
        <f>'Assessment Questions'!AC333</f>
        <v/>
      </c>
      <c r="AB333">
        <f>COUNTIF($B$325:$B$345,$AA333)</f>
        <v/>
      </c>
      <c r="AC333">
        <f>IFERROR(SUMPRODUCT(($B$325:$B$345=$AA333)*($H$325:$H$345&lt;&gt;"")*($H$325:$H$345&lt;&gt;"N/A")*IFERROR(VALUE($H$325:$H$345),0))/SUMPRODUCT(($B$325:$B$345=$AA333)*($H$325:$H$345&lt;&gt;"")*($H$325:$H$345&lt;&gt;"N/A")),0)</f>
        <v/>
      </c>
      <c r="AD333">
        <f>AC333/5</f>
        <v/>
      </c>
      <c r="AE333">
        <f>COUNTIFS($B$325:$B$345,$AA333,$L$325:$L$345,"Critical")+COUNTIFS($B$325:$B$345,$AA333,$L$325:$L$345,"High")</f>
        <v/>
      </c>
      <c r="AF333">
        <f>5-AC333</f>
        <v/>
      </c>
      <c r="AG333">
        <f>SUMPRODUCT(($B$325:$B$345=$AA333)*(ISNUMBER($H$325:$H$345)+($H$325:$H$345="N/A")))</f>
        <v/>
      </c>
      <c r="AH333">
        <f>'Assessment Questions'!AK333</f>
        <v/>
      </c>
      <c r="AI333">
        <f>'Assessment Questions'!AL333</f>
        <v/>
      </c>
      <c r="AJ333">
        <f>IF(OR($H333="",$H333="N/A"),"",IF($AH333="",VLOOKUP('Company Profile'!$B$40,_CONFIG_Model_Settings!$A$5:$B$8,2,FALSE),_xlfn.IFNA(VLOOKUP($AH333,_CONFIG_Model_Settings!$A$5:$B$8,2,FALSE),0.9)))</f>
        <v/>
      </c>
      <c r="AK333">
        <f>IF(OR($H333="",$H333="N/A"),"",IF($AI333="",VLOOKUP('Company Profile'!$B$41,_CONFIG_Model_Settings!$A$5:$B$8,2,FALSE),_xlfn.IFNA(VLOOKUP($AI333,_CONFIG_Model_Settings!$A$5:$B$8,2,FALSE),0.9)))</f>
        <v/>
      </c>
      <c r="AL333">
        <f>IF(OR($H333="",$H333="N/A"),"",ROUND(VALUE($H333)*$AJ333*$AK333*$AV333,2))</f>
        <v/>
      </c>
      <c r="AM333">
        <f>IF($AL333="","",ROUND($AL333/5*100,1))</f>
        <v/>
      </c>
      <c r="AN333">
        <f>IFERROR(MIN(5,MAX(0,(SUMIFS(_REF_Model_Content!$D$1:$D$157,_REF_Model_Content!$A$1:$A$157,'Company Profile'!$B$9,_REF_Model_Content!$B$1:$B$157,"Business Systems"))+_xlfn.IFNA(VLOOKUP('Company Profile'!$B$35,_CONFIG_Model_Settings!$A$11:$B$13,2,0),0))),"")</f>
        <v/>
      </c>
      <c r="AO333">
        <f>IF($AL333="","",MAX(0,ROUND($AN333-$AL333,2)))</f>
        <v/>
      </c>
      <c r="AP333">
        <f>IFERROR(SUMIFS(_REF_Model_Content!$E$1:$E$157,_REF_Model_Content!$A$1:$A$157,'Company Profile'!$B$9,_REF_Model_Content!$B$1:$B$157,"Business Systems"),1)</f>
        <v/>
      </c>
      <c r="AQ333">
        <f>IF($AO333="","",ROUND($AO333*$AP333*($G333/5),2))</f>
        <v/>
      </c>
      <c r="AR333">
        <f>IF($AO333="","",IF($AO333&gt;=2,"Critical industry gap",IF($AO333&gt;=1,"High industry gap",IF($AO333&gt;=0.5,"Moderate industry gap","Within target"))))</f>
        <v/>
      </c>
      <c r="AS333">
        <f>IF(OR($H333="",$H333="N/A"),0,VALUE($H333)*(($AJ333+$AK333)/2)*$AV333)</f>
        <v/>
      </c>
      <c r="AT333">
        <f>IF(OR($H333="",$H333="N/A"),0,($AJ333+$AK333)/2)</f>
        <v/>
      </c>
      <c r="AU333">
        <f>'Assessment Questions'!AX333</f>
        <v/>
      </c>
      <c r="AV333">
        <f>IF(OR($H333="",$H333="N/A"),"",IF(OR($AU333="",$AU333="Everywhere",$AU333="Not applicable"),1,IF($AU333="Pilot / one team",0.4,IF($AU333="One unit or site",0.7,0.9))))</f>
        <v/>
      </c>
      <c r="AW333" t="inlineStr">
        <is>
          <t>Business Systems</t>
        </is>
      </c>
      <c r="AX333" t="inlineStr">
        <is>
          <t>Business Systems</t>
        </is>
      </c>
      <c r="AY333" t="n">
        <v>13</v>
      </c>
      <c r="AZ333" t="n">
        <v>333</v>
      </c>
    </row>
    <row r="334">
      <c r="A334" t="inlineStr">
        <is>
          <t>BUSI-011</t>
        </is>
      </c>
      <c r="B334" t="inlineStr">
        <is>
          <t>MES WMS TMS</t>
        </is>
      </c>
      <c r="C334" t="inlineStr">
        <is>
          <t>How mature is the organization in managing MES-ERP integration for orders, inventory consumption, output and quality data, including ownership, evidence, metrics, fallback procedures and crisis stress testing?</t>
        </is>
      </c>
      <c r="D334" t="inlineStr">
        <is>
          <t>This topic affects exposure to IT outage; Decision failure; Process disruption. It helps identify how disruption may impact operations, people, revenue, systems, legal exposure or recovery time.</t>
        </is>
      </c>
      <c r="E334" t="inlineStr">
        <is>
          <t>COBIT; ITIL 4; ISO/IEC 27001; ISO/IEC 20000-1; ERP/CRM/MES/HRMS implementation practices</t>
        </is>
      </c>
      <c r="F334" t="inlineStr">
        <is>
          <t>Policy/SOP; owner/RACI; system report; dashboard; contracts; test records; incident history; interview evidence related to MES-ERP integration for orders, inventory consumption, output and quality data.</t>
        </is>
      </c>
      <c r="G334">
        <f>'Assessment Questions'!J334</f>
        <v/>
      </c>
      <c r="H334">
        <f>IF($Z334="","",IF($Z334="N/A","N/A",VALUE(LEFT($Z334,1))))</f>
        <v/>
      </c>
      <c r="I334">
        <f>IF($H334="","",IF($H334="N/A","",VALUE($H334)/5*$G334))</f>
        <v/>
      </c>
      <c r="J334">
        <f>IF(OR($H334="",$H334="N/A"),"",$G334)</f>
        <v/>
      </c>
      <c r="K334">
        <f>IF(OR($H334="",$H334="N/A"),"",$J334-$I334)</f>
        <v/>
      </c>
      <c r="L334">
        <f>IF($H334="","",IF($H334="N/A","N/A",IF(VALUE($H334)&lt;=1,"Critical",IF(VALUE($H334)&lt;=2,"High",IF(VALUE($H334)&lt;=3,"Medium",IF(VALUE($H334)&lt;=4,"Low","Resilient"))))))</f>
        <v/>
      </c>
      <c r="M334" t="inlineStr">
        <is>
          <t>No inventory/register exists.</t>
        </is>
      </c>
      <c r="N334" t="inlineStr">
        <is>
          <t>Partial lists live in individuals' heads or personal files.</t>
        </is>
      </c>
      <c r="O334" t="inlineStr">
        <is>
          <t>A register exists but is incomplete or outdated (&gt;1 year) and has no owner.</t>
        </is>
      </c>
      <c r="P334" t="inlineStr">
        <is>
          <t>Owned, documented, updated on a defined schedule, covers the main scope.</t>
        </is>
      </c>
      <c r="Q334" t="inlineStr">
        <is>
          <t>Complete and periodically reviewed; integrated with related processes; completeness measured.</t>
        </is>
      </c>
      <c r="R334" t="inlineStr">
        <is>
          <t>Maintained automatically or synced with systems; drives decisions; audited.</t>
        </is>
      </c>
      <c r="S334" t="inlineStr">
        <is>
          <t>IT outage; Decision failure; Process disruption</t>
        </is>
      </c>
      <c r="T334">
        <f>'Assessment Questions'!W334</f>
        <v/>
      </c>
      <c r="U334">
        <f>'Assessment Questions'!X334</f>
        <v/>
      </c>
      <c r="V334">
        <f>'Assessment Questions'!Y334</f>
        <v/>
      </c>
      <c r="W334" t="n">
        <v>5</v>
      </c>
      <c r="X334" t="n">
        <v>5</v>
      </c>
      <c r="Y334" t="n">
        <v>5</v>
      </c>
      <c r="Z334">
        <f>'Assessment Questions'!AC334</f>
        <v/>
      </c>
      <c r="AB334">
        <f>COUNTIF($B$325:$B$345,$AA334)</f>
        <v/>
      </c>
      <c r="AC334">
        <f>IFERROR(SUMPRODUCT(($B$325:$B$345=$AA334)*($H$325:$H$345&lt;&gt;"")*($H$325:$H$345&lt;&gt;"N/A")*IFERROR(VALUE($H$325:$H$345),0))/SUMPRODUCT(($B$325:$B$345=$AA334)*($H$325:$H$345&lt;&gt;"")*($H$325:$H$345&lt;&gt;"N/A")),0)</f>
        <v/>
      </c>
      <c r="AD334">
        <f>AC334/5</f>
        <v/>
      </c>
      <c r="AE334">
        <f>COUNTIFS($B$325:$B$345,$AA334,$L$325:$L$345,"Critical")+COUNTIFS($B$325:$B$345,$AA334,$L$325:$L$345,"High")</f>
        <v/>
      </c>
      <c r="AF334">
        <f>5-AC334</f>
        <v/>
      </c>
      <c r="AG334">
        <f>SUMPRODUCT(($B$325:$B$345=$AA334)*(ISNUMBER($H$325:$H$345)+($H$325:$H$345="N/A")))</f>
        <v/>
      </c>
      <c r="AH334">
        <f>'Assessment Questions'!AK334</f>
        <v/>
      </c>
      <c r="AI334">
        <f>'Assessment Questions'!AL334</f>
        <v/>
      </c>
      <c r="AJ334">
        <f>IF(OR($H334="",$H334="N/A"),"",IF($AH334="",VLOOKUP('Company Profile'!$B$40,_CONFIG_Model_Settings!$A$5:$B$8,2,FALSE),_xlfn.IFNA(VLOOKUP($AH334,_CONFIG_Model_Settings!$A$5:$B$8,2,FALSE),0.9)))</f>
        <v/>
      </c>
      <c r="AK334">
        <f>IF(OR($H334="",$H334="N/A"),"",IF($AI334="",VLOOKUP('Company Profile'!$B$41,_CONFIG_Model_Settings!$A$5:$B$8,2,FALSE),_xlfn.IFNA(VLOOKUP($AI334,_CONFIG_Model_Settings!$A$5:$B$8,2,FALSE),0.9)))</f>
        <v/>
      </c>
      <c r="AL334">
        <f>IF(OR($H334="",$H334="N/A"),"",ROUND(VALUE($H334)*$AJ334*$AK334*$AV334,2))</f>
        <v/>
      </c>
      <c r="AM334">
        <f>IF($AL334="","",ROUND($AL334/5*100,1))</f>
        <v/>
      </c>
      <c r="AN334">
        <f>IFERROR(MIN(5,MAX(0,(SUMIFS(_REF_Model_Content!$D$1:$D$157,_REF_Model_Content!$A$1:$A$157,'Company Profile'!$B$9,_REF_Model_Content!$B$1:$B$157,"Business Systems"))+_xlfn.IFNA(VLOOKUP('Company Profile'!$B$35,_CONFIG_Model_Settings!$A$11:$B$13,2,0),0))),"")</f>
        <v/>
      </c>
      <c r="AO334">
        <f>IF($AL334="","",MAX(0,ROUND($AN334-$AL334,2)))</f>
        <v/>
      </c>
      <c r="AP334">
        <f>IFERROR(SUMIFS(_REF_Model_Content!$E$1:$E$157,_REF_Model_Content!$A$1:$A$157,'Company Profile'!$B$9,_REF_Model_Content!$B$1:$B$157,"Business Systems"),1)</f>
        <v/>
      </c>
      <c r="AQ334">
        <f>IF($AO334="","",ROUND($AO334*$AP334*($G334/5),2))</f>
        <v/>
      </c>
      <c r="AR334">
        <f>IF($AO334="","",IF($AO334&gt;=2,"Critical industry gap",IF($AO334&gt;=1,"High industry gap",IF($AO334&gt;=0.5,"Moderate industry gap","Within target"))))</f>
        <v/>
      </c>
      <c r="AS334">
        <f>IF(OR($H334="",$H334="N/A"),0,VALUE($H334)*(($AJ334+$AK334)/2)*$AV334)</f>
        <v/>
      </c>
      <c r="AT334">
        <f>IF(OR($H334="",$H334="N/A"),0,($AJ334+$AK334)/2)</f>
        <v/>
      </c>
      <c r="AU334">
        <f>'Assessment Questions'!AX334</f>
        <v/>
      </c>
      <c r="AV334">
        <f>IF(OR($H334="",$H334="N/A"),"",IF(OR($AU334="",$AU334="Everywhere",$AU334="Not applicable"),1,IF($AU334="Pilot / one team",0.4,IF($AU334="One unit or site",0.7,0.9))))</f>
        <v/>
      </c>
      <c r="AW334" t="inlineStr">
        <is>
          <t>Business Systems</t>
        </is>
      </c>
      <c r="AX334" t="inlineStr">
        <is>
          <t>Business Systems</t>
        </is>
      </c>
      <c r="AY334" t="n">
        <v>14</v>
      </c>
      <c r="AZ334" t="n">
        <v>334</v>
      </c>
    </row>
    <row r="335">
      <c r="A335" t="inlineStr">
        <is>
          <t>BUSI-012</t>
        </is>
      </c>
      <c r="B335" t="inlineStr">
        <is>
          <t>MES WMS TMS</t>
        </is>
      </c>
      <c r="C335" t="inlineStr">
        <is>
          <t>How mature is the organization in managing WMS support for inventory movement, location, status, batch, picking, packing and cycle counts, including ownership, evidence, metrics, fallback procedures and crisis stress testing?</t>
        </is>
      </c>
      <c r="D335" t="inlineStr">
        <is>
          <t>This topic affects exposure to IT outage; Decision failure; Process disruption. It helps identify how disruption may impact operations, people, revenue, systems, legal exposure or recovery time.</t>
        </is>
      </c>
      <c r="E335" t="inlineStr">
        <is>
          <t>COBIT; ITIL 4; ISO/IEC 27001; ISO/IEC 20000-1; ERP/CRM/MES/HRMS implementation practices</t>
        </is>
      </c>
      <c r="F335" t="inlineStr">
        <is>
          <t>Policy/SOP; owner/RACI; system report; dashboard; contracts; test records; incident history; interview evidence related to WMS support for inventory movement, location, status, batch, picking, packing and cycle counts.</t>
        </is>
      </c>
      <c r="G335">
        <f>'Assessment Questions'!J335</f>
        <v/>
      </c>
      <c r="H335">
        <f>IF($Z335="","",IF($Z335="N/A","N/A",VALUE(LEFT($Z335,1))))</f>
        <v/>
      </c>
      <c r="I335">
        <f>IF($H335="","",IF($H335="N/A","",VALUE($H335)/5*$G335))</f>
        <v/>
      </c>
      <c r="J335">
        <f>IF(OR($H335="",$H335="N/A"),"",$G335)</f>
        <v/>
      </c>
      <c r="K335">
        <f>IF(OR($H335="",$H335="N/A"),"",$J335-$I335)</f>
        <v/>
      </c>
      <c r="L335">
        <f>IF($H335="","",IF($H335="N/A","N/A",IF(VALUE($H335)&lt;=1,"Critical",IF(VALUE($H335)&lt;=2,"High",IF(VALUE($H335)&lt;=3,"Medium",IF(VALUE($H335)&lt;=4,"Low","Resilient"))))))</f>
        <v/>
      </c>
      <c r="M335" t="inlineStr">
        <is>
          <t>No reliable evidence that wms support for inventory movement, location, status, batch, picking, packing and cycle counts is defined, owned or managed.</t>
        </is>
      </c>
      <c r="N335" t="inlineStr">
        <is>
          <t>WMS support for inventory movement, location, status, batch, picking, packing and cycle counts is handled informally and depends on individual knowledge or heroic effort.</t>
        </is>
      </c>
      <c r="O335" t="inlineStr">
        <is>
          <t>WMS support for inventory movement, location, status, batch, picking, packing and cycle counts is partially documented or implemented, but coverage is inconsistent and not crisis-tested.</t>
        </is>
      </c>
      <c r="P335" t="inlineStr">
        <is>
          <t>WMS support for inventory movement, location, status, batch, picking, packing and cycle counts is documented, owned, used in normal operations and supported by basic evidence or metrics.</t>
        </is>
      </c>
      <c r="Q335" t="inlineStr">
        <is>
          <t>WMS support for inventory movement, location, status, batch, picking, packing and cycle counts is measured, periodically reviewed, integrated with related processes and tested against relevant disruption scenarios.</t>
        </is>
      </c>
      <c r="R335" t="inlineStr">
        <is>
          <t>WMS support for inventory movement, location, status, batch, picking, packing and cycle counts is optimized, continuously improved, automated where practical and demonstrably supports crisis resilience.</t>
        </is>
      </c>
      <c r="S335" t="inlineStr">
        <is>
          <t>IT outage; Decision failure; Process disruption</t>
        </is>
      </c>
      <c r="T335">
        <f>'Assessment Questions'!W335</f>
        <v/>
      </c>
      <c r="U335">
        <f>'Assessment Questions'!X335</f>
        <v/>
      </c>
      <c r="V335">
        <f>'Assessment Questions'!Y335</f>
        <v/>
      </c>
      <c r="W335" t="n">
        <v>5</v>
      </c>
      <c r="X335" t="n">
        <v>5</v>
      </c>
      <c r="Y335" t="n">
        <v>5</v>
      </c>
      <c r="Z335">
        <f>'Assessment Questions'!AC335</f>
        <v/>
      </c>
      <c r="AB335">
        <f>COUNTIF($B$325:$B$345,$AA335)</f>
        <v/>
      </c>
      <c r="AC335">
        <f>IFERROR(SUMPRODUCT(($B$325:$B$345=$AA335)*($H$325:$H$345&lt;&gt;"")*($H$325:$H$345&lt;&gt;"N/A")*IFERROR(VALUE($H$325:$H$345),0))/SUMPRODUCT(($B$325:$B$345=$AA335)*($H$325:$H$345&lt;&gt;"")*($H$325:$H$345&lt;&gt;"N/A")),0)</f>
        <v/>
      </c>
      <c r="AD335">
        <f>AC335/5</f>
        <v/>
      </c>
      <c r="AE335">
        <f>COUNTIFS($B$325:$B$345,$AA335,$L$325:$L$345,"Critical")+COUNTIFS($B$325:$B$345,$AA335,$L$325:$L$345,"High")</f>
        <v/>
      </c>
      <c r="AF335">
        <f>5-AC335</f>
        <v/>
      </c>
      <c r="AG335">
        <f>SUMPRODUCT(($B$325:$B$345=$AA335)*(ISNUMBER($H$325:$H$345)+($H$325:$H$345="N/A")))</f>
        <v/>
      </c>
      <c r="AH335">
        <f>'Assessment Questions'!AK335</f>
        <v/>
      </c>
      <c r="AI335">
        <f>'Assessment Questions'!AL335</f>
        <v/>
      </c>
      <c r="AJ335">
        <f>IF(OR($H335="",$H335="N/A"),"",IF($AH335="",VLOOKUP('Company Profile'!$B$40,_CONFIG_Model_Settings!$A$5:$B$8,2,FALSE),_xlfn.IFNA(VLOOKUP($AH335,_CONFIG_Model_Settings!$A$5:$B$8,2,FALSE),0.9)))</f>
        <v/>
      </c>
      <c r="AK335">
        <f>IF(OR($H335="",$H335="N/A"),"",IF($AI335="",VLOOKUP('Company Profile'!$B$41,_CONFIG_Model_Settings!$A$5:$B$8,2,FALSE),_xlfn.IFNA(VLOOKUP($AI335,_CONFIG_Model_Settings!$A$5:$B$8,2,FALSE),0.9)))</f>
        <v/>
      </c>
      <c r="AL335">
        <f>IF(OR($H335="",$H335="N/A"),"",ROUND(VALUE($H335)*$AJ335*$AK335*$AV335,2))</f>
        <v/>
      </c>
      <c r="AM335">
        <f>IF($AL335="","",ROUND($AL335/5*100,1))</f>
        <v/>
      </c>
      <c r="AN335">
        <f>IFERROR(MIN(5,MAX(0,(SUMIFS(_REF_Model_Content!$D$1:$D$157,_REF_Model_Content!$A$1:$A$157,'Company Profile'!$B$9,_REF_Model_Content!$B$1:$B$157,"Business Systems"))+_xlfn.IFNA(VLOOKUP('Company Profile'!$B$35,_CONFIG_Model_Settings!$A$11:$B$13,2,0),0))),"")</f>
        <v/>
      </c>
      <c r="AO335">
        <f>IF($AL335="","",MAX(0,ROUND($AN335-$AL335,2)))</f>
        <v/>
      </c>
      <c r="AP335">
        <f>IFERROR(SUMIFS(_REF_Model_Content!$E$1:$E$157,_REF_Model_Content!$A$1:$A$157,'Company Profile'!$B$9,_REF_Model_Content!$B$1:$B$157,"Business Systems"),1)</f>
        <v/>
      </c>
      <c r="AQ335">
        <f>IF($AO335="","",ROUND($AO335*$AP335*($G335/5),2))</f>
        <v/>
      </c>
      <c r="AR335">
        <f>IF($AO335="","",IF($AO335&gt;=2,"Critical industry gap",IF($AO335&gt;=1,"High industry gap",IF($AO335&gt;=0.5,"Moderate industry gap","Within target"))))</f>
        <v/>
      </c>
      <c r="AS335">
        <f>IF(OR($H335="",$H335="N/A"),0,VALUE($H335)*(($AJ335+$AK335)/2)*$AV335)</f>
        <v/>
      </c>
      <c r="AT335">
        <f>IF(OR($H335="",$H335="N/A"),0,($AJ335+$AK335)/2)</f>
        <v/>
      </c>
      <c r="AU335">
        <f>'Assessment Questions'!AX335</f>
        <v/>
      </c>
      <c r="AV335">
        <f>IF(OR($H335="",$H335="N/A"),"",IF(OR($AU335="",$AU335="Everywhere",$AU335="Not applicable"),1,IF($AU335="Pilot / one team",0.4,IF($AU335="One unit or site",0.7,0.9))))</f>
        <v/>
      </c>
      <c r="AW335" t="inlineStr">
        <is>
          <t>Business Systems</t>
        </is>
      </c>
      <c r="AX335" t="inlineStr">
        <is>
          <t>Business Systems</t>
        </is>
      </c>
      <c r="AY335" t="n">
        <v>15</v>
      </c>
      <c r="AZ335" t="n">
        <v>335</v>
      </c>
    </row>
    <row r="336">
      <c r="A336" t="inlineStr">
        <is>
          <t>BUSI-013</t>
        </is>
      </c>
      <c r="B336" t="inlineStr">
        <is>
          <t>MES WMS TMS</t>
        </is>
      </c>
      <c r="C336" t="inlineStr">
        <is>
          <t>How mature is the organization in managing TMS support for carrier booking, route planning, tracking and delivery visibility, including ownership, evidence, metrics, fallback procedures and crisis stress testing?</t>
        </is>
      </c>
      <c r="D336" t="inlineStr">
        <is>
          <t>This topic affects exposure to IT outage; Decision failure; Process disruption. It helps identify how disruption may impact operations, people, revenue, systems, legal exposure or recovery time.</t>
        </is>
      </c>
      <c r="E336" t="inlineStr">
        <is>
          <t>COBIT; ITIL 4; ISO/IEC 27001; ISO/IEC 20000-1; ERP/CRM/MES/HRMS implementation practices</t>
        </is>
      </c>
      <c r="F336" t="inlineStr">
        <is>
          <t>Policy/SOP; owner/RACI; system report; dashboard; contracts; test records; incident history; interview evidence related to TMS support for carrier booking, route planning, tracking and delivery visibility.</t>
        </is>
      </c>
      <c r="G336">
        <f>'Assessment Questions'!J336</f>
        <v/>
      </c>
      <c r="H336">
        <f>IF($Z336="","",IF($Z336="N/A","N/A",VALUE(LEFT($Z336,1))))</f>
        <v/>
      </c>
      <c r="I336">
        <f>IF($H336="","",IF($H336="N/A","",VALUE($H336)/5*$G336))</f>
        <v/>
      </c>
      <c r="J336">
        <f>IF(OR($H336="",$H336="N/A"),"",$G336)</f>
        <v/>
      </c>
      <c r="K336">
        <f>IF(OR($H336="",$H336="N/A"),"",$J336-$I336)</f>
        <v/>
      </c>
      <c r="L336">
        <f>IF($H336="","",IF($H336="N/A","N/A",IF(VALUE($H336)&lt;=1,"Critical",IF(VALUE($H336)&lt;=2,"High",IF(VALUE($H336)&lt;=3,"Medium",IF(VALUE($H336)&lt;=4,"Low","Resilient"))))))</f>
        <v/>
      </c>
      <c r="M336" t="inlineStr">
        <is>
          <t>No reliable evidence that tms support for carrier booking, route planning, tracking and delivery visibility is defined, owned or managed.</t>
        </is>
      </c>
      <c r="N336" t="inlineStr">
        <is>
          <t>TMS support for carrier booking, route planning, tracking and delivery visibility is handled informally and depends on individual knowledge or heroic effort.</t>
        </is>
      </c>
      <c r="O336" t="inlineStr">
        <is>
          <t>TMS support for carrier booking, route planning, tracking and delivery visibility is partially documented or implemented, but coverage is inconsistent and not crisis-tested.</t>
        </is>
      </c>
      <c r="P336" t="inlineStr">
        <is>
          <t>TMS support for carrier booking, route planning, tracking and delivery visibility is documented, owned, used in normal operations and supported by basic evidence or metrics.</t>
        </is>
      </c>
      <c r="Q336" t="inlineStr">
        <is>
          <t>TMS support for carrier booking, route planning, tracking and delivery visibility is measured, periodically reviewed, integrated with related processes and tested against relevant disruption scenarios.</t>
        </is>
      </c>
      <c r="R336" t="inlineStr">
        <is>
          <t>TMS support for carrier booking, route planning, tracking and delivery visibility is optimized, continuously improved, automated where practical and demonstrably supports crisis resilience.</t>
        </is>
      </c>
      <c r="S336" t="inlineStr">
        <is>
          <t>IT outage; Decision failure; Process disruption</t>
        </is>
      </c>
      <c r="T336">
        <f>'Assessment Questions'!W336</f>
        <v/>
      </c>
      <c r="U336">
        <f>'Assessment Questions'!X336</f>
        <v/>
      </c>
      <c r="V336">
        <f>'Assessment Questions'!Y336</f>
        <v/>
      </c>
      <c r="W336" t="n">
        <v>5</v>
      </c>
      <c r="X336" t="n">
        <v>5</v>
      </c>
      <c r="Y336" t="n">
        <v>5</v>
      </c>
      <c r="Z336">
        <f>'Assessment Questions'!AC336</f>
        <v/>
      </c>
      <c r="AB336">
        <f>COUNTIF($B$325:$B$345,$AA336)</f>
        <v/>
      </c>
      <c r="AC336">
        <f>IFERROR(SUMPRODUCT(($B$325:$B$345=$AA336)*($H$325:$H$345&lt;&gt;"")*($H$325:$H$345&lt;&gt;"N/A")*IFERROR(VALUE($H$325:$H$345),0))/SUMPRODUCT(($B$325:$B$345=$AA336)*($H$325:$H$345&lt;&gt;"")*($H$325:$H$345&lt;&gt;"N/A")),0)</f>
        <v/>
      </c>
      <c r="AD336">
        <f>AC336/5</f>
        <v/>
      </c>
      <c r="AE336">
        <f>COUNTIFS($B$325:$B$345,$AA336,$L$325:$L$345,"Critical")+COUNTIFS($B$325:$B$345,$AA336,$L$325:$L$345,"High")</f>
        <v/>
      </c>
      <c r="AF336">
        <f>5-AC336</f>
        <v/>
      </c>
      <c r="AG336">
        <f>SUMPRODUCT(($B$325:$B$345=$AA336)*(ISNUMBER($H$325:$H$345)+($H$325:$H$345="N/A")))</f>
        <v/>
      </c>
      <c r="AH336">
        <f>'Assessment Questions'!AK336</f>
        <v/>
      </c>
      <c r="AI336">
        <f>'Assessment Questions'!AL336</f>
        <v/>
      </c>
      <c r="AJ336">
        <f>IF(OR($H336="",$H336="N/A"),"",IF($AH336="",VLOOKUP('Company Profile'!$B$40,_CONFIG_Model_Settings!$A$5:$B$8,2,FALSE),_xlfn.IFNA(VLOOKUP($AH336,_CONFIG_Model_Settings!$A$5:$B$8,2,FALSE),0.9)))</f>
        <v/>
      </c>
      <c r="AK336">
        <f>IF(OR($H336="",$H336="N/A"),"",IF($AI336="",VLOOKUP('Company Profile'!$B$41,_CONFIG_Model_Settings!$A$5:$B$8,2,FALSE),_xlfn.IFNA(VLOOKUP($AI336,_CONFIG_Model_Settings!$A$5:$B$8,2,FALSE),0.9)))</f>
        <v/>
      </c>
      <c r="AL336">
        <f>IF(OR($H336="",$H336="N/A"),"",ROUND(VALUE($H336)*$AJ336*$AK336*$AV336,2))</f>
        <v/>
      </c>
      <c r="AM336">
        <f>IF($AL336="","",ROUND($AL336/5*100,1))</f>
        <v/>
      </c>
      <c r="AN336">
        <f>IFERROR(MIN(5,MAX(0,(SUMIFS(_REF_Model_Content!$D$1:$D$157,_REF_Model_Content!$A$1:$A$157,'Company Profile'!$B$9,_REF_Model_Content!$B$1:$B$157,"Business Systems"))+_xlfn.IFNA(VLOOKUP('Company Profile'!$B$35,_CONFIG_Model_Settings!$A$11:$B$13,2,0),0))),"")</f>
        <v/>
      </c>
      <c r="AO336">
        <f>IF($AL336="","",MAX(0,ROUND($AN336-$AL336,2)))</f>
        <v/>
      </c>
      <c r="AP336">
        <f>IFERROR(SUMIFS(_REF_Model_Content!$E$1:$E$157,_REF_Model_Content!$A$1:$A$157,'Company Profile'!$B$9,_REF_Model_Content!$B$1:$B$157,"Business Systems"),1)</f>
        <v/>
      </c>
      <c r="AQ336">
        <f>IF($AO336="","",ROUND($AO336*$AP336*($G336/5),2))</f>
        <v/>
      </c>
      <c r="AR336">
        <f>IF($AO336="","",IF($AO336&gt;=2,"Critical industry gap",IF($AO336&gt;=1,"High industry gap",IF($AO336&gt;=0.5,"Moderate industry gap","Within target"))))</f>
        <v/>
      </c>
      <c r="AS336">
        <f>IF(OR($H336="",$H336="N/A"),0,VALUE($H336)*(($AJ336+$AK336)/2)*$AV336)</f>
        <v/>
      </c>
      <c r="AT336">
        <f>IF(OR($H336="",$H336="N/A"),0,($AJ336+$AK336)/2)</f>
        <v/>
      </c>
      <c r="AU336">
        <f>'Assessment Questions'!AX336</f>
        <v/>
      </c>
      <c r="AV336">
        <f>IF(OR($H336="",$H336="N/A"),"",IF(OR($AU336="",$AU336="Everywhere",$AU336="Not applicable"),1,IF($AU336="Pilot / one team",0.4,IF($AU336="One unit or site",0.7,0.9))))</f>
        <v/>
      </c>
      <c r="AW336" t="inlineStr">
        <is>
          <t>Business Systems</t>
        </is>
      </c>
      <c r="AX336" t="inlineStr">
        <is>
          <t>Business Systems</t>
        </is>
      </c>
      <c r="AY336" t="n">
        <v>16</v>
      </c>
      <c r="AZ336" t="n">
        <v>336</v>
      </c>
    </row>
    <row r="337">
      <c r="A337" t="inlineStr">
        <is>
          <t>BUSI-014</t>
        </is>
      </c>
      <c r="B337" t="inlineStr">
        <is>
          <t>HRMS and finance systems</t>
        </is>
      </c>
      <c r="C337" t="inlineStr">
        <is>
          <t>How mature is the organization in managing HRMS coverage for employee records, roles, skills, absence, payroll inputs and emergency contacts, including ownership, evidence, metrics, fallback procedures and crisis stress testing?</t>
        </is>
      </c>
      <c r="D337" t="inlineStr">
        <is>
          <t>This topic affects exposure to IT outage; Decision failure; Process disruption. It helps identify how disruption may impact operations, people, revenue, systems, legal exposure or recovery time.</t>
        </is>
      </c>
      <c r="E337" t="inlineStr">
        <is>
          <t>COBIT; ITIL 4; ISO/IEC 27001; ISO/IEC 20000-1; ERP/CRM/MES/HRMS implementation practices</t>
        </is>
      </c>
      <c r="F337" t="inlineStr">
        <is>
          <t>Policy/SOP; owner/RACI; system report; dashboard; contracts; test records; incident history; interview evidence related to HRMS coverage for employee records, roles, skills, absence, payroll inputs and emergency contacts.</t>
        </is>
      </c>
      <c r="G337">
        <f>'Assessment Questions'!J337</f>
        <v/>
      </c>
      <c r="H337">
        <f>IF($Z337="","",IF($Z337="N/A","N/A",VALUE(LEFT($Z337,1))))</f>
        <v/>
      </c>
      <c r="I337">
        <f>IF($H337="","",IF($H337="N/A","",VALUE($H337)/5*$G337))</f>
        <v/>
      </c>
      <c r="J337">
        <f>IF(OR($H337="",$H337="N/A"),"",$G337)</f>
        <v/>
      </c>
      <c r="K337">
        <f>IF(OR($H337="",$H337="N/A"),"",$J337-$I337)</f>
        <v/>
      </c>
      <c r="L337">
        <f>IF($H337="","",IF($H337="N/A","N/A",IF(VALUE($H337)&lt;=1,"Critical",IF(VALUE($H337)&lt;=2,"High",IF(VALUE($H337)&lt;=3,"Medium",IF(VALUE($H337)&lt;=4,"Low","Resilient"))))))</f>
        <v/>
      </c>
      <c r="M337" t="inlineStr">
        <is>
          <t>Does not exist; no owner, no documentation, no practice.</t>
        </is>
      </c>
      <c r="N337" t="inlineStr">
        <is>
          <t>Ad hoc; depends entirely on specific individuals.</t>
        </is>
      </c>
      <c r="O337" t="inlineStr">
        <is>
          <t>Partially documented or implemented; coverage inconsistent; never tested under stress.</t>
        </is>
      </c>
      <c r="P337" t="inlineStr">
        <is>
          <t>Documented, owned, executed consistently; basic evidence and metrics exist.</t>
        </is>
      </c>
      <c r="Q337" t="inlineStr">
        <is>
          <t>Measured and periodically tested/audited; integrated with adjacent processes.</t>
        </is>
      </c>
      <c r="R337" t="inlineStr">
        <is>
          <t>Optimized and automated where practical; stress-tested; benchmarked externally.</t>
        </is>
      </c>
      <c r="S337" t="inlineStr">
        <is>
          <t>IT outage; Decision failure; Process disruption</t>
        </is>
      </c>
      <c r="T337">
        <f>'Assessment Questions'!W337</f>
        <v/>
      </c>
      <c r="U337">
        <f>'Assessment Questions'!X337</f>
        <v/>
      </c>
      <c r="V337">
        <f>'Assessment Questions'!Y337</f>
        <v/>
      </c>
      <c r="W337" t="n">
        <v>5</v>
      </c>
      <c r="X337" t="n">
        <v>5</v>
      </c>
      <c r="Y337" t="n">
        <v>5</v>
      </c>
      <c r="Z337">
        <f>'Assessment Questions'!AC337</f>
        <v/>
      </c>
      <c r="AB337">
        <f>COUNTIF($B$325:$B$345,$AA337)</f>
        <v/>
      </c>
      <c r="AC337">
        <f>IFERROR(SUMPRODUCT(($B$325:$B$345=$AA337)*($H$325:$H$345&lt;&gt;"")*($H$325:$H$345&lt;&gt;"N/A")*IFERROR(VALUE($H$325:$H$345),0))/SUMPRODUCT(($B$325:$B$345=$AA337)*($H$325:$H$345&lt;&gt;"")*($H$325:$H$345&lt;&gt;"N/A")),0)</f>
        <v/>
      </c>
      <c r="AD337">
        <f>AC337/5</f>
        <v/>
      </c>
      <c r="AE337">
        <f>COUNTIFS($B$325:$B$345,$AA337,$L$325:$L$345,"Critical")+COUNTIFS($B$325:$B$345,$AA337,$L$325:$L$345,"High")</f>
        <v/>
      </c>
      <c r="AF337">
        <f>5-AC337</f>
        <v/>
      </c>
      <c r="AG337">
        <f>SUMPRODUCT(($B$325:$B$345=$AA337)*(ISNUMBER($H$325:$H$345)+($H$325:$H$345="N/A")))</f>
        <v/>
      </c>
      <c r="AH337">
        <f>'Assessment Questions'!AK337</f>
        <v/>
      </c>
      <c r="AI337">
        <f>'Assessment Questions'!AL337</f>
        <v/>
      </c>
      <c r="AJ337">
        <f>IF(OR($H337="",$H337="N/A"),"",IF($AH337="",VLOOKUP('Company Profile'!$B$40,_CONFIG_Model_Settings!$A$5:$B$8,2,FALSE),_xlfn.IFNA(VLOOKUP($AH337,_CONFIG_Model_Settings!$A$5:$B$8,2,FALSE),0.9)))</f>
        <v/>
      </c>
      <c r="AK337">
        <f>IF(OR($H337="",$H337="N/A"),"",IF($AI337="",VLOOKUP('Company Profile'!$B$41,_CONFIG_Model_Settings!$A$5:$B$8,2,FALSE),_xlfn.IFNA(VLOOKUP($AI337,_CONFIG_Model_Settings!$A$5:$B$8,2,FALSE),0.9)))</f>
        <v/>
      </c>
      <c r="AL337">
        <f>IF(OR($H337="",$H337="N/A"),"",ROUND(VALUE($H337)*$AJ337*$AK337*$AV337,2))</f>
        <v/>
      </c>
      <c r="AM337">
        <f>IF($AL337="","",ROUND($AL337/5*100,1))</f>
        <v/>
      </c>
      <c r="AN337">
        <f>IFERROR(MIN(5,MAX(0,(SUMIFS(_REF_Model_Content!$D$1:$D$157,_REF_Model_Content!$A$1:$A$157,'Company Profile'!$B$9,_REF_Model_Content!$B$1:$B$157,"Business Systems"))+_xlfn.IFNA(VLOOKUP('Company Profile'!$B$35,_CONFIG_Model_Settings!$A$11:$B$13,2,0),0))),"")</f>
        <v/>
      </c>
      <c r="AO337">
        <f>IF($AL337="","",MAX(0,ROUND($AN337-$AL337,2)))</f>
        <v/>
      </c>
      <c r="AP337">
        <f>IFERROR(SUMIFS(_REF_Model_Content!$E$1:$E$157,_REF_Model_Content!$A$1:$A$157,'Company Profile'!$B$9,_REF_Model_Content!$B$1:$B$157,"Business Systems"),1)</f>
        <v/>
      </c>
      <c r="AQ337">
        <f>IF($AO337="","",ROUND($AO337*$AP337*($G337/5),2))</f>
        <v/>
      </c>
      <c r="AR337">
        <f>IF($AO337="","",IF($AO337&gt;=2,"Critical industry gap",IF($AO337&gt;=1,"High industry gap",IF($AO337&gt;=0.5,"Moderate industry gap","Within target"))))</f>
        <v/>
      </c>
      <c r="AS337">
        <f>IF(OR($H337="",$H337="N/A"),0,VALUE($H337)*(($AJ337+$AK337)/2)*$AV337)</f>
        <v/>
      </c>
      <c r="AT337">
        <f>IF(OR($H337="",$H337="N/A"),0,($AJ337+$AK337)/2)</f>
        <v/>
      </c>
      <c r="AU337">
        <f>'Assessment Questions'!AX337</f>
        <v/>
      </c>
      <c r="AV337">
        <f>IF(OR($H337="",$H337="N/A"),"",IF(OR($AU337="",$AU337="Everywhere",$AU337="Not applicable"),1,IF($AU337="Pilot / one team",0.4,IF($AU337="One unit or site",0.7,0.9))))</f>
        <v/>
      </c>
      <c r="AW337" t="inlineStr">
        <is>
          <t>Business Systems</t>
        </is>
      </c>
      <c r="AX337" t="inlineStr">
        <is>
          <t>Business Systems</t>
        </is>
      </c>
      <c r="AY337" t="n">
        <v>17</v>
      </c>
      <c r="AZ337" t="n">
        <v>337</v>
      </c>
    </row>
    <row r="338">
      <c r="A338" t="inlineStr">
        <is>
          <t>BUSI-015</t>
        </is>
      </c>
      <c r="B338" t="inlineStr">
        <is>
          <t>HRMS and finance systems</t>
        </is>
      </c>
      <c r="C338" t="inlineStr">
        <is>
          <t>How mature is the organization in managing HRMS data quality for employee location, manager, emergency contacts and criticality, including ownership, evidence, metrics, fallback procedures and crisis stress testing?</t>
        </is>
      </c>
      <c r="D338" t="inlineStr">
        <is>
          <t>This topic affects exposure to IT outage; Decision failure; Process disruption. It helps identify how disruption may impact operations, people, revenue, systems, legal exposure or recovery time.</t>
        </is>
      </c>
      <c r="E338" t="inlineStr">
        <is>
          <t>COBIT; ITIL 4; ISO/IEC 27001; ISO/IEC 20000-1; ERP/CRM/MES/HRMS implementation practices</t>
        </is>
      </c>
      <c r="F338" t="inlineStr">
        <is>
          <t>Policy/SOP; owner/RACI; system report; dashboard; contracts; test records; incident history; interview evidence related to HRMS data quality for employee location, manager, emergency contacts and criticality.</t>
        </is>
      </c>
      <c r="G338">
        <f>'Assessment Questions'!J338</f>
        <v/>
      </c>
      <c r="H338">
        <f>IF($Z338="","",IF($Z338="N/A","N/A",VALUE(LEFT($Z338,1))))</f>
        <v/>
      </c>
      <c r="I338">
        <f>IF($H338="","",IF($H338="N/A","",VALUE($H338)/5*$G338))</f>
        <v/>
      </c>
      <c r="J338">
        <f>IF(OR($H338="",$H338="N/A"),"",$G338)</f>
        <v/>
      </c>
      <c r="K338">
        <f>IF(OR($H338="",$H338="N/A"),"",$J338-$I338)</f>
        <v/>
      </c>
      <c r="L338">
        <f>IF($H338="","",IF($H338="N/A","N/A",IF(VALUE($H338)&lt;=1,"Critical",IF(VALUE($H338)&lt;=2,"High",IF(VALUE($H338)&lt;=3,"Medium",IF(VALUE($H338)&lt;=4,"Low","Resilient"))))))</f>
        <v/>
      </c>
      <c r="M338" t="inlineStr">
        <is>
          <t>Does not exist; no owner, no documentation, no practice.</t>
        </is>
      </c>
      <c r="N338" t="inlineStr">
        <is>
          <t>Ad hoc; depends entirely on specific individuals.</t>
        </is>
      </c>
      <c r="O338" t="inlineStr">
        <is>
          <t>Partially documented or implemented; coverage inconsistent; never tested under stress.</t>
        </is>
      </c>
      <c r="P338" t="inlineStr">
        <is>
          <t>Documented, owned, executed consistently; basic evidence and metrics exist.</t>
        </is>
      </c>
      <c r="Q338" t="inlineStr">
        <is>
          <t>Measured and periodically tested/audited; integrated with adjacent processes.</t>
        </is>
      </c>
      <c r="R338" t="inlineStr">
        <is>
          <t>Optimized and automated where practical; stress-tested; benchmarked externally.</t>
        </is>
      </c>
      <c r="S338" t="inlineStr">
        <is>
          <t>IT outage; Decision failure; Process disruption</t>
        </is>
      </c>
      <c r="T338">
        <f>'Assessment Questions'!W338</f>
        <v/>
      </c>
      <c r="U338">
        <f>'Assessment Questions'!X338</f>
        <v/>
      </c>
      <c r="V338">
        <f>'Assessment Questions'!Y338</f>
        <v/>
      </c>
      <c r="W338" t="n">
        <v>5</v>
      </c>
      <c r="X338" t="n">
        <v>5</v>
      </c>
      <c r="Y338" t="n">
        <v>5</v>
      </c>
      <c r="Z338">
        <f>'Assessment Questions'!AC338</f>
        <v/>
      </c>
      <c r="AB338">
        <f>COUNTIF($B$325:$B$345,$AA338)</f>
        <v/>
      </c>
      <c r="AC338">
        <f>IFERROR(SUMPRODUCT(($B$325:$B$345=$AA338)*($H$325:$H$345&lt;&gt;"")*($H$325:$H$345&lt;&gt;"N/A")*IFERROR(VALUE($H$325:$H$345),0))/SUMPRODUCT(($B$325:$B$345=$AA338)*($H$325:$H$345&lt;&gt;"")*($H$325:$H$345&lt;&gt;"N/A")),0)</f>
        <v/>
      </c>
      <c r="AD338">
        <f>AC338/5</f>
        <v/>
      </c>
      <c r="AE338">
        <f>COUNTIFS($B$325:$B$345,$AA338,$L$325:$L$345,"Critical")+COUNTIFS($B$325:$B$345,$AA338,$L$325:$L$345,"High")</f>
        <v/>
      </c>
      <c r="AF338">
        <f>5-AC338</f>
        <v/>
      </c>
      <c r="AG338">
        <f>SUMPRODUCT(($B$325:$B$345=$AA338)*(ISNUMBER($H$325:$H$345)+($H$325:$H$345="N/A")))</f>
        <v/>
      </c>
      <c r="AH338">
        <f>'Assessment Questions'!AK338</f>
        <v/>
      </c>
      <c r="AI338">
        <f>'Assessment Questions'!AL338</f>
        <v/>
      </c>
      <c r="AJ338">
        <f>IF(OR($H338="",$H338="N/A"),"",IF($AH338="",VLOOKUP('Company Profile'!$B$40,_CONFIG_Model_Settings!$A$5:$B$8,2,FALSE),_xlfn.IFNA(VLOOKUP($AH338,_CONFIG_Model_Settings!$A$5:$B$8,2,FALSE),0.9)))</f>
        <v/>
      </c>
      <c r="AK338">
        <f>IF(OR($H338="",$H338="N/A"),"",IF($AI338="",VLOOKUP('Company Profile'!$B$41,_CONFIG_Model_Settings!$A$5:$B$8,2,FALSE),_xlfn.IFNA(VLOOKUP($AI338,_CONFIG_Model_Settings!$A$5:$B$8,2,FALSE),0.9)))</f>
        <v/>
      </c>
      <c r="AL338">
        <f>IF(OR($H338="",$H338="N/A"),"",ROUND(VALUE($H338)*$AJ338*$AK338*$AV338,2))</f>
        <v/>
      </c>
      <c r="AM338">
        <f>IF($AL338="","",ROUND($AL338/5*100,1))</f>
        <v/>
      </c>
      <c r="AN338">
        <f>IFERROR(MIN(5,MAX(0,(SUMIFS(_REF_Model_Content!$D$1:$D$157,_REF_Model_Content!$A$1:$A$157,'Company Profile'!$B$9,_REF_Model_Content!$B$1:$B$157,"Business Systems"))+_xlfn.IFNA(VLOOKUP('Company Profile'!$B$35,_CONFIG_Model_Settings!$A$11:$B$13,2,0),0))),"")</f>
        <v/>
      </c>
      <c r="AO338">
        <f>IF($AL338="","",MAX(0,ROUND($AN338-$AL338,2)))</f>
        <v/>
      </c>
      <c r="AP338">
        <f>IFERROR(SUMIFS(_REF_Model_Content!$E$1:$E$157,_REF_Model_Content!$A$1:$A$157,'Company Profile'!$B$9,_REF_Model_Content!$B$1:$B$157,"Business Systems"),1)</f>
        <v/>
      </c>
      <c r="AQ338">
        <f>IF($AO338="","",ROUND($AO338*$AP338*($G338/5),2))</f>
        <v/>
      </c>
      <c r="AR338">
        <f>IF($AO338="","",IF($AO338&gt;=2,"Critical industry gap",IF($AO338&gt;=1,"High industry gap",IF($AO338&gt;=0.5,"Moderate industry gap","Within target"))))</f>
        <v/>
      </c>
      <c r="AS338">
        <f>IF(OR($H338="",$H338="N/A"),0,VALUE($H338)*(($AJ338+$AK338)/2)*$AV338)</f>
        <v/>
      </c>
      <c r="AT338">
        <f>IF(OR($H338="",$H338="N/A"),0,($AJ338+$AK338)/2)</f>
        <v/>
      </c>
      <c r="AU338">
        <f>'Assessment Questions'!AX338</f>
        <v/>
      </c>
      <c r="AV338">
        <f>IF(OR($H338="",$H338="N/A"),"",IF(OR($AU338="",$AU338="Everywhere",$AU338="Not applicable"),1,IF($AU338="Pilot / one team",0.4,IF($AU338="One unit or site",0.7,0.9))))</f>
        <v/>
      </c>
      <c r="AW338" t="inlineStr">
        <is>
          <t>Business Systems</t>
        </is>
      </c>
      <c r="AX338" t="inlineStr">
        <is>
          <t>Business Systems</t>
        </is>
      </c>
      <c r="AY338" t="n">
        <v>18</v>
      </c>
      <c r="AZ338" t="n">
        <v>338</v>
      </c>
    </row>
    <row r="339">
      <c r="A339" t="inlineStr">
        <is>
          <t>BUSI-016</t>
        </is>
      </c>
      <c r="B339" t="inlineStr">
        <is>
          <t>HRMS and finance systems</t>
        </is>
      </c>
      <c r="C339" t="inlineStr">
        <is>
          <t>How mature is the organization in managing finance, banking, expense, payroll and procurement system integration or reconciliation, including ownership, evidence, metrics, fallback procedures and crisis stress testing?</t>
        </is>
      </c>
      <c r="D339" t="inlineStr">
        <is>
          <t>This topic affects exposure to IT outage; Decision failure; Process disruption. It helps identify how disruption may impact operations, people, revenue, systems, legal exposure or recovery time.</t>
        </is>
      </c>
      <c r="E339" t="inlineStr">
        <is>
          <t>COBIT; ITIL 4; ISO/IEC 27001; ISO/IEC 20000-1; ERP/CRM/MES/HRMS implementation practices</t>
        </is>
      </c>
      <c r="F339" t="inlineStr">
        <is>
          <t>Policy/SOP; owner/RACI; system report; dashboard; contracts; test records; incident history; interview evidence related to finance, banking, expense, payroll and procurement system integration or reconciliation.</t>
        </is>
      </c>
      <c r="G339">
        <f>'Assessment Questions'!J339</f>
        <v/>
      </c>
      <c r="H339">
        <f>IF($Z339="","",IF($Z339="N/A","N/A",VALUE(LEFT($Z339,1))))</f>
        <v/>
      </c>
      <c r="I339">
        <f>IF($H339="","",IF($H339="N/A","",VALUE($H339)/5*$G339))</f>
        <v/>
      </c>
      <c r="J339">
        <f>IF(OR($H339="",$H339="N/A"),"",$G339)</f>
        <v/>
      </c>
      <c r="K339">
        <f>IF(OR($H339="",$H339="N/A"),"",$J339-$I339)</f>
        <v/>
      </c>
      <c r="L339">
        <f>IF($H339="","",IF($H339="N/A","N/A",IF(VALUE($H339)&lt;=1,"Critical",IF(VALUE($H339)&lt;=2,"High",IF(VALUE($H339)&lt;=3,"Medium",IF(VALUE($H339)&lt;=4,"Low","Resilient"))))))</f>
        <v/>
      </c>
      <c r="M339" t="inlineStr">
        <is>
          <t>Does not exist; no owner, no documentation, no practice.</t>
        </is>
      </c>
      <c r="N339" t="inlineStr">
        <is>
          <t>Ad hoc; depends entirely on specific individuals.</t>
        </is>
      </c>
      <c r="O339" t="inlineStr">
        <is>
          <t>Partially documented or implemented; coverage inconsistent; never tested under stress.</t>
        </is>
      </c>
      <c r="P339" t="inlineStr">
        <is>
          <t>Documented, owned, executed consistently; basic evidence and metrics exist.</t>
        </is>
      </c>
      <c r="Q339" t="inlineStr">
        <is>
          <t>Measured and periodically tested/audited; integrated with adjacent processes.</t>
        </is>
      </c>
      <c r="R339" t="inlineStr">
        <is>
          <t>Optimized and automated where practical; stress-tested; benchmarked externally.</t>
        </is>
      </c>
      <c r="S339" t="inlineStr">
        <is>
          <t>IT outage; Decision failure; Process disruption</t>
        </is>
      </c>
      <c r="T339">
        <f>'Assessment Questions'!W339</f>
        <v/>
      </c>
      <c r="U339">
        <f>'Assessment Questions'!X339</f>
        <v/>
      </c>
      <c r="V339">
        <f>'Assessment Questions'!Y339</f>
        <v/>
      </c>
      <c r="W339" t="n">
        <v>5</v>
      </c>
      <c r="X339" t="n">
        <v>5</v>
      </c>
      <c r="Y339" t="n">
        <v>5</v>
      </c>
      <c r="Z339">
        <f>'Assessment Questions'!AC339</f>
        <v/>
      </c>
      <c r="AB339">
        <f>COUNTIF($B$325:$B$345,$AA339)</f>
        <v/>
      </c>
      <c r="AC339">
        <f>IFERROR(SUMPRODUCT(($B$325:$B$345=$AA339)*($H$325:$H$345&lt;&gt;"")*($H$325:$H$345&lt;&gt;"N/A")*IFERROR(VALUE($H$325:$H$345),0))/SUMPRODUCT(($B$325:$B$345=$AA339)*($H$325:$H$345&lt;&gt;"")*($H$325:$H$345&lt;&gt;"N/A")),0)</f>
        <v/>
      </c>
      <c r="AD339">
        <f>AC339/5</f>
        <v/>
      </c>
      <c r="AE339">
        <f>COUNTIFS($B$325:$B$345,$AA339,$L$325:$L$345,"Critical")+COUNTIFS($B$325:$B$345,$AA339,$L$325:$L$345,"High")</f>
        <v/>
      </c>
      <c r="AF339">
        <f>5-AC339</f>
        <v/>
      </c>
      <c r="AG339">
        <f>SUMPRODUCT(($B$325:$B$345=$AA339)*(ISNUMBER($H$325:$H$345)+($H$325:$H$345="N/A")))</f>
        <v/>
      </c>
      <c r="AH339">
        <f>'Assessment Questions'!AK339</f>
        <v/>
      </c>
      <c r="AI339">
        <f>'Assessment Questions'!AL339</f>
        <v/>
      </c>
      <c r="AJ339">
        <f>IF(OR($H339="",$H339="N/A"),"",IF($AH339="",VLOOKUP('Company Profile'!$B$40,_CONFIG_Model_Settings!$A$5:$B$8,2,FALSE),_xlfn.IFNA(VLOOKUP($AH339,_CONFIG_Model_Settings!$A$5:$B$8,2,FALSE),0.9)))</f>
        <v/>
      </c>
      <c r="AK339">
        <f>IF(OR($H339="",$H339="N/A"),"",IF($AI339="",VLOOKUP('Company Profile'!$B$41,_CONFIG_Model_Settings!$A$5:$B$8,2,FALSE),_xlfn.IFNA(VLOOKUP($AI339,_CONFIG_Model_Settings!$A$5:$B$8,2,FALSE),0.9)))</f>
        <v/>
      </c>
      <c r="AL339">
        <f>IF(OR($H339="",$H339="N/A"),"",ROUND(VALUE($H339)*$AJ339*$AK339*$AV339,2))</f>
        <v/>
      </c>
      <c r="AM339">
        <f>IF($AL339="","",ROUND($AL339/5*100,1))</f>
        <v/>
      </c>
      <c r="AN339">
        <f>IFERROR(MIN(5,MAX(0,(SUMIFS(_REF_Model_Content!$D$1:$D$157,_REF_Model_Content!$A$1:$A$157,'Company Profile'!$B$9,_REF_Model_Content!$B$1:$B$157,"Business Systems"))+_xlfn.IFNA(VLOOKUP('Company Profile'!$B$35,_CONFIG_Model_Settings!$A$11:$B$13,2,0),0))),"")</f>
        <v/>
      </c>
      <c r="AO339">
        <f>IF($AL339="","",MAX(0,ROUND($AN339-$AL339,2)))</f>
        <v/>
      </c>
      <c r="AP339">
        <f>IFERROR(SUMIFS(_REF_Model_Content!$E$1:$E$157,_REF_Model_Content!$A$1:$A$157,'Company Profile'!$B$9,_REF_Model_Content!$B$1:$B$157,"Business Systems"),1)</f>
        <v/>
      </c>
      <c r="AQ339">
        <f>IF($AO339="","",ROUND($AO339*$AP339*($G339/5),2))</f>
        <v/>
      </c>
      <c r="AR339">
        <f>IF($AO339="","",IF($AO339&gt;=2,"Critical industry gap",IF($AO339&gt;=1,"High industry gap",IF($AO339&gt;=0.5,"Moderate industry gap","Within target"))))</f>
        <v/>
      </c>
      <c r="AS339">
        <f>IF(OR($H339="",$H339="N/A"),0,VALUE($H339)*(($AJ339+$AK339)/2)*$AV339)</f>
        <v/>
      </c>
      <c r="AT339">
        <f>IF(OR($H339="",$H339="N/A"),0,($AJ339+$AK339)/2)</f>
        <v/>
      </c>
      <c r="AU339">
        <f>'Assessment Questions'!AX339</f>
        <v/>
      </c>
      <c r="AV339">
        <f>IF(OR($H339="",$H339="N/A"),"",IF(OR($AU339="",$AU339="Everywhere",$AU339="Not applicable"),1,IF($AU339="Pilot / one team",0.4,IF($AU339="One unit or site",0.7,0.9))))</f>
        <v/>
      </c>
      <c r="AW339" t="inlineStr">
        <is>
          <t>Business Systems</t>
        </is>
      </c>
      <c r="AX339" t="inlineStr">
        <is>
          <t>Business Systems</t>
        </is>
      </c>
      <c r="AY339" t="n">
        <v>19</v>
      </c>
      <c r="AZ339" t="n">
        <v>339</v>
      </c>
    </row>
    <row r="340">
      <c r="A340" t="inlineStr">
        <is>
          <t>BUSI-018</t>
        </is>
      </c>
      <c r="B340" t="inlineStr">
        <is>
          <t>Governance and lifecycle</t>
        </is>
      </c>
      <c r="C340" t="inlineStr">
        <is>
          <t>How mature is the organization in managing system ownership with business owner, technical owner, data owner and support owner, including ownership, evidence, metrics, fallback procedures and crisis stress testing?</t>
        </is>
      </c>
      <c r="D340" t="inlineStr">
        <is>
          <t>This topic affects exposure to IT outage; Decision failure; Process disruption. It helps identify how disruption may impact operations, people, revenue, systems, legal exposure or recovery time.</t>
        </is>
      </c>
      <c r="E340" t="inlineStr">
        <is>
          <t>COBIT; ITIL 4; ISO/IEC 27001; ISO/IEC 20000-1; ERP/CRM/MES/HRMS implementation practices</t>
        </is>
      </c>
      <c r="F340" t="inlineStr">
        <is>
          <t>Policy/SOP; owner/RACI; system report; dashboard; contracts; test records; incident history; interview evidence related to system ownership with business owner, technical owner, data owner and support owner.</t>
        </is>
      </c>
      <c r="G340">
        <f>'Assessment Questions'!J340</f>
        <v/>
      </c>
      <c r="H340">
        <f>IF($Z340="","",IF($Z340="N/A","N/A",VALUE(LEFT($Z340,1))))</f>
        <v/>
      </c>
      <c r="I340">
        <f>IF($H340="","",IF($H340="N/A","",VALUE($H340)/5*$G340))</f>
        <v/>
      </c>
      <c r="J340">
        <f>IF(OR($H340="",$H340="N/A"),"",$G340)</f>
        <v/>
      </c>
      <c r="K340">
        <f>IF(OR($H340="",$H340="N/A"),"",$J340-$I340)</f>
        <v/>
      </c>
      <c r="L340">
        <f>IF($H340="","",IF($H340="N/A","N/A",IF(VALUE($H340)&lt;=1,"Critical",IF(VALUE($H340)&lt;=2,"High",IF(VALUE($H340)&lt;=3,"Medium",IF(VALUE($H340)&lt;=4,"Low","Resilient"))))))</f>
        <v/>
      </c>
      <c r="M340" t="inlineStr">
        <is>
          <t>No reliable evidence that system ownership with business owner, technical owner, data owner and support owner is defined, owned or managed.</t>
        </is>
      </c>
      <c r="N340" t="inlineStr">
        <is>
          <t>System ownership with business owner, technical owner, data owner and support owner is handled informally and depends on individual knowledge or heroic effort.</t>
        </is>
      </c>
      <c r="O340" t="inlineStr">
        <is>
          <t>System ownership with business owner, technical owner, data owner and support owner is partially documented or implemented, but coverage is inconsistent and not crisis-tested.</t>
        </is>
      </c>
      <c r="P340" t="inlineStr">
        <is>
          <t>System ownership with business owner, technical owner, data owner and support owner is documented, owned, used in normal operations and supported by basic evidence or metrics.</t>
        </is>
      </c>
      <c r="Q340" t="inlineStr">
        <is>
          <t>System ownership with business owner, technical owner, data owner and support owner is measured, periodically reviewed, integrated with related processes and tested against relevant disruption scenarios.</t>
        </is>
      </c>
      <c r="R340" t="inlineStr">
        <is>
          <t>System ownership with business owner, technical owner, data owner and support owner is optimized, continuously improved, automated where practical and demonstrably supports crisis resilience.</t>
        </is>
      </c>
      <c r="S340" t="inlineStr">
        <is>
          <t>IT outage; Decision failure; Process disruption</t>
        </is>
      </c>
      <c r="T340">
        <f>'Assessment Questions'!W340</f>
        <v/>
      </c>
      <c r="U340">
        <f>'Assessment Questions'!X340</f>
        <v/>
      </c>
      <c r="V340">
        <f>'Assessment Questions'!Y340</f>
        <v/>
      </c>
      <c r="W340" t="n">
        <v>5</v>
      </c>
      <c r="X340" t="n">
        <v>5</v>
      </c>
      <c r="Y340" t="n">
        <v>5</v>
      </c>
      <c r="Z340">
        <f>'Assessment Questions'!AC340</f>
        <v/>
      </c>
      <c r="AB340">
        <f>COUNTIF($B$325:$B$345,$AA340)</f>
        <v/>
      </c>
      <c r="AC340">
        <f>IFERROR(SUMPRODUCT(($B$325:$B$345=$AA340)*($H$325:$H$345&lt;&gt;"")*($H$325:$H$345&lt;&gt;"N/A")*IFERROR(VALUE($H$325:$H$345),0))/SUMPRODUCT(($B$325:$B$345=$AA340)*($H$325:$H$345&lt;&gt;"")*($H$325:$H$345&lt;&gt;"N/A")),0)</f>
        <v/>
      </c>
      <c r="AD340">
        <f>AC340/5</f>
        <v/>
      </c>
      <c r="AE340">
        <f>COUNTIFS($B$325:$B$345,$AA340,$L$325:$L$345,"Critical")+COUNTIFS($B$325:$B$345,$AA340,$L$325:$L$345,"High")</f>
        <v/>
      </c>
      <c r="AF340">
        <f>5-AC340</f>
        <v/>
      </c>
      <c r="AG340">
        <f>SUMPRODUCT(($B$325:$B$345=$AA340)*(ISNUMBER($H$325:$H$345)+($H$325:$H$345="N/A")))</f>
        <v/>
      </c>
      <c r="AH340">
        <f>'Assessment Questions'!AK340</f>
        <v/>
      </c>
      <c r="AI340">
        <f>'Assessment Questions'!AL340</f>
        <v/>
      </c>
      <c r="AJ340">
        <f>IF(OR($H340="",$H340="N/A"),"",IF($AH340="",VLOOKUP('Company Profile'!$B$40,_CONFIG_Model_Settings!$A$5:$B$8,2,FALSE),_xlfn.IFNA(VLOOKUP($AH340,_CONFIG_Model_Settings!$A$5:$B$8,2,FALSE),0.9)))</f>
        <v/>
      </c>
      <c r="AK340">
        <f>IF(OR($H340="",$H340="N/A"),"",IF($AI340="",VLOOKUP('Company Profile'!$B$41,_CONFIG_Model_Settings!$A$5:$B$8,2,FALSE),_xlfn.IFNA(VLOOKUP($AI340,_CONFIG_Model_Settings!$A$5:$B$8,2,FALSE),0.9)))</f>
        <v/>
      </c>
      <c r="AL340">
        <f>IF(OR($H340="",$H340="N/A"),"",ROUND(VALUE($H340)*$AJ340*$AK340*$AV340,2))</f>
        <v/>
      </c>
      <c r="AM340">
        <f>IF($AL340="","",ROUND($AL340/5*100,1))</f>
        <v/>
      </c>
      <c r="AN340">
        <f>IFERROR(MIN(5,MAX(0,(SUMIFS(_REF_Model_Content!$D$1:$D$157,_REF_Model_Content!$A$1:$A$157,'Company Profile'!$B$9,_REF_Model_Content!$B$1:$B$157,"Business Systems"))+_xlfn.IFNA(VLOOKUP('Company Profile'!$B$35,_CONFIG_Model_Settings!$A$11:$B$13,2,0),0))),"")</f>
        <v/>
      </c>
      <c r="AO340">
        <f>IF($AL340="","",MAX(0,ROUND($AN340-$AL340,2)))</f>
        <v/>
      </c>
      <c r="AP340">
        <f>IFERROR(SUMIFS(_REF_Model_Content!$E$1:$E$157,_REF_Model_Content!$A$1:$A$157,'Company Profile'!$B$9,_REF_Model_Content!$B$1:$B$157,"Business Systems"),1)</f>
        <v/>
      </c>
      <c r="AQ340">
        <f>IF($AO340="","",ROUND($AO340*$AP340*($G340/5),2))</f>
        <v/>
      </c>
      <c r="AR340">
        <f>IF($AO340="","",IF($AO340&gt;=2,"Critical industry gap",IF($AO340&gt;=1,"High industry gap",IF($AO340&gt;=0.5,"Moderate industry gap","Within target"))))</f>
        <v/>
      </c>
      <c r="AS340">
        <f>IF(OR($H340="",$H340="N/A"),0,VALUE($H340)*(($AJ340+$AK340)/2)*$AV340)</f>
        <v/>
      </c>
      <c r="AT340">
        <f>IF(OR($H340="",$H340="N/A"),0,($AJ340+$AK340)/2)</f>
        <v/>
      </c>
      <c r="AU340">
        <f>'Assessment Questions'!AX340</f>
        <v/>
      </c>
      <c r="AV340">
        <f>IF(OR($H340="",$H340="N/A"),"",IF(OR($AU340="",$AU340="Everywhere",$AU340="Not applicable"),1,IF($AU340="Pilot / one team",0.4,IF($AU340="One unit or site",0.7,0.9))))</f>
        <v/>
      </c>
      <c r="AW340" t="inlineStr">
        <is>
          <t>Business Systems</t>
        </is>
      </c>
      <c r="AX340" t="inlineStr">
        <is>
          <t>Business Systems</t>
        </is>
      </c>
      <c r="AY340" t="n">
        <v>20</v>
      </c>
      <c r="AZ340" t="n">
        <v>340</v>
      </c>
    </row>
    <row r="341">
      <c r="A341" t="inlineStr">
        <is>
          <t>BUSI-019</t>
        </is>
      </c>
      <c r="B341" t="inlineStr">
        <is>
          <t>Governance and lifecycle</t>
        </is>
      </c>
      <c r="C341" t="inlineStr">
        <is>
          <t>How mature is the organization in managing critical system lifecycle review for fit, cost, risk, security, scalability and replacement needs, including ownership, evidence, metrics, fallback procedures and crisis stress testing?</t>
        </is>
      </c>
      <c r="D341" t="inlineStr">
        <is>
          <t>This topic affects exposure to IT outage; Decision failure; Process disruption. It helps identify how disruption may impact operations, people, revenue, systems, legal exposure or recovery time.</t>
        </is>
      </c>
      <c r="E341" t="inlineStr">
        <is>
          <t>COBIT; ITIL 4; ISO/IEC 27001; ISO/IEC 20000-1; ERP/CRM/MES/HRMS implementation practices</t>
        </is>
      </c>
      <c r="F341" t="inlineStr">
        <is>
          <t>Policy/SOP; owner/RACI; system report; dashboard; contracts; test records; incident history; interview evidence related to critical system lifecycle review for fit, cost, risk, security, scalability and replacement needs.</t>
        </is>
      </c>
      <c r="G341">
        <f>'Assessment Questions'!J341</f>
        <v/>
      </c>
      <c r="H341">
        <f>IF($Z341="","",IF($Z341="N/A","N/A",VALUE(LEFT($Z341,1))))</f>
        <v/>
      </c>
      <c r="I341">
        <f>IF($H341="","",IF($H341="N/A","",VALUE($H341)/5*$G341))</f>
        <v/>
      </c>
      <c r="J341">
        <f>IF(OR($H341="",$H341="N/A"),"",$G341)</f>
        <v/>
      </c>
      <c r="K341">
        <f>IF(OR($H341="",$H341="N/A"),"",$J341-$I341)</f>
        <v/>
      </c>
      <c r="L341">
        <f>IF($H341="","",IF($H341="N/A","N/A",IF(VALUE($H341)&lt;=1,"Critical",IF(VALUE($H341)&lt;=2,"High",IF(VALUE($H341)&lt;=3,"Medium",IF(VALUE($H341)&lt;=4,"Low","Resilient"))))))</f>
        <v/>
      </c>
      <c r="M341" t="inlineStr">
        <is>
          <t>Does not exist; no owner, no documentation, no practice.</t>
        </is>
      </c>
      <c r="N341" t="inlineStr">
        <is>
          <t>Ad hoc; depends entirely on specific individuals.</t>
        </is>
      </c>
      <c r="O341" t="inlineStr">
        <is>
          <t>Partially documented or implemented; coverage inconsistent; never tested under stress.</t>
        </is>
      </c>
      <c r="P341" t="inlineStr">
        <is>
          <t>Documented, owned, executed consistently; basic evidence and metrics exist.</t>
        </is>
      </c>
      <c r="Q341" t="inlineStr">
        <is>
          <t>Measured and periodically tested/audited; integrated with adjacent processes.</t>
        </is>
      </c>
      <c r="R341" t="inlineStr">
        <is>
          <t>Optimized and automated where practical; stress-tested; benchmarked externally.</t>
        </is>
      </c>
      <c r="S341" t="inlineStr">
        <is>
          <t>IT outage; Decision failure; Process disruption</t>
        </is>
      </c>
      <c r="T341">
        <f>'Assessment Questions'!W341</f>
        <v/>
      </c>
      <c r="U341">
        <f>'Assessment Questions'!X341</f>
        <v/>
      </c>
      <c r="V341">
        <f>'Assessment Questions'!Y341</f>
        <v/>
      </c>
      <c r="W341" t="n">
        <v>5</v>
      </c>
      <c r="X341" t="n">
        <v>5</v>
      </c>
      <c r="Y341" t="n">
        <v>5</v>
      </c>
      <c r="Z341">
        <f>'Assessment Questions'!AC341</f>
        <v/>
      </c>
      <c r="AB341">
        <f>COUNTIF($B$325:$B$345,$AA341)</f>
        <v/>
      </c>
      <c r="AC341">
        <f>IFERROR(SUMPRODUCT(($B$325:$B$345=$AA341)*($H$325:$H$345&lt;&gt;"")*($H$325:$H$345&lt;&gt;"N/A")*IFERROR(VALUE($H$325:$H$345),0))/SUMPRODUCT(($B$325:$B$345=$AA341)*($H$325:$H$345&lt;&gt;"")*($H$325:$H$345&lt;&gt;"N/A")),0)</f>
        <v/>
      </c>
      <c r="AD341">
        <f>AC341/5</f>
        <v/>
      </c>
      <c r="AE341">
        <f>COUNTIFS($B$325:$B$345,$AA341,$L$325:$L$345,"Critical")+COUNTIFS($B$325:$B$345,$AA341,$L$325:$L$345,"High")</f>
        <v/>
      </c>
      <c r="AF341">
        <f>5-AC341</f>
        <v/>
      </c>
      <c r="AG341">
        <f>SUMPRODUCT(($B$325:$B$345=$AA341)*(ISNUMBER($H$325:$H$345)+($H$325:$H$345="N/A")))</f>
        <v/>
      </c>
      <c r="AH341">
        <f>'Assessment Questions'!AK341</f>
        <v/>
      </c>
      <c r="AI341">
        <f>'Assessment Questions'!AL341</f>
        <v/>
      </c>
      <c r="AJ341">
        <f>IF(OR($H341="",$H341="N/A"),"",IF($AH341="",VLOOKUP('Company Profile'!$B$40,_CONFIG_Model_Settings!$A$5:$B$8,2,FALSE),_xlfn.IFNA(VLOOKUP($AH341,_CONFIG_Model_Settings!$A$5:$B$8,2,FALSE),0.9)))</f>
        <v/>
      </c>
      <c r="AK341">
        <f>IF(OR($H341="",$H341="N/A"),"",IF($AI341="",VLOOKUP('Company Profile'!$B$41,_CONFIG_Model_Settings!$A$5:$B$8,2,FALSE),_xlfn.IFNA(VLOOKUP($AI341,_CONFIG_Model_Settings!$A$5:$B$8,2,FALSE),0.9)))</f>
        <v/>
      </c>
      <c r="AL341">
        <f>IF(OR($H341="",$H341="N/A"),"",ROUND(VALUE($H341)*$AJ341*$AK341*$AV341,2))</f>
        <v/>
      </c>
      <c r="AM341">
        <f>IF($AL341="","",ROUND($AL341/5*100,1))</f>
        <v/>
      </c>
      <c r="AN341">
        <f>IFERROR(MIN(5,MAX(0,(SUMIFS(_REF_Model_Content!$D$1:$D$157,_REF_Model_Content!$A$1:$A$157,'Company Profile'!$B$9,_REF_Model_Content!$B$1:$B$157,"Business Systems"))+_xlfn.IFNA(VLOOKUP('Company Profile'!$B$35,_CONFIG_Model_Settings!$A$11:$B$13,2,0),0))),"")</f>
        <v/>
      </c>
      <c r="AO341">
        <f>IF($AL341="","",MAX(0,ROUND($AN341-$AL341,2)))</f>
        <v/>
      </c>
      <c r="AP341">
        <f>IFERROR(SUMIFS(_REF_Model_Content!$E$1:$E$157,_REF_Model_Content!$A$1:$A$157,'Company Profile'!$B$9,_REF_Model_Content!$B$1:$B$157,"Business Systems"),1)</f>
        <v/>
      </c>
      <c r="AQ341">
        <f>IF($AO341="","",ROUND($AO341*$AP341*($G341/5),2))</f>
        <v/>
      </c>
      <c r="AR341">
        <f>IF($AO341="","",IF($AO341&gt;=2,"Critical industry gap",IF($AO341&gt;=1,"High industry gap",IF($AO341&gt;=0.5,"Moderate industry gap","Within target"))))</f>
        <v/>
      </c>
      <c r="AS341">
        <f>IF(OR($H341="",$H341="N/A"),0,VALUE($H341)*(($AJ341+$AK341)/2)*$AV341)</f>
        <v/>
      </c>
      <c r="AT341">
        <f>IF(OR($H341="",$H341="N/A"),0,($AJ341+$AK341)/2)</f>
        <v/>
      </c>
      <c r="AU341">
        <f>'Assessment Questions'!AX341</f>
        <v/>
      </c>
      <c r="AV341">
        <f>IF(OR($H341="",$H341="N/A"),"",IF(OR($AU341="",$AU341="Everywhere",$AU341="Not applicable"),1,IF($AU341="Pilot / one team",0.4,IF($AU341="One unit or site",0.7,0.9))))</f>
        <v/>
      </c>
      <c r="AW341" t="inlineStr">
        <is>
          <t>Business Systems</t>
        </is>
      </c>
      <c r="AX341" t="inlineStr">
        <is>
          <t>Business Systems</t>
        </is>
      </c>
      <c r="AY341" t="n">
        <v>21</v>
      </c>
      <c r="AZ341" t="n">
        <v>341</v>
      </c>
    </row>
    <row r="342">
      <c r="A342" t="inlineStr">
        <is>
          <t>BUSI-020</t>
        </is>
      </c>
      <c r="B342" t="inlineStr">
        <is>
          <t>Governance and lifecycle</t>
        </is>
      </c>
      <c r="C342" t="inlineStr">
        <is>
          <t>How mature is the organization in managing shadow IT inventory for business-critical spreadsheets, scripts, low-code apps and unmanaged SaaS, including ownership, evidence, metrics, fallback procedures and crisis stress testing?</t>
        </is>
      </c>
      <c r="D342" t="inlineStr">
        <is>
          <t>This topic affects exposure to IT outage; Decision failure; Process disruption. It helps identify how disruption may impact operations, people, revenue, systems, legal exposure or recovery time.</t>
        </is>
      </c>
      <c r="E342" t="inlineStr">
        <is>
          <t>COBIT; ITIL 4; ISO/IEC 27001; ISO/IEC 20000-1; ERP/CRM/MES/HRMS implementation practices</t>
        </is>
      </c>
      <c r="F342" t="inlineStr">
        <is>
          <t>Policy/SOP; owner/RACI; system report; dashboard; contracts; test records; incident history; interview evidence related to shadow IT inventory for business-critical spreadsheets, scripts, low-code apps and unmanaged SaaS.</t>
        </is>
      </c>
      <c r="G342">
        <f>'Assessment Questions'!J342</f>
        <v/>
      </c>
      <c r="H342">
        <f>IF($Z342="","",IF($Z342="N/A","N/A",VALUE(LEFT($Z342,1))))</f>
        <v/>
      </c>
      <c r="I342">
        <f>IF($H342="","",IF($H342="N/A","",VALUE($H342)/5*$G342))</f>
        <v/>
      </c>
      <c r="J342">
        <f>IF(OR($H342="",$H342="N/A"),"",$G342)</f>
        <v/>
      </c>
      <c r="K342">
        <f>IF(OR($H342="",$H342="N/A"),"",$J342-$I342)</f>
        <v/>
      </c>
      <c r="L342">
        <f>IF($H342="","",IF($H342="N/A","N/A",IF(VALUE($H342)&lt;=1,"Critical",IF(VALUE($H342)&lt;=2,"High",IF(VALUE($H342)&lt;=3,"Medium",IF(VALUE($H342)&lt;=4,"Low","Resilient"))))))</f>
        <v/>
      </c>
      <c r="M342" t="inlineStr">
        <is>
          <t>No inventory/register exists.</t>
        </is>
      </c>
      <c r="N342" t="inlineStr">
        <is>
          <t>Partial lists live in individuals' heads or personal files.</t>
        </is>
      </c>
      <c r="O342" t="inlineStr">
        <is>
          <t>A register exists but is incomplete or outdated (&gt;1 year) and has no owner.</t>
        </is>
      </c>
      <c r="P342" t="inlineStr">
        <is>
          <t>Owned, documented, updated on a defined schedule, covers the main scope.</t>
        </is>
      </c>
      <c r="Q342" t="inlineStr">
        <is>
          <t>Complete and periodically reviewed; integrated with related processes; completeness measured.</t>
        </is>
      </c>
      <c r="R342" t="inlineStr">
        <is>
          <t>Maintained automatically or synced with systems; drives decisions; audited.</t>
        </is>
      </c>
      <c r="S342" t="inlineStr">
        <is>
          <t>IT outage; Decision failure; Process disruption</t>
        </is>
      </c>
      <c r="T342">
        <f>'Assessment Questions'!W342</f>
        <v/>
      </c>
      <c r="U342">
        <f>'Assessment Questions'!X342</f>
        <v/>
      </c>
      <c r="V342">
        <f>'Assessment Questions'!Y342</f>
        <v/>
      </c>
      <c r="W342" t="n">
        <v>5</v>
      </c>
      <c r="X342" t="n">
        <v>5</v>
      </c>
      <c r="Y342" t="n">
        <v>5</v>
      </c>
      <c r="Z342">
        <f>'Assessment Questions'!AC342</f>
        <v/>
      </c>
      <c r="AB342">
        <f>COUNTIF($B$325:$B$345,$AA342)</f>
        <v/>
      </c>
      <c r="AC342">
        <f>IFERROR(SUMPRODUCT(($B$325:$B$345=$AA342)*($H$325:$H$345&lt;&gt;"")*($H$325:$H$345&lt;&gt;"N/A")*IFERROR(VALUE($H$325:$H$345),0))/SUMPRODUCT(($B$325:$B$345=$AA342)*($H$325:$H$345&lt;&gt;"")*($H$325:$H$345&lt;&gt;"N/A")),0)</f>
        <v/>
      </c>
      <c r="AD342">
        <f>AC342/5</f>
        <v/>
      </c>
      <c r="AE342">
        <f>COUNTIFS($B$325:$B$345,$AA342,$L$325:$L$345,"Critical")+COUNTIFS($B$325:$B$345,$AA342,$L$325:$L$345,"High")</f>
        <v/>
      </c>
      <c r="AF342">
        <f>5-AC342</f>
        <v/>
      </c>
      <c r="AG342">
        <f>SUMPRODUCT(($B$325:$B$345=$AA342)*(ISNUMBER($H$325:$H$345)+($H$325:$H$345="N/A")))</f>
        <v/>
      </c>
      <c r="AH342">
        <f>'Assessment Questions'!AK342</f>
        <v/>
      </c>
      <c r="AI342">
        <f>'Assessment Questions'!AL342</f>
        <v/>
      </c>
      <c r="AJ342">
        <f>IF(OR($H342="",$H342="N/A"),"",IF($AH342="",VLOOKUP('Company Profile'!$B$40,_CONFIG_Model_Settings!$A$5:$B$8,2,FALSE),_xlfn.IFNA(VLOOKUP($AH342,_CONFIG_Model_Settings!$A$5:$B$8,2,FALSE),0.9)))</f>
        <v/>
      </c>
      <c r="AK342">
        <f>IF(OR($H342="",$H342="N/A"),"",IF($AI342="",VLOOKUP('Company Profile'!$B$41,_CONFIG_Model_Settings!$A$5:$B$8,2,FALSE),_xlfn.IFNA(VLOOKUP($AI342,_CONFIG_Model_Settings!$A$5:$B$8,2,FALSE),0.9)))</f>
        <v/>
      </c>
      <c r="AL342">
        <f>IF(OR($H342="",$H342="N/A"),"",ROUND(VALUE($H342)*$AJ342*$AK342*$AV342,2))</f>
        <v/>
      </c>
      <c r="AM342">
        <f>IF($AL342="","",ROUND($AL342/5*100,1))</f>
        <v/>
      </c>
      <c r="AN342">
        <f>IFERROR(MIN(5,MAX(0,(SUMIFS(_REF_Model_Content!$D$1:$D$157,_REF_Model_Content!$A$1:$A$157,'Company Profile'!$B$9,_REF_Model_Content!$B$1:$B$157,"Business Systems"))+_xlfn.IFNA(VLOOKUP('Company Profile'!$B$35,_CONFIG_Model_Settings!$A$11:$B$13,2,0),0))),"")</f>
        <v/>
      </c>
      <c r="AO342">
        <f>IF($AL342="","",MAX(0,ROUND($AN342-$AL342,2)))</f>
        <v/>
      </c>
      <c r="AP342">
        <f>IFERROR(SUMIFS(_REF_Model_Content!$E$1:$E$157,_REF_Model_Content!$A$1:$A$157,'Company Profile'!$B$9,_REF_Model_Content!$B$1:$B$157,"Business Systems"),1)</f>
        <v/>
      </c>
      <c r="AQ342">
        <f>IF($AO342="","",ROUND($AO342*$AP342*($G342/5),2))</f>
        <v/>
      </c>
      <c r="AR342">
        <f>IF($AO342="","",IF($AO342&gt;=2,"Critical industry gap",IF($AO342&gt;=1,"High industry gap",IF($AO342&gt;=0.5,"Moderate industry gap","Within target"))))</f>
        <v/>
      </c>
      <c r="AS342">
        <f>IF(OR($H342="",$H342="N/A"),0,VALUE($H342)*(($AJ342+$AK342)/2)*$AV342)</f>
        <v/>
      </c>
      <c r="AT342">
        <f>IF(OR($H342="",$H342="N/A"),0,($AJ342+$AK342)/2)</f>
        <v/>
      </c>
      <c r="AU342">
        <f>'Assessment Questions'!AX342</f>
        <v/>
      </c>
      <c r="AV342">
        <f>IF(OR($H342="",$H342="N/A"),"",IF(OR($AU342="",$AU342="Everywhere",$AU342="Not applicable"),1,IF($AU342="Pilot / one team",0.4,IF($AU342="One unit or site",0.7,0.9))))</f>
        <v/>
      </c>
      <c r="AW342" t="inlineStr">
        <is>
          <t>Business Systems</t>
        </is>
      </c>
      <c r="AX342" t="inlineStr">
        <is>
          <t>Business Systems</t>
        </is>
      </c>
      <c r="AY342" t="n">
        <v>22</v>
      </c>
      <c r="AZ342" t="n">
        <v>342</v>
      </c>
    </row>
    <row r="343">
      <c r="A343" t="inlineStr">
        <is>
          <t>BUSI-021</t>
        </is>
      </c>
      <c r="B343" t="inlineStr">
        <is>
          <t>Governance and lifecycle</t>
        </is>
      </c>
      <c r="C343" t="inlineStr">
        <is>
          <t>How mature is the organization in managing admin account governance across ERP, CRM, HRMS, MES, BI and SaaS tools, including ownership, evidence, metrics, fallback procedures and crisis stress testing?</t>
        </is>
      </c>
      <c r="D343" t="inlineStr">
        <is>
          <t>This topic affects exposure to IT outage; Decision failure; Process disruption. It helps identify how disruption may impact operations, people, revenue, systems, legal exposure or recovery time.</t>
        </is>
      </c>
      <c r="E343" t="inlineStr">
        <is>
          <t>COBIT; ITIL 4; ISO/IEC 27001; ISO/IEC 20000-1; ERP/CRM/MES/HRMS implementation practices</t>
        </is>
      </c>
      <c r="F343" t="inlineStr">
        <is>
          <t>Policy/SOP; owner/RACI; system report; dashboard; contracts; test records; incident history; interview evidence related to admin account governance across ERP, CRM, HRMS, MES, BI and SaaS tools.</t>
        </is>
      </c>
      <c r="G343">
        <f>'Assessment Questions'!J343</f>
        <v/>
      </c>
      <c r="H343">
        <f>IF($Z343="","",IF($Z343="N/A","N/A",VALUE(LEFT($Z343,1))))</f>
        <v/>
      </c>
      <c r="I343">
        <f>IF($H343="","",IF($H343="N/A","",VALUE($H343)/5*$G343))</f>
        <v/>
      </c>
      <c r="J343">
        <f>IF(OR($H343="",$H343="N/A"),"",$G343)</f>
        <v/>
      </c>
      <c r="K343">
        <f>IF(OR($H343="",$H343="N/A"),"",$J343-$I343)</f>
        <v/>
      </c>
      <c r="L343">
        <f>IF($H343="","",IF($H343="N/A","N/A",IF(VALUE($H343)&lt;=1,"Critical",IF(VALUE($H343)&lt;=2,"High",IF(VALUE($H343)&lt;=3,"Medium",IF(VALUE($H343)&lt;=4,"Low","Resilient"))))))</f>
        <v/>
      </c>
      <c r="M343" t="inlineStr">
        <is>
          <t>Does not exist; no owner, no documentation, no practice.</t>
        </is>
      </c>
      <c r="N343" t="inlineStr">
        <is>
          <t>Ad hoc; depends entirely on specific individuals.</t>
        </is>
      </c>
      <c r="O343" t="inlineStr">
        <is>
          <t>Partially documented or implemented; coverage inconsistent; never tested under stress.</t>
        </is>
      </c>
      <c r="P343" t="inlineStr">
        <is>
          <t>Documented, owned, executed consistently; basic evidence and metrics exist.</t>
        </is>
      </c>
      <c r="Q343" t="inlineStr">
        <is>
          <t>Measured and periodically tested/audited; integrated with adjacent processes.</t>
        </is>
      </c>
      <c r="R343" t="inlineStr">
        <is>
          <t>Optimized and automated where practical; stress-tested; benchmarked externally.</t>
        </is>
      </c>
      <c r="S343" t="inlineStr">
        <is>
          <t>IT outage; Decision failure; Process disruption</t>
        </is>
      </c>
      <c r="T343">
        <f>'Assessment Questions'!W343</f>
        <v/>
      </c>
      <c r="U343">
        <f>'Assessment Questions'!X343</f>
        <v/>
      </c>
      <c r="V343">
        <f>'Assessment Questions'!Y343</f>
        <v/>
      </c>
      <c r="W343" t="n">
        <v>5</v>
      </c>
      <c r="X343" t="n">
        <v>5</v>
      </c>
      <c r="Y343" t="n">
        <v>5</v>
      </c>
      <c r="Z343">
        <f>'Assessment Questions'!AC343</f>
        <v/>
      </c>
      <c r="AB343">
        <f>COUNTIF($B$325:$B$345,$AA343)</f>
        <v/>
      </c>
      <c r="AC343">
        <f>IFERROR(SUMPRODUCT(($B$325:$B$345=$AA343)*($H$325:$H$345&lt;&gt;"")*($H$325:$H$345&lt;&gt;"N/A")*IFERROR(VALUE($H$325:$H$345),0))/SUMPRODUCT(($B$325:$B$345=$AA343)*($H$325:$H$345&lt;&gt;"")*($H$325:$H$345&lt;&gt;"N/A")),0)</f>
        <v/>
      </c>
      <c r="AD343">
        <f>AC343/5</f>
        <v/>
      </c>
      <c r="AE343">
        <f>COUNTIFS($B$325:$B$345,$AA343,$L$325:$L$345,"Critical")+COUNTIFS($B$325:$B$345,$AA343,$L$325:$L$345,"High")</f>
        <v/>
      </c>
      <c r="AF343">
        <f>5-AC343</f>
        <v/>
      </c>
      <c r="AG343">
        <f>SUMPRODUCT(($B$325:$B$345=$AA343)*(ISNUMBER($H$325:$H$345)+($H$325:$H$345="N/A")))</f>
        <v/>
      </c>
      <c r="AH343">
        <f>'Assessment Questions'!AK343</f>
        <v/>
      </c>
      <c r="AI343">
        <f>'Assessment Questions'!AL343</f>
        <v/>
      </c>
      <c r="AJ343">
        <f>IF(OR($H343="",$H343="N/A"),"",IF($AH343="",VLOOKUP('Company Profile'!$B$40,_CONFIG_Model_Settings!$A$5:$B$8,2,FALSE),_xlfn.IFNA(VLOOKUP($AH343,_CONFIG_Model_Settings!$A$5:$B$8,2,FALSE),0.9)))</f>
        <v/>
      </c>
      <c r="AK343">
        <f>IF(OR($H343="",$H343="N/A"),"",IF($AI343="",VLOOKUP('Company Profile'!$B$41,_CONFIG_Model_Settings!$A$5:$B$8,2,FALSE),_xlfn.IFNA(VLOOKUP($AI343,_CONFIG_Model_Settings!$A$5:$B$8,2,FALSE),0.9)))</f>
        <v/>
      </c>
      <c r="AL343">
        <f>IF(OR($H343="",$H343="N/A"),"",ROUND(VALUE($H343)*$AJ343*$AK343*$AV343,2))</f>
        <v/>
      </c>
      <c r="AM343">
        <f>IF($AL343="","",ROUND($AL343/5*100,1))</f>
        <v/>
      </c>
      <c r="AN343">
        <f>IFERROR(MIN(5,MAX(0,(SUMIFS(_REF_Model_Content!$D$1:$D$157,_REF_Model_Content!$A$1:$A$157,'Company Profile'!$B$9,_REF_Model_Content!$B$1:$B$157,"Business Systems"))+_xlfn.IFNA(VLOOKUP('Company Profile'!$B$35,_CONFIG_Model_Settings!$A$11:$B$13,2,0),0))),"")</f>
        <v/>
      </c>
      <c r="AO343">
        <f>IF($AL343="","",MAX(0,ROUND($AN343-$AL343,2)))</f>
        <v/>
      </c>
      <c r="AP343">
        <f>IFERROR(SUMIFS(_REF_Model_Content!$E$1:$E$157,_REF_Model_Content!$A$1:$A$157,'Company Profile'!$B$9,_REF_Model_Content!$B$1:$B$157,"Business Systems"),1)</f>
        <v/>
      </c>
      <c r="AQ343">
        <f>IF($AO343="","",ROUND($AO343*$AP343*($G343/5),2))</f>
        <v/>
      </c>
      <c r="AR343">
        <f>IF($AO343="","",IF($AO343&gt;=2,"Critical industry gap",IF($AO343&gt;=1,"High industry gap",IF($AO343&gt;=0.5,"Moderate industry gap","Within target"))))</f>
        <v/>
      </c>
      <c r="AS343">
        <f>IF(OR($H343="",$H343="N/A"),0,VALUE($H343)*(($AJ343+$AK343)/2)*$AV343)</f>
        <v/>
      </c>
      <c r="AT343">
        <f>IF(OR($H343="",$H343="N/A"),0,($AJ343+$AK343)/2)</f>
        <v/>
      </c>
      <c r="AU343">
        <f>'Assessment Questions'!AX343</f>
        <v/>
      </c>
      <c r="AV343">
        <f>IF(OR($H343="",$H343="N/A"),"",IF(OR($AU343="",$AU343="Everywhere",$AU343="Not applicable"),1,IF($AU343="Pilot / one team",0.4,IF($AU343="One unit or site",0.7,0.9))))</f>
        <v/>
      </c>
      <c r="AW343" t="inlineStr">
        <is>
          <t>Business Systems</t>
        </is>
      </c>
      <c r="AX343" t="inlineStr">
        <is>
          <t>Business Systems</t>
        </is>
      </c>
      <c r="AY343" t="n">
        <v>23</v>
      </c>
      <c r="AZ343" t="n">
        <v>343</v>
      </c>
    </row>
    <row r="344">
      <c r="A344" t="inlineStr">
        <is>
          <t>BUSI-022</t>
        </is>
      </c>
      <c r="B344" t="inlineStr">
        <is>
          <t>Governance and lifecycle</t>
        </is>
      </c>
      <c r="C344" t="inlineStr">
        <is>
          <t>How mature is the organization in managing data portability and export procedures for critical systems, including ownership, evidence, metrics, fallback procedures and crisis stress testing?</t>
        </is>
      </c>
      <c r="D344" t="inlineStr">
        <is>
          <t>This topic affects exposure to IT outage; Decision failure; Process disruption. It helps identify how disruption may impact operations, people, revenue, systems, legal exposure or recovery time.</t>
        </is>
      </c>
      <c r="E344" t="inlineStr">
        <is>
          <t>COBIT; ITIL 4; ISO/IEC 27001; ISO/IEC 20000-1; ERP/CRM/MES/HRMS implementation practices</t>
        </is>
      </c>
      <c r="F344" t="inlineStr">
        <is>
          <t>Policy/SOP; owner/RACI; system report; dashboard; contracts; test records; incident history; interview evidence related to data portability and export procedures for critical systems.</t>
        </is>
      </c>
      <c r="G344">
        <f>'Assessment Questions'!J344</f>
        <v/>
      </c>
      <c r="H344">
        <f>IF($Z344="","",IF($Z344="N/A","N/A",VALUE(LEFT($Z344,1))))</f>
        <v/>
      </c>
      <c r="I344">
        <f>IF($H344="","",IF($H344="N/A","",VALUE($H344)/5*$G344))</f>
        <v/>
      </c>
      <c r="J344">
        <f>IF(OR($H344="",$H344="N/A"),"",$G344)</f>
        <v/>
      </c>
      <c r="K344">
        <f>IF(OR($H344="",$H344="N/A"),"",$J344-$I344)</f>
        <v/>
      </c>
      <c r="L344">
        <f>IF($H344="","",IF($H344="N/A","N/A",IF(VALUE($H344)&lt;=1,"Critical",IF(VALUE($H344)&lt;=2,"High",IF(VALUE($H344)&lt;=3,"Medium",IF(VALUE($H344)&lt;=4,"Low","Resilient"))))))</f>
        <v/>
      </c>
      <c r="M344" t="inlineStr">
        <is>
          <t>No plan or procedure exists.</t>
        </is>
      </c>
      <c r="N344" t="inlineStr">
        <is>
          <t>Knowledge lives with individuals; nothing usable is written down.</t>
        </is>
      </c>
      <c r="O344" t="inlineStr">
        <is>
          <t>Drafted but outdated, not approved, or unknown to the people who must use it.</t>
        </is>
      </c>
      <c r="P344" t="inlineStr">
        <is>
          <t>Approved and current; owners assigned; affected staff know it exists and where to find it.</t>
        </is>
      </c>
      <c r="Q344" t="inlineStr">
        <is>
          <t>Tested against realistic scenarios; updated after each test or real incident.</t>
        </is>
      </c>
      <c r="R344" t="inlineStr">
        <is>
          <t>Exercised regularly including external parties; readiness measured; continuously improved.</t>
        </is>
      </c>
      <c r="S344" t="inlineStr">
        <is>
          <t>IT outage; Decision failure; Process disruption</t>
        </is>
      </c>
      <c r="T344">
        <f>'Assessment Questions'!W344</f>
        <v/>
      </c>
      <c r="U344">
        <f>'Assessment Questions'!X344</f>
        <v/>
      </c>
      <c r="V344">
        <f>'Assessment Questions'!Y344</f>
        <v/>
      </c>
      <c r="W344" t="n">
        <v>5</v>
      </c>
      <c r="X344" t="n">
        <v>5</v>
      </c>
      <c r="Y344" t="n">
        <v>5</v>
      </c>
      <c r="Z344">
        <f>'Assessment Questions'!AC344</f>
        <v/>
      </c>
      <c r="AB344">
        <f>COUNTIF($B$325:$B$345,$AA344)</f>
        <v/>
      </c>
      <c r="AC344">
        <f>IFERROR(SUMPRODUCT(($B$325:$B$345=$AA344)*($H$325:$H$345&lt;&gt;"")*($H$325:$H$345&lt;&gt;"N/A")*IFERROR(VALUE($H$325:$H$345),0))/SUMPRODUCT(($B$325:$B$345=$AA344)*($H$325:$H$345&lt;&gt;"")*($H$325:$H$345&lt;&gt;"N/A")),0)</f>
        <v/>
      </c>
      <c r="AD344">
        <f>AC344/5</f>
        <v/>
      </c>
      <c r="AE344">
        <f>COUNTIFS($B$325:$B$345,$AA344,$L$325:$L$345,"Critical")+COUNTIFS($B$325:$B$345,$AA344,$L$325:$L$345,"High")</f>
        <v/>
      </c>
      <c r="AF344">
        <f>5-AC344</f>
        <v/>
      </c>
      <c r="AG344">
        <f>SUMPRODUCT(($B$325:$B$345=$AA344)*(ISNUMBER($H$325:$H$345)+($H$325:$H$345="N/A")))</f>
        <v/>
      </c>
      <c r="AH344">
        <f>'Assessment Questions'!AK344</f>
        <v/>
      </c>
      <c r="AI344">
        <f>'Assessment Questions'!AL344</f>
        <v/>
      </c>
      <c r="AJ344">
        <f>IF(OR($H344="",$H344="N/A"),"",IF($AH344="",VLOOKUP('Company Profile'!$B$40,_CONFIG_Model_Settings!$A$5:$B$8,2,FALSE),_xlfn.IFNA(VLOOKUP($AH344,_CONFIG_Model_Settings!$A$5:$B$8,2,FALSE),0.9)))</f>
        <v/>
      </c>
      <c r="AK344">
        <f>IF(OR($H344="",$H344="N/A"),"",IF($AI344="",VLOOKUP('Company Profile'!$B$41,_CONFIG_Model_Settings!$A$5:$B$8,2,FALSE),_xlfn.IFNA(VLOOKUP($AI344,_CONFIG_Model_Settings!$A$5:$B$8,2,FALSE),0.9)))</f>
        <v/>
      </c>
      <c r="AL344">
        <f>IF(OR($H344="",$H344="N/A"),"",ROUND(VALUE($H344)*$AJ344*$AK344*$AV344,2))</f>
        <v/>
      </c>
      <c r="AM344">
        <f>IF($AL344="","",ROUND($AL344/5*100,1))</f>
        <v/>
      </c>
      <c r="AN344">
        <f>IFERROR(MIN(5,MAX(0,(SUMIFS(_REF_Model_Content!$D$1:$D$157,_REF_Model_Content!$A$1:$A$157,'Company Profile'!$B$9,_REF_Model_Content!$B$1:$B$157,"Business Systems"))+_xlfn.IFNA(VLOOKUP('Company Profile'!$B$35,_CONFIG_Model_Settings!$A$11:$B$13,2,0),0))),"")</f>
        <v/>
      </c>
      <c r="AO344">
        <f>IF($AL344="","",MAX(0,ROUND($AN344-$AL344,2)))</f>
        <v/>
      </c>
      <c r="AP344">
        <f>IFERROR(SUMIFS(_REF_Model_Content!$E$1:$E$157,_REF_Model_Content!$A$1:$A$157,'Company Profile'!$B$9,_REF_Model_Content!$B$1:$B$157,"Business Systems"),1)</f>
        <v/>
      </c>
      <c r="AQ344">
        <f>IF($AO344="","",ROUND($AO344*$AP344*($G344/5),2))</f>
        <v/>
      </c>
      <c r="AR344">
        <f>IF($AO344="","",IF($AO344&gt;=2,"Critical industry gap",IF($AO344&gt;=1,"High industry gap",IF($AO344&gt;=0.5,"Moderate industry gap","Within target"))))</f>
        <v/>
      </c>
      <c r="AS344">
        <f>IF(OR($H344="",$H344="N/A"),0,VALUE($H344)*(($AJ344+$AK344)/2)*$AV344)</f>
        <v/>
      </c>
      <c r="AT344">
        <f>IF(OR($H344="",$H344="N/A"),0,($AJ344+$AK344)/2)</f>
        <v/>
      </c>
      <c r="AU344">
        <f>'Assessment Questions'!AX344</f>
        <v/>
      </c>
      <c r="AV344">
        <f>IF(OR($H344="",$H344="N/A"),"",IF(OR($AU344="",$AU344="Everywhere",$AU344="Not applicable"),1,IF($AU344="Pilot / one team",0.4,IF($AU344="One unit or site",0.7,0.9))))</f>
        <v/>
      </c>
      <c r="AW344" t="inlineStr">
        <is>
          <t>Business Systems</t>
        </is>
      </c>
      <c r="AX344" t="inlineStr">
        <is>
          <t>Business Systems</t>
        </is>
      </c>
      <c r="AY344" t="n">
        <v>24</v>
      </c>
      <c r="AZ344" t="n">
        <v>344</v>
      </c>
    </row>
    <row r="345">
      <c r="A345" t="inlineStr">
        <is>
          <t>BUSI-023</t>
        </is>
      </c>
      <c r="B345" t="inlineStr">
        <is>
          <t>Governance and lifecycle</t>
        </is>
      </c>
      <c r="C345" t="inlineStr">
        <is>
          <t>How mature is the organization in managing configuration and customization documentation for critical business systems, including ownership, evidence, metrics, fallback procedures and crisis stress testing?</t>
        </is>
      </c>
      <c r="D345" t="inlineStr">
        <is>
          <t>This topic affects exposure to IT outage; Decision failure; Process disruption. It helps identify how disruption may impact operations, people, revenue, systems, legal exposure or recovery time.</t>
        </is>
      </c>
      <c r="E345" t="inlineStr">
        <is>
          <t>COBIT; ITIL 4; ISO/IEC 27001; ISO/IEC 20000-1; ERP/CRM/MES/HRMS implementation practices</t>
        </is>
      </c>
      <c r="F345" t="inlineStr">
        <is>
          <t>Policy/SOP; owner/RACI; system report; dashboard; contracts; test records; incident history; interview evidence related to configuration and customization documentation for critical business systems.</t>
        </is>
      </c>
      <c r="G345">
        <f>'Assessment Questions'!J345</f>
        <v/>
      </c>
      <c r="H345">
        <f>IF($Z345="","",IF($Z345="N/A","N/A",VALUE(LEFT($Z345,1))))</f>
        <v/>
      </c>
      <c r="I345">
        <f>IF($H345="","",IF($H345="N/A","",VALUE($H345)/5*$G345))</f>
        <v/>
      </c>
      <c r="J345">
        <f>IF(OR($H345="",$H345="N/A"),"",$G345)</f>
        <v/>
      </c>
      <c r="K345">
        <f>IF(OR($H345="",$H345="N/A"),"",$J345-$I345)</f>
        <v/>
      </c>
      <c r="L345">
        <f>IF($H345="","",IF($H345="N/A","N/A",IF(VALUE($H345)&lt;=1,"Critical",IF(VALUE($H345)&lt;=2,"High",IF(VALUE($H345)&lt;=3,"Medium",IF(VALUE($H345)&lt;=4,"Low","Resilient"))))))</f>
        <v/>
      </c>
      <c r="M345" t="inlineStr">
        <is>
          <t>Does not exist; no owner, no documentation, no practice.</t>
        </is>
      </c>
      <c r="N345" t="inlineStr">
        <is>
          <t>Ad hoc; depends entirely on specific individuals.</t>
        </is>
      </c>
      <c r="O345" t="inlineStr">
        <is>
          <t>Partially documented or implemented; coverage inconsistent; never tested under stress.</t>
        </is>
      </c>
      <c r="P345" t="inlineStr">
        <is>
          <t>Documented, owned, executed consistently; basic evidence and metrics exist.</t>
        </is>
      </c>
      <c r="Q345" t="inlineStr">
        <is>
          <t>Measured and periodically tested/audited; integrated with adjacent processes.</t>
        </is>
      </c>
      <c r="R345" t="inlineStr">
        <is>
          <t>Optimized and automated where practical; stress-tested; benchmarked externally.</t>
        </is>
      </c>
      <c r="S345" t="inlineStr">
        <is>
          <t>IT outage; Decision failure; Process disruption</t>
        </is>
      </c>
      <c r="T345">
        <f>'Assessment Questions'!W345</f>
        <v/>
      </c>
      <c r="U345">
        <f>'Assessment Questions'!X345</f>
        <v/>
      </c>
      <c r="V345">
        <f>'Assessment Questions'!Y345</f>
        <v/>
      </c>
      <c r="W345" t="n">
        <v>5</v>
      </c>
      <c r="X345" t="n">
        <v>5</v>
      </c>
      <c r="Y345" t="n">
        <v>5</v>
      </c>
      <c r="Z345">
        <f>'Assessment Questions'!AC345</f>
        <v/>
      </c>
      <c r="AB345">
        <f>COUNTIF($B$325:$B$345,$AA345)</f>
        <v/>
      </c>
      <c r="AC345">
        <f>IFERROR(SUMPRODUCT(($B$325:$B$345=$AA345)*($H$325:$H$345&lt;&gt;"")*($H$325:$H$345&lt;&gt;"N/A")*IFERROR(VALUE($H$325:$H$345),0))/SUMPRODUCT(($B$325:$B$345=$AA345)*($H$325:$H$345&lt;&gt;"")*($H$325:$H$345&lt;&gt;"N/A")),0)</f>
        <v/>
      </c>
      <c r="AD345">
        <f>AC345/5</f>
        <v/>
      </c>
      <c r="AE345">
        <f>COUNTIFS($B$325:$B$345,$AA345,$L$325:$L$345,"Critical")+COUNTIFS($B$325:$B$345,$AA345,$L$325:$L$345,"High")</f>
        <v/>
      </c>
      <c r="AF345">
        <f>5-AC345</f>
        <v/>
      </c>
      <c r="AG345">
        <f>SUMPRODUCT(($B$325:$B$345=$AA345)*(ISNUMBER($H$325:$H$345)+($H$325:$H$345="N/A")))</f>
        <v/>
      </c>
      <c r="AH345">
        <f>'Assessment Questions'!AK345</f>
        <v/>
      </c>
      <c r="AI345">
        <f>'Assessment Questions'!AL345</f>
        <v/>
      </c>
      <c r="AJ345">
        <f>IF(OR($H345="",$H345="N/A"),"",IF($AH345="",VLOOKUP('Company Profile'!$B$40,_CONFIG_Model_Settings!$A$5:$B$8,2,FALSE),_xlfn.IFNA(VLOOKUP($AH345,_CONFIG_Model_Settings!$A$5:$B$8,2,FALSE),0.9)))</f>
        <v/>
      </c>
      <c r="AK345">
        <f>IF(OR($H345="",$H345="N/A"),"",IF($AI345="",VLOOKUP('Company Profile'!$B$41,_CONFIG_Model_Settings!$A$5:$B$8,2,FALSE),_xlfn.IFNA(VLOOKUP($AI345,_CONFIG_Model_Settings!$A$5:$B$8,2,FALSE),0.9)))</f>
        <v/>
      </c>
      <c r="AL345">
        <f>IF(OR($H345="",$H345="N/A"),"",ROUND(VALUE($H345)*$AJ345*$AK345*$AV345,2))</f>
        <v/>
      </c>
      <c r="AM345">
        <f>IF($AL345="","",ROUND($AL345/5*100,1))</f>
        <v/>
      </c>
      <c r="AN345">
        <f>IFERROR(MIN(5,MAX(0,(SUMIFS(_REF_Model_Content!$D$1:$D$157,_REF_Model_Content!$A$1:$A$157,'Company Profile'!$B$9,_REF_Model_Content!$B$1:$B$157,"Business Systems"))+_xlfn.IFNA(VLOOKUP('Company Profile'!$B$35,_CONFIG_Model_Settings!$A$11:$B$13,2,0),0))),"")</f>
        <v/>
      </c>
      <c r="AO345">
        <f>IF($AL345="","",MAX(0,ROUND($AN345-$AL345,2)))</f>
        <v/>
      </c>
      <c r="AP345">
        <f>IFERROR(SUMIFS(_REF_Model_Content!$E$1:$E$157,_REF_Model_Content!$A$1:$A$157,'Company Profile'!$B$9,_REF_Model_Content!$B$1:$B$157,"Business Systems"),1)</f>
        <v/>
      </c>
      <c r="AQ345">
        <f>IF($AO345="","",ROUND($AO345*$AP345*($G345/5),2))</f>
        <v/>
      </c>
      <c r="AR345">
        <f>IF($AO345="","",IF($AO345&gt;=2,"Critical industry gap",IF($AO345&gt;=1,"High industry gap",IF($AO345&gt;=0.5,"Moderate industry gap","Within target"))))</f>
        <v/>
      </c>
      <c r="AS345">
        <f>IF(OR($H345="",$H345="N/A"),0,VALUE($H345)*(($AJ345+$AK345)/2)*$AV345)</f>
        <v/>
      </c>
      <c r="AT345">
        <f>IF(OR($H345="",$H345="N/A"),0,($AJ345+$AK345)/2)</f>
        <v/>
      </c>
      <c r="AU345">
        <f>'Assessment Questions'!AX345</f>
        <v/>
      </c>
      <c r="AV345">
        <f>IF(OR($H345="",$H345="N/A"),"",IF(OR($AU345="",$AU345="Everywhere",$AU345="Not applicable"),1,IF($AU345="Pilot / one team",0.4,IF($AU345="One unit or site",0.7,0.9))))</f>
        <v/>
      </c>
      <c r="AW345" t="inlineStr">
        <is>
          <t>Business Systems</t>
        </is>
      </c>
      <c r="AX345" t="inlineStr">
        <is>
          <t>Business Systems</t>
        </is>
      </c>
      <c r="AY345" t="n">
        <v>25</v>
      </c>
      <c r="AZ345" t="n">
        <v>345</v>
      </c>
    </row>
    <row r="346">
      <c r="A346" t="inlineStr">
        <is>
          <t>DATA-001</t>
        </is>
      </c>
      <c r="B346" t="inlineStr">
        <is>
          <t>Data governance</t>
        </is>
      </c>
      <c r="C346" t="inlineStr">
        <is>
          <t>How mature is the organization in managing data owners and stewards for critical data domains, including ownership, evidence, metrics, fallback procedures and crisis stress testing?</t>
        </is>
      </c>
      <c r="D346" t="inlineStr">
        <is>
          <t>This topic affects exposure to Decision failure; Data loss; Regulatory/legal shock. It helps identify how disruption may impact operations, people, revenue, systems, legal exposure or recovery time.</t>
        </is>
      </c>
      <c r="E346" t="inlineStr">
        <is>
          <t>DAMA-DMBOK; ISO/IEC 38505; ISO/IEC 42001; ISO/IEC 23894; NIST AI RMF; DCAM</t>
        </is>
      </c>
      <c r="F346" t="inlineStr">
        <is>
          <t>Policy/SOP; owner/RACI; system report; dashboard; contracts; test records; incident history; interview evidence related to data owners and stewards for critical data domains.</t>
        </is>
      </c>
      <c r="G346">
        <f>'Assessment Questions'!J346</f>
        <v/>
      </c>
      <c r="H346">
        <f>IF($Z346="","",IF($Z346="N/A","N/A",VALUE(LEFT($Z346,1))))</f>
        <v/>
      </c>
      <c r="I346">
        <f>IF($H346="","",IF($H346="N/A","",VALUE($H346)/5*$G346))</f>
        <v/>
      </c>
      <c r="J346">
        <f>IF(OR($H346="",$H346="N/A"),"",$G346)</f>
        <v/>
      </c>
      <c r="K346">
        <f>IF(OR($H346="",$H346="N/A"),"",$J346-$I346)</f>
        <v/>
      </c>
      <c r="L346">
        <f>IF($H346="","",IF($H346="N/A","N/A",IF(VALUE($H346)&lt;=1,"Critical",IF(VALUE($H346)&lt;=2,"High",IF(VALUE($H346)&lt;=3,"Medium",IF(VALUE($H346)&lt;=4,"Low","Resilient"))))))</f>
        <v/>
      </c>
      <c r="M346" t="inlineStr">
        <is>
          <t>Does not exist; no owner, no documentation, no practice.</t>
        </is>
      </c>
      <c r="N346" t="inlineStr">
        <is>
          <t>Ad hoc; depends entirely on specific individuals.</t>
        </is>
      </c>
      <c r="O346" t="inlineStr">
        <is>
          <t>Partially documented or implemented; coverage inconsistent; never tested under stress.</t>
        </is>
      </c>
      <c r="P346" t="inlineStr">
        <is>
          <t>Documented, owned, executed consistently; basic evidence and metrics exist.</t>
        </is>
      </c>
      <c r="Q346" t="inlineStr">
        <is>
          <t>Measured and periodically tested/audited; integrated with adjacent processes.</t>
        </is>
      </c>
      <c r="R346" t="inlineStr">
        <is>
          <t>Optimized and automated where practical; stress-tested; benchmarked externally.</t>
        </is>
      </c>
      <c r="S346" t="inlineStr">
        <is>
          <t>Decision failure; Data loss; Regulatory/legal shock</t>
        </is>
      </c>
      <c r="T346">
        <f>'Assessment Questions'!W346</f>
        <v/>
      </c>
      <c r="U346">
        <f>'Assessment Questions'!X346</f>
        <v/>
      </c>
      <c r="V346">
        <f>'Assessment Questions'!Y346</f>
        <v/>
      </c>
      <c r="W346" t="n">
        <v>5</v>
      </c>
      <c r="X346" t="n">
        <v>5</v>
      </c>
      <c r="Y346" t="n">
        <v>5</v>
      </c>
      <c r="Z346">
        <f>'Assessment Questions'!AC346</f>
        <v/>
      </c>
      <c r="AA346" t="inlineStr">
        <is>
          <t>Data governance</t>
        </is>
      </c>
      <c r="AB346">
        <f>COUNTIF($B$346:$B$372,$AA346)</f>
        <v/>
      </c>
      <c r="AC346">
        <f>IFERROR(SUMPRODUCT(($B$346:$B$372=$AA346)*($H$346:$H$372&lt;&gt;"")*($H$346:$H$372&lt;&gt;"N/A")*IFERROR(VALUE($H$346:$H$372),0))/SUMPRODUCT(($B$346:$B$372=$AA346)*($H$346:$H$372&lt;&gt;"")*($H$346:$H$372&lt;&gt;"N/A")),0)</f>
        <v/>
      </c>
      <c r="AD346">
        <f>AC346/5</f>
        <v/>
      </c>
      <c r="AE346">
        <f>COUNTIFS($B$346:$B$372,$AA346,$L$346:$L$372,"Critical")+COUNTIFS($B$346:$B$372,$AA346,$L$346:$L$372,"High")</f>
        <v/>
      </c>
      <c r="AF346">
        <f>5-AC346</f>
        <v/>
      </c>
      <c r="AG346">
        <f>SUMPRODUCT(($B$346:$B$372=$AA346)*(ISNUMBER($H$346:$H$372)+($H$346:$H$372="N/A")))</f>
        <v/>
      </c>
      <c r="AH346">
        <f>'Assessment Questions'!AK346</f>
        <v/>
      </c>
      <c r="AI346">
        <f>'Assessment Questions'!AL346</f>
        <v/>
      </c>
      <c r="AJ346">
        <f>IF(OR($H346="",$H346="N/A"),"",IF($AH346="",VLOOKUP('Company Profile'!$B$40,_CONFIG_Model_Settings!$A$5:$B$8,2,FALSE),_xlfn.IFNA(VLOOKUP($AH346,_CONFIG_Model_Settings!$A$5:$B$8,2,FALSE),0.9)))</f>
        <v/>
      </c>
      <c r="AK346">
        <f>IF(OR($H346="",$H346="N/A"),"",IF($AI346="",VLOOKUP('Company Profile'!$B$41,_CONFIG_Model_Settings!$A$5:$B$8,2,FALSE),_xlfn.IFNA(VLOOKUP($AI346,_CONFIG_Model_Settings!$A$5:$B$8,2,FALSE),0.9)))</f>
        <v/>
      </c>
      <c r="AL346">
        <f>IF(OR($H346="",$H346="N/A"),"",ROUND(VALUE($H346)*$AJ346*$AK346*$AV346,2))</f>
        <v/>
      </c>
      <c r="AM346">
        <f>IF($AL346="","",ROUND($AL346/5*100,1))</f>
        <v/>
      </c>
      <c r="AN346">
        <f>IFERROR(MIN(5,MAX(0,(SUMIFS(_REF_Model_Content!$D$1:$D$157,_REF_Model_Content!$A$1:$A$157,'Company Profile'!$B$9,_REF_Model_Content!$B$1:$B$157,"Data BI AI"))+_xlfn.IFNA(VLOOKUP('Company Profile'!$B$35,_CONFIG_Model_Settings!$A$11:$B$13,2,0),0))),"")</f>
        <v/>
      </c>
      <c r="AO346">
        <f>IF($AL346="","",MAX(0,ROUND($AN346-$AL346,2)))</f>
        <v/>
      </c>
      <c r="AP346">
        <f>IFERROR(SUMIFS(_REF_Model_Content!$E$1:$E$157,_REF_Model_Content!$A$1:$A$157,'Company Profile'!$B$9,_REF_Model_Content!$B$1:$B$157,"Data BI AI"),1)</f>
        <v/>
      </c>
      <c r="AQ346">
        <f>IF($AO346="","",ROUND($AO346*$AP346*($G346/5),2))</f>
        <v/>
      </c>
      <c r="AR346">
        <f>IF($AO346="","",IF($AO346&gt;=2,"Critical industry gap",IF($AO346&gt;=1,"High industry gap",IF($AO346&gt;=0.5,"Moderate industry gap","Within target"))))</f>
        <v/>
      </c>
      <c r="AS346">
        <f>IF(OR($H346="",$H346="N/A"),0,VALUE($H346)*(($AJ346+$AK346)/2)*$AV346)</f>
        <v/>
      </c>
      <c r="AT346">
        <f>IF(OR($H346="",$H346="N/A"),0,($AJ346+$AK346)/2)</f>
        <v/>
      </c>
      <c r="AU346">
        <f>'Assessment Questions'!AX346</f>
        <v/>
      </c>
      <c r="AV346">
        <f>IF(OR($H346="",$H346="N/A"),"",IF(OR($AU346="",$AU346="Everywhere",$AU346="Not applicable"),1,IF($AU346="Pilot / one team",0.4,IF($AU346="One unit or site",0.7,0.9))))</f>
        <v/>
      </c>
      <c r="AW346" t="inlineStr">
        <is>
          <t>Data BI AI</t>
        </is>
      </c>
      <c r="AX346" t="inlineStr">
        <is>
          <t>Data BI AI</t>
        </is>
      </c>
      <c r="AY346" t="n">
        <v>5</v>
      </c>
      <c r="AZ346" t="n">
        <v>346</v>
      </c>
    </row>
    <row r="347">
      <c r="A347" t="inlineStr">
        <is>
          <t>DATA-002</t>
        </is>
      </c>
      <c r="B347" t="inlineStr">
        <is>
          <t>Data governance</t>
        </is>
      </c>
      <c r="C347" t="inlineStr">
        <is>
          <t>How mature is the organization in managing data catalog of critical datasets, reports, dashboards, data sources and users, including ownership, evidence, metrics, fallback procedures and crisis stress testing?</t>
        </is>
      </c>
      <c r="D347" t="inlineStr">
        <is>
          <t>This topic affects exposure to Decision failure; Data loss; Regulatory/legal shock. It helps identify how disruption may impact operations, people, revenue, systems, legal exposure or recovery time.</t>
        </is>
      </c>
      <c r="E347" t="inlineStr">
        <is>
          <t>DAMA-DMBOK; ISO/IEC 38505; ISO/IEC 42001; ISO/IEC 23894; NIST AI RMF; DCAM</t>
        </is>
      </c>
      <c r="F347" t="inlineStr">
        <is>
          <t>Policy/SOP; owner/RACI; system report; dashboard; contracts; test records; incident history; interview evidence related to data catalog of critical datasets, reports, dashboards, data sources and users.</t>
        </is>
      </c>
      <c r="G347">
        <f>'Assessment Questions'!J347</f>
        <v/>
      </c>
      <c r="H347">
        <f>IF($Z347="","",IF($Z347="N/A","N/A",VALUE(LEFT($Z347,1))))</f>
        <v/>
      </c>
      <c r="I347">
        <f>IF($H347="","",IF($H347="N/A","",VALUE($H347)/5*$G347))</f>
        <v/>
      </c>
      <c r="J347">
        <f>IF(OR($H347="",$H347="N/A"),"",$G347)</f>
        <v/>
      </c>
      <c r="K347">
        <f>IF(OR($H347="",$H347="N/A"),"",$J347-$I347)</f>
        <v/>
      </c>
      <c r="L347">
        <f>IF($H347="","",IF($H347="N/A","N/A",IF(VALUE($H347)&lt;=1,"Critical",IF(VALUE($H347)&lt;=2,"High",IF(VALUE($H347)&lt;=3,"Medium",IF(VALUE($H347)&lt;=4,"Low","Resilient"))))))</f>
        <v/>
      </c>
      <c r="M347" t="inlineStr">
        <is>
          <t>No inventory/register exists.</t>
        </is>
      </c>
      <c r="N347" t="inlineStr">
        <is>
          <t>Partial lists live in individuals' heads or personal files.</t>
        </is>
      </c>
      <c r="O347" t="inlineStr">
        <is>
          <t>A register exists but is incomplete or outdated (&gt;1 year) and has no owner.</t>
        </is>
      </c>
      <c r="P347" t="inlineStr">
        <is>
          <t>Owned, documented, updated on a defined schedule, covers the main scope.</t>
        </is>
      </c>
      <c r="Q347" t="inlineStr">
        <is>
          <t>Complete and periodically reviewed; integrated with related processes; completeness measured.</t>
        </is>
      </c>
      <c r="R347" t="inlineStr">
        <is>
          <t>Maintained automatically or synced with systems; drives decisions; audited.</t>
        </is>
      </c>
      <c r="S347" t="inlineStr">
        <is>
          <t>Decision failure; Data loss; Regulatory/legal shock</t>
        </is>
      </c>
      <c r="T347">
        <f>'Assessment Questions'!W347</f>
        <v/>
      </c>
      <c r="U347">
        <f>'Assessment Questions'!X347</f>
        <v/>
      </c>
      <c r="V347">
        <f>'Assessment Questions'!Y347</f>
        <v/>
      </c>
      <c r="W347" t="n">
        <v>5</v>
      </c>
      <c r="X347" t="n">
        <v>5</v>
      </c>
      <c r="Y347" t="n">
        <v>5</v>
      </c>
      <c r="Z347">
        <f>'Assessment Questions'!AC347</f>
        <v/>
      </c>
      <c r="AA347" t="inlineStr">
        <is>
          <t>Data architecture</t>
        </is>
      </c>
      <c r="AB347">
        <f>COUNTIF($B$346:$B$372,$AA347)</f>
        <v/>
      </c>
      <c r="AC347">
        <f>IFERROR(SUMPRODUCT(($B$346:$B$372=$AA347)*($H$346:$H$372&lt;&gt;"")*($H$346:$H$372&lt;&gt;"N/A")*IFERROR(VALUE($H$346:$H$372),0))/SUMPRODUCT(($B$346:$B$372=$AA347)*($H$346:$H$372&lt;&gt;"")*($H$346:$H$372&lt;&gt;"N/A")),0)</f>
        <v/>
      </c>
      <c r="AD347">
        <f>AC347/5</f>
        <v/>
      </c>
      <c r="AE347">
        <f>COUNTIFS($B$346:$B$372,$AA347,$L$346:$L$372,"Critical")+COUNTIFS($B$346:$B$372,$AA347,$L$346:$L$372,"High")</f>
        <v/>
      </c>
      <c r="AF347">
        <f>5-AC347</f>
        <v/>
      </c>
      <c r="AG347">
        <f>SUMPRODUCT(($B$346:$B$372=$AA347)*(ISNUMBER($H$346:$H$372)+($H$346:$H$372="N/A")))</f>
        <v/>
      </c>
      <c r="AH347">
        <f>'Assessment Questions'!AK347</f>
        <v/>
      </c>
      <c r="AI347">
        <f>'Assessment Questions'!AL347</f>
        <v/>
      </c>
      <c r="AJ347">
        <f>IF(OR($H347="",$H347="N/A"),"",IF($AH347="",VLOOKUP('Company Profile'!$B$40,_CONFIG_Model_Settings!$A$5:$B$8,2,FALSE),_xlfn.IFNA(VLOOKUP($AH347,_CONFIG_Model_Settings!$A$5:$B$8,2,FALSE),0.9)))</f>
        <v/>
      </c>
      <c r="AK347">
        <f>IF(OR($H347="",$H347="N/A"),"",IF($AI347="",VLOOKUP('Company Profile'!$B$41,_CONFIG_Model_Settings!$A$5:$B$8,2,FALSE),_xlfn.IFNA(VLOOKUP($AI347,_CONFIG_Model_Settings!$A$5:$B$8,2,FALSE),0.9)))</f>
        <v/>
      </c>
      <c r="AL347">
        <f>IF(OR($H347="",$H347="N/A"),"",ROUND(VALUE($H347)*$AJ347*$AK347*$AV347,2))</f>
        <v/>
      </c>
      <c r="AM347">
        <f>IF($AL347="","",ROUND($AL347/5*100,1))</f>
        <v/>
      </c>
      <c r="AN347">
        <f>IFERROR(MIN(5,MAX(0,(SUMIFS(_REF_Model_Content!$D$1:$D$157,_REF_Model_Content!$A$1:$A$157,'Company Profile'!$B$9,_REF_Model_Content!$B$1:$B$157,"Data BI AI"))+_xlfn.IFNA(VLOOKUP('Company Profile'!$B$35,_CONFIG_Model_Settings!$A$11:$B$13,2,0),0))),"")</f>
        <v/>
      </c>
      <c r="AO347">
        <f>IF($AL347="","",MAX(0,ROUND($AN347-$AL347,2)))</f>
        <v/>
      </c>
      <c r="AP347">
        <f>IFERROR(SUMIFS(_REF_Model_Content!$E$1:$E$157,_REF_Model_Content!$A$1:$A$157,'Company Profile'!$B$9,_REF_Model_Content!$B$1:$B$157,"Data BI AI"),1)</f>
        <v/>
      </c>
      <c r="AQ347">
        <f>IF($AO347="","",ROUND($AO347*$AP347*($G347/5),2))</f>
        <v/>
      </c>
      <c r="AR347">
        <f>IF($AO347="","",IF($AO347&gt;=2,"Critical industry gap",IF($AO347&gt;=1,"High industry gap",IF($AO347&gt;=0.5,"Moderate industry gap","Within target"))))</f>
        <v/>
      </c>
      <c r="AS347">
        <f>IF(OR($H347="",$H347="N/A"),0,VALUE($H347)*(($AJ347+$AK347)/2)*$AV347)</f>
        <v/>
      </c>
      <c r="AT347">
        <f>IF(OR($H347="",$H347="N/A"),0,($AJ347+$AK347)/2)</f>
        <v/>
      </c>
      <c r="AU347">
        <f>'Assessment Questions'!AX347</f>
        <v/>
      </c>
      <c r="AV347">
        <f>IF(OR($H347="",$H347="N/A"),"",IF(OR($AU347="",$AU347="Everywhere",$AU347="Not applicable"),1,IF($AU347="Pilot / one team",0.4,IF($AU347="One unit or site",0.7,0.9))))</f>
        <v/>
      </c>
      <c r="AW347" t="inlineStr">
        <is>
          <t>Data BI AI</t>
        </is>
      </c>
      <c r="AX347" t="inlineStr">
        <is>
          <t>Data BI AI</t>
        </is>
      </c>
      <c r="AY347" t="n">
        <v>6</v>
      </c>
      <c r="AZ347" t="n">
        <v>347</v>
      </c>
    </row>
    <row r="348">
      <c r="A348" t="inlineStr">
        <is>
          <t>DATA-003</t>
        </is>
      </c>
      <c r="B348" t="inlineStr">
        <is>
          <t>Data governance</t>
        </is>
      </c>
      <c r="C348" t="inlineStr">
        <is>
          <t>How mature is the organization in managing consistent metric definitions across finance, sales, operations, HR, supply chain and manufacturing, including ownership, evidence, metrics, fallback procedures and crisis stress testing?</t>
        </is>
      </c>
      <c r="D348" t="inlineStr">
        <is>
          <t>This topic affects exposure to Decision failure; Data loss; Regulatory/legal shock. It helps identify how disruption may impact operations, people, revenue, systems, legal exposure or recovery time.</t>
        </is>
      </c>
      <c r="E348" t="inlineStr">
        <is>
          <t>DAMA-DMBOK; ISO/IEC 38505; ISO/IEC 42001; ISO/IEC 23894; NIST AI RMF; DCAM</t>
        </is>
      </c>
      <c r="F348" t="inlineStr">
        <is>
          <t>Policy/SOP; owner/RACI; system report; dashboard; contracts; test records; incident history; interview evidence related to consistent metric definitions across finance, sales, operations, HR, supply chain and manufacturing.</t>
        </is>
      </c>
      <c r="G348">
        <f>'Assessment Questions'!J348</f>
        <v/>
      </c>
      <c r="H348">
        <f>IF($Z348="","",IF($Z348="N/A","N/A",VALUE(LEFT($Z348,1))))</f>
        <v/>
      </c>
      <c r="I348">
        <f>IF($H348="","",IF($H348="N/A","",VALUE($H348)/5*$G348))</f>
        <v/>
      </c>
      <c r="J348">
        <f>IF(OR($H348="",$H348="N/A"),"",$G348)</f>
        <v/>
      </c>
      <c r="K348">
        <f>IF(OR($H348="",$H348="N/A"),"",$J348-$I348)</f>
        <v/>
      </c>
      <c r="L348">
        <f>IF($H348="","",IF($H348="N/A","N/A",IF(VALUE($H348)&lt;=1,"Critical",IF(VALUE($H348)&lt;=2,"High",IF(VALUE($H348)&lt;=3,"Medium",IF(VALUE($H348)&lt;=4,"Low","Resilient"))))))</f>
        <v/>
      </c>
      <c r="M348" t="inlineStr">
        <is>
          <t>No reliable evidence that consistent metric definitions across finance, sales, operations, hr, supply chain and manufacturing is defined, owned or managed.</t>
        </is>
      </c>
      <c r="N348" t="inlineStr">
        <is>
          <t>Consistent metric definitions across finance, sales, operations, HR, supply chain and manufacturing is handled informally and depends on individual knowledge or heroic effort.</t>
        </is>
      </c>
      <c r="O348" t="inlineStr">
        <is>
          <t>Consistent metric definitions across finance, sales, operations, HR, supply chain and manufacturing is partially documented or implemented, but coverage is inconsistent and not crisis-tested.</t>
        </is>
      </c>
      <c r="P348" t="inlineStr">
        <is>
          <t>Consistent metric definitions across finance, sales, operations, HR, supply chain and manufacturing is documented, owned, used in normal operations and supported by basic evidence or metrics.</t>
        </is>
      </c>
      <c r="Q348" t="inlineStr">
        <is>
          <t>Consistent metric definitions across finance, sales, operations, HR, supply chain and manufacturing is measured, periodically reviewed, integrated with related processes and tested against relevant disruption scenarios.</t>
        </is>
      </c>
      <c r="R348" t="inlineStr">
        <is>
          <t>Consistent metric definitions across finance, sales, operations, HR, supply chain and manufacturing is optimized, continuously improved, automated where practical and demonstrably supports crisis resilience.</t>
        </is>
      </c>
      <c r="S348" t="inlineStr">
        <is>
          <t>Decision failure; Data loss; Regulatory/legal shock</t>
        </is>
      </c>
      <c r="T348">
        <f>'Assessment Questions'!W348</f>
        <v/>
      </c>
      <c r="U348">
        <f>'Assessment Questions'!X348</f>
        <v/>
      </c>
      <c r="V348">
        <f>'Assessment Questions'!Y348</f>
        <v/>
      </c>
      <c r="W348" t="n">
        <v>5</v>
      </c>
      <c r="X348" t="n">
        <v>5</v>
      </c>
      <c r="Y348" t="n">
        <v>5</v>
      </c>
      <c r="Z348">
        <f>'Assessment Questions'!AC348</f>
        <v/>
      </c>
      <c r="AA348" t="inlineStr">
        <is>
          <t>BI and analytics</t>
        </is>
      </c>
      <c r="AB348">
        <f>COUNTIF($B$346:$B$372,$AA348)</f>
        <v/>
      </c>
      <c r="AC348">
        <f>IFERROR(SUMPRODUCT(($B$346:$B$372=$AA348)*($H$346:$H$372&lt;&gt;"")*($H$346:$H$372&lt;&gt;"N/A")*IFERROR(VALUE($H$346:$H$372),0))/SUMPRODUCT(($B$346:$B$372=$AA348)*($H$346:$H$372&lt;&gt;"")*($H$346:$H$372&lt;&gt;"N/A")),0)</f>
        <v/>
      </c>
      <c r="AD348">
        <f>AC348/5</f>
        <v/>
      </c>
      <c r="AE348">
        <f>COUNTIFS($B$346:$B$372,$AA348,$L$346:$L$372,"Critical")+COUNTIFS($B$346:$B$372,$AA348,$L$346:$L$372,"High")</f>
        <v/>
      </c>
      <c r="AF348">
        <f>5-AC348</f>
        <v/>
      </c>
      <c r="AG348">
        <f>SUMPRODUCT(($B$346:$B$372=$AA348)*(ISNUMBER($H$346:$H$372)+($H$346:$H$372="N/A")))</f>
        <v/>
      </c>
      <c r="AH348">
        <f>'Assessment Questions'!AK348</f>
        <v/>
      </c>
      <c r="AI348">
        <f>'Assessment Questions'!AL348</f>
        <v/>
      </c>
      <c r="AJ348">
        <f>IF(OR($H348="",$H348="N/A"),"",IF($AH348="",VLOOKUP('Company Profile'!$B$40,_CONFIG_Model_Settings!$A$5:$B$8,2,FALSE),_xlfn.IFNA(VLOOKUP($AH348,_CONFIG_Model_Settings!$A$5:$B$8,2,FALSE),0.9)))</f>
        <v/>
      </c>
      <c r="AK348">
        <f>IF(OR($H348="",$H348="N/A"),"",IF($AI348="",VLOOKUP('Company Profile'!$B$41,_CONFIG_Model_Settings!$A$5:$B$8,2,FALSE),_xlfn.IFNA(VLOOKUP($AI348,_CONFIG_Model_Settings!$A$5:$B$8,2,FALSE),0.9)))</f>
        <v/>
      </c>
      <c r="AL348">
        <f>IF(OR($H348="",$H348="N/A"),"",ROUND(VALUE($H348)*$AJ348*$AK348*$AV348,2))</f>
        <v/>
      </c>
      <c r="AM348">
        <f>IF($AL348="","",ROUND($AL348/5*100,1))</f>
        <v/>
      </c>
      <c r="AN348">
        <f>IFERROR(MIN(5,MAX(0,(SUMIFS(_REF_Model_Content!$D$1:$D$157,_REF_Model_Content!$A$1:$A$157,'Company Profile'!$B$9,_REF_Model_Content!$B$1:$B$157,"Data BI AI"))+_xlfn.IFNA(VLOOKUP('Company Profile'!$B$35,_CONFIG_Model_Settings!$A$11:$B$13,2,0),0))),"")</f>
        <v/>
      </c>
      <c r="AO348">
        <f>IF($AL348="","",MAX(0,ROUND($AN348-$AL348,2)))</f>
        <v/>
      </c>
      <c r="AP348">
        <f>IFERROR(SUMIFS(_REF_Model_Content!$E$1:$E$157,_REF_Model_Content!$A$1:$A$157,'Company Profile'!$B$9,_REF_Model_Content!$B$1:$B$157,"Data BI AI"),1)</f>
        <v/>
      </c>
      <c r="AQ348">
        <f>IF($AO348="","",ROUND($AO348*$AP348*($G348/5),2))</f>
        <v/>
      </c>
      <c r="AR348">
        <f>IF($AO348="","",IF($AO348&gt;=2,"Critical industry gap",IF($AO348&gt;=1,"High industry gap",IF($AO348&gt;=0.5,"Moderate industry gap","Within target"))))</f>
        <v/>
      </c>
      <c r="AS348">
        <f>IF(OR($H348="",$H348="N/A"),0,VALUE($H348)*(($AJ348+$AK348)/2)*$AV348)</f>
        <v/>
      </c>
      <c r="AT348">
        <f>IF(OR($H348="",$H348="N/A"),0,($AJ348+$AK348)/2)</f>
        <v/>
      </c>
      <c r="AU348">
        <f>'Assessment Questions'!AX348</f>
        <v/>
      </c>
      <c r="AV348">
        <f>IF(OR($H348="",$H348="N/A"),"",IF(OR($AU348="",$AU348="Everywhere",$AU348="Not applicable"),1,IF($AU348="Pilot / one team",0.4,IF($AU348="One unit or site",0.7,0.9))))</f>
        <v/>
      </c>
      <c r="AW348" t="inlineStr">
        <is>
          <t>Data BI AI</t>
        </is>
      </c>
      <c r="AX348" t="inlineStr">
        <is>
          <t>Data BI AI</t>
        </is>
      </c>
      <c r="AY348" t="n">
        <v>7</v>
      </c>
      <c r="AZ348" t="n">
        <v>348</v>
      </c>
    </row>
    <row r="349">
      <c r="A349" t="inlineStr">
        <is>
          <t>DATA-004</t>
        </is>
      </c>
      <c r="B349" t="inlineStr">
        <is>
          <t>Data governance</t>
        </is>
      </c>
      <c r="C349" t="inlineStr">
        <is>
          <t>How mature is the organization in managing data quality rules, monitoring and issue resolution process, including ownership, evidence, metrics, fallback procedures and crisis stress testing?</t>
        </is>
      </c>
      <c r="D349" t="inlineStr">
        <is>
          <t>This topic affects exposure to Decision failure; Data loss; Regulatory/legal shock. It helps identify how disruption may impact operations, people, revenue, systems, legal exposure or recovery time.</t>
        </is>
      </c>
      <c r="E349" t="inlineStr">
        <is>
          <t>DAMA-DMBOK; ISO/IEC 38505; ISO/IEC 42001; ISO/IEC 23894; NIST AI RMF; DCAM</t>
        </is>
      </c>
      <c r="F349" t="inlineStr">
        <is>
          <t>Policy/SOP; owner/RACI; system report; dashboard; contracts; test records; incident history; interview evidence related to data quality rules, monitoring and issue resolution process.</t>
        </is>
      </c>
      <c r="G349">
        <f>'Assessment Questions'!J349</f>
        <v/>
      </c>
      <c r="H349">
        <f>IF($Z349="","",IF($Z349="N/A","N/A",VALUE(LEFT($Z349,1))))</f>
        <v/>
      </c>
      <c r="I349">
        <f>IF($H349="","",IF($H349="N/A","",VALUE($H349)/5*$G349))</f>
        <v/>
      </c>
      <c r="J349">
        <f>IF(OR($H349="",$H349="N/A"),"",$G349)</f>
        <v/>
      </c>
      <c r="K349">
        <f>IF(OR($H349="",$H349="N/A"),"",$J349-$I349)</f>
        <v/>
      </c>
      <c r="L349">
        <f>IF($H349="","",IF($H349="N/A","N/A",IF(VALUE($H349)&lt;=1,"Critical",IF(VALUE($H349)&lt;=2,"High",IF(VALUE($H349)&lt;=3,"Medium",IF(VALUE($H349)&lt;=4,"Low","Resilient"))))))</f>
        <v/>
      </c>
      <c r="M349" t="inlineStr">
        <is>
          <t>No reliable evidence that data quality rules, monitoring and issue resolution process is defined, owned or managed.</t>
        </is>
      </c>
      <c r="N349" t="inlineStr">
        <is>
          <t>Data quality rules, monitoring and issue resolution process is handled informally and depends on individual knowledge or heroic effort.</t>
        </is>
      </c>
      <c r="O349" t="inlineStr">
        <is>
          <t>Data quality rules, monitoring and issue resolution process is partially documented or implemented, but coverage is inconsistent and not crisis-tested.</t>
        </is>
      </c>
      <c r="P349" t="inlineStr">
        <is>
          <t>Data quality rules, monitoring and issue resolution process is documented, owned, used in normal operations and supported by basic evidence or metrics.</t>
        </is>
      </c>
      <c r="Q349" t="inlineStr">
        <is>
          <t>Data quality rules, monitoring and issue resolution process is measured, periodically reviewed, integrated with related processes and tested against relevant disruption scenarios.</t>
        </is>
      </c>
      <c r="R349" t="inlineStr">
        <is>
          <t>Data quality rules, monitoring and issue resolution process is optimized, continuously improved, automated where practical and demonstrably supports crisis resilience.</t>
        </is>
      </c>
      <c r="S349" t="inlineStr">
        <is>
          <t>Decision failure; Data loss; Regulatory/legal shock</t>
        </is>
      </c>
      <c r="T349">
        <f>'Assessment Questions'!W349</f>
        <v/>
      </c>
      <c r="U349">
        <f>'Assessment Questions'!X349</f>
        <v/>
      </c>
      <c r="V349">
        <f>'Assessment Questions'!Y349</f>
        <v/>
      </c>
      <c r="W349" t="n">
        <v>5</v>
      </c>
      <c r="X349" t="n">
        <v>5</v>
      </c>
      <c r="Y349" t="n">
        <v>5</v>
      </c>
      <c r="Z349">
        <f>'Assessment Questions'!AC349</f>
        <v/>
      </c>
      <c r="AA349" t="inlineStr">
        <is>
          <t>Forecasting and scenarios</t>
        </is>
      </c>
      <c r="AB349">
        <f>COUNTIF($B$346:$B$372,$AA349)</f>
        <v/>
      </c>
      <c r="AC349">
        <f>IFERROR(SUMPRODUCT(($B$346:$B$372=$AA349)*($H$346:$H$372&lt;&gt;"")*($H$346:$H$372&lt;&gt;"N/A")*IFERROR(VALUE($H$346:$H$372),0))/SUMPRODUCT(($B$346:$B$372=$AA349)*($H$346:$H$372&lt;&gt;"")*($H$346:$H$372&lt;&gt;"N/A")),0)</f>
        <v/>
      </c>
      <c r="AD349">
        <f>AC349/5</f>
        <v/>
      </c>
      <c r="AE349">
        <f>COUNTIFS($B$346:$B$372,$AA349,$L$346:$L$372,"Critical")+COUNTIFS($B$346:$B$372,$AA349,$L$346:$L$372,"High")</f>
        <v/>
      </c>
      <c r="AF349">
        <f>5-AC349</f>
        <v/>
      </c>
      <c r="AG349">
        <f>SUMPRODUCT(($B$346:$B$372=$AA349)*(ISNUMBER($H$346:$H$372)+($H$346:$H$372="N/A")))</f>
        <v/>
      </c>
      <c r="AH349">
        <f>'Assessment Questions'!AK349</f>
        <v/>
      </c>
      <c r="AI349">
        <f>'Assessment Questions'!AL349</f>
        <v/>
      </c>
      <c r="AJ349">
        <f>IF(OR($H349="",$H349="N/A"),"",IF($AH349="",VLOOKUP('Company Profile'!$B$40,_CONFIG_Model_Settings!$A$5:$B$8,2,FALSE),_xlfn.IFNA(VLOOKUP($AH349,_CONFIG_Model_Settings!$A$5:$B$8,2,FALSE),0.9)))</f>
        <v/>
      </c>
      <c r="AK349">
        <f>IF(OR($H349="",$H349="N/A"),"",IF($AI349="",VLOOKUP('Company Profile'!$B$41,_CONFIG_Model_Settings!$A$5:$B$8,2,FALSE),_xlfn.IFNA(VLOOKUP($AI349,_CONFIG_Model_Settings!$A$5:$B$8,2,FALSE),0.9)))</f>
        <v/>
      </c>
      <c r="AL349">
        <f>IF(OR($H349="",$H349="N/A"),"",ROUND(VALUE($H349)*$AJ349*$AK349*$AV349,2))</f>
        <v/>
      </c>
      <c r="AM349">
        <f>IF($AL349="","",ROUND($AL349/5*100,1))</f>
        <v/>
      </c>
      <c r="AN349">
        <f>IFERROR(MIN(5,MAX(0,(SUMIFS(_REF_Model_Content!$D$1:$D$157,_REF_Model_Content!$A$1:$A$157,'Company Profile'!$B$9,_REF_Model_Content!$B$1:$B$157,"Data BI AI"))+_xlfn.IFNA(VLOOKUP('Company Profile'!$B$35,_CONFIG_Model_Settings!$A$11:$B$13,2,0),0))),"")</f>
        <v/>
      </c>
      <c r="AO349">
        <f>IF($AL349="","",MAX(0,ROUND($AN349-$AL349,2)))</f>
        <v/>
      </c>
      <c r="AP349">
        <f>IFERROR(SUMIFS(_REF_Model_Content!$E$1:$E$157,_REF_Model_Content!$A$1:$A$157,'Company Profile'!$B$9,_REF_Model_Content!$B$1:$B$157,"Data BI AI"),1)</f>
        <v/>
      </c>
      <c r="AQ349">
        <f>IF($AO349="","",ROUND($AO349*$AP349*($G349/5),2))</f>
        <v/>
      </c>
      <c r="AR349">
        <f>IF($AO349="","",IF($AO349&gt;=2,"Critical industry gap",IF($AO349&gt;=1,"High industry gap",IF($AO349&gt;=0.5,"Moderate industry gap","Within target"))))</f>
        <v/>
      </c>
      <c r="AS349">
        <f>IF(OR($H349="",$H349="N/A"),0,VALUE($H349)*(($AJ349+$AK349)/2)*$AV349)</f>
        <v/>
      </c>
      <c r="AT349">
        <f>IF(OR($H349="",$H349="N/A"),0,($AJ349+$AK349)/2)</f>
        <v/>
      </c>
      <c r="AU349">
        <f>'Assessment Questions'!AX349</f>
        <v/>
      </c>
      <c r="AV349">
        <f>IF(OR($H349="",$H349="N/A"),"",IF(OR($AU349="",$AU349="Everywhere",$AU349="Not applicable"),1,IF($AU349="Pilot / one team",0.4,IF($AU349="One unit or site",0.7,0.9))))</f>
        <v/>
      </c>
      <c r="AW349" t="inlineStr">
        <is>
          <t>Data BI AI</t>
        </is>
      </c>
      <c r="AX349" t="inlineStr">
        <is>
          <t>Data BI AI</t>
        </is>
      </c>
      <c r="AY349" t="n">
        <v>8</v>
      </c>
      <c r="AZ349" t="n">
        <v>349</v>
      </c>
    </row>
    <row r="350">
      <c r="A350" t="inlineStr">
        <is>
          <t>DATA-005</t>
        </is>
      </c>
      <c r="B350" t="inlineStr">
        <is>
          <t>Data governance</t>
        </is>
      </c>
      <c r="C350" t="inlineStr">
        <is>
          <t>How mature is the organization in managing data classification by sensitivity, business criticality, privacy and retention requirement, including ownership, evidence, metrics, fallback procedures and crisis stress testing?</t>
        </is>
      </c>
      <c r="D350" t="inlineStr">
        <is>
          <t>This topic affects exposure to Decision failure; Data loss; Regulatory/legal shock. It helps identify how disruption may impact operations, people, revenue, systems, legal exposure or recovery time.</t>
        </is>
      </c>
      <c r="E350" t="inlineStr">
        <is>
          <t>DAMA-DMBOK; ISO/IEC 38505; ISO/IEC 42001; ISO/IEC 23894; NIST AI RMF; DCAM</t>
        </is>
      </c>
      <c r="F350" t="inlineStr">
        <is>
          <t>Policy/SOP; owner/RACI; system report; dashboard; contracts; test records; incident history; interview evidence related to data classification by sensitivity, business criticality, privacy and retention requirement.</t>
        </is>
      </c>
      <c r="G350">
        <f>'Assessment Questions'!J350</f>
        <v/>
      </c>
      <c r="H350">
        <f>IF($Z350="","",IF($Z350="N/A","N/A",VALUE(LEFT($Z350,1))))</f>
        <v/>
      </c>
      <c r="I350">
        <f>IF($H350="","",IF($H350="N/A","",VALUE($H350)/5*$G350))</f>
        <v/>
      </c>
      <c r="J350">
        <f>IF(OR($H350="",$H350="N/A"),"",$G350)</f>
        <v/>
      </c>
      <c r="K350">
        <f>IF(OR($H350="",$H350="N/A"),"",$J350-$I350)</f>
        <v/>
      </c>
      <c r="L350">
        <f>IF($H350="","",IF($H350="N/A","N/A",IF(VALUE($H350)&lt;=1,"Critical",IF(VALUE($H350)&lt;=2,"High",IF(VALUE($H350)&lt;=3,"Medium",IF(VALUE($H350)&lt;=4,"Low","Resilient"))))))</f>
        <v/>
      </c>
      <c r="M350" t="inlineStr">
        <is>
          <t>Does not exist; no owner, no documentation, no practice.</t>
        </is>
      </c>
      <c r="N350" t="inlineStr">
        <is>
          <t>Ad hoc; depends entirely on specific individuals.</t>
        </is>
      </c>
      <c r="O350" t="inlineStr">
        <is>
          <t>Partially documented or implemented; coverage inconsistent; never tested under stress.</t>
        </is>
      </c>
      <c r="P350" t="inlineStr">
        <is>
          <t>Documented, owned, executed consistently; basic evidence and metrics exist.</t>
        </is>
      </c>
      <c r="Q350" t="inlineStr">
        <is>
          <t>Measured and periodically tested/audited; integrated with adjacent processes.</t>
        </is>
      </c>
      <c r="R350" t="inlineStr">
        <is>
          <t>Optimized and automated where practical; stress-tested; benchmarked externally.</t>
        </is>
      </c>
      <c r="S350" t="inlineStr">
        <is>
          <t>Decision failure; Data loss; Regulatory/legal shock</t>
        </is>
      </c>
      <c r="T350">
        <f>'Assessment Questions'!W350</f>
        <v/>
      </c>
      <c r="U350">
        <f>'Assessment Questions'!X350</f>
        <v/>
      </c>
      <c r="V350">
        <f>'Assessment Questions'!Y350</f>
        <v/>
      </c>
      <c r="W350" t="n">
        <v>5</v>
      </c>
      <c r="X350" t="n">
        <v>5</v>
      </c>
      <c r="Y350" t="n">
        <v>5</v>
      </c>
      <c r="Z350">
        <f>'Assessment Questions'!AC350</f>
        <v/>
      </c>
      <c r="AA350" t="inlineStr">
        <is>
          <t>AI readiness</t>
        </is>
      </c>
      <c r="AB350">
        <f>COUNTIF($B$346:$B$372,$AA350)</f>
        <v/>
      </c>
      <c r="AC350">
        <f>IFERROR(SUMPRODUCT(($B$346:$B$372=$AA350)*($H$346:$H$372&lt;&gt;"")*($H$346:$H$372&lt;&gt;"N/A")*IFERROR(VALUE($H$346:$H$372),0))/SUMPRODUCT(($B$346:$B$372=$AA350)*($H$346:$H$372&lt;&gt;"")*($H$346:$H$372&lt;&gt;"N/A")),0)</f>
        <v/>
      </c>
      <c r="AD350">
        <f>AC350/5</f>
        <v/>
      </c>
      <c r="AE350">
        <f>COUNTIFS($B$346:$B$372,$AA350,$L$346:$L$372,"Critical")+COUNTIFS($B$346:$B$372,$AA350,$L$346:$L$372,"High")</f>
        <v/>
      </c>
      <c r="AF350">
        <f>5-AC350</f>
        <v/>
      </c>
      <c r="AG350">
        <f>SUMPRODUCT(($B$346:$B$372=$AA350)*(ISNUMBER($H$346:$H$372)+($H$346:$H$372="N/A")))</f>
        <v/>
      </c>
      <c r="AH350">
        <f>'Assessment Questions'!AK350</f>
        <v/>
      </c>
      <c r="AI350">
        <f>'Assessment Questions'!AL350</f>
        <v/>
      </c>
      <c r="AJ350">
        <f>IF(OR($H350="",$H350="N/A"),"",IF($AH350="",VLOOKUP('Company Profile'!$B$40,_CONFIG_Model_Settings!$A$5:$B$8,2,FALSE),_xlfn.IFNA(VLOOKUP($AH350,_CONFIG_Model_Settings!$A$5:$B$8,2,FALSE),0.9)))</f>
        <v/>
      </c>
      <c r="AK350">
        <f>IF(OR($H350="",$H350="N/A"),"",IF($AI350="",VLOOKUP('Company Profile'!$B$41,_CONFIG_Model_Settings!$A$5:$B$8,2,FALSE),_xlfn.IFNA(VLOOKUP($AI350,_CONFIG_Model_Settings!$A$5:$B$8,2,FALSE),0.9)))</f>
        <v/>
      </c>
      <c r="AL350">
        <f>IF(OR($H350="",$H350="N/A"),"",ROUND(VALUE($H350)*$AJ350*$AK350*$AV350,2))</f>
        <v/>
      </c>
      <c r="AM350">
        <f>IF($AL350="","",ROUND($AL350/5*100,1))</f>
        <v/>
      </c>
      <c r="AN350">
        <f>IFERROR(MIN(5,MAX(0,(SUMIFS(_REF_Model_Content!$D$1:$D$157,_REF_Model_Content!$A$1:$A$157,'Company Profile'!$B$9,_REF_Model_Content!$B$1:$B$157,"Data BI AI"))+_xlfn.IFNA(VLOOKUP('Company Profile'!$B$35,_CONFIG_Model_Settings!$A$11:$B$13,2,0),0))),"")</f>
        <v/>
      </c>
      <c r="AO350">
        <f>IF($AL350="","",MAX(0,ROUND($AN350-$AL350,2)))</f>
        <v/>
      </c>
      <c r="AP350">
        <f>IFERROR(SUMIFS(_REF_Model_Content!$E$1:$E$157,_REF_Model_Content!$A$1:$A$157,'Company Profile'!$B$9,_REF_Model_Content!$B$1:$B$157,"Data BI AI"),1)</f>
        <v/>
      </c>
      <c r="AQ350">
        <f>IF($AO350="","",ROUND($AO350*$AP350*($G350/5),2))</f>
        <v/>
      </c>
      <c r="AR350">
        <f>IF($AO350="","",IF($AO350&gt;=2,"Critical industry gap",IF($AO350&gt;=1,"High industry gap",IF($AO350&gt;=0.5,"Moderate industry gap","Within target"))))</f>
        <v/>
      </c>
      <c r="AS350">
        <f>IF(OR($H350="",$H350="N/A"),0,VALUE($H350)*(($AJ350+$AK350)/2)*$AV350)</f>
        <v/>
      </c>
      <c r="AT350">
        <f>IF(OR($H350="",$H350="N/A"),0,($AJ350+$AK350)/2)</f>
        <v/>
      </c>
      <c r="AU350">
        <f>'Assessment Questions'!AX350</f>
        <v/>
      </c>
      <c r="AV350">
        <f>IF(OR($H350="",$H350="N/A"),"",IF(OR($AU350="",$AU350="Everywhere",$AU350="Not applicable"),1,IF($AU350="Pilot / one team",0.4,IF($AU350="One unit or site",0.7,0.9))))</f>
        <v/>
      </c>
      <c r="AW350" t="inlineStr">
        <is>
          <t>Data BI AI</t>
        </is>
      </c>
      <c r="AX350" t="inlineStr">
        <is>
          <t>Data BI AI</t>
        </is>
      </c>
      <c r="AY350" t="n">
        <v>9</v>
      </c>
      <c r="AZ350" t="n">
        <v>350</v>
      </c>
    </row>
    <row r="351">
      <c r="A351" t="inlineStr">
        <is>
          <t>DATA-006</t>
        </is>
      </c>
      <c r="B351" t="inlineStr">
        <is>
          <t>Data governance</t>
        </is>
      </c>
      <c r="C351" t="inlineStr">
        <is>
          <t>How mature is the organization in managing data access governance for datasets, warehouses, BI reports and analytics workspaces, including ownership, evidence, metrics, fallback procedures and crisis stress testing?</t>
        </is>
      </c>
      <c r="D351" t="inlineStr">
        <is>
          <t>This topic affects exposure to Decision failure; Data loss; Regulatory/legal shock. It helps identify how disruption may impact operations, people, revenue, systems, legal exposure or recovery time.</t>
        </is>
      </c>
      <c r="E351" t="inlineStr">
        <is>
          <t>DAMA-DMBOK; ISO/IEC 38505; ISO/IEC 42001; ISO/IEC 23894; NIST AI RMF; DCAM</t>
        </is>
      </c>
      <c r="F351" t="inlineStr">
        <is>
          <t>Policy/SOP; owner/RACI; system report; dashboard; contracts; test records; incident history; interview evidence related to data access governance for datasets, warehouses, BI reports and analytics workspaces.</t>
        </is>
      </c>
      <c r="G351">
        <f>'Assessment Questions'!J351</f>
        <v/>
      </c>
      <c r="H351">
        <f>IF($Z351="","",IF($Z351="N/A","N/A",VALUE(LEFT($Z351,1))))</f>
        <v/>
      </c>
      <c r="I351">
        <f>IF($H351="","",IF($H351="N/A","",VALUE($H351)/5*$G351))</f>
        <v/>
      </c>
      <c r="J351">
        <f>IF(OR($H351="",$H351="N/A"),"",$G351)</f>
        <v/>
      </c>
      <c r="K351">
        <f>IF(OR($H351="",$H351="N/A"),"",$J351-$I351)</f>
        <v/>
      </c>
      <c r="L351">
        <f>IF($H351="","",IF($H351="N/A","N/A",IF(VALUE($H351)&lt;=1,"Critical",IF(VALUE($H351)&lt;=2,"High",IF(VALUE($H351)&lt;=3,"Medium",IF(VALUE($H351)&lt;=4,"Low","Resilient"))))))</f>
        <v/>
      </c>
      <c r="M351" t="inlineStr">
        <is>
          <t>No reliable evidence that data access governance for datasets, warehouses, bi reports and analytics workspaces is defined, owned or managed.</t>
        </is>
      </c>
      <c r="N351" t="inlineStr">
        <is>
          <t>Data access governance for datasets, warehouses, BI reports and analytics workspaces is handled informally and depends on individual knowledge or heroic effort.</t>
        </is>
      </c>
      <c r="O351" t="inlineStr">
        <is>
          <t>Data access governance for datasets, warehouses, BI reports and analytics workspaces is partially documented or implemented, but coverage is inconsistent and not crisis-tested.</t>
        </is>
      </c>
      <c r="P351" t="inlineStr">
        <is>
          <t>Data access governance for datasets, warehouses, BI reports and analytics workspaces is documented, owned, used in normal operations and supported by basic evidence or metrics.</t>
        </is>
      </c>
      <c r="Q351" t="inlineStr">
        <is>
          <t>Data access governance for datasets, warehouses, BI reports and analytics workspaces is measured, periodically reviewed, integrated with related processes and tested against relevant disruption scenarios.</t>
        </is>
      </c>
      <c r="R351" t="inlineStr">
        <is>
          <t>Data access governance for datasets, warehouses, BI reports and analytics workspaces is optimized, continuously improved, automated where practical and demonstrably supports crisis resilience.</t>
        </is>
      </c>
      <c r="S351" t="inlineStr">
        <is>
          <t>Decision failure; Data loss; Regulatory/legal shock</t>
        </is>
      </c>
      <c r="T351">
        <f>'Assessment Questions'!W351</f>
        <v/>
      </c>
      <c r="U351">
        <f>'Assessment Questions'!X351</f>
        <v/>
      </c>
      <c r="V351">
        <f>'Assessment Questions'!Y351</f>
        <v/>
      </c>
      <c r="W351" t="n">
        <v>5</v>
      </c>
      <c r="X351" t="n">
        <v>5</v>
      </c>
      <c r="Y351" t="n">
        <v>5</v>
      </c>
      <c r="Z351">
        <f>'Assessment Questions'!AC351</f>
        <v/>
      </c>
      <c r="AB351">
        <f>COUNTIF($B$346:$B$372,$AA351)</f>
        <v/>
      </c>
      <c r="AC351">
        <f>IFERROR(SUMPRODUCT(($B$346:$B$372=$AA351)*($H$346:$H$372&lt;&gt;"")*($H$346:$H$372&lt;&gt;"N/A")*IFERROR(VALUE($H$346:$H$372),0))/SUMPRODUCT(($B$346:$B$372=$AA351)*($H$346:$H$372&lt;&gt;"")*($H$346:$H$372&lt;&gt;"N/A")),0)</f>
        <v/>
      </c>
      <c r="AD351">
        <f>AC351/5</f>
        <v/>
      </c>
      <c r="AE351">
        <f>COUNTIFS($B$346:$B$372,$AA351,$L$346:$L$372,"Critical")+COUNTIFS($B$346:$B$372,$AA351,$L$346:$L$372,"High")</f>
        <v/>
      </c>
      <c r="AF351">
        <f>5-AC351</f>
        <v/>
      </c>
      <c r="AG351">
        <f>SUMPRODUCT(($B$346:$B$372=$AA351)*(ISNUMBER($H$346:$H$372)+($H$346:$H$372="N/A")))</f>
        <v/>
      </c>
      <c r="AH351">
        <f>'Assessment Questions'!AK351</f>
        <v/>
      </c>
      <c r="AI351">
        <f>'Assessment Questions'!AL351</f>
        <v/>
      </c>
      <c r="AJ351">
        <f>IF(OR($H351="",$H351="N/A"),"",IF($AH351="",VLOOKUP('Company Profile'!$B$40,_CONFIG_Model_Settings!$A$5:$B$8,2,FALSE),_xlfn.IFNA(VLOOKUP($AH351,_CONFIG_Model_Settings!$A$5:$B$8,2,FALSE),0.9)))</f>
        <v/>
      </c>
      <c r="AK351">
        <f>IF(OR($H351="",$H351="N/A"),"",IF($AI351="",VLOOKUP('Company Profile'!$B$41,_CONFIG_Model_Settings!$A$5:$B$8,2,FALSE),_xlfn.IFNA(VLOOKUP($AI351,_CONFIG_Model_Settings!$A$5:$B$8,2,FALSE),0.9)))</f>
        <v/>
      </c>
      <c r="AL351">
        <f>IF(OR($H351="",$H351="N/A"),"",ROUND(VALUE($H351)*$AJ351*$AK351*$AV351,2))</f>
        <v/>
      </c>
      <c r="AM351">
        <f>IF($AL351="","",ROUND($AL351/5*100,1))</f>
        <v/>
      </c>
      <c r="AN351">
        <f>IFERROR(MIN(5,MAX(0,(SUMIFS(_REF_Model_Content!$D$1:$D$157,_REF_Model_Content!$A$1:$A$157,'Company Profile'!$B$9,_REF_Model_Content!$B$1:$B$157,"Data BI AI"))+_xlfn.IFNA(VLOOKUP('Company Profile'!$B$35,_CONFIG_Model_Settings!$A$11:$B$13,2,0),0))),"")</f>
        <v/>
      </c>
      <c r="AO351">
        <f>IF($AL351="","",MAX(0,ROUND($AN351-$AL351,2)))</f>
        <v/>
      </c>
      <c r="AP351">
        <f>IFERROR(SUMIFS(_REF_Model_Content!$E$1:$E$157,_REF_Model_Content!$A$1:$A$157,'Company Profile'!$B$9,_REF_Model_Content!$B$1:$B$157,"Data BI AI"),1)</f>
        <v/>
      </c>
      <c r="AQ351">
        <f>IF($AO351="","",ROUND($AO351*$AP351*($G351/5),2))</f>
        <v/>
      </c>
      <c r="AR351">
        <f>IF($AO351="","",IF($AO351&gt;=2,"Critical industry gap",IF($AO351&gt;=1,"High industry gap",IF($AO351&gt;=0.5,"Moderate industry gap","Within target"))))</f>
        <v/>
      </c>
      <c r="AS351">
        <f>IF(OR($H351="",$H351="N/A"),0,VALUE($H351)*(($AJ351+$AK351)/2)*$AV351)</f>
        <v/>
      </c>
      <c r="AT351">
        <f>IF(OR($H351="",$H351="N/A"),0,($AJ351+$AK351)/2)</f>
        <v/>
      </c>
      <c r="AU351">
        <f>'Assessment Questions'!AX351</f>
        <v/>
      </c>
      <c r="AV351">
        <f>IF(OR($H351="",$H351="N/A"),"",IF(OR($AU351="",$AU351="Everywhere",$AU351="Not applicable"),1,IF($AU351="Pilot / one team",0.4,IF($AU351="One unit or site",0.7,0.9))))</f>
        <v/>
      </c>
      <c r="AW351" t="inlineStr">
        <is>
          <t>Data BI AI</t>
        </is>
      </c>
      <c r="AX351" t="inlineStr">
        <is>
          <t>Data BI AI</t>
        </is>
      </c>
      <c r="AY351" t="n">
        <v>10</v>
      </c>
      <c r="AZ351" t="n">
        <v>351</v>
      </c>
    </row>
    <row r="352">
      <c r="A352" t="inlineStr">
        <is>
          <t>DATA-007</t>
        </is>
      </c>
      <c r="B352" t="inlineStr">
        <is>
          <t>Data architecture</t>
        </is>
      </c>
      <c r="C352" t="inlineStr">
        <is>
          <t>How mature is the organization in managing data architecture from source systems to warehouse, lake, BI, AI models and reports, including ownership, evidence, metrics, fallback procedures and crisis stress testing?</t>
        </is>
      </c>
      <c r="D352" t="inlineStr">
        <is>
          <t>This topic affects exposure to Decision failure; Data loss; Regulatory/legal shock. It helps identify how disruption may impact operations, people, revenue, systems, legal exposure or recovery time.</t>
        </is>
      </c>
      <c r="E352" t="inlineStr">
        <is>
          <t>DAMA-DMBOK; ISO/IEC 38505; ISO/IEC 42001; ISO/IEC 23894; NIST AI RMF; DCAM</t>
        </is>
      </c>
      <c r="F352" t="inlineStr">
        <is>
          <t>Policy/SOP; owner/RACI; system report; dashboard; contracts; test records; incident history; interview evidence related to data architecture from source systems to warehouse, lake, BI, AI models and reports.</t>
        </is>
      </c>
      <c r="G352">
        <f>'Assessment Questions'!J352</f>
        <v/>
      </c>
      <c r="H352">
        <f>IF($Z352="","",IF($Z352="N/A","N/A",VALUE(LEFT($Z352,1))))</f>
        <v/>
      </c>
      <c r="I352">
        <f>IF($H352="","",IF($H352="N/A","",VALUE($H352)/5*$G352))</f>
        <v/>
      </c>
      <c r="J352">
        <f>IF(OR($H352="",$H352="N/A"),"",$G352)</f>
        <v/>
      </c>
      <c r="K352">
        <f>IF(OR($H352="",$H352="N/A"),"",$J352-$I352)</f>
        <v/>
      </c>
      <c r="L352">
        <f>IF($H352="","",IF($H352="N/A","N/A",IF(VALUE($H352)&lt;=1,"Critical",IF(VALUE($H352)&lt;=2,"High",IF(VALUE($H352)&lt;=3,"Medium",IF(VALUE($H352)&lt;=4,"Low","Resilient"))))))</f>
        <v/>
      </c>
      <c r="M352" t="inlineStr">
        <is>
          <t>No reliable evidence that data architecture from source systems to warehouse, lake, bi, ai models and reports is defined, owned or managed.</t>
        </is>
      </c>
      <c r="N352" t="inlineStr">
        <is>
          <t>Data architecture from source systems to warehouse, lake, BI, AI models and reports is handled informally and depends on individual knowledge or heroic effort.</t>
        </is>
      </c>
      <c r="O352" t="inlineStr">
        <is>
          <t>Data architecture from source systems to warehouse, lake, BI, AI models and reports is partially documented or implemented, but coverage is inconsistent and not crisis-tested.</t>
        </is>
      </c>
      <c r="P352" t="inlineStr">
        <is>
          <t>Data architecture from source systems to warehouse, lake, BI, AI models and reports is documented, owned, used in normal operations and supported by basic evidence or metrics.</t>
        </is>
      </c>
      <c r="Q352" t="inlineStr">
        <is>
          <t>Data architecture from source systems to warehouse, lake, BI, AI models and reports is measured, periodically reviewed, integrated with related processes and tested against relevant disruption scenarios.</t>
        </is>
      </c>
      <c r="R352" t="inlineStr">
        <is>
          <t>Data architecture from source systems to warehouse, lake, BI, AI models and reports is optimized, continuously improved, automated where practical and demonstrably supports crisis resilience.</t>
        </is>
      </c>
      <c r="S352" t="inlineStr">
        <is>
          <t>Decision failure; Data loss; Regulatory/legal shock</t>
        </is>
      </c>
      <c r="T352">
        <f>'Assessment Questions'!W352</f>
        <v/>
      </c>
      <c r="U352">
        <f>'Assessment Questions'!X352</f>
        <v/>
      </c>
      <c r="V352">
        <f>'Assessment Questions'!Y352</f>
        <v/>
      </c>
      <c r="W352" t="n">
        <v>5</v>
      </c>
      <c r="X352" t="n">
        <v>5</v>
      </c>
      <c r="Y352" t="n">
        <v>5</v>
      </c>
      <c r="Z352">
        <f>'Assessment Questions'!AC352</f>
        <v/>
      </c>
      <c r="AB352">
        <f>COUNTIF($B$346:$B$372,$AA352)</f>
        <v/>
      </c>
      <c r="AC352">
        <f>IFERROR(SUMPRODUCT(($B$346:$B$372=$AA352)*($H$346:$H$372&lt;&gt;"")*($H$346:$H$372&lt;&gt;"N/A")*IFERROR(VALUE($H$346:$H$372),0))/SUMPRODUCT(($B$346:$B$372=$AA352)*($H$346:$H$372&lt;&gt;"")*($H$346:$H$372&lt;&gt;"N/A")),0)</f>
        <v/>
      </c>
      <c r="AD352">
        <f>AC352/5</f>
        <v/>
      </c>
      <c r="AE352">
        <f>COUNTIFS($B$346:$B$372,$AA352,$L$346:$L$372,"Critical")+COUNTIFS($B$346:$B$372,$AA352,$L$346:$L$372,"High")</f>
        <v/>
      </c>
      <c r="AF352">
        <f>5-AC352</f>
        <v/>
      </c>
      <c r="AG352">
        <f>SUMPRODUCT(($B$346:$B$372=$AA352)*(ISNUMBER($H$346:$H$372)+($H$346:$H$372="N/A")))</f>
        <v/>
      </c>
      <c r="AH352">
        <f>'Assessment Questions'!AK352</f>
        <v/>
      </c>
      <c r="AI352">
        <f>'Assessment Questions'!AL352</f>
        <v/>
      </c>
      <c r="AJ352">
        <f>IF(OR($H352="",$H352="N/A"),"",IF($AH352="",VLOOKUP('Company Profile'!$B$40,_CONFIG_Model_Settings!$A$5:$B$8,2,FALSE),_xlfn.IFNA(VLOOKUP($AH352,_CONFIG_Model_Settings!$A$5:$B$8,2,FALSE),0.9)))</f>
        <v/>
      </c>
      <c r="AK352">
        <f>IF(OR($H352="",$H352="N/A"),"",IF($AI352="",VLOOKUP('Company Profile'!$B$41,_CONFIG_Model_Settings!$A$5:$B$8,2,FALSE),_xlfn.IFNA(VLOOKUP($AI352,_CONFIG_Model_Settings!$A$5:$B$8,2,FALSE),0.9)))</f>
        <v/>
      </c>
      <c r="AL352">
        <f>IF(OR($H352="",$H352="N/A"),"",ROUND(VALUE($H352)*$AJ352*$AK352*$AV352,2))</f>
        <v/>
      </c>
      <c r="AM352">
        <f>IF($AL352="","",ROUND($AL352/5*100,1))</f>
        <v/>
      </c>
      <c r="AN352">
        <f>IFERROR(MIN(5,MAX(0,(SUMIFS(_REF_Model_Content!$D$1:$D$157,_REF_Model_Content!$A$1:$A$157,'Company Profile'!$B$9,_REF_Model_Content!$B$1:$B$157,"Data BI AI"))+_xlfn.IFNA(VLOOKUP('Company Profile'!$B$35,_CONFIG_Model_Settings!$A$11:$B$13,2,0),0))),"")</f>
        <v/>
      </c>
      <c r="AO352">
        <f>IF($AL352="","",MAX(0,ROUND($AN352-$AL352,2)))</f>
        <v/>
      </c>
      <c r="AP352">
        <f>IFERROR(SUMIFS(_REF_Model_Content!$E$1:$E$157,_REF_Model_Content!$A$1:$A$157,'Company Profile'!$B$9,_REF_Model_Content!$B$1:$B$157,"Data BI AI"),1)</f>
        <v/>
      </c>
      <c r="AQ352">
        <f>IF($AO352="","",ROUND($AO352*$AP352*($G352/5),2))</f>
        <v/>
      </c>
      <c r="AR352">
        <f>IF($AO352="","",IF($AO352&gt;=2,"Critical industry gap",IF($AO352&gt;=1,"High industry gap",IF($AO352&gt;=0.5,"Moderate industry gap","Within target"))))</f>
        <v/>
      </c>
      <c r="AS352">
        <f>IF(OR($H352="",$H352="N/A"),0,VALUE($H352)*(($AJ352+$AK352)/2)*$AV352)</f>
        <v/>
      </c>
      <c r="AT352">
        <f>IF(OR($H352="",$H352="N/A"),0,($AJ352+$AK352)/2)</f>
        <v/>
      </c>
      <c r="AU352">
        <f>'Assessment Questions'!AX352</f>
        <v/>
      </c>
      <c r="AV352">
        <f>IF(OR($H352="",$H352="N/A"),"",IF(OR($AU352="",$AU352="Everywhere",$AU352="Not applicable"),1,IF($AU352="Pilot / one team",0.4,IF($AU352="One unit or site",0.7,0.9))))</f>
        <v/>
      </c>
      <c r="AW352" t="inlineStr">
        <is>
          <t>Data BI AI</t>
        </is>
      </c>
      <c r="AX352" t="inlineStr">
        <is>
          <t>Data BI AI</t>
        </is>
      </c>
      <c r="AY352" t="n">
        <v>11</v>
      </c>
      <c r="AZ352" t="n">
        <v>352</v>
      </c>
    </row>
    <row r="353">
      <c r="A353" t="inlineStr">
        <is>
          <t>DATA-008</t>
        </is>
      </c>
      <c r="B353" t="inlineStr">
        <is>
          <t>Data architecture</t>
        </is>
      </c>
      <c r="C353" t="inlineStr">
        <is>
          <t>How mature is the organization in managing ETL or ELT monitoring for failures, latency, completeness and reconciliation, including ownership, evidence, metrics, fallback procedures and crisis stress testing?</t>
        </is>
      </c>
      <c r="D353" t="inlineStr">
        <is>
          <t>This topic affects exposure to Decision failure; Data loss; Regulatory/legal shock. It helps identify how disruption may impact operations, people, revenue, systems, legal exposure or recovery time.</t>
        </is>
      </c>
      <c r="E353" t="inlineStr">
        <is>
          <t>DAMA-DMBOK; ISO/IEC 38505; ISO/IEC 42001; ISO/IEC 23894; NIST AI RMF; DCAM</t>
        </is>
      </c>
      <c r="F353" t="inlineStr">
        <is>
          <t>Policy/SOP; owner/RACI; system report; dashboard; contracts; test records; incident history; interview evidence related to ETL or ELT monitoring for failures, latency, completeness and reconciliation.</t>
        </is>
      </c>
      <c r="G353">
        <f>'Assessment Questions'!J353</f>
        <v/>
      </c>
      <c r="H353">
        <f>IF($Z353="","",IF($Z353="N/A","N/A",VALUE(LEFT($Z353,1))))</f>
        <v/>
      </c>
      <c r="I353">
        <f>IF($H353="","",IF($H353="N/A","",VALUE($H353)/5*$G353))</f>
        <v/>
      </c>
      <c r="J353">
        <f>IF(OR($H353="",$H353="N/A"),"",$G353)</f>
        <v/>
      </c>
      <c r="K353">
        <f>IF(OR($H353="",$H353="N/A"),"",$J353-$I353)</f>
        <v/>
      </c>
      <c r="L353">
        <f>IF($H353="","",IF($H353="N/A","N/A",IF(VALUE($H353)&lt;=1,"Critical",IF(VALUE($H353)&lt;=2,"High",IF(VALUE($H353)&lt;=3,"Medium",IF(VALUE($H353)&lt;=4,"Low","Resilient"))))))</f>
        <v/>
      </c>
      <c r="M353" t="inlineStr">
        <is>
          <t>No reliable evidence that etl or elt monitoring for failures, latency, completeness and reconciliation is defined, owned or managed.</t>
        </is>
      </c>
      <c r="N353" t="inlineStr">
        <is>
          <t>ETL or ELT monitoring for failures, latency, completeness and reconciliation is handled informally and depends on individual knowledge or heroic effort.</t>
        </is>
      </c>
      <c r="O353" t="inlineStr">
        <is>
          <t>ETL or ELT monitoring for failures, latency, completeness and reconciliation is partially documented or implemented, but coverage is inconsistent and not crisis-tested.</t>
        </is>
      </c>
      <c r="P353" t="inlineStr">
        <is>
          <t>ETL or ELT monitoring for failures, latency, completeness and reconciliation is documented, owned, used in normal operations and supported by basic evidence or metrics.</t>
        </is>
      </c>
      <c r="Q353" t="inlineStr">
        <is>
          <t>ETL or ELT monitoring for failures, latency, completeness and reconciliation is measured, periodically reviewed, integrated with related processes and tested against relevant disruption scenarios.</t>
        </is>
      </c>
      <c r="R353" t="inlineStr">
        <is>
          <t>ETL or ELT monitoring for failures, latency, completeness and reconciliation is optimized, continuously improved, automated where practical and demonstrably supports crisis resilience.</t>
        </is>
      </c>
      <c r="S353" t="inlineStr">
        <is>
          <t>Decision failure; Data loss; Regulatory/legal shock</t>
        </is>
      </c>
      <c r="T353">
        <f>'Assessment Questions'!W353</f>
        <v/>
      </c>
      <c r="U353">
        <f>'Assessment Questions'!X353</f>
        <v/>
      </c>
      <c r="V353">
        <f>'Assessment Questions'!Y353</f>
        <v/>
      </c>
      <c r="W353" t="n">
        <v>5</v>
      </c>
      <c r="X353" t="n">
        <v>5</v>
      </c>
      <c r="Y353" t="n">
        <v>5</v>
      </c>
      <c r="Z353">
        <f>'Assessment Questions'!AC353</f>
        <v/>
      </c>
      <c r="AB353">
        <f>COUNTIF($B$346:$B$372,$AA353)</f>
        <v/>
      </c>
      <c r="AC353">
        <f>IFERROR(SUMPRODUCT(($B$346:$B$372=$AA353)*($H$346:$H$372&lt;&gt;"")*($H$346:$H$372&lt;&gt;"N/A")*IFERROR(VALUE($H$346:$H$372),0))/SUMPRODUCT(($B$346:$B$372=$AA353)*($H$346:$H$372&lt;&gt;"")*($H$346:$H$372&lt;&gt;"N/A")),0)</f>
        <v/>
      </c>
      <c r="AD353">
        <f>AC353/5</f>
        <v/>
      </c>
      <c r="AE353">
        <f>COUNTIFS($B$346:$B$372,$AA353,$L$346:$L$372,"Critical")+COUNTIFS($B$346:$B$372,$AA353,$L$346:$L$372,"High")</f>
        <v/>
      </c>
      <c r="AF353">
        <f>5-AC353</f>
        <v/>
      </c>
      <c r="AG353">
        <f>SUMPRODUCT(($B$346:$B$372=$AA353)*(ISNUMBER($H$346:$H$372)+($H$346:$H$372="N/A")))</f>
        <v/>
      </c>
      <c r="AH353">
        <f>'Assessment Questions'!AK353</f>
        <v/>
      </c>
      <c r="AI353">
        <f>'Assessment Questions'!AL353</f>
        <v/>
      </c>
      <c r="AJ353">
        <f>IF(OR($H353="",$H353="N/A"),"",IF($AH353="",VLOOKUP('Company Profile'!$B$40,_CONFIG_Model_Settings!$A$5:$B$8,2,FALSE),_xlfn.IFNA(VLOOKUP($AH353,_CONFIG_Model_Settings!$A$5:$B$8,2,FALSE),0.9)))</f>
        <v/>
      </c>
      <c r="AK353">
        <f>IF(OR($H353="",$H353="N/A"),"",IF($AI353="",VLOOKUP('Company Profile'!$B$41,_CONFIG_Model_Settings!$A$5:$B$8,2,FALSE),_xlfn.IFNA(VLOOKUP($AI353,_CONFIG_Model_Settings!$A$5:$B$8,2,FALSE),0.9)))</f>
        <v/>
      </c>
      <c r="AL353">
        <f>IF(OR($H353="",$H353="N/A"),"",ROUND(VALUE($H353)*$AJ353*$AK353*$AV353,2))</f>
        <v/>
      </c>
      <c r="AM353">
        <f>IF($AL353="","",ROUND($AL353/5*100,1))</f>
        <v/>
      </c>
      <c r="AN353">
        <f>IFERROR(MIN(5,MAX(0,(SUMIFS(_REF_Model_Content!$D$1:$D$157,_REF_Model_Content!$A$1:$A$157,'Company Profile'!$B$9,_REF_Model_Content!$B$1:$B$157,"Data BI AI"))+_xlfn.IFNA(VLOOKUP('Company Profile'!$B$35,_CONFIG_Model_Settings!$A$11:$B$13,2,0),0))),"")</f>
        <v/>
      </c>
      <c r="AO353">
        <f>IF($AL353="","",MAX(0,ROUND($AN353-$AL353,2)))</f>
        <v/>
      </c>
      <c r="AP353">
        <f>IFERROR(SUMIFS(_REF_Model_Content!$E$1:$E$157,_REF_Model_Content!$A$1:$A$157,'Company Profile'!$B$9,_REF_Model_Content!$B$1:$B$157,"Data BI AI"),1)</f>
        <v/>
      </c>
      <c r="AQ353">
        <f>IF($AO353="","",ROUND($AO353*$AP353*($G353/5),2))</f>
        <v/>
      </c>
      <c r="AR353">
        <f>IF($AO353="","",IF($AO353&gt;=2,"Critical industry gap",IF($AO353&gt;=1,"High industry gap",IF($AO353&gt;=0.5,"Moderate industry gap","Within target"))))</f>
        <v/>
      </c>
      <c r="AS353">
        <f>IF(OR($H353="",$H353="N/A"),0,VALUE($H353)*(($AJ353+$AK353)/2)*$AV353)</f>
        <v/>
      </c>
      <c r="AT353">
        <f>IF(OR($H353="",$H353="N/A"),0,($AJ353+$AK353)/2)</f>
        <v/>
      </c>
      <c r="AU353">
        <f>'Assessment Questions'!AX353</f>
        <v/>
      </c>
      <c r="AV353">
        <f>IF(OR($H353="",$H353="N/A"),"",IF(OR($AU353="",$AU353="Everywhere",$AU353="Not applicable"),1,IF($AU353="Pilot / one team",0.4,IF($AU353="One unit or site",0.7,0.9))))</f>
        <v/>
      </c>
      <c r="AW353" t="inlineStr">
        <is>
          <t>Data BI AI</t>
        </is>
      </c>
      <c r="AX353" t="inlineStr">
        <is>
          <t>Data BI AI</t>
        </is>
      </c>
      <c r="AY353" t="n">
        <v>12</v>
      </c>
      <c r="AZ353" t="n">
        <v>353</v>
      </c>
    </row>
    <row r="354">
      <c r="A354" t="inlineStr">
        <is>
          <t>DATA-009</t>
        </is>
      </c>
      <c r="B354" t="inlineStr">
        <is>
          <t>Data architecture</t>
        </is>
      </c>
      <c r="C354" t="inlineStr">
        <is>
          <t>How mature is the organization in managing data lineage for critical KPIs, regulatory reports and board dashboards, including ownership, evidence, metrics, fallback procedures and crisis stress testing?</t>
        </is>
      </c>
      <c r="D354" t="inlineStr">
        <is>
          <t>This topic affects exposure to Decision failure; Data loss; Regulatory/legal shock. It helps identify how disruption may impact operations, people, revenue, systems, legal exposure or recovery time.</t>
        </is>
      </c>
      <c r="E354" t="inlineStr">
        <is>
          <t>DAMA-DMBOK; ISO/IEC 38505; ISO/IEC 42001; ISO/IEC 23894; NIST AI RMF; DCAM</t>
        </is>
      </c>
      <c r="F354" t="inlineStr">
        <is>
          <t>Policy/SOP; owner/RACI; system report; dashboard; contracts; test records; incident history; interview evidence related to data lineage for critical KPIs, regulatory reports and board dashboards.</t>
        </is>
      </c>
      <c r="G354">
        <f>'Assessment Questions'!J354</f>
        <v/>
      </c>
      <c r="H354">
        <f>IF($Z354="","",IF($Z354="N/A","N/A",VALUE(LEFT($Z354,1))))</f>
        <v/>
      </c>
      <c r="I354">
        <f>IF($H354="","",IF($H354="N/A","",VALUE($H354)/5*$G354))</f>
        <v/>
      </c>
      <c r="J354">
        <f>IF(OR($H354="",$H354="N/A"),"",$G354)</f>
        <v/>
      </c>
      <c r="K354">
        <f>IF(OR($H354="",$H354="N/A"),"",$J354-$I354)</f>
        <v/>
      </c>
      <c r="L354">
        <f>IF($H354="","",IF($H354="N/A","N/A",IF(VALUE($H354)&lt;=1,"Critical",IF(VALUE($H354)&lt;=2,"High",IF(VALUE($H354)&lt;=3,"Medium",IF(VALUE($H354)&lt;=4,"Low","Resilient"))))))</f>
        <v/>
      </c>
      <c r="M354" t="inlineStr">
        <is>
          <t>Nothing is monitored or measured.</t>
        </is>
      </c>
      <c r="N354" t="inlineStr">
        <is>
          <t>Occasional manual checks by individuals.</t>
        </is>
      </c>
      <c r="O354" t="inlineStr">
        <is>
          <t>Some metrics exist but are not reviewed regularly and trigger no action.</t>
        </is>
      </c>
      <c r="P354" t="inlineStr">
        <is>
          <t>Defined metrics with an owner, reviewed on a set cadence.</t>
        </is>
      </c>
      <c r="Q354" t="inlineStr">
        <is>
          <t>Thresholds and alerts in place; deviations trigger documented action; trends analyzed.</t>
        </is>
      </c>
      <c r="R354" t="inlineStr">
        <is>
          <t>Automated monitoring with leading indicators, integrated into management decisions.</t>
        </is>
      </c>
      <c r="S354" t="inlineStr">
        <is>
          <t>Decision failure; Data loss; Regulatory/legal shock</t>
        </is>
      </c>
      <c r="T354">
        <f>'Assessment Questions'!W354</f>
        <v/>
      </c>
      <c r="U354">
        <f>'Assessment Questions'!X354</f>
        <v/>
      </c>
      <c r="V354">
        <f>'Assessment Questions'!Y354</f>
        <v/>
      </c>
      <c r="W354" t="n">
        <v>5</v>
      </c>
      <c r="X354" t="n">
        <v>5</v>
      </c>
      <c r="Y354" t="n">
        <v>5</v>
      </c>
      <c r="Z354">
        <f>'Assessment Questions'!AC354</f>
        <v/>
      </c>
      <c r="AB354">
        <f>COUNTIF($B$346:$B$372,$AA354)</f>
        <v/>
      </c>
      <c r="AC354">
        <f>IFERROR(SUMPRODUCT(($B$346:$B$372=$AA354)*($H$346:$H$372&lt;&gt;"")*($H$346:$H$372&lt;&gt;"N/A")*IFERROR(VALUE($H$346:$H$372),0))/SUMPRODUCT(($B$346:$B$372=$AA354)*($H$346:$H$372&lt;&gt;"")*($H$346:$H$372&lt;&gt;"N/A")),0)</f>
        <v/>
      </c>
      <c r="AD354">
        <f>AC354/5</f>
        <v/>
      </c>
      <c r="AE354">
        <f>COUNTIFS($B$346:$B$372,$AA354,$L$346:$L$372,"Critical")+COUNTIFS($B$346:$B$372,$AA354,$L$346:$L$372,"High")</f>
        <v/>
      </c>
      <c r="AF354">
        <f>5-AC354</f>
        <v/>
      </c>
      <c r="AG354">
        <f>SUMPRODUCT(($B$346:$B$372=$AA354)*(ISNUMBER($H$346:$H$372)+($H$346:$H$372="N/A")))</f>
        <v/>
      </c>
      <c r="AH354">
        <f>'Assessment Questions'!AK354</f>
        <v/>
      </c>
      <c r="AI354">
        <f>'Assessment Questions'!AL354</f>
        <v/>
      </c>
      <c r="AJ354">
        <f>IF(OR($H354="",$H354="N/A"),"",IF($AH354="",VLOOKUP('Company Profile'!$B$40,_CONFIG_Model_Settings!$A$5:$B$8,2,FALSE),_xlfn.IFNA(VLOOKUP($AH354,_CONFIG_Model_Settings!$A$5:$B$8,2,FALSE),0.9)))</f>
        <v/>
      </c>
      <c r="AK354">
        <f>IF(OR($H354="",$H354="N/A"),"",IF($AI354="",VLOOKUP('Company Profile'!$B$41,_CONFIG_Model_Settings!$A$5:$B$8,2,FALSE),_xlfn.IFNA(VLOOKUP($AI354,_CONFIG_Model_Settings!$A$5:$B$8,2,FALSE),0.9)))</f>
        <v/>
      </c>
      <c r="AL354">
        <f>IF(OR($H354="",$H354="N/A"),"",ROUND(VALUE($H354)*$AJ354*$AK354*$AV354,2))</f>
        <v/>
      </c>
      <c r="AM354">
        <f>IF($AL354="","",ROUND($AL354/5*100,1))</f>
        <v/>
      </c>
      <c r="AN354">
        <f>IFERROR(MIN(5,MAX(0,(SUMIFS(_REF_Model_Content!$D$1:$D$157,_REF_Model_Content!$A$1:$A$157,'Company Profile'!$B$9,_REF_Model_Content!$B$1:$B$157,"Data BI AI"))+_xlfn.IFNA(VLOOKUP('Company Profile'!$B$35,_CONFIG_Model_Settings!$A$11:$B$13,2,0),0))),"")</f>
        <v/>
      </c>
      <c r="AO354">
        <f>IF($AL354="","",MAX(0,ROUND($AN354-$AL354,2)))</f>
        <v/>
      </c>
      <c r="AP354">
        <f>IFERROR(SUMIFS(_REF_Model_Content!$E$1:$E$157,_REF_Model_Content!$A$1:$A$157,'Company Profile'!$B$9,_REF_Model_Content!$B$1:$B$157,"Data BI AI"),1)</f>
        <v/>
      </c>
      <c r="AQ354">
        <f>IF($AO354="","",ROUND($AO354*$AP354*($G354/5),2))</f>
        <v/>
      </c>
      <c r="AR354">
        <f>IF($AO354="","",IF($AO354&gt;=2,"Critical industry gap",IF($AO354&gt;=1,"High industry gap",IF($AO354&gt;=0.5,"Moderate industry gap","Within target"))))</f>
        <v/>
      </c>
      <c r="AS354">
        <f>IF(OR($H354="",$H354="N/A"),0,VALUE($H354)*(($AJ354+$AK354)/2)*$AV354)</f>
        <v/>
      </c>
      <c r="AT354">
        <f>IF(OR($H354="",$H354="N/A"),0,($AJ354+$AK354)/2)</f>
        <v/>
      </c>
      <c r="AU354">
        <f>'Assessment Questions'!AX354</f>
        <v/>
      </c>
      <c r="AV354">
        <f>IF(OR($H354="",$H354="N/A"),"",IF(OR($AU354="",$AU354="Everywhere",$AU354="Not applicable"),1,IF($AU354="Pilot / one team",0.4,IF($AU354="One unit or site",0.7,0.9))))</f>
        <v/>
      </c>
      <c r="AW354" t="inlineStr">
        <is>
          <t>Data BI AI</t>
        </is>
      </c>
      <c r="AX354" t="inlineStr">
        <is>
          <t>Data BI AI</t>
        </is>
      </c>
      <c r="AY354" t="n">
        <v>13</v>
      </c>
      <c r="AZ354" t="n">
        <v>354</v>
      </c>
    </row>
    <row r="355">
      <c r="A355" t="inlineStr">
        <is>
          <t>DATA-010</t>
        </is>
      </c>
      <c r="B355" t="inlineStr">
        <is>
          <t>Data architecture</t>
        </is>
      </c>
      <c r="C355" t="inlineStr">
        <is>
          <t>How mature is the organization in managing backup and recovery for critical datasets, warehouses, BI content and analytics code, including ownership, evidence, metrics, fallback procedures and crisis stress testing?</t>
        </is>
      </c>
      <c r="D355" t="inlineStr">
        <is>
          <t>This topic affects exposure to Decision failure; Data loss; Regulatory/legal shock. It helps identify how disruption may impact operations, people, revenue, systems, legal exposure or recovery time.</t>
        </is>
      </c>
      <c r="E355" t="inlineStr">
        <is>
          <t>DAMA-DMBOK; ISO/IEC 38505; ISO/IEC 42001; ISO/IEC 23894; NIST AI RMF; DCAM</t>
        </is>
      </c>
      <c r="F355" t="inlineStr">
        <is>
          <t>Policy/SOP; owner/RACI; system report; dashboard; contracts; test records; incident history; interview evidence related to backup and recovery for critical datasets, warehouses, BI content and analytics code.</t>
        </is>
      </c>
      <c r="G355">
        <f>'Assessment Questions'!J355</f>
        <v/>
      </c>
      <c r="H355">
        <f>IF($Z355="","",IF($Z355="N/A","N/A",VALUE(LEFT($Z355,1))))</f>
        <v/>
      </c>
      <c r="I355">
        <f>IF($H355="","",IF($H355="N/A","",VALUE($H355)/5*$G355))</f>
        <v/>
      </c>
      <c r="J355">
        <f>IF(OR($H355="",$H355="N/A"),"",$G355)</f>
        <v/>
      </c>
      <c r="K355">
        <f>IF(OR($H355="",$H355="N/A"),"",$J355-$I355)</f>
        <v/>
      </c>
      <c r="L355">
        <f>IF($H355="","",IF($H355="N/A","N/A",IF(VALUE($H355)&lt;=1,"Critical",IF(VALUE($H355)&lt;=2,"High",IF(VALUE($H355)&lt;=3,"Medium",IF(VALUE($H355)&lt;=4,"Low","Resilient"))))))</f>
        <v/>
      </c>
      <c r="M355" t="inlineStr">
        <is>
          <t>Nothing is monitored or measured.</t>
        </is>
      </c>
      <c r="N355" t="inlineStr">
        <is>
          <t>Occasional manual checks by individuals.</t>
        </is>
      </c>
      <c r="O355" t="inlineStr">
        <is>
          <t>Some metrics exist but are not reviewed regularly and trigger no action.</t>
        </is>
      </c>
      <c r="P355" t="inlineStr">
        <is>
          <t>Defined metrics with an owner, reviewed on a set cadence.</t>
        </is>
      </c>
      <c r="Q355" t="inlineStr">
        <is>
          <t>Thresholds and alerts in place; deviations trigger documented action; trends analyzed.</t>
        </is>
      </c>
      <c r="R355" t="inlineStr">
        <is>
          <t>Automated monitoring with leading indicators, integrated into management decisions.</t>
        </is>
      </c>
      <c r="S355" t="inlineStr">
        <is>
          <t>Decision failure; Data loss; Regulatory/legal shock</t>
        </is>
      </c>
      <c r="T355">
        <f>'Assessment Questions'!W355</f>
        <v/>
      </c>
      <c r="U355">
        <f>'Assessment Questions'!X355</f>
        <v/>
      </c>
      <c r="V355">
        <f>'Assessment Questions'!Y355</f>
        <v/>
      </c>
      <c r="W355" t="n">
        <v>5</v>
      </c>
      <c r="X355" t="n">
        <v>5</v>
      </c>
      <c r="Y355" t="n">
        <v>5</v>
      </c>
      <c r="Z355">
        <f>'Assessment Questions'!AC355</f>
        <v/>
      </c>
      <c r="AB355">
        <f>COUNTIF($B$346:$B$372,$AA355)</f>
        <v/>
      </c>
      <c r="AC355">
        <f>IFERROR(SUMPRODUCT(($B$346:$B$372=$AA355)*($H$346:$H$372&lt;&gt;"")*($H$346:$H$372&lt;&gt;"N/A")*IFERROR(VALUE($H$346:$H$372),0))/SUMPRODUCT(($B$346:$B$372=$AA355)*($H$346:$H$372&lt;&gt;"")*($H$346:$H$372&lt;&gt;"N/A")),0)</f>
        <v/>
      </c>
      <c r="AD355">
        <f>AC355/5</f>
        <v/>
      </c>
      <c r="AE355">
        <f>COUNTIFS($B$346:$B$372,$AA355,$L$346:$L$372,"Critical")+COUNTIFS($B$346:$B$372,$AA355,$L$346:$L$372,"High")</f>
        <v/>
      </c>
      <c r="AF355">
        <f>5-AC355</f>
        <v/>
      </c>
      <c r="AG355">
        <f>SUMPRODUCT(($B$346:$B$372=$AA355)*(ISNUMBER($H$346:$H$372)+($H$346:$H$372="N/A")))</f>
        <v/>
      </c>
      <c r="AH355">
        <f>'Assessment Questions'!AK355</f>
        <v/>
      </c>
      <c r="AI355">
        <f>'Assessment Questions'!AL355</f>
        <v/>
      </c>
      <c r="AJ355">
        <f>IF(OR($H355="",$H355="N/A"),"",IF($AH355="",VLOOKUP('Company Profile'!$B$40,_CONFIG_Model_Settings!$A$5:$B$8,2,FALSE),_xlfn.IFNA(VLOOKUP($AH355,_CONFIG_Model_Settings!$A$5:$B$8,2,FALSE),0.9)))</f>
        <v/>
      </c>
      <c r="AK355">
        <f>IF(OR($H355="",$H355="N/A"),"",IF($AI355="",VLOOKUP('Company Profile'!$B$41,_CONFIG_Model_Settings!$A$5:$B$8,2,FALSE),_xlfn.IFNA(VLOOKUP($AI355,_CONFIG_Model_Settings!$A$5:$B$8,2,FALSE),0.9)))</f>
        <v/>
      </c>
      <c r="AL355">
        <f>IF(OR($H355="",$H355="N/A"),"",ROUND(VALUE($H355)*$AJ355*$AK355*$AV355,2))</f>
        <v/>
      </c>
      <c r="AM355">
        <f>IF($AL355="","",ROUND($AL355/5*100,1))</f>
        <v/>
      </c>
      <c r="AN355">
        <f>IFERROR(MIN(5,MAX(0,(SUMIFS(_REF_Model_Content!$D$1:$D$157,_REF_Model_Content!$A$1:$A$157,'Company Profile'!$B$9,_REF_Model_Content!$B$1:$B$157,"Data BI AI"))+_xlfn.IFNA(VLOOKUP('Company Profile'!$B$35,_CONFIG_Model_Settings!$A$11:$B$13,2,0),0))),"")</f>
        <v/>
      </c>
      <c r="AO355">
        <f>IF($AL355="","",MAX(0,ROUND($AN355-$AL355,2)))</f>
        <v/>
      </c>
      <c r="AP355">
        <f>IFERROR(SUMIFS(_REF_Model_Content!$E$1:$E$157,_REF_Model_Content!$A$1:$A$157,'Company Profile'!$B$9,_REF_Model_Content!$B$1:$B$157,"Data BI AI"),1)</f>
        <v/>
      </c>
      <c r="AQ355">
        <f>IF($AO355="","",ROUND($AO355*$AP355*($G355/5),2))</f>
        <v/>
      </c>
      <c r="AR355">
        <f>IF($AO355="","",IF($AO355&gt;=2,"Critical industry gap",IF($AO355&gt;=1,"High industry gap",IF($AO355&gt;=0.5,"Moderate industry gap","Within target"))))</f>
        <v/>
      </c>
      <c r="AS355">
        <f>IF(OR($H355="",$H355="N/A"),0,VALUE($H355)*(($AJ355+$AK355)/2)*$AV355)</f>
        <v/>
      </c>
      <c r="AT355">
        <f>IF(OR($H355="",$H355="N/A"),0,($AJ355+$AK355)/2)</f>
        <v/>
      </c>
      <c r="AU355">
        <f>'Assessment Questions'!AX355</f>
        <v/>
      </c>
      <c r="AV355">
        <f>IF(OR($H355="",$H355="N/A"),"",IF(OR($AU355="",$AU355="Everywhere",$AU355="Not applicable"),1,IF($AU355="Pilot / one team",0.4,IF($AU355="One unit or site",0.7,0.9))))</f>
        <v/>
      </c>
      <c r="AW355" t="inlineStr">
        <is>
          <t>Data BI AI</t>
        </is>
      </c>
      <c r="AX355" t="inlineStr">
        <is>
          <t>Data BI AI</t>
        </is>
      </c>
      <c r="AY355" t="n">
        <v>14</v>
      </c>
      <c r="AZ355" t="n">
        <v>355</v>
      </c>
    </row>
    <row r="356">
      <c r="A356" t="inlineStr">
        <is>
          <t>DATA-011</t>
        </is>
      </c>
      <c r="B356" t="inlineStr">
        <is>
          <t>Data architecture</t>
        </is>
      </c>
      <c r="C356" t="inlineStr">
        <is>
          <t>How mature is the organization in managing retention and deletion rules for structured and unstructured data, including ownership, evidence, metrics, fallback procedures and crisis stress testing?</t>
        </is>
      </c>
      <c r="D356" t="inlineStr">
        <is>
          <t>This topic affects exposure to Decision failure; Data loss; Regulatory/legal shock. It helps identify how disruption may impact operations, people, revenue, systems, legal exposure or recovery time.</t>
        </is>
      </c>
      <c r="E356" t="inlineStr">
        <is>
          <t>DAMA-DMBOK; ISO/IEC 38505; ISO/IEC 42001; ISO/IEC 23894; NIST AI RMF; DCAM</t>
        </is>
      </c>
      <c r="F356" t="inlineStr">
        <is>
          <t>Policy/SOP; owner/RACI; system report; dashboard; contracts; test records; incident history; interview evidence related to retention and deletion rules for structured and unstructured data.</t>
        </is>
      </c>
      <c r="G356">
        <f>'Assessment Questions'!J356</f>
        <v/>
      </c>
      <c r="H356">
        <f>IF($Z356="","",IF($Z356="N/A","N/A",VALUE(LEFT($Z356,1))))</f>
        <v/>
      </c>
      <c r="I356">
        <f>IF($H356="","",IF($H356="N/A","",VALUE($H356)/5*$G356))</f>
        <v/>
      </c>
      <c r="J356">
        <f>IF(OR($H356="",$H356="N/A"),"",$G356)</f>
        <v/>
      </c>
      <c r="K356">
        <f>IF(OR($H356="",$H356="N/A"),"",$J356-$I356)</f>
        <v/>
      </c>
      <c r="L356">
        <f>IF($H356="","",IF($H356="N/A","N/A",IF(VALUE($H356)&lt;=1,"Critical",IF(VALUE($H356)&lt;=2,"High",IF(VALUE($H356)&lt;=3,"Medium",IF(VALUE($H356)&lt;=4,"Low","Resilient"))))))</f>
        <v/>
      </c>
      <c r="M356" t="inlineStr">
        <is>
          <t>No reliable evidence that retention and deletion rules for structured and unstructured data is defined, owned or managed.</t>
        </is>
      </c>
      <c r="N356" t="inlineStr">
        <is>
          <t>Retention and deletion rules for structured and unstructured data is handled informally and depends on individual knowledge or heroic effort.</t>
        </is>
      </c>
      <c r="O356" t="inlineStr">
        <is>
          <t>Retention and deletion rules for structured and unstructured data is partially documented or implemented, but coverage is inconsistent and not crisis-tested.</t>
        </is>
      </c>
      <c r="P356" t="inlineStr">
        <is>
          <t>Retention and deletion rules for structured and unstructured data is documented, owned, used in normal operations and supported by basic evidence or metrics.</t>
        </is>
      </c>
      <c r="Q356" t="inlineStr">
        <is>
          <t>Retention and deletion rules for structured and unstructured data is measured, periodically reviewed, integrated with related processes and tested against relevant disruption scenarios.</t>
        </is>
      </c>
      <c r="R356" t="inlineStr">
        <is>
          <t>Retention and deletion rules for structured and unstructured data is optimized, continuously improved, automated where practical and demonstrably supports crisis resilience.</t>
        </is>
      </c>
      <c r="S356" t="inlineStr">
        <is>
          <t>Decision failure; Data loss; Regulatory/legal shock</t>
        </is>
      </c>
      <c r="T356">
        <f>'Assessment Questions'!W356</f>
        <v/>
      </c>
      <c r="U356">
        <f>'Assessment Questions'!X356</f>
        <v/>
      </c>
      <c r="V356">
        <f>'Assessment Questions'!Y356</f>
        <v/>
      </c>
      <c r="W356" t="n">
        <v>5</v>
      </c>
      <c r="X356" t="n">
        <v>5</v>
      </c>
      <c r="Y356" t="n">
        <v>5</v>
      </c>
      <c r="Z356">
        <f>'Assessment Questions'!AC356</f>
        <v/>
      </c>
      <c r="AB356">
        <f>COUNTIF($B$346:$B$372,$AA356)</f>
        <v/>
      </c>
      <c r="AC356">
        <f>IFERROR(SUMPRODUCT(($B$346:$B$372=$AA356)*($H$346:$H$372&lt;&gt;"")*($H$346:$H$372&lt;&gt;"N/A")*IFERROR(VALUE($H$346:$H$372),0))/SUMPRODUCT(($B$346:$B$372=$AA356)*($H$346:$H$372&lt;&gt;"")*($H$346:$H$372&lt;&gt;"N/A")),0)</f>
        <v/>
      </c>
      <c r="AD356">
        <f>AC356/5</f>
        <v/>
      </c>
      <c r="AE356">
        <f>COUNTIFS($B$346:$B$372,$AA356,$L$346:$L$372,"Critical")+COUNTIFS($B$346:$B$372,$AA356,$L$346:$L$372,"High")</f>
        <v/>
      </c>
      <c r="AF356">
        <f>5-AC356</f>
        <v/>
      </c>
      <c r="AG356">
        <f>SUMPRODUCT(($B$346:$B$372=$AA356)*(ISNUMBER($H$346:$H$372)+($H$346:$H$372="N/A")))</f>
        <v/>
      </c>
      <c r="AH356">
        <f>'Assessment Questions'!AK356</f>
        <v/>
      </c>
      <c r="AI356">
        <f>'Assessment Questions'!AL356</f>
        <v/>
      </c>
      <c r="AJ356">
        <f>IF(OR($H356="",$H356="N/A"),"",IF($AH356="",VLOOKUP('Company Profile'!$B$40,_CONFIG_Model_Settings!$A$5:$B$8,2,FALSE),_xlfn.IFNA(VLOOKUP($AH356,_CONFIG_Model_Settings!$A$5:$B$8,2,FALSE),0.9)))</f>
        <v/>
      </c>
      <c r="AK356">
        <f>IF(OR($H356="",$H356="N/A"),"",IF($AI356="",VLOOKUP('Company Profile'!$B$41,_CONFIG_Model_Settings!$A$5:$B$8,2,FALSE),_xlfn.IFNA(VLOOKUP($AI356,_CONFIG_Model_Settings!$A$5:$B$8,2,FALSE),0.9)))</f>
        <v/>
      </c>
      <c r="AL356">
        <f>IF(OR($H356="",$H356="N/A"),"",ROUND(VALUE($H356)*$AJ356*$AK356*$AV356,2))</f>
        <v/>
      </c>
      <c r="AM356">
        <f>IF($AL356="","",ROUND($AL356/5*100,1))</f>
        <v/>
      </c>
      <c r="AN356">
        <f>IFERROR(MIN(5,MAX(0,(SUMIFS(_REF_Model_Content!$D$1:$D$157,_REF_Model_Content!$A$1:$A$157,'Company Profile'!$B$9,_REF_Model_Content!$B$1:$B$157,"Data BI AI"))+_xlfn.IFNA(VLOOKUP('Company Profile'!$B$35,_CONFIG_Model_Settings!$A$11:$B$13,2,0),0))),"")</f>
        <v/>
      </c>
      <c r="AO356">
        <f>IF($AL356="","",MAX(0,ROUND($AN356-$AL356,2)))</f>
        <v/>
      </c>
      <c r="AP356">
        <f>IFERROR(SUMIFS(_REF_Model_Content!$E$1:$E$157,_REF_Model_Content!$A$1:$A$157,'Company Profile'!$B$9,_REF_Model_Content!$B$1:$B$157,"Data BI AI"),1)</f>
        <v/>
      </c>
      <c r="AQ356">
        <f>IF($AO356="","",ROUND($AO356*$AP356*($G356/5),2))</f>
        <v/>
      </c>
      <c r="AR356">
        <f>IF($AO356="","",IF($AO356&gt;=2,"Critical industry gap",IF($AO356&gt;=1,"High industry gap",IF($AO356&gt;=0.5,"Moderate industry gap","Within target"))))</f>
        <v/>
      </c>
      <c r="AS356">
        <f>IF(OR($H356="",$H356="N/A"),0,VALUE($H356)*(($AJ356+$AK356)/2)*$AV356)</f>
        <v/>
      </c>
      <c r="AT356">
        <f>IF(OR($H356="",$H356="N/A"),0,($AJ356+$AK356)/2)</f>
        <v/>
      </c>
      <c r="AU356">
        <f>'Assessment Questions'!AX356</f>
        <v/>
      </c>
      <c r="AV356">
        <f>IF(OR($H356="",$H356="N/A"),"",IF(OR($AU356="",$AU356="Everywhere",$AU356="Not applicable"),1,IF($AU356="Pilot / one team",0.4,IF($AU356="One unit or site",0.7,0.9))))</f>
        <v/>
      </c>
      <c r="AW356" t="inlineStr">
        <is>
          <t>Data BI AI</t>
        </is>
      </c>
      <c r="AX356" t="inlineStr">
        <is>
          <t>Data BI AI</t>
        </is>
      </c>
      <c r="AY356" t="n">
        <v>15</v>
      </c>
      <c r="AZ356" t="n">
        <v>356</v>
      </c>
    </row>
    <row r="357">
      <c r="A357" t="inlineStr">
        <is>
          <t>DATA-012</t>
        </is>
      </c>
      <c r="B357" t="inlineStr">
        <is>
          <t>Data architecture</t>
        </is>
      </c>
      <c r="C357" t="inlineStr">
        <is>
          <t>How mature is the organization in managing external data source validation for quality, licensing, availability and continuity, including ownership, evidence, metrics, fallback procedures and crisis stress testing?</t>
        </is>
      </c>
      <c r="D357" t="inlineStr">
        <is>
          <t>This topic affects exposure to Decision failure; Data loss; Regulatory/legal shock. It helps identify how disruption may impact operations, people, revenue, systems, legal exposure or recovery time.</t>
        </is>
      </c>
      <c r="E357" t="inlineStr">
        <is>
          <t>DAMA-DMBOK; ISO/IEC 38505; ISO/IEC 42001; ISO/IEC 23894; NIST AI RMF; DCAM</t>
        </is>
      </c>
      <c r="F357" t="inlineStr">
        <is>
          <t>Policy/SOP; owner/RACI; system report; dashboard; contracts; test records; incident history; interview evidence related to external data source validation for quality, licensing, availability and continuity.</t>
        </is>
      </c>
      <c r="G357">
        <f>'Assessment Questions'!J357</f>
        <v/>
      </c>
      <c r="H357">
        <f>IF($Z357="","",IF($Z357="N/A","N/A",VALUE(LEFT($Z357,1))))</f>
        <v/>
      </c>
      <c r="I357">
        <f>IF($H357="","",IF($H357="N/A","",VALUE($H357)/5*$G357))</f>
        <v/>
      </c>
      <c r="J357">
        <f>IF(OR($H357="",$H357="N/A"),"",$G357)</f>
        <v/>
      </c>
      <c r="K357">
        <f>IF(OR($H357="",$H357="N/A"),"",$J357-$I357)</f>
        <v/>
      </c>
      <c r="L357">
        <f>IF($H357="","",IF($H357="N/A","N/A",IF(VALUE($H357)&lt;=1,"Critical",IF(VALUE($H357)&lt;=2,"High",IF(VALUE($H357)&lt;=3,"Medium",IF(VALUE($H357)&lt;=4,"Low","Resilient"))))))</f>
        <v/>
      </c>
      <c r="M357" t="inlineStr">
        <is>
          <t>Does not exist; no owner, no documentation, no practice.</t>
        </is>
      </c>
      <c r="N357" t="inlineStr">
        <is>
          <t>Ad hoc; depends entirely on specific individuals.</t>
        </is>
      </c>
      <c r="O357" t="inlineStr">
        <is>
          <t>Partially documented or implemented; coverage inconsistent; never tested under stress.</t>
        </is>
      </c>
      <c r="P357" t="inlineStr">
        <is>
          <t>Documented, owned, executed consistently; basic evidence and metrics exist.</t>
        </is>
      </c>
      <c r="Q357" t="inlineStr">
        <is>
          <t>Measured and periodically tested/audited; integrated with adjacent processes.</t>
        </is>
      </c>
      <c r="R357" t="inlineStr">
        <is>
          <t>Optimized and automated where practical; stress-tested; benchmarked externally.</t>
        </is>
      </c>
      <c r="S357" t="inlineStr">
        <is>
          <t>Decision failure; Data loss; Regulatory/legal shock</t>
        </is>
      </c>
      <c r="T357">
        <f>'Assessment Questions'!W357</f>
        <v/>
      </c>
      <c r="U357">
        <f>'Assessment Questions'!X357</f>
        <v/>
      </c>
      <c r="V357">
        <f>'Assessment Questions'!Y357</f>
        <v/>
      </c>
      <c r="W357" t="n">
        <v>5</v>
      </c>
      <c r="X357" t="n">
        <v>5</v>
      </c>
      <c r="Y357" t="n">
        <v>5</v>
      </c>
      <c r="Z357">
        <f>'Assessment Questions'!AC357</f>
        <v/>
      </c>
      <c r="AB357">
        <f>COUNTIF($B$346:$B$372,$AA357)</f>
        <v/>
      </c>
      <c r="AC357">
        <f>IFERROR(SUMPRODUCT(($B$346:$B$372=$AA357)*($H$346:$H$372&lt;&gt;"")*($H$346:$H$372&lt;&gt;"N/A")*IFERROR(VALUE($H$346:$H$372),0))/SUMPRODUCT(($B$346:$B$372=$AA357)*($H$346:$H$372&lt;&gt;"")*($H$346:$H$372&lt;&gt;"N/A")),0)</f>
        <v/>
      </c>
      <c r="AD357">
        <f>AC357/5</f>
        <v/>
      </c>
      <c r="AE357">
        <f>COUNTIFS($B$346:$B$372,$AA357,$L$346:$L$372,"Critical")+COUNTIFS($B$346:$B$372,$AA357,$L$346:$L$372,"High")</f>
        <v/>
      </c>
      <c r="AF357">
        <f>5-AC357</f>
        <v/>
      </c>
      <c r="AG357">
        <f>SUMPRODUCT(($B$346:$B$372=$AA357)*(ISNUMBER($H$346:$H$372)+($H$346:$H$372="N/A")))</f>
        <v/>
      </c>
      <c r="AH357">
        <f>'Assessment Questions'!AK357</f>
        <v/>
      </c>
      <c r="AI357">
        <f>'Assessment Questions'!AL357</f>
        <v/>
      </c>
      <c r="AJ357">
        <f>IF(OR($H357="",$H357="N/A"),"",IF($AH357="",VLOOKUP('Company Profile'!$B$40,_CONFIG_Model_Settings!$A$5:$B$8,2,FALSE),_xlfn.IFNA(VLOOKUP($AH357,_CONFIG_Model_Settings!$A$5:$B$8,2,FALSE),0.9)))</f>
        <v/>
      </c>
      <c r="AK357">
        <f>IF(OR($H357="",$H357="N/A"),"",IF($AI357="",VLOOKUP('Company Profile'!$B$41,_CONFIG_Model_Settings!$A$5:$B$8,2,FALSE),_xlfn.IFNA(VLOOKUP($AI357,_CONFIG_Model_Settings!$A$5:$B$8,2,FALSE),0.9)))</f>
        <v/>
      </c>
      <c r="AL357">
        <f>IF(OR($H357="",$H357="N/A"),"",ROUND(VALUE($H357)*$AJ357*$AK357*$AV357,2))</f>
        <v/>
      </c>
      <c r="AM357">
        <f>IF($AL357="","",ROUND($AL357/5*100,1))</f>
        <v/>
      </c>
      <c r="AN357">
        <f>IFERROR(MIN(5,MAX(0,(SUMIFS(_REF_Model_Content!$D$1:$D$157,_REF_Model_Content!$A$1:$A$157,'Company Profile'!$B$9,_REF_Model_Content!$B$1:$B$157,"Data BI AI"))+_xlfn.IFNA(VLOOKUP('Company Profile'!$B$35,_CONFIG_Model_Settings!$A$11:$B$13,2,0),0))),"")</f>
        <v/>
      </c>
      <c r="AO357">
        <f>IF($AL357="","",MAX(0,ROUND($AN357-$AL357,2)))</f>
        <v/>
      </c>
      <c r="AP357">
        <f>IFERROR(SUMIFS(_REF_Model_Content!$E$1:$E$157,_REF_Model_Content!$A$1:$A$157,'Company Profile'!$B$9,_REF_Model_Content!$B$1:$B$157,"Data BI AI"),1)</f>
        <v/>
      </c>
      <c r="AQ357">
        <f>IF($AO357="","",ROUND($AO357*$AP357*($G357/5),2))</f>
        <v/>
      </c>
      <c r="AR357">
        <f>IF($AO357="","",IF($AO357&gt;=2,"Critical industry gap",IF($AO357&gt;=1,"High industry gap",IF($AO357&gt;=0.5,"Moderate industry gap","Within target"))))</f>
        <v/>
      </c>
      <c r="AS357">
        <f>IF(OR($H357="",$H357="N/A"),0,VALUE($H357)*(($AJ357+$AK357)/2)*$AV357)</f>
        <v/>
      </c>
      <c r="AT357">
        <f>IF(OR($H357="",$H357="N/A"),0,($AJ357+$AK357)/2)</f>
        <v/>
      </c>
      <c r="AU357">
        <f>'Assessment Questions'!AX357</f>
        <v/>
      </c>
      <c r="AV357">
        <f>IF(OR($H357="",$H357="N/A"),"",IF(OR($AU357="",$AU357="Everywhere",$AU357="Not applicable"),1,IF($AU357="Pilot / one team",0.4,IF($AU357="One unit or site",0.7,0.9))))</f>
        <v/>
      </c>
      <c r="AW357" t="inlineStr">
        <is>
          <t>Data BI AI</t>
        </is>
      </c>
      <c r="AX357" t="inlineStr">
        <is>
          <t>Data BI AI</t>
        </is>
      </c>
      <c r="AY357" t="n">
        <v>16</v>
      </c>
      <c r="AZ357" t="n">
        <v>357</v>
      </c>
    </row>
    <row r="358">
      <c r="A358" t="inlineStr">
        <is>
          <t>DATA-013</t>
        </is>
      </c>
      <c r="B358" t="inlineStr">
        <is>
          <t>BI and analytics</t>
        </is>
      </c>
      <c r="C358" t="inlineStr">
        <is>
          <t>How mature is the organization in managing executive dashboards for crisis KPIs such as cash, workforce, supply, delivery, revenue and incidents, including ownership, evidence, metrics, fallback procedures and crisis stress testing?</t>
        </is>
      </c>
      <c r="D358" t="inlineStr">
        <is>
          <t>This topic affects exposure to Decision failure; Data loss; Regulatory/legal shock. It helps identify how disruption may impact operations, people, revenue, systems, legal exposure or recovery time.</t>
        </is>
      </c>
      <c r="E358" t="inlineStr">
        <is>
          <t>DAMA-DMBOK; ISO/IEC 38505; ISO/IEC 42001; ISO/IEC 23894; NIST AI RMF; DCAM</t>
        </is>
      </c>
      <c r="F358" t="inlineStr">
        <is>
          <t>Policy/SOP; owner/RACI; system report; dashboard; contracts; test records; incident history; interview evidence related to executive dashboards for crisis KPIs such as cash, workforce, supply, delivery, revenue and incidents.</t>
        </is>
      </c>
      <c r="G358">
        <f>'Assessment Questions'!J358</f>
        <v/>
      </c>
      <c r="H358">
        <f>IF($Z358="","",IF($Z358="N/A","N/A",VALUE(LEFT($Z358,1))))</f>
        <v/>
      </c>
      <c r="I358">
        <f>IF($H358="","",IF($H358="N/A","",VALUE($H358)/5*$G358))</f>
        <v/>
      </c>
      <c r="J358">
        <f>IF(OR($H358="",$H358="N/A"),"",$G358)</f>
        <v/>
      </c>
      <c r="K358">
        <f>IF(OR($H358="",$H358="N/A"),"",$J358-$I358)</f>
        <v/>
      </c>
      <c r="L358">
        <f>IF($H358="","",IF($H358="N/A","N/A",IF(VALUE($H358)&lt;=1,"Critical",IF(VALUE($H358)&lt;=2,"High",IF(VALUE($H358)&lt;=3,"Medium",IF(VALUE($H358)&lt;=4,"Low","Resilient"))))))</f>
        <v/>
      </c>
      <c r="M358" t="inlineStr">
        <is>
          <t>Nothing is monitored or measured.</t>
        </is>
      </c>
      <c r="N358" t="inlineStr">
        <is>
          <t>Occasional manual checks by individuals.</t>
        </is>
      </c>
      <c r="O358" t="inlineStr">
        <is>
          <t>Some metrics exist but are not reviewed regularly and trigger no action.</t>
        </is>
      </c>
      <c r="P358" t="inlineStr">
        <is>
          <t>Defined metrics with an owner, reviewed on a set cadence.</t>
        </is>
      </c>
      <c r="Q358" t="inlineStr">
        <is>
          <t>Thresholds and alerts in place; deviations trigger documented action; trends analyzed.</t>
        </is>
      </c>
      <c r="R358" t="inlineStr">
        <is>
          <t>Automated monitoring with leading indicators, integrated into management decisions.</t>
        </is>
      </c>
      <c r="S358" t="inlineStr">
        <is>
          <t>Decision failure; Data loss; Regulatory/legal shock</t>
        </is>
      </c>
      <c r="T358">
        <f>'Assessment Questions'!W358</f>
        <v/>
      </c>
      <c r="U358">
        <f>'Assessment Questions'!X358</f>
        <v/>
      </c>
      <c r="V358">
        <f>'Assessment Questions'!Y358</f>
        <v/>
      </c>
      <c r="W358" t="n">
        <v>5</v>
      </c>
      <c r="X358" t="n">
        <v>5</v>
      </c>
      <c r="Y358" t="n">
        <v>5</v>
      </c>
      <c r="Z358">
        <f>'Assessment Questions'!AC358</f>
        <v/>
      </c>
      <c r="AB358">
        <f>COUNTIF($B$346:$B$372,$AA358)</f>
        <v/>
      </c>
      <c r="AC358">
        <f>IFERROR(SUMPRODUCT(($B$346:$B$372=$AA358)*($H$346:$H$372&lt;&gt;"")*($H$346:$H$372&lt;&gt;"N/A")*IFERROR(VALUE($H$346:$H$372),0))/SUMPRODUCT(($B$346:$B$372=$AA358)*($H$346:$H$372&lt;&gt;"")*($H$346:$H$372&lt;&gt;"N/A")),0)</f>
        <v/>
      </c>
      <c r="AD358">
        <f>AC358/5</f>
        <v/>
      </c>
      <c r="AE358">
        <f>COUNTIFS($B$346:$B$372,$AA358,$L$346:$L$372,"Critical")+COUNTIFS($B$346:$B$372,$AA358,$L$346:$L$372,"High")</f>
        <v/>
      </c>
      <c r="AF358">
        <f>5-AC358</f>
        <v/>
      </c>
      <c r="AG358">
        <f>SUMPRODUCT(($B$346:$B$372=$AA358)*(ISNUMBER($H$346:$H$372)+($H$346:$H$372="N/A")))</f>
        <v/>
      </c>
      <c r="AH358">
        <f>'Assessment Questions'!AK358</f>
        <v/>
      </c>
      <c r="AI358">
        <f>'Assessment Questions'!AL358</f>
        <v/>
      </c>
      <c r="AJ358">
        <f>IF(OR($H358="",$H358="N/A"),"",IF($AH358="",VLOOKUP('Company Profile'!$B$40,_CONFIG_Model_Settings!$A$5:$B$8,2,FALSE),_xlfn.IFNA(VLOOKUP($AH358,_CONFIG_Model_Settings!$A$5:$B$8,2,FALSE),0.9)))</f>
        <v/>
      </c>
      <c r="AK358">
        <f>IF(OR($H358="",$H358="N/A"),"",IF($AI358="",VLOOKUP('Company Profile'!$B$41,_CONFIG_Model_Settings!$A$5:$B$8,2,FALSE),_xlfn.IFNA(VLOOKUP($AI358,_CONFIG_Model_Settings!$A$5:$B$8,2,FALSE),0.9)))</f>
        <v/>
      </c>
      <c r="AL358">
        <f>IF(OR($H358="",$H358="N/A"),"",ROUND(VALUE($H358)*$AJ358*$AK358*$AV358,2))</f>
        <v/>
      </c>
      <c r="AM358">
        <f>IF($AL358="","",ROUND($AL358/5*100,1))</f>
        <v/>
      </c>
      <c r="AN358">
        <f>IFERROR(MIN(5,MAX(0,(SUMIFS(_REF_Model_Content!$D$1:$D$157,_REF_Model_Content!$A$1:$A$157,'Company Profile'!$B$9,_REF_Model_Content!$B$1:$B$157,"Data BI AI"))+_xlfn.IFNA(VLOOKUP('Company Profile'!$B$35,_CONFIG_Model_Settings!$A$11:$B$13,2,0),0))),"")</f>
        <v/>
      </c>
      <c r="AO358">
        <f>IF($AL358="","",MAX(0,ROUND($AN358-$AL358,2)))</f>
        <v/>
      </c>
      <c r="AP358">
        <f>IFERROR(SUMIFS(_REF_Model_Content!$E$1:$E$157,_REF_Model_Content!$A$1:$A$157,'Company Profile'!$B$9,_REF_Model_Content!$B$1:$B$157,"Data BI AI"),1)</f>
        <v/>
      </c>
      <c r="AQ358">
        <f>IF($AO358="","",ROUND($AO358*$AP358*($G358/5),2))</f>
        <v/>
      </c>
      <c r="AR358">
        <f>IF($AO358="","",IF($AO358&gt;=2,"Critical industry gap",IF($AO358&gt;=1,"High industry gap",IF($AO358&gt;=0.5,"Moderate industry gap","Within target"))))</f>
        <v/>
      </c>
      <c r="AS358">
        <f>IF(OR($H358="",$H358="N/A"),0,VALUE($H358)*(($AJ358+$AK358)/2)*$AV358)</f>
        <v/>
      </c>
      <c r="AT358">
        <f>IF(OR($H358="",$H358="N/A"),0,($AJ358+$AK358)/2)</f>
        <v/>
      </c>
      <c r="AU358">
        <f>'Assessment Questions'!AX358</f>
        <v/>
      </c>
      <c r="AV358">
        <f>IF(OR($H358="",$H358="N/A"),"",IF(OR($AU358="",$AU358="Everywhere",$AU358="Not applicable"),1,IF($AU358="Pilot / one team",0.4,IF($AU358="One unit or site",0.7,0.9))))</f>
        <v/>
      </c>
      <c r="AW358" t="inlineStr">
        <is>
          <t>Data BI AI</t>
        </is>
      </c>
      <c r="AX358" t="inlineStr">
        <is>
          <t>Data BI AI</t>
        </is>
      </c>
      <c r="AY358" t="n">
        <v>17</v>
      </c>
      <c r="AZ358" t="n">
        <v>358</v>
      </c>
    </row>
    <row r="359">
      <c r="A359" t="inlineStr">
        <is>
          <t>DATA-014</t>
        </is>
      </c>
      <c r="B359" t="inlineStr">
        <is>
          <t>BI and analytics</t>
        </is>
      </c>
      <c r="C359" t="inlineStr">
        <is>
          <t>How mature is the organization in managing operational dashboards for daily management and crisis response, including ownership, evidence, metrics, fallback procedures and crisis stress testing?</t>
        </is>
      </c>
      <c r="D359" t="inlineStr">
        <is>
          <t>This topic affects exposure to Decision failure; Data loss; Regulatory/legal shock. It helps identify how disruption may impact operations, people, revenue, systems, legal exposure or recovery time.</t>
        </is>
      </c>
      <c r="E359" t="inlineStr">
        <is>
          <t>DAMA-DMBOK; ISO/IEC 38505; ISO/IEC 42001; ISO/IEC 23894; NIST AI RMF; DCAM</t>
        </is>
      </c>
      <c r="F359" t="inlineStr">
        <is>
          <t>Policy/SOP; owner/RACI; system report; dashboard; contracts; test records; incident history; interview evidence related to operational dashboards for daily management and crisis response.</t>
        </is>
      </c>
      <c r="G359">
        <f>'Assessment Questions'!J359</f>
        <v/>
      </c>
      <c r="H359">
        <f>IF($Z359="","",IF($Z359="N/A","N/A",VALUE(LEFT($Z359,1))))</f>
        <v/>
      </c>
      <c r="I359">
        <f>IF($H359="","",IF($H359="N/A","",VALUE($H359)/5*$G359))</f>
        <v/>
      </c>
      <c r="J359">
        <f>IF(OR($H359="",$H359="N/A"),"",$G359)</f>
        <v/>
      </c>
      <c r="K359">
        <f>IF(OR($H359="",$H359="N/A"),"",$J359-$I359)</f>
        <v/>
      </c>
      <c r="L359">
        <f>IF($H359="","",IF($H359="N/A","N/A",IF(VALUE($H359)&lt;=1,"Critical",IF(VALUE($H359)&lt;=2,"High",IF(VALUE($H359)&lt;=3,"Medium",IF(VALUE($H359)&lt;=4,"Low","Resilient"))))))</f>
        <v/>
      </c>
      <c r="M359" t="inlineStr">
        <is>
          <t>Does not exist; no owner, no documentation, no practice.</t>
        </is>
      </c>
      <c r="N359" t="inlineStr">
        <is>
          <t>Ad hoc; depends entirely on specific individuals.</t>
        </is>
      </c>
      <c r="O359" t="inlineStr">
        <is>
          <t>Partially documented or implemented; coverage inconsistent; never tested under stress.</t>
        </is>
      </c>
      <c r="P359" t="inlineStr">
        <is>
          <t>Documented, owned, executed consistently; basic evidence and metrics exist.</t>
        </is>
      </c>
      <c r="Q359" t="inlineStr">
        <is>
          <t>Measured and periodically tested/audited; integrated with adjacent processes.</t>
        </is>
      </c>
      <c r="R359" t="inlineStr">
        <is>
          <t>Optimized and automated where practical; stress-tested; benchmarked externally.</t>
        </is>
      </c>
      <c r="S359" t="inlineStr">
        <is>
          <t>Decision failure; Data loss; Regulatory/legal shock</t>
        </is>
      </c>
      <c r="T359">
        <f>'Assessment Questions'!W359</f>
        <v/>
      </c>
      <c r="U359">
        <f>'Assessment Questions'!X359</f>
        <v/>
      </c>
      <c r="V359">
        <f>'Assessment Questions'!Y359</f>
        <v/>
      </c>
      <c r="W359" t="n">
        <v>5</v>
      </c>
      <c r="X359" t="n">
        <v>5</v>
      </c>
      <c r="Y359" t="n">
        <v>5</v>
      </c>
      <c r="Z359">
        <f>'Assessment Questions'!AC359</f>
        <v/>
      </c>
      <c r="AB359">
        <f>COUNTIF($B$346:$B$372,$AA359)</f>
        <v/>
      </c>
      <c r="AC359">
        <f>IFERROR(SUMPRODUCT(($B$346:$B$372=$AA359)*($H$346:$H$372&lt;&gt;"")*($H$346:$H$372&lt;&gt;"N/A")*IFERROR(VALUE($H$346:$H$372),0))/SUMPRODUCT(($B$346:$B$372=$AA359)*($H$346:$H$372&lt;&gt;"")*($H$346:$H$372&lt;&gt;"N/A")),0)</f>
        <v/>
      </c>
      <c r="AD359">
        <f>AC359/5</f>
        <v/>
      </c>
      <c r="AE359">
        <f>COUNTIFS($B$346:$B$372,$AA359,$L$346:$L$372,"Critical")+COUNTIFS($B$346:$B$372,$AA359,$L$346:$L$372,"High")</f>
        <v/>
      </c>
      <c r="AF359">
        <f>5-AC359</f>
        <v/>
      </c>
      <c r="AG359">
        <f>SUMPRODUCT(($B$346:$B$372=$AA359)*(ISNUMBER($H$346:$H$372)+($H$346:$H$372="N/A")))</f>
        <v/>
      </c>
      <c r="AH359">
        <f>'Assessment Questions'!AK359</f>
        <v/>
      </c>
      <c r="AI359">
        <f>'Assessment Questions'!AL359</f>
        <v/>
      </c>
      <c r="AJ359">
        <f>IF(OR($H359="",$H359="N/A"),"",IF($AH359="",VLOOKUP('Company Profile'!$B$40,_CONFIG_Model_Settings!$A$5:$B$8,2,FALSE),_xlfn.IFNA(VLOOKUP($AH359,_CONFIG_Model_Settings!$A$5:$B$8,2,FALSE),0.9)))</f>
        <v/>
      </c>
      <c r="AK359">
        <f>IF(OR($H359="",$H359="N/A"),"",IF($AI359="",VLOOKUP('Company Profile'!$B$41,_CONFIG_Model_Settings!$A$5:$B$8,2,FALSE),_xlfn.IFNA(VLOOKUP($AI359,_CONFIG_Model_Settings!$A$5:$B$8,2,FALSE),0.9)))</f>
        <v/>
      </c>
      <c r="AL359">
        <f>IF(OR($H359="",$H359="N/A"),"",ROUND(VALUE($H359)*$AJ359*$AK359*$AV359,2))</f>
        <v/>
      </c>
      <c r="AM359">
        <f>IF($AL359="","",ROUND($AL359/5*100,1))</f>
        <v/>
      </c>
      <c r="AN359">
        <f>IFERROR(MIN(5,MAX(0,(SUMIFS(_REF_Model_Content!$D$1:$D$157,_REF_Model_Content!$A$1:$A$157,'Company Profile'!$B$9,_REF_Model_Content!$B$1:$B$157,"Data BI AI"))+_xlfn.IFNA(VLOOKUP('Company Profile'!$B$35,_CONFIG_Model_Settings!$A$11:$B$13,2,0),0))),"")</f>
        <v/>
      </c>
      <c r="AO359">
        <f>IF($AL359="","",MAX(0,ROUND($AN359-$AL359,2)))</f>
        <v/>
      </c>
      <c r="AP359">
        <f>IFERROR(SUMIFS(_REF_Model_Content!$E$1:$E$157,_REF_Model_Content!$A$1:$A$157,'Company Profile'!$B$9,_REF_Model_Content!$B$1:$B$157,"Data BI AI"),1)</f>
        <v/>
      </c>
      <c r="AQ359">
        <f>IF($AO359="","",ROUND($AO359*$AP359*($G359/5),2))</f>
        <v/>
      </c>
      <c r="AR359">
        <f>IF($AO359="","",IF($AO359&gt;=2,"Critical industry gap",IF($AO359&gt;=1,"High industry gap",IF($AO359&gt;=0.5,"Moderate industry gap","Within target"))))</f>
        <v/>
      </c>
      <c r="AS359">
        <f>IF(OR($H359="",$H359="N/A"),0,VALUE($H359)*(($AJ359+$AK359)/2)*$AV359)</f>
        <v/>
      </c>
      <c r="AT359">
        <f>IF(OR($H359="",$H359="N/A"),0,($AJ359+$AK359)/2)</f>
        <v/>
      </c>
      <c r="AU359">
        <f>'Assessment Questions'!AX359</f>
        <v/>
      </c>
      <c r="AV359">
        <f>IF(OR($H359="",$H359="N/A"),"",IF(OR($AU359="",$AU359="Everywhere",$AU359="Not applicable"),1,IF($AU359="Pilot / one team",0.4,IF($AU359="One unit or site",0.7,0.9))))</f>
        <v/>
      </c>
      <c r="AW359" t="inlineStr">
        <is>
          <t>Data BI AI</t>
        </is>
      </c>
      <c r="AX359" t="inlineStr">
        <is>
          <t>Data BI AI</t>
        </is>
      </c>
      <c r="AY359" t="n">
        <v>18</v>
      </c>
      <c r="AZ359" t="n">
        <v>359</v>
      </c>
    </row>
    <row r="360">
      <c r="A360" t="inlineStr">
        <is>
          <t>DATA-015</t>
        </is>
      </c>
      <c r="B360" t="inlineStr">
        <is>
          <t>BI and analytics</t>
        </is>
      </c>
      <c r="C360" t="inlineStr">
        <is>
          <t>How mature is the organization in managing single source of truth for critical reports instead of manually reconciled spreadsheets, including ownership, evidence, metrics, fallback procedures and crisis stress testing?</t>
        </is>
      </c>
      <c r="D360" t="inlineStr">
        <is>
          <t>This topic affects exposure to Decision failure; Data loss; Regulatory/legal shock. It helps identify how disruption may impact operations, people, revenue, systems, legal exposure or recovery time.</t>
        </is>
      </c>
      <c r="E360" t="inlineStr">
        <is>
          <t>DAMA-DMBOK; ISO/IEC 38505; ISO/IEC 42001; ISO/IEC 23894; NIST AI RMF; DCAM</t>
        </is>
      </c>
      <c r="F360" t="inlineStr">
        <is>
          <t>Policy/SOP; owner/RACI; system report; dashboard; contracts; test records; incident history; interview evidence related to single source of truth for critical reports instead of manually reconciled spreadsheets.</t>
        </is>
      </c>
      <c r="G360">
        <f>'Assessment Questions'!J360</f>
        <v/>
      </c>
      <c r="H360">
        <f>IF($Z360="","",IF($Z360="N/A","N/A",VALUE(LEFT($Z360,1))))</f>
        <v/>
      </c>
      <c r="I360">
        <f>IF($H360="","",IF($H360="N/A","",VALUE($H360)/5*$G360))</f>
        <v/>
      </c>
      <c r="J360">
        <f>IF(OR($H360="",$H360="N/A"),"",$G360)</f>
        <v/>
      </c>
      <c r="K360">
        <f>IF(OR($H360="",$H360="N/A"),"",$J360-$I360)</f>
        <v/>
      </c>
      <c r="L360">
        <f>IF($H360="","",IF($H360="N/A","N/A",IF(VALUE($H360)&lt;=1,"Critical",IF(VALUE($H360)&lt;=2,"High",IF(VALUE($H360)&lt;=3,"Medium",IF(VALUE($H360)&lt;=4,"Low","Resilient"))))))</f>
        <v/>
      </c>
      <c r="M360" t="inlineStr">
        <is>
          <t>Does not exist; no owner, no documentation, no practice.</t>
        </is>
      </c>
      <c r="N360" t="inlineStr">
        <is>
          <t>Ad hoc; depends entirely on specific individuals.</t>
        </is>
      </c>
      <c r="O360" t="inlineStr">
        <is>
          <t>Partially documented or implemented; coverage inconsistent; never tested under stress.</t>
        </is>
      </c>
      <c r="P360" t="inlineStr">
        <is>
          <t>Documented, owned, executed consistently; basic evidence and metrics exist.</t>
        </is>
      </c>
      <c r="Q360" t="inlineStr">
        <is>
          <t>Measured and periodically tested/audited; integrated with adjacent processes.</t>
        </is>
      </c>
      <c r="R360" t="inlineStr">
        <is>
          <t>Optimized and automated where practical; stress-tested; benchmarked externally.</t>
        </is>
      </c>
      <c r="S360" t="inlineStr">
        <is>
          <t>Decision failure; Data loss; Regulatory/legal shock</t>
        </is>
      </c>
      <c r="T360">
        <f>'Assessment Questions'!W360</f>
        <v/>
      </c>
      <c r="U360">
        <f>'Assessment Questions'!X360</f>
        <v/>
      </c>
      <c r="V360">
        <f>'Assessment Questions'!Y360</f>
        <v/>
      </c>
      <c r="W360" t="n">
        <v>5</v>
      </c>
      <c r="X360" t="n">
        <v>5</v>
      </c>
      <c r="Y360" t="n">
        <v>5</v>
      </c>
      <c r="Z360">
        <f>'Assessment Questions'!AC360</f>
        <v/>
      </c>
      <c r="AB360">
        <f>COUNTIF($B$346:$B$372,$AA360)</f>
        <v/>
      </c>
      <c r="AC360">
        <f>IFERROR(SUMPRODUCT(($B$346:$B$372=$AA360)*($H$346:$H$372&lt;&gt;"")*($H$346:$H$372&lt;&gt;"N/A")*IFERROR(VALUE($H$346:$H$372),0))/SUMPRODUCT(($B$346:$B$372=$AA360)*($H$346:$H$372&lt;&gt;"")*($H$346:$H$372&lt;&gt;"N/A")),0)</f>
        <v/>
      </c>
      <c r="AD360">
        <f>AC360/5</f>
        <v/>
      </c>
      <c r="AE360">
        <f>COUNTIFS($B$346:$B$372,$AA360,$L$346:$L$372,"Critical")+COUNTIFS($B$346:$B$372,$AA360,$L$346:$L$372,"High")</f>
        <v/>
      </c>
      <c r="AF360">
        <f>5-AC360</f>
        <v/>
      </c>
      <c r="AG360">
        <f>SUMPRODUCT(($B$346:$B$372=$AA360)*(ISNUMBER($H$346:$H$372)+($H$346:$H$372="N/A")))</f>
        <v/>
      </c>
      <c r="AH360">
        <f>'Assessment Questions'!AK360</f>
        <v/>
      </c>
      <c r="AI360">
        <f>'Assessment Questions'!AL360</f>
        <v/>
      </c>
      <c r="AJ360">
        <f>IF(OR($H360="",$H360="N/A"),"",IF($AH360="",VLOOKUP('Company Profile'!$B$40,_CONFIG_Model_Settings!$A$5:$B$8,2,FALSE),_xlfn.IFNA(VLOOKUP($AH360,_CONFIG_Model_Settings!$A$5:$B$8,2,FALSE),0.9)))</f>
        <v/>
      </c>
      <c r="AK360">
        <f>IF(OR($H360="",$H360="N/A"),"",IF($AI360="",VLOOKUP('Company Profile'!$B$41,_CONFIG_Model_Settings!$A$5:$B$8,2,FALSE),_xlfn.IFNA(VLOOKUP($AI360,_CONFIG_Model_Settings!$A$5:$B$8,2,FALSE),0.9)))</f>
        <v/>
      </c>
      <c r="AL360">
        <f>IF(OR($H360="",$H360="N/A"),"",ROUND(VALUE($H360)*$AJ360*$AK360*$AV360,2))</f>
        <v/>
      </c>
      <c r="AM360">
        <f>IF($AL360="","",ROUND($AL360/5*100,1))</f>
        <v/>
      </c>
      <c r="AN360">
        <f>IFERROR(MIN(5,MAX(0,(SUMIFS(_REF_Model_Content!$D$1:$D$157,_REF_Model_Content!$A$1:$A$157,'Company Profile'!$B$9,_REF_Model_Content!$B$1:$B$157,"Data BI AI"))+_xlfn.IFNA(VLOOKUP('Company Profile'!$B$35,_CONFIG_Model_Settings!$A$11:$B$13,2,0),0))),"")</f>
        <v/>
      </c>
      <c r="AO360">
        <f>IF($AL360="","",MAX(0,ROUND($AN360-$AL360,2)))</f>
        <v/>
      </c>
      <c r="AP360">
        <f>IFERROR(SUMIFS(_REF_Model_Content!$E$1:$E$157,_REF_Model_Content!$A$1:$A$157,'Company Profile'!$B$9,_REF_Model_Content!$B$1:$B$157,"Data BI AI"),1)</f>
        <v/>
      </c>
      <c r="AQ360">
        <f>IF($AO360="","",ROUND($AO360*$AP360*($G360/5),2))</f>
        <v/>
      </c>
      <c r="AR360">
        <f>IF($AO360="","",IF($AO360&gt;=2,"Critical industry gap",IF($AO360&gt;=1,"High industry gap",IF($AO360&gt;=0.5,"Moderate industry gap","Within target"))))</f>
        <v/>
      </c>
      <c r="AS360">
        <f>IF(OR($H360="",$H360="N/A"),0,VALUE($H360)*(($AJ360+$AK360)/2)*$AV360)</f>
        <v/>
      </c>
      <c r="AT360">
        <f>IF(OR($H360="",$H360="N/A"),0,($AJ360+$AK360)/2)</f>
        <v/>
      </c>
      <c r="AU360">
        <f>'Assessment Questions'!AX360</f>
        <v/>
      </c>
      <c r="AV360">
        <f>IF(OR($H360="",$H360="N/A"),"",IF(OR($AU360="",$AU360="Everywhere",$AU360="Not applicable"),1,IF($AU360="Pilot / one team",0.4,IF($AU360="One unit or site",0.7,0.9))))</f>
        <v/>
      </c>
      <c r="AW360" t="inlineStr">
        <is>
          <t>Data BI AI</t>
        </is>
      </c>
      <c r="AX360" t="inlineStr">
        <is>
          <t>Data BI AI</t>
        </is>
      </c>
      <c r="AY360" t="n">
        <v>19</v>
      </c>
      <c r="AZ360" t="n">
        <v>360</v>
      </c>
    </row>
    <row r="361">
      <c r="A361" t="inlineStr">
        <is>
          <t>DATA-016</t>
        </is>
      </c>
      <c r="B361" t="inlineStr">
        <is>
          <t>BI and analytics</t>
        </is>
      </c>
      <c r="C361" t="inlineStr">
        <is>
          <t>How mature is the organization in managing self-service analytics governance to avoid uncontrolled reporting, including ownership, evidence, metrics, fallback procedures and crisis stress testing?</t>
        </is>
      </c>
      <c r="D361" t="inlineStr">
        <is>
          <t>This topic affects exposure to Decision failure; Data loss; Regulatory/legal shock. It helps identify how disruption may impact operations, people, revenue, systems, legal exposure or recovery time.</t>
        </is>
      </c>
      <c r="E361" t="inlineStr">
        <is>
          <t>DAMA-DMBOK; ISO/IEC 38505; ISO/IEC 42001; ISO/IEC 23894; NIST AI RMF; DCAM</t>
        </is>
      </c>
      <c r="F361" t="inlineStr">
        <is>
          <t>Policy/SOP; owner/RACI; system report; dashboard; contracts; test records; incident history; interview evidence related to self-service analytics governance to avoid uncontrolled reporting.</t>
        </is>
      </c>
      <c r="G361">
        <f>'Assessment Questions'!J361</f>
        <v/>
      </c>
      <c r="H361">
        <f>IF($Z361="","",IF($Z361="N/A","N/A",VALUE(LEFT($Z361,1))))</f>
        <v/>
      </c>
      <c r="I361">
        <f>IF($H361="","",IF($H361="N/A","",VALUE($H361)/5*$G361))</f>
        <v/>
      </c>
      <c r="J361">
        <f>IF(OR($H361="",$H361="N/A"),"",$G361)</f>
        <v/>
      </c>
      <c r="K361">
        <f>IF(OR($H361="",$H361="N/A"),"",$J361-$I361)</f>
        <v/>
      </c>
      <c r="L361">
        <f>IF($H361="","",IF($H361="N/A","N/A",IF(VALUE($H361)&lt;=1,"Critical",IF(VALUE($H361)&lt;=2,"High",IF(VALUE($H361)&lt;=3,"Medium",IF(VALUE($H361)&lt;=4,"Low","Resilient"))))))</f>
        <v/>
      </c>
      <c r="M361" t="inlineStr">
        <is>
          <t>No reliable evidence that self-service analytics governance to avoid uncontrolled reporting is defined, owned or managed.</t>
        </is>
      </c>
      <c r="N361" t="inlineStr">
        <is>
          <t>Self-service analytics governance to avoid uncontrolled reporting is handled informally and depends on individual knowledge or heroic effort.</t>
        </is>
      </c>
      <c r="O361" t="inlineStr">
        <is>
          <t>Self-service analytics governance to avoid uncontrolled reporting is partially documented or implemented, but coverage is inconsistent and not crisis-tested.</t>
        </is>
      </c>
      <c r="P361" t="inlineStr">
        <is>
          <t>Self-service analytics governance to avoid uncontrolled reporting is documented, owned, used in normal operations and supported by basic evidence or metrics.</t>
        </is>
      </c>
      <c r="Q361" t="inlineStr">
        <is>
          <t>Self-service analytics governance to avoid uncontrolled reporting is measured, periodically reviewed, integrated with related processes and tested against relevant disruption scenarios.</t>
        </is>
      </c>
      <c r="R361" t="inlineStr">
        <is>
          <t>Self-service analytics governance to avoid uncontrolled reporting is optimized, continuously improved, automated where practical and demonstrably supports crisis resilience.</t>
        </is>
      </c>
      <c r="S361" t="inlineStr">
        <is>
          <t>Decision failure; Data loss; Regulatory/legal shock</t>
        </is>
      </c>
      <c r="T361">
        <f>'Assessment Questions'!W361</f>
        <v/>
      </c>
      <c r="U361">
        <f>'Assessment Questions'!X361</f>
        <v/>
      </c>
      <c r="V361">
        <f>'Assessment Questions'!Y361</f>
        <v/>
      </c>
      <c r="W361" t="n">
        <v>5</v>
      </c>
      <c r="X361" t="n">
        <v>5</v>
      </c>
      <c r="Y361" t="n">
        <v>5</v>
      </c>
      <c r="Z361">
        <f>'Assessment Questions'!AC361</f>
        <v/>
      </c>
      <c r="AB361">
        <f>COUNTIF($B$346:$B$372,$AA361)</f>
        <v/>
      </c>
      <c r="AC361">
        <f>IFERROR(SUMPRODUCT(($B$346:$B$372=$AA361)*($H$346:$H$372&lt;&gt;"")*($H$346:$H$372&lt;&gt;"N/A")*IFERROR(VALUE($H$346:$H$372),0))/SUMPRODUCT(($B$346:$B$372=$AA361)*($H$346:$H$372&lt;&gt;"")*($H$346:$H$372&lt;&gt;"N/A")),0)</f>
        <v/>
      </c>
      <c r="AD361">
        <f>AC361/5</f>
        <v/>
      </c>
      <c r="AE361">
        <f>COUNTIFS($B$346:$B$372,$AA361,$L$346:$L$372,"Critical")+COUNTIFS($B$346:$B$372,$AA361,$L$346:$L$372,"High")</f>
        <v/>
      </c>
      <c r="AF361">
        <f>5-AC361</f>
        <v/>
      </c>
      <c r="AG361">
        <f>SUMPRODUCT(($B$346:$B$372=$AA361)*(ISNUMBER($H$346:$H$372)+($H$346:$H$372="N/A")))</f>
        <v/>
      </c>
      <c r="AH361">
        <f>'Assessment Questions'!AK361</f>
        <v/>
      </c>
      <c r="AI361">
        <f>'Assessment Questions'!AL361</f>
        <v/>
      </c>
      <c r="AJ361">
        <f>IF(OR($H361="",$H361="N/A"),"",IF($AH361="",VLOOKUP('Company Profile'!$B$40,_CONFIG_Model_Settings!$A$5:$B$8,2,FALSE),_xlfn.IFNA(VLOOKUP($AH361,_CONFIG_Model_Settings!$A$5:$B$8,2,FALSE),0.9)))</f>
        <v/>
      </c>
      <c r="AK361">
        <f>IF(OR($H361="",$H361="N/A"),"",IF($AI361="",VLOOKUP('Company Profile'!$B$41,_CONFIG_Model_Settings!$A$5:$B$8,2,FALSE),_xlfn.IFNA(VLOOKUP($AI361,_CONFIG_Model_Settings!$A$5:$B$8,2,FALSE),0.9)))</f>
        <v/>
      </c>
      <c r="AL361">
        <f>IF(OR($H361="",$H361="N/A"),"",ROUND(VALUE($H361)*$AJ361*$AK361*$AV361,2))</f>
        <v/>
      </c>
      <c r="AM361">
        <f>IF($AL361="","",ROUND($AL361/5*100,1))</f>
        <v/>
      </c>
      <c r="AN361">
        <f>IFERROR(MIN(5,MAX(0,(SUMIFS(_REF_Model_Content!$D$1:$D$157,_REF_Model_Content!$A$1:$A$157,'Company Profile'!$B$9,_REF_Model_Content!$B$1:$B$157,"Data BI AI"))+_xlfn.IFNA(VLOOKUP('Company Profile'!$B$35,_CONFIG_Model_Settings!$A$11:$B$13,2,0),0))),"")</f>
        <v/>
      </c>
      <c r="AO361">
        <f>IF($AL361="","",MAX(0,ROUND($AN361-$AL361,2)))</f>
        <v/>
      </c>
      <c r="AP361">
        <f>IFERROR(SUMIFS(_REF_Model_Content!$E$1:$E$157,_REF_Model_Content!$A$1:$A$157,'Company Profile'!$B$9,_REF_Model_Content!$B$1:$B$157,"Data BI AI"),1)</f>
        <v/>
      </c>
      <c r="AQ361">
        <f>IF($AO361="","",ROUND($AO361*$AP361*($G361/5),2))</f>
        <v/>
      </c>
      <c r="AR361">
        <f>IF($AO361="","",IF($AO361&gt;=2,"Critical industry gap",IF($AO361&gt;=1,"High industry gap",IF($AO361&gt;=0.5,"Moderate industry gap","Within target"))))</f>
        <v/>
      </c>
      <c r="AS361">
        <f>IF(OR($H361="",$H361="N/A"),0,VALUE($H361)*(($AJ361+$AK361)/2)*$AV361)</f>
        <v/>
      </c>
      <c r="AT361">
        <f>IF(OR($H361="",$H361="N/A"),0,($AJ361+$AK361)/2)</f>
        <v/>
      </c>
      <c r="AU361">
        <f>'Assessment Questions'!AX361</f>
        <v/>
      </c>
      <c r="AV361">
        <f>IF(OR($H361="",$H361="N/A"),"",IF(OR($AU361="",$AU361="Everywhere",$AU361="Not applicable"),1,IF($AU361="Pilot / one team",0.4,IF($AU361="One unit or site",0.7,0.9))))</f>
        <v/>
      </c>
      <c r="AW361" t="inlineStr">
        <is>
          <t>Data BI AI</t>
        </is>
      </c>
      <c r="AX361" t="inlineStr">
        <is>
          <t>Data BI AI</t>
        </is>
      </c>
      <c r="AY361" t="n">
        <v>20</v>
      </c>
      <c r="AZ361" t="n">
        <v>361</v>
      </c>
    </row>
    <row r="362">
      <c r="A362" t="inlineStr">
        <is>
          <t>DATA-017</t>
        </is>
      </c>
      <c r="B362" t="inlineStr">
        <is>
          <t>BI and analytics</t>
        </is>
      </c>
      <c r="C362" t="inlineStr">
        <is>
          <t>How mature is the organization in managing rapid ad hoc crisis reporting without breaking data controls, including ownership, evidence, metrics, fallback procedures and crisis stress testing?</t>
        </is>
      </c>
      <c r="D362" t="inlineStr">
        <is>
          <t>This topic affects exposure to Decision failure; Data loss; Regulatory/legal shock. It helps identify how disruption may impact operations, people, revenue, systems, legal exposure or recovery time.</t>
        </is>
      </c>
      <c r="E362" t="inlineStr">
        <is>
          <t>DAMA-DMBOK; ISO/IEC 38505; ISO/IEC 42001; ISO/IEC 23894; NIST AI RMF; DCAM</t>
        </is>
      </c>
      <c r="F362" t="inlineStr">
        <is>
          <t>Policy/SOP; owner/RACI; system report; dashboard; contracts; test records; incident history; interview evidence related to rapid ad hoc crisis reporting without breaking data controls.</t>
        </is>
      </c>
      <c r="G362">
        <f>'Assessment Questions'!J362</f>
        <v/>
      </c>
      <c r="H362">
        <f>IF($Z362="","",IF($Z362="N/A","N/A",VALUE(LEFT($Z362,1))))</f>
        <v/>
      </c>
      <c r="I362">
        <f>IF($H362="","",IF($H362="N/A","",VALUE($H362)/5*$G362))</f>
        <v/>
      </c>
      <c r="J362">
        <f>IF(OR($H362="",$H362="N/A"),"",$G362)</f>
        <v/>
      </c>
      <c r="K362">
        <f>IF(OR($H362="",$H362="N/A"),"",$J362-$I362)</f>
        <v/>
      </c>
      <c r="L362">
        <f>IF($H362="","",IF($H362="N/A","N/A",IF(VALUE($H362)&lt;=1,"Critical",IF(VALUE($H362)&lt;=2,"High",IF(VALUE($H362)&lt;=3,"Medium",IF(VALUE($H362)&lt;=4,"Low","Resilient"))))))</f>
        <v/>
      </c>
      <c r="M362" t="inlineStr">
        <is>
          <t>Does not exist; no owner, no documentation, no practice.</t>
        </is>
      </c>
      <c r="N362" t="inlineStr">
        <is>
          <t>Ad hoc; depends entirely on specific individuals.</t>
        </is>
      </c>
      <c r="O362" t="inlineStr">
        <is>
          <t>Partially documented or implemented; coverage inconsistent; never tested under stress.</t>
        </is>
      </c>
      <c r="P362" t="inlineStr">
        <is>
          <t>Documented, owned, executed consistently; basic evidence and metrics exist.</t>
        </is>
      </c>
      <c r="Q362" t="inlineStr">
        <is>
          <t>Measured and periodically tested/audited; integrated with adjacent processes.</t>
        </is>
      </c>
      <c r="R362" t="inlineStr">
        <is>
          <t>Optimized and automated where practical; stress-tested; benchmarked externally.</t>
        </is>
      </c>
      <c r="S362" t="inlineStr">
        <is>
          <t>Decision failure; Data loss; Regulatory/legal shock</t>
        </is>
      </c>
      <c r="T362">
        <f>'Assessment Questions'!W362</f>
        <v/>
      </c>
      <c r="U362">
        <f>'Assessment Questions'!X362</f>
        <v/>
      </c>
      <c r="V362">
        <f>'Assessment Questions'!Y362</f>
        <v/>
      </c>
      <c r="W362" t="n">
        <v>5</v>
      </c>
      <c r="X362" t="n">
        <v>5</v>
      </c>
      <c r="Y362" t="n">
        <v>5</v>
      </c>
      <c r="Z362">
        <f>'Assessment Questions'!AC362</f>
        <v/>
      </c>
      <c r="AB362">
        <f>COUNTIF($B$346:$B$372,$AA362)</f>
        <v/>
      </c>
      <c r="AC362">
        <f>IFERROR(SUMPRODUCT(($B$346:$B$372=$AA362)*($H$346:$H$372&lt;&gt;"")*($H$346:$H$372&lt;&gt;"N/A")*IFERROR(VALUE($H$346:$H$372),0))/SUMPRODUCT(($B$346:$B$372=$AA362)*($H$346:$H$372&lt;&gt;"")*($H$346:$H$372&lt;&gt;"N/A")),0)</f>
        <v/>
      </c>
      <c r="AD362">
        <f>AC362/5</f>
        <v/>
      </c>
      <c r="AE362">
        <f>COUNTIFS($B$346:$B$372,$AA362,$L$346:$L$372,"Critical")+COUNTIFS($B$346:$B$372,$AA362,$L$346:$L$372,"High")</f>
        <v/>
      </c>
      <c r="AF362">
        <f>5-AC362</f>
        <v/>
      </c>
      <c r="AG362">
        <f>SUMPRODUCT(($B$346:$B$372=$AA362)*(ISNUMBER($H$346:$H$372)+($H$346:$H$372="N/A")))</f>
        <v/>
      </c>
      <c r="AH362">
        <f>'Assessment Questions'!AK362</f>
        <v/>
      </c>
      <c r="AI362">
        <f>'Assessment Questions'!AL362</f>
        <v/>
      </c>
      <c r="AJ362">
        <f>IF(OR($H362="",$H362="N/A"),"",IF($AH362="",VLOOKUP('Company Profile'!$B$40,_CONFIG_Model_Settings!$A$5:$B$8,2,FALSE),_xlfn.IFNA(VLOOKUP($AH362,_CONFIG_Model_Settings!$A$5:$B$8,2,FALSE),0.9)))</f>
        <v/>
      </c>
      <c r="AK362">
        <f>IF(OR($H362="",$H362="N/A"),"",IF($AI362="",VLOOKUP('Company Profile'!$B$41,_CONFIG_Model_Settings!$A$5:$B$8,2,FALSE),_xlfn.IFNA(VLOOKUP($AI362,_CONFIG_Model_Settings!$A$5:$B$8,2,FALSE),0.9)))</f>
        <v/>
      </c>
      <c r="AL362">
        <f>IF(OR($H362="",$H362="N/A"),"",ROUND(VALUE($H362)*$AJ362*$AK362*$AV362,2))</f>
        <v/>
      </c>
      <c r="AM362">
        <f>IF($AL362="","",ROUND($AL362/5*100,1))</f>
        <v/>
      </c>
      <c r="AN362">
        <f>IFERROR(MIN(5,MAX(0,(SUMIFS(_REF_Model_Content!$D$1:$D$157,_REF_Model_Content!$A$1:$A$157,'Company Profile'!$B$9,_REF_Model_Content!$B$1:$B$157,"Data BI AI"))+_xlfn.IFNA(VLOOKUP('Company Profile'!$B$35,_CONFIG_Model_Settings!$A$11:$B$13,2,0),0))),"")</f>
        <v/>
      </c>
      <c r="AO362">
        <f>IF($AL362="","",MAX(0,ROUND($AN362-$AL362,2)))</f>
        <v/>
      </c>
      <c r="AP362">
        <f>IFERROR(SUMIFS(_REF_Model_Content!$E$1:$E$157,_REF_Model_Content!$A$1:$A$157,'Company Profile'!$B$9,_REF_Model_Content!$B$1:$B$157,"Data BI AI"),1)</f>
        <v/>
      </c>
      <c r="AQ362">
        <f>IF($AO362="","",ROUND($AO362*$AP362*($G362/5),2))</f>
        <v/>
      </c>
      <c r="AR362">
        <f>IF($AO362="","",IF($AO362&gt;=2,"Critical industry gap",IF($AO362&gt;=1,"High industry gap",IF($AO362&gt;=0.5,"Moderate industry gap","Within target"))))</f>
        <v/>
      </c>
      <c r="AS362">
        <f>IF(OR($H362="",$H362="N/A"),0,VALUE($H362)*(($AJ362+$AK362)/2)*$AV362)</f>
        <v/>
      </c>
      <c r="AT362">
        <f>IF(OR($H362="",$H362="N/A"),0,($AJ362+$AK362)/2)</f>
        <v/>
      </c>
      <c r="AU362">
        <f>'Assessment Questions'!AX362</f>
        <v/>
      </c>
      <c r="AV362">
        <f>IF(OR($H362="",$H362="N/A"),"",IF(OR($AU362="",$AU362="Everywhere",$AU362="Not applicable"),1,IF($AU362="Pilot / one team",0.4,IF($AU362="One unit or site",0.7,0.9))))</f>
        <v/>
      </c>
      <c r="AW362" t="inlineStr">
        <is>
          <t>Data BI AI</t>
        </is>
      </c>
      <c r="AX362" t="inlineStr">
        <is>
          <t>Data BI AI</t>
        </is>
      </c>
      <c r="AY362" t="n">
        <v>21</v>
      </c>
      <c r="AZ362" t="n">
        <v>362</v>
      </c>
    </row>
    <row r="363">
      <c r="A363" t="inlineStr">
        <is>
          <t>DATA-018</t>
        </is>
      </c>
      <c r="B363" t="inlineStr">
        <is>
          <t>BI and analytics</t>
        </is>
      </c>
      <c r="C363" t="inlineStr">
        <is>
          <t>How mature is the organization in managing data literacy of managers and employees interpreting KPIs, forecasts and analytics, including ownership, evidence, metrics, fallback procedures and crisis stress testing?</t>
        </is>
      </c>
      <c r="D363" t="inlineStr">
        <is>
          <t>This topic affects exposure to Decision failure; Data loss; Regulatory/legal shock. It helps identify how disruption may impact operations, people, revenue, systems, legal exposure or recovery time.</t>
        </is>
      </c>
      <c r="E363" t="inlineStr">
        <is>
          <t>DAMA-DMBOK; ISO/IEC 38505; ISO/IEC 42001; ISO/IEC 23894; NIST AI RMF; DCAM</t>
        </is>
      </c>
      <c r="F363" t="inlineStr">
        <is>
          <t>Policy/SOP; owner/RACI; system report; dashboard; contracts; test records; incident history; interview evidence related to data literacy of managers and employees interpreting KPIs, forecasts and analytics.</t>
        </is>
      </c>
      <c r="G363">
        <f>'Assessment Questions'!J363</f>
        <v/>
      </c>
      <c r="H363">
        <f>IF($Z363="","",IF($Z363="N/A","N/A",VALUE(LEFT($Z363,1))))</f>
        <v/>
      </c>
      <c r="I363">
        <f>IF($H363="","",IF($H363="N/A","",VALUE($H363)/5*$G363))</f>
        <v/>
      </c>
      <c r="J363">
        <f>IF(OR($H363="",$H363="N/A"),"",$G363)</f>
        <v/>
      </c>
      <c r="K363">
        <f>IF(OR($H363="",$H363="N/A"),"",$J363-$I363)</f>
        <v/>
      </c>
      <c r="L363">
        <f>IF($H363="","",IF($H363="N/A","N/A",IF(VALUE($H363)&lt;=1,"Critical",IF(VALUE($H363)&lt;=2,"High",IF(VALUE($H363)&lt;=3,"Medium",IF(VALUE($H363)&lt;=4,"Low","Resilient"))))))</f>
        <v/>
      </c>
      <c r="M363" t="inlineStr">
        <is>
          <t>Nothing is monitored or measured.</t>
        </is>
      </c>
      <c r="N363" t="inlineStr">
        <is>
          <t>Occasional manual checks by individuals.</t>
        </is>
      </c>
      <c r="O363" t="inlineStr">
        <is>
          <t>Some metrics exist but are not reviewed regularly and trigger no action.</t>
        </is>
      </c>
      <c r="P363" t="inlineStr">
        <is>
          <t>Defined metrics with an owner, reviewed on a set cadence.</t>
        </is>
      </c>
      <c r="Q363" t="inlineStr">
        <is>
          <t>Thresholds and alerts in place; deviations trigger documented action; trends analyzed.</t>
        </is>
      </c>
      <c r="R363" t="inlineStr">
        <is>
          <t>Automated monitoring with leading indicators, integrated into management decisions.</t>
        </is>
      </c>
      <c r="S363" t="inlineStr">
        <is>
          <t>Decision failure; Data loss; Regulatory/legal shock</t>
        </is>
      </c>
      <c r="T363">
        <f>'Assessment Questions'!W363</f>
        <v/>
      </c>
      <c r="U363">
        <f>'Assessment Questions'!X363</f>
        <v/>
      </c>
      <c r="V363">
        <f>'Assessment Questions'!Y363</f>
        <v/>
      </c>
      <c r="W363" t="n">
        <v>5</v>
      </c>
      <c r="X363" t="n">
        <v>5</v>
      </c>
      <c r="Y363" t="n">
        <v>5</v>
      </c>
      <c r="Z363">
        <f>'Assessment Questions'!AC363</f>
        <v/>
      </c>
      <c r="AB363">
        <f>COUNTIF($B$346:$B$372,$AA363)</f>
        <v/>
      </c>
      <c r="AC363">
        <f>IFERROR(SUMPRODUCT(($B$346:$B$372=$AA363)*($H$346:$H$372&lt;&gt;"")*($H$346:$H$372&lt;&gt;"N/A")*IFERROR(VALUE($H$346:$H$372),0))/SUMPRODUCT(($B$346:$B$372=$AA363)*($H$346:$H$372&lt;&gt;"")*($H$346:$H$372&lt;&gt;"N/A")),0)</f>
        <v/>
      </c>
      <c r="AD363">
        <f>AC363/5</f>
        <v/>
      </c>
      <c r="AE363">
        <f>COUNTIFS($B$346:$B$372,$AA363,$L$346:$L$372,"Critical")+COUNTIFS($B$346:$B$372,$AA363,$L$346:$L$372,"High")</f>
        <v/>
      </c>
      <c r="AF363">
        <f>5-AC363</f>
        <v/>
      </c>
      <c r="AG363">
        <f>SUMPRODUCT(($B$346:$B$372=$AA363)*(ISNUMBER($H$346:$H$372)+($H$346:$H$372="N/A")))</f>
        <v/>
      </c>
      <c r="AH363">
        <f>'Assessment Questions'!AK363</f>
        <v/>
      </c>
      <c r="AI363">
        <f>'Assessment Questions'!AL363</f>
        <v/>
      </c>
      <c r="AJ363">
        <f>IF(OR($H363="",$H363="N/A"),"",IF($AH363="",VLOOKUP('Company Profile'!$B$40,_CONFIG_Model_Settings!$A$5:$B$8,2,FALSE),_xlfn.IFNA(VLOOKUP($AH363,_CONFIG_Model_Settings!$A$5:$B$8,2,FALSE),0.9)))</f>
        <v/>
      </c>
      <c r="AK363">
        <f>IF(OR($H363="",$H363="N/A"),"",IF($AI363="",VLOOKUP('Company Profile'!$B$41,_CONFIG_Model_Settings!$A$5:$B$8,2,FALSE),_xlfn.IFNA(VLOOKUP($AI363,_CONFIG_Model_Settings!$A$5:$B$8,2,FALSE),0.9)))</f>
        <v/>
      </c>
      <c r="AL363">
        <f>IF(OR($H363="",$H363="N/A"),"",ROUND(VALUE($H363)*$AJ363*$AK363*$AV363,2))</f>
        <v/>
      </c>
      <c r="AM363">
        <f>IF($AL363="","",ROUND($AL363/5*100,1))</f>
        <v/>
      </c>
      <c r="AN363">
        <f>IFERROR(MIN(5,MAX(0,(SUMIFS(_REF_Model_Content!$D$1:$D$157,_REF_Model_Content!$A$1:$A$157,'Company Profile'!$B$9,_REF_Model_Content!$B$1:$B$157,"Data BI AI"))+_xlfn.IFNA(VLOOKUP('Company Profile'!$B$35,_CONFIG_Model_Settings!$A$11:$B$13,2,0),0))),"")</f>
        <v/>
      </c>
      <c r="AO363">
        <f>IF($AL363="","",MAX(0,ROUND($AN363-$AL363,2)))</f>
        <v/>
      </c>
      <c r="AP363">
        <f>IFERROR(SUMIFS(_REF_Model_Content!$E$1:$E$157,_REF_Model_Content!$A$1:$A$157,'Company Profile'!$B$9,_REF_Model_Content!$B$1:$B$157,"Data BI AI"),1)</f>
        <v/>
      </c>
      <c r="AQ363">
        <f>IF($AO363="","",ROUND($AO363*$AP363*($G363/5),2))</f>
        <v/>
      </c>
      <c r="AR363">
        <f>IF($AO363="","",IF($AO363&gt;=2,"Critical industry gap",IF($AO363&gt;=1,"High industry gap",IF($AO363&gt;=0.5,"Moderate industry gap","Within target"))))</f>
        <v/>
      </c>
      <c r="AS363">
        <f>IF(OR($H363="",$H363="N/A"),0,VALUE($H363)*(($AJ363+$AK363)/2)*$AV363)</f>
        <v/>
      </c>
      <c r="AT363">
        <f>IF(OR($H363="",$H363="N/A"),0,($AJ363+$AK363)/2)</f>
        <v/>
      </c>
      <c r="AU363">
        <f>'Assessment Questions'!AX363</f>
        <v/>
      </c>
      <c r="AV363">
        <f>IF(OR($H363="",$H363="N/A"),"",IF(OR($AU363="",$AU363="Everywhere",$AU363="Not applicable"),1,IF($AU363="Pilot / one team",0.4,IF($AU363="One unit or site",0.7,0.9))))</f>
        <v/>
      </c>
      <c r="AW363" t="inlineStr">
        <is>
          <t>Data BI AI</t>
        </is>
      </c>
      <c r="AX363" t="inlineStr">
        <is>
          <t>Data BI AI</t>
        </is>
      </c>
      <c r="AY363" t="n">
        <v>22</v>
      </c>
      <c r="AZ363" t="n">
        <v>363</v>
      </c>
    </row>
    <row r="364">
      <c r="A364" t="inlineStr">
        <is>
          <t>DATA-019</t>
        </is>
      </c>
      <c r="B364" t="inlineStr">
        <is>
          <t>Forecasting and scenarios</t>
        </is>
      </c>
      <c r="C364" t="inlineStr">
        <is>
          <t>How mature is the organization in managing forecasting capability for demand, cash, inventory, workforce, production, churn or supplier risk, including ownership, evidence, metrics, fallback procedures and crisis stress testing?</t>
        </is>
      </c>
      <c r="D364" t="inlineStr">
        <is>
          <t>This topic affects exposure to Decision failure; Data loss; Regulatory/legal shock. It helps identify how disruption may impact operations, people, revenue, systems, legal exposure or recovery time.</t>
        </is>
      </c>
      <c r="E364" t="inlineStr">
        <is>
          <t>DAMA-DMBOK; ISO/IEC 38505; ISO/IEC 42001; ISO/IEC 23894; NIST AI RMF; DCAM</t>
        </is>
      </c>
      <c r="F364" t="inlineStr">
        <is>
          <t>Policy/SOP; owner/RACI; system report; dashboard; contracts; test records; incident history; interview evidence related to forecasting capability for demand, cash, inventory, workforce, production, churn or supplier risk.</t>
        </is>
      </c>
      <c r="G364">
        <f>'Assessment Questions'!J364</f>
        <v/>
      </c>
      <c r="H364">
        <f>IF($Z364="","",IF($Z364="N/A","N/A",VALUE(LEFT($Z364,1))))</f>
        <v/>
      </c>
      <c r="I364">
        <f>IF($H364="","",IF($H364="N/A","",VALUE($H364)/5*$G364))</f>
        <v/>
      </c>
      <c r="J364">
        <f>IF(OR($H364="",$H364="N/A"),"",$G364)</f>
        <v/>
      </c>
      <c r="K364">
        <f>IF(OR($H364="",$H364="N/A"),"",$J364-$I364)</f>
        <v/>
      </c>
      <c r="L364">
        <f>IF($H364="","",IF($H364="N/A","N/A",IF(VALUE($H364)&lt;=1,"Critical",IF(VALUE($H364)&lt;=2,"High",IF(VALUE($H364)&lt;=3,"Medium",IF(VALUE($H364)&lt;=4,"Low","Resilient"))))))</f>
        <v/>
      </c>
      <c r="M364" t="inlineStr">
        <is>
          <t>No inventory/register exists.</t>
        </is>
      </c>
      <c r="N364" t="inlineStr">
        <is>
          <t>Partial lists live in individuals' heads or personal files.</t>
        </is>
      </c>
      <c r="O364" t="inlineStr">
        <is>
          <t>A register exists but is incomplete or outdated (&gt;1 year) and has no owner.</t>
        </is>
      </c>
      <c r="P364" t="inlineStr">
        <is>
          <t>Owned, documented, updated on a defined schedule, covers the main scope.</t>
        </is>
      </c>
      <c r="Q364" t="inlineStr">
        <is>
          <t>Complete and periodically reviewed; integrated with related processes; completeness measured.</t>
        </is>
      </c>
      <c r="R364" t="inlineStr">
        <is>
          <t>Maintained automatically or synced with systems; drives decisions; audited.</t>
        </is>
      </c>
      <c r="S364" t="inlineStr">
        <is>
          <t>Decision failure; Data loss; Regulatory/legal shock</t>
        </is>
      </c>
      <c r="T364">
        <f>'Assessment Questions'!W364</f>
        <v/>
      </c>
      <c r="U364">
        <f>'Assessment Questions'!X364</f>
        <v/>
      </c>
      <c r="V364">
        <f>'Assessment Questions'!Y364</f>
        <v/>
      </c>
      <c r="W364" t="n">
        <v>5</v>
      </c>
      <c r="X364" t="n">
        <v>5</v>
      </c>
      <c r="Y364" t="n">
        <v>5</v>
      </c>
      <c r="Z364">
        <f>'Assessment Questions'!AC364</f>
        <v/>
      </c>
      <c r="AB364">
        <f>COUNTIF($B$346:$B$372,$AA364)</f>
        <v/>
      </c>
      <c r="AC364">
        <f>IFERROR(SUMPRODUCT(($B$346:$B$372=$AA364)*($H$346:$H$372&lt;&gt;"")*($H$346:$H$372&lt;&gt;"N/A")*IFERROR(VALUE($H$346:$H$372),0))/SUMPRODUCT(($B$346:$B$372=$AA364)*($H$346:$H$372&lt;&gt;"")*($H$346:$H$372&lt;&gt;"N/A")),0)</f>
        <v/>
      </c>
      <c r="AD364">
        <f>AC364/5</f>
        <v/>
      </c>
      <c r="AE364">
        <f>COUNTIFS($B$346:$B$372,$AA364,$L$346:$L$372,"Critical")+COUNTIFS($B$346:$B$372,$AA364,$L$346:$L$372,"High")</f>
        <v/>
      </c>
      <c r="AF364">
        <f>5-AC364</f>
        <v/>
      </c>
      <c r="AG364">
        <f>SUMPRODUCT(($B$346:$B$372=$AA364)*(ISNUMBER($H$346:$H$372)+($H$346:$H$372="N/A")))</f>
        <v/>
      </c>
      <c r="AH364">
        <f>'Assessment Questions'!AK364</f>
        <v/>
      </c>
      <c r="AI364">
        <f>'Assessment Questions'!AL364</f>
        <v/>
      </c>
      <c r="AJ364">
        <f>IF(OR($H364="",$H364="N/A"),"",IF($AH364="",VLOOKUP('Company Profile'!$B$40,_CONFIG_Model_Settings!$A$5:$B$8,2,FALSE),_xlfn.IFNA(VLOOKUP($AH364,_CONFIG_Model_Settings!$A$5:$B$8,2,FALSE),0.9)))</f>
        <v/>
      </c>
      <c r="AK364">
        <f>IF(OR($H364="",$H364="N/A"),"",IF($AI364="",VLOOKUP('Company Profile'!$B$41,_CONFIG_Model_Settings!$A$5:$B$8,2,FALSE),_xlfn.IFNA(VLOOKUP($AI364,_CONFIG_Model_Settings!$A$5:$B$8,2,FALSE),0.9)))</f>
        <v/>
      </c>
      <c r="AL364">
        <f>IF(OR($H364="",$H364="N/A"),"",ROUND(VALUE($H364)*$AJ364*$AK364*$AV364,2))</f>
        <v/>
      </c>
      <c r="AM364">
        <f>IF($AL364="","",ROUND($AL364/5*100,1))</f>
        <v/>
      </c>
      <c r="AN364">
        <f>IFERROR(MIN(5,MAX(0,(SUMIFS(_REF_Model_Content!$D$1:$D$157,_REF_Model_Content!$A$1:$A$157,'Company Profile'!$B$9,_REF_Model_Content!$B$1:$B$157,"Data BI AI"))+_xlfn.IFNA(VLOOKUP('Company Profile'!$B$35,_CONFIG_Model_Settings!$A$11:$B$13,2,0),0))),"")</f>
        <v/>
      </c>
      <c r="AO364">
        <f>IF($AL364="","",MAX(0,ROUND($AN364-$AL364,2)))</f>
        <v/>
      </c>
      <c r="AP364">
        <f>IFERROR(SUMIFS(_REF_Model_Content!$E$1:$E$157,_REF_Model_Content!$A$1:$A$157,'Company Profile'!$B$9,_REF_Model_Content!$B$1:$B$157,"Data BI AI"),1)</f>
        <v/>
      </c>
      <c r="AQ364">
        <f>IF($AO364="","",ROUND($AO364*$AP364*($G364/5),2))</f>
        <v/>
      </c>
      <c r="AR364">
        <f>IF($AO364="","",IF($AO364&gt;=2,"Critical industry gap",IF($AO364&gt;=1,"High industry gap",IF($AO364&gt;=0.5,"Moderate industry gap","Within target"))))</f>
        <v/>
      </c>
      <c r="AS364">
        <f>IF(OR($H364="",$H364="N/A"),0,VALUE($H364)*(($AJ364+$AK364)/2)*$AV364)</f>
        <v/>
      </c>
      <c r="AT364">
        <f>IF(OR($H364="",$H364="N/A"),0,($AJ364+$AK364)/2)</f>
        <v/>
      </c>
      <c r="AU364">
        <f>'Assessment Questions'!AX364</f>
        <v/>
      </c>
      <c r="AV364">
        <f>IF(OR($H364="",$H364="N/A"),"",IF(OR($AU364="",$AU364="Everywhere",$AU364="Not applicable"),1,IF($AU364="Pilot / one team",0.4,IF($AU364="One unit or site",0.7,0.9))))</f>
        <v/>
      </c>
      <c r="AW364" t="inlineStr">
        <is>
          <t>Data BI AI</t>
        </is>
      </c>
      <c r="AX364" t="inlineStr">
        <is>
          <t>Data BI AI</t>
        </is>
      </c>
      <c r="AY364" t="n">
        <v>23</v>
      </c>
      <c r="AZ364" t="n">
        <v>364</v>
      </c>
    </row>
    <row r="365">
      <c r="A365" t="inlineStr">
        <is>
          <t>DATA-020</t>
        </is>
      </c>
      <c r="B365" t="inlineStr">
        <is>
          <t>Forecasting and scenarios</t>
        </is>
      </c>
      <c r="C365" t="inlineStr">
        <is>
          <t>How mature is the organization in managing scenario modeling using sales, suppliers, workforce, cash, inventory and system downtime, including ownership, evidence, metrics, fallback procedures and crisis stress testing?</t>
        </is>
      </c>
      <c r="D365" t="inlineStr">
        <is>
          <t>This topic affects exposure to Decision failure; Data loss; Regulatory/legal shock. It helps identify how disruption may impact operations, people, revenue, systems, legal exposure or recovery time.</t>
        </is>
      </c>
      <c r="E365" t="inlineStr">
        <is>
          <t>DAMA-DMBOK; ISO/IEC 38505; ISO/IEC 42001; ISO/IEC 23894; NIST AI RMF; DCAM</t>
        </is>
      </c>
      <c r="F365" t="inlineStr">
        <is>
          <t>Policy/SOP; owner/RACI; system report; dashboard; contracts; test records; incident history; interview evidence related to scenario modeling using sales, suppliers, workforce, cash, inventory and system downtime.</t>
        </is>
      </c>
      <c r="G365">
        <f>'Assessment Questions'!J365</f>
        <v/>
      </c>
      <c r="H365">
        <f>IF($Z365="","",IF($Z365="N/A","N/A",VALUE(LEFT($Z365,1))))</f>
        <v/>
      </c>
      <c r="I365">
        <f>IF($H365="","",IF($H365="N/A","",VALUE($H365)/5*$G365))</f>
        <v/>
      </c>
      <c r="J365">
        <f>IF(OR($H365="",$H365="N/A"),"",$G365)</f>
        <v/>
      </c>
      <c r="K365">
        <f>IF(OR($H365="",$H365="N/A"),"",$J365-$I365)</f>
        <v/>
      </c>
      <c r="L365">
        <f>IF($H365="","",IF($H365="N/A","N/A",IF(VALUE($H365)&lt;=1,"Critical",IF(VALUE($H365)&lt;=2,"High",IF(VALUE($H365)&lt;=3,"Medium",IF(VALUE($H365)&lt;=4,"Low","Resilient"))))))</f>
        <v/>
      </c>
      <c r="M365" t="inlineStr">
        <is>
          <t>No inventory/register exists.</t>
        </is>
      </c>
      <c r="N365" t="inlineStr">
        <is>
          <t>Partial lists live in individuals' heads or personal files.</t>
        </is>
      </c>
      <c r="O365" t="inlineStr">
        <is>
          <t>A register exists but is incomplete or outdated (&gt;1 year) and has no owner.</t>
        </is>
      </c>
      <c r="P365" t="inlineStr">
        <is>
          <t>Owned, documented, updated on a defined schedule, covers the main scope.</t>
        </is>
      </c>
      <c r="Q365" t="inlineStr">
        <is>
          <t>Complete and periodically reviewed; integrated with related processes; completeness measured.</t>
        </is>
      </c>
      <c r="R365" t="inlineStr">
        <is>
          <t>Maintained automatically or synced with systems; drives decisions; audited.</t>
        </is>
      </c>
      <c r="S365" t="inlineStr">
        <is>
          <t>Decision failure; Data loss; Regulatory/legal shock</t>
        </is>
      </c>
      <c r="T365">
        <f>'Assessment Questions'!W365</f>
        <v/>
      </c>
      <c r="U365">
        <f>'Assessment Questions'!X365</f>
        <v/>
      </c>
      <c r="V365">
        <f>'Assessment Questions'!Y365</f>
        <v/>
      </c>
      <c r="W365" t="n">
        <v>5</v>
      </c>
      <c r="X365" t="n">
        <v>5</v>
      </c>
      <c r="Y365" t="n">
        <v>5</v>
      </c>
      <c r="Z365">
        <f>'Assessment Questions'!AC365</f>
        <v/>
      </c>
      <c r="AB365">
        <f>COUNTIF($B$346:$B$372,$AA365)</f>
        <v/>
      </c>
      <c r="AC365">
        <f>IFERROR(SUMPRODUCT(($B$346:$B$372=$AA365)*($H$346:$H$372&lt;&gt;"")*($H$346:$H$372&lt;&gt;"N/A")*IFERROR(VALUE($H$346:$H$372),0))/SUMPRODUCT(($B$346:$B$372=$AA365)*($H$346:$H$372&lt;&gt;"")*($H$346:$H$372&lt;&gt;"N/A")),0)</f>
        <v/>
      </c>
      <c r="AD365">
        <f>AC365/5</f>
        <v/>
      </c>
      <c r="AE365">
        <f>COUNTIFS($B$346:$B$372,$AA365,$L$346:$L$372,"Critical")+COUNTIFS($B$346:$B$372,$AA365,$L$346:$L$372,"High")</f>
        <v/>
      </c>
      <c r="AF365">
        <f>5-AC365</f>
        <v/>
      </c>
      <c r="AG365">
        <f>SUMPRODUCT(($B$346:$B$372=$AA365)*(ISNUMBER($H$346:$H$372)+($H$346:$H$372="N/A")))</f>
        <v/>
      </c>
      <c r="AH365">
        <f>'Assessment Questions'!AK365</f>
        <v/>
      </c>
      <c r="AI365">
        <f>'Assessment Questions'!AL365</f>
        <v/>
      </c>
      <c r="AJ365">
        <f>IF(OR($H365="",$H365="N/A"),"",IF($AH365="",VLOOKUP('Company Profile'!$B$40,_CONFIG_Model_Settings!$A$5:$B$8,2,FALSE),_xlfn.IFNA(VLOOKUP($AH365,_CONFIG_Model_Settings!$A$5:$B$8,2,FALSE),0.9)))</f>
        <v/>
      </c>
      <c r="AK365">
        <f>IF(OR($H365="",$H365="N/A"),"",IF($AI365="",VLOOKUP('Company Profile'!$B$41,_CONFIG_Model_Settings!$A$5:$B$8,2,FALSE),_xlfn.IFNA(VLOOKUP($AI365,_CONFIG_Model_Settings!$A$5:$B$8,2,FALSE),0.9)))</f>
        <v/>
      </c>
      <c r="AL365">
        <f>IF(OR($H365="",$H365="N/A"),"",ROUND(VALUE($H365)*$AJ365*$AK365*$AV365,2))</f>
        <v/>
      </c>
      <c r="AM365">
        <f>IF($AL365="","",ROUND($AL365/5*100,1))</f>
        <v/>
      </c>
      <c r="AN365">
        <f>IFERROR(MIN(5,MAX(0,(SUMIFS(_REF_Model_Content!$D$1:$D$157,_REF_Model_Content!$A$1:$A$157,'Company Profile'!$B$9,_REF_Model_Content!$B$1:$B$157,"Data BI AI"))+_xlfn.IFNA(VLOOKUP('Company Profile'!$B$35,_CONFIG_Model_Settings!$A$11:$B$13,2,0),0))),"")</f>
        <v/>
      </c>
      <c r="AO365">
        <f>IF($AL365="","",MAX(0,ROUND($AN365-$AL365,2)))</f>
        <v/>
      </c>
      <c r="AP365">
        <f>IFERROR(SUMIFS(_REF_Model_Content!$E$1:$E$157,_REF_Model_Content!$A$1:$A$157,'Company Profile'!$B$9,_REF_Model_Content!$B$1:$B$157,"Data BI AI"),1)</f>
        <v/>
      </c>
      <c r="AQ365">
        <f>IF($AO365="","",ROUND($AO365*$AP365*($G365/5),2))</f>
        <v/>
      </c>
      <c r="AR365">
        <f>IF($AO365="","",IF($AO365&gt;=2,"Critical industry gap",IF($AO365&gt;=1,"High industry gap",IF($AO365&gt;=0.5,"Moderate industry gap","Within target"))))</f>
        <v/>
      </c>
      <c r="AS365">
        <f>IF(OR($H365="",$H365="N/A"),0,VALUE($H365)*(($AJ365+$AK365)/2)*$AV365)</f>
        <v/>
      </c>
      <c r="AT365">
        <f>IF(OR($H365="",$H365="N/A"),0,($AJ365+$AK365)/2)</f>
        <v/>
      </c>
      <c r="AU365">
        <f>'Assessment Questions'!AX365</f>
        <v/>
      </c>
      <c r="AV365">
        <f>IF(OR($H365="",$H365="N/A"),"",IF(OR($AU365="",$AU365="Everywhere",$AU365="Not applicable"),1,IF($AU365="Pilot / one team",0.4,IF($AU365="One unit or site",0.7,0.9))))</f>
        <v/>
      </c>
      <c r="AW365" t="inlineStr">
        <is>
          <t>Data BI AI</t>
        </is>
      </c>
      <c r="AX365" t="inlineStr">
        <is>
          <t>Data BI AI</t>
        </is>
      </c>
      <c r="AY365" t="n">
        <v>24</v>
      </c>
      <c r="AZ365" t="n">
        <v>365</v>
      </c>
    </row>
    <row r="366">
      <c r="A366" t="inlineStr">
        <is>
          <t>DATA-021</t>
        </is>
      </c>
      <c r="B366" t="inlineStr">
        <is>
          <t>Forecasting and scenarios</t>
        </is>
      </c>
      <c r="C366" t="inlineStr">
        <is>
          <t>How mature is the organization in managing leading indicators and early warnings built from internal and external data, including ownership, evidence, metrics, fallback procedures and crisis stress testing?</t>
        </is>
      </c>
      <c r="D366" t="inlineStr">
        <is>
          <t>This topic affects exposure to Decision failure; Data loss; Regulatory/legal shock. It helps identify how disruption may impact operations, people, revenue, systems, legal exposure or recovery time.</t>
        </is>
      </c>
      <c r="E366" t="inlineStr">
        <is>
          <t>DAMA-DMBOK; ISO/IEC 38505; ISO/IEC 42001; ISO/IEC 23894; NIST AI RMF; DCAM</t>
        </is>
      </c>
      <c r="F366" t="inlineStr">
        <is>
          <t>Policy/SOP; owner/RACI; system report; dashboard; contracts; test records; incident history; interview evidence related to leading indicators and early warnings built from internal and external data.</t>
        </is>
      </c>
      <c r="G366">
        <f>'Assessment Questions'!J366</f>
        <v/>
      </c>
      <c r="H366">
        <f>IF($Z366="","",IF($Z366="N/A","N/A",VALUE(LEFT($Z366,1))))</f>
        <v/>
      </c>
      <c r="I366">
        <f>IF($H366="","",IF($H366="N/A","",VALUE($H366)/5*$G366))</f>
        <v/>
      </c>
      <c r="J366">
        <f>IF(OR($H366="",$H366="N/A"),"",$G366)</f>
        <v/>
      </c>
      <c r="K366">
        <f>IF(OR($H366="",$H366="N/A"),"",$J366-$I366)</f>
        <v/>
      </c>
      <c r="L366">
        <f>IF($H366="","",IF($H366="N/A","N/A",IF(VALUE($H366)&lt;=1,"Critical",IF(VALUE($H366)&lt;=2,"High",IF(VALUE($H366)&lt;=3,"Medium",IF(VALUE($H366)&lt;=4,"Low","Resilient"))))))</f>
        <v/>
      </c>
      <c r="M366" t="inlineStr">
        <is>
          <t>No reliable evidence that leading indicators and early warnings built from internal and external data is defined, owned or managed.</t>
        </is>
      </c>
      <c r="N366" t="inlineStr">
        <is>
          <t>Leading indicators and early warnings built from internal and external data is handled informally and depends on individual knowledge or heroic effort.</t>
        </is>
      </c>
      <c r="O366" t="inlineStr">
        <is>
          <t>Leading indicators and early warnings built from internal and external data is partially documented or implemented, but coverage is inconsistent and not crisis-tested.</t>
        </is>
      </c>
      <c r="P366" t="inlineStr">
        <is>
          <t>Leading indicators and early warnings built from internal and external data is documented, owned, used in normal operations and supported by basic evidence or metrics.</t>
        </is>
      </c>
      <c r="Q366" t="inlineStr">
        <is>
          <t>Leading indicators and early warnings built from internal and external data is measured, periodically reviewed, integrated with related processes and tested against relevant disruption scenarios.</t>
        </is>
      </c>
      <c r="R366" t="inlineStr">
        <is>
          <t>Leading indicators and early warnings built from internal and external data is optimized, continuously improved, automated where practical and demonstrably supports crisis resilience.</t>
        </is>
      </c>
      <c r="S366" t="inlineStr">
        <is>
          <t>Decision failure; Data loss; Regulatory/legal shock</t>
        </is>
      </c>
      <c r="T366">
        <f>'Assessment Questions'!W366</f>
        <v/>
      </c>
      <c r="U366">
        <f>'Assessment Questions'!X366</f>
        <v/>
      </c>
      <c r="V366">
        <f>'Assessment Questions'!Y366</f>
        <v/>
      </c>
      <c r="W366" t="n">
        <v>5</v>
      </c>
      <c r="X366" t="n">
        <v>5</v>
      </c>
      <c r="Y366" t="n">
        <v>5</v>
      </c>
      <c r="Z366">
        <f>'Assessment Questions'!AC366</f>
        <v/>
      </c>
      <c r="AB366">
        <f>COUNTIF($B$346:$B$372,$AA366)</f>
        <v/>
      </c>
      <c r="AC366">
        <f>IFERROR(SUMPRODUCT(($B$346:$B$372=$AA366)*($H$346:$H$372&lt;&gt;"")*($H$346:$H$372&lt;&gt;"N/A")*IFERROR(VALUE($H$346:$H$372),0))/SUMPRODUCT(($B$346:$B$372=$AA366)*($H$346:$H$372&lt;&gt;"")*($H$346:$H$372&lt;&gt;"N/A")),0)</f>
        <v/>
      </c>
      <c r="AD366">
        <f>AC366/5</f>
        <v/>
      </c>
      <c r="AE366">
        <f>COUNTIFS($B$346:$B$372,$AA366,$L$346:$L$372,"Critical")+COUNTIFS($B$346:$B$372,$AA366,$L$346:$L$372,"High")</f>
        <v/>
      </c>
      <c r="AF366">
        <f>5-AC366</f>
        <v/>
      </c>
      <c r="AG366">
        <f>SUMPRODUCT(($B$346:$B$372=$AA366)*(ISNUMBER($H$346:$H$372)+($H$346:$H$372="N/A")))</f>
        <v/>
      </c>
      <c r="AH366">
        <f>'Assessment Questions'!AK366</f>
        <v/>
      </c>
      <c r="AI366">
        <f>'Assessment Questions'!AL366</f>
        <v/>
      </c>
      <c r="AJ366">
        <f>IF(OR($H366="",$H366="N/A"),"",IF($AH366="",VLOOKUP('Company Profile'!$B$40,_CONFIG_Model_Settings!$A$5:$B$8,2,FALSE),_xlfn.IFNA(VLOOKUP($AH366,_CONFIG_Model_Settings!$A$5:$B$8,2,FALSE),0.9)))</f>
        <v/>
      </c>
      <c r="AK366">
        <f>IF(OR($H366="",$H366="N/A"),"",IF($AI366="",VLOOKUP('Company Profile'!$B$41,_CONFIG_Model_Settings!$A$5:$B$8,2,FALSE),_xlfn.IFNA(VLOOKUP($AI366,_CONFIG_Model_Settings!$A$5:$B$8,2,FALSE),0.9)))</f>
        <v/>
      </c>
      <c r="AL366">
        <f>IF(OR($H366="",$H366="N/A"),"",ROUND(VALUE($H366)*$AJ366*$AK366*$AV366,2))</f>
        <v/>
      </c>
      <c r="AM366">
        <f>IF($AL366="","",ROUND($AL366/5*100,1))</f>
        <v/>
      </c>
      <c r="AN366">
        <f>IFERROR(MIN(5,MAX(0,(SUMIFS(_REF_Model_Content!$D$1:$D$157,_REF_Model_Content!$A$1:$A$157,'Company Profile'!$B$9,_REF_Model_Content!$B$1:$B$157,"Data BI AI"))+_xlfn.IFNA(VLOOKUP('Company Profile'!$B$35,_CONFIG_Model_Settings!$A$11:$B$13,2,0),0))),"")</f>
        <v/>
      </c>
      <c r="AO366">
        <f>IF($AL366="","",MAX(0,ROUND($AN366-$AL366,2)))</f>
        <v/>
      </c>
      <c r="AP366">
        <f>IFERROR(SUMIFS(_REF_Model_Content!$E$1:$E$157,_REF_Model_Content!$A$1:$A$157,'Company Profile'!$B$9,_REF_Model_Content!$B$1:$B$157,"Data BI AI"),1)</f>
        <v/>
      </c>
      <c r="AQ366">
        <f>IF($AO366="","",ROUND($AO366*$AP366*($G366/5),2))</f>
        <v/>
      </c>
      <c r="AR366">
        <f>IF($AO366="","",IF($AO366&gt;=2,"Critical industry gap",IF($AO366&gt;=1,"High industry gap",IF($AO366&gt;=0.5,"Moderate industry gap","Within target"))))</f>
        <v/>
      </c>
      <c r="AS366">
        <f>IF(OR($H366="",$H366="N/A"),0,VALUE($H366)*(($AJ366+$AK366)/2)*$AV366)</f>
        <v/>
      </c>
      <c r="AT366">
        <f>IF(OR($H366="",$H366="N/A"),0,($AJ366+$AK366)/2)</f>
        <v/>
      </c>
      <c r="AU366">
        <f>'Assessment Questions'!AX366</f>
        <v/>
      </c>
      <c r="AV366">
        <f>IF(OR($H366="",$H366="N/A"),"",IF(OR($AU366="",$AU366="Everywhere",$AU366="Not applicable"),1,IF($AU366="Pilot / one team",0.4,IF($AU366="One unit or site",0.7,0.9))))</f>
        <v/>
      </c>
      <c r="AW366" t="inlineStr">
        <is>
          <t>Data BI AI</t>
        </is>
      </c>
      <c r="AX366" t="inlineStr">
        <is>
          <t>Data BI AI</t>
        </is>
      </c>
      <c r="AY366" t="n">
        <v>25</v>
      </c>
      <c r="AZ366" t="n">
        <v>366</v>
      </c>
    </row>
    <row r="367">
      <c r="A367" t="inlineStr">
        <is>
          <t>DATA-022</t>
        </is>
      </c>
      <c r="B367" t="inlineStr">
        <is>
          <t>Forecasting and scenarios</t>
        </is>
      </c>
      <c r="C367" t="inlineStr">
        <is>
          <t>How mature is the organization in managing model validation and backtesting for forecasts and risk models, including ownership, evidence, metrics, fallback procedures and crisis stress testing?</t>
        </is>
      </c>
      <c r="D367" t="inlineStr">
        <is>
          <t>This topic affects exposure to Decision failure; Data loss; Regulatory/legal shock. It helps identify how disruption may impact operations, people, revenue, systems, legal exposure or recovery time.</t>
        </is>
      </c>
      <c r="E367" t="inlineStr">
        <is>
          <t>DAMA-DMBOK; ISO/IEC 38505; ISO/IEC 42001; ISO/IEC 23894; NIST AI RMF; DCAM</t>
        </is>
      </c>
      <c r="F367" t="inlineStr">
        <is>
          <t>Policy/SOP; owner/RACI; system report; dashboard; contracts; test records; incident history; interview evidence related to model validation and backtesting for forecasts and risk models.</t>
        </is>
      </c>
      <c r="G367">
        <f>'Assessment Questions'!J367</f>
        <v/>
      </c>
      <c r="H367">
        <f>IF($Z367="","",IF($Z367="N/A","N/A",VALUE(LEFT($Z367,1))))</f>
        <v/>
      </c>
      <c r="I367">
        <f>IF($H367="","",IF($H367="N/A","",VALUE($H367)/5*$G367))</f>
        <v/>
      </c>
      <c r="J367">
        <f>IF(OR($H367="",$H367="N/A"),"",$G367)</f>
        <v/>
      </c>
      <c r="K367">
        <f>IF(OR($H367="",$H367="N/A"),"",$J367-$I367)</f>
        <v/>
      </c>
      <c r="L367">
        <f>IF($H367="","",IF($H367="N/A","N/A",IF(VALUE($H367)&lt;=1,"Critical",IF(VALUE($H367)&lt;=2,"High",IF(VALUE($H367)&lt;=3,"Medium",IF(VALUE($H367)&lt;=4,"Low","Resilient"))))))</f>
        <v/>
      </c>
      <c r="M367" t="inlineStr">
        <is>
          <t>Never done; no records exist.</t>
        </is>
      </c>
      <c r="N367" t="inlineStr">
        <is>
          <t>Done once long ago or only after an incident; no schedule, no records.</t>
        </is>
      </c>
      <c r="O367" t="inlineStr">
        <is>
          <t>Done irregularly; results are not documented and findings are not tracked.</t>
        </is>
      </c>
      <c r="P367" t="inlineStr">
        <is>
          <t>Done on a defined schedule (at least annually); results documented, owner assigned.</t>
        </is>
      </c>
      <c r="Q367" t="inlineStr">
        <is>
          <t>Done quarterly/semi-annually; findings tracked to closure, effectiveness measured against targets.</t>
        </is>
      </c>
      <c r="R367" t="inlineStr">
        <is>
          <t>Continuous or automated where possible; results drive improvements and are validated externally (audit/customer).</t>
        </is>
      </c>
      <c r="S367" t="inlineStr">
        <is>
          <t>Decision failure; Data loss; Regulatory/legal shock</t>
        </is>
      </c>
      <c r="T367">
        <f>'Assessment Questions'!W367</f>
        <v/>
      </c>
      <c r="U367">
        <f>'Assessment Questions'!X367</f>
        <v/>
      </c>
      <c r="V367">
        <f>'Assessment Questions'!Y367</f>
        <v/>
      </c>
      <c r="W367" t="n">
        <v>5</v>
      </c>
      <c r="X367" t="n">
        <v>5</v>
      </c>
      <c r="Y367" t="n">
        <v>5</v>
      </c>
      <c r="Z367">
        <f>'Assessment Questions'!AC367</f>
        <v/>
      </c>
      <c r="AB367">
        <f>COUNTIF($B$346:$B$372,$AA367)</f>
        <v/>
      </c>
      <c r="AC367">
        <f>IFERROR(SUMPRODUCT(($B$346:$B$372=$AA367)*($H$346:$H$372&lt;&gt;"")*($H$346:$H$372&lt;&gt;"N/A")*IFERROR(VALUE($H$346:$H$372),0))/SUMPRODUCT(($B$346:$B$372=$AA367)*($H$346:$H$372&lt;&gt;"")*($H$346:$H$372&lt;&gt;"N/A")),0)</f>
        <v/>
      </c>
      <c r="AD367">
        <f>AC367/5</f>
        <v/>
      </c>
      <c r="AE367">
        <f>COUNTIFS($B$346:$B$372,$AA367,$L$346:$L$372,"Critical")+COUNTIFS($B$346:$B$372,$AA367,$L$346:$L$372,"High")</f>
        <v/>
      </c>
      <c r="AF367">
        <f>5-AC367</f>
        <v/>
      </c>
      <c r="AG367">
        <f>SUMPRODUCT(($B$346:$B$372=$AA367)*(ISNUMBER($H$346:$H$372)+($H$346:$H$372="N/A")))</f>
        <v/>
      </c>
      <c r="AH367">
        <f>'Assessment Questions'!AK367</f>
        <v/>
      </c>
      <c r="AI367">
        <f>'Assessment Questions'!AL367</f>
        <v/>
      </c>
      <c r="AJ367">
        <f>IF(OR($H367="",$H367="N/A"),"",IF($AH367="",VLOOKUP('Company Profile'!$B$40,_CONFIG_Model_Settings!$A$5:$B$8,2,FALSE),_xlfn.IFNA(VLOOKUP($AH367,_CONFIG_Model_Settings!$A$5:$B$8,2,FALSE),0.9)))</f>
        <v/>
      </c>
      <c r="AK367">
        <f>IF(OR($H367="",$H367="N/A"),"",IF($AI367="",VLOOKUP('Company Profile'!$B$41,_CONFIG_Model_Settings!$A$5:$B$8,2,FALSE),_xlfn.IFNA(VLOOKUP($AI367,_CONFIG_Model_Settings!$A$5:$B$8,2,FALSE),0.9)))</f>
        <v/>
      </c>
      <c r="AL367">
        <f>IF(OR($H367="",$H367="N/A"),"",ROUND(VALUE($H367)*$AJ367*$AK367*$AV367,2))</f>
        <v/>
      </c>
      <c r="AM367">
        <f>IF($AL367="","",ROUND($AL367/5*100,1))</f>
        <v/>
      </c>
      <c r="AN367">
        <f>IFERROR(MIN(5,MAX(0,(SUMIFS(_REF_Model_Content!$D$1:$D$157,_REF_Model_Content!$A$1:$A$157,'Company Profile'!$B$9,_REF_Model_Content!$B$1:$B$157,"Data BI AI"))+_xlfn.IFNA(VLOOKUP('Company Profile'!$B$35,_CONFIG_Model_Settings!$A$11:$B$13,2,0),0))),"")</f>
        <v/>
      </c>
      <c r="AO367">
        <f>IF($AL367="","",MAX(0,ROUND($AN367-$AL367,2)))</f>
        <v/>
      </c>
      <c r="AP367">
        <f>IFERROR(SUMIFS(_REF_Model_Content!$E$1:$E$157,_REF_Model_Content!$A$1:$A$157,'Company Profile'!$B$9,_REF_Model_Content!$B$1:$B$157,"Data BI AI"),1)</f>
        <v/>
      </c>
      <c r="AQ367">
        <f>IF($AO367="","",ROUND($AO367*$AP367*($G367/5),2))</f>
        <v/>
      </c>
      <c r="AR367">
        <f>IF($AO367="","",IF($AO367&gt;=2,"Critical industry gap",IF($AO367&gt;=1,"High industry gap",IF($AO367&gt;=0.5,"Moderate industry gap","Within target"))))</f>
        <v/>
      </c>
      <c r="AS367">
        <f>IF(OR($H367="",$H367="N/A"),0,VALUE($H367)*(($AJ367+$AK367)/2)*$AV367)</f>
        <v/>
      </c>
      <c r="AT367">
        <f>IF(OR($H367="",$H367="N/A"),0,($AJ367+$AK367)/2)</f>
        <v/>
      </c>
      <c r="AU367">
        <f>'Assessment Questions'!AX367</f>
        <v/>
      </c>
      <c r="AV367">
        <f>IF(OR($H367="",$H367="N/A"),"",IF(OR($AU367="",$AU367="Everywhere",$AU367="Not applicable"),1,IF($AU367="Pilot / one team",0.4,IF($AU367="One unit or site",0.7,0.9))))</f>
        <v/>
      </c>
      <c r="AW367" t="inlineStr">
        <is>
          <t>Data BI AI</t>
        </is>
      </c>
      <c r="AX367" t="inlineStr">
        <is>
          <t>Data BI AI</t>
        </is>
      </c>
      <c r="AY367" t="n">
        <v>26</v>
      </c>
      <c r="AZ367" t="n">
        <v>367</v>
      </c>
    </row>
    <row r="368">
      <c r="A368" t="inlineStr">
        <is>
          <t>DATA-023</t>
        </is>
      </c>
      <c r="B368" t="inlineStr">
        <is>
          <t>AI readiness</t>
        </is>
      </c>
      <c r="C368" t="inlineStr">
        <is>
          <t>How mature is the organization in managing AI and analytics use case portfolio linked to business value, risk and feasibility, including ownership, evidence, metrics, fallback procedures and crisis stress testing?</t>
        </is>
      </c>
      <c r="D368" t="inlineStr">
        <is>
          <t>This topic affects exposure to Decision failure; Data loss; Regulatory/legal shock. It helps identify how disruption may impact operations, people, revenue, systems, legal exposure or recovery time.</t>
        </is>
      </c>
      <c r="E368" t="inlineStr">
        <is>
          <t>DAMA-DMBOK; ISO/IEC 38505; ISO/IEC 42001; ISO/IEC 23894; NIST AI RMF; DCAM</t>
        </is>
      </c>
      <c r="F368" t="inlineStr">
        <is>
          <t>Policy/SOP; owner/RACI; system report; dashboard; contracts; test records; incident history; interview evidence related to AI and analytics use case portfolio linked to business value, risk and feasibility.</t>
        </is>
      </c>
      <c r="G368">
        <f>'Assessment Questions'!J368</f>
        <v/>
      </c>
      <c r="H368">
        <f>IF($Z368="","",IF($Z368="N/A","N/A",VALUE(LEFT($Z368,1))))</f>
        <v/>
      </c>
      <c r="I368">
        <f>IF($H368="","",IF($H368="N/A","",VALUE($H368)/5*$G368))</f>
        <v/>
      </c>
      <c r="J368">
        <f>IF(OR($H368="",$H368="N/A"),"",$G368)</f>
        <v/>
      </c>
      <c r="K368">
        <f>IF(OR($H368="",$H368="N/A"),"",$J368-$I368)</f>
        <v/>
      </c>
      <c r="L368">
        <f>IF($H368="","",IF($H368="N/A","N/A",IF(VALUE($H368)&lt;=1,"Critical",IF(VALUE($H368)&lt;=2,"High",IF(VALUE($H368)&lt;=3,"Medium",IF(VALUE($H368)&lt;=4,"Low","Resilient"))))))</f>
        <v/>
      </c>
      <c r="M368" t="inlineStr">
        <is>
          <t>No reliable evidence that ai and analytics use case portfolio linked to business value, risk and feasibility is defined, owned or managed.</t>
        </is>
      </c>
      <c r="N368" t="inlineStr">
        <is>
          <t>AI and analytics use case portfolio linked to business value, risk and feasibility is handled informally and depends on individual knowledge or heroic effort.</t>
        </is>
      </c>
      <c r="O368" t="inlineStr">
        <is>
          <t>AI and analytics use case portfolio linked to business value, risk and feasibility is partially documented or implemented, but coverage is inconsistent and not crisis-tested.</t>
        </is>
      </c>
      <c r="P368" t="inlineStr">
        <is>
          <t>AI and analytics use case portfolio linked to business value, risk and feasibility is documented, owned, used in normal operations and supported by basic evidence or metrics.</t>
        </is>
      </c>
      <c r="Q368" t="inlineStr">
        <is>
          <t>AI and analytics use case portfolio linked to business value, risk and feasibility is measured, periodically reviewed, integrated with related processes and tested against relevant disruption scenarios.</t>
        </is>
      </c>
      <c r="R368" t="inlineStr">
        <is>
          <t>AI and analytics use case portfolio linked to business value, risk and feasibility is optimized, continuously improved, automated where practical and demonstrably supports crisis resilience.</t>
        </is>
      </c>
      <c r="S368" t="inlineStr">
        <is>
          <t>Decision failure; Data loss; Regulatory/legal shock</t>
        </is>
      </c>
      <c r="T368">
        <f>'Assessment Questions'!W368</f>
        <v/>
      </c>
      <c r="U368">
        <f>'Assessment Questions'!X368</f>
        <v/>
      </c>
      <c r="V368">
        <f>'Assessment Questions'!Y368</f>
        <v/>
      </c>
      <c r="W368" t="n">
        <v>5</v>
      </c>
      <c r="X368" t="n">
        <v>5</v>
      </c>
      <c r="Y368" t="n">
        <v>5</v>
      </c>
      <c r="Z368">
        <f>'Assessment Questions'!AC368</f>
        <v/>
      </c>
      <c r="AB368">
        <f>COUNTIF($B$346:$B$372,$AA368)</f>
        <v/>
      </c>
      <c r="AC368">
        <f>IFERROR(SUMPRODUCT(($B$346:$B$372=$AA368)*($H$346:$H$372&lt;&gt;"")*($H$346:$H$372&lt;&gt;"N/A")*IFERROR(VALUE($H$346:$H$372),0))/SUMPRODUCT(($B$346:$B$372=$AA368)*($H$346:$H$372&lt;&gt;"")*($H$346:$H$372&lt;&gt;"N/A")),0)</f>
        <v/>
      </c>
      <c r="AD368">
        <f>AC368/5</f>
        <v/>
      </c>
      <c r="AE368">
        <f>COUNTIFS($B$346:$B$372,$AA368,$L$346:$L$372,"Critical")+COUNTIFS($B$346:$B$372,$AA368,$L$346:$L$372,"High")</f>
        <v/>
      </c>
      <c r="AF368">
        <f>5-AC368</f>
        <v/>
      </c>
      <c r="AG368">
        <f>SUMPRODUCT(($B$346:$B$372=$AA368)*(ISNUMBER($H$346:$H$372)+($H$346:$H$372="N/A")))</f>
        <v/>
      </c>
      <c r="AH368">
        <f>'Assessment Questions'!AK368</f>
        <v/>
      </c>
      <c r="AI368">
        <f>'Assessment Questions'!AL368</f>
        <v/>
      </c>
      <c r="AJ368">
        <f>IF(OR($H368="",$H368="N/A"),"",IF($AH368="",VLOOKUP('Company Profile'!$B$40,_CONFIG_Model_Settings!$A$5:$B$8,2,FALSE),_xlfn.IFNA(VLOOKUP($AH368,_CONFIG_Model_Settings!$A$5:$B$8,2,FALSE),0.9)))</f>
        <v/>
      </c>
      <c r="AK368">
        <f>IF(OR($H368="",$H368="N/A"),"",IF($AI368="",VLOOKUP('Company Profile'!$B$41,_CONFIG_Model_Settings!$A$5:$B$8,2,FALSE),_xlfn.IFNA(VLOOKUP($AI368,_CONFIG_Model_Settings!$A$5:$B$8,2,FALSE),0.9)))</f>
        <v/>
      </c>
      <c r="AL368">
        <f>IF(OR($H368="",$H368="N/A"),"",ROUND(VALUE($H368)*$AJ368*$AK368*$AV368,2))</f>
        <v/>
      </c>
      <c r="AM368">
        <f>IF($AL368="","",ROUND($AL368/5*100,1))</f>
        <v/>
      </c>
      <c r="AN368">
        <f>IFERROR(MIN(5,MAX(0,(SUMIFS(_REF_Model_Content!$D$1:$D$157,_REF_Model_Content!$A$1:$A$157,'Company Profile'!$B$9,_REF_Model_Content!$B$1:$B$157,"Data BI AI"))+_xlfn.IFNA(VLOOKUP('Company Profile'!$B$35,_CONFIG_Model_Settings!$A$11:$B$13,2,0),0))),"")</f>
        <v/>
      </c>
      <c r="AO368">
        <f>IF($AL368="","",MAX(0,ROUND($AN368-$AL368,2)))</f>
        <v/>
      </c>
      <c r="AP368">
        <f>IFERROR(SUMIFS(_REF_Model_Content!$E$1:$E$157,_REF_Model_Content!$A$1:$A$157,'Company Profile'!$B$9,_REF_Model_Content!$B$1:$B$157,"Data BI AI"),1)</f>
        <v/>
      </c>
      <c r="AQ368">
        <f>IF($AO368="","",ROUND($AO368*$AP368*($G368/5),2))</f>
        <v/>
      </c>
      <c r="AR368">
        <f>IF($AO368="","",IF($AO368&gt;=2,"Critical industry gap",IF($AO368&gt;=1,"High industry gap",IF($AO368&gt;=0.5,"Moderate industry gap","Within target"))))</f>
        <v/>
      </c>
      <c r="AS368">
        <f>IF(OR($H368="",$H368="N/A"),0,VALUE($H368)*(($AJ368+$AK368)/2)*$AV368)</f>
        <v/>
      </c>
      <c r="AT368">
        <f>IF(OR($H368="",$H368="N/A"),0,($AJ368+$AK368)/2)</f>
        <v/>
      </c>
      <c r="AU368">
        <f>'Assessment Questions'!AX368</f>
        <v/>
      </c>
      <c r="AV368">
        <f>IF(OR($H368="",$H368="N/A"),"",IF(OR($AU368="",$AU368="Everywhere",$AU368="Not applicable"),1,IF($AU368="Pilot / one team",0.4,IF($AU368="One unit or site",0.7,0.9))))</f>
        <v/>
      </c>
      <c r="AW368" t="inlineStr">
        <is>
          <t>Data BI AI</t>
        </is>
      </c>
      <c r="AX368" t="inlineStr">
        <is>
          <t>Data BI AI</t>
        </is>
      </c>
      <c r="AY368" t="n">
        <v>27</v>
      </c>
      <c r="AZ368" t="n">
        <v>368</v>
      </c>
    </row>
    <row r="369">
      <c r="A369" t="inlineStr">
        <is>
          <t>DATA-024</t>
        </is>
      </c>
      <c r="B369" t="inlineStr">
        <is>
          <t>AI readiness</t>
        </is>
      </c>
      <c r="C369" t="inlineStr">
        <is>
          <t>How mature is the organization in managing AI governance for privacy, security, explainability, bias, human oversight and model risk, including ownership, evidence, metrics, fallback procedures and crisis stress testing?</t>
        </is>
      </c>
      <c r="D369" t="inlineStr">
        <is>
          <t>This topic affects exposure to Decision failure; Data loss; Regulatory/legal shock. It helps identify how disruption may impact operations, people, revenue, systems, legal exposure or recovery time.</t>
        </is>
      </c>
      <c r="E369" t="inlineStr">
        <is>
          <t>DAMA-DMBOK; ISO/IEC 38505; ISO/IEC 42001; ISO/IEC 23894; NIST AI RMF; DCAM</t>
        </is>
      </c>
      <c r="F369" t="inlineStr">
        <is>
          <t>Policy/SOP; owner/RACI; system report; dashboard; contracts; test records; incident history; interview evidence related to AI governance for privacy, security, explainability, bias, human oversight and model risk.</t>
        </is>
      </c>
      <c r="G369">
        <f>'Assessment Questions'!J369</f>
        <v/>
      </c>
      <c r="H369">
        <f>IF($Z369="","",IF($Z369="N/A","N/A",VALUE(LEFT($Z369,1))))</f>
        <v/>
      </c>
      <c r="I369">
        <f>IF($H369="","",IF($H369="N/A","",VALUE($H369)/5*$G369))</f>
        <v/>
      </c>
      <c r="J369">
        <f>IF(OR($H369="",$H369="N/A"),"",$G369)</f>
        <v/>
      </c>
      <c r="K369">
        <f>IF(OR($H369="",$H369="N/A"),"",$J369-$I369)</f>
        <v/>
      </c>
      <c r="L369">
        <f>IF($H369="","",IF($H369="N/A","N/A",IF(VALUE($H369)&lt;=1,"Critical",IF(VALUE($H369)&lt;=2,"High",IF(VALUE($H369)&lt;=3,"Medium",IF(VALUE($H369)&lt;=4,"Low","Resilient"))))))</f>
        <v/>
      </c>
      <c r="M369" t="inlineStr">
        <is>
          <t>No reliable evidence that ai governance for privacy, security, explainability, bias, human oversight and model risk is defined, owned or managed.</t>
        </is>
      </c>
      <c r="N369" t="inlineStr">
        <is>
          <t>AI governance for privacy, security, explainability, bias, human oversight and model risk is handled informally and depends on individual knowledge or heroic effort.</t>
        </is>
      </c>
      <c r="O369" t="inlineStr">
        <is>
          <t>AI governance for privacy, security, explainability, bias, human oversight and model risk is partially documented or implemented, but coverage is inconsistent and not crisis-tested.</t>
        </is>
      </c>
      <c r="P369" t="inlineStr">
        <is>
          <t>AI governance for privacy, security, explainability, bias, human oversight and model risk is documented, owned, used in normal operations and supported by basic evidence or metrics.</t>
        </is>
      </c>
      <c r="Q369" t="inlineStr">
        <is>
          <t>AI governance for privacy, security, explainability, bias, human oversight and model risk is measured, periodically reviewed, integrated with related processes and tested against relevant disruption scenarios.</t>
        </is>
      </c>
      <c r="R369" t="inlineStr">
        <is>
          <t>AI governance for privacy, security, explainability, bias, human oversight and model risk is optimized, continuously improved, automated where practical and demonstrably supports crisis resilience.</t>
        </is>
      </c>
      <c r="S369" t="inlineStr">
        <is>
          <t>Decision failure; Data loss; Regulatory/legal shock</t>
        </is>
      </c>
      <c r="T369">
        <f>'Assessment Questions'!W369</f>
        <v/>
      </c>
      <c r="U369">
        <f>'Assessment Questions'!X369</f>
        <v/>
      </c>
      <c r="V369">
        <f>'Assessment Questions'!Y369</f>
        <v/>
      </c>
      <c r="W369" t="n">
        <v>5</v>
      </c>
      <c r="X369" t="n">
        <v>5</v>
      </c>
      <c r="Y369" t="n">
        <v>5</v>
      </c>
      <c r="Z369">
        <f>'Assessment Questions'!AC369</f>
        <v/>
      </c>
      <c r="AB369">
        <f>COUNTIF($B$346:$B$372,$AA369)</f>
        <v/>
      </c>
      <c r="AC369">
        <f>IFERROR(SUMPRODUCT(($B$346:$B$372=$AA369)*($H$346:$H$372&lt;&gt;"")*($H$346:$H$372&lt;&gt;"N/A")*IFERROR(VALUE($H$346:$H$372),0))/SUMPRODUCT(($B$346:$B$372=$AA369)*($H$346:$H$372&lt;&gt;"")*($H$346:$H$372&lt;&gt;"N/A")),0)</f>
        <v/>
      </c>
      <c r="AD369">
        <f>AC369/5</f>
        <v/>
      </c>
      <c r="AE369">
        <f>COUNTIFS($B$346:$B$372,$AA369,$L$346:$L$372,"Critical")+COUNTIFS($B$346:$B$372,$AA369,$L$346:$L$372,"High")</f>
        <v/>
      </c>
      <c r="AF369">
        <f>5-AC369</f>
        <v/>
      </c>
      <c r="AG369">
        <f>SUMPRODUCT(($B$346:$B$372=$AA369)*(ISNUMBER($H$346:$H$372)+($H$346:$H$372="N/A")))</f>
        <v/>
      </c>
      <c r="AH369">
        <f>'Assessment Questions'!AK369</f>
        <v/>
      </c>
      <c r="AI369">
        <f>'Assessment Questions'!AL369</f>
        <v/>
      </c>
      <c r="AJ369">
        <f>IF(OR($H369="",$H369="N/A"),"",IF($AH369="",VLOOKUP('Company Profile'!$B$40,_CONFIG_Model_Settings!$A$5:$B$8,2,FALSE),_xlfn.IFNA(VLOOKUP($AH369,_CONFIG_Model_Settings!$A$5:$B$8,2,FALSE),0.9)))</f>
        <v/>
      </c>
      <c r="AK369">
        <f>IF(OR($H369="",$H369="N/A"),"",IF($AI369="",VLOOKUP('Company Profile'!$B$41,_CONFIG_Model_Settings!$A$5:$B$8,2,FALSE),_xlfn.IFNA(VLOOKUP($AI369,_CONFIG_Model_Settings!$A$5:$B$8,2,FALSE),0.9)))</f>
        <v/>
      </c>
      <c r="AL369">
        <f>IF(OR($H369="",$H369="N/A"),"",ROUND(VALUE($H369)*$AJ369*$AK369*$AV369,2))</f>
        <v/>
      </c>
      <c r="AM369">
        <f>IF($AL369="","",ROUND($AL369/5*100,1))</f>
        <v/>
      </c>
      <c r="AN369">
        <f>IFERROR(MIN(5,MAX(0,(SUMIFS(_REF_Model_Content!$D$1:$D$157,_REF_Model_Content!$A$1:$A$157,'Company Profile'!$B$9,_REF_Model_Content!$B$1:$B$157,"Data BI AI"))+_xlfn.IFNA(VLOOKUP('Company Profile'!$B$35,_CONFIG_Model_Settings!$A$11:$B$13,2,0),0))),"")</f>
        <v/>
      </c>
      <c r="AO369">
        <f>IF($AL369="","",MAX(0,ROUND($AN369-$AL369,2)))</f>
        <v/>
      </c>
      <c r="AP369">
        <f>IFERROR(SUMIFS(_REF_Model_Content!$E$1:$E$157,_REF_Model_Content!$A$1:$A$157,'Company Profile'!$B$9,_REF_Model_Content!$B$1:$B$157,"Data BI AI"),1)</f>
        <v/>
      </c>
      <c r="AQ369">
        <f>IF($AO369="","",ROUND($AO369*$AP369*($G369/5),2))</f>
        <v/>
      </c>
      <c r="AR369">
        <f>IF($AO369="","",IF($AO369&gt;=2,"Critical industry gap",IF($AO369&gt;=1,"High industry gap",IF($AO369&gt;=0.5,"Moderate industry gap","Within target"))))</f>
        <v/>
      </c>
      <c r="AS369">
        <f>IF(OR($H369="",$H369="N/A"),0,VALUE($H369)*(($AJ369+$AK369)/2)*$AV369)</f>
        <v/>
      </c>
      <c r="AT369">
        <f>IF(OR($H369="",$H369="N/A"),0,($AJ369+$AK369)/2)</f>
        <v/>
      </c>
      <c r="AU369">
        <f>'Assessment Questions'!AX369</f>
        <v/>
      </c>
      <c r="AV369">
        <f>IF(OR($H369="",$H369="N/A"),"",IF(OR($AU369="",$AU369="Everywhere",$AU369="Not applicable"),1,IF($AU369="Pilot / one team",0.4,IF($AU369="One unit or site",0.7,0.9))))</f>
        <v/>
      </c>
      <c r="AW369" t="inlineStr">
        <is>
          <t>Data BI AI</t>
        </is>
      </c>
      <c r="AX369" t="inlineStr">
        <is>
          <t>Data BI AI</t>
        </is>
      </c>
      <c r="AY369" t="n">
        <v>28</v>
      </c>
      <c r="AZ369" t="n">
        <v>369</v>
      </c>
    </row>
    <row r="370">
      <c r="A370" t="inlineStr">
        <is>
          <t>DATA-025</t>
        </is>
      </c>
      <c r="B370" t="inlineStr">
        <is>
          <t>AI readiness</t>
        </is>
      </c>
      <c r="C370" t="inlineStr">
        <is>
          <t>How mature is the organization in managing LLM usage policy covering data leakage, IP, accuracy, approval and acceptable use, including ownership, evidence, metrics, fallback procedures and crisis stress testing?</t>
        </is>
      </c>
      <c r="D370" t="inlineStr">
        <is>
          <t>This topic affects exposure to Decision failure; Data loss; Regulatory/legal shock. It helps identify how disruption may impact operations, people, revenue, systems, legal exposure or recovery time.</t>
        </is>
      </c>
      <c r="E370" t="inlineStr">
        <is>
          <t>DAMA-DMBOK; ISO/IEC 38505; ISO/IEC 42001; ISO/IEC 23894; NIST AI RMF; DCAM</t>
        </is>
      </c>
      <c r="F370" t="inlineStr">
        <is>
          <t>Policy/SOP; owner/RACI; system report; dashboard; contracts; test records; incident history; interview evidence related to LLM usage policy covering data leakage, IP, accuracy, approval and acceptable use.</t>
        </is>
      </c>
      <c r="G370">
        <f>'Assessment Questions'!J370</f>
        <v/>
      </c>
      <c r="H370">
        <f>IF($Z370="","",IF($Z370="N/A","N/A",VALUE(LEFT($Z370,1))))</f>
        <v/>
      </c>
      <c r="I370">
        <f>IF($H370="","",IF($H370="N/A","",VALUE($H370)/5*$G370))</f>
        <v/>
      </c>
      <c r="J370">
        <f>IF(OR($H370="",$H370="N/A"),"",$G370)</f>
        <v/>
      </c>
      <c r="K370">
        <f>IF(OR($H370="",$H370="N/A"),"",$J370-$I370)</f>
        <v/>
      </c>
      <c r="L370">
        <f>IF($H370="","",IF($H370="N/A","N/A",IF(VALUE($H370)&lt;=1,"Critical",IF(VALUE($H370)&lt;=2,"High",IF(VALUE($H370)&lt;=3,"Medium",IF(VALUE($H370)&lt;=4,"Low","Resilient"))))))</f>
        <v/>
      </c>
      <c r="M370" t="inlineStr">
        <is>
          <t>No reliable evidence that llm usage policy covering data leakage, ip, accuracy, approval and acceptable use is defined, owned or managed.</t>
        </is>
      </c>
      <c r="N370" t="inlineStr">
        <is>
          <t>LLM usage policy covering data leakage, IP, accuracy, approval and acceptable use is handled informally and depends on individual knowledge or heroic effort.</t>
        </is>
      </c>
      <c r="O370" t="inlineStr">
        <is>
          <t>LLM usage policy covering data leakage, IP, accuracy, approval and acceptable use is partially documented or implemented, but coverage is inconsistent and not crisis-tested.</t>
        </is>
      </c>
      <c r="P370" t="inlineStr">
        <is>
          <t>LLM usage policy covering data leakage, IP, accuracy, approval and acceptable use is documented, owned, used in normal operations and supported by basic evidence or metrics.</t>
        </is>
      </c>
      <c r="Q370" t="inlineStr">
        <is>
          <t>LLM usage policy covering data leakage, IP, accuracy, approval and acceptable use is measured, periodically reviewed, integrated with related processes and tested against relevant disruption scenarios.</t>
        </is>
      </c>
      <c r="R370" t="inlineStr">
        <is>
          <t>LLM usage policy covering data leakage, IP, accuracy, approval and acceptable use is optimized, continuously improved, automated where practical and demonstrably supports crisis resilience.</t>
        </is>
      </c>
      <c r="S370" t="inlineStr">
        <is>
          <t>Decision failure; Data loss; Regulatory/legal shock</t>
        </is>
      </c>
      <c r="T370">
        <f>'Assessment Questions'!W370</f>
        <v/>
      </c>
      <c r="U370">
        <f>'Assessment Questions'!X370</f>
        <v/>
      </c>
      <c r="V370">
        <f>'Assessment Questions'!Y370</f>
        <v/>
      </c>
      <c r="W370" t="n">
        <v>5</v>
      </c>
      <c r="X370" t="n">
        <v>5</v>
      </c>
      <c r="Y370" t="n">
        <v>5</v>
      </c>
      <c r="Z370">
        <f>'Assessment Questions'!AC370</f>
        <v/>
      </c>
      <c r="AB370">
        <f>COUNTIF($B$346:$B$372,$AA370)</f>
        <v/>
      </c>
      <c r="AC370">
        <f>IFERROR(SUMPRODUCT(($B$346:$B$372=$AA370)*($H$346:$H$372&lt;&gt;"")*($H$346:$H$372&lt;&gt;"N/A")*IFERROR(VALUE($H$346:$H$372),0))/SUMPRODUCT(($B$346:$B$372=$AA370)*($H$346:$H$372&lt;&gt;"")*($H$346:$H$372&lt;&gt;"N/A")),0)</f>
        <v/>
      </c>
      <c r="AD370">
        <f>AC370/5</f>
        <v/>
      </c>
      <c r="AE370">
        <f>COUNTIFS($B$346:$B$372,$AA370,$L$346:$L$372,"Critical")+COUNTIFS($B$346:$B$372,$AA370,$L$346:$L$372,"High")</f>
        <v/>
      </c>
      <c r="AF370">
        <f>5-AC370</f>
        <v/>
      </c>
      <c r="AG370">
        <f>SUMPRODUCT(($B$346:$B$372=$AA370)*(ISNUMBER($H$346:$H$372)+($H$346:$H$372="N/A")))</f>
        <v/>
      </c>
      <c r="AH370">
        <f>'Assessment Questions'!AK370</f>
        <v/>
      </c>
      <c r="AI370">
        <f>'Assessment Questions'!AL370</f>
        <v/>
      </c>
      <c r="AJ370">
        <f>IF(OR($H370="",$H370="N/A"),"",IF($AH370="",VLOOKUP('Company Profile'!$B$40,_CONFIG_Model_Settings!$A$5:$B$8,2,FALSE),_xlfn.IFNA(VLOOKUP($AH370,_CONFIG_Model_Settings!$A$5:$B$8,2,FALSE),0.9)))</f>
        <v/>
      </c>
      <c r="AK370">
        <f>IF(OR($H370="",$H370="N/A"),"",IF($AI370="",VLOOKUP('Company Profile'!$B$41,_CONFIG_Model_Settings!$A$5:$B$8,2,FALSE),_xlfn.IFNA(VLOOKUP($AI370,_CONFIG_Model_Settings!$A$5:$B$8,2,FALSE),0.9)))</f>
        <v/>
      </c>
      <c r="AL370">
        <f>IF(OR($H370="",$H370="N/A"),"",ROUND(VALUE($H370)*$AJ370*$AK370*$AV370,2))</f>
        <v/>
      </c>
      <c r="AM370">
        <f>IF($AL370="","",ROUND($AL370/5*100,1))</f>
        <v/>
      </c>
      <c r="AN370">
        <f>IFERROR(MIN(5,MAX(0,(SUMIFS(_REF_Model_Content!$D$1:$D$157,_REF_Model_Content!$A$1:$A$157,'Company Profile'!$B$9,_REF_Model_Content!$B$1:$B$157,"Data BI AI"))+_xlfn.IFNA(VLOOKUP('Company Profile'!$B$35,_CONFIG_Model_Settings!$A$11:$B$13,2,0),0))),"")</f>
        <v/>
      </c>
      <c r="AO370">
        <f>IF($AL370="","",MAX(0,ROUND($AN370-$AL370,2)))</f>
        <v/>
      </c>
      <c r="AP370">
        <f>IFERROR(SUMIFS(_REF_Model_Content!$E$1:$E$157,_REF_Model_Content!$A$1:$A$157,'Company Profile'!$B$9,_REF_Model_Content!$B$1:$B$157,"Data BI AI"),1)</f>
        <v/>
      </c>
      <c r="AQ370">
        <f>IF($AO370="","",ROUND($AO370*$AP370*($G370/5),2))</f>
        <v/>
      </c>
      <c r="AR370">
        <f>IF($AO370="","",IF($AO370&gt;=2,"Critical industry gap",IF($AO370&gt;=1,"High industry gap",IF($AO370&gt;=0.5,"Moderate industry gap","Within target"))))</f>
        <v/>
      </c>
      <c r="AS370">
        <f>IF(OR($H370="",$H370="N/A"),0,VALUE($H370)*(($AJ370+$AK370)/2)*$AV370)</f>
        <v/>
      </c>
      <c r="AT370">
        <f>IF(OR($H370="",$H370="N/A"),0,($AJ370+$AK370)/2)</f>
        <v/>
      </c>
      <c r="AU370">
        <f>'Assessment Questions'!AX370</f>
        <v/>
      </c>
      <c r="AV370">
        <f>IF(OR($H370="",$H370="N/A"),"",IF(OR($AU370="",$AU370="Everywhere",$AU370="Not applicable"),1,IF($AU370="Pilot / one team",0.4,IF($AU370="One unit or site",0.7,0.9))))</f>
        <v/>
      </c>
      <c r="AW370" t="inlineStr">
        <is>
          <t>Data BI AI</t>
        </is>
      </c>
      <c r="AX370" t="inlineStr">
        <is>
          <t>Data BI AI</t>
        </is>
      </c>
      <c r="AY370" t="n">
        <v>29</v>
      </c>
      <c r="AZ370" t="n">
        <v>370</v>
      </c>
    </row>
    <row r="371">
      <c r="A371" t="inlineStr">
        <is>
          <t>DATA-026</t>
        </is>
      </c>
      <c r="B371" t="inlineStr">
        <is>
          <t>AI readiness</t>
        </is>
      </c>
      <c r="C371" t="inlineStr">
        <is>
          <t>How mature is the organization in managing AI model register and monitoring for drift, accuracy, performance and business impact, including ownership, evidence, metrics, fallback procedures and crisis stress testing?</t>
        </is>
      </c>
      <c r="D371" t="inlineStr">
        <is>
          <t>This topic affects exposure to Decision failure; Data loss; Regulatory/legal shock. It helps identify how disruption may impact operations, people, revenue, systems, legal exposure or recovery time.</t>
        </is>
      </c>
      <c r="E371" t="inlineStr">
        <is>
          <t>DAMA-DMBOK; ISO/IEC 38505; ISO/IEC 42001; ISO/IEC 23894; NIST AI RMF; DCAM</t>
        </is>
      </c>
      <c r="F371" t="inlineStr">
        <is>
          <t>Policy/SOP; owner/RACI; system report; dashboard; contracts; test records; incident history; interview evidence related to AI model register and monitoring for drift, accuracy, performance and business impact.</t>
        </is>
      </c>
      <c r="G371">
        <f>'Assessment Questions'!J371</f>
        <v/>
      </c>
      <c r="H371">
        <f>IF($Z371="","",IF($Z371="N/A","N/A",VALUE(LEFT($Z371,1))))</f>
        <v/>
      </c>
      <c r="I371">
        <f>IF($H371="","",IF($H371="N/A","",VALUE($H371)/5*$G371))</f>
        <v/>
      </c>
      <c r="J371">
        <f>IF(OR($H371="",$H371="N/A"),"",$G371)</f>
        <v/>
      </c>
      <c r="K371">
        <f>IF(OR($H371="",$H371="N/A"),"",$J371-$I371)</f>
        <v/>
      </c>
      <c r="L371">
        <f>IF($H371="","",IF($H371="N/A","N/A",IF(VALUE($H371)&lt;=1,"Critical",IF(VALUE($H371)&lt;=2,"High",IF(VALUE($H371)&lt;=3,"Medium",IF(VALUE($H371)&lt;=4,"Low","Resilient"))))))</f>
        <v/>
      </c>
      <c r="M371" t="inlineStr">
        <is>
          <t>No inventory/register exists.</t>
        </is>
      </c>
      <c r="N371" t="inlineStr">
        <is>
          <t>Partial lists live in individuals' heads or personal files.</t>
        </is>
      </c>
      <c r="O371" t="inlineStr">
        <is>
          <t>A register exists but is incomplete or outdated (&gt;1 year) and has no owner.</t>
        </is>
      </c>
      <c r="P371" t="inlineStr">
        <is>
          <t>Owned, documented, updated on a defined schedule, covers the main scope.</t>
        </is>
      </c>
      <c r="Q371" t="inlineStr">
        <is>
          <t>Complete and periodically reviewed; integrated with related processes; completeness measured.</t>
        </is>
      </c>
      <c r="R371" t="inlineStr">
        <is>
          <t>Maintained automatically or synced with systems; drives decisions; audited.</t>
        </is>
      </c>
      <c r="S371" t="inlineStr">
        <is>
          <t>Decision failure; Data loss; Regulatory/legal shock</t>
        </is>
      </c>
      <c r="T371">
        <f>'Assessment Questions'!W371</f>
        <v/>
      </c>
      <c r="U371">
        <f>'Assessment Questions'!X371</f>
        <v/>
      </c>
      <c r="V371">
        <f>'Assessment Questions'!Y371</f>
        <v/>
      </c>
      <c r="W371" t="n">
        <v>5</v>
      </c>
      <c r="X371" t="n">
        <v>5</v>
      </c>
      <c r="Y371" t="n">
        <v>5</v>
      </c>
      <c r="Z371">
        <f>'Assessment Questions'!AC371</f>
        <v/>
      </c>
      <c r="AB371">
        <f>COUNTIF($B$346:$B$372,$AA371)</f>
        <v/>
      </c>
      <c r="AC371">
        <f>IFERROR(SUMPRODUCT(($B$346:$B$372=$AA371)*($H$346:$H$372&lt;&gt;"")*($H$346:$H$372&lt;&gt;"N/A")*IFERROR(VALUE($H$346:$H$372),0))/SUMPRODUCT(($B$346:$B$372=$AA371)*($H$346:$H$372&lt;&gt;"")*($H$346:$H$372&lt;&gt;"N/A")),0)</f>
        <v/>
      </c>
      <c r="AD371">
        <f>AC371/5</f>
        <v/>
      </c>
      <c r="AE371">
        <f>COUNTIFS($B$346:$B$372,$AA371,$L$346:$L$372,"Critical")+COUNTIFS($B$346:$B$372,$AA371,$L$346:$L$372,"High")</f>
        <v/>
      </c>
      <c r="AF371">
        <f>5-AC371</f>
        <v/>
      </c>
      <c r="AG371">
        <f>SUMPRODUCT(($B$346:$B$372=$AA371)*(ISNUMBER($H$346:$H$372)+($H$346:$H$372="N/A")))</f>
        <v/>
      </c>
      <c r="AH371">
        <f>'Assessment Questions'!AK371</f>
        <v/>
      </c>
      <c r="AI371">
        <f>'Assessment Questions'!AL371</f>
        <v/>
      </c>
      <c r="AJ371">
        <f>IF(OR($H371="",$H371="N/A"),"",IF($AH371="",VLOOKUP('Company Profile'!$B$40,_CONFIG_Model_Settings!$A$5:$B$8,2,FALSE),_xlfn.IFNA(VLOOKUP($AH371,_CONFIG_Model_Settings!$A$5:$B$8,2,FALSE),0.9)))</f>
        <v/>
      </c>
      <c r="AK371">
        <f>IF(OR($H371="",$H371="N/A"),"",IF($AI371="",VLOOKUP('Company Profile'!$B$41,_CONFIG_Model_Settings!$A$5:$B$8,2,FALSE),_xlfn.IFNA(VLOOKUP($AI371,_CONFIG_Model_Settings!$A$5:$B$8,2,FALSE),0.9)))</f>
        <v/>
      </c>
      <c r="AL371">
        <f>IF(OR($H371="",$H371="N/A"),"",ROUND(VALUE($H371)*$AJ371*$AK371*$AV371,2))</f>
        <v/>
      </c>
      <c r="AM371">
        <f>IF($AL371="","",ROUND($AL371/5*100,1))</f>
        <v/>
      </c>
      <c r="AN371">
        <f>IFERROR(MIN(5,MAX(0,(SUMIFS(_REF_Model_Content!$D$1:$D$157,_REF_Model_Content!$A$1:$A$157,'Company Profile'!$B$9,_REF_Model_Content!$B$1:$B$157,"Data BI AI"))+_xlfn.IFNA(VLOOKUP('Company Profile'!$B$35,_CONFIG_Model_Settings!$A$11:$B$13,2,0),0))),"")</f>
        <v/>
      </c>
      <c r="AO371">
        <f>IF($AL371="","",MAX(0,ROUND($AN371-$AL371,2)))</f>
        <v/>
      </c>
      <c r="AP371">
        <f>IFERROR(SUMIFS(_REF_Model_Content!$E$1:$E$157,_REF_Model_Content!$A$1:$A$157,'Company Profile'!$B$9,_REF_Model_Content!$B$1:$B$157,"Data BI AI"),1)</f>
        <v/>
      </c>
      <c r="AQ371">
        <f>IF($AO371="","",ROUND($AO371*$AP371*($G371/5),2))</f>
        <v/>
      </c>
      <c r="AR371">
        <f>IF($AO371="","",IF($AO371&gt;=2,"Critical industry gap",IF($AO371&gt;=1,"High industry gap",IF($AO371&gt;=0.5,"Moderate industry gap","Within target"))))</f>
        <v/>
      </c>
      <c r="AS371">
        <f>IF(OR($H371="",$H371="N/A"),0,VALUE($H371)*(($AJ371+$AK371)/2)*$AV371)</f>
        <v/>
      </c>
      <c r="AT371">
        <f>IF(OR($H371="",$H371="N/A"),0,($AJ371+$AK371)/2)</f>
        <v/>
      </c>
      <c r="AU371">
        <f>'Assessment Questions'!AX371</f>
        <v/>
      </c>
      <c r="AV371">
        <f>IF(OR($H371="",$H371="N/A"),"",IF(OR($AU371="",$AU371="Everywhere",$AU371="Not applicable"),1,IF($AU371="Pilot / one team",0.4,IF($AU371="One unit or site",0.7,0.9))))</f>
        <v/>
      </c>
      <c r="AW371" t="inlineStr">
        <is>
          <t>Data BI AI</t>
        </is>
      </c>
      <c r="AX371" t="inlineStr">
        <is>
          <t>Data BI AI</t>
        </is>
      </c>
      <c r="AY371" t="n">
        <v>30</v>
      </c>
      <c r="AZ371" t="n">
        <v>371</v>
      </c>
    </row>
    <row r="372">
      <c r="A372" t="inlineStr">
        <is>
          <t>DATA-027</t>
        </is>
      </c>
      <c r="B372" t="inlineStr">
        <is>
          <t>AI readiness</t>
        </is>
      </c>
      <c r="C372" t="inlineStr">
        <is>
          <t>How mature is the organization in managing responsible AI controls for customer-facing, employee-facing and decision-support use cases, including ownership, evidence, metrics, fallback procedures and crisis stress testing?</t>
        </is>
      </c>
      <c r="D372" t="inlineStr">
        <is>
          <t>This topic affects exposure to Decision failure; Data loss; Regulatory/legal shock. It helps identify how disruption may impact operations, people, revenue, systems, legal exposure or recovery time.</t>
        </is>
      </c>
      <c r="E372" t="inlineStr">
        <is>
          <t>DAMA-DMBOK; ISO/IEC 38505; ISO/IEC 42001; ISO/IEC 23894; NIST AI RMF; DCAM</t>
        </is>
      </c>
      <c r="F372" t="inlineStr">
        <is>
          <t>Policy/SOP; owner/RACI; system report; dashboard; contracts; test records; incident history; interview evidence related to responsible AI controls for customer-facing, employee-facing and decision-support use cases.</t>
        </is>
      </c>
      <c r="G372">
        <f>'Assessment Questions'!J372</f>
        <v/>
      </c>
      <c r="H372">
        <f>IF($Z372="","",IF($Z372="N/A","N/A",VALUE(LEFT($Z372,1))))</f>
        <v/>
      </c>
      <c r="I372">
        <f>IF($H372="","",IF($H372="N/A","",VALUE($H372)/5*$G372))</f>
        <v/>
      </c>
      <c r="J372">
        <f>IF(OR($H372="",$H372="N/A"),"",$G372)</f>
        <v/>
      </c>
      <c r="K372">
        <f>IF(OR($H372="",$H372="N/A"),"",$J372-$I372)</f>
        <v/>
      </c>
      <c r="L372">
        <f>IF($H372="","",IF($H372="N/A","N/A",IF(VALUE($H372)&lt;=1,"Critical",IF(VALUE($H372)&lt;=2,"High",IF(VALUE($H372)&lt;=3,"Medium",IF(VALUE($H372)&lt;=4,"Low","Resilient"))))))</f>
        <v/>
      </c>
      <c r="M372" t="inlineStr">
        <is>
          <t>No reliable evidence that responsible ai controls for customer-facing, employee-facing and decision-support use cases is defined, owned or managed.</t>
        </is>
      </c>
      <c r="N372" t="inlineStr">
        <is>
          <t>Responsible AI controls for customer-facing, employee-facing and decision-support use cases is handled informally and depends on individual knowledge or heroic effort.</t>
        </is>
      </c>
      <c r="O372" t="inlineStr">
        <is>
          <t>Responsible AI controls for customer-facing, employee-facing and decision-support use cases is partially documented or implemented, but coverage is inconsistent and not crisis-tested.</t>
        </is>
      </c>
      <c r="P372" t="inlineStr">
        <is>
          <t>Responsible AI controls for customer-facing, employee-facing and decision-support use cases is documented, owned, used in normal operations and supported by basic evidence or metrics.</t>
        </is>
      </c>
      <c r="Q372" t="inlineStr">
        <is>
          <t>Responsible AI controls for customer-facing, employee-facing and decision-support use cases is measured, periodically reviewed, integrated with related processes and tested against relevant disruption scenarios.</t>
        </is>
      </c>
      <c r="R372" t="inlineStr">
        <is>
          <t>Responsible AI controls for customer-facing, employee-facing and decision-support use cases is optimized, continuously improved, automated where practical and demonstrably supports crisis resilience.</t>
        </is>
      </c>
      <c r="S372" t="inlineStr">
        <is>
          <t>Decision failure; Data loss; Regulatory/legal shock</t>
        </is>
      </c>
      <c r="T372">
        <f>'Assessment Questions'!W372</f>
        <v/>
      </c>
      <c r="U372">
        <f>'Assessment Questions'!X372</f>
        <v/>
      </c>
      <c r="V372">
        <f>'Assessment Questions'!Y372</f>
        <v/>
      </c>
      <c r="W372" t="n">
        <v>5</v>
      </c>
      <c r="X372" t="n">
        <v>5</v>
      </c>
      <c r="Y372" t="n">
        <v>5</v>
      </c>
      <c r="Z372">
        <f>'Assessment Questions'!AC372</f>
        <v/>
      </c>
      <c r="AB372">
        <f>COUNTIF($B$346:$B$372,$AA372)</f>
        <v/>
      </c>
      <c r="AC372">
        <f>IFERROR(SUMPRODUCT(($B$346:$B$372=$AA372)*($H$346:$H$372&lt;&gt;"")*($H$346:$H$372&lt;&gt;"N/A")*IFERROR(VALUE($H$346:$H$372),0))/SUMPRODUCT(($B$346:$B$372=$AA372)*($H$346:$H$372&lt;&gt;"")*($H$346:$H$372&lt;&gt;"N/A")),0)</f>
        <v/>
      </c>
      <c r="AD372">
        <f>AC372/5</f>
        <v/>
      </c>
      <c r="AE372">
        <f>COUNTIFS($B$346:$B$372,$AA372,$L$346:$L$372,"Critical")+COUNTIFS($B$346:$B$372,$AA372,$L$346:$L$372,"High")</f>
        <v/>
      </c>
      <c r="AF372">
        <f>5-AC372</f>
        <v/>
      </c>
      <c r="AG372">
        <f>SUMPRODUCT(($B$346:$B$372=$AA372)*(ISNUMBER($H$346:$H$372)+($H$346:$H$372="N/A")))</f>
        <v/>
      </c>
      <c r="AH372">
        <f>'Assessment Questions'!AK372</f>
        <v/>
      </c>
      <c r="AI372">
        <f>'Assessment Questions'!AL372</f>
        <v/>
      </c>
      <c r="AJ372">
        <f>IF(OR($H372="",$H372="N/A"),"",IF($AH372="",VLOOKUP('Company Profile'!$B$40,_CONFIG_Model_Settings!$A$5:$B$8,2,FALSE),_xlfn.IFNA(VLOOKUP($AH372,_CONFIG_Model_Settings!$A$5:$B$8,2,FALSE),0.9)))</f>
        <v/>
      </c>
      <c r="AK372">
        <f>IF(OR($H372="",$H372="N/A"),"",IF($AI372="",VLOOKUP('Company Profile'!$B$41,_CONFIG_Model_Settings!$A$5:$B$8,2,FALSE),_xlfn.IFNA(VLOOKUP($AI372,_CONFIG_Model_Settings!$A$5:$B$8,2,FALSE),0.9)))</f>
        <v/>
      </c>
      <c r="AL372">
        <f>IF(OR($H372="",$H372="N/A"),"",ROUND(VALUE($H372)*$AJ372*$AK372*$AV372,2))</f>
        <v/>
      </c>
      <c r="AM372">
        <f>IF($AL372="","",ROUND($AL372/5*100,1))</f>
        <v/>
      </c>
      <c r="AN372">
        <f>IFERROR(MIN(5,MAX(0,(SUMIFS(_REF_Model_Content!$D$1:$D$157,_REF_Model_Content!$A$1:$A$157,'Company Profile'!$B$9,_REF_Model_Content!$B$1:$B$157,"Data BI AI"))+_xlfn.IFNA(VLOOKUP('Company Profile'!$B$35,_CONFIG_Model_Settings!$A$11:$B$13,2,0),0))),"")</f>
        <v/>
      </c>
      <c r="AO372">
        <f>IF($AL372="","",MAX(0,ROUND($AN372-$AL372,2)))</f>
        <v/>
      </c>
      <c r="AP372">
        <f>IFERROR(SUMIFS(_REF_Model_Content!$E$1:$E$157,_REF_Model_Content!$A$1:$A$157,'Company Profile'!$B$9,_REF_Model_Content!$B$1:$B$157,"Data BI AI"),1)</f>
        <v/>
      </c>
      <c r="AQ372">
        <f>IF($AO372="","",ROUND($AO372*$AP372*($G372/5),2))</f>
        <v/>
      </c>
      <c r="AR372">
        <f>IF($AO372="","",IF($AO372&gt;=2,"Critical industry gap",IF($AO372&gt;=1,"High industry gap",IF($AO372&gt;=0.5,"Moderate industry gap","Within target"))))</f>
        <v/>
      </c>
      <c r="AS372">
        <f>IF(OR($H372="",$H372="N/A"),0,VALUE($H372)*(($AJ372+$AK372)/2)*$AV372)</f>
        <v/>
      </c>
      <c r="AT372">
        <f>IF(OR($H372="",$H372="N/A"),0,($AJ372+$AK372)/2)</f>
        <v/>
      </c>
      <c r="AU372">
        <f>'Assessment Questions'!AX372</f>
        <v/>
      </c>
      <c r="AV372">
        <f>IF(OR($H372="",$H372="N/A"),"",IF(OR($AU372="",$AU372="Everywhere",$AU372="Not applicable"),1,IF($AU372="Pilot / one team",0.4,IF($AU372="One unit or site",0.7,0.9))))</f>
        <v/>
      </c>
      <c r="AW372" t="inlineStr">
        <is>
          <t>Data BI AI</t>
        </is>
      </c>
      <c r="AX372" t="inlineStr">
        <is>
          <t>Data BI AI</t>
        </is>
      </c>
      <c r="AY372" t="n">
        <v>31</v>
      </c>
      <c r="AZ372" t="n">
        <v>372</v>
      </c>
    </row>
    <row r="373">
      <c r="A373" t="inlineStr">
        <is>
          <t>CYBE-001</t>
        </is>
      </c>
      <c r="B373" t="inlineStr">
        <is>
          <t>Security governance</t>
        </is>
      </c>
      <c r="C373" t="inlineStr">
        <is>
          <t>How mature is the organization in managing information security management system with policies, owners, risks and controls, including ownership, evidence, metrics, fallback procedures and crisis stress testing?</t>
        </is>
      </c>
      <c r="D373" t="inlineStr">
        <is>
          <t>This topic affects exposure to Cyberattack; Data breach; Ransomware; Insider threat. It helps identify how disruption may impact operations, people, revenue, systems, legal exposure or recovery time.</t>
        </is>
      </c>
      <c r="E373" t="inlineStr">
        <is>
          <t>ISO/IEC 27001; ISO/IEC 27002; NIST CSF 2.0; CIS Controls; ISO/IEC 27701; GDPR; IEC 62443</t>
        </is>
      </c>
      <c r="F373" t="inlineStr">
        <is>
          <t>Policy/SOP; owner/RACI; system report; dashboard; contracts; test records; incident history; interview evidence related to information security management system with policies, owners, risks and controls.</t>
        </is>
      </c>
      <c r="G373">
        <f>'Assessment Questions'!J373</f>
        <v/>
      </c>
      <c r="H373">
        <f>IF($Z373="","",IF($Z373="N/A","N/A",VALUE(LEFT($Z373,1))))</f>
        <v/>
      </c>
      <c r="I373">
        <f>IF($H373="","",IF($H373="N/A","",VALUE($H373)/5*$G373))</f>
        <v/>
      </c>
      <c r="J373">
        <f>IF(OR($H373="",$H373="N/A"),"",$G373)</f>
        <v/>
      </c>
      <c r="K373">
        <f>IF(OR($H373="",$H373="N/A"),"",$J373-$I373)</f>
        <v/>
      </c>
      <c r="L373">
        <f>IF($H373="","",IF($H373="N/A","N/A",IF(VALUE($H373)&lt;=1,"Critical",IF(VALUE($H373)&lt;=2,"High",IF(VALUE($H373)&lt;=3,"Medium",IF(VALUE($H373)&lt;=4,"Low","Resilient"))))))</f>
        <v/>
      </c>
      <c r="M373" t="inlineStr">
        <is>
          <t>No reliable evidence that information security management system with policies, owners, risks and controls is defined, owned or managed.</t>
        </is>
      </c>
      <c r="N373" t="inlineStr">
        <is>
          <t>Information security management system with policies, owners, risks and controls is handled informally and depends on individual knowledge or heroic effort.</t>
        </is>
      </c>
      <c r="O373" t="inlineStr">
        <is>
          <t>Information security management system with policies, owners, risks and controls is partially documented or implemented, but coverage is inconsistent and not crisis-tested.</t>
        </is>
      </c>
      <c r="P373" t="inlineStr">
        <is>
          <t>Information security management system with policies, owners, risks and controls is documented, owned, used in normal operations and supported by basic evidence or metrics.</t>
        </is>
      </c>
      <c r="Q373" t="inlineStr">
        <is>
          <t>Information security management system with policies, owners, risks and controls is measured, periodically reviewed, integrated with related processes and tested against relevant disruption scenarios.</t>
        </is>
      </c>
      <c r="R373" t="inlineStr">
        <is>
          <t>Information security management system with policies, owners, risks and controls is optimized, continuously improved, automated where practical and demonstrably supports crisis resilience.</t>
        </is>
      </c>
      <c r="S373" t="inlineStr">
        <is>
          <t>Cyberattack; Data breach; Ransomware; Insider threat</t>
        </is>
      </c>
      <c r="T373">
        <f>'Assessment Questions'!W373</f>
        <v/>
      </c>
      <c r="U373">
        <f>'Assessment Questions'!X373</f>
        <v/>
      </c>
      <c r="V373">
        <f>'Assessment Questions'!Y373</f>
        <v/>
      </c>
      <c r="W373" t="n">
        <v>5</v>
      </c>
      <c r="X373" t="n">
        <v>5</v>
      </c>
      <c r="Y373" t="n">
        <v>5</v>
      </c>
      <c r="Z373">
        <f>'Assessment Questions'!AC373</f>
        <v/>
      </c>
      <c r="AA373" t="inlineStr">
        <is>
          <t>Security governance</t>
        </is>
      </c>
      <c r="AB373">
        <f>COUNTIF($B$373:$B$406,$AA373)</f>
        <v/>
      </c>
      <c r="AC373">
        <f>IFERROR(SUMPRODUCT(($B$373:$B$406=$AA373)*($H$373:$H$406&lt;&gt;"")*($H$373:$H$406&lt;&gt;"N/A")*IFERROR(VALUE($H$373:$H$406),0))/SUMPRODUCT(($B$373:$B$406=$AA373)*($H$373:$H$406&lt;&gt;"")*($H$373:$H$406&lt;&gt;"N/A")),0)</f>
        <v/>
      </c>
      <c r="AD373">
        <f>AC373/5</f>
        <v/>
      </c>
      <c r="AE373">
        <f>COUNTIFS($B$373:$B$406,$AA373,$L$373:$L$406,"Critical")+COUNTIFS($B$373:$B$406,$AA373,$L$373:$L$406,"High")</f>
        <v/>
      </c>
      <c r="AF373">
        <f>5-AC373</f>
        <v/>
      </c>
      <c r="AG373">
        <f>SUMPRODUCT(($B$373:$B$406=$AA373)*(ISNUMBER($H$373:$H$406)+($H$373:$H$406="N/A")))</f>
        <v/>
      </c>
      <c r="AH373">
        <f>'Assessment Questions'!AK373</f>
        <v/>
      </c>
      <c r="AI373">
        <f>'Assessment Questions'!AL373</f>
        <v/>
      </c>
      <c r="AJ373">
        <f>IF(OR($H373="",$H373="N/A"),"",IF($AH373="",VLOOKUP('Company Profile'!$B$40,_CONFIG_Model_Settings!$A$5:$B$8,2,FALSE),_xlfn.IFNA(VLOOKUP($AH373,_CONFIG_Model_Settings!$A$5:$B$8,2,FALSE),0.9)))</f>
        <v/>
      </c>
      <c r="AK373">
        <f>IF(OR($H373="",$H373="N/A"),"",IF($AI373="",VLOOKUP('Company Profile'!$B$41,_CONFIG_Model_Settings!$A$5:$B$8,2,FALSE),_xlfn.IFNA(VLOOKUP($AI373,_CONFIG_Model_Settings!$A$5:$B$8,2,FALSE),0.9)))</f>
        <v/>
      </c>
      <c r="AL373">
        <f>IF(OR($H373="",$H373="N/A"),"",ROUND(VALUE($H373)*$AJ373*$AK373*$AV373,2))</f>
        <v/>
      </c>
      <c r="AM373">
        <f>IF($AL373="","",ROUND($AL373/5*100,1))</f>
        <v/>
      </c>
      <c r="AN373">
        <f>IFERROR(MIN(5,MAX(0,(SUMIFS(_REF_Model_Content!$D$1:$D$157,_REF_Model_Content!$A$1:$A$157,'Company Profile'!$B$9,_REF_Model_Content!$B$1:$B$157,"Cyber Privacy"))+_xlfn.IFNA(VLOOKUP('Company Profile'!$B$35,_CONFIG_Model_Settings!$A$11:$B$13,2,0),0))),"")</f>
        <v/>
      </c>
      <c r="AO373">
        <f>IF($AL373="","",MAX(0,ROUND($AN373-$AL373,2)))</f>
        <v/>
      </c>
      <c r="AP373">
        <f>IFERROR(SUMIFS(_REF_Model_Content!$E$1:$E$157,_REF_Model_Content!$A$1:$A$157,'Company Profile'!$B$9,_REF_Model_Content!$B$1:$B$157,"Cyber Privacy"),1)</f>
        <v/>
      </c>
      <c r="AQ373">
        <f>IF($AO373="","",ROUND($AO373*$AP373*($G373/5),2))</f>
        <v/>
      </c>
      <c r="AR373">
        <f>IF($AO373="","",IF($AO373&gt;=2,"Critical industry gap",IF($AO373&gt;=1,"High industry gap",IF($AO373&gt;=0.5,"Moderate industry gap","Within target"))))</f>
        <v/>
      </c>
      <c r="AS373">
        <f>IF(OR($H373="",$H373="N/A"),0,VALUE($H373)*(($AJ373+$AK373)/2)*$AV373)</f>
        <v/>
      </c>
      <c r="AT373">
        <f>IF(OR($H373="",$H373="N/A"),0,($AJ373+$AK373)/2)</f>
        <v/>
      </c>
      <c r="AU373">
        <f>'Assessment Questions'!AX373</f>
        <v/>
      </c>
      <c r="AV373">
        <f>IF(OR($H373="",$H373="N/A"),"",IF(OR($AU373="",$AU373="Everywhere",$AU373="Not applicable"),1,IF($AU373="Pilot / one team",0.4,IF($AU373="One unit or site",0.7,0.9))))</f>
        <v/>
      </c>
      <c r="AW373" t="inlineStr">
        <is>
          <t>Cyber Privacy</t>
        </is>
      </c>
      <c r="AX373" t="inlineStr">
        <is>
          <t>Cyber Privacy</t>
        </is>
      </c>
      <c r="AY373" t="n">
        <v>5</v>
      </c>
      <c r="AZ373" t="n">
        <v>373</v>
      </c>
    </row>
    <row r="374">
      <c r="A374" t="inlineStr">
        <is>
          <t>CYBE-002</t>
        </is>
      </c>
      <c r="B374" t="inlineStr">
        <is>
          <t>Security governance</t>
        </is>
      </c>
      <c r="C374" t="inlineStr">
        <is>
          <t>How mature is the organization in managing cyber risk register linked to business impact and crisis scenarios, including ownership, evidence, metrics, fallback procedures and crisis stress testing?</t>
        </is>
      </c>
      <c r="D374" t="inlineStr">
        <is>
          <t>This topic affects exposure to Cyberattack; Data breach; Ransomware; Insider threat. It helps identify how disruption may impact operations, people, revenue, systems, legal exposure or recovery time.</t>
        </is>
      </c>
      <c r="E374" t="inlineStr">
        <is>
          <t>ISO/IEC 27001; ISO/IEC 27002; NIST CSF 2.0; CIS Controls; ISO/IEC 27701; GDPR; IEC 62443</t>
        </is>
      </c>
      <c r="F374" t="inlineStr">
        <is>
          <t>Policy/SOP; owner/RACI; system report; dashboard; contracts; test records; incident history; interview evidence related to cyber risk register linked to business impact and crisis scenarios.</t>
        </is>
      </c>
      <c r="G374">
        <f>'Assessment Questions'!J374</f>
        <v/>
      </c>
      <c r="H374">
        <f>IF($Z374="","",IF($Z374="N/A","N/A",VALUE(LEFT($Z374,1))))</f>
        <v/>
      </c>
      <c r="I374">
        <f>IF($H374="","",IF($H374="N/A","",VALUE($H374)/5*$G374))</f>
        <v/>
      </c>
      <c r="J374">
        <f>IF(OR($H374="",$H374="N/A"),"",$G374)</f>
        <v/>
      </c>
      <c r="K374">
        <f>IF(OR($H374="",$H374="N/A"),"",$J374-$I374)</f>
        <v/>
      </c>
      <c r="L374">
        <f>IF($H374="","",IF($H374="N/A","N/A",IF(VALUE($H374)&lt;=1,"Critical",IF(VALUE($H374)&lt;=2,"High",IF(VALUE($H374)&lt;=3,"Medium",IF(VALUE($H374)&lt;=4,"Low","Resilient"))))))</f>
        <v/>
      </c>
      <c r="M374" t="inlineStr">
        <is>
          <t>No inventory/register exists.</t>
        </is>
      </c>
      <c r="N374" t="inlineStr">
        <is>
          <t>Partial lists live in individuals' heads or personal files.</t>
        </is>
      </c>
      <c r="O374" t="inlineStr">
        <is>
          <t>A register exists but is incomplete or outdated (&gt;1 year) and has no owner.</t>
        </is>
      </c>
      <c r="P374" t="inlineStr">
        <is>
          <t>Owned, documented, updated on a defined schedule, covers the main scope.</t>
        </is>
      </c>
      <c r="Q374" t="inlineStr">
        <is>
          <t>Complete and periodically reviewed; integrated with related processes; completeness measured.</t>
        </is>
      </c>
      <c r="R374" t="inlineStr">
        <is>
          <t>Maintained automatically or synced with systems; drives decisions; audited.</t>
        </is>
      </c>
      <c r="S374" t="inlineStr">
        <is>
          <t>Cyberattack; Data breach; Ransomware; Insider threat</t>
        </is>
      </c>
      <c r="T374">
        <f>'Assessment Questions'!W374</f>
        <v/>
      </c>
      <c r="U374">
        <f>'Assessment Questions'!X374</f>
        <v/>
      </c>
      <c r="V374">
        <f>'Assessment Questions'!Y374</f>
        <v/>
      </c>
      <c r="W374" t="n">
        <v>5</v>
      </c>
      <c r="X374" t="n">
        <v>5</v>
      </c>
      <c r="Y374" t="n">
        <v>5</v>
      </c>
      <c r="Z374">
        <f>'Assessment Questions'!AC374</f>
        <v/>
      </c>
      <c r="AA374" t="inlineStr">
        <is>
          <t>Identity and access</t>
        </is>
      </c>
      <c r="AB374">
        <f>COUNTIF($B$373:$B$406,$AA374)</f>
        <v/>
      </c>
      <c r="AC374">
        <f>IFERROR(SUMPRODUCT(($B$373:$B$406=$AA374)*($H$373:$H$406&lt;&gt;"")*($H$373:$H$406&lt;&gt;"N/A")*IFERROR(VALUE($H$373:$H$406),0))/SUMPRODUCT(($B$373:$B$406=$AA374)*($H$373:$H$406&lt;&gt;"")*($H$373:$H$406&lt;&gt;"N/A")),0)</f>
        <v/>
      </c>
      <c r="AD374">
        <f>AC374/5</f>
        <v/>
      </c>
      <c r="AE374">
        <f>COUNTIFS($B$373:$B$406,$AA374,$L$373:$L$406,"Critical")+COUNTIFS($B$373:$B$406,$AA374,$L$373:$L$406,"High")</f>
        <v/>
      </c>
      <c r="AF374">
        <f>5-AC374</f>
        <v/>
      </c>
      <c r="AG374">
        <f>SUMPRODUCT(($B$373:$B$406=$AA374)*(ISNUMBER($H$373:$H$406)+($H$373:$H$406="N/A")))</f>
        <v/>
      </c>
      <c r="AH374">
        <f>'Assessment Questions'!AK374</f>
        <v/>
      </c>
      <c r="AI374">
        <f>'Assessment Questions'!AL374</f>
        <v/>
      </c>
      <c r="AJ374">
        <f>IF(OR($H374="",$H374="N/A"),"",IF($AH374="",VLOOKUP('Company Profile'!$B$40,_CONFIG_Model_Settings!$A$5:$B$8,2,FALSE),_xlfn.IFNA(VLOOKUP($AH374,_CONFIG_Model_Settings!$A$5:$B$8,2,FALSE),0.9)))</f>
        <v/>
      </c>
      <c r="AK374">
        <f>IF(OR($H374="",$H374="N/A"),"",IF($AI374="",VLOOKUP('Company Profile'!$B$41,_CONFIG_Model_Settings!$A$5:$B$8,2,FALSE),_xlfn.IFNA(VLOOKUP($AI374,_CONFIG_Model_Settings!$A$5:$B$8,2,FALSE),0.9)))</f>
        <v/>
      </c>
      <c r="AL374">
        <f>IF(OR($H374="",$H374="N/A"),"",ROUND(VALUE($H374)*$AJ374*$AK374*$AV374,2))</f>
        <v/>
      </c>
      <c r="AM374">
        <f>IF($AL374="","",ROUND($AL374/5*100,1))</f>
        <v/>
      </c>
      <c r="AN374">
        <f>IFERROR(MIN(5,MAX(0,(SUMIFS(_REF_Model_Content!$D$1:$D$157,_REF_Model_Content!$A$1:$A$157,'Company Profile'!$B$9,_REF_Model_Content!$B$1:$B$157,"Cyber Privacy"))+_xlfn.IFNA(VLOOKUP('Company Profile'!$B$35,_CONFIG_Model_Settings!$A$11:$B$13,2,0),0))),"")</f>
        <v/>
      </c>
      <c r="AO374">
        <f>IF($AL374="","",MAX(0,ROUND($AN374-$AL374,2)))</f>
        <v/>
      </c>
      <c r="AP374">
        <f>IFERROR(SUMIFS(_REF_Model_Content!$E$1:$E$157,_REF_Model_Content!$A$1:$A$157,'Company Profile'!$B$9,_REF_Model_Content!$B$1:$B$157,"Cyber Privacy"),1)</f>
        <v/>
      </c>
      <c r="AQ374">
        <f>IF($AO374="","",ROUND($AO374*$AP374*($G374/5),2))</f>
        <v/>
      </c>
      <c r="AR374">
        <f>IF($AO374="","",IF($AO374&gt;=2,"Critical industry gap",IF($AO374&gt;=1,"High industry gap",IF($AO374&gt;=0.5,"Moderate industry gap","Within target"))))</f>
        <v/>
      </c>
      <c r="AS374">
        <f>IF(OR($H374="",$H374="N/A"),0,VALUE($H374)*(($AJ374+$AK374)/2)*$AV374)</f>
        <v/>
      </c>
      <c r="AT374">
        <f>IF(OR($H374="",$H374="N/A"),0,($AJ374+$AK374)/2)</f>
        <v/>
      </c>
      <c r="AU374">
        <f>'Assessment Questions'!AX374</f>
        <v/>
      </c>
      <c r="AV374">
        <f>IF(OR($H374="",$H374="N/A"),"",IF(OR($AU374="",$AU374="Everywhere",$AU374="Not applicable"),1,IF($AU374="Pilot / one team",0.4,IF($AU374="One unit or site",0.7,0.9))))</f>
        <v/>
      </c>
      <c r="AW374" t="inlineStr">
        <is>
          <t>Cyber Privacy</t>
        </is>
      </c>
      <c r="AX374" t="inlineStr">
        <is>
          <t>Cyber Privacy</t>
        </is>
      </c>
      <c r="AY374" t="n">
        <v>6</v>
      </c>
      <c r="AZ374" t="n">
        <v>374</v>
      </c>
    </row>
    <row r="375">
      <c r="A375" t="inlineStr">
        <is>
          <t>CYBE-003</t>
        </is>
      </c>
      <c r="B375" t="inlineStr">
        <is>
          <t>Security governance</t>
        </is>
      </c>
      <c r="C375" t="inlineStr">
        <is>
          <t>How mature is the organization in managing security KPI reporting to leadership covering vulnerabilities, incidents, MFA, phishing, backups and access reviews, including ownership, evidence, metrics, fallback procedures and crisis stress testing?</t>
        </is>
      </c>
      <c r="D375" t="inlineStr">
        <is>
          <t>This topic affects exposure to Cyberattack; Data breach; Ransomware; Insider threat. It helps identify how disruption may impact operations, people, revenue, systems, legal exposure or recovery time.</t>
        </is>
      </c>
      <c r="E375" t="inlineStr">
        <is>
          <t>ISO/IEC 27001; ISO/IEC 27002; NIST CSF 2.0; CIS Controls; ISO/IEC 27701; GDPR; IEC 62443</t>
        </is>
      </c>
      <c r="F375" t="inlineStr">
        <is>
          <t>Policy/SOP; owner/RACI; system report; dashboard; contracts; test records; incident history; interview evidence related to security KPI reporting to leadership covering vulnerabilities, incidents, MFA, phishing, backups and access reviews.</t>
        </is>
      </c>
      <c r="G375">
        <f>'Assessment Questions'!J375</f>
        <v/>
      </c>
      <c r="H375">
        <f>IF($Z375="","",IF($Z375="N/A","N/A",VALUE(LEFT($Z375,1))))</f>
        <v/>
      </c>
      <c r="I375">
        <f>IF($H375="","",IF($H375="N/A","",VALUE($H375)/5*$G375))</f>
        <v/>
      </c>
      <c r="J375">
        <f>IF(OR($H375="",$H375="N/A"),"",$G375)</f>
        <v/>
      </c>
      <c r="K375">
        <f>IF(OR($H375="",$H375="N/A"),"",$J375-$I375)</f>
        <v/>
      </c>
      <c r="L375">
        <f>IF($H375="","",IF($H375="N/A","N/A",IF(VALUE($H375)&lt;=1,"Critical",IF(VALUE($H375)&lt;=2,"High",IF(VALUE($H375)&lt;=3,"Medium",IF(VALUE($H375)&lt;=4,"Low","Resilient"))))))</f>
        <v/>
      </c>
      <c r="M375" t="inlineStr">
        <is>
          <t>Never performed.</t>
        </is>
      </c>
      <c r="N375" t="inlineStr">
        <is>
          <t>Performed once after an incident or audit finding.</t>
        </is>
      </c>
      <c r="O375" t="inlineStr">
        <is>
          <t>Performed irregularly; results not documented; revocations not verified.</t>
        </is>
      </c>
      <c r="P375" t="inlineStr">
        <is>
          <t>Performed at least annually for critical systems; revocations verified.</t>
        </is>
      </c>
      <c r="Q375" t="inlineStr">
        <is>
          <t>Performed quarterly for critical systems; exceptions tracked; tied to JML process.</t>
        </is>
      </c>
      <c r="R375" t="inlineStr">
        <is>
          <t>Automated recertification campaigns; continuous anomaly detection on entitlements.</t>
        </is>
      </c>
      <c r="S375" t="inlineStr">
        <is>
          <t>Cyberattack; Data breach; Ransomware; Insider threat</t>
        </is>
      </c>
      <c r="T375">
        <f>'Assessment Questions'!W375</f>
        <v/>
      </c>
      <c r="U375">
        <f>'Assessment Questions'!X375</f>
        <v/>
      </c>
      <c r="V375">
        <f>'Assessment Questions'!Y375</f>
        <v/>
      </c>
      <c r="W375" t="n">
        <v>5</v>
      </c>
      <c r="X375" t="n">
        <v>5</v>
      </c>
      <c r="Y375" t="n">
        <v>5</v>
      </c>
      <c r="Z375">
        <f>'Assessment Questions'!AC375</f>
        <v/>
      </c>
      <c r="AA375" t="inlineStr">
        <is>
          <t>Protection</t>
        </is>
      </c>
      <c r="AB375">
        <f>COUNTIF($B$373:$B$406,$AA375)</f>
        <v/>
      </c>
      <c r="AC375">
        <f>IFERROR(SUMPRODUCT(($B$373:$B$406=$AA375)*($H$373:$H$406&lt;&gt;"")*($H$373:$H$406&lt;&gt;"N/A")*IFERROR(VALUE($H$373:$H$406),0))/SUMPRODUCT(($B$373:$B$406=$AA375)*($H$373:$H$406&lt;&gt;"")*($H$373:$H$406&lt;&gt;"N/A")),0)</f>
        <v/>
      </c>
      <c r="AD375">
        <f>AC375/5</f>
        <v/>
      </c>
      <c r="AE375">
        <f>COUNTIFS($B$373:$B$406,$AA375,$L$373:$L$406,"Critical")+COUNTIFS($B$373:$B$406,$AA375,$L$373:$L$406,"High")</f>
        <v/>
      </c>
      <c r="AF375">
        <f>5-AC375</f>
        <v/>
      </c>
      <c r="AG375">
        <f>SUMPRODUCT(($B$373:$B$406=$AA375)*(ISNUMBER($H$373:$H$406)+($H$373:$H$406="N/A")))</f>
        <v/>
      </c>
      <c r="AH375">
        <f>'Assessment Questions'!AK375</f>
        <v/>
      </c>
      <c r="AI375">
        <f>'Assessment Questions'!AL375</f>
        <v/>
      </c>
      <c r="AJ375">
        <f>IF(OR($H375="",$H375="N/A"),"",IF($AH375="",VLOOKUP('Company Profile'!$B$40,_CONFIG_Model_Settings!$A$5:$B$8,2,FALSE),_xlfn.IFNA(VLOOKUP($AH375,_CONFIG_Model_Settings!$A$5:$B$8,2,FALSE),0.9)))</f>
        <v/>
      </c>
      <c r="AK375">
        <f>IF(OR($H375="",$H375="N/A"),"",IF($AI375="",VLOOKUP('Company Profile'!$B$41,_CONFIG_Model_Settings!$A$5:$B$8,2,FALSE),_xlfn.IFNA(VLOOKUP($AI375,_CONFIG_Model_Settings!$A$5:$B$8,2,FALSE),0.9)))</f>
        <v/>
      </c>
      <c r="AL375">
        <f>IF(OR($H375="",$H375="N/A"),"",ROUND(VALUE($H375)*$AJ375*$AK375*$AV375,2))</f>
        <v/>
      </c>
      <c r="AM375">
        <f>IF($AL375="","",ROUND($AL375/5*100,1))</f>
        <v/>
      </c>
      <c r="AN375">
        <f>IFERROR(MIN(5,MAX(0,(SUMIFS(_REF_Model_Content!$D$1:$D$157,_REF_Model_Content!$A$1:$A$157,'Company Profile'!$B$9,_REF_Model_Content!$B$1:$B$157,"Cyber Privacy"))+_xlfn.IFNA(VLOOKUP('Company Profile'!$B$35,_CONFIG_Model_Settings!$A$11:$B$13,2,0),0))),"")</f>
        <v/>
      </c>
      <c r="AO375">
        <f>IF($AL375="","",MAX(0,ROUND($AN375-$AL375,2)))</f>
        <v/>
      </c>
      <c r="AP375">
        <f>IFERROR(SUMIFS(_REF_Model_Content!$E$1:$E$157,_REF_Model_Content!$A$1:$A$157,'Company Profile'!$B$9,_REF_Model_Content!$B$1:$B$157,"Cyber Privacy"),1)</f>
        <v/>
      </c>
      <c r="AQ375">
        <f>IF($AO375="","",ROUND($AO375*$AP375*($G375/5),2))</f>
        <v/>
      </c>
      <c r="AR375">
        <f>IF($AO375="","",IF($AO375&gt;=2,"Critical industry gap",IF($AO375&gt;=1,"High industry gap",IF($AO375&gt;=0.5,"Moderate industry gap","Within target"))))</f>
        <v/>
      </c>
      <c r="AS375">
        <f>IF(OR($H375="",$H375="N/A"),0,VALUE($H375)*(($AJ375+$AK375)/2)*$AV375)</f>
        <v/>
      </c>
      <c r="AT375">
        <f>IF(OR($H375="",$H375="N/A"),0,($AJ375+$AK375)/2)</f>
        <v/>
      </c>
      <c r="AU375">
        <f>'Assessment Questions'!AX375</f>
        <v/>
      </c>
      <c r="AV375">
        <f>IF(OR($H375="",$H375="N/A"),"",IF(OR($AU375="",$AU375="Everywhere",$AU375="Not applicable"),1,IF($AU375="Pilot / one team",0.4,IF($AU375="One unit or site",0.7,0.9))))</f>
        <v/>
      </c>
      <c r="AW375" t="inlineStr">
        <is>
          <t>Cyber Privacy</t>
        </is>
      </c>
      <c r="AX375" t="inlineStr">
        <is>
          <t>Cyber Privacy</t>
        </is>
      </c>
      <c r="AY375" t="n">
        <v>7</v>
      </c>
      <c r="AZ375" t="n">
        <v>375</v>
      </c>
    </row>
    <row r="376">
      <c r="A376" t="inlineStr">
        <is>
          <t>CYBE-004</t>
        </is>
      </c>
      <c r="B376" t="inlineStr">
        <is>
          <t>Security governance</t>
        </is>
      </c>
      <c r="C376" t="inlineStr">
        <is>
          <t>How mature is the organization in managing security evidence readiness for customers, regulators, insurers and partners, including ownership, evidence, metrics, fallback procedures and crisis stress testing?</t>
        </is>
      </c>
      <c r="D376" t="inlineStr">
        <is>
          <t>This topic affects exposure to Cyberattack; Data breach; Ransomware; Insider threat. It helps identify how disruption may impact operations, people, revenue, systems, legal exposure or recovery time.</t>
        </is>
      </c>
      <c r="E376" t="inlineStr">
        <is>
          <t>ISO/IEC 27001; ISO/IEC 27002; NIST CSF 2.0; CIS Controls; ISO/IEC 27701; GDPR; IEC 62443</t>
        </is>
      </c>
      <c r="F376" t="inlineStr">
        <is>
          <t>Policy/SOP; owner/RACI; system report; dashboard; contracts; test records; incident history; interview evidence related to security evidence readiness for customers, regulators, insurers and partners.</t>
        </is>
      </c>
      <c r="G376">
        <f>'Assessment Questions'!J376</f>
        <v/>
      </c>
      <c r="H376">
        <f>IF($Z376="","",IF($Z376="N/A","N/A",VALUE(LEFT($Z376,1))))</f>
        <v/>
      </c>
      <c r="I376">
        <f>IF($H376="","",IF($H376="N/A","",VALUE($H376)/5*$G376))</f>
        <v/>
      </c>
      <c r="J376">
        <f>IF(OR($H376="",$H376="N/A"),"",$G376)</f>
        <v/>
      </c>
      <c r="K376">
        <f>IF(OR($H376="",$H376="N/A"),"",$J376-$I376)</f>
        <v/>
      </c>
      <c r="L376">
        <f>IF($H376="","",IF($H376="N/A","N/A",IF(VALUE($H376)&lt;=1,"Critical",IF(VALUE($H376)&lt;=2,"High",IF(VALUE($H376)&lt;=3,"Medium",IF(VALUE($H376)&lt;=4,"Low","Resilient"))))))</f>
        <v/>
      </c>
      <c r="M376" t="inlineStr">
        <is>
          <t>No reliable evidence that security evidence readiness for customers, regulators, insurers and partners is defined, owned or managed.</t>
        </is>
      </c>
      <c r="N376" t="inlineStr">
        <is>
          <t>Security evidence readiness for customers, regulators, insurers and partners is handled informally and depends on individual knowledge or heroic effort.</t>
        </is>
      </c>
      <c r="O376" t="inlineStr">
        <is>
          <t>Security evidence readiness for customers, regulators, insurers and partners is partially documented or implemented, but coverage is inconsistent and not crisis-tested.</t>
        </is>
      </c>
      <c r="P376" t="inlineStr">
        <is>
          <t>Security evidence readiness for customers, regulators, insurers and partners is documented, owned, used in normal operations and supported by basic evidence or metrics.</t>
        </is>
      </c>
      <c r="Q376" t="inlineStr">
        <is>
          <t>Security evidence readiness for customers, regulators, insurers and partners is measured, periodically reviewed, integrated with related processes and tested against relevant disruption scenarios.</t>
        </is>
      </c>
      <c r="R376" t="inlineStr">
        <is>
          <t>Security evidence readiness for customers, regulators, insurers and partners is optimized, continuously improved, automated where practical and demonstrably supports crisis resilience.</t>
        </is>
      </c>
      <c r="S376" t="inlineStr">
        <is>
          <t>Cyberattack; Data breach; Ransomware; Insider threat</t>
        </is>
      </c>
      <c r="T376">
        <f>'Assessment Questions'!W376</f>
        <v/>
      </c>
      <c r="U376">
        <f>'Assessment Questions'!X376</f>
        <v/>
      </c>
      <c r="V376">
        <f>'Assessment Questions'!Y376</f>
        <v/>
      </c>
      <c r="W376" t="n">
        <v>5</v>
      </c>
      <c r="X376" t="n">
        <v>5</v>
      </c>
      <c r="Y376" t="n">
        <v>5</v>
      </c>
      <c r="Z376">
        <f>'Assessment Questions'!AC376</f>
        <v/>
      </c>
      <c r="AA376" t="inlineStr">
        <is>
          <t>Detection and response</t>
        </is>
      </c>
      <c r="AB376">
        <f>COUNTIF($B$373:$B$406,$AA376)</f>
        <v/>
      </c>
      <c r="AC376">
        <f>IFERROR(SUMPRODUCT(($B$373:$B$406=$AA376)*($H$373:$H$406&lt;&gt;"")*($H$373:$H$406&lt;&gt;"N/A")*IFERROR(VALUE($H$373:$H$406),0))/SUMPRODUCT(($B$373:$B$406=$AA376)*($H$373:$H$406&lt;&gt;"")*($H$373:$H$406&lt;&gt;"N/A")),0)</f>
        <v/>
      </c>
      <c r="AD376">
        <f>AC376/5</f>
        <v/>
      </c>
      <c r="AE376">
        <f>COUNTIFS($B$373:$B$406,$AA376,$L$373:$L$406,"Critical")+COUNTIFS($B$373:$B$406,$AA376,$L$373:$L$406,"High")</f>
        <v/>
      </c>
      <c r="AF376">
        <f>5-AC376</f>
        <v/>
      </c>
      <c r="AG376">
        <f>SUMPRODUCT(($B$373:$B$406=$AA376)*(ISNUMBER($H$373:$H$406)+($H$373:$H$406="N/A")))</f>
        <v/>
      </c>
      <c r="AH376">
        <f>'Assessment Questions'!AK376</f>
        <v/>
      </c>
      <c r="AI376">
        <f>'Assessment Questions'!AL376</f>
        <v/>
      </c>
      <c r="AJ376">
        <f>IF(OR($H376="",$H376="N/A"),"",IF($AH376="",VLOOKUP('Company Profile'!$B$40,_CONFIG_Model_Settings!$A$5:$B$8,2,FALSE),_xlfn.IFNA(VLOOKUP($AH376,_CONFIG_Model_Settings!$A$5:$B$8,2,FALSE),0.9)))</f>
        <v/>
      </c>
      <c r="AK376">
        <f>IF(OR($H376="",$H376="N/A"),"",IF($AI376="",VLOOKUP('Company Profile'!$B$41,_CONFIG_Model_Settings!$A$5:$B$8,2,FALSE),_xlfn.IFNA(VLOOKUP($AI376,_CONFIG_Model_Settings!$A$5:$B$8,2,FALSE),0.9)))</f>
        <v/>
      </c>
      <c r="AL376">
        <f>IF(OR($H376="",$H376="N/A"),"",ROUND(VALUE($H376)*$AJ376*$AK376*$AV376,2))</f>
        <v/>
      </c>
      <c r="AM376">
        <f>IF($AL376="","",ROUND($AL376/5*100,1))</f>
        <v/>
      </c>
      <c r="AN376">
        <f>IFERROR(MIN(5,MAX(0,(SUMIFS(_REF_Model_Content!$D$1:$D$157,_REF_Model_Content!$A$1:$A$157,'Company Profile'!$B$9,_REF_Model_Content!$B$1:$B$157,"Cyber Privacy"))+_xlfn.IFNA(VLOOKUP('Company Profile'!$B$35,_CONFIG_Model_Settings!$A$11:$B$13,2,0),0))),"")</f>
        <v/>
      </c>
      <c r="AO376">
        <f>IF($AL376="","",MAX(0,ROUND($AN376-$AL376,2)))</f>
        <v/>
      </c>
      <c r="AP376">
        <f>IFERROR(SUMIFS(_REF_Model_Content!$E$1:$E$157,_REF_Model_Content!$A$1:$A$157,'Company Profile'!$B$9,_REF_Model_Content!$B$1:$B$157,"Cyber Privacy"),1)</f>
        <v/>
      </c>
      <c r="AQ376">
        <f>IF($AO376="","",ROUND($AO376*$AP376*($G376/5),2))</f>
        <v/>
      </c>
      <c r="AR376">
        <f>IF($AO376="","",IF($AO376&gt;=2,"Critical industry gap",IF($AO376&gt;=1,"High industry gap",IF($AO376&gt;=0.5,"Moderate industry gap","Within target"))))</f>
        <v/>
      </c>
      <c r="AS376">
        <f>IF(OR($H376="",$H376="N/A"),0,VALUE($H376)*(($AJ376+$AK376)/2)*$AV376)</f>
        <v/>
      </c>
      <c r="AT376">
        <f>IF(OR($H376="",$H376="N/A"),0,($AJ376+$AK376)/2)</f>
        <v/>
      </c>
      <c r="AU376">
        <f>'Assessment Questions'!AX376</f>
        <v/>
      </c>
      <c r="AV376">
        <f>IF(OR($H376="",$H376="N/A"),"",IF(OR($AU376="",$AU376="Everywhere",$AU376="Not applicable"),1,IF($AU376="Pilot / one team",0.4,IF($AU376="One unit or site",0.7,0.9))))</f>
        <v/>
      </c>
      <c r="AW376" t="inlineStr">
        <is>
          <t>Cyber Privacy</t>
        </is>
      </c>
      <c r="AX376" t="inlineStr">
        <is>
          <t>Cyber Privacy</t>
        </is>
      </c>
      <c r="AY376" t="n">
        <v>8</v>
      </c>
      <c r="AZ376" t="n">
        <v>376</v>
      </c>
    </row>
    <row r="377">
      <c r="A377" t="inlineStr">
        <is>
          <t>CYBE-005</t>
        </is>
      </c>
      <c r="B377" t="inlineStr">
        <is>
          <t>Security governance</t>
        </is>
      </c>
      <c r="C377" t="inlineStr">
        <is>
          <t>How mature is the organization in managing third-party cyber risk assessment for critical vendors and outsourced services, including ownership, evidence, metrics, fallback procedures and crisis stress testing?</t>
        </is>
      </c>
      <c r="D377" t="inlineStr">
        <is>
          <t>This topic affects exposure to Cyberattack; Data breach; Ransomware; Insider threat. It helps identify how disruption may impact operations, people, revenue, systems, legal exposure or recovery time.</t>
        </is>
      </c>
      <c r="E377" t="inlineStr">
        <is>
          <t>ISO/IEC 27001; ISO/IEC 27002; NIST CSF 2.0; CIS Controls; ISO/IEC 27701; GDPR; IEC 62443</t>
        </is>
      </c>
      <c r="F377" t="inlineStr">
        <is>
          <t>Policy/SOP; owner/RACI; system report; dashboard; contracts; test records; incident history; interview evidence related to third-party cyber risk assessment for critical vendors and outsourced services.</t>
        </is>
      </c>
      <c r="G377">
        <f>'Assessment Questions'!J377</f>
        <v/>
      </c>
      <c r="H377">
        <f>IF($Z377="","",IF($Z377="N/A","N/A",VALUE(LEFT($Z377,1))))</f>
        <v/>
      </c>
      <c r="I377">
        <f>IF($H377="","",IF($H377="N/A","",VALUE($H377)/5*$G377))</f>
        <v/>
      </c>
      <c r="J377">
        <f>IF(OR($H377="",$H377="N/A"),"",$G377)</f>
        <v/>
      </c>
      <c r="K377">
        <f>IF(OR($H377="",$H377="N/A"),"",$J377-$I377)</f>
        <v/>
      </c>
      <c r="L377">
        <f>IF($H377="","",IF($H377="N/A","N/A",IF(VALUE($H377)&lt;=1,"Critical",IF(VALUE($H377)&lt;=2,"High",IF(VALUE($H377)&lt;=3,"Medium",IF(VALUE($H377)&lt;=4,"Low","Resilient"))))))</f>
        <v/>
      </c>
      <c r="M377" t="inlineStr">
        <is>
          <t>Does not exist; no owner, no documentation, no practice.</t>
        </is>
      </c>
      <c r="N377" t="inlineStr">
        <is>
          <t>Ad hoc; depends entirely on specific individuals.</t>
        </is>
      </c>
      <c r="O377" t="inlineStr">
        <is>
          <t>Partially documented or implemented; coverage inconsistent; never tested under stress.</t>
        </is>
      </c>
      <c r="P377" t="inlineStr">
        <is>
          <t>Documented, owned, executed consistently; basic evidence and metrics exist.</t>
        </is>
      </c>
      <c r="Q377" t="inlineStr">
        <is>
          <t>Measured and periodically tested/audited; integrated with adjacent processes.</t>
        </is>
      </c>
      <c r="R377" t="inlineStr">
        <is>
          <t>Optimized and automated where practical; stress-tested; benchmarked externally.</t>
        </is>
      </c>
      <c r="S377" t="inlineStr">
        <is>
          <t>Cyberattack; Data breach; Ransomware; Insider threat</t>
        </is>
      </c>
      <c r="T377">
        <f>'Assessment Questions'!W377</f>
        <v/>
      </c>
      <c r="U377">
        <f>'Assessment Questions'!X377</f>
        <v/>
      </c>
      <c r="V377">
        <f>'Assessment Questions'!Y377</f>
        <v/>
      </c>
      <c r="W377" t="n">
        <v>5</v>
      </c>
      <c r="X377" t="n">
        <v>5</v>
      </c>
      <c r="Y377" t="n">
        <v>5</v>
      </c>
      <c r="Z377">
        <f>'Assessment Questions'!AC377</f>
        <v/>
      </c>
      <c r="AA377" t="inlineStr">
        <is>
          <t>Application and OT security</t>
        </is>
      </c>
      <c r="AB377">
        <f>COUNTIF($B$373:$B$406,$AA377)</f>
        <v/>
      </c>
      <c r="AC377">
        <f>IFERROR(SUMPRODUCT(($B$373:$B$406=$AA377)*($H$373:$H$406&lt;&gt;"")*($H$373:$H$406&lt;&gt;"N/A")*IFERROR(VALUE($H$373:$H$406),0))/SUMPRODUCT(($B$373:$B$406=$AA377)*($H$373:$H$406&lt;&gt;"")*($H$373:$H$406&lt;&gt;"N/A")),0)</f>
        <v/>
      </c>
      <c r="AD377">
        <f>AC377/5</f>
        <v/>
      </c>
      <c r="AE377">
        <f>COUNTIFS($B$373:$B$406,$AA377,$L$373:$L$406,"Critical")+COUNTIFS($B$373:$B$406,$AA377,$L$373:$L$406,"High")</f>
        <v/>
      </c>
      <c r="AF377">
        <f>5-AC377</f>
        <v/>
      </c>
      <c r="AG377">
        <f>SUMPRODUCT(($B$373:$B$406=$AA377)*(ISNUMBER($H$373:$H$406)+($H$373:$H$406="N/A")))</f>
        <v/>
      </c>
      <c r="AH377">
        <f>'Assessment Questions'!AK377</f>
        <v/>
      </c>
      <c r="AI377">
        <f>'Assessment Questions'!AL377</f>
        <v/>
      </c>
      <c r="AJ377">
        <f>IF(OR($H377="",$H377="N/A"),"",IF($AH377="",VLOOKUP('Company Profile'!$B$40,_CONFIG_Model_Settings!$A$5:$B$8,2,FALSE),_xlfn.IFNA(VLOOKUP($AH377,_CONFIG_Model_Settings!$A$5:$B$8,2,FALSE),0.9)))</f>
        <v/>
      </c>
      <c r="AK377">
        <f>IF(OR($H377="",$H377="N/A"),"",IF($AI377="",VLOOKUP('Company Profile'!$B$41,_CONFIG_Model_Settings!$A$5:$B$8,2,FALSE),_xlfn.IFNA(VLOOKUP($AI377,_CONFIG_Model_Settings!$A$5:$B$8,2,FALSE),0.9)))</f>
        <v/>
      </c>
      <c r="AL377">
        <f>IF(OR($H377="",$H377="N/A"),"",ROUND(VALUE($H377)*$AJ377*$AK377*$AV377,2))</f>
        <v/>
      </c>
      <c r="AM377">
        <f>IF($AL377="","",ROUND($AL377/5*100,1))</f>
        <v/>
      </c>
      <c r="AN377">
        <f>IFERROR(MIN(5,MAX(0,(SUMIFS(_REF_Model_Content!$D$1:$D$157,_REF_Model_Content!$A$1:$A$157,'Company Profile'!$B$9,_REF_Model_Content!$B$1:$B$157,"Cyber Privacy"))+_xlfn.IFNA(VLOOKUP('Company Profile'!$B$35,_CONFIG_Model_Settings!$A$11:$B$13,2,0),0))),"")</f>
        <v/>
      </c>
      <c r="AO377">
        <f>IF($AL377="","",MAX(0,ROUND($AN377-$AL377,2)))</f>
        <v/>
      </c>
      <c r="AP377">
        <f>IFERROR(SUMIFS(_REF_Model_Content!$E$1:$E$157,_REF_Model_Content!$A$1:$A$157,'Company Profile'!$B$9,_REF_Model_Content!$B$1:$B$157,"Cyber Privacy"),1)</f>
        <v/>
      </c>
      <c r="AQ377">
        <f>IF($AO377="","",ROUND($AO377*$AP377*($G377/5),2))</f>
        <v/>
      </c>
      <c r="AR377">
        <f>IF($AO377="","",IF($AO377&gt;=2,"Critical industry gap",IF($AO377&gt;=1,"High industry gap",IF($AO377&gt;=0.5,"Moderate industry gap","Within target"))))</f>
        <v/>
      </c>
      <c r="AS377">
        <f>IF(OR($H377="",$H377="N/A"),0,VALUE($H377)*(($AJ377+$AK377)/2)*$AV377)</f>
        <v/>
      </c>
      <c r="AT377">
        <f>IF(OR($H377="",$H377="N/A"),0,($AJ377+$AK377)/2)</f>
        <v/>
      </c>
      <c r="AU377">
        <f>'Assessment Questions'!AX377</f>
        <v/>
      </c>
      <c r="AV377">
        <f>IF(OR($H377="",$H377="N/A"),"",IF(OR($AU377="",$AU377="Everywhere",$AU377="Not applicable"),1,IF($AU377="Pilot / one team",0.4,IF($AU377="One unit or site",0.7,0.9))))</f>
        <v/>
      </c>
      <c r="AW377" t="inlineStr">
        <is>
          <t>Cyber Privacy</t>
        </is>
      </c>
      <c r="AX377" t="inlineStr">
        <is>
          <t>Cyber Privacy</t>
        </is>
      </c>
      <c r="AY377" t="n">
        <v>9</v>
      </c>
      <c r="AZ377" t="n">
        <v>377</v>
      </c>
    </row>
    <row r="378">
      <c r="A378" t="inlineStr">
        <is>
          <t>CYBE-006</t>
        </is>
      </c>
      <c r="B378" t="inlineStr">
        <is>
          <t>Security governance</t>
        </is>
      </c>
      <c r="C378" t="inlineStr">
        <is>
          <t>How mature is the organization in managing security awareness and phishing training for employees and contractors, including ownership, evidence, metrics, fallback procedures and crisis stress testing?</t>
        </is>
      </c>
      <c r="D378" t="inlineStr">
        <is>
          <t>This topic affects exposure to Cyberattack; Data breach; Ransomware; Insider threat. It helps identify how disruption may impact operations, people, revenue, systems, legal exposure or recovery time.</t>
        </is>
      </c>
      <c r="E378" t="inlineStr">
        <is>
          <t>ISO/IEC 27001; ISO/IEC 27002; NIST CSF 2.0; CIS Controls; ISO/IEC 27701; GDPR; IEC 62443</t>
        </is>
      </c>
      <c r="F378" t="inlineStr">
        <is>
          <t>Policy/SOP; owner/RACI; system report; dashboard; contracts; test records; incident history; interview evidence related to security awareness and phishing training for employees and contractors.</t>
        </is>
      </c>
      <c r="G378">
        <f>'Assessment Questions'!J378</f>
        <v/>
      </c>
      <c r="H378">
        <f>IF($Z378="","",IF($Z378="N/A","N/A",VALUE(LEFT($Z378,1))))</f>
        <v/>
      </c>
      <c r="I378">
        <f>IF($H378="","",IF($H378="N/A","",VALUE($H378)/5*$G378))</f>
        <v/>
      </c>
      <c r="J378">
        <f>IF(OR($H378="",$H378="N/A"),"",$G378)</f>
        <v/>
      </c>
      <c r="K378">
        <f>IF(OR($H378="",$H378="N/A"),"",$J378-$I378)</f>
        <v/>
      </c>
      <c r="L378">
        <f>IF($H378="","",IF($H378="N/A","N/A",IF(VALUE($H378)&lt;=1,"Critical",IF(VALUE($H378)&lt;=2,"High",IF(VALUE($H378)&lt;=3,"Medium",IF(VALUE($H378)&lt;=4,"Low","Resilient"))))))</f>
        <v/>
      </c>
      <c r="M378" t="inlineStr">
        <is>
          <t>Never done; no records exist.</t>
        </is>
      </c>
      <c r="N378" t="inlineStr">
        <is>
          <t>Done once long ago or only after an incident; no schedule, no records.</t>
        </is>
      </c>
      <c r="O378" t="inlineStr">
        <is>
          <t>Done irregularly; results are not documented and findings are not tracked.</t>
        </is>
      </c>
      <c r="P378" t="inlineStr">
        <is>
          <t>Done on a defined schedule (at least annually); results documented, owner assigned.</t>
        </is>
      </c>
      <c r="Q378" t="inlineStr">
        <is>
          <t>Done quarterly/semi-annually; findings tracked to closure, effectiveness measured against targets.</t>
        </is>
      </c>
      <c r="R378" t="inlineStr">
        <is>
          <t>Continuous or automated where possible; results drive improvements and are validated externally (audit/customer).</t>
        </is>
      </c>
      <c r="S378" t="inlineStr">
        <is>
          <t>Cyberattack; Data breach; Ransomware; Insider threat</t>
        </is>
      </c>
      <c r="T378">
        <f>'Assessment Questions'!W378</f>
        <v/>
      </c>
      <c r="U378">
        <f>'Assessment Questions'!X378</f>
        <v/>
      </c>
      <c r="V378">
        <f>'Assessment Questions'!Y378</f>
        <v/>
      </c>
      <c r="W378" t="n">
        <v>5</v>
      </c>
      <c r="X378" t="n">
        <v>5</v>
      </c>
      <c r="Y378" t="n">
        <v>5</v>
      </c>
      <c r="Z378">
        <f>'Assessment Questions'!AC378</f>
        <v/>
      </c>
      <c r="AA378" t="inlineStr">
        <is>
          <t>Privacy</t>
        </is>
      </c>
      <c r="AB378">
        <f>COUNTIF($B$373:$B$406,$AA378)</f>
        <v/>
      </c>
      <c r="AC378">
        <f>IFERROR(SUMPRODUCT(($B$373:$B$406=$AA378)*($H$373:$H$406&lt;&gt;"")*($H$373:$H$406&lt;&gt;"N/A")*IFERROR(VALUE($H$373:$H$406),0))/SUMPRODUCT(($B$373:$B$406=$AA378)*($H$373:$H$406&lt;&gt;"")*($H$373:$H$406&lt;&gt;"N/A")),0)</f>
        <v/>
      </c>
      <c r="AD378">
        <f>AC378/5</f>
        <v/>
      </c>
      <c r="AE378">
        <f>COUNTIFS($B$373:$B$406,$AA378,$L$373:$L$406,"Critical")+COUNTIFS($B$373:$B$406,$AA378,$L$373:$L$406,"High")</f>
        <v/>
      </c>
      <c r="AF378">
        <f>5-AC378</f>
        <v/>
      </c>
      <c r="AG378">
        <f>SUMPRODUCT(($B$373:$B$406=$AA378)*(ISNUMBER($H$373:$H$406)+($H$373:$H$406="N/A")))</f>
        <v/>
      </c>
      <c r="AH378">
        <f>'Assessment Questions'!AK378</f>
        <v/>
      </c>
      <c r="AI378">
        <f>'Assessment Questions'!AL378</f>
        <v/>
      </c>
      <c r="AJ378">
        <f>IF(OR($H378="",$H378="N/A"),"",IF($AH378="",VLOOKUP('Company Profile'!$B$40,_CONFIG_Model_Settings!$A$5:$B$8,2,FALSE),_xlfn.IFNA(VLOOKUP($AH378,_CONFIG_Model_Settings!$A$5:$B$8,2,FALSE),0.9)))</f>
        <v/>
      </c>
      <c r="AK378">
        <f>IF(OR($H378="",$H378="N/A"),"",IF($AI378="",VLOOKUP('Company Profile'!$B$41,_CONFIG_Model_Settings!$A$5:$B$8,2,FALSE),_xlfn.IFNA(VLOOKUP($AI378,_CONFIG_Model_Settings!$A$5:$B$8,2,FALSE),0.9)))</f>
        <v/>
      </c>
      <c r="AL378">
        <f>IF(OR($H378="",$H378="N/A"),"",ROUND(VALUE($H378)*$AJ378*$AK378*$AV378,2))</f>
        <v/>
      </c>
      <c r="AM378">
        <f>IF($AL378="","",ROUND($AL378/5*100,1))</f>
        <v/>
      </c>
      <c r="AN378">
        <f>IFERROR(MIN(5,MAX(0,(SUMIFS(_REF_Model_Content!$D$1:$D$157,_REF_Model_Content!$A$1:$A$157,'Company Profile'!$B$9,_REF_Model_Content!$B$1:$B$157,"Cyber Privacy"))+_xlfn.IFNA(VLOOKUP('Company Profile'!$B$35,_CONFIG_Model_Settings!$A$11:$B$13,2,0),0))),"")</f>
        <v/>
      </c>
      <c r="AO378">
        <f>IF($AL378="","",MAX(0,ROUND($AN378-$AL378,2)))</f>
        <v/>
      </c>
      <c r="AP378">
        <f>IFERROR(SUMIFS(_REF_Model_Content!$E$1:$E$157,_REF_Model_Content!$A$1:$A$157,'Company Profile'!$B$9,_REF_Model_Content!$B$1:$B$157,"Cyber Privacy"),1)</f>
        <v/>
      </c>
      <c r="AQ378">
        <f>IF($AO378="","",ROUND($AO378*$AP378*($G378/5),2))</f>
        <v/>
      </c>
      <c r="AR378">
        <f>IF($AO378="","",IF($AO378&gt;=2,"Critical industry gap",IF($AO378&gt;=1,"High industry gap",IF($AO378&gt;=0.5,"Moderate industry gap","Within target"))))</f>
        <v/>
      </c>
      <c r="AS378">
        <f>IF(OR($H378="",$H378="N/A"),0,VALUE($H378)*(($AJ378+$AK378)/2)*$AV378)</f>
        <v/>
      </c>
      <c r="AT378">
        <f>IF(OR($H378="",$H378="N/A"),0,($AJ378+$AK378)/2)</f>
        <v/>
      </c>
      <c r="AU378">
        <f>'Assessment Questions'!AX378</f>
        <v/>
      </c>
      <c r="AV378">
        <f>IF(OR($H378="",$H378="N/A"),"",IF(OR($AU378="",$AU378="Everywhere",$AU378="Not applicable"),1,IF($AU378="Pilot / one team",0.4,IF($AU378="One unit or site",0.7,0.9))))</f>
        <v/>
      </c>
      <c r="AW378" t="inlineStr">
        <is>
          <t>Cyber Privacy</t>
        </is>
      </c>
      <c r="AX378" t="inlineStr">
        <is>
          <t>Cyber Privacy</t>
        </is>
      </c>
      <c r="AY378" t="n">
        <v>10</v>
      </c>
      <c r="AZ378" t="n">
        <v>378</v>
      </c>
    </row>
    <row r="379">
      <c r="A379" t="inlineStr">
        <is>
          <t>CYBE-007</t>
        </is>
      </c>
      <c r="B379" t="inlineStr">
        <is>
          <t>Identity and access</t>
        </is>
      </c>
      <c r="C379" t="inlineStr">
        <is>
          <t>How mature is the organization in managing joiner-mover-leaver access lifecycle across systems, SaaS and physical access, including ownership, evidence, metrics, fallback procedures and crisis stress testing?</t>
        </is>
      </c>
      <c r="D379" t="inlineStr">
        <is>
          <t>This topic affects exposure to Cyberattack; Data breach; Ransomware; Insider threat. It helps identify how disruption may impact operations, people, revenue, systems, legal exposure or recovery time.</t>
        </is>
      </c>
      <c r="E379" t="inlineStr">
        <is>
          <t>ISO/IEC 27001; ISO/IEC 27002; NIST CSF 2.0; CIS Controls; ISO/IEC 27701; GDPR; IEC 62443</t>
        </is>
      </c>
      <c r="F379" t="inlineStr">
        <is>
          <t>Policy/SOP; owner/RACI; system report; dashboard; contracts; test records; incident history; interview evidence related to joiner-mover-leaver access lifecycle across systems, SaaS and physical access.</t>
        </is>
      </c>
      <c r="G379">
        <f>'Assessment Questions'!J379</f>
        <v/>
      </c>
      <c r="H379">
        <f>IF($Z379="","",IF($Z379="N/A","N/A",VALUE(LEFT($Z379,1))))</f>
        <v/>
      </c>
      <c r="I379">
        <f>IF($H379="","",IF($H379="N/A","",VALUE($H379)/5*$G379))</f>
        <v/>
      </c>
      <c r="J379">
        <f>IF(OR($H379="",$H379="N/A"),"",$G379)</f>
        <v/>
      </c>
      <c r="K379">
        <f>IF(OR($H379="",$H379="N/A"),"",$J379-$I379)</f>
        <v/>
      </c>
      <c r="L379">
        <f>IF($H379="","",IF($H379="N/A","N/A",IF(VALUE($H379)&lt;=1,"Critical",IF(VALUE($H379)&lt;=2,"High",IF(VALUE($H379)&lt;=3,"Medium",IF(VALUE($H379)&lt;=4,"Low","Resilient"))))))</f>
        <v/>
      </c>
      <c r="M379" t="inlineStr">
        <is>
          <t>No reliable evidence that joiner-mover-leaver access lifecycle across systems, saas and physical access is defined, owned or managed.</t>
        </is>
      </c>
      <c r="N379" t="inlineStr">
        <is>
          <t>Joiner-mover-leaver access lifecycle across systems, SaaS and physical access is handled informally and depends on individual knowledge or heroic effort.</t>
        </is>
      </c>
      <c r="O379" t="inlineStr">
        <is>
          <t>Joiner-mover-leaver access lifecycle across systems, SaaS and physical access is partially documented or implemented, but coverage is inconsistent and not crisis-tested.</t>
        </is>
      </c>
      <c r="P379" t="inlineStr">
        <is>
          <t>Joiner-mover-leaver access lifecycle across systems, SaaS and physical access is documented, owned, used in normal operations and supported by basic evidence or metrics.</t>
        </is>
      </c>
      <c r="Q379" t="inlineStr">
        <is>
          <t>Joiner-mover-leaver access lifecycle across systems, SaaS and physical access is measured, periodically reviewed, integrated with related processes and tested against relevant disruption scenarios.</t>
        </is>
      </c>
      <c r="R379" t="inlineStr">
        <is>
          <t>Joiner-mover-leaver access lifecycle across systems, SaaS and physical access is optimized, continuously improved, automated where practical and demonstrably supports crisis resilience.</t>
        </is>
      </c>
      <c r="S379" t="inlineStr">
        <is>
          <t>Cyberattack; Data breach; Ransomware; Insider threat</t>
        </is>
      </c>
      <c r="T379">
        <f>'Assessment Questions'!W379</f>
        <v/>
      </c>
      <c r="U379">
        <f>'Assessment Questions'!X379</f>
        <v/>
      </c>
      <c r="V379">
        <f>'Assessment Questions'!Y379</f>
        <v/>
      </c>
      <c r="W379" t="n">
        <v>5</v>
      </c>
      <c r="X379" t="n">
        <v>5</v>
      </c>
      <c r="Y379" t="n">
        <v>5</v>
      </c>
      <c r="Z379">
        <f>'Assessment Questions'!AC379</f>
        <v/>
      </c>
      <c r="AB379">
        <f>COUNTIF($B$373:$B$406,$AA379)</f>
        <v/>
      </c>
      <c r="AC379">
        <f>IFERROR(SUMPRODUCT(($B$373:$B$406=$AA379)*($H$373:$H$406&lt;&gt;"")*($H$373:$H$406&lt;&gt;"N/A")*IFERROR(VALUE($H$373:$H$406),0))/SUMPRODUCT(($B$373:$B$406=$AA379)*($H$373:$H$406&lt;&gt;"")*($H$373:$H$406&lt;&gt;"N/A")),0)</f>
        <v/>
      </c>
      <c r="AD379">
        <f>AC379/5</f>
        <v/>
      </c>
      <c r="AE379">
        <f>COUNTIFS($B$373:$B$406,$AA379,$L$373:$L$406,"Critical")+COUNTIFS($B$373:$B$406,$AA379,$L$373:$L$406,"High")</f>
        <v/>
      </c>
      <c r="AF379">
        <f>5-AC379</f>
        <v/>
      </c>
      <c r="AG379">
        <f>SUMPRODUCT(($B$373:$B$406=$AA379)*(ISNUMBER($H$373:$H$406)+($H$373:$H$406="N/A")))</f>
        <v/>
      </c>
      <c r="AH379">
        <f>'Assessment Questions'!AK379</f>
        <v/>
      </c>
      <c r="AI379">
        <f>'Assessment Questions'!AL379</f>
        <v/>
      </c>
      <c r="AJ379">
        <f>IF(OR($H379="",$H379="N/A"),"",IF($AH379="",VLOOKUP('Company Profile'!$B$40,_CONFIG_Model_Settings!$A$5:$B$8,2,FALSE),_xlfn.IFNA(VLOOKUP($AH379,_CONFIG_Model_Settings!$A$5:$B$8,2,FALSE),0.9)))</f>
        <v/>
      </c>
      <c r="AK379">
        <f>IF(OR($H379="",$H379="N/A"),"",IF($AI379="",VLOOKUP('Company Profile'!$B$41,_CONFIG_Model_Settings!$A$5:$B$8,2,FALSE),_xlfn.IFNA(VLOOKUP($AI379,_CONFIG_Model_Settings!$A$5:$B$8,2,FALSE),0.9)))</f>
        <v/>
      </c>
      <c r="AL379">
        <f>IF(OR($H379="",$H379="N/A"),"",ROUND(VALUE($H379)*$AJ379*$AK379*$AV379,2))</f>
        <v/>
      </c>
      <c r="AM379">
        <f>IF($AL379="","",ROUND($AL379/5*100,1))</f>
        <v/>
      </c>
      <c r="AN379">
        <f>IFERROR(MIN(5,MAX(0,(SUMIFS(_REF_Model_Content!$D$1:$D$157,_REF_Model_Content!$A$1:$A$157,'Company Profile'!$B$9,_REF_Model_Content!$B$1:$B$157,"Cyber Privacy"))+_xlfn.IFNA(VLOOKUP('Company Profile'!$B$35,_CONFIG_Model_Settings!$A$11:$B$13,2,0),0))),"")</f>
        <v/>
      </c>
      <c r="AO379">
        <f>IF($AL379="","",MAX(0,ROUND($AN379-$AL379,2)))</f>
        <v/>
      </c>
      <c r="AP379">
        <f>IFERROR(SUMIFS(_REF_Model_Content!$E$1:$E$157,_REF_Model_Content!$A$1:$A$157,'Company Profile'!$B$9,_REF_Model_Content!$B$1:$B$157,"Cyber Privacy"),1)</f>
        <v/>
      </c>
      <c r="AQ379">
        <f>IF($AO379="","",ROUND($AO379*$AP379*($G379/5),2))</f>
        <v/>
      </c>
      <c r="AR379">
        <f>IF($AO379="","",IF($AO379&gt;=2,"Critical industry gap",IF($AO379&gt;=1,"High industry gap",IF($AO379&gt;=0.5,"Moderate industry gap","Within target"))))</f>
        <v/>
      </c>
      <c r="AS379">
        <f>IF(OR($H379="",$H379="N/A"),0,VALUE($H379)*(($AJ379+$AK379)/2)*$AV379)</f>
        <v/>
      </c>
      <c r="AT379">
        <f>IF(OR($H379="",$H379="N/A"),0,($AJ379+$AK379)/2)</f>
        <v/>
      </c>
      <c r="AU379">
        <f>'Assessment Questions'!AX379</f>
        <v/>
      </c>
      <c r="AV379">
        <f>IF(OR($H379="",$H379="N/A"),"",IF(OR($AU379="",$AU379="Everywhere",$AU379="Not applicable"),1,IF($AU379="Pilot / one team",0.4,IF($AU379="One unit or site",0.7,0.9))))</f>
        <v/>
      </c>
      <c r="AW379" t="inlineStr">
        <is>
          <t>Cyber Privacy</t>
        </is>
      </c>
      <c r="AX379" t="inlineStr">
        <is>
          <t>Cyber Privacy</t>
        </is>
      </c>
      <c r="AY379" t="n">
        <v>11</v>
      </c>
      <c r="AZ379" t="n">
        <v>379</v>
      </c>
    </row>
    <row r="380">
      <c r="A380" t="inlineStr">
        <is>
          <t>CYBE-008</t>
        </is>
      </c>
      <c r="B380" t="inlineStr">
        <is>
          <t>Identity and access</t>
        </is>
      </c>
      <c r="C380" t="inlineStr">
        <is>
          <t>How mature is the organization in managing MFA enforcement for email, cloud, VPN/ZTNA, admin accounts, finance systems and critical SaaS, including ownership, evidence, metrics, fallback procedures and crisis stress testing?</t>
        </is>
      </c>
      <c r="D380" t="inlineStr">
        <is>
          <t>This topic affects exposure to Cyberattack; Data breach; Ransomware; Insider threat. It helps identify how disruption may impact operations, people, revenue, systems, legal exposure or recovery time.</t>
        </is>
      </c>
      <c r="E380" t="inlineStr">
        <is>
          <t>ISO/IEC 27001; ISO/IEC 27002; NIST CSF 2.0; CIS Controls; ISO/IEC 27701; GDPR; IEC 62443</t>
        </is>
      </c>
      <c r="F380" t="inlineStr">
        <is>
          <t>Policy/SOP; owner/RACI; system report; dashboard; contracts; test records; incident history; interview evidence related to MFA enforcement for email, cloud, VPN/ZTNA, admin accounts, finance systems and critical SaaS.</t>
        </is>
      </c>
      <c r="G380">
        <f>'Assessment Questions'!J380</f>
        <v/>
      </c>
      <c r="H380">
        <f>IF($Z380="","",IF($Z380="N/A","N/A",VALUE(LEFT($Z380,1))))</f>
        <v/>
      </c>
      <c r="I380">
        <f>IF($H380="","",IF($H380="N/A","",VALUE($H380)/5*$G380))</f>
        <v/>
      </c>
      <c r="J380">
        <f>IF(OR($H380="",$H380="N/A"),"",$G380)</f>
        <v/>
      </c>
      <c r="K380">
        <f>IF(OR($H380="",$H380="N/A"),"",$J380-$I380)</f>
        <v/>
      </c>
      <c r="L380">
        <f>IF($H380="","",IF($H380="N/A","N/A",IF(VALUE($H380)&lt;=1,"Critical",IF(VALUE($H380)&lt;=2,"High",IF(VALUE($H380)&lt;=3,"Medium",IF(VALUE($H380)&lt;=4,"Low","Resilient"))))))</f>
        <v/>
      </c>
      <c r="M380" t="inlineStr">
        <is>
          <t>No MFA anywhere.</t>
        </is>
      </c>
      <c r="N380" t="inlineStr">
        <is>
          <t>MFA only on isolated accounts, by individual choice.</t>
        </is>
      </c>
      <c r="O380" t="inlineStr">
        <is>
          <t>MFA on email or VPN only; admins or critical SaaS not fully covered.</t>
        </is>
      </c>
      <c r="P380" t="inlineStr">
        <is>
          <t>MFA enforced for email, VPN/ZTNA and admin accounts; exceptions documented.</t>
        </is>
      </c>
      <c r="Q380" t="inlineStr">
        <is>
          <t>MFA enforced everywhere incl. finance systems and critical SaaS; coverage monitored; phishing-resistant methods for admins.</t>
        </is>
      </c>
      <c r="R380" t="inlineStr">
        <is>
          <t>Phishing-resistant MFA (FIDO2/keys) as standard; coverage 100% monitored; conditional access policies in place.</t>
        </is>
      </c>
      <c r="S380" t="inlineStr">
        <is>
          <t>Cyberattack; Data breach; Ransomware; Insider threat</t>
        </is>
      </c>
      <c r="T380">
        <f>'Assessment Questions'!W380</f>
        <v/>
      </c>
      <c r="U380">
        <f>'Assessment Questions'!X380</f>
        <v/>
      </c>
      <c r="V380">
        <f>'Assessment Questions'!Y380</f>
        <v/>
      </c>
      <c r="W380" t="n">
        <v>5</v>
      </c>
      <c r="X380" t="n">
        <v>5</v>
      </c>
      <c r="Y380" t="n">
        <v>5</v>
      </c>
      <c r="Z380">
        <f>'Assessment Questions'!AC380</f>
        <v/>
      </c>
      <c r="AB380">
        <f>COUNTIF($B$373:$B$406,$AA380)</f>
        <v/>
      </c>
      <c r="AC380">
        <f>IFERROR(SUMPRODUCT(($B$373:$B$406=$AA380)*($H$373:$H$406&lt;&gt;"")*($H$373:$H$406&lt;&gt;"N/A")*IFERROR(VALUE($H$373:$H$406),0))/SUMPRODUCT(($B$373:$B$406=$AA380)*($H$373:$H$406&lt;&gt;"")*($H$373:$H$406&lt;&gt;"N/A")),0)</f>
        <v/>
      </c>
      <c r="AD380">
        <f>AC380/5</f>
        <v/>
      </c>
      <c r="AE380">
        <f>COUNTIFS($B$373:$B$406,$AA380,$L$373:$L$406,"Critical")+COUNTIFS($B$373:$B$406,$AA380,$L$373:$L$406,"High")</f>
        <v/>
      </c>
      <c r="AF380">
        <f>5-AC380</f>
        <v/>
      </c>
      <c r="AG380">
        <f>SUMPRODUCT(($B$373:$B$406=$AA380)*(ISNUMBER($H$373:$H$406)+($H$373:$H$406="N/A")))</f>
        <v/>
      </c>
      <c r="AH380">
        <f>'Assessment Questions'!AK380</f>
        <v/>
      </c>
      <c r="AI380">
        <f>'Assessment Questions'!AL380</f>
        <v/>
      </c>
      <c r="AJ380">
        <f>IF(OR($H380="",$H380="N/A"),"",IF($AH380="",VLOOKUP('Company Profile'!$B$40,_CONFIG_Model_Settings!$A$5:$B$8,2,FALSE),_xlfn.IFNA(VLOOKUP($AH380,_CONFIG_Model_Settings!$A$5:$B$8,2,FALSE),0.9)))</f>
        <v/>
      </c>
      <c r="AK380">
        <f>IF(OR($H380="",$H380="N/A"),"",IF($AI380="",VLOOKUP('Company Profile'!$B$41,_CONFIG_Model_Settings!$A$5:$B$8,2,FALSE),_xlfn.IFNA(VLOOKUP($AI380,_CONFIG_Model_Settings!$A$5:$B$8,2,FALSE),0.9)))</f>
        <v/>
      </c>
      <c r="AL380">
        <f>IF(OR($H380="",$H380="N/A"),"",ROUND(VALUE($H380)*$AJ380*$AK380*$AV380,2))</f>
        <v/>
      </c>
      <c r="AM380">
        <f>IF($AL380="","",ROUND($AL380/5*100,1))</f>
        <v/>
      </c>
      <c r="AN380">
        <f>IFERROR(MIN(5,MAX(0,(SUMIFS(_REF_Model_Content!$D$1:$D$157,_REF_Model_Content!$A$1:$A$157,'Company Profile'!$B$9,_REF_Model_Content!$B$1:$B$157,"Cyber Privacy"))+_xlfn.IFNA(VLOOKUP('Company Profile'!$B$35,_CONFIG_Model_Settings!$A$11:$B$13,2,0),0))),"")</f>
        <v/>
      </c>
      <c r="AO380">
        <f>IF($AL380="","",MAX(0,ROUND($AN380-$AL380,2)))</f>
        <v/>
      </c>
      <c r="AP380">
        <f>IFERROR(SUMIFS(_REF_Model_Content!$E$1:$E$157,_REF_Model_Content!$A$1:$A$157,'Company Profile'!$B$9,_REF_Model_Content!$B$1:$B$157,"Cyber Privacy"),1)</f>
        <v/>
      </c>
      <c r="AQ380">
        <f>IF($AO380="","",ROUND($AO380*$AP380*($G380/5),2))</f>
        <v/>
      </c>
      <c r="AR380">
        <f>IF($AO380="","",IF($AO380&gt;=2,"Critical industry gap",IF($AO380&gt;=1,"High industry gap",IF($AO380&gt;=0.5,"Moderate industry gap","Within target"))))</f>
        <v/>
      </c>
      <c r="AS380">
        <f>IF(OR($H380="",$H380="N/A"),0,VALUE($H380)*(($AJ380+$AK380)/2)*$AV380)</f>
        <v/>
      </c>
      <c r="AT380">
        <f>IF(OR($H380="",$H380="N/A"),0,($AJ380+$AK380)/2)</f>
        <v/>
      </c>
      <c r="AU380">
        <f>'Assessment Questions'!AX380</f>
        <v/>
      </c>
      <c r="AV380">
        <f>IF(OR($H380="",$H380="N/A"),"",IF(OR($AU380="",$AU380="Everywhere",$AU380="Not applicable"),1,IF($AU380="Pilot / one team",0.4,IF($AU380="One unit or site",0.7,0.9))))</f>
        <v/>
      </c>
      <c r="AW380" t="inlineStr">
        <is>
          <t>Cyber Privacy</t>
        </is>
      </c>
      <c r="AX380" t="inlineStr">
        <is>
          <t>Cyber Privacy</t>
        </is>
      </c>
      <c r="AY380" t="n">
        <v>12</v>
      </c>
      <c r="AZ380" t="n">
        <v>380</v>
      </c>
    </row>
    <row r="381">
      <c r="A381" t="inlineStr">
        <is>
          <t>CYBE-009</t>
        </is>
      </c>
      <c r="B381" t="inlineStr">
        <is>
          <t>Identity and access</t>
        </is>
      </c>
      <c r="C381" t="inlineStr">
        <is>
          <t>How mature is the organization in managing privileged access management for admin accounts and superusers, including ownership, evidence, metrics, fallback procedures and crisis stress testing?</t>
        </is>
      </c>
      <c r="D381" t="inlineStr">
        <is>
          <t>This topic affects exposure to Cyberattack; Data breach; Ransomware; Insider threat. It helps identify how disruption may impact operations, people, revenue, systems, legal exposure or recovery time.</t>
        </is>
      </c>
      <c r="E381" t="inlineStr">
        <is>
          <t>ISO/IEC 27001; ISO/IEC 27002; NIST CSF 2.0; CIS Controls; ISO/IEC 27701; GDPR; IEC 62443</t>
        </is>
      </c>
      <c r="F381" t="inlineStr">
        <is>
          <t>Policy/SOP; owner/RACI; system report; dashboard; contracts; test records; incident history; interview evidence related to privileged access management for admin accounts and superusers.</t>
        </is>
      </c>
      <c r="G381">
        <f>'Assessment Questions'!J381</f>
        <v/>
      </c>
      <c r="H381">
        <f>IF($Z381="","",IF($Z381="N/A","N/A",VALUE(LEFT($Z381,1))))</f>
        <v/>
      </c>
      <c r="I381">
        <f>IF($H381="","",IF($H381="N/A","",VALUE($H381)/5*$G381))</f>
        <v/>
      </c>
      <c r="J381">
        <f>IF(OR($H381="",$H381="N/A"),"",$G381)</f>
        <v/>
      </c>
      <c r="K381">
        <f>IF(OR($H381="",$H381="N/A"),"",$J381-$I381)</f>
        <v/>
      </c>
      <c r="L381">
        <f>IF($H381="","",IF($H381="N/A","N/A",IF(VALUE($H381)&lt;=1,"Critical",IF(VALUE($H381)&lt;=2,"High",IF(VALUE($H381)&lt;=3,"Medium",IF(VALUE($H381)&lt;=4,"Low","Resilient"))))))</f>
        <v/>
      </c>
      <c r="M381" t="inlineStr">
        <is>
          <t>No reliable evidence that privileged access management for admin accounts and superusers is defined, owned or managed.</t>
        </is>
      </c>
      <c r="N381" t="inlineStr">
        <is>
          <t>Privileged access management for admin accounts and superusers is handled informally and depends on individual knowledge or heroic effort.</t>
        </is>
      </c>
      <c r="O381" t="inlineStr">
        <is>
          <t>Privileged access management for admin accounts and superusers is partially documented or implemented, but coverage is inconsistent and not crisis-tested.</t>
        </is>
      </c>
      <c r="P381" t="inlineStr">
        <is>
          <t>Privileged access management for admin accounts and superusers is documented, owned, used in normal operations and supported by basic evidence or metrics.</t>
        </is>
      </c>
      <c r="Q381" t="inlineStr">
        <is>
          <t>Privileged access management for admin accounts and superusers is measured, periodically reviewed, integrated with related processes and tested against relevant disruption scenarios.</t>
        </is>
      </c>
      <c r="R381" t="inlineStr">
        <is>
          <t>Privileged access management for admin accounts and superusers is optimized, continuously improved, automated where practical and demonstrably supports crisis resilience.</t>
        </is>
      </c>
      <c r="S381" t="inlineStr">
        <is>
          <t>Cyberattack; Data breach; Ransomware; Insider threat</t>
        </is>
      </c>
      <c r="T381">
        <f>'Assessment Questions'!W381</f>
        <v/>
      </c>
      <c r="U381">
        <f>'Assessment Questions'!X381</f>
        <v/>
      </c>
      <c r="V381">
        <f>'Assessment Questions'!Y381</f>
        <v/>
      </c>
      <c r="W381" t="n">
        <v>5</v>
      </c>
      <c r="X381" t="n">
        <v>5</v>
      </c>
      <c r="Y381" t="n">
        <v>5</v>
      </c>
      <c r="Z381">
        <f>'Assessment Questions'!AC381</f>
        <v/>
      </c>
      <c r="AB381">
        <f>COUNTIF($B$373:$B$406,$AA381)</f>
        <v/>
      </c>
      <c r="AC381">
        <f>IFERROR(SUMPRODUCT(($B$373:$B$406=$AA381)*($H$373:$H$406&lt;&gt;"")*($H$373:$H$406&lt;&gt;"N/A")*IFERROR(VALUE($H$373:$H$406),0))/SUMPRODUCT(($B$373:$B$406=$AA381)*($H$373:$H$406&lt;&gt;"")*($H$373:$H$406&lt;&gt;"N/A")),0)</f>
        <v/>
      </c>
      <c r="AD381">
        <f>AC381/5</f>
        <v/>
      </c>
      <c r="AE381">
        <f>COUNTIFS($B$373:$B$406,$AA381,$L$373:$L$406,"Critical")+COUNTIFS($B$373:$B$406,$AA381,$L$373:$L$406,"High")</f>
        <v/>
      </c>
      <c r="AF381">
        <f>5-AC381</f>
        <v/>
      </c>
      <c r="AG381">
        <f>SUMPRODUCT(($B$373:$B$406=$AA381)*(ISNUMBER($H$373:$H$406)+($H$373:$H$406="N/A")))</f>
        <v/>
      </c>
      <c r="AH381">
        <f>'Assessment Questions'!AK381</f>
        <v/>
      </c>
      <c r="AI381">
        <f>'Assessment Questions'!AL381</f>
        <v/>
      </c>
      <c r="AJ381">
        <f>IF(OR($H381="",$H381="N/A"),"",IF($AH381="",VLOOKUP('Company Profile'!$B$40,_CONFIG_Model_Settings!$A$5:$B$8,2,FALSE),_xlfn.IFNA(VLOOKUP($AH381,_CONFIG_Model_Settings!$A$5:$B$8,2,FALSE),0.9)))</f>
        <v/>
      </c>
      <c r="AK381">
        <f>IF(OR($H381="",$H381="N/A"),"",IF($AI381="",VLOOKUP('Company Profile'!$B$41,_CONFIG_Model_Settings!$A$5:$B$8,2,FALSE),_xlfn.IFNA(VLOOKUP($AI381,_CONFIG_Model_Settings!$A$5:$B$8,2,FALSE),0.9)))</f>
        <v/>
      </c>
      <c r="AL381">
        <f>IF(OR($H381="",$H381="N/A"),"",ROUND(VALUE($H381)*$AJ381*$AK381*$AV381,2))</f>
        <v/>
      </c>
      <c r="AM381">
        <f>IF($AL381="","",ROUND($AL381/5*100,1))</f>
        <v/>
      </c>
      <c r="AN381">
        <f>IFERROR(MIN(5,MAX(0,(SUMIFS(_REF_Model_Content!$D$1:$D$157,_REF_Model_Content!$A$1:$A$157,'Company Profile'!$B$9,_REF_Model_Content!$B$1:$B$157,"Cyber Privacy"))+_xlfn.IFNA(VLOOKUP('Company Profile'!$B$35,_CONFIG_Model_Settings!$A$11:$B$13,2,0),0))),"")</f>
        <v/>
      </c>
      <c r="AO381">
        <f>IF($AL381="","",MAX(0,ROUND($AN381-$AL381,2)))</f>
        <v/>
      </c>
      <c r="AP381">
        <f>IFERROR(SUMIFS(_REF_Model_Content!$E$1:$E$157,_REF_Model_Content!$A$1:$A$157,'Company Profile'!$B$9,_REF_Model_Content!$B$1:$B$157,"Cyber Privacy"),1)</f>
        <v/>
      </c>
      <c r="AQ381">
        <f>IF($AO381="","",ROUND($AO381*$AP381*($G381/5),2))</f>
        <v/>
      </c>
      <c r="AR381">
        <f>IF($AO381="","",IF($AO381&gt;=2,"Critical industry gap",IF($AO381&gt;=1,"High industry gap",IF($AO381&gt;=0.5,"Moderate industry gap","Within target"))))</f>
        <v/>
      </c>
      <c r="AS381">
        <f>IF(OR($H381="",$H381="N/A"),0,VALUE($H381)*(($AJ381+$AK381)/2)*$AV381)</f>
        <v/>
      </c>
      <c r="AT381">
        <f>IF(OR($H381="",$H381="N/A"),0,($AJ381+$AK381)/2)</f>
        <v/>
      </c>
      <c r="AU381">
        <f>'Assessment Questions'!AX381</f>
        <v/>
      </c>
      <c r="AV381">
        <f>IF(OR($H381="",$H381="N/A"),"",IF(OR($AU381="",$AU381="Everywhere",$AU381="Not applicable"),1,IF($AU381="Pilot / one team",0.4,IF($AU381="One unit or site",0.7,0.9))))</f>
        <v/>
      </c>
      <c r="AW381" t="inlineStr">
        <is>
          <t>Cyber Privacy</t>
        </is>
      </c>
      <c r="AX381" t="inlineStr">
        <is>
          <t>Cyber Privacy</t>
        </is>
      </c>
      <c r="AY381" t="n">
        <v>13</v>
      </c>
      <c r="AZ381" t="n">
        <v>381</v>
      </c>
    </row>
    <row r="382">
      <c r="A382" t="inlineStr">
        <is>
          <t>CYBE-010</t>
        </is>
      </c>
      <c r="B382" t="inlineStr">
        <is>
          <t>Identity and access</t>
        </is>
      </c>
      <c r="C382" t="inlineStr">
        <is>
          <t>How mature is the organization in managing break-glass account control, monitoring and testing, including ownership, evidence, metrics, fallback procedures and crisis stress testing?</t>
        </is>
      </c>
      <c r="D382" t="inlineStr">
        <is>
          <t>This topic affects exposure to Cyberattack; Data breach; Ransomware; Insider threat. It helps identify how disruption may impact operations, people, revenue, systems, legal exposure or recovery time.</t>
        </is>
      </c>
      <c r="E382" t="inlineStr">
        <is>
          <t>ISO/IEC 27001; ISO/IEC 27002; NIST CSF 2.0; CIS Controls; ISO/IEC 27701; GDPR; IEC 62443</t>
        </is>
      </c>
      <c r="F382" t="inlineStr">
        <is>
          <t>Policy/SOP; owner/RACI; system report; dashboard; contracts; test records; incident history; interview evidence related to break-glass account control, monitoring and testing.</t>
        </is>
      </c>
      <c r="G382">
        <f>'Assessment Questions'!J382</f>
        <v/>
      </c>
      <c r="H382">
        <f>IF($Z382="","",IF($Z382="N/A","N/A",VALUE(LEFT($Z382,1))))</f>
        <v/>
      </c>
      <c r="I382">
        <f>IF($H382="","",IF($H382="N/A","",VALUE($H382)/5*$G382))</f>
        <v/>
      </c>
      <c r="J382">
        <f>IF(OR($H382="",$H382="N/A"),"",$G382)</f>
        <v/>
      </c>
      <c r="K382">
        <f>IF(OR($H382="",$H382="N/A"),"",$J382-$I382)</f>
        <v/>
      </c>
      <c r="L382">
        <f>IF($H382="","",IF($H382="N/A","N/A",IF(VALUE($H382)&lt;=1,"Critical",IF(VALUE($H382)&lt;=2,"High",IF(VALUE($H382)&lt;=3,"Medium",IF(VALUE($H382)&lt;=4,"Low","Resilient"))))))</f>
        <v/>
      </c>
      <c r="M382" t="inlineStr">
        <is>
          <t>Never done; no records exist.</t>
        </is>
      </c>
      <c r="N382" t="inlineStr">
        <is>
          <t>Done once long ago or only after an incident; no schedule, no records.</t>
        </is>
      </c>
      <c r="O382" t="inlineStr">
        <is>
          <t>Done irregularly; results are not documented and findings are not tracked.</t>
        </is>
      </c>
      <c r="P382" t="inlineStr">
        <is>
          <t>Done on a defined schedule (at least annually); results documented, owner assigned.</t>
        </is>
      </c>
      <c r="Q382" t="inlineStr">
        <is>
          <t>Done quarterly/semi-annually; findings tracked to closure, effectiveness measured against targets.</t>
        </is>
      </c>
      <c r="R382" t="inlineStr">
        <is>
          <t>Continuous or automated where possible; results drive improvements and are validated externally (audit/customer).</t>
        </is>
      </c>
      <c r="S382" t="inlineStr">
        <is>
          <t>Cyberattack; Data breach; Ransomware; Insider threat</t>
        </is>
      </c>
      <c r="T382">
        <f>'Assessment Questions'!W382</f>
        <v/>
      </c>
      <c r="U382">
        <f>'Assessment Questions'!X382</f>
        <v/>
      </c>
      <c r="V382">
        <f>'Assessment Questions'!Y382</f>
        <v/>
      </c>
      <c r="W382" t="n">
        <v>5</v>
      </c>
      <c r="X382" t="n">
        <v>5</v>
      </c>
      <c r="Y382" t="n">
        <v>5</v>
      </c>
      <c r="Z382">
        <f>'Assessment Questions'!AC382</f>
        <v/>
      </c>
      <c r="AB382">
        <f>COUNTIF($B$373:$B$406,$AA382)</f>
        <v/>
      </c>
      <c r="AC382">
        <f>IFERROR(SUMPRODUCT(($B$373:$B$406=$AA382)*($H$373:$H$406&lt;&gt;"")*($H$373:$H$406&lt;&gt;"N/A")*IFERROR(VALUE($H$373:$H$406),0))/SUMPRODUCT(($B$373:$B$406=$AA382)*($H$373:$H$406&lt;&gt;"")*($H$373:$H$406&lt;&gt;"N/A")),0)</f>
        <v/>
      </c>
      <c r="AD382">
        <f>AC382/5</f>
        <v/>
      </c>
      <c r="AE382">
        <f>COUNTIFS($B$373:$B$406,$AA382,$L$373:$L$406,"Critical")+COUNTIFS($B$373:$B$406,$AA382,$L$373:$L$406,"High")</f>
        <v/>
      </c>
      <c r="AF382">
        <f>5-AC382</f>
        <v/>
      </c>
      <c r="AG382">
        <f>SUMPRODUCT(($B$373:$B$406=$AA382)*(ISNUMBER($H$373:$H$406)+($H$373:$H$406="N/A")))</f>
        <v/>
      </c>
      <c r="AH382">
        <f>'Assessment Questions'!AK382</f>
        <v/>
      </c>
      <c r="AI382">
        <f>'Assessment Questions'!AL382</f>
        <v/>
      </c>
      <c r="AJ382">
        <f>IF(OR($H382="",$H382="N/A"),"",IF($AH382="",VLOOKUP('Company Profile'!$B$40,_CONFIG_Model_Settings!$A$5:$B$8,2,FALSE),_xlfn.IFNA(VLOOKUP($AH382,_CONFIG_Model_Settings!$A$5:$B$8,2,FALSE),0.9)))</f>
        <v/>
      </c>
      <c r="AK382">
        <f>IF(OR($H382="",$H382="N/A"),"",IF($AI382="",VLOOKUP('Company Profile'!$B$41,_CONFIG_Model_Settings!$A$5:$B$8,2,FALSE),_xlfn.IFNA(VLOOKUP($AI382,_CONFIG_Model_Settings!$A$5:$B$8,2,FALSE),0.9)))</f>
        <v/>
      </c>
      <c r="AL382">
        <f>IF(OR($H382="",$H382="N/A"),"",ROUND(VALUE($H382)*$AJ382*$AK382*$AV382,2))</f>
        <v/>
      </c>
      <c r="AM382">
        <f>IF($AL382="","",ROUND($AL382/5*100,1))</f>
        <v/>
      </c>
      <c r="AN382">
        <f>IFERROR(MIN(5,MAX(0,(SUMIFS(_REF_Model_Content!$D$1:$D$157,_REF_Model_Content!$A$1:$A$157,'Company Profile'!$B$9,_REF_Model_Content!$B$1:$B$157,"Cyber Privacy"))+_xlfn.IFNA(VLOOKUP('Company Profile'!$B$35,_CONFIG_Model_Settings!$A$11:$B$13,2,0),0))),"")</f>
        <v/>
      </c>
      <c r="AO382">
        <f>IF($AL382="","",MAX(0,ROUND($AN382-$AL382,2)))</f>
        <v/>
      </c>
      <c r="AP382">
        <f>IFERROR(SUMIFS(_REF_Model_Content!$E$1:$E$157,_REF_Model_Content!$A$1:$A$157,'Company Profile'!$B$9,_REF_Model_Content!$B$1:$B$157,"Cyber Privacy"),1)</f>
        <v/>
      </c>
      <c r="AQ382">
        <f>IF($AO382="","",ROUND($AO382*$AP382*($G382/5),2))</f>
        <v/>
      </c>
      <c r="AR382">
        <f>IF($AO382="","",IF($AO382&gt;=2,"Critical industry gap",IF($AO382&gt;=1,"High industry gap",IF($AO382&gt;=0.5,"Moderate industry gap","Within target"))))</f>
        <v/>
      </c>
      <c r="AS382">
        <f>IF(OR($H382="",$H382="N/A"),0,VALUE($H382)*(($AJ382+$AK382)/2)*$AV382)</f>
        <v/>
      </c>
      <c r="AT382">
        <f>IF(OR($H382="",$H382="N/A"),0,($AJ382+$AK382)/2)</f>
        <v/>
      </c>
      <c r="AU382">
        <f>'Assessment Questions'!AX382</f>
        <v/>
      </c>
      <c r="AV382">
        <f>IF(OR($H382="",$H382="N/A"),"",IF(OR($AU382="",$AU382="Everywhere",$AU382="Not applicable"),1,IF($AU382="Pilot / one team",0.4,IF($AU382="One unit or site",0.7,0.9))))</f>
        <v/>
      </c>
      <c r="AW382" t="inlineStr">
        <is>
          <t>Cyber Privacy</t>
        </is>
      </c>
      <c r="AX382" t="inlineStr">
        <is>
          <t>Cyber Privacy</t>
        </is>
      </c>
      <c r="AY382" t="n">
        <v>14</v>
      </c>
      <c r="AZ382" t="n">
        <v>382</v>
      </c>
    </row>
    <row r="383">
      <c r="A383" t="inlineStr">
        <is>
          <t>CYBE-011</t>
        </is>
      </c>
      <c r="B383" t="inlineStr">
        <is>
          <t>Identity and access</t>
        </is>
      </c>
      <c r="C383" t="inlineStr">
        <is>
          <t>How mature is the organization in managing third-party access that is limited, monitored, time-bound and reviewed, including ownership, evidence, metrics, fallback procedures and crisis stress testing?</t>
        </is>
      </c>
      <c r="D383" t="inlineStr">
        <is>
          <t>This topic affects exposure to Cyberattack; Data breach; Ransomware; Insider threat. It helps identify how disruption may impact operations, people, revenue, systems, legal exposure or recovery time.</t>
        </is>
      </c>
      <c r="E383" t="inlineStr">
        <is>
          <t>ISO/IEC 27001; ISO/IEC 27002; NIST CSF 2.0; CIS Controls; ISO/IEC 27701; GDPR; IEC 62443</t>
        </is>
      </c>
      <c r="F383" t="inlineStr">
        <is>
          <t>Policy/SOP; owner/RACI; system report; dashboard; contracts; test records; incident history; interview evidence related to third-party access that is limited, monitored, time-bound and reviewed.</t>
        </is>
      </c>
      <c r="G383">
        <f>'Assessment Questions'!J383</f>
        <v/>
      </c>
      <c r="H383">
        <f>IF($Z383="","",IF($Z383="N/A","N/A",VALUE(LEFT($Z383,1))))</f>
        <v/>
      </c>
      <c r="I383">
        <f>IF($H383="","",IF($H383="N/A","",VALUE($H383)/5*$G383))</f>
        <v/>
      </c>
      <c r="J383">
        <f>IF(OR($H383="",$H383="N/A"),"",$G383)</f>
        <v/>
      </c>
      <c r="K383">
        <f>IF(OR($H383="",$H383="N/A"),"",$J383-$I383)</f>
        <v/>
      </c>
      <c r="L383">
        <f>IF($H383="","",IF($H383="N/A","N/A",IF(VALUE($H383)&lt;=1,"Critical",IF(VALUE($H383)&lt;=2,"High",IF(VALUE($H383)&lt;=3,"Medium",IF(VALUE($H383)&lt;=4,"Low","Resilient"))))))</f>
        <v/>
      </c>
      <c r="M383" t="inlineStr">
        <is>
          <t>No reliable evidence that third-party access that is limited, monitored, time-bound and reviewed is defined, owned or managed.</t>
        </is>
      </c>
      <c r="N383" t="inlineStr">
        <is>
          <t>Third-party access that is limited, monitored, time-bound and reviewed is handled informally and depends on individual knowledge or heroic effort.</t>
        </is>
      </c>
      <c r="O383" t="inlineStr">
        <is>
          <t>Third-party access that is limited, monitored, time-bound and reviewed is partially documented or implemented, but coverage is inconsistent and not crisis-tested.</t>
        </is>
      </c>
      <c r="P383" t="inlineStr">
        <is>
          <t>Third-party access that is limited, monitored, time-bound and reviewed is documented, owned, used in normal operations and supported by basic evidence or metrics.</t>
        </is>
      </c>
      <c r="Q383" t="inlineStr">
        <is>
          <t>Third-party access that is limited, monitored, time-bound and reviewed is measured, periodically reviewed, integrated with related processes and tested against relevant disruption scenarios.</t>
        </is>
      </c>
      <c r="R383" t="inlineStr">
        <is>
          <t>Third-party access that is limited, monitored, time-bound and reviewed is optimized, continuously improved, automated where practical and demonstrably supports crisis resilience.</t>
        </is>
      </c>
      <c r="S383" t="inlineStr">
        <is>
          <t>Cyberattack; Data breach; Ransomware; Insider threat</t>
        </is>
      </c>
      <c r="T383">
        <f>'Assessment Questions'!W383</f>
        <v/>
      </c>
      <c r="U383">
        <f>'Assessment Questions'!X383</f>
        <v/>
      </c>
      <c r="V383">
        <f>'Assessment Questions'!Y383</f>
        <v/>
      </c>
      <c r="W383" t="n">
        <v>5</v>
      </c>
      <c r="X383" t="n">
        <v>5</v>
      </c>
      <c r="Y383" t="n">
        <v>5</v>
      </c>
      <c r="Z383">
        <f>'Assessment Questions'!AC383</f>
        <v/>
      </c>
      <c r="AB383">
        <f>COUNTIF($B$373:$B$406,$AA383)</f>
        <v/>
      </c>
      <c r="AC383">
        <f>IFERROR(SUMPRODUCT(($B$373:$B$406=$AA383)*($H$373:$H$406&lt;&gt;"")*($H$373:$H$406&lt;&gt;"N/A")*IFERROR(VALUE($H$373:$H$406),0))/SUMPRODUCT(($B$373:$B$406=$AA383)*($H$373:$H$406&lt;&gt;"")*($H$373:$H$406&lt;&gt;"N/A")),0)</f>
        <v/>
      </c>
      <c r="AD383">
        <f>AC383/5</f>
        <v/>
      </c>
      <c r="AE383">
        <f>COUNTIFS($B$373:$B$406,$AA383,$L$373:$L$406,"Critical")+COUNTIFS($B$373:$B$406,$AA383,$L$373:$L$406,"High")</f>
        <v/>
      </c>
      <c r="AF383">
        <f>5-AC383</f>
        <v/>
      </c>
      <c r="AG383">
        <f>SUMPRODUCT(($B$373:$B$406=$AA383)*(ISNUMBER($H$373:$H$406)+($H$373:$H$406="N/A")))</f>
        <v/>
      </c>
      <c r="AH383">
        <f>'Assessment Questions'!AK383</f>
        <v/>
      </c>
      <c r="AI383">
        <f>'Assessment Questions'!AL383</f>
        <v/>
      </c>
      <c r="AJ383">
        <f>IF(OR($H383="",$H383="N/A"),"",IF($AH383="",VLOOKUP('Company Profile'!$B$40,_CONFIG_Model_Settings!$A$5:$B$8,2,FALSE),_xlfn.IFNA(VLOOKUP($AH383,_CONFIG_Model_Settings!$A$5:$B$8,2,FALSE),0.9)))</f>
        <v/>
      </c>
      <c r="AK383">
        <f>IF(OR($H383="",$H383="N/A"),"",IF($AI383="",VLOOKUP('Company Profile'!$B$41,_CONFIG_Model_Settings!$A$5:$B$8,2,FALSE),_xlfn.IFNA(VLOOKUP($AI383,_CONFIG_Model_Settings!$A$5:$B$8,2,FALSE),0.9)))</f>
        <v/>
      </c>
      <c r="AL383">
        <f>IF(OR($H383="",$H383="N/A"),"",ROUND(VALUE($H383)*$AJ383*$AK383*$AV383,2))</f>
        <v/>
      </c>
      <c r="AM383">
        <f>IF($AL383="","",ROUND($AL383/5*100,1))</f>
        <v/>
      </c>
      <c r="AN383">
        <f>IFERROR(MIN(5,MAX(0,(SUMIFS(_REF_Model_Content!$D$1:$D$157,_REF_Model_Content!$A$1:$A$157,'Company Profile'!$B$9,_REF_Model_Content!$B$1:$B$157,"Cyber Privacy"))+_xlfn.IFNA(VLOOKUP('Company Profile'!$B$35,_CONFIG_Model_Settings!$A$11:$B$13,2,0),0))),"")</f>
        <v/>
      </c>
      <c r="AO383">
        <f>IF($AL383="","",MAX(0,ROUND($AN383-$AL383,2)))</f>
        <v/>
      </c>
      <c r="AP383">
        <f>IFERROR(SUMIFS(_REF_Model_Content!$E$1:$E$157,_REF_Model_Content!$A$1:$A$157,'Company Profile'!$B$9,_REF_Model_Content!$B$1:$B$157,"Cyber Privacy"),1)</f>
        <v/>
      </c>
      <c r="AQ383">
        <f>IF($AO383="","",ROUND($AO383*$AP383*($G383/5),2))</f>
        <v/>
      </c>
      <c r="AR383">
        <f>IF($AO383="","",IF($AO383&gt;=2,"Critical industry gap",IF($AO383&gt;=1,"High industry gap",IF($AO383&gt;=0.5,"Moderate industry gap","Within target"))))</f>
        <v/>
      </c>
      <c r="AS383">
        <f>IF(OR($H383="",$H383="N/A"),0,VALUE($H383)*(($AJ383+$AK383)/2)*$AV383)</f>
        <v/>
      </c>
      <c r="AT383">
        <f>IF(OR($H383="",$H383="N/A"),0,($AJ383+$AK383)/2)</f>
        <v/>
      </c>
      <c r="AU383">
        <f>'Assessment Questions'!AX383</f>
        <v/>
      </c>
      <c r="AV383">
        <f>IF(OR($H383="",$H383="N/A"),"",IF(OR($AU383="",$AU383="Everywhere",$AU383="Not applicable"),1,IF($AU383="Pilot / one team",0.4,IF($AU383="One unit or site",0.7,0.9))))</f>
        <v/>
      </c>
      <c r="AW383" t="inlineStr">
        <is>
          <t>Cyber Privacy</t>
        </is>
      </c>
      <c r="AX383" t="inlineStr">
        <is>
          <t>Cyber Privacy</t>
        </is>
      </c>
      <c r="AY383" t="n">
        <v>15</v>
      </c>
      <c r="AZ383" t="n">
        <v>383</v>
      </c>
    </row>
    <row r="384">
      <c r="A384" t="inlineStr">
        <is>
          <t>CYBE-012</t>
        </is>
      </c>
      <c r="B384" t="inlineStr">
        <is>
          <t>Identity and access</t>
        </is>
      </c>
      <c r="C384" t="inlineStr">
        <is>
          <t>How mature is the organization in managing access reviews for critical systems, datasets, ERP, CRM, HRMS, MES and cloud, including ownership, evidence, metrics, fallback procedures and crisis stress testing?</t>
        </is>
      </c>
      <c r="D384" t="inlineStr">
        <is>
          <t>This topic affects exposure to Cyberattack; Data breach; Ransomware; Insider threat. It helps identify how disruption may impact operations, people, revenue, systems, legal exposure or recovery time.</t>
        </is>
      </c>
      <c r="E384" t="inlineStr">
        <is>
          <t>ISO/IEC 27001; ISO/IEC 27002; NIST CSF 2.0; CIS Controls; ISO/IEC 27701; GDPR; IEC 62443</t>
        </is>
      </c>
      <c r="F384" t="inlineStr">
        <is>
          <t>Policy/SOP; owner/RACI; system report; dashboard; contracts; test records; incident history; interview evidence related to access reviews for critical systems, datasets, ERP, CRM, HRMS, MES and cloud.</t>
        </is>
      </c>
      <c r="G384">
        <f>'Assessment Questions'!J384</f>
        <v/>
      </c>
      <c r="H384">
        <f>IF($Z384="","",IF($Z384="N/A","N/A",VALUE(LEFT($Z384,1))))</f>
        <v/>
      </c>
      <c r="I384">
        <f>IF($H384="","",IF($H384="N/A","",VALUE($H384)/5*$G384))</f>
        <v/>
      </c>
      <c r="J384">
        <f>IF(OR($H384="",$H384="N/A"),"",$G384)</f>
        <v/>
      </c>
      <c r="K384">
        <f>IF(OR($H384="",$H384="N/A"),"",$J384-$I384)</f>
        <v/>
      </c>
      <c r="L384">
        <f>IF($H384="","",IF($H384="N/A","N/A",IF(VALUE($H384)&lt;=1,"Critical",IF(VALUE($H384)&lt;=2,"High",IF(VALUE($H384)&lt;=3,"Medium",IF(VALUE($H384)&lt;=4,"Low","Resilient"))))))</f>
        <v/>
      </c>
      <c r="M384" t="inlineStr">
        <is>
          <t>Never performed.</t>
        </is>
      </c>
      <c r="N384" t="inlineStr">
        <is>
          <t>Performed once after an incident or audit finding.</t>
        </is>
      </c>
      <c r="O384" t="inlineStr">
        <is>
          <t>Performed irregularly; results not documented; revocations not verified.</t>
        </is>
      </c>
      <c r="P384" t="inlineStr">
        <is>
          <t>Performed at least annually for critical systems; revocations verified.</t>
        </is>
      </c>
      <c r="Q384" t="inlineStr">
        <is>
          <t>Performed quarterly for critical systems; exceptions tracked; tied to JML process.</t>
        </is>
      </c>
      <c r="R384" t="inlineStr">
        <is>
          <t>Automated recertification campaigns; continuous anomaly detection on entitlements.</t>
        </is>
      </c>
      <c r="S384" t="inlineStr">
        <is>
          <t>Cyberattack; Data breach; Ransomware; Insider threat</t>
        </is>
      </c>
      <c r="T384">
        <f>'Assessment Questions'!W384</f>
        <v/>
      </c>
      <c r="U384">
        <f>'Assessment Questions'!X384</f>
        <v/>
      </c>
      <c r="V384">
        <f>'Assessment Questions'!Y384</f>
        <v/>
      </c>
      <c r="W384" t="n">
        <v>5</v>
      </c>
      <c r="X384" t="n">
        <v>5</v>
      </c>
      <c r="Y384" t="n">
        <v>5</v>
      </c>
      <c r="Z384">
        <f>'Assessment Questions'!AC384</f>
        <v/>
      </c>
      <c r="AB384">
        <f>COUNTIF($B$373:$B$406,$AA384)</f>
        <v/>
      </c>
      <c r="AC384">
        <f>IFERROR(SUMPRODUCT(($B$373:$B$406=$AA384)*($H$373:$H$406&lt;&gt;"")*($H$373:$H$406&lt;&gt;"N/A")*IFERROR(VALUE($H$373:$H$406),0))/SUMPRODUCT(($B$373:$B$406=$AA384)*($H$373:$H$406&lt;&gt;"")*($H$373:$H$406&lt;&gt;"N/A")),0)</f>
        <v/>
      </c>
      <c r="AD384">
        <f>AC384/5</f>
        <v/>
      </c>
      <c r="AE384">
        <f>COUNTIFS($B$373:$B$406,$AA384,$L$373:$L$406,"Critical")+COUNTIFS($B$373:$B$406,$AA384,$L$373:$L$406,"High")</f>
        <v/>
      </c>
      <c r="AF384">
        <f>5-AC384</f>
        <v/>
      </c>
      <c r="AG384">
        <f>SUMPRODUCT(($B$373:$B$406=$AA384)*(ISNUMBER($H$373:$H$406)+($H$373:$H$406="N/A")))</f>
        <v/>
      </c>
      <c r="AH384">
        <f>'Assessment Questions'!AK384</f>
        <v/>
      </c>
      <c r="AI384">
        <f>'Assessment Questions'!AL384</f>
        <v/>
      </c>
      <c r="AJ384">
        <f>IF(OR($H384="",$H384="N/A"),"",IF($AH384="",VLOOKUP('Company Profile'!$B$40,_CONFIG_Model_Settings!$A$5:$B$8,2,FALSE),_xlfn.IFNA(VLOOKUP($AH384,_CONFIG_Model_Settings!$A$5:$B$8,2,FALSE),0.9)))</f>
        <v/>
      </c>
      <c r="AK384">
        <f>IF(OR($H384="",$H384="N/A"),"",IF($AI384="",VLOOKUP('Company Profile'!$B$41,_CONFIG_Model_Settings!$A$5:$B$8,2,FALSE),_xlfn.IFNA(VLOOKUP($AI384,_CONFIG_Model_Settings!$A$5:$B$8,2,FALSE),0.9)))</f>
        <v/>
      </c>
      <c r="AL384">
        <f>IF(OR($H384="",$H384="N/A"),"",ROUND(VALUE($H384)*$AJ384*$AK384*$AV384,2))</f>
        <v/>
      </c>
      <c r="AM384">
        <f>IF($AL384="","",ROUND($AL384/5*100,1))</f>
        <v/>
      </c>
      <c r="AN384">
        <f>IFERROR(MIN(5,MAX(0,(SUMIFS(_REF_Model_Content!$D$1:$D$157,_REF_Model_Content!$A$1:$A$157,'Company Profile'!$B$9,_REF_Model_Content!$B$1:$B$157,"Cyber Privacy"))+_xlfn.IFNA(VLOOKUP('Company Profile'!$B$35,_CONFIG_Model_Settings!$A$11:$B$13,2,0),0))),"")</f>
        <v/>
      </c>
      <c r="AO384">
        <f>IF($AL384="","",MAX(0,ROUND($AN384-$AL384,2)))</f>
        <v/>
      </c>
      <c r="AP384">
        <f>IFERROR(SUMIFS(_REF_Model_Content!$E$1:$E$157,_REF_Model_Content!$A$1:$A$157,'Company Profile'!$B$9,_REF_Model_Content!$B$1:$B$157,"Cyber Privacy"),1)</f>
        <v/>
      </c>
      <c r="AQ384">
        <f>IF($AO384="","",ROUND($AO384*$AP384*($G384/5),2))</f>
        <v/>
      </c>
      <c r="AR384">
        <f>IF($AO384="","",IF($AO384&gt;=2,"Critical industry gap",IF($AO384&gt;=1,"High industry gap",IF($AO384&gt;=0.5,"Moderate industry gap","Within target"))))</f>
        <v/>
      </c>
      <c r="AS384">
        <f>IF(OR($H384="",$H384="N/A"),0,VALUE($H384)*(($AJ384+$AK384)/2)*$AV384)</f>
        <v/>
      </c>
      <c r="AT384">
        <f>IF(OR($H384="",$H384="N/A"),0,($AJ384+$AK384)/2)</f>
        <v/>
      </c>
      <c r="AU384">
        <f>'Assessment Questions'!AX384</f>
        <v/>
      </c>
      <c r="AV384">
        <f>IF(OR($H384="",$H384="N/A"),"",IF(OR($AU384="",$AU384="Everywhere",$AU384="Not applicable"),1,IF($AU384="Pilot / one team",0.4,IF($AU384="One unit or site",0.7,0.9))))</f>
        <v/>
      </c>
      <c r="AW384" t="inlineStr">
        <is>
          <t>Cyber Privacy</t>
        </is>
      </c>
      <c r="AX384" t="inlineStr">
        <is>
          <t>Cyber Privacy</t>
        </is>
      </c>
      <c r="AY384" t="n">
        <v>16</v>
      </c>
      <c r="AZ384" t="n">
        <v>384</v>
      </c>
    </row>
    <row r="385">
      <c r="A385" t="inlineStr">
        <is>
          <t>CYBE-013</t>
        </is>
      </c>
      <c r="B385" t="inlineStr">
        <is>
          <t>Protection</t>
        </is>
      </c>
      <c r="C385" t="inlineStr">
        <is>
          <t>How mature is the organization in managing endpoint protection with EDR, disk encryption, patching and remote management, including ownership, evidence, metrics, fallback procedures and crisis stress testing?</t>
        </is>
      </c>
      <c r="D385" t="inlineStr">
        <is>
          <t>This topic affects exposure to Cyberattack; Data breach; Ransomware; Insider threat. It helps identify how disruption may impact operations, people, revenue, systems, legal exposure or recovery time.</t>
        </is>
      </c>
      <c r="E385" t="inlineStr">
        <is>
          <t>ISO/IEC 27001; ISO/IEC 27002; NIST CSF 2.0; CIS Controls; ISO/IEC 27701; GDPR; IEC 62443</t>
        </is>
      </c>
      <c r="F385" t="inlineStr">
        <is>
          <t>Policy/SOP; owner/RACI; system report; dashboard; contracts; test records; incident history; interview evidence related to endpoint protection with EDR, disk encryption, patching and remote management.</t>
        </is>
      </c>
      <c r="G385">
        <f>'Assessment Questions'!J385</f>
        <v/>
      </c>
      <c r="H385">
        <f>IF($Z385="","",IF($Z385="N/A","N/A",VALUE(LEFT($Z385,1))))</f>
        <v/>
      </c>
      <c r="I385">
        <f>IF($H385="","",IF($H385="N/A","",VALUE($H385)/5*$G385))</f>
        <v/>
      </c>
      <c r="J385">
        <f>IF(OR($H385="",$H385="N/A"),"",$G385)</f>
        <v/>
      </c>
      <c r="K385">
        <f>IF(OR($H385="",$H385="N/A"),"",$J385-$I385)</f>
        <v/>
      </c>
      <c r="L385">
        <f>IF($H385="","",IF($H385="N/A","N/A",IF(VALUE($H385)&lt;=1,"Critical",IF(VALUE($H385)&lt;=2,"High",IF(VALUE($H385)&lt;=3,"Medium",IF(VALUE($H385)&lt;=4,"Low","Resilient"))))))</f>
        <v/>
      </c>
      <c r="M385" t="inlineStr">
        <is>
          <t>Does not exist; no owner, no documentation, no practice.</t>
        </is>
      </c>
      <c r="N385" t="inlineStr">
        <is>
          <t>Ad hoc; depends entirely on specific individuals.</t>
        </is>
      </c>
      <c r="O385" t="inlineStr">
        <is>
          <t>Partially documented or implemented; coverage inconsistent; never tested under stress.</t>
        </is>
      </c>
      <c r="P385" t="inlineStr">
        <is>
          <t>Documented, owned, executed consistently; basic evidence and metrics exist.</t>
        </is>
      </c>
      <c r="Q385" t="inlineStr">
        <is>
          <t>Measured and periodically tested/audited; integrated with adjacent processes.</t>
        </is>
      </c>
      <c r="R385" t="inlineStr">
        <is>
          <t>Optimized and automated where practical; stress-tested; benchmarked externally.</t>
        </is>
      </c>
      <c r="S385" t="inlineStr">
        <is>
          <t>Cyberattack; Data breach; Ransomware; Insider threat</t>
        </is>
      </c>
      <c r="T385">
        <f>'Assessment Questions'!W385</f>
        <v/>
      </c>
      <c r="U385">
        <f>'Assessment Questions'!X385</f>
        <v/>
      </c>
      <c r="V385">
        <f>'Assessment Questions'!Y385</f>
        <v/>
      </c>
      <c r="W385" t="n">
        <v>5</v>
      </c>
      <c r="X385" t="n">
        <v>5</v>
      </c>
      <c r="Y385" t="n">
        <v>5</v>
      </c>
      <c r="Z385">
        <f>'Assessment Questions'!AC385</f>
        <v/>
      </c>
      <c r="AB385">
        <f>COUNTIF($B$373:$B$406,$AA385)</f>
        <v/>
      </c>
      <c r="AC385">
        <f>IFERROR(SUMPRODUCT(($B$373:$B$406=$AA385)*($H$373:$H$406&lt;&gt;"")*($H$373:$H$406&lt;&gt;"N/A")*IFERROR(VALUE($H$373:$H$406),0))/SUMPRODUCT(($B$373:$B$406=$AA385)*($H$373:$H$406&lt;&gt;"")*($H$373:$H$406&lt;&gt;"N/A")),0)</f>
        <v/>
      </c>
      <c r="AD385">
        <f>AC385/5</f>
        <v/>
      </c>
      <c r="AE385">
        <f>COUNTIFS($B$373:$B$406,$AA385,$L$373:$L$406,"Critical")+COUNTIFS($B$373:$B$406,$AA385,$L$373:$L$406,"High")</f>
        <v/>
      </c>
      <c r="AF385">
        <f>5-AC385</f>
        <v/>
      </c>
      <c r="AG385">
        <f>SUMPRODUCT(($B$373:$B$406=$AA385)*(ISNUMBER($H$373:$H$406)+($H$373:$H$406="N/A")))</f>
        <v/>
      </c>
      <c r="AH385">
        <f>'Assessment Questions'!AK385</f>
        <v/>
      </c>
      <c r="AI385">
        <f>'Assessment Questions'!AL385</f>
        <v/>
      </c>
      <c r="AJ385">
        <f>IF(OR($H385="",$H385="N/A"),"",IF($AH385="",VLOOKUP('Company Profile'!$B$40,_CONFIG_Model_Settings!$A$5:$B$8,2,FALSE),_xlfn.IFNA(VLOOKUP($AH385,_CONFIG_Model_Settings!$A$5:$B$8,2,FALSE),0.9)))</f>
        <v/>
      </c>
      <c r="AK385">
        <f>IF(OR($H385="",$H385="N/A"),"",IF($AI385="",VLOOKUP('Company Profile'!$B$41,_CONFIG_Model_Settings!$A$5:$B$8,2,FALSE),_xlfn.IFNA(VLOOKUP($AI385,_CONFIG_Model_Settings!$A$5:$B$8,2,FALSE),0.9)))</f>
        <v/>
      </c>
      <c r="AL385">
        <f>IF(OR($H385="",$H385="N/A"),"",ROUND(VALUE($H385)*$AJ385*$AK385*$AV385,2))</f>
        <v/>
      </c>
      <c r="AM385">
        <f>IF($AL385="","",ROUND($AL385/5*100,1))</f>
        <v/>
      </c>
      <c r="AN385">
        <f>IFERROR(MIN(5,MAX(0,(SUMIFS(_REF_Model_Content!$D$1:$D$157,_REF_Model_Content!$A$1:$A$157,'Company Profile'!$B$9,_REF_Model_Content!$B$1:$B$157,"Cyber Privacy"))+_xlfn.IFNA(VLOOKUP('Company Profile'!$B$35,_CONFIG_Model_Settings!$A$11:$B$13,2,0),0))),"")</f>
        <v/>
      </c>
      <c r="AO385">
        <f>IF($AL385="","",MAX(0,ROUND($AN385-$AL385,2)))</f>
        <v/>
      </c>
      <c r="AP385">
        <f>IFERROR(SUMIFS(_REF_Model_Content!$E$1:$E$157,_REF_Model_Content!$A$1:$A$157,'Company Profile'!$B$9,_REF_Model_Content!$B$1:$B$157,"Cyber Privacy"),1)</f>
        <v/>
      </c>
      <c r="AQ385">
        <f>IF($AO385="","",ROUND($AO385*$AP385*($G385/5),2))</f>
        <v/>
      </c>
      <c r="AR385">
        <f>IF($AO385="","",IF($AO385&gt;=2,"Critical industry gap",IF($AO385&gt;=1,"High industry gap",IF($AO385&gt;=0.5,"Moderate industry gap","Within target"))))</f>
        <v/>
      </c>
      <c r="AS385">
        <f>IF(OR($H385="",$H385="N/A"),0,VALUE($H385)*(($AJ385+$AK385)/2)*$AV385)</f>
        <v/>
      </c>
      <c r="AT385">
        <f>IF(OR($H385="",$H385="N/A"),0,($AJ385+$AK385)/2)</f>
        <v/>
      </c>
      <c r="AU385">
        <f>'Assessment Questions'!AX385</f>
        <v/>
      </c>
      <c r="AV385">
        <f>IF(OR($H385="",$H385="N/A"),"",IF(OR($AU385="",$AU385="Everywhere",$AU385="Not applicable"),1,IF($AU385="Pilot / one team",0.4,IF($AU385="One unit or site",0.7,0.9))))</f>
        <v/>
      </c>
      <c r="AW385" t="inlineStr">
        <is>
          <t>Cyber Privacy</t>
        </is>
      </c>
      <c r="AX385" t="inlineStr">
        <is>
          <t>Cyber Privacy</t>
        </is>
      </c>
      <c r="AY385" t="n">
        <v>17</v>
      </c>
      <c r="AZ385" t="n">
        <v>385</v>
      </c>
    </row>
    <row r="386">
      <c r="A386" t="inlineStr">
        <is>
          <t>CYBE-014</t>
        </is>
      </c>
      <c r="B386" t="inlineStr">
        <is>
          <t>Protection</t>
        </is>
      </c>
      <c r="C386" t="inlineStr">
        <is>
          <t>How mature is the organization in managing vulnerability and patch management prioritized by risk, exposure and asset criticality, including ownership, evidence, metrics, fallback procedures and crisis stress testing?</t>
        </is>
      </c>
      <c r="D386" t="inlineStr">
        <is>
          <t>This topic affects exposure to Cyberattack; Data breach; Ransomware; Insider threat. It helps identify how disruption may impact operations, people, revenue, systems, legal exposure or recovery time.</t>
        </is>
      </c>
      <c r="E386" t="inlineStr">
        <is>
          <t>ISO/IEC 27001; ISO/IEC 27002; NIST CSF 2.0; CIS Controls; ISO/IEC 27701; GDPR; IEC 62443</t>
        </is>
      </c>
      <c r="F386" t="inlineStr">
        <is>
          <t>Policy/SOP; owner/RACI; system report; dashboard; contracts; test records; incident history; interview evidence related to vulnerability and patch management prioritized by risk, exposure and asset criticality.</t>
        </is>
      </c>
      <c r="G386">
        <f>'Assessment Questions'!J386</f>
        <v/>
      </c>
      <c r="H386">
        <f>IF($Z386="","",IF($Z386="N/A","N/A",VALUE(LEFT($Z386,1))))</f>
        <v/>
      </c>
      <c r="I386">
        <f>IF($H386="","",IF($H386="N/A","",VALUE($H386)/5*$G386))</f>
        <v/>
      </c>
      <c r="J386">
        <f>IF(OR($H386="",$H386="N/A"),"",$G386)</f>
        <v/>
      </c>
      <c r="K386">
        <f>IF(OR($H386="",$H386="N/A"),"",$J386-$I386)</f>
        <v/>
      </c>
      <c r="L386">
        <f>IF($H386="","",IF($H386="N/A","N/A",IF(VALUE($H386)&lt;=1,"Critical",IF(VALUE($H386)&lt;=2,"High",IF(VALUE($H386)&lt;=3,"Medium",IF(VALUE($H386)&lt;=4,"Low","Resilient"))))))</f>
        <v/>
      </c>
      <c r="M386" t="inlineStr">
        <is>
          <t>Does not exist; no owner, no documentation, no practice.</t>
        </is>
      </c>
      <c r="N386" t="inlineStr">
        <is>
          <t>Ad hoc; depends entirely on specific individuals.</t>
        </is>
      </c>
      <c r="O386" t="inlineStr">
        <is>
          <t>Partially documented or implemented; coverage inconsistent; never tested under stress.</t>
        </is>
      </c>
      <c r="P386" t="inlineStr">
        <is>
          <t>Documented, owned, executed consistently; basic evidence and metrics exist.</t>
        </is>
      </c>
      <c r="Q386" t="inlineStr">
        <is>
          <t>Measured and periodically tested/audited; integrated with adjacent processes.</t>
        </is>
      </c>
      <c r="R386" t="inlineStr">
        <is>
          <t>Optimized and automated where practical; stress-tested; benchmarked externally.</t>
        </is>
      </c>
      <c r="S386" t="inlineStr">
        <is>
          <t>Cyberattack; Data breach; Ransomware; Insider threat</t>
        </is>
      </c>
      <c r="T386">
        <f>'Assessment Questions'!W386</f>
        <v/>
      </c>
      <c r="U386">
        <f>'Assessment Questions'!X386</f>
        <v/>
      </c>
      <c r="V386">
        <f>'Assessment Questions'!Y386</f>
        <v/>
      </c>
      <c r="W386" t="n">
        <v>5</v>
      </c>
      <c r="X386" t="n">
        <v>5</v>
      </c>
      <c r="Y386" t="n">
        <v>5</v>
      </c>
      <c r="Z386">
        <f>'Assessment Questions'!AC386</f>
        <v/>
      </c>
      <c r="AB386">
        <f>COUNTIF($B$373:$B$406,$AA386)</f>
        <v/>
      </c>
      <c r="AC386">
        <f>IFERROR(SUMPRODUCT(($B$373:$B$406=$AA386)*($H$373:$H$406&lt;&gt;"")*($H$373:$H$406&lt;&gt;"N/A")*IFERROR(VALUE($H$373:$H$406),0))/SUMPRODUCT(($B$373:$B$406=$AA386)*($H$373:$H$406&lt;&gt;"")*($H$373:$H$406&lt;&gt;"N/A")),0)</f>
        <v/>
      </c>
      <c r="AD386">
        <f>AC386/5</f>
        <v/>
      </c>
      <c r="AE386">
        <f>COUNTIFS($B$373:$B$406,$AA386,$L$373:$L$406,"Critical")+COUNTIFS($B$373:$B$406,$AA386,$L$373:$L$406,"High")</f>
        <v/>
      </c>
      <c r="AF386">
        <f>5-AC386</f>
        <v/>
      </c>
      <c r="AG386">
        <f>SUMPRODUCT(($B$373:$B$406=$AA386)*(ISNUMBER($H$373:$H$406)+($H$373:$H$406="N/A")))</f>
        <v/>
      </c>
      <c r="AH386">
        <f>'Assessment Questions'!AK386</f>
        <v/>
      </c>
      <c r="AI386">
        <f>'Assessment Questions'!AL386</f>
        <v/>
      </c>
      <c r="AJ386">
        <f>IF(OR($H386="",$H386="N/A"),"",IF($AH386="",VLOOKUP('Company Profile'!$B$40,_CONFIG_Model_Settings!$A$5:$B$8,2,FALSE),_xlfn.IFNA(VLOOKUP($AH386,_CONFIG_Model_Settings!$A$5:$B$8,2,FALSE),0.9)))</f>
        <v/>
      </c>
      <c r="AK386">
        <f>IF(OR($H386="",$H386="N/A"),"",IF($AI386="",VLOOKUP('Company Profile'!$B$41,_CONFIG_Model_Settings!$A$5:$B$8,2,FALSE),_xlfn.IFNA(VLOOKUP($AI386,_CONFIG_Model_Settings!$A$5:$B$8,2,FALSE),0.9)))</f>
        <v/>
      </c>
      <c r="AL386">
        <f>IF(OR($H386="",$H386="N/A"),"",ROUND(VALUE($H386)*$AJ386*$AK386*$AV386,2))</f>
        <v/>
      </c>
      <c r="AM386">
        <f>IF($AL386="","",ROUND($AL386/5*100,1))</f>
        <v/>
      </c>
      <c r="AN386">
        <f>IFERROR(MIN(5,MAX(0,(SUMIFS(_REF_Model_Content!$D$1:$D$157,_REF_Model_Content!$A$1:$A$157,'Company Profile'!$B$9,_REF_Model_Content!$B$1:$B$157,"Cyber Privacy"))+_xlfn.IFNA(VLOOKUP('Company Profile'!$B$35,_CONFIG_Model_Settings!$A$11:$B$13,2,0),0))),"")</f>
        <v/>
      </c>
      <c r="AO386">
        <f>IF($AL386="","",MAX(0,ROUND($AN386-$AL386,2)))</f>
        <v/>
      </c>
      <c r="AP386">
        <f>IFERROR(SUMIFS(_REF_Model_Content!$E$1:$E$157,_REF_Model_Content!$A$1:$A$157,'Company Profile'!$B$9,_REF_Model_Content!$B$1:$B$157,"Cyber Privacy"),1)</f>
        <v/>
      </c>
      <c r="AQ386">
        <f>IF($AO386="","",ROUND($AO386*$AP386*($G386/5),2))</f>
        <v/>
      </c>
      <c r="AR386">
        <f>IF($AO386="","",IF($AO386&gt;=2,"Critical industry gap",IF($AO386&gt;=1,"High industry gap",IF($AO386&gt;=0.5,"Moderate industry gap","Within target"))))</f>
        <v/>
      </c>
      <c r="AS386">
        <f>IF(OR($H386="",$H386="N/A"),0,VALUE($H386)*(($AJ386+$AK386)/2)*$AV386)</f>
        <v/>
      </c>
      <c r="AT386">
        <f>IF(OR($H386="",$H386="N/A"),0,($AJ386+$AK386)/2)</f>
        <v/>
      </c>
      <c r="AU386">
        <f>'Assessment Questions'!AX386</f>
        <v/>
      </c>
      <c r="AV386">
        <f>IF(OR($H386="",$H386="N/A"),"",IF(OR($AU386="",$AU386="Everywhere",$AU386="Not applicable"),1,IF($AU386="Pilot / one team",0.4,IF($AU386="One unit or site",0.7,0.9))))</f>
        <v/>
      </c>
      <c r="AW386" t="inlineStr">
        <is>
          <t>Cyber Privacy</t>
        </is>
      </c>
      <c r="AX386" t="inlineStr">
        <is>
          <t>Cyber Privacy</t>
        </is>
      </c>
      <c r="AY386" t="n">
        <v>18</v>
      </c>
      <c r="AZ386" t="n">
        <v>386</v>
      </c>
    </row>
    <row r="387">
      <c r="A387" t="inlineStr">
        <is>
          <t>CYBE-015</t>
        </is>
      </c>
      <c r="B387" t="inlineStr">
        <is>
          <t>Protection</t>
        </is>
      </c>
      <c r="C387" t="inlineStr">
        <is>
          <t>How mature is the organization in managing network segmentation for users, servers, cloud, OT, guest, production and sensitive systems, including ownership, evidence, metrics, fallback procedures and crisis stress testing?</t>
        </is>
      </c>
      <c r="D387" t="inlineStr">
        <is>
          <t>This topic affects exposure to Cyberattack; Data breach; Ransomware; Insider threat. It helps identify how disruption may impact operations, people, revenue, systems, legal exposure or recovery time.</t>
        </is>
      </c>
      <c r="E387" t="inlineStr">
        <is>
          <t>ISO/IEC 27001; ISO/IEC 27002; NIST CSF 2.0; CIS Controls; ISO/IEC 27701; GDPR; IEC 62443</t>
        </is>
      </c>
      <c r="F387" t="inlineStr">
        <is>
          <t>Policy/SOP; owner/RACI; system report; dashboard; contracts; test records; incident history; interview evidence related to network segmentation for users, servers, cloud, OT, guest, production and sensitive systems.</t>
        </is>
      </c>
      <c r="G387">
        <f>'Assessment Questions'!J387</f>
        <v/>
      </c>
      <c r="H387">
        <f>IF($Z387="","",IF($Z387="N/A","N/A",VALUE(LEFT($Z387,1))))</f>
        <v/>
      </c>
      <c r="I387">
        <f>IF($H387="","",IF($H387="N/A","",VALUE($H387)/5*$G387))</f>
        <v/>
      </c>
      <c r="J387">
        <f>IF(OR($H387="",$H387="N/A"),"",$G387)</f>
        <v/>
      </c>
      <c r="K387">
        <f>IF(OR($H387="",$H387="N/A"),"",$J387-$I387)</f>
        <v/>
      </c>
      <c r="L387">
        <f>IF($H387="","",IF($H387="N/A","N/A",IF(VALUE($H387)&lt;=1,"Critical",IF(VALUE($H387)&lt;=2,"High",IF(VALUE($H387)&lt;=3,"Medium",IF(VALUE($H387)&lt;=4,"Low","Resilient"))))))</f>
        <v/>
      </c>
      <c r="M387" t="inlineStr">
        <is>
          <t>Does not exist; no owner, no documentation, no practice.</t>
        </is>
      </c>
      <c r="N387" t="inlineStr">
        <is>
          <t>Ad hoc; depends entirely on specific individuals.</t>
        </is>
      </c>
      <c r="O387" t="inlineStr">
        <is>
          <t>Partially documented or implemented; coverage inconsistent; never tested under stress.</t>
        </is>
      </c>
      <c r="P387" t="inlineStr">
        <is>
          <t>Documented, owned, executed consistently; basic evidence and metrics exist.</t>
        </is>
      </c>
      <c r="Q387" t="inlineStr">
        <is>
          <t>Measured and periodically tested/audited; integrated with adjacent processes.</t>
        </is>
      </c>
      <c r="R387" t="inlineStr">
        <is>
          <t>Optimized and automated where practical; stress-tested; benchmarked externally.</t>
        </is>
      </c>
      <c r="S387" t="inlineStr">
        <is>
          <t>Cyberattack; Data breach; Ransomware; Insider threat</t>
        </is>
      </c>
      <c r="T387">
        <f>'Assessment Questions'!W387</f>
        <v/>
      </c>
      <c r="U387">
        <f>'Assessment Questions'!X387</f>
        <v/>
      </c>
      <c r="V387">
        <f>'Assessment Questions'!Y387</f>
        <v/>
      </c>
      <c r="W387" t="n">
        <v>5</v>
      </c>
      <c r="X387" t="n">
        <v>5</v>
      </c>
      <c r="Y387" t="n">
        <v>5</v>
      </c>
      <c r="Z387">
        <f>'Assessment Questions'!AC387</f>
        <v/>
      </c>
      <c r="AB387">
        <f>COUNTIF($B$373:$B$406,$AA387)</f>
        <v/>
      </c>
      <c r="AC387">
        <f>IFERROR(SUMPRODUCT(($B$373:$B$406=$AA387)*($H$373:$H$406&lt;&gt;"")*($H$373:$H$406&lt;&gt;"N/A")*IFERROR(VALUE($H$373:$H$406),0))/SUMPRODUCT(($B$373:$B$406=$AA387)*($H$373:$H$406&lt;&gt;"")*($H$373:$H$406&lt;&gt;"N/A")),0)</f>
        <v/>
      </c>
      <c r="AD387">
        <f>AC387/5</f>
        <v/>
      </c>
      <c r="AE387">
        <f>COUNTIFS($B$373:$B$406,$AA387,$L$373:$L$406,"Critical")+COUNTIFS($B$373:$B$406,$AA387,$L$373:$L$406,"High")</f>
        <v/>
      </c>
      <c r="AF387">
        <f>5-AC387</f>
        <v/>
      </c>
      <c r="AG387">
        <f>SUMPRODUCT(($B$373:$B$406=$AA387)*(ISNUMBER($H$373:$H$406)+($H$373:$H$406="N/A")))</f>
        <v/>
      </c>
      <c r="AH387">
        <f>'Assessment Questions'!AK387</f>
        <v/>
      </c>
      <c r="AI387">
        <f>'Assessment Questions'!AL387</f>
        <v/>
      </c>
      <c r="AJ387">
        <f>IF(OR($H387="",$H387="N/A"),"",IF($AH387="",VLOOKUP('Company Profile'!$B$40,_CONFIG_Model_Settings!$A$5:$B$8,2,FALSE),_xlfn.IFNA(VLOOKUP($AH387,_CONFIG_Model_Settings!$A$5:$B$8,2,FALSE),0.9)))</f>
        <v/>
      </c>
      <c r="AK387">
        <f>IF(OR($H387="",$H387="N/A"),"",IF($AI387="",VLOOKUP('Company Profile'!$B$41,_CONFIG_Model_Settings!$A$5:$B$8,2,FALSE),_xlfn.IFNA(VLOOKUP($AI387,_CONFIG_Model_Settings!$A$5:$B$8,2,FALSE),0.9)))</f>
        <v/>
      </c>
      <c r="AL387">
        <f>IF(OR($H387="",$H387="N/A"),"",ROUND(VALUE($H387)*$AJ387*$AK387*$AV387,2))</f>
        <v/>
      </c>
      <c r="AM387">
        <f>IF($AL387="","",ROUND($AL387/5*100,1))</f>
        <v/>
      </c>
      <c r="AN387">
        <f>IFERROR(MIN(5,MAX(0,(SUMIFS(_REF_Model_Content!$D$1:$D$157,_REF_Model_Content!$A$1:$A$157,'Company Profile'!$B$9,_REF_Model_Content!$B$1:$B$157,"Cyber Privacy"))+_xlfn.IFNA(VLOOKUP('Company Profile'!$B$35,_CONFIG_Model_Settings!$A$11:$B$13,2,0),0))),"")</f>
        <v/>
      </c>
      <c r="AO387">
        <f>IF($AL387="","",MAX(0,ROUND($AN387-$AL387,2)))</f>
        <v/>
      </c>
      <c r="AP387">
        <f>IFERROR(SUMIFS(_REF_Model_Content!$E$1:$E$157,_REF_Model_Content!$A$1:$A$157,'Company Profile'!$B$9,_REF_Model_Content!$B$1:$B$157,"Cyber Privacy"),1)</f>
        <v/>
      </c>
      <c r="AQ387">
        <f>IF($AO387="","",ROUND($AO387*$AP387*($G387/5),2))</f>
        <v/>
      </c>
      <c r="AR387">
        <f>IF($AO387="","",IF($AO387&gt;=2,"Critical industry gap",IF($AO387&gt;=1,"High industry gap",IF($AO387&gt;=0.5,"Moderate industry gap","Within target"))))</f>
        <v/>
      </c>
      <c r="AS387">
        <f>IF(OR($H387="",$H387="N/A"),0,VALUE($H387)*(($AJ387+$AK387)/2)*$AV387)</f>
        <v/>
      </c>
      <c r="AT387">
        <f>IF(OR($H387="",$H387="N/A"),0,($AJ387+$AK387)/2)</f>
        <v/>
      </c>
      <c r="AU387">
        <f>'Assessment Questions'!AX387</f>
        <v/>
      </c>
      <c r="AV387">
        <f>IF(OR($H387="",$H387="N/A"),"",IF(OR($AU387="",$AU387="Everywhere",$AU387="Not applicable"),1,IF($AU387="Pilot / one team",0.4,IF($AU387="One unit or site",0.7,0.9))))</f>
        <v/>
      </c>
      <c r="AW387" t="inlineStr">
        <is>
          <t>Cyber Privacy</t>
        </is>
      </c>
      <c r="AX387" t="inlineStr">
        <is>
          <t>Cyber Privacy</t>
        </is>
      </c>
      <c r="AY387" t="n">
        <v>19</v>
      </c>
      <c r="AZ387" t="n">
        <v>387</v>
      </c>
    </row>
    <row r="388">
      <c r="A388" t="inlineStr">
        <is>
          <t>CYBE-016</t>
        </is>
      </c>
      <c r="B388" t="inlineStr">
        <is>
          <t>Protection</t>
        </is>
      </c>
      <c r="C388" t="inlineStr">
        <is>
          <t>How mature is the organization in managing email protection against phishing, spoofing, malware and business email compromise, including ownership, evidence, metrics, fallback procedures and crisis stress testing?</t>
        </is>
      </c>
      <c r="D388" t="inlineStr">
        <is>
          <t>This topic affects exposure to Cyberattack; Data breach; Ransomware; Insider threat. It helps identify how disruption may impact operations, people, revenue, systems, legal exposure or recovery time.</t>
        </is>
      </c>
      <c r="E388" t="inlineStr">
        <is>
          <t>ISO/IEC 27001; ISO/IEC 27002; NIST CSF 2.0; CIS Controls; ISO/IEC 27701; GDPR; IEC 62443</t>
        </is>
      </c>
      <c r="F388" t="inlineStr">
        <is>
          <t>Policy/SOP; owner/RACI; system report; dashboard; contracts; test records; incident history; interview evidence related to email protection against phishing, spoofing, malware and business email compromise.</t>
        </is>
      </c>
      <c r="G388">
        <f>'Assessment Questions'!J388</f>
        <v/>
      </c>
      <c r="H388">
        <f>IF($Z388="","",IF($Z388="N/A","N/A",VALUE(LEFT($Z388,1))))</f>
        <v/>
      </c>
      <c r="I388">
        <f>IF($H388="","",IF($H388="N/A","",VALUE($H388)/5*$G388))</f>
        <v/>
      </c>
      <c r="J388">
        <f>IF(OR($H388="",$H388="N/A"),"",$G388)</f>
        <v/>
      </c>
      <c r="K388">
        <f>IF(OR($H388="",$H388="N/A"),"",$J388-$I388)</f>
        <v/>
      </c>
      <c r="L388">
        <f>IF($H388="","",IF($H388="N/A","N/A",IF(VALUE($H388)&lt;=1,"Critical",IF(VALUE($H388)&lt;=2,"High",IF(VALUE($H388)&lt;=3,"Medium",IF(VALUE($H388)&lt;=4,"Low","Resilient"))))))</f>
        <v/>
      </c>
      <c r="M388" t="inlineStr">
        <is>
          <t>No reliable evidence that email protection against phishing, spoofing, malware and business email compromise is defined, owned or managed.</t>
        </is>
      </c>
      <c r="N388" t="inlineStr">
        <is>
          <t>Email protection against phishing, spoofing, malware and business email compromise is handled informally and depends on individual knowledge or heroic effort.</t>
        </is>
      </c>
      <c r="O388" t="inlineStr">
        <is>
          <t>Email protection against phishing, spoofing, malware and business email compromise is partially documented or implemented, but coverage is inconsistent and not crisis-tested.</t>
        </is>
      </c>
      <c r="P388" t="inlineStr">
        <is>
          <t>Email protection against phishing, spoofing, malware and business email compromise is documented, owned, used in normal operations and supported by basic evidence or metrics.</t>
        </is>
      </c>
      <c r="Q388" t="inlineStr">
        <is>
          <t>Email protection against phishing, spoofing, malware and business email compromise is measured, periodically reviewed, integrated with related processes and tested against relevant disruption scenarios.</t>
        </is>
      </c>
      <c r="R388" t="inlineStr">
        <is>
          <t>Email protection against phishing, spoofing, malware and business email compromise is optimized, continuously improved, automated where practical and demonstrably supports crisis resilience.</t>
        </is>
      </c>
      <c r="S388" t="inlineStr">
        <is>
          <t>Cyberattack; Data breach; Ransomware; Insider threat</t>
        </is>
      </c>
      <c r="T388">
        <f>'Assessment Questions'!W388</f>
        <v/>
      </c>
      <c r="U388">
        <f>'Assessment Questions'!X388</f>
        <v/>
      </c>
      <c r="V388">
        <f>'Assessment Questions'!Y388</f>
        <v/>
      </c>
      <c r="W388" t="n">
        <v>5</v>
      </c>
      <c r="X388" t="n">
        <v>5</v>
      </c>
      <c r="Y388" t="n">
        <v>5</v>
      </c>
      <c r="Z388">
        <f>'Assessment Questions'!AC388</f>
        <v/>
      </c>
      <c r="AB388">
        <f>COUNTIF($B$373:$B$406,$AA388)</f>
        <v/>
      </c>
      <c r="AC388">
        <f>IFERROR(SUMPRODUCT(($B$373:$B$406=$AA388)*($H$373:$H$406&lt;&gt;"")*($H$373:$H$406&lt;&gt;"N/A")*IFERROR(VALUE($H$373:$H$406),0))/SUMPRODUCT(($B$373:$B$406=$AA388)*($H$373:$H$406&lt;&gt;"")*($H$373:$H$406&lt;&gt;"N/A")),0)</f>
        <v/>
      </c>
      <c r="AD388">
        <f>AC388/5</f>
        <v/>
      </c>
      <c r="AE388">
        <f>COUNTIFS($B$373:$B$406,$AA388,$L$373:$L$406,"Critical")+COUNTIFS($B$373:$B$406,$AA388,$L$373:$L$406,"High")</f>
        <v/>
      </c>
      <c r="AF388">
        <f>5-AC388</f>
        <v/>
      </c>
      <c r="AG388">
        <f>SUMPRODUCT(($B$373:$B$406=$AA388)*(ISNUMBER($H$373:$H$406)+($H$373:$H$406="N/A")))</f>
        <v/>
      </c>
      <c r="AH388">
        <f>'Assessment Questions'!AK388</f>
        <v/>
      </c>
      <c r="AI388">
        <f>'Assessment Questions'!AL388</f>
        <v/>
      </c>
      <c r="AJ388">
        <f>IF(OR($H388="",$H388="N/A"),"",IF($AH388="",VLOOKUP('Company Profile'!$B$40,_CONFIG_Model_Settings!$A$5:$B$8,2,FALSE),_xlfn.IFNA(VLOOKUP($AH388,_CONFIG_Model_Settings!$A$5:$B$8,2,FALSE),0.9)))</f>
        <v/>
      </c>
      <c r="AK388">
        <f>IF(OR($H388="",$H388="N/A"),"",IF($AI388="",VLOOKUP('Company Profile'!$B$41,_CONFIG_Model_Settings!$A$5:$B$8,2,FALSE),_xlfn.IFNA(VLOOKUP($AI388,_CONFIG_Model_Settings!$A$5:$B$8,2,FALSE),0.9)))</f>
        <v/>
      </c>
      <c r="AL388">
        <f>IF(OR($H388="",$H388="N/A"),"",ROUND(VALUE($H388)*$AJ388*$AK388*$AV388,2))</f>
        <v/>
      </c>
      <c r="AM388">
        <f>IF($AL388="","",ROUND($AL388/5*100,1))</f>
        <v/>
      </c>
      <c r="AN388">
        <f>IFERROR(MIN(5,MAX(0,(SUMIFS(_REF_Model_Content!$D$1:$D$157,_REF_Model_Content!$A$1:$A$157,'Company Profile'!$B$9,_REF_Model_Content!$B$1:$B$157,"Cyber Privacy"))+_xlfn.IFNA(VLOOKUP('Company Profile'!$B$35,_CONFIG_Model_Settings!$A$11:$B$13,2,0),0))),"")</f>
        <v/>
      </c>
      <c r="AO388">
        <f>IF($AL388="","",MAX(0,ROUND($AN388-$AL388,2)))</f>
        <v/>
      </c>
      <c r="AP388">
        <f>IFERROR(SUMIFS(_REF_Model_Content!$E$1:$E$157,_REF_Model_Content!$A$1:$A$157,'Company Profile'!$B$9,_REF_Model_Content!$B$1:$B$157,"Cyber Privacy"),1)</f>
        <v/>
      </c>
      <c r="AQ388">
        <f>IF($AO388="","",ROUND($AO388*$AP388*($G388/5),2))</f>
        <v/>
      </c>
      <c r="AR388">
        <f>IF($AO388="","",IF($AO388&gt;=2,"Critical industry gap",IF($AO388&gt;=1,"High industry gap",IF($AO388&gt;=0.5,"Moderate industry gap","Within target"))))</f>
        <v/>
      </c>
      <c r="AS388">
        <f>IF(OR($H388="",$H388="N/A"),0,VALUE($H388)*(($AJ388+$AK388)/2)*$AV388)</f>
        <v/>
      </c>
      <c r="AT388">
        <f>IF(OR($H388="",$H388="N/A"),0,($AJ388+$AK388)/2)</f>
        <v/>
      </c>
      <c r="AU388">
        <f>'Assessment Questions'!AX388</f>
        <v/>
      </c>
      <c r="AV388">
        <f>IF(OR($H388="",$H388="N/A"),"",IF(OR($AU388="",$AU388="Everywhere",$AU388="Not applicable"),1,IF($AU388="Pilot / one team",0.4,IF($AU388="One unit or site",0.7,0.9))))</f>
        <v/>
      </c>
      <c r="AW388" t="inlineStr">
        <is>
          <t>Cyber Privacy</t>
        </is>
      </c>
      <c r="AX388" t="inlineStr">
        <is>
          <t>Cyber Privacy</t>
        </is>
      </c>
      <c r="AY388" t="n">
        <v>20</v>
      </c>
      <c r="AZ388" t="n">
        <v>388</v>
      </c>
    </row>
    <row r="389">
      <c r="A389" t="inlineStr">
        <is>
          <t>CYBE-017</t>
        </is>
      </c>
      <c r="B389" t="inlineStr">
        <is>
          <t>Protection</t>
        </is>
      </c>
      <c r="C389" t="inlineStr">
        <is>
          <t>How mature is the organization in managing cloud security guardrails for IAM, logging, encryption, public exposure, secrets and network access, including ownership, evidence, metrics, fallback procedures and crisis stress testing?</t>
        </is>
      </c>
      <c r="D389" t="inlineStr">
        <is>
          <t>This topic affects exposure to Cyberattack; Data breach; Ransomware; Insider threat. It helps identify how disruption may impact operations, people, revenue, systems, legal exposure or recovery time.</t>
        </is>
      </c>
      <c r="E389" t="inlineStr">
        <is>
          <t>ISO/IEC 27001; ISO/IEC 27002; NIST CSF 2.0; CIS Controls; ISO/IEC 27701; GDPR; IEC 62443</t>
        </is>
      </c>
      <c r="F389" t="inlineStr">
        <is>
          <t>Policy/SOP; owner/RACI; system report; dashboard; contracts; test records; incident history; interview evidence related to cloud security guardrails for IAM, logging, encryption, public exposure, secrets and network access.</t>
        </is>
      </c>
      <c r="G389">
        <f>'Assessment Questions'!J389</f>
        <v/>
      </c>
      <c r="H389">
        <f>IF($Z389="","",IF($Z389="N/A","N/A",VALUE(LEFT($Z389,1))))</f>
        <v/>
      </c>
      <c r="I389">
        <f>IF($H389="","",IF($H389="N/A","",VALUE($H389)/5*$G389))</f>
        <v/>
      </c>
      <c r="J389">
        <f>IF(OR($H389="",$H389="N/A"),"",$G389)</f>
        <v/>
      </c>
      <c r="K389">
        <f>IF(OR($H389="",$H389="N/A"),"",$J389-$I389)</f>
        <v/>
      </c>
      <c r="L389">
        <f>IF($H389="","",IF($H389="N/A","N/A",IF(VALUE($H389)&lt;=1,"Critical",IF(VALUE($H389)&lt;=2,"High",IF(VALUE($H389)&lt;=3,"Medium",IF(VALUE($H389)&lt;=4,"Low","Resilient"))))))</f>
        <v/>
      </c>
      <c r="M389" t="inlineStr">
        <is>
          <t>Does not exist; no owner, no documentation, no practice.</t>
        </is>
      </c>
      <c r="N389" t="inlineStr">
        <is>
          <t>Ad hoc; depends entirely on specific individuals.</t>
        </is>
      </c>
      <c r="O389" t="inlineStr">
        <is>
          <t>Partially documented or implemented; coverage inconsistent; never tested under stress.</t>
        </is>
      </c>
      <c r="P389" t="inlineStr">
        <is>
          <t>Documented, owned, executed consistently; basic evidence and metrics exist.</t>
        </is>
      </c>
      <c r="Q389" t="inlineStr">
        <is>
          <t>Measured and periodically tested/audited; integrated with adjacent processes.</t>
        </is>
      </c>
      <c r="R389" t="inlineStr">
        <is>
          <t>Optimized and automated where practical; stress-tested; benchmarked externally.</t>
        </is>
      </c>
      <c r="S389" t="inlineStr">
        <is>
          <t>Cyberattack; Data breach; Ransomware; Insider threat</t>
        </is>
      </c>
      <c r="T389">
        <f>'Assessment Questions'!W389</f>
        <v/>
      </c>
      <c r="U389">
        <f>'Assessment Questions'!X389</f>
        <v/>
      </c>
      <c r="V389">
        <f>'Assessment Questions'!Y389</f>
        <v/>
      </c>
      <c r="W389" t="n">
        <v>5</v>
      </c>
      <c r="X389" t="n">
        <v>5</v>
      </c>
      <c r="Y389" t="n">
        <v>5</v>
      </c>
      <c r="Z389">
        <f>'Assessment Questions'!AC389</f>
        <v/>
      </c>
      <c r="AB389">
        <f>COUNTIF($B$373:$B$406,$AA389)</f>
        <v/>
      </c>
      <c r="AC389">
        <f>IFERROR(SUMPRODUCT(($B$373:$B$406=$AA389)*($H$373:$H$406&lt;&gt;"")*($H$373:$H$406&lt;&gt;"N/A")*IFERROR(VALUE($H$373:$H$406),0))/SUMPRODUCT(($B$373:$B$406=$AA389)*($H$373:$H$406&lt;&gt;"")*($H$373:$H$406&lt;&gt;"N/A")),0)</f>
        <v/>
      </c>
      <c r="AD389">
        <f>AC389/5</f>
        <v/>
      </c>
      <c r="AE389">
        <f>COUNTIFS($B$373:$B$406,$AA389,$L$373:$L$406,"Critical")+COUNTIFS($B$373:$B$406,$AA389,$L$373:$L$406,"High")</f>
        <v/>
      </c>
      <c r="AF389">
        <f>5-AC389</f>
        <v/>
      </c>
      <c r="AG389">
        <f>SUMPRODUCT(($B$373:$B$406=$AA389)*(ISNUMBER($H$373:$H$406)+($H$373:$H$406="N/A")))</f>
        <v/>
      </c>
      <c r="AH389">
        <f>'Assessment Questions'!AK389</f>
        <v/>
      </c>
      <c r="AI389">
        <f>'Assessment Questions'!AL389</f>
        <v/>
      </c>
      <c r="AJ389">
        <f>IF(OR($H389="",$H389="N/A"),"",IF($AH389="",VLOOKUP('Company Profile'!$B$40,_CONFIG_Model_Settings!$A$5:$B$8,2,FALSE),_xlfn.IFNA(VLOOKUP($AH389,_CONFIG_Model_Settings!$A$5:$B$8,2,FALSE),0.9)))</f>
        <v/>
      </c>
      <c r="AK389">
        <f>IF(OR($H389="",$H389="N/A"),"",IF($AI389="",VLOOKUP('Company Profile'!$B$41,_CONFIG_Model_Settings!$A$5:$B$8,2,FALSE),_xlfn.IFNA(VLOOKUP($AI389,_CONFIG_Model_Settings!$A$5:$B$8,2,FALSE),0.9)))</f>
        <v/>
      </c>
      <c r="AL389">
        <f>IF(OR($H389="",$H389="N/A"),"",ROUND(VALUE($H389)*$AJ389*$AK389*$AV389,2))</f>
        <v/>
      </c>
      <c r="AM389">
        <f>IF($AL389="","",ROUND($AL389/5*100,1))</f>
        <v/>
      </c>
      <c r="AN389">
        <f>IFERROR(MIN(5,MAX(0,(SUMIFS(_REF_Model_Content!$D$1:$D$157,_REF_Model_Content!$A$1:$A$157,'Company Profile'!$B$9,_REF_Model_Content!$B$1:$B$157,"Cyber Privacy"))+_xlfn.IFNA(VLOOKUP('Company Profile'!$B$35,_CONFIG_Model_Settings!$A$11:$B$13,2,0),0))),"")</f>
        <v/>
      </c>
      <c r="AO389">
        <f>IF($AL389="","",MAX(0,ROUND($AN389-$AL389,2)))</f>
        <v/>
      </c>
      <c r="AP389">
        <f>IFERROR(SUMIFS(_REF_Model_Content!$E$1:$E$157,_REF_Model_Content!$A$1:$A$157,'Company Profile'!$B$9,_REF_Model_Content!$B$1:$B$157,"Cyber Privacy"),1)</f>
        <v/>
      </c>
      <c r="AQ389">
        <f>IF($AO389="","",ROUND($AO389*$AP389*($G389/5),2))</f>
        <v/>
      </c>
      <c r="AR389">
        <f>IF($AO389="","",IF($AO389&gt;=2,"Critical industry gap",IF($AO389&gt;=1,"High industry gap",IF($AO389&gt;=0.5,"Moderate industry gap","Within target"))))</f>
        <v/>
      </c>
      <c r="AS389">
        <f>IF(OR($H389="",$H389="N/A"),0,VALUE($H389)*(($AJ389+$AK389)/2)*$AV389)</f>
        <v/>
      </c>
      <c r="AT389">
        <f>IF(OR($H389="",$H389="N/A"),0,($AJ389+$AK389)/2)</f>
        <v/>
      </c>
      <c r="AU389">
        <f>'Assessment Questions'!AX389</f>
        <v/>
      </c>
      <c r="AV389">
        <f>IF(OR($H389="",$H389="N/A"),"",IF(OR($AU389="",$AU389="Everywhere",$AU389="Not applicable"),1,IF($AU389="Pilot / one team",0.4,IF($AU389="One unit or site",0.7,0.9))))</f>
        <v/>
      </c>
      <c r="AW389" t="inlineStr">
        <is>
          <t>Cyber Privacy</t>
        </is>
      </c>
      <c r="AX389" t="inlineStr">
        <is>
          <t>Cyber Privacy</t>
        </is>
      </c>
      <c r="AY389" t="n">
        <v>21</v>
      </c>
      <c r="AZ389" t="n">
        <v>389</v>
      </c>
    </row>
    <row r="390">
      <c r="A390" t="inlineStr">
        <is>
          <t>CYBE-018</t>
        </is>
      </c>
      <c r="B390" t="inlineStr">
        <is>
          <t>Protection</t>
        </is>
      </c>
      <c r="C390" t="inlineStr">
        <is>
          <t>How mature is the organization in managing secrets, API keys, certificates and credentials management and rotation, including ownership, evidence, metrics, fallback procedures and crisis stress testing?</t>
        </is>
      </c>
      <c r="D390" t="inlineStr">
        <is>
          <t>This topic affects exposure to Cyberattack; Data breach; Ransomware; Insider threat. It helps identify how disruption may impact operations, people, revenue, systems, legal exposure or recovery time.</t>
        </is>
      </c>
      <c r="E390" t="inlineStr">
        <is>
          <t>ISO/IEC 27001; ISO/IEC 27002; NIST CSF 2.0; CIS Controls; ISO/IEC 27701; GDPR; IEC 62443</t>
        </is>
      </c>
      <c r="F390" t="inlineStr">
        <is>
          <t>Policy/SOP; owner/RACI; system report; dashboard; contracts; test records; incident history; interview evidence related to secrets, API keys, certificates and credentials management and rotation.</t>
        </is>
      </c>
      <c r="G390">
        <f>'Assessment Questions'!J390</f>
        <v/>
      </c>
      <c r="H390">
        <f>IF($Z390="","",IF($Z390="N/A","N/A",VALUE(LEFT($Z390,1))))</f>
        <v/>
      </c>
      <c r="I390">
        <f>IF($H390="","",IF($H390="N/A","",VALUE($H390)/5*$G390))</f>
        <v/>
      </c>
      <c r="J390">
        <f>IF(OR($H390="",$H390="N/A"),"",$G390)</f>
        <v/>
      </c>
      <c r="K390">
        <f>IF(OR($H390="",$H390="N/A"),"",$J390-$I390)</f>
        <v/>
      </c>
      <c r="L390">
        <f>IF($H390="","",IF($H390="N/A","N/A",IF(VALUE($H390)&lt;=1,"Critical",IF(VALUE($H390)&lt;=2,"High",IF(VALUE($H390)&lt;=3,"Medium",IF(VALUE($H390)&lt;=4,"Low","Resilient"))))))</f>
        <v/>
      </c>
      <c r="M390" t="inlineStr">
        <is>
          <t>No reliable evidence that secrets, api keys, certificates and credentials management and rotation is defined, owned or managed.</t>
        </is>
      </c>
      <c r="N390" t="inlineStr">
        <is>
          <t>Secrets, API keys, certificates and credentials management and rotation is handled informally and depends on individual knowledge or heroic effort.</t>
        </is>
      </c>
      <c r="O390" t="inlineStr">
        <is>
          <t>Secrets, API keys, certificates and credentials management and rotation is partially documented or implemented, but coverage is inconsistent and not crisis-tested.</t>
        </is>
      </c>
      <c r="P390" t="inlineStr">
        <is>
          <t>Secrets, API keys, certificates and credentials management and rotation is documented, owned, used in normal operations and supported by basic evidence or metrics.</t>
        </is>
      </c>
      <c r="Q390" t="inlineStr">
        <is>
          <t>Secrets, API keys, certificates and credentials management and rotation is measured, periodically reviewed, integrated with related processes and tested against relevant disruption scenarios.</t>
        </is>
      </c>
      <c r="R390" t="inlineStr">
        <is>
          <t>Secrets, API keys, certificates and credentials management and rotation is optimized, continuously improved, automated where practical and demonstrably supports crisis resilience.</t>
        </is>
      </c>
      <c r="S390" t="inlineStr">
        <is>
          <t>Cyberattack; Data breach; Ransomware; Insider threat</t>
        </is>
      </c>
      <c r="T390">
        <f>'Assessment Questions'!W390</f>
        <v/>
      </c>
      <c r="U390">
        <f>'Assessment Questions'!X390</f>
        <v/>
      </c>
      <c r="V390">
        <f>'Assessment Questions'!Y390</f>
        <v/>
      </c>
      <c r="W390" t="n">
        <v>5</v>
      </c>
      <c r="X390" t="n">
        <v>5</v>
      </c>
      <c r="Y390" t="n">
        <v>5</v>
      </c>
      <c r="Z390">
        <f>'Assessment Questions'!AC390</f>
        <v/>
      </c>
      <c r="AB390">
        <f>COUNTIF($B$373:$B$406,$AA390)</f>
        <v/>
      </c>
      <c r="AC390">
        <f>IFERROR(SUMPRODUCT(($B$373:$B$406=$AA390)*($H$373:$H$406&lt;&gt;"")*($H$373:$H$406&lt;&gt;"N/A")*IFERROR(VALUE($H$373:$H$406),0))/SUMPRODUCT(($B$373:$B$406=$AA390)*($H$373:$H$406&lt;&gt;"")*($H$373:$H$406&lt;&gt;"N/A")),0)</f>
        <v/>
      </c>
      <c r="AD390">
        <f>AC390/5</f>
        <v/>
      </c>
      <c r="AE390">
        <f>COUNTIFS($B$373:$B$406,$AA390,$L$373:$L$406,"Critical")+COUNTIFS($B$373:$B$406,$AA390,$L$373:$L$406,"High")</f>
        <v/>
      </c>
      <c r="AF390">
        <f>5-AC390</f>
        <v/>
      </c>
      <c r="AG390">
        <f>SUMPRODUCT(($B$373:$B$406=$AA390)*(ISNUMBER($H$373:$H$406)+($H$373:$H$406="N/A")))</f>
        <v/>
      </c>
      <c r="AH390">
        <f>'Assessment Questions'!AK390</f>
        <v/>
      </c>
      <c r="AI390">
        <f>'Assessment Questions'!AL390</f>
        <v/>
      </c>
      <c r="AJ390">
        <f>IF(OR($H390="",$H390="N/A"),"",IF($AH390="",VLOOKUP('Company Profile'!$B$40,_CONFIG_Model_Settings!$A$5:$B$8,2,FALSE),_xlfn.IFNA(VLOOKUP($AH390,_CONFIG_Model_Settings!$A$5:$B$8,2,FALSE),0.9)))</f>
        <v/>
      </c>
      <c r="AK390">
        <f>IF(OR($H390="",$H390="N/A"),"",IF($AI390="",VLOOKUP('Company Profile'!$B$41,_CONFIG_Model_Settings!$A$5:$B$8,2,FALSE),_xlfn.IFNA(VLOOKUP($AI390,_CONFIG_Model_Settings!$A$5:$B$8,2,FALSE),0.9)))</f>
        <v/>
      </c>
      <c r="AL390">
        <f>IF(OR($H390="",$H390="N/A"),"",ROUND(VALUE($H390)*$AJ390*$AK390*$AV390,2))</f>
        <v/>
      </c>
      <c r="AM390">
        <f>IF($AL390="","",ROUND($AL390/5*100,1))</f>
        <v/>
      </c>
      <c r="AN390">
        <f>IFERROR(MIN(5,MAX(0,(SUMIFS(_REF_Model_Content!$D$1:$D$157,_REF_Model_Content!$A$1:$A$157,'Company Profile'!$B$9,_REF_Model_Content!$B$1:$B$157,"Cyber Privacy"))+_xlfn.IFNA(VLOOKUP('Company Profile'!$B$35,_CONFIG_Model_Settings!$A$11:$B$13,2,0),0))),"")</f>
        <v/>
      </c>
      <c r="AO390">
        <f>IF($AL390="","",MAX(0,ROUND($AN390-$AL390,2)))</f>
        <v/>
      </c>
      <c r="AP390">
        <f>IFERROR(SUMIFS(_REF_Model_Content!$E$1:$E$157,_REF_Model_Content!$A$1:$A$157,'Company Profile'!$B$9,_REF_Model_Content!$B$1:$B$157,"Cyber Privacy"),1)</f>
        <v/>
      </c>
      <c r="AQ390">
        <f>IF($AO390="","",ROUND($AO390*$AP390*($G390/5),2))</f>
        <v/>
      </c>
      <c r="AR390">
        <f>IF($AO390="","",IF($AO390&gt;=2,"Critical industry gap",IF($AO390&gt;=1,"High industry gap",IF($AO390&gt;=0.5,"Moderate industry gap","Within target"))))</f>
        <v/>
      </c>
      <c r="AS390">
        <f>IF(OR($H390="",$H390="N/A"),0,VALUE($H390)*(($AJ390+$AK390)/2)*$AV390)</f>
        <v/>
      </c>
      <c r="AT390">
        <f>IF(OR($H390="",$H390="N/A"),0,($AJ390+$AK390)/2)</f>
        <v/>
      </c>
      <c r="AU390">
        <f>'Assessment Questions'!AX390</f>
        <v/>
      </c>
      <c r="AV390">
        <f>IF(OR($H390="",$H390="N/A"),"",IF(OR($AU390="",$AU390="Everywhere",$AU390="Not applicable"),1,IF($AU390="Pilot / one team",0.4,IF($AU390="One unit or site",0.7,0.9))))</f>
        <v/>
      </c>
      <c r="AW390" t="inlineStr">
        <is>
          <t>Cyber Privacy</t>
        </is>
      </c>
      <c r="AX390" t="inlineStr">
        <is>
          <t>Cyber Privacy</t>
        </is>
      </c>
      <c r="AY390" t="n">
        <v>22</v>
      </c>
      <c r="AZ390" t="n">
        <v>390</v>
      </c>
    </row>
    <row r="391">
      <c r="A391" t="inlineStr">
        <is>
          <t>CYBE-019</t>
        </is>
      </c>
      <c r="B391" t="inlineStr">
        <is>
          <t>Protection</t>
        </is>
      </c>
      <c r="C391" t="inlineStr">
        <is>
          <t>How mature is the organization in managing encryption for sensitive data at rest and in transit, including ownership, evidence, metrics, fallback procedures and crisis stress testing?</t>
        </is>
      </c>
      <c r="D391" t="inlineStr">
        <is>
          <t>This topic affects exposure to Cyberattack; Data breach; Ransomware; Insider threat. It helps identify how disruption may impact operations, people, revenue, systems, legal exposure or recovery time.</t>
        </is>
      </c>
      <c r="E391" t="inlineStr">
        <is>
          <t>ISO/IEC 27001; ISO/IEC 27002; NIST CSF 2.0; CIS Controls; ISO/IEC 27701; GDPR; IEC 62443</t>
        </is>
      </c>
      <c r="F391" t="inlineStr">
        <is>
          <t>Policy/SOP; owner/RACI; system report; dashboard; contracts; test records; incident history; interview evidence related to encryption for sensitive data at rest and in transit.</t>
        </is>
      </c>
      <c r="G391">
        <f>'Assessment Questions'!J391</f>
        <v/>
      </c>
      <c r="H391">
        <f>IF($Z391="","",IF($Z391="N/A","N/A",VALUE(LEFT($Z391,1))))</f>
        <v/>
      </c>
      <c r="I391">
        <f>IF($H391="","",IF($H391="N/A","",VALUE($H391)/5*$G391))</f>
        <v/>
      </c>
      <c r="J391">
        <f>IF(OR($H391="",$H391="N/A"),"",$G391)</f>
        <v/>
      </c>
      <c r="K391">
        <f>IF(OR($H391="",$H391="N/A"),"",$J391-$I391)</f>
        <v/>
      </c>
      <c r="L391">
        <f>IF($H391="","",IF($H391="N/A","N/A",IF(VALUE($H391)&lt;=1,"Critical",IF(VALUE($H391)&lt;=2,"High",IF(VALUE($H391)&lt;=3,"Medium",IF(VALUE($H391)&lt;=4,"Low","Resilient"))))))</f>
        <v/>
      </c>
      <c r="M391" t="inlineStr">
        <is>
          <t>No reliable evidence that encryption for sensitive data at rest and in transit is defined, owned or managed.</t>
        </is>
      </c>
      <c r="N391" t="inlineStr">
        <is>
          <t>Encryption for sensitive data at rest and in transit is handled informally and depends on individual knowledge or heroic effort.</t>
        </is>
      </c>
      <c r="O391" t="inlineStr">
        <is>
          <t>Encryption for sensitive data at rest and in transit is partially documented or implemented, but coverage is inconsistent and not crisis-tested.</t>
        </is>
      </c>
      <c r="P391" t="inlineStr">
        <is>
          <t>Encryption for sensitive data at rest and in transit is documented, owned, used in normal operations and supported by basic evidence or metrics.</t>
        </is>
      </c>
      <c r="Q391" t="inlineStr">
        <is>
          <t>Encryption for sensitive data at rest and in transit is measured, periodically reviewed, integrated with related processes and tested against relevant disruption scenarios.</t>
        </is>
      </c>
      <c r="R391" t="inlineStr">
        <is>
          <t>Encryption for sensitive data at rest and in transit is optimized, continuously improved, automated where practical and demonstrably supports crisis resilience.</t>
        </is>
      </c>
      <c r="S391" t="inlineStr">
        <is>
          <t>Cyberattack; Data breach; Ransomware; Insider threat</t>
        </is>
      </c>
      <c r="T391">
        <f>'Assessment Questions'!W391</f>
        <v/>
      </c>
      <c r="U391">
        <f>'Assessment Questions'!X391</f>
        <v/>
      </c>
      <c r="V391">
        <f>'Assessment Questions'!Y391</f>
        <v/>
      </c>
      <c r="W391" t="n">
        <v>5</v>
      </c>
      <c r="X391" t="n">
        <v>5</v>
      </c>
      <c r="Y391" t="n">
        <v>5</v>
      </c>
      <c r="Z391">
        <f>'Assessment Questions'!AC391</f>
        <v/>
      </c>
      <c r="AB391">
        <f>COUNTIF($B$373:$B$406,$AA391)</f>
        <v/>
      </c>
      <c r="AC391">
        <f>IFERROR(SUMPRODUCT(($B$373:$B$406=$AA391)*($H$373:$H$406&lt;&gt;"")*($H$373:$H$406&lt;&gt;"N/A")*IFERROR(VALUE($H$373:$H$406),0))/SUMPRODUCT(($B$373:$B$406=$AA391)*($H$373:$H$406&lt;&gt;"")*($H$373:$H$406&lt;&gt;"N/A")),0)</f>
        <v/>
      </c>
      <c r="AD391">
        <f>AC391/5</f>
        <v/>
      </c>
      <c r="AE391">
        <f>COUNTIFS($B$373:$B$406,$AA391,$L$373:$L$406,"Critical")+COUNTIFS($B$373:$B$406,$AA391,$L$373:$L$406,"High")</f>
        <v/>
      </c>
      <c r="AF391">
        <f>5-AC391</f>
        <v/>
      </c>
      <c r="AG391">
        <f>SUMPRODUCT(($B$373:$B$406=$AA391)*(ISNUMBER($H$373:$H$406)+($H$373:$H$406="N/A")))</f>
        <v/>
      </c>
      <c r="AH391">
        <f>'Assessment Questions'!AK391</f>
        <v/>
      </c>
      <c r="AI391">
        <f>'Assessment Questions'!AL391</f>
        <v/>
      </c>
      <c r="AJ391">
        <f>IF(OR($H391="",$H391="N/A"),"",IF($AH391="",VLOOKUP('Company Profile'!$B$40,_CONFIG_Model_Settings!$A$5:$B$8,2,FALSE),_xlfn.IFNA(VLOOKUP($AH391,_CONFIG_Model_Settings!$A$5:$B$8,2,FALSE),0.9)))</f>
        <v/>
      </c>
      <c r="AK391">
        <f>IF(OR($H391="",$H391="N/A"),"",IF($AI391="",VLOOKUP('Company Profile'!$B$41,_CONFIG_Model_Settings!$A$5:$B$8,2,FALSE),_xlfn.IFNA(VLOOKUP($AI391,_CONFIG_Model_Settings!$A$5:$B$8,2,FALSE),0.9)))</f>
        <v/>
      </c>
      <c r="AL391">
        <f>IF(OR($H391="",$H391="N/A"),"",ROUND(VALUE($H391)*$AJ391*$AK391*$AV391,2))</f>
        <v/>
      </c>
      <c r="AM391">
        <f>IF($AL391="","",ROUND($AL391/5*100,1))</f>
        <v/>
      </c>
      <c r="AN391">
        <f>IFERROR(MIN(5,MAX(0,(SUMIFS(_REF_Model_Content!$D$1:$D$157,_REF_Model_Content!$A$1:$A$157,'Company Profile'!$B$9,_REF_Model_Content!$B$1:$B$157,"Cyber Privacy"))+_xlfn.IFNA(VLOOKUP('Company Profile'!$B$35,_CONFIG_Model_Settings!$A$11:$B$13,2,0),0))),"")</f>
        <v/>
      </c>
      <c r="AO391">
        <f>IF($AL391="","",MAX(0,ROUND($AN391-$AL391,2)))</f>
        <v/>
      </c>
      <c r="AP391">
        <f>IFERROR(SUMIFS(_REF_Model_Content!$E$1:$E$157,_REF_Model_Content!$A$1:$A$157,'Company Profile'!$B$9,_REF_Model_Content!$B$1:$B$157,"Cyber Privacy"),1)</f>
        <v/>
      </c>
      <c r="AQ391">
        <f>IF($AO391="","",ROUND($AO391*$AP391*($G391/5),2))</f>
        <v/>
      </c>
      <c r="AR391">
        <f>IF($AO391="","",IF($AO391&gt;=2,"Critical industry gap",IF($AO391&gt;=1,"High industry gap",IF($AO391&gt;=0.5,"Moderate industry gap","Within target"))))</f>
        <v/>
      </c>
      <c r="AS391">
        <f>IF(OR($H391="",$H391="N/A"),0,VALUE($H391)*(($AJ391+$AK391)/2)*$AV391)</f>
        <v/>
      </c>
      <c r="AT391">
        <f>IF(OR($H391="",$H391="N/A"),0,($AJ391+$AK391)/2)</f>
        <v/>
      </c>
      <c r="AU391">
        <f>'Assessment Questions'!AX391</f>
        <v/>
      </c>
      <c r="AV391">
        <f>IF(OR($H391="",$H391="N/A"),"",IF(OR($AU391="",$AU391="Everywhere",$AU391="Not applicable"),1,IF($AU391="Pilot / one team",0.4,IF($AU391="One unit or site",0.7,0.9))))</f>
        <v/>
      </c>
      <c r="AW391" t="inlineStr">
        <is>
          <t>Cyber Privacy</t>
        </is>
      </c>
      <c r="AX391" t="inlineStr">
        <is>
          <t>Cyber Privacy</t>
        </is>
      </c>
      <c r="AY391" t="n">
        <v>23</v>
      </c>
      <c r="AZ391" t="n">
        <v>391</v>
      </c>
    </row>
    <row r="392">
      <c r="A392" t="inlineStr">
        <is>
          <t>CYBE-020</t>
        </is>
      </c>
      <c r="B392" t="inlineStr">
        <is>
          <t>Protection</t>
        </is>
      </c>
      <c r="C392" t="inlineStr">
        <is>
          <t>How mature is the organization in managing DLP controls for sensitive data in email, cloud storage, endpoints and collaboration tools, including ownership, evidence, metrics, fallback procedures and crisis stress testing?</t>
        </is>
      </c>
      <c r="D392" t="inlineStr">
        <is>
          <t>This topic affects exposure to Cyberattack; Data breach; Ransomware; Insider threat. It helps identify how disruption may impact operations, people, revenue, systems, legal exposure or recovery time.</t>
        </is>
      </c>
      <c r="E392" t="inlineStr">
        <is>
          <t>ISO/IEC 27001; ISO/IEC 27002; NIST CSF 2.0; CIS Controls; ISO/IEC 27701; GDPR; IEC 62443</t>
        </is>
      </c>
      <c r="F392" t="inlineStr">
        <is>
          <t>Policy/SOP; owner/RACI; system report; dashboard; contracts; test records; incident history; interview evidence related to DLP controls for sensitive data in email, cloud storage, endpoints and collaboration tools.</t>
        </is>
      </c>
      <c r="G392">
        <f>'Assessment Questions'!J392</f>
        <v/>
      </c>
      <c r="H392">
        <f>IF($Z392="","",IF($Z392="N/A","N/A",VALUE(LEFT($Z392,1))))</f>
        <v/>
      </c>
      <c r="I392">
        <f>IF($H392="","",IF($H392="N/A","",VALUE($H392)/5*$G392))</f>
        <v/>
      </c>
      <c r="J392">
        <f>IF(OR($H392="",$H392="N/A"),"",$G392)</f>
        <v/>
      </c>
      <c r="K392">
        <f>IF(OR($H392="",$H392="N/A"),"",$J392-$I392)</f>
        <v/>
      </c>
      <c r="L392">
        <f>IF($H392="","",IF($H392="N/A","N/A",IF(VALUE($H392)&lt;=1,"Critical",IF(VALUE($H392)&lt;=2,"High",IF(VALUE($H392)&lt;=3,"Medium",IF(VALUE($H392)&lt;=4,"Low","Resilient"))))))</f>
        <v/>
      </c>
      <c r="M392" t="inlineStr">
        <is>
          <t>Does not exist; no owner, no documentation, no practice.</t>
        </is>
      </c>
      <c r="N392" t="inlineStr">
        <is>
          <t>Ad hoc; depends entirely on specific individuals.</t>
        </is>
      </c>
      <c r="O392" t="inlineStr">
        <is>
          <t>Partially documented or implemented; coverage inconsistent; never tested under stress.</t>
        </is>
      </c>
      <c r="P392" t="inlineStr">
        <is>
          <t>Documented, owned, executed consistently; basic evidence and metrics exist.</t>
        </is>
      </c>
      <c r="Q392" t="inlineStr">
        <is>
          <t>Measured and periodically tested/audited; integrated with adjacent processes.</t>
        </is>
      </c>
      <c r="R392" t="inlineStr">
        <is>
          <t>Optimized and automated where practical; stress-tested; benchmarked externally.</t>
        </is>
      </c>
      <c r="S392" t="inlineStr">
        <is>
          <t>Cyberattack; Data breach; Ransomware; Insider threat</t>
        </is>
      </c>
      <c r="T392">
        <f>'Assessment Questions'!W392</f>
        <v/>
      </c>
      <c r="U392">
        <f>'Assessment Questions'!X392</f>
        <v/>
      </c>
      <c r="V392">
        <f>'Assessment Questions'!Y392</f>
        <v/>
      </c>
      <c r="W392" t="n">
        <v>5</v>
      </c>
      <c r="X392" t="n">
        <v>5</v>
      </c>
      <c r="Y392" t="n">
        <v>5</v>
      </c>
      <c r="Z392">
        <f>'Assessment Questions'!AC392</f>
        <v/>
      </c>
      <c r="AB392">
        <f>COUNTIF($B$373:$B$406,$AA392)</f>
        <v/>
      </c>
      <c r="AC392">
        <f>IFERROR(SUMPRODUCT(($B$373:$B$406=$AA392)*($H$373:$H$406&lt;&gt;"")*($H$373:$H$406&lt;&gt;"N/A")*IFERROR(VALUE($H$373:$H$406),0))/SUMPRODUCT(($B$373:$B$406=$AA392)*($H$373:$H$406&lt;&gt;"")*($H$373:$H$406&lt;&gt;"N/A")),0)</f>
        <v/>
      </c>
      <c r="AD392">
        <f>AC392/5</f>
        <v/>
      </c>
      <c r="AE392">
        <f>COUNTIFS($B$373:$B$406,$AA392,$L$373:$L$406,"Critical")+COUNTIFS($B$373:$B$406,$AA392,$L$373:$L$406,"High")</f>
        <v/>
      </c>
      <c r="AF392">
        <f>5-AC392</f>
        <v/>
      </c>
      <c r="AG392">
        <f>SUMPRODUCT(($B$373:$B$406=$AA392)*(ISNUMBER($H$373:$H$406)+($H$373:$H$406="N/A")))</f>
        <v/>
      </c>
      <c r="AH392">
        <f>'Assessment Questions'!AK392</f>
        <v/>
      </c>
      <c r="AI392">
        <f>'Assessment Questions'!AL392</f>
        <v/>
      </c>
      <c r="AJ392">
        <f>IF(OR($H392="",$H392="N/A"),"",IF($AH392="",VLOOKUP('Company Profile'!$B$40,_CONFIG_Model_Settings!$A$5:$B$8,2,FALSE),_xlfn.IFNA(VLOOKUP($AH392,_CONFIG_Model_Settings!$A$5:$B$8,2,FALSE),0.9)))</f>
        <v/>
      </c>
      <c r="AK392">
        <f>IF(OR($H392="",$H392="N/A"),"",IF($AI392="",VLOOKUP('Company Profile'!$B$41,_CONFIG_Model_Settings!$A$5:$B$8,2,FALSE),_xlfn.IFNA(VLOOKUP($AI392,_CONFIG_Model_Settings!$A$5:$B$8,2,FALSE),0.9)))</f>
        <v/>
      </c>
      <c r="AL392">
        <f>IF(OR($H392="",$H392="N/A"),"",ROUND(VALUE($H392)*$AJ392*$AK392*$AV392,2))</f>
        <v/>
      </c>
      <c r="AM392">
        <f>IF($AL392="","",ROUND($AL392/5*100,1))</f>
        <v/>
      </c>
      <c r="AN392">
        <f>IFERROR(MIN(5,MAX(0,(SUMIFS(_REF_Model_Content!$D$1:$D$157,_REF_Model_Content!$A$1:$A$157,'Company Profile'!$B$9,_REF_Model_Content!$B$1:$B$157,"Cyber Privacy"))+_xlfn.IFNA(VLOOKUP('Company Profile'!$B$35,_CONFIG_Model_Settings!$A$11:$B$13,2,0),0))),"")</f>
        <v/>
      </c>
      <c r="AO392">
        <f>IF($AL392="","",MAX(0,ROUND($AN392-$AL392,2)))</f>
        <v/>
      </c>
      <c r="AP392">
        <f>IFERROR(SUMIFS(_REF_Model_Content!$E$1:$E$157,_REF_Model_Content!$A$1:$A$157,'Company Profile'!$B$9,_REF_Model_Content!$B$1:$B$157,"Cyber Privacy"),1)</f>
        <v/>
      </c>
      <c r="AQ392">
        <f>IF($AO392="","",ROUND($AO392*$AP392*($G392/5),2))</f>
        <v/>
      </c>
      <c r="AR392">
        <f>IF($AO392="","",IF($AO392&gt;=2,"Critical industry gap",IF($AO392&gt;=1,"High industry gap",IF($AO392&gt;=0.5,"Moderate industry gap","Within target"))))</f>
        <v/>
      </c>
      <c r="AS392">
        <f>IF(OR($H392="",$H392="N/A"),0,VALUE($H392)*(($AJ392+$AK392)/2)*$AV392)</f>
        <v/>
      </c>
      <c r="AT392">
        <f>IF(OR($H392="",$H392="N/A"),0,($AJ392+$AK392)/2)</f>
        <v/>
      </c>
      <c r="AU392">
        <f>'Assessment Questions'!AX392</f>
        <v/>
      </c>
      <c r="AV392">
        <f>IF(OR($H392="",$H392="N/A"),"",IF(OR($AU392="",$AU392="Everywhere",$AU392="Not applicable"),1,IF($AU392="Pilot / one team",0.4,IF($AU392="One unit or site",0.7,0.9))))</f>
        <v/>
      </c>
      <c r="AW392" t="inlineStr">
        <is>
          <t>Cyber Privacy</t>
        </is>
      </c>
      <c r="AX392" t="inlineStr">
        <is>
          <t>Cyber Privacy</t>
        </is>
      </c>
      <c r="AY392" t="n">
        <v>24</v>
      </c>
      <c r="AZ392" t="n">
        <v>392</v>
      </c>
    </row>
    <row r="393">
      <c r="A393" t="inlineStr">
        <is>
          <t>CYBE-021</t>
        </is>
      </c>
      <c r="B393" t="inlineStr">
        <is>
          <t>Detection and response</t>
        </is>
      </c>
      <c r="C393" t="inlineStr">
        <is>
          <t>How mature is the organization in managing log collection and monitoring for identity, endpoints, cloud, network, critical apps and security tools, including ownership, evidence, metrics, fallback procedures and crisis stress testing?</t>
        </is>
      </c>
      <c r="D393" t="inlineStr">
        <is>
          <t>This topic affects exposure to Cyberattack; Data breach; Ransomware; Insider threat. It helps identify how disruption may impact operations, people, revenue, systems, legal exposure or recovery time.</t>
        </is>
      </c>
      <c r="E393" t="inlineStr">
        <is>
          <t>ISO/IEC 27001; ISO/IEC 27002; NIST CSF 2.0; CIS Controls; ISO/IEC 27701; GDPR; IEC 62443</t>
        </is>
      </c>
      <c r="F393" t="inlineStr">
        <is>
          <t>Policy/SOP; owner/RACI; system report; dashboard; contracts; test records; incident history; interview evidence related to log collection and monitoring for identity, endpoints, cloud, network, critical apps and security tools.</t>
        </is>
      </c>
      <c r="G393">
        <f>'Assessment Questions'!J393</f>
        <v/>
      </c>
      <c r="H393">
        <f>IF($Z393="","",IF($Z393="N/A","N/A",VALUE(LEFT($Z393,1))))</f>
        <v/>
      </c>
      <c r="I393">
        <f>IF($H393="","",IF($H393="N/A","",VALUE($H393)/5*$G393))</f>
        <v/>
      </c>
      <c r="J393">
        <f>IF(OR($H393="",$H393="N/A"),"",$G393)</f>
        <v/>
      </c>
      <c r="K393">
        <f>IF(OR($H393="",$H393="N/A"),"",$J393-$I393)</f>
        <v/>
      </c>
      <c r="L393">
        <f>IF($H393="","",IF($H393="N/A","N/A",IF(VALUE($H393)&lt;=1,"Critical",IF(VALUE($H393)&lt;=2,"High",IF(VALUE($H393)&lt;=3,"Medium",IF(VALUE($H393)&lt;=4,"Low","Resilient"))))))</f>
        <v/>
      </c>
      <c r="M393" t="inlineStr">
        <is>
          <t>Nothing is monitored or measured.</t>
        </is>
      </c>
      <c r="N393" t="inlineStr">
        <is>
          <t>Occasional manual checks by individuals.</t>
        </is>
      </c>
      <c r="O393" t="inlineStr">
        <is>
          <t>Some metrics exist but are not reviewed regularly and trigger no action.</t>
        </is>
      </c>
      <c r="P393" t="inlineStr">
        <is>
          <t>Defined metrics with an owner, reviewed on a set cadence.</t>
        </is>
      </c>
      <c r="Q393" t="inlineStr">
        <is>
          <t>Thresholds and alerts in place; deviations trigger documented action; trends analyzed.</t>
        </is>
      </c>
      <c r="R393" t="inlineStr">
        <is>
          <t>Automated monitoring with leading indicators, integrated into management decisions.</t>
        </is>
      </c>
      <c r="S393" t="inlineStr">
        <is>
          <t>Cyberattack; Data breach; Ransomware; Insider threat</t>
        </is>
      </c>
      <c r="T393">
        <f>'Assessment Questions'!W393</f>
        <v/>
      </c>
      <c r="U393">
        <f>'Assessment Questions'!X393</f>
        <v/>
      </c>
      <c r="V393">
        <f>'Assessment Questions'!Y393</f>
        <v/>
      </c>
      <c r="W393" t="n">
        <v>5</v>
      </c>
      <c r="X393" t="n">
        <v>5</v>
      </c>
      <c r="Y393" t="n">
        <v>5</v>
      </c>
      <c r="Z393">
        <f>'Assessment Questions'!AC393</f>
        <v/>
      </c>
      <c r="AB393">
        <f>COUNTIF($B$373:$B$406,$AA393)</f>
        <v/>
      </c>
      <c r="AC393">
        <f>IFERROR(SUMPRODUCT(($B$373:$B$406=$AA393)*($H$373:$H$406&lt;&gt;"")*($H$373:$H$406&lt;&gt;"N/A")*IFERROR(VALUE($H$373:$H$406),0))/SUMPRODUCT(($B$373:$B$406=$AA393)*($H$373:$H$406&lt;&gt;"")*($H$373:$H$406&lt;&gt;"N/A")),0)</f>
        <v/>
      </c>
      <c r="AD393">
        <f>AC393/5</f>
        <v/>
      </c>
      <c r="AE393">
        <f>COUNTIFS($B$373:$B$406,$AA393,$L$373:$L$406,"Critical")+COUNTIFS($B$373:$B$406,$AA393,$L$373:$L$406,"High")</f>
        <v/>
      </c>
      <c r="AF393">
        <f>5-AC393</f>
        <v/>
      </c>
      <c r="AG393">
        <f>SUMPRODUCT(($B$373:$B$406=$AA393)*(ISNUMBER($H$373:$H$406)+($H$373:$H$406="N/A")))</f>
        <v/>
      </c>
      <c r="AH393">
        <f>'Assessment Questions'!AK393</f>
        <v/>
      </c>
      <c r="AI393">
        <f>'Assessment Questions'!AL393</f>
        <v/>
      </c>
      <c r="AJ393">
        <f>IF(OR($H393="",$H393="N/A"),"",IF($AH393="",VLOOKUP('Company Profile'!$B$40,_CONFIG_Model_Settings!$A$5:$B$8,2,FALSE),_xlfn.IFNA(VLOOKUP($AH393,_CONFIG_Model_Settings!$A$5:$B$8,2,FALSE),0.9)))</f>
        <v/>
      </c>
      <c r="AK393">
        <f>IF(OR($H393="",$H393="N/A"),"",IF($AI393="",VLOOKUP('Company Profile'!$B$41,_CONFIG_Model_Settings!$A$5:$B$8,2,FALSE),_xlfn.IFNA(VLOOKUP($AI393,_CONFIG_Model_Settings!$A$5:$B$8,2,FALSE),0.9)))</f>
        <v/>
      </c>
      <c r="AL393">
        <f>IF(OR($H393="",$H393="N/A"),"",ROUND(VALUE($H393)*$AJ393*$AK393*$AV393,2))</f>
        <v/>
      </c>
      <c r="AM393">
        <f>IF($AL393="","",ROUND($AL393/5*100,1))</f>
        <v/>
      </c>
      <c r="AN393">
        <f>IFERROR(MIN(5,MAX(0,(SUMIFS(_REF_Model_Content!$D$1:$D$157,_REF_Model_Content!$A$1:$A$157,'Company Profile'!$B$9,_REF_Model_Content!$B$1:$B$157,"Cyber Privacy"))+_xlfn.IFNA(VLOOKUP('Company Profile'!$B$35,_CONFIG_Model_Settings!$A$11:$B$13,2,0),0))),"")</f>
        <v/>
      </c>
      <c r="AO393">
        <f>IF($AL393="","",MAX(0,ROUND($AN393-$AL393,2)))</f>
        <v/>
      </c>
      <c r="AP393">
        <f>IFERROR(SUMIFS(_REF_Model_Content!$E$1:$E$157,_REF_Model_Content!$A$1:$A$157,'Company Profile'!$B$9,_REF_Model_Content!$B$1:$B$157,"Cyber Privacy"),1)</f>
        <v/>
      </c>
      <c r="AQ393">
        <f>IF($AO393="","",ROUND($AO393*$AP393*($G393/5),2))</f>
        <v/>
      </c>
      <c r="AR393">
        <f>IF($AO393="","",IF($AO393&gt;=2,"Critical industry gap",IF($AO393&gt;=1,"High industry gap",IF($AO393&gt;=0.5,"Moderate industry gap","Within target"))))</f>
        <v/>
      </c>
      <c r="AS393">
        <f>IF(OR($H393="",$H393="N/A"),0,VALUE($H393)*(($AJ393+$AK393)/2)*$AV393)</f>
        <v/>
      </c>
      <c r="AT393">
        <f>IF(OR($H393="",$H393="N/A"),0,($AJ393+$AK393)/2)</f>
        <v/>
      </c>
      <c r="AU393">
        <f>'Assessment Questions'!AX393</f>
        <v/>
      </c>
      <c r="AV393">
        <f>IF(OR($H393="",$H393="N/A"),"",IF(OR($AU393="",$AU393="Everywhere",$AU393="Not applicable"),1,IF($AU393="Pilot / one team",0.4,IF($AU393="One unit or site",0.7,0.9))))</f>
        <v/>
      </c>
      <c r="AW393" t="inlineStr">
        <is>
          <t>Cyber Privacy</t>
        </is>
      </c>
      <c r="AX393" t="inlineStr">
        <is>
          <t>Cyber Privacy</t>
        </is>
      </c>
      <c r="AY393" t="n">
        <v>25</v>
      </c>
      <c r="AZ393" t="n">
        <v>393</v>
      </c>
    </row>
    <row r="394">
      <c r="A394" t="inlineStr">
        <is>
          <t>CYBE-022</t>
        </is>
      </c>
      <c r="B394" t="inlineStr">
        <is>
          <t>Detection and response</t>
        </is>
      </c>
      <c r="C394" t="inlineStr">
        <is>
          <t>How mature is the organization in managing threat detection coverage mapped to likely threat scenarios, including ownership, evidence, metrics, fallback procedures and crisis stress testing?</t>
        </is>
      </c>
      <c r="D394" t="inlineStr">
        <is>
          <t>This topic affects exposure to Cyberattack; Data breach; Ransomware; Insider threat. It helps identify how disruption may impact operations, people, revenue, systems, legal exposure or recovery time.</t>
        </is>
      </c>
      <c r="E394" t="inlineStr">
        <is>
          <t>ISO/IEC 27001; ISO/IEC 27002; NIST CSF 2.0; CIS Controls; ISO/IEC 27701; GDPR; IEC 62443</t>
        </is>
      </c>
      <c r="F394" t="inlineStr">
        <is>
          <t>Policy/SOP; owner/RACI; system report; dashboard; contracts; test records; incident history; interview evidence related to threat detection coverage mapped to likely threat scenarios.</t>
        </is>
      </c>
      <c r="G394">
        <f>'Assessment Questions'!J394</f>
        <v/>
      </c>
      <c r="H394">
        <f>IF($Z394="","",IF($Z394="N/A","N/A",VALUE(LEFT($Z394,1))))</f>
        <v/>
      </c>
      <c r="I394">
        <f>IF($H394="","",IF($H394="N/A","",VALUE($H394)/5*$G394))</f>
        <v/>
      </c>
      <c r="J394">
        <f>IF(OR($H394="",$H394="N/A"),"",$G394)</f>
        <v/>
      </c>
      <c r="K394">
        <f>IF(OR($H394="",$H394="N/A"),"",$J394-$I394)</f>
        <v/>
      </c>
      <c r="L394">
        <f>IF($H394="","",IF($H394="N/A","N/A",IF(VALUE($H394)&lt;=1,"Critical",IF(VALUE($H394)&lt;=2,"High",IF(VALUE($H394)&lt;=3,"Medium",IF(VALUE($H394)&lt;=4,"Low","Resilient"))))))</f>
        <v/>
      </c>
      <c r="M394" t="inlineStr">
        <is>
          <t>No reliable evidence that threat detection coverage mapped to likely threat scenarios is defined, owned or managed.</t>
        </is>
      </c>
      <c r="N394" t="inlineStr">
        <is>
          <t>Threat detection coverage mapped to likely threat scenarios is handled informally and depends on individual knowledge or heroic effort.</t>
        </is>
      </c>
      <c r="O394" t="inlineStr">
        <is>
          <t>Threat detection coverage mapped to likely threat scenarios is partially documented or implemented, but coverage is inconsistent and not crisis-tested.</t>
        </is>
      </c>
      <c r="P394" t="inlineStr">
        <is>
          <t>Threat detection coverage mapped to likely threat scenarios is documented, owned, used in normal operations and supported by basic evidence or metrics.</t>
        </is>
      </c>
      <c r="Q394" t="inlineStr">
        <is>
          <t>Threat detection coverage mapped to likely threat scenarios is measured, periodically reviewed, integrated with related processes and tested against relevant disruption scenarios.</t>
        </is>
      </c>
      <c r="R394" t="inlineStr">
        <is>
          <t>Threat detection coverage mapped to likely threat scenarios is optimized, continuously improved, automated where practical and demonstrably supports crisis resilience.</t>
        </is>
      </c>
      <c r="S394" t="inlineStr">
        <is>
          <t>Cyberattack; Data breach; Ransomware; Insider threat</t>
        </is>
      </c>
      <c r="T394">
        <f>'Assessment Questions'!W394</f>
        <v/>
      </c>
      <c r="U394">
        <f>'Assessment Questions'!X394</f>
        <v/>
      </c>
      <c r="V394">
        <f>'Assessment Questions'!Y394</f>
        <v/>
      </c>
      <c r="W394" t="n">
        <v>5</v>
      </c>
      <c r="X394" t="n">
        <v>5</v>
      </c>
      <c r="Y394" t="n">
        <v>5</v>
      </c>
      <c r="Z394">
        <f>'Assessment Questions'!AC394</f>
        <v/>
      </c>
      <c r="AB394">
        <f>COUNTIF($B$373:$B$406,$AA394)</f>
        <v/>
      </c>
      <c r="AC394">
        <f>IFERROR(SUMPRODUCT(($B$373:$B$406=$AA394)*($H$373:$H$406&lt;&gt;"")*($H$373:$H$406&lt;&gt;"N/A")*IFERROR(VALUE($H$373:$H$406),0))/SUMPRODUCT(($B$373:$B$406=$AA394)*($H$373:$H$406&lt;&gt;"")*($H$373:$H$406&lt;&gt;"N/A")),0)</f>
        <v/>
      </c>
      <c r="AD394">
        <f>AC394/5</f>
        <v/>
      </c>
      <c r="AE394">
        <f>COUNTIFS($B$373:$B$406,$AA394,$L$373:$L$406,"Critical")+COUNTIFS($B$373:$B$406,$AA394,$L$373:$L$406,"High")</f>
        <v/>
      </c>
      <c r="AF394">
        <f>5-AC394</f>
        <v/>
      </c>
      <c r="AG394">
        <f>SUMPRODUCT(($B$373:$B$406=$AA394)*(ISNUMBER($H$373:$H$406)+($H$373:$H$406="N/A")))</f>
        <v/>
      </c>
      <c r="AH394">
        <f>'Assessment Questions'!AK394</f>
        <v/>
      </c>
      <c r="AI394">
        <f>'Assessment Questions'!AL394</f>
        <v/>
      </c>
      <c r="AJ394">
        <f>IF(OR($H394="",$H394="N/A"),"",IF($AH394="",VLOOKUP('Company Profile'!$B$40,_CONFIG_Model_Settings!$A$5:$B$8,2,FALSE),_xlfn.IFNA(VLOOKUP($AH394,_CONFIG_Model_Settings!$A$5:$B$8,2,FALSE),0.9)))</f>
        <v/>
      </c>
      <c r="AK394">
        <f>IF(OR($H394="",$H394="N/A"),"",IF($AI394="",VLOOKUP('Company Profile'!$B$41,_CONFIG_Model_Settings!$A$5:$B$8,2,FALSE),_xlfn.IFNA(VLOOKUP($AI394,_CONFIG_Model_Settings!$A$5:$B$8,2,FALSE),0.9)))</f>
        <v/>
      </c>
      <c r="AL394">
        <f>IF(OR($H394="",$H394="N/A"),"",ROUND(VALUE($H394)*$AJ394*$AK394*$AV394,2))</f>
        <v/>
      </c>
      <c r="AM394">
        <f>IF($AL394="","",ROUND($AL394/5*100,1))</f>
        <v/>
      </c>
      <c r="AN394">
        <f>IFERROR(MIN(5,MAX(0,(SUMIFS(_REF_Model_Content!$D$1:$D$157,_REF_Model_Content!$A$1:$A$157,'Company Profile'!$B$9,_REF_Model_Content!$B$1:$B$157,"Cyber Privacy"))+_xlfn.IFNA(VLOOKUP('Company Profile'!$B$35,_CONFIG_Model_Settings!$A$11:$B$13,2,0),0))),"")</f>
        <v/>
      </c>
      <c r="AO394">
        <f>IF($AL394="","",MAX(0,ROUND($AN394-$AL394,2)))</f>
        <v/>
      </c>
      <c r="AP394">
        <f>IFERROR(SUMIFS(_REF_Model_Content!$E$1:$E$157,_REF_Model_Content!$A$1:$A$157,'Company Profile'!$B$9,_REF_Model_Content!$B$1:$B$157,"Cyber Privacy"),1)</f>
        <v/>
      </c>
      <c r="AQ394">
        <f>IF($AO394="","",ROUND($AO394*$AP394*($G394/5),2))</f>
        <v/>
      </c>
      <c r="AR394">
        <f>IF($AO394="","",IF($AO394&gt;=2,"Critical industry gap",IF($AO394&gt;=1,"High industry gap",IF($AO394&gt;=0.5,"Moderate industry gap","Within target"))))</f>
        <v/>
      </c>
      <c r="AS394">
        <f>IF(OR($H394="",$H394="N/A"),0,VALUE($H394)*(($AJ394+$AK394)/2)*$AV394)</f>
        <v/>
      </c>
      <c r="AT394">
        <f>IF(OR($H394="",$H394="N/A"),0,($AJ394+$AK394)/2)</f>
        <v/>
      </c>
      <c r="AU394">
        <f>'Assessment Questions'!AX394</f>
        <v/>
      </c>
      <c r="AV394">
        <f>IF(OR($H394="",$H394="N/A"),"",IF(OR($AU394="",$AU394="Everywhere",$AU394="Not applicable"),1,IF($AU394="Pilot / one team",0.4,IF($AU394="One unit or site",0.7,0.9))))</f>
        <v/>
      </c>
      <c r="AW394" t="inlineStr">
        <is>
          <t>Cyber Privacy</t>
        </is>
      </c>
      <c r="AX394" t="inlineStr">
        <is>
          <t>Cyber Privacy</t>
        </is>
      </c>
      <c r="AY394" t="n">
        <v>26</v>
      </c>
      <c r="AZ394" t="n">
        <v>394</v>
      </c>
    </row>
    <row r="395">
      <c r="A395" t="inlineStr">
        <is>
          <t>CYBE-023</t>
        </is>
      </c>
      <c r="B395" t="inlineStr">
        <is>
          <t>Detection and response</t>
        </is>
      </c>
      <c r="C395" t="inlineStr">
        <is>
          <t>How mature is the organization in managing cyber incident response plan involving IT, legal, communications, executives and insurers, including ownership, evidence, metrics, fallback procedures and crisis stress testing?</t>
        </is>
      </c>
      <c r="D395" t="inlineStr">
        <is>
          <t>This topic affects exposure to Cyberattack; Data breach; Ransomware; Insider threat. It helps identify how disruption may impact operations, people, revenue, systems, legal exposure or recovery time.</t>
        </is>
      </c>
      <c r="E395" t="inlineStr">
        <is>
          <t>ISO/IEC 27001; ISO/IEC 27002; NIST CSF 2.0; CIS Controls; ISO/IEC 27701; GDPR; IEC 62443</t>
        </is>
      </c>
      <c r="F395" t="inlineStr">
        <is>
          <t>Policy/SOP; owner/RACI; system report; dashboard; contracts; test records; incident history; interview evidence related to cyber incident response plan involving IT, legal, communications, executives and insurers.</t>
        </is>
      </c>
      <c r="G395">
        <f>'Assessment Questions'!J395</f>
        <v/>
      </c>
      <c r="H395">
        <f>IF($Z395="","",IF($Z395="N/A","N/A",VALUE(LEFT($Z395,1))))</f>
        <v/>
      </c>
      <c r="I395">
        <f>IF($H395="","",IF($H395="N/A","",VALUE($H395)/5*$G395))</f>
        <v/>
      </c>
      <c r="J395">
        <f>IF(OR($H395="",$H395="N/A"),"",$G395)</f>
        <v/>
      </c>
      <c r="K395">
        <f>IF(OR($H395="",$H395="N/A"),"",$J395-$I395)</f>
        <v/>
      </c>
      <c r="L395">
        <f>IF($H395="","",IF($H395="N/A","N/A",IF(VALUE($H395)&lt;=1,"Critical",IF(VALUE($H395)&lt;=2,"High",IF(VALUE($H395)&lt;=3,"Medium",IF(VALUE($H395)&lt;=4,"Low","Resilient"))))))</f>
        <v/>
      </c>
      <c r="M395" t="inlineStr">
        <is>
          <t>No plan or procedure exists.</t>
        </is>
      </c>
      <c r="N395" t="inlineStr">
        <is>
          <t>Knowledge lives with individuals; nothing usable is written down.</t>
        </is>
      </c>
      <c r="O395" t="inlineStr">
        <is>
          <t>Drafted but outdated, not approved, or unknown to the people who must use it.</t>
        </is>
      </c>
      <c r="P395" t="inlineStr">
        <is>
          <t>Approved and current; owners assigned; affected staff know it exists and where to find it.</t>
        </is>
      </c>
      <c r="Q395" t="inlineStr">
        <is>
          <t>Tested against realistic scenarios; updated after each test or real incident.</t>
        </is>
      </c>
      <c r="R395" t="inlineStr">
        <is>
          <t>Exercised regularly including external parties; readiness measured; continuously improved.</t>
        </is>
      </c>
      <c r="S395" t="inlineStr">
        <is>
          <t>Cyberattack; Data breach; Ransomware; Insider threat</t>
        </is>
      </c>
      <c r="T395">
        <f>'Assessment Questions'!W395</f>
        <v/>
      </c>
      <c r="U395">
        <f>'Assessment Questions'!X395</f>
        <v/>
      </c>
      <c r="V395">
        <f>'Assessment Questions'!Y395</f>
        <v/>
      </c>
      <c r="W395" t="n">
        <v>5</v>
      </c>
      <c r="X395" t="n">
        <v>5</v>
      </c>
      <c r="Y395" t="n">
        <v>5</v>
      </c>
      <c r="Z395">
        <f>'Assessment Questions'!AC395</f>
        <v/>
      </c>
      <c r="AB395">
        <f>COUNTIF($B$373:$B$406,$AA395)</f>
        <v/>
      </c>
      <c r="AC395">
        <f>IFERROR(SUMPRODUCT(($B$373:$B$406=$AA395)*($H$373:$H$406&lt;&gt;"")*($H$373:$H$406&lt;&gt;"N/A")*IFERROR(VALUE($H$373:$H$406),0))/SUMPRODUCT(($B$373:$B$406=$AA395)*($H$373:$H$406&lt;&gt;"")*($H$373:$H$406&lt;&gt;"N/A")),0)</f>
        <v/>
      </c>
      <c r="AD395">
        <f>AC395/5</f>
        <v/>
      </c>
      <c r="AE395">
        <f>COUNTIFS($B$373:$B$406,$AA395,$L$373:$L$406,"Critical")+COUNTIFS($B$373:$B$406,$AA395,$L$373:$L$406,"High")</f>
        <v/>
      </c>
      <c r="AF395">
        <f>5-AC395</f>
        <v/>
      </c>
      <c r="AG395">
        <f>SUMPRODUCT(($B$373:$B$406=$AA395)*(ISNUMBER($H$373:$H$406)+($H$373:$H$406="N/A")))</f>
        <v/>
      </c>
      <c r="AH395">
        <f>'Assessment Questions'!AK395</f>
        <v/>
      </c>
      <c r="AI395">
        <f>'Assessment Questions'!AL395</f>
        <v/>
      </c>
      <c r="AJ395">
        <f>IF(OR($H395="",$H395="N/A"),"",IF($AH395="",VLOOKUP('Company Profile'!$B$40,_CONFIG_Model_Settings!$A$5:$B$8,2,FALSE),_xlfn.IFNA(VLOOKUP($AH395,_CONFIG_Model_Settings!$A$5:$B$8,2,FALSE),0.9)))</f>
        <v/>
      </c>
      <c r="AK395">
        <f>IF(OR($H395="",$H395="N/A"),"",IF($AI395="",VLOOKUP('Company Profile'!$B$41,_CONFIG_Model_Settings!$A$5:$B$8,2,FALSE),_xlfn.IFNA(VLOOKUP($AI395,_CONFIG_Model_Settings!$A$5:$B$8,2,FALSE),0.9)))</f>
        <v/>
      </c>
      <c r="AL395">
        <f>IF(OR($H395="",$H395="N/A"),"",ROUND(VALUE($H395)*$AJ395*$AK395*$AV395,2))</f>
        <v/>
      </c>
      <c r="AM395">
        <f>IF($AL395="","",ROUND($AL395/5*100,1))</f>
        <v/>
      </c>
      <c r="AN395">
        <f>IFERROR(MIN(5,MAX(0,(SUMIFS(_REF_Model_Content!$D$1:$D$157,_REF_Model_Content!$A$1:$A$157,'Company Profile'!$B$9,_REF_Model_Content!$B$1:$B$157,"Cyber Privacy"))+_xlfn.IFNA(VLOOKUP('Company Profile'!$B$35,_CONFIG_Model_Settings!$A$11:$B$13,2,0),0))),"")</f>
        <v/>
      </c>
      <c r="AO395">
        <f>IF($AL395="","",MAX(0,ROUND($AN395-$AL395,2)))</f>
        <v/>
      </c>
      <c r="AP395">
        <f>IFERROR(SUMIFS(_REF_Model_Content!$E$1:$E$157,_REF_Model_Content!$A$1:$A$157,'Company Profile'!$B$9,_REF_Model_Content!$B$1:$B$157,"Cyber Privacy"),1)</f>
        <v/>
      </c>
      <c r="AQ395">
        <f>IF($AO395="","",ROUND($AO395*$AP395*($G395/5),2))</f>
        <v/>
      </c>
      <c r="AR395">
        <f>IF($AO395="","",IF($AO395&gt;=2,"Critical industry gap",IF($AO395&gt;=1,"High industry gap",IF($AO395&gt;=0.5,"Moderate industry gap","Within target"))))</f>
        <v/>
      </c>
      <c r="AS395">
        <f>IF(OR($H395="",$H395="N/A"),0,VALUE($H395)*(($AJ395+$AK395)/2)*$AV395)</f>
        <v/>
      </c>
      <c r="AT395">
        <f>IF(OR($H395="",$H395="N/A"),0,($AJ395+$AK395)/2)</f>
        <v/>
      </c>
      <c r="AU395">
        <f>'Assessment Questions'!AX395</f>
        <v/>
      </c>
      <c r="AV395">
        <f>IF(OR($H395="",$H395="N/A"),"",IF(OR($AU395="",$AU395="Everywhere",$AU395="Not applicable"),1,IF($AU395="Pilot / one team",0.4,IF($AU395="One unit or site",0.7,0.9))))</f>
        <v/>
      </c>
      <c r="AW395" t="inlineStr">
        <is>
          <t>Cyber Privacy</t>
        </is>
      </c>
      <c r="AX395" t="inlineStr">
        <is>
          <t>Cyber Privacy</t>
        </is>
      </c>
      <c r="AY395" t="n">
        <v>27</v>
      </c>
      <c r="AZ395" t="n">
        <v>395</v>
      </c>
    </row>
    <row r="396">
      <c r="A396" t="inlineStr">
        <is>
          <t>CYBE-024</t>
        </is>
      </c>
      <c r="B396" t="inlineStr">
        <is>
          <t>Detection and response</t>
        </is>
      </c>
      <c r="C396" t="inlineStr">
        <is>
          <t>How mature is the organization in managing ransomware playbook covering isolation, recovery, communication, legal and decision-making, including ownership, evidence, metrics, fallback procedures and crisis stress testing?</t>
        </is>
      </c>
      <c r="D396" t="inlineStr">
        <is>
          <t>This topic affects exposure to Cyberattack; Data breach; Ransomware; Insider threat. It helps identify how disruption may impact operations, people, revenue, systems, legal exposure or recovery time.</t>
        </is>
      </c>
      <c r="E396" t="inlineStr">
        <is>
          <t>ISO/IEC 27001; ISO/IEC 27002; NIST CSF 2.0; CIS Controls; ISO/IEC 27701; GDPR; IEC 62443</t>
        </is>
      </c>
      <c r="F396" t="inlineStr">
        <is>
          <t>Policy/SOP; owner/RACI; system report; dashboard; contracts; test records; incident history; interview evidence related to ransomware playbook covering isolation, recovery, communication, legal and decision-making.</t>
        </is>
      </c>
      <c r="G396">
        <f>'Assessment Questions'!J396</f>
        <v/>
      </c>
      <c r="H396">
        <f>IF($Z396="","",IF($Z396="N/A","N/A",VALUE(LEFT($Z396,1))))</f>
        <v/>
      </c>
      <c r="I396">
        <f>IF($H396="","",IF($H396="N/A","",VALUE($H396)/5*$G396))</f>
        <v/>
      </c>
      <c r="J396">
        <f>IF(OR($H396="",$H396="N/A"),"",$G396)</f>
        <v/>
      </c>
      <c r="K396">
        <f>IF(OR($H396="",$H396="N/A"),"",$J396-$I396)</f>
        <v/>
      </c>
      <c r="L396">
        <f>IF($H396="","",IF($H396="N/A","N/A",IF(VALUE($H396)&lt;=1,"Critical",IF(VALUE($H396)&lt;=2,"High",IF(VALUE($H396)&lt;=3,"Medium",IF(VALUE($H396)&lt;=4,"Low","Resilient"))))))</f>
        <v/>
      </c>
      <c r="M396" t="inlineStr">
        <is>
          <t>No plan or procedure exists.</t>
        </is>
      </c>
      <c r="N396" t="inlineStr">
        <is>
          <t>Knowledge lives with individuals; nothing usable is written down.</t>
        </is>
      </c>
      <c r="O396" t="inlineStr">
        <is>
          <t>Drafted but outdated, not approved, or unknown to the people who must use it.</t>
        </is>
      </c>
      <c r="P396" t="inlineStr">
        <is>
          <t>Approved and current; owners assigned; affected staff know it exists and where to find it.</t>
        </is>
      </c>
      <c r="Q396" t="inlineStr">
        <is>
          <t>Tested against realistic scenarios; updated after each test or real incident.</t>
        </is>
      </c>
      <c r="R396" t="inlineStr">
        <is>
          <t>Exercised regularly including external parties; readiness measured; continuously improved.</t>
        </is>
      </c>
      <c r="S396" t="inlineStr">
        <is>
          <t>Cyberattack; Data breach; Ransomware; Insider threat</t>
        </is>
      </c>
      <c r="T396">
        <f>'Assessment Questions'!W396</f>
        <v/>
      </c>
      <c r="U396">
        <f>'Assessment Questions'!X396</f>
        <v/>
      </c>
      <c r="V396">
        <f>'Assessment Questions'!Y396</f>
        <v/>
      </c>
      <c r="W396" t="n">
        <v>5</v>
      </c>
      <c r="X396" t="n">
        <v>5</v>
      </c>
      <c r="Y396" t="n">
        <v>5</v>
      </c>
      <c r="Z396">
        <f>'Assessment Questions'!AC396</f>
        <v/>
      </c>
      <c r="AB396">
        <f>COUNTIF($B$373:$B$406,$AA396)</f>
        <v/>
      </c>
      <c r="AC396">
        <f>IFERROR(SUMPRODUCT(($B$373:$B$406=$AA396)*($H$373:$H$406&lt;&gt;"")*($H$373:$H$406&lt;&gt;"N/A")*IFERROR(VALUE($H$373:$H$406),0))/SUMPRODUCT(($B$373:$B$406=$AA396)*($H$373:$H$406&lt;&gt;"")*($H$373:$H$406&lt;&gt;"N/A")),0)</f>
        <v/>
      </c>
      <c r="AD396">
        <f>AC396/5</f>
        <v/>
      </c>
      <c r="AE396">
        <f>COUNTIFS($B$373:$B$406,$AA396,$L$373:$L$406,"Critical")+COUNTIFS($B$373:$B$406,$AA396,$L$373:$L$406,"High")</f>
        <v/>
      </c>
      <c r="AF396">
        <f>5-AC396</f>
        <v/>
      </c>
      <c r="AG396">
        <f>SUMPRODUCT(($B$373:$B$406=$AA396)*(ISNUMBER($H$373:$H$406)+($H$373:$H$406="N/A")))</f>
        <v/>
      </c>
      <c r="AH396">
        <f>'Assessment Questions'!AK396</f>
        <v/>
      </c>
      <c r="AI396">
        <f>'Assessment Questions'!AL396</f>
        <v/>
      </c>
      <c r="AJ396">
        <f>IF(OR($H396="",$H396="N/A"),"",IF($AH396="",VLOOKUP('Company Profile'!$B$40,_CONFIG_Model_Settings!$A$5:$B$8,2,FALSE),_xlfn.IFNA(VLOOKUP($AH396,_CONFIG_Model_Settings!$A$5:$B$8,2,FALSE),0.9)))</f>
        <v/>
      </c>
      <c r="AK396">
        <f>IF(OR($H396="",$H396="N/A"),"",IF($AI396="",VLOOKUP('Company Profile'!$B$41,_CONFIG_Model_Settings!$A$5:$B$8,2,FALSE),_xlfn.IFNA(VLOOKUP($AI396,_CONFIG_Model_Settings!$A$5:$B$8,2,FALSE),0.9)))</f>
        <v/>
      </c>
      <c r="AL396">
        <f>IF(OR($H396="",$H396="N/A"),"",ROUND(VALUE($H396)*$AJ396*$AK396*$AV396,2))</f>
        <v/>
      </c>
      <c r="AM396">
        <f>IF($AL396="","",ROUND($AL396/5*100,1))</f>
        <v/>
      </c>
      <c r="AN396">
        <f>IFERROR(MIN(5,MAX(0,(SUMIFS(_REF_Model_Content!$D$1:$D$157,_REF_Model_Content!$A$1:$A$157,'Company Profile'!$B$9,_REF_Model_Content!$B$1:$B$157,"Cyber Privacy"))+_xlfn.IFNA(VLOOKUP('Company Profile'!$B$35,_CONFIG_Model_Settings!$A$11:$B$13,2,0),0))),"")</f>
        <v/>
      </c>
      <c r="AO396">
        <f>IF($AL396="","",MAX(0,ROUND($AN396-$AL396,2)))</f>
        <v/>
      </c>
      <c r="AP396">
        <f>IFERROR(SUMIFS(_REF_Model_Content!$E$1:$E$157,_REF_Model_Content!$A$1:$A$157,'Company Profile'!$B$9,_REF_Model_Content!$B$1:$B$157,"Cyber Privacy"),1)</f>
        <v/>
      </c>
      <c r="AQ396">
        <f>IF($AO396="","",ROUND($AO396*$AP396*($G396/5),2))</f>
        <v/>
      </c>
      <c r="AR396">
        <f>IF($AO396="","",IF($AO396&gt;=2,"Critical industry gap",IF($AO396&gt;=1,"High industry gap",IF($AO396&gt;=0.5,"Moderate industry gap","Within target"))))</f>
        <v/>
      </c>
      <c r="AS396">
        <f>IF(OR($H396="",$H396="N/A"),0,VALUE($H396)*(($AJ396+$AK396)/2)*$AV396)</f>
        <v/>
      </c>
      <c r="AT396">
        <f>IF(OR($H396="",$H396="N/A"),0,($AJ396+$AK396)/2)</f>
        <v/>
      </c>
      <c r="AU396">
        <f>'Assessment Questions'!AX396</f>
        <v/>
      </c>
      <c r="AV396">
        <f>IF(OR($H396="",$H396="N/A"),"",IF(OR($AU396="",$AU396="Everywhere",$AU396="Not applicable"),1,IF($AU396="Pilot / one team",0.4,IF($AU396="One unit or site",0.7,0.9))))</f>
        <v/>
      </c>
      <c r="AW396" t="inlineStr">
        <is>
          <t>Cyber Privacy</t>
        </is>
      </c>
      <c r="AX396" t="inlineStr">
        <is>
          <t>Cyber Privacy</t>
        </is>
      </c>
      <c r="AY396" t="n">
        <v>28</v>
      </c>
      <c r="AZ396" t="n">
        <v>396</v>
      </c>
    </row>
    <row r="397">
      <c r="A397" t="inlineStr">
        <is>
          <t>CYBE-025</t>
        </is>
      </c>
      <c r="B397" t="inlineStr">
        <is>
          <t>Detection and response</t>
        </is>
      </c>
      <c r="C397" t="inlineStr">
        <is>
          <t>How mature is the organization in managing cyber incident exercises with business, legal, communication, IT and executives, including ownership, evidence, metrics, fallback procedures and crisis stress testing?</t>
        </is>
      </c>
      <c r="D397" t="inlineStr">
        <is>
          <t>This topic affects exposure to Cyberattack; Data breach; Ransomware; Insider threat. It helps identify how disruption may impact operations, people, revenue, systems, legal exposure or recovery time.</t>
        </is>
      </c>
      <c r="E397" t="inlineStr">
        <is>
          <t>ISO/IEC 27001; ISO/IEC 27002; NIST CSF 2.0; CIS Controls; ISO/IEC 27701; GDPR; IEC 62443</t>
        </is>
      </c>
      <c r="F397" t="inlineStr">
        <is>
          <t>Policy/SOP; owner/RACI; system report; dashboard; contracts; test records; incident history; interview evidence related to cyber incident exercises with business, legal, communication, IT and executives.</t>
        </is>
      </c>
      <c r="G397">
        <f>'Assessment Questions'!J397</f>
        <v/>
      </c>
      <c r="H397">
        <f>IF($Z397="","",IF($Z397="N/A","N/A",VALUE(LEFT($Z397,1))))</f>
        <v/>
      </c>
      <c r="I397">
        <f>IF($H397="","",IF($H397="N/A","",VALUE($H397)/5*$G397))</f>
        <v/>
      </c>
      <c r="J397">
        <f>IF(OR($H397="",$H397="N/A"),"",$G397)</f>
        <v/>
      </c>
      <c r="K397">
        <f>IF(OR($H397="",$H397="N/A"),"",$J397-$I397)</f>
        <v/>
      </c>
      <c r="L397">
        <f>IF($H397="","",IF($H397="N/A","N/A",IF(VALUE($H397)&lt;=1,"Critical",IF(VALUE($H397)&lt;=2,"High",IF(VALUE($H397)&lt;=3,"Medium",IF(VALUE($H397)&lt;=4,"Low","Resilient"))))))</f>
        <v/>
      </c>
      <c r="M397" t="inlineStr">
        <is>
          <t>Never done; no records exist.</t>
        </is>
      </c>
      <c r="N397" t="inlineStr">
        <is>
          <t>Done once long ago or only after an incident; no schedule, no records.</t>
        </is>
      </c>
      <c r="O397" t="inlineStr">
        <is>
          <t>Done irregularly; results are not documented and findings are not tracked.</t>
        </is>
      </c>
      <c r="P397" t="inlineStr">
        <is>
          <t>Done on a defined schedule (at least annually); results documented, owner assigned.</t>
        </is>
      </c>
      <c r="Q397" t="inlineStr">
        <is>
          <t>Done quarterly/semi-annually; findings tracked to closure, effectiveness measured against targets.</t>
        </is>
      </c>
      <c r="R397" t="inlineStr">
        <is>
          <t>Continuous or automated where possible; results drive improvements and are validated externally (audit/customer).</t>
        </is>
      </c>
      <c r="S397" t="inlineStr">
        <is>
          <t>Cyberattack; Data breach; Ransomware; Insider threat</t>
        </is>
      </c>
      <c r="T397">
        <f>'Assessment Questions'!W397</f>
        <v/>
      </c>
      <c r="U397">
        <f>'Assessment Questions'!X397</f>
        <v/>
      </c>
      <c r="V397">
        <f>'Assessment Questions'!Y397</f>
        <v/>
      </c>
      <c r="W397" t="n">
        <v>5</v>
      </c>
      <c r="X397" t="n">
        <v>5</v>
      </c>
      <c r="Y397" t="n">
        <v>5</v>
      </c>
      <c r="Z397">
        <f>'Assessment Questions'!AC397</f>
        <v/>
      </c>
      <c r="AB397">
        <f>COUNTIF($B$373:$B$406,$AA397)</f>
        <v/>
      </c>
      <c r="AC397">
        <f>IFERROR(SUMPRODUCT(($B$373:$B$406=$AA397)*($H$373:$H$406&lt;&gt;"")*($H$373:$H$406&lt;&gt;"N/A")*IFERROR(VALUE($H$373:$H$406),0))/SUMPRODUCT(($B$373:$B$406=$AA397)*($H$373:$H$406&lt;&gt;"")*($H$373:$H$406&lt;&gt;"N/A")),0)</f>
        <v/>
      </c>
      <c r="AD397">
        <f>AC397/5</f>
        <v/>
      </c>
      <c r="AE397">
        <f>COUNTIFS($B$373:$B$406,$AA397,$L$373:$L$406,"Critical")+COUNTIFS($B$373:$B$406,$AA397,$L$373:$L$406,"High")</f>
        <v/>
      </c>
      <c r="AF397">
        <f>5-AC397</f>
        <v/>
      </c>
      <c r="AG397">
        <f>SUMPRODUCT(($B$373:$B$406=$AA397)*(ISNUMBER($H$373:$H$406)+($H$373:$H$406="N/A")))</f>
        <v/>
      </c>
      <c r="AH397">
        <f>'Assessment Questions'!AK397</f>
        <v/>
      </c>
      <c r="AI397">
        <f>'Assessment Questions'!AL397</f>
        <v/>
      </c>
      <c r="AJ397">
        <f>IF(OR($H397="",$H397="N/A"),"",IF($AH397="",VLOOKUP('Company Profile'!$B$40,_CONFIG_Model_Settings!$A$5:$B$8,2,FALSE),_xlfn.IFNA(VLOOKUP($AH397,_CONFIG_Model_Settings!$A$5:$B$8,2,FALSE),0.9)))</f>
        <v/>
      </c>
      <c r="AK397">
        <f>IF(OR($H397="",$H397="N/A"),"",IF($AI397="",VLOOKUP('Company Profile'!$B$41,_CONFIG_Model_Settings!$A$5:$B$8,2,FALSE),_xlfn.IFNA(VLOOKUP($AI397,_CONFIG_Model_Settings!$A$5:$B$8,2,FALSE),0.9)))</f>
        <v/>
      </c>
      <c r="AL397">
        <f>IF(OR($H397="",$H397="N/A"),"",ROUND(VALUE($H397)*$AJ397*$AK397*$AV397,2))</f>
        <v/>
      </c>
      <c r="AM397">
        <f>IF($AL397="","",ROUND($AL397/5*100,1))</f>
        <v/>
      </c>
      <c r="AN397">
        <f>IFERROR(MIN(5,MAX(0,(SUMIFS(_REF_Model_Content!$D$1:$D$157,_REF_Model_Content!$A$1:$A$157,'Company Profile'!$B$9,_REF_Model_Content!$B$1:$B$157,"Cyber Privacy"))+_xlfn.IFNA(VLOOKUP('Company Profile'!$B$35,_CONFIG_Model_Settings!$A$11:$B$13,2,0),0))),"")</f>
        <v/>
      </c>
      <c r="AO397">
        <f>IF($AL397="","",MAX(0,ROUND($AN397-$AL397,2)))</f>
        <v/>
      </c>
      <c r="AP397">
        <f>IFERROR(SUMIFS(_REF_Model_Content!$E$1:$E$157,_REF_Model_Content!$A$1:$A$157,'Company Profile'!$B$9,_REF_Model_Content!$B$1:$B$157,"Cyber Privacy"),1)</f>
        <v/>
      </c>
      <c r="AQ397">
        <f>IF($AO397="","",ROUND($AO397*$AP397*($G397/5),2))</f>
        <v/>
      </c>
      <c r="AR397">
        <f>IF($AO397="","",IF($AO397&gt;=2,"Critical industry gap",IF($AO397&gt;=1,"High industry gap",IF($AO397&gt;=0.5,"Moderate industry gap","Within target"))))</f>
        <v/>
      </c>
      <c r="AS397">
        <f>IF(OR($H397="",$H397="N/A"),0,VALUE($H397)*(($AJ397+$AK397)/2)*$AV397)</f>
        <v/>
      </c>
      <c r="AT397">
        <f>IF(OR($H397="",$H397="N/A"),0,($AJ397+$AK397)/2)</f>
        <v/>
      </c>
      <c r="AU397">
        <f>'Assessment Questions'!AX397</f>
        <v/>
      </c>
      <c r="AV397">
        <f>IF(OR($H397="",$H397="N/A"),"",IF(OR($AU397="",$AU397="Everywhere",$AU397="Not applicable"),1,IF($AU397="Pilot / one team",0.4,IF($AU397="One unit or site",0.7,0.9))))</f>
        <v/>
      </c>
      <c r="AW397" t="inlineStr">
        <is>
          <t>Cyber Privacy</t>
        </is>
      </c>
      <c r="AX397" t="inlineStr">
        <is>
          <t>Cyber Privacy</t>
        </is>
      </c>
      <c r="AY397" t="n">
        <v>29</v>
      </c>
      <c r="AZ397" t="n">
        <v>397</v>
      </c>
    </row>
    <row r="398">
      <c r="A398" t="inlineStr">
        <is>
          <t>CYBE-026</t>
        </is>
      </c>
      <c r="B398" t="inlineStr">
        <is>
          <t>Detection and response</t>
        </is>
      </c>
      <c r="C398" t="inlineStr">
        <is>
          <t>How mature is the organization in managing immutable or isolated backups protected against ransomware, including ownership, evidence, metrics, fallback procedures and crisis stress testing?</t>
        </is>
      </c>
      <c r="D398" t="inlineStr">
        <is>
          <t>This topic affects exposure to Cyberattack; Data breach; Ransomware; Insider threat. It helps identify how disruption may impact operations, people, revenue, systems, legal exposure or recovery time.</t>
        </is>
      </c>
      <c r="E398" t="inlineStr">
        <is>
          <t>ISO/IEC 27001; ISO/IEC 27002; NIST CSF 2.0; CIS Controls; ISO/IEC 27701; GDPR; IEC 62443</t>
        </is>
      </c>
      <c r="F398" t="inlineStr">
        <is>
          <t>Policy/SOP; owner/RACI; system report; dashboard; contracts; test records; incident history; interview evidence related to immutable or isolated backups protected against ransomware.</t>
        </is>
      </c>
      <c r="G398">
        <f>'Assessment Questions'!J398</f>
        <v/>
      </c>
      <c r="H398">
        <f>IF($Z398="","",IF($Z398="N/A","N/A",VALUE(LEFT($Z398,1))))</f>
        <v/>
      </c>
      <c r="I398">
        <f>IF($H398="","",IF($H398="N/A","",VALUE($H398)/5*$G398))</f>
        <v/>
      </c>
      <c r="J398">
        <f>IF(OR($H398="",$H398="N/A"),"",$G398)</f>
        <v/>
      </c>
      <c r="K398">
        <f>IF(OR($H398="",$H398="N/A"),"",$J398-$I398)</f>
        <v/>
      </c>
      <c r="L398">
        <f>IF($H398="","",IF($H398="N/A","N/A",IF(VALUE($H398)&lt;=1,"Critical",IF(VALUE($H398)&lt;=2,"High",IF(VALUE($H398)&lt;=3,"Medium",IF(VALUE($H398)&lt;=4,"Low","Resilient"))))))</f>
        <v/>
      </c>
      <c r="M398" t="inlineStr">
        <is>
          <t>Does not exist; no owner, no documentation, no practice.</t>
        </is>
      </c>
      <c r="N398" t="inlineStr">
        <is>
          <t>Ad hoc; depends entirely on specific individuals.</t>
        </is>
      </c>
      <c r="O398" t="inlineStr">
        <is>
          <t>Partially documented or implemented; coverage inconsistent; never tested under stress.</t>
        </is>
      </c>
      <c r="P398" t="inlineStr">
        <is>
          <t>Documented, owned, executed consistently; basic evidence and metrics exist.</t>
        </is>
      </c>
      <c r="Q398" t="inlineStr">
        <is>
          <t>Measured and periodically tested/audited; integrated with adjacent processes.</t>
        </is>
      </c>
      <c r="R398" t="inlineStr">
        <is>
          <t>Optimized and automated where practical; stress-tested; benchmarked externally.</t>
        </is>
      </c>
      <c r="S398" t="inlineStr">
        <is>
          <t>Cyberattack; Data breach; Ransomware; Insider threat</t>
        </is>
      </c>
      <c r="T398">
        <f>'Assessment Questions'!W398</f>
        <v/>
      </c>
      <c r="U398">
        <f>'Assessment Questions'!X398</f>
        <v/>
      </c>
      <c r="V398">
        <f>'Assessment Questions'!Y398</f>
        <v/>
      </c>
      <c r="W398" t="n">
        <v>5</v>
      </c>
      <c r="X398" t="n">
        <v>5</v>
      </c>
      <c r="Y398" t="n">
        <v>5</v>
      </c>
      <c r="Z398">
        <f>'Assessment Questions'!AC398</f>
        <v/>
      </c>
      <c r="AB398">
        <f>COUNTIF($B$373:$B$406,$AA398)</f>
        <v/>
      </c>
      <c r="AC398">
        <f>IFERROR(SUMPRODUCT(($B$373:$B$406=$AA398)*($H$373:$H$406&lt;&gt;"")*($H$373:$H$406&lt;&gt;"N/A")*IFERROR(VALUE($H$373:$H$406),0))/SUMPRODUCT(($B$373:$B$406=$AA398)*($H$373:$H$406&lt;&gt;"")*($H$373:$H$406&lt;&gt;"N/A")),0)</f>
        <v/>
      </c>
      <c r="AD398">
        <f>AC398/5</f>
        <v/>
      </c>
      <c r="AE398">
        <f>COUNTIFS($B$373:$B$406,$AA398,$L$373:$L$406,"Critical")+COUNTIFS($B$373:$B$406,$AA398,$L$373:$L$406,"High")</f>
        <v/>
      </c>
      <c r="AF398">
        <f>5-AC398</f>
        <v/>
      </c>
      <c r="AG398">
        <f>SUMPRODUCT(($B$373:$B$406=$AA398)*(ISNUMBER($H$373:$H$406)+($H$373:$H$406="N/A")))</f>
        <v/>
      </c>
      <c r="AH398">
        <f>'Assessment Questions'!AK398</f>
        <v/>
      </c>
      <c r="AI398">
        <f>'Assessment Questions'!AL398</f>
        <v/>
      </c>
      <c r="AJ398">
        <f>IF(OR($H398="",$H398="N/A"),"",IF($AH398="",VLOOKUP('Company Profile'!$B$40,_CONFIG_Model_Settings!$A$5:$B$8,2,FALSE),_xlfn.IFNA(VLOOKUP($AH398,_CONFIG_Model_Settings!$A$5:$B$8,2,FALSE),0.9)))</f>
        <v/>
      </c>
      <c r="AK398">
        <f>IF(OR($H398="",$H398="N/A"),"",IF($AI398="",VLOOKUP('Company Profile'!$B$41,_CONFIG_Model_Settings!$A$5:$B$8,2,FALSE),_xlfn.IFNA(VLOOKUP($AI398,_CONFIG_Model_Settings!$A$5:$B$8,2,FALSE),0.9)))</f>
        <v/>
      </c>
      <c r="AL398">
        <f>IF(OR($H398="",$H398="N/A"),"",ROUND(VALUE($H398)*$AJ398*$AK398*$AV398,2))</f>
        <v/>
      </c>
      <c r="AM398">
        <f>IF($AL398="","",ROUND($AL398/5*100,1))</f>
        <v/>
      </c>
      <c r="AN398">
        <f>IFERROR(MIN(5,MAX(0,(SUMIFS(_REF_Model_Content!$D$1:$D$157,_REF_Model_Content!$A$1:$A$157,'Company Profile'!$B$9,_REF_Model_Content!$B$1:$B$157,"Cyber Privacy"))+_xlfn.IFNA(VLOOKUP('Company Profile'!$B$35,_CONFIG_Model_Settings!$A$11:$B$13,2,0),0))),"")</f>
        <v/>
      </c>
      <c r="AO398">
        <f>IF($AL398="","",MAX(0,ROUND($AN398-$AL398,2)))</f>
        <v/>
      </c>
      <c r="AP398">
        <f>IFERROR(SUMIFS(_REF_Model_Content!$E$1:$E$157,_REF_Model_Content!$A$1:$A$157,'Company Profile'!$B$9,_REF_Model_Content!$B$1:$B$157,"Cyber Privacy"),1)</f>
        <v/>
      </c>
      <c r="AQ398">
        <f>IF($AO398="","",ROUND($AO398*$AP398*($G398/5),2))</f>
        <v/>
      </c>
      <c r="AR398">
        <f>IF($AO398="","",IF($AO398&gt;=2,"Critical industry gap",IF($AO398&gt;=1,"High industry gap",IF($AO398&gt;=0.5,"Moderate industry gap","Within target"))))</f>
        <v/>
      </c>
      <c r="AS398">
        <f>IF(OR($H398="",$H398="N/A"),0,VALUE($H398)*(($AJ398+$AK398)/2)*$AV398)</f>
        <v/>
      </c>
      <c r="AT398">
        <f>IF(OR($H398="",$H398="N/A"),0,($AJ398+$AK398)/2)</f>
        <v/>
      </c>
      <c r="AU398">
        <f>'Assessment Questions'!AX398</f>
        <v/>
      </c>
      <c r="AV398">
        <f>IF(OR($H398="",$H398="N/A"),"",IF(OR($AU398="",$AU398="Everywhere",$AU398="Not applicable"),1,IF($AU398="Pilot / one team",0.4,IF($AU398="One unit or site",0.7,0.9))))</f>
        <v/>
      </c>
      <c r="AW398" t="inlineStr">
        <is>
          <t>Cyber Privacy</t>
        </is>
      </c>
      <c r="AX398" t="inlineStr">
        <is>
          <t>Cyber Privacy</t>
        </is>
      </c>
      <c r="AY398" t="n">
        <v>30</v>
      </c>
      <c r="AZ398" t="n">
        <v>398</v>
      </c>
    </row>
    <row r="399">
      <c r="A399" t="inlineStr">
        <is>
          <t>CYBE-027</t>
        </is>
      </c>
      <c r="B399" t="inlineStr">
        <is>
          <t>Application and OT security</t>
        </is>
      </c>
      <c r="C399" t="inlineStr">
        <is>
          <t>How mature is the organization in managing secure SDLC for internally developed applications, APIs and integrations, including ownership, evidence, metrics, fallback procedures and crisis stress testing?</t>
        </is>
      </c>
      <c r="D399" t="inlineStr">
        <is>
          <t>This topic affects exposure to Cyberattack; Data breach; Ransomware; Insider threat. It helps identify how disruption may impact operations, people, revenue, systems, legal exposure or recovery time.</t>
        </is>
      </c>
      <c r="E399" t="inlineStr">
        <is>
          <t>ISO/IEC 27001; ISO/IEC 27002; NIST CSF 2.0; CIS Controls; ISO/IEC 27701; GDPR; IEC 62443</t>
        </is>
      </c>
      <c r="F399" t="inlineStr">
        <is>
          <t>Policy/SOP; owner/RACI; system report; dashboard; contracts; test records; incident history; interview evidence related to secure SDLC for internally developed applications, APIs and integrations.</t>
        </is>
      </c>
      <c r="G399">
        <f>'Assessment Questions'!J399</f>
        <v/>
      </c>
      <c r="H399">
        <f>IF($Z399="","",IF($Z399="N/A","N/A",VALUE(LEFT($Z399,1))))</f>
        <v/>
      </c>
      <c r="I399">
        <f>IF($H399="","",IF($H399="N/A","",VALUE($H399)/5*$G399))</f>
        <v/>
      </c>
      <c r="J399">
        <f>IF(OR($H399="",$H399="N/A"),"",$G399)</f>
        <v/>
      </c>
      <c r="K399">
        <f>IF(OR($H399="",$H399="N/A"),"",$J399-$I399)</f>
        <v/>
      </c>
      <c r="L399">
        <f>IF($H399="","",IF($H399="N/A","N/A",IF(VALUE($H399)&lt;=1,"Critical",IF(VALUE($H399)&lt;=2,"High",IF(VALUE($H399)&lt;=3,"Medium",IF(VALUE($H399)&lt;=4,"Low","Resilient"))))))</f>
        <v/>
      </c>
      <c r="M399" t="inlineStr">
        <is>
          <t>No reliable evidence that secure sdlc for internally developed applications, apis and integrations is defined, owned or managed.</t>
        </is>
      </c>
      <c r="N399" t="inlineStr">
        <is>
          <t>Secure SDLC for internally developed applications, APIs and integrations is handled informally and depends on individual knowledge or heroic effort.</t>
        </is>
      </c>
      <c r="O399" t="inlineStr">
        <is>
          <t>Secure SDLC for internally developed applications, APIs and integrations is partially documented or implemented, but coverage is inconsistent and not crisis-tested.</t>
        </is>
      </c>
      <c r="P399" t="inlineStr">
        <is>
          <t>Secure SDLC for internally developed applications, APIs and integrations is documented, owned, used in normal operations and supported by basic evidence or metrics.</t>
        </is>
      </c>
      <c r="Q399" t="inlineStr">
        <is>
          <t>Secure SDLC for internally developed applications, APIs and integrations is measured, periodically reviewed, integrated with related processes and tested against relevant disruption scenarios.</t>
        </is>
      </c>
      <c r="R399" t="inlineStr">
        <is>
          <t>Secure SDLC for internally developed applications, APIs and integrations is optimized, continuously improved, automated where practical and demonstrably supports crisis resilience.</t>
        </is>
      </c>
      <c r="S399" t="inlineStr">
        <is>
          <t>Cyberattack; Data breach; Ransomware; Insider threat</t>
        </is>
      </c>
      <c r="T399">
        <f>'Assessment Questions'!W399</f>
        <v/>
      </c>
      <c r="U399">
        <f>'Assessment Questions'!X399</f>
        <v/>
      </c>
      <c r="V399">
        <f>'Assessment Questions'!Y399</f>
        <v/>
      </c>
      <c r="W399" t="n">
        <v>5</v>
      </c>
      <c r="X399" t="n">
        <v>5</v>
      </c>
      <c r="Y399" t="n">
        <v>5</v>
      </c>
      <c r="Z399">
        <f>'Assessment Questions'!AC399</f>
        <v/>
      </c>
      <c r="AB399">
        <f>COUNTIF($B$373:$B$406,$AA399)</f>
        <v/>
      </c>
      <c r="AC399">
        <f>IFERROR(SUMPRODUCT(($B$373:$B$406=$AA399)*($H$373:$H$406&lt;&gt;"")*($H$373:$H$406&lt;&gt;"N/A")*IFERROR(VALUE($H$373:$H$406),0))/SUMPRODUCT(($B$373:$B$406=$AA399)*($H$373:$H$406&lt;&gt;"")*($H$373:$H$406&lt;&gt;"N/A")),0)</f>
        <v/>
      </c>
      <c r="AD399">
        <f>AC399/5</f>
        <v/>
      </c>
      <c r="AE399">
        <f>COUNTIFS($B$373:$B$406,$AA399,$L$373:$L$406,"Critical")+COUNTIFS($B$373:$B$406,$AA399,$L$373:$L$406,"High")</f>
        <v/>
      </c>
      <c r="AF399">
        <f>5-AC399</f>
        <v/>
      </c>
      <c r="AG399">
        <f>SUMPRODUCT(($B$373:$B$406=$AA399)*(ISNUMBER($H$373:$H$406)+($H$373:$H$406="N/A")))</f>
        <v/>
      </c>
      <c r="AH399">
        <f>'Assessment Questions'!AK399</f>
        <v/>
      </c>
      <c r="AI399">
        <f>'Assessment Questions'!AL399</f>
        <v/>
      </c>
      <c r="AJ399">
        <f>IF(OR($H399="",$H399="N/A"),"",IF($AH399="",VLOOKUP('Company Profile'!$B$40,_CONFIG_Model_Settings!$A$5:$B$8,2,FALSE),_xlfn.IFNA(VLOOKUP($AH399,_CONFIG_Model_Settings!$A$5:$B$8,2,FALSE),0.9)))</f>
        <v/>
      </c>
      <c r="AK399">
        <f>IF(OR($H399="",$H399="N/A"),"",IF($AI399="",VLOOKUP('Company Profile'!$B$41,_CONFIG_Model_Settings!$A$5:$B$8,2,FALSE),_xlfn.IFNA(VLOOKUP($AI399,_CONFIG_Model_Settings!$A$5:$B$8,2,FALSE),0.9)))</f>
        <v/>
      </c>
      <c r="AL399">
        <f>IF(OR($H399="",$H399="N/A"),"",ROUND(VALUE($H399)*$AJ399*$AK399*$AV399,2))</f>
        <v/>
      </c>
      <c r="AM399">
        <f>IF($AL399="","",ROUND($AL399/5*100,1))</f>
        <v/>
      </c>
      <c r="AN399">
        <f>IFERROR(MIN(5,MAX(0,(SUMIFS(_REF_Model_Content!$D$1:$D$157,_REF_Model_Content!$A$1:$A$157,'Company Profile'!$B$9,_REF_Model_Content!$B$1:$B$157,"Cyber Privacy"))+_xlfn.IFNA(VLOOKUP('Company Profile'!$B$35,_CONFIG_Model_Settings!$A$11:$B$13,2,0),0))),"")</f>
        <v/>
      </c>
      <c r="AO399">
        <f>IF($AL399="","",MAX(0,ROUND($AN399-$AL399,2)))</f>
        <v/>
      </c>
      <c r="AP399">
        <f>IFERROR(SUMIFS(_REF_Model_Content!$E$1:$E$157,_REF_Model_Content!$A$1:$A$157,'Company Profile'!$B$9,_REF_Model_Content!$B$1:$B$157,"Cyber Privacy"),1)</f>
        <v/>
      </c>
      <c r="AQ399">
        <f>IF($AO399="","",ROUND($AO399*$AP399*($G399/5),2))</f>
        <v/>
      </c>
      <c r="AR399">
        <f>IF($AO399="","",IF($AO399&gt;=2,"Critical industry gap",IF($AO399&gt;=1,"High industry gap",IF($AO399&gt;=0.5,"Moderate industry gap","Within target"))))</f>
        <v/>
      </c>
      <c r="AS399">
        <f>IF(OR($H399="",$H399="N/A"),0,VALUE($H399)*(($AJ399+$AK399)/2)*$AV399)</f>
        <v/>
      </c>
      <c r="AT399">
        <f>IF(OR($H399="",$H399="N/A"),0,($AJ399+$AK399)/2)</f>
        <v/>
      </c>
      <c r="AU399">
        <f>'Assessment Questions'!AX399</f>
        <v/>
      </c>
      <c r="AV399">
        <f>IF(OR($H399="",$H399="N/A"),"",IF(OR($AU399="",$AU399="Everywhere",$AU399="Not applicable"),1,IF($AU399="Pilot / one team",0.4,IF($AU399="One unit or site",0.7,0.9))))</f>
        <v/>
      </c>
      <c r="AW399" t="inlineStr">
        <is>
          <t>Cyber Privacy</t>
        </is>
      </c>
      <c r="AX399" t="inlineStr">
        <is>
          <t>Cyber Privacy</t>
        </is>
      </c>
      <c r="AY399" t="n">
        <v>31</v>
      </c>
      <c r="AZ399" t="n">
        <v>399</v>
      </c>
    </row>
    <row r="400">
      <c r="A400" t="inlineStr">
        <is>
          <t>CYBE-028</t>
        </is>
      </c>
      <c r="B400" t="inlineStr">
        <is>
          <t>Application and OT security</t>
        </is>
      </c>
      <c r="C400" t="inlineStr">
        <is>
          <t>How mature is the organization in managing application vulnerability testing through SAST, DAST, code review and penetration testing, including ownership, evidence, metrics, fallback procedures and crisis stress testing?</t>
        </is>
      </c>
      <c r="D400" t="inlineStr">
        <is>
          <t>This topic affects exposure to Cyberattack; Data breach; Ransomware; Insider threat. It helps identify how disruption may impact operations, people, revenue, systems, legal exposure or recovery time.</t>
        </is>
      </c>
      <c r="E400" t="inlineStr">
        <is>
          <t>ISO/IEC 27001; ISO/IEC 27002; NIST CSF 2.0; CIS Controls; ISO/IEC 27701; GDPR; IEC 62443</t>
        </is>
      </c>
      <c r="F400" t="inlineStr">
        <is>
          <t>Policy/SOP; owner/RACI; system report; dashboard; contracts; test records; incident history; interview evidence related to application vulnerability testing through SAST, DAST, code review and penetration testing.</t>
        </is>
      </c>
      <c r="G400">
        <f>'Assessment Questions'!J400</f>
        <v/>
      </c>
      <c r="H400">
        <f>IF($Z400="","",IF($Z400="N/A","N/A",VALUE(LEFT($Z400,1))))</f>
        <v/>
      </c>
      <c r="I400">
        <f>IF($H400="","",IF($H400="N/A","",VALUE($H400)/5*$G400))</f>
        <v/>
      </c>
      <c r="J400">
        <f>IF(OR($H400="",$H400="N/A"),"",$G400)</f>
        <v/>
      </c>
      <c r="K400">
        <f>IF(OR($H400="",$H400="N/A"),"",$J400-$I400)</f>
        <v/>
      </c>
      <c r="L400">
        <f>IF($H400="","",IF($H400="N/A","N/A",IF(VALUE($H400)&lt;=1,"Critical",IF(VALUE($H400)&lt;=2,"High",IF(VALUE($H400)&lt;=3,"Medium",IF(VALUE($H400)&lt;=4,"Low","Resilient"))))))</f>
        <v/>
      </c>
      <c r="M400" t="inlineStr">
        <is>
          <t>Never done; no records exist.</t>
        </is>
      </c>
      <c r="N400" t="inlineStr">
        <is>
          <t>Done once long ago or only after an incident; no schedule, no records.</t>
        </is>
      </c>
      <c r="O400" t="inlineStr">
        <is>
          <t>Done irregularly; results are not documented and findings are not tracked.</t>
        </is>
      </c>
      <c r="P400" t="inlineStr">
        <is>
          <t>Done on a defined schedule (at least annually); results documented, owner assigned.</t>
        </is>
      </c>
      <c r="Q400" t="inlineStr">
        <is>
          <t>Done quarterly/semi-annually; findings tracked to closure, effectiveness measured against targets.</t>
        </is>
      </c>
      <c r="R400" t="inlineStr">
        <is>
          <t>Continuous or automated where possible; results drive improvements and are validated externally (audit/customer).</t>
        </is>
      </c>
      <c r="S400" t="inlineStr">
        <is>
          <t>Cyberattack; Data breach; Ransomware; Insider threat</t>
        </is>
      </c>
      <c r="T400">
        <f>'Assessment Questions'!W400</f>
        <v/>
      </c>
      <c r="U400">
        <f>'Assessment Questions'!X400</f>
        <v/>
      </c>
      <c r="V400">
        <f>'Assessment Questions'!Y400</f>
        <v/>
      </c>
      <c r="W400" t="n">
        <v>5</v>
      </c>
      <c r="X400" t="n">
        <v>5</v>
      </c>
      <c r="Y400" t="n">
        <v>5</v>
      </c>
      <c r="Z400">
        <f>'Assessment Questions'!AC400</f>
        <v/>
      </c>
      <c r="AB400">
        <f>COUNTIF($B$373:$B$406,$AA400)</f>
        <v/>
      </c>
      <c r="AC400">
        <f>IFERROR(SUMPRODUCT(($B$373:$B$406=$AA400)*($H$373:$H$406&lt;&gt;"")*($H$373:$H$406&lt;&gt;"N/A")*IFERROR(VALUE($H$373:$H$406),0))/SUMPRODUCT(($B$373:$B$406=$AA400)*($H$373:$H$406&lt;&gt;"")*($H$373:$H$406&lt;&gt;"N/A")),0)</f>
        <v/>
      </c>
      <c r="AD400">
        <f>AC400/5</f>
        <v/>
      </c>
      <c r="AE400">
        <f>COUNTIFS($B$373:$B$406,$AA400,$L$373:$L$406,"Critical")+COUNTIFS($B$373:$B$406,$AA400,$L$373:$L$406,"High")</f>
        <v/>
      </c>
      <c r="AF400">
        <f>5-AC400</f>
        <v/>
      </c>
      <c r="AG400">
        <f>SUMPRODUCT(($B$373:$B$406=$AA400)*(ISNUMBER($H$373:$H$406)+($H$373:$H$406="N/A")))</f>
        <v/>
      </c>
      <c r="AH400">
        <f>'Assessment Questions'!AK400</f>
        <v/>
      </c>
      <c r="AI400">
        <f>'Assessment Questions'!AL400</f>
        <v/>
      </c>
      <c r="AJ400">
        <f>IF(OR($H400="",$H400="N/A"),"",IF($AH400="",VLOOKUP('Company Profile'!$B$40,_CONFIG_Model_Settings!$A$5:$B$8,2,FALSE),_xlfn.IFNA(VLOOKUP($AH400,_CONFIG_Model_Settings!$A$5:$B$8,2,FALSE),0.9)))</f>
        <v/>
      </c>
      <c r="AK400">
        <f>IF(OR($H400="",$H400="N/A"),"",IF($AI400="",VLOOKUP('Company Profile'!$B$41,_CONFIG_Model_Settings!$A$5:$B$8,2,FALSE),_xlfn.IFNA(VLOOKUP($AI400,_CONFIG_Model_Settings!$A$5:$B$8,2,FALSE),0.9)))</f>
        <v/>
      </c>
      <c r="AL400">
        <f>IF(OR($H400="",$H400="N/A"),"",ROUND(VALUE($H400)*$AJ400*$AK400*$AV400,2))</f>
        <v/>
      </c>
      <c r="AM400">
        <f>IF($AL400="","",ROUND($AL400/5*100,1))</f>
        <v/>
      </c>
      <c r="AN400">
        <f>IFERROR(MIN(5,MAX(0,(SUMIFS(_REF_Model_Content!$D$1:$D$157,_REF_Model_Content!$A$1:$A$157,'Company Profile'!$B$9,_REF_Model_Content!$B$1:$B$157,"Cyber Privacy"))+_xlfn.IFNA(VLOOKUP('Company Profile'!$B$35,_CONFIG_Model_Settings!$A$11:$B$13,2,0),0))),"")</f>
        <v/>
      </c>
      <c r="AO400">
        <f>IF($AL400="","",MAX(0,ROUND($AN400-$AL400,2)))</f>
        <v/>
      </c>
      <c r="AP400">
        <f>IFERROR(SUMIFS(_REF_Model_Content!$E$1:$E$157,_REF_Model_Content!$A$1:$A$157,'Company Profile'!$B$9,_REF_Model_Content!$B$1:$B$157,"Cyber Privacy"),1)</f>
        <v/>
      </c>
      <c r="AQ400">
        <f>IF($AO400="","",ROUND($AO400*$AP400*($G400/5),2))</f>
        <v/>
      </c>
      <c r="AR400">
        <f>IF($AO400="","",IF($AO400&gt;=2,"Critical industry gap",IF($AO400&gt;=1,"High industry gap",IF($AO400&gt;=0.5,"Moderate industry gap","Within target"))))</f>
        <v/>
      </c>
      <c r="AS400">
        <f>IF(OR($H400="",$H400="N/A"),0,VALUE($H400)*(($AJ400+$AK400)/2)*$AV400)</f>
        <v/>
      </c>
      <c r="AT400">
        <f>IF(OR($H400="",$H400="N/A"),0,($AJ400+$AK400)/2)</f>
        <v/>
      </c>
      <c r="AU400">
        <f>'Assessment Questions'!AX400</f>
        <v/>
      </c>
      <c r="AV400">
        <f>IF(OR($H400="",$H400="N/A"),"",IF(OR($AU400="",$AU400="Everywhere",$AU400="Not applicable"),1,IF($AU400="Pilot / one team",0.4,IF($AU400="One unit or site",0.7,0.9))))</f>
        <v/>
      </c>
      <c r="AW400" t="inlineStr">
        <is>
          <t>Cyber Privacy</t>
        </is>
      </c>
      <c r="AX400" t="inlineStr">
        <is>
          <t>Cyber Privacy</t>
        </is>
      </c>
      <c r="AY400" t="n">
        <v>32</v>
      </c>
      <c r="AZ400" t="n">
        <v>400</v>
      </c>
    </row>
    <row r="401">
      <c r="A401" t="inlineStr">
        <is>
          <t>CYBE-032</t>
        </is>
      </c>
      <c r="B401" t="inlineStr">
        <is>
          <t>Privacy</t>
        </is>
      </c>
      <c r="C401" t="inlineStr">
        <is>
          <t>How mature is the organization in managing privacy governance with roles, lawful basis, DPIA, RoPA and data subject processes, including ownership, evidence, metrics, fallback procedures and crisis stress testing?</t>
        </is>
      </c>
      <c r="D401" t="inlineStr">
        <is>
          <t>This topic affects exposure to Cyberattack; Data breach; Ransomware; Insider threat. It helps identify how disruption may impact operations, people, revenue, systems, legal exposure or recovery time.</t>
        </is>
      </c>
      <c r="E401" t="inlineStr">
        <is>
          <t>ISO/IEC 27001; ISO/IEC 27002; NIST CSF 2.0; CIS Controls; ISO/IEC 27701; GDPR; IEC 62443</t>
        </is>
      </c>
      <c r="F401" t="inlineStr">
        <is>
          <t>Policy/SOP; owner/RACI; system report; dashboard; contracts; test records; incident history; interview evidence related to privacy governance with roles, lawful basis, DPIA, RoPA and data subject processes.</t>
        </is>
      </c>
      <c r="G401">
        <f>'Assessment Questions'!J401</f>
        <v/>
      </c>
      <c r="H401">
        <f>IF($Z401="","",IF($Z401="N/A","N/A",VALUE(LEFT($Z401,1))))</f>
        <v/>
      </c>
      <c r="I401">
        <f>IF($H401="","",IF($H401="N/A","",VALUE($H401)/5*$G401))</f>
        <v/>
      </c>
      <c r="J401">
        <f>IF(OR($H401="",$H401="N/A"),"",$G401)</f>
        <v/>
      </c>
      <c r="K401">
        <f>IF(OR($H401="",$H401="N/A"),"",$J401-$I401)</f>
        <v/>
      </c>
      <c r="L401">
        <f>IF($H401="","",IF($H401="N/A","N/A",IF(VALUE($H401)&lt;=1,"Critical",IF(VALUE($H401)&lt;=2,"High",IF(VALUE($H401)&lt;=3,"Medium",IF(VALUE($H401)&lt;=4,"Low","Resilient"))))))</f>
        <v/>
      </c>
      <c r="M401" t="inlineStr">
        <is>
          <t>No reliable evidence that privacy governance with roles, lawful basis, dpia, ropa and data subject processes is defined, owned or managed.</t>
        </is>
      </c>
      <c r="N401" t="inlineStr">
        <is>
          <t>Privacy governance with roles, lawful basis, DPIA, RoPA and data subject processes is handled informally and depends on individual knowledge or heroic effort.</t>
        </is>
      </c>
      <c r="O401" t="inlineStr">
        <is>
          <t>Privacy governance with roles, lawful basis, DPIA, RoPA and data subject processes is partially documented or implemented, but coverage is inconsistent and not crisis-tested.</t>
        </is>
      </c>
      <c r="P401" t="inlineStr">
        <is>
          <t>Privacy governance with roles, lawful basis, DPIA, RoPA and data subject processes is documented, owned, used in normal operations and supported by basic evidence or metrics.</t>
        </is>
      </c>
      <c r="Q401" t="inlineStr">
        <is>
          <t>Privacy governance with roles, lawful basis, DPIA, RoPA and data subject processes is measured, periodically reviewed, integrated with related processes and tested against relevant disruption scenarios.</t>
        </is>
      </c>
      <c r="R401" t="inlineStr">
        <is>
          <t>Privacy governance with roles, lawful basis, DPIA, RoPA and data subject processes is optimized, continuously improved, automated where practical and demonstrably supports crisis resilience.</t>
        </is>
      </c>
      <c r="S401" t="inlineStr">
        <is>
          <t>Cyberattack; Data breach; Ransomware; Insider threat</t>
        </is>
      </c>
      <c r="T401">
        <f>'Assessment Questions'!W401</f>
        <v/>
      </c>
      <c r="U401">
        <f>'Assessment Questions'!X401</f>
        <v/>
      </c>
      <c r="V401">
        <f>'Assessment Questions'!Y401</f>
        <v/>
      </c>
      <c r="W401" t="n">
        <v>5</v>
      </c>
      <c r="X401" t="n">
        <v>5</v>
      </c>
      <c r="Y401" t="n">
        <v>5</v>
      </c>
      <c r="Z401">
        <f>'Assessment Questions'!AC401</f>
        <v/>
      </c>
      <c r="AB401">
        <f>COUNTIF($B$373:$B$406,$AA401)</f>
        <v/>
      </c>
      <c r="AC401">
        <f>IFERROR(SUMPRODUCT(($B$373:$B$406=$AA401)*($H$373:$H$406&lt;&gt;"")*($H$373:$H$406&lt;&gt;"N/A")*IFERROR(VALUE($H$373:$H$406),0))/SUMPRODUCT(($B$373:$B$406=$AA401)*($H$373:$H$406&lt;&gt;"")*($H$373:$H$406&lt;&gt;"N/A")),0)</f>
        <v/>
      </c>
      <c r="AD401">
        <f>AC401/5</f>
        <v/>
      </c>
      <c r="AE401">
        <f>COUNTIFS($B$373:$B$406,$AA401,$L$373:$L$406,"Critical")+COUNTIFS($B$373:$B$406,$AA401,$L$373:$L$406,"High")</f>
        <v/>
      </c>
      <c r="AF401">
        <f>5-AC401</f>
        <v/>
      </c>
      <c r="AG401">
        <f>SUMPRODUCT(($B$373:$B$406=$AA401)*(ISNUMBER($H$373:$H$406)+($H$373:$H$406="N/A")))</f>
        <v/>
      </c>
      <c r="AH401">
        <f>'Assessment Questions'!AK401</f>
        <v/>
      </c>
      <c r="AI401">
        <f>'Assessment Questions'!AL401</f>
        <v/>
      </c>
      <c r="AJ401">
        <f>IF(OR($H401="",$H401="N/A"),"",IF($AH401="",VLOOKUP('Company Profile'!$B$40,_CONFIG_Model_Settings!$A$5:$B$8,2,FALSE),_xlfn.IFNA(VLOOKUP($AH401,_CONFIG_Model_Settings!$A$5:$B$8,2,FALSE),0.9)))</f>
        <v/>
      </c>
      <c r="AK401">
        <f>IF(OR($H401="",$H401="N/A"),"",IF($AI401="",VLOOKUP('Company Profile'!$B$41,_CONFIG_Model_Settings!$A$5:$B$8,2,FALSE),_xlfn.IFNA(VLOOKUP($AI401,_CONFIG_Model_Settings!$A$5:$B$8,2,FALSE),0.9)))</f>
        <v/>
      </c>
      <c r="AL401">
        <f>IF(OR($H401="",$H401="N/A"),"",ROUND(VALUE($H401)*$AJ401*$AK401*$AV401,2))</f>
        <v/>
      </c>
      <c r="AM401">
        <f>IF($AL401="","",ROUND($AL401/5*100,1))</f>
        <v/>
      </c>
      <c r="AN401">
        <f>IFERROR(MIN(5,MAX(0,(SUMIFS(_REF_Model_Content!$D$1:$D$157,_REF_Model_Content!$A$1:$A$157,'Company Profile'!$B$9,_REF_Model_Content!$B$1:$B$157,"Cyber Privacy"))+_xlfn.IFNA(VLOOKUP('Company Profile'!$B$35,_CONFIG_Model_Settings!$A$11:$B$13,2,0),0))),"")</f>
        <v/>
      </c>
      <c r="AO401">
        <f>IF($AL401="","",MAX(0,ROUND($AN401-$AL401,2)))</f>
        <v/>
      </c>
      <c r="AP401">
        <f>IFERROR(SUMIFS(_REF_Model_Content!$E$1:$E$157,_REF_Model_Content!$A$1:$A$157,'Company Profile'!$B$9,_REF_Model_Content!$B$1:$B$157,"Cyber Privacy"),1)</f>
        <v/>
      </c>
      <c r="AQ401">
        <f>IF($AO401="","",ROUND($AO401*$AP401*($G401/5),2))</f>
        <v/>
      </c>
      <c r="AR401">
        <f>IF($AO401="","",IF($AO401&gt;=2,"Critical industry gap",IF($AO401&gt;=1,"High industry gap",IF($AO401&gt;=0.5,"Moderate industry gap","Within target"))))</f>
        <v/>
      </c>
      <c r="AS401">
        <f>IF(OR($H401="",$H401="N/A"),0,VALUE($H401)*(($AJ401+$AK401)/2)*$AV401)</f>
        <v/>
      </c>
      <c r="AT401">
        <f>IF(OR($H401="",$H401="N/A"),0,($AJ401+$AK401)/2)</f>
        <v/>
      </c>
      <c r="AU401">
        <f>'Assessment Questions'!AX401</f>
        <v/>
      </c>
      <c r="AV401">
        <f>IF(OR($H401="",$H401="N/A"),"",IF(OR($AU401="",$AU401="Everywhere",$AU401="Not applicable"),1,IF($AU401="Pilot / one team",0.4,IF($AU401="One unit or site",0.7,0.9))))</f>
        <v/>
      </c>
      <c r="AW401" t="inlineStr">
        <is>
          <t>Cyber Privacy</t>
        </is>
      </c>
      <c r="AX401" t="inlineStr">
        <is>
          <t>Cyber Privacy</t>
        </is>
      </c>
      <c r="AY401" t="n">
        <v>33</v>
      </c>
      <c r="AZ401" t="n">
        <v>401</v>
      </c>
    </row>
    <row r="402">
      <c r="A402" t="inlineStr">
        <is>
          <t>CYBE-033</t>
        </is>
      </c>
      <c r="B402" t="inlineStr">
        <is>
          <t>Privacy</t>
        </is>
      </c>
      <c r="C402" t="inlineStr">
        <is>
          <t>How mature is the organization in managing personal data breach detection, assessment and notification within required timelines, including ownership, evidence, metrics, fallback procedures and crisis stress testing?</t>
        </is>
      </c>
      <c r="D402" t="inlineStr">
        <is>
          <t>This topic affects exposure to Cyberattack; Data breach; Ransomware; Insider threat. It helps identify how disruption may impact operations, people, revenue, systems, legal exposure or recovery time.</t>
        </is>
      </c>
      <c r="E402" t="inlineStr">
        <is>
          <t>ISO/IEC 27001; ISO/IEC 27002; NIST CSF 2.0; CIS Controls; ISO/IEC 27701; GDPR; IEC 62443</t>
        </is>
      </c>
      <c r="F402" t="inlineStr">
        <is>
          <t>Policy/SOP; owner/RACI; system report; dashboard; contracts; test records; incident history; interview evidence related to personal data breach detection, assessment and notification within required timelines.</t>
        </is>
      </c>
      <c r="G402">
        <f>'Assessment Questions'!J402</f>
        <v/>
      </c>
      <c r="H402">
        <f>IF($Z402="","",IF($Z402="N/A","N/A",VALUE(LEFT($Z402,1))))</f>
        <v/>
      </c>
      <c r="I402">
        <f>IF($H402="","",IF($H402="N/A","",VALUE($H402)/5*$G402))</f>
        <v/>
      </c>
      <c r="J402">
        <f>IF(OR($H402="",$H402="N/A"),"",$G402)</f>
        <v/>
      </c>
      <c r="K402">
        <f>IF(OR($H402="",$H402="N/A"),"",$J402-$I402)</f>
        <v/>
      </c>
      <c r="L402">
        <f>IF($H402="","",IF($H402="N/A","N/A",IF(VALUE($H402)&lt;=1,"Critical",IF(VALUE($H402)&lt;=2,"High",IF(VALUE($H402)&lt;=3,"Medium",IF(VALUE($H402)&lt;=4,"Low","Resilient"))))))</f>
        <v/>
      </c>
      <c r="M402" t="inlineStr">
        <is>
          <t>No reliable evidence that personal data breach detection, assessment and notification within required timelines is defined, owned or managed.</t>
        </is>
      </c>
      <c r="N402" t="inlineStr">
        <is>
          <t>Personal data breach detection, assessment and notification within required timelines is handled informally and depends on individual knowledge or heroic effort.</t>
        </is>
      </c>
      <c r="O402" t="inlineStr">
        <is>
          <t>Personal data breach detection, assessment and notification within required timelines is partially documented or implemented, but coverage is inconsistent and not crisis-tested.</t>
        </is>
      </c>
      <c r="P402" t="inlineStr">
        <is>
          <t>Personal data breach detection, assessment and notification within required timelines is documented, owned, used in normal operations and supported by basic evidence or metrics.</t>
        </is>
      </c>
      <c r="Q402" t="inlineStr">
        <is>
          <t>Personal data breach detection, assessment and notification within required timelines is measured, periodically reviewed, integrated with related processes and tested against relevant disruption scenarios.</t>
        </is>
      </c>
      <c r="R402" t="inlineStr">
        <is>
          <t>Personal data breach detection, assessment and notification within required timelines is optimized, continuously improved, automated where practical and demonstrably supports crisis resilience.</t>
        </is>
      </c>
      <c r="S402" t="inlineStr">
        <is>
          <t>Cyberattack; Data breach; Ransomware; Insider threat</t>
        </is>
      </c>
      <c r="T402">
        <f>'Assessment Questions'!W402</f>
        <v/>
      </c>
      <c r="U402">
        <f>'Assessment Questions'!X402</f>
        <v/>
      </c>
      <c r="V402">
        <f>'Assessment Questions'!Y402</f>
        <v/>
      </c>
      <c r="W402" t="n">
        <v>5</v>
      </c>
      <c r="X402" t="n">
        <v>5</v>
      </c>
      <c r="Y402" t="n">
        <v>5</v>
      </c>
      <c r="Z402">
        <f>'Assessment Questions'!AC402</f>
        <v/>
      </c>
      <c r="AB402">
        <f>COUNTIF($B$373:$B$406,$AA402)</f>
        <v/>
      </c>
      <c r="AC402">
        <f>IFERROR(SUMPRODUCT(($B$373:$B$406=$AA402)*($H$373:$H$406&lt;&gt;"")*($H$373:$H$406&lt;&gt;"N/A")*IFERROR(VALUE($H$373:$H$406),0))/SUMPRODUCT(($B$373:$B$406=$AA402)*($H$373:$H$406&lt;&gt;"")*($H$373:$H$406&lt;&gt;"N/A")),0)</f>
        <v/>
      </c>
      <c r="AD402">
        <f>AC402/5</f>
        <v/>
      </c>
      <c r="AE402">
        <f>COUNTIFS($B$373:$B$406,$AA402,$L$373:$L$406,"Critical")+COUNTIFS($B$373:$B$406,$AA402,$L$373:$L$406,"High")</f>
        <v/>
      </c>
      <c r="AF402">
        <f>5-AC402</f>
        <v/>
      </c>
      <c r="AG402">
        <f>SUMPRODUCT(($B$373:$B$406=$AA402)*(ISNUMBER($H$373:$H$406)+($H$373:$H$406="N/A")))</f>
        <v/>
      </c>
      <c r="AH402">
        <f>'Assessment Questions'!AK402</f>
        <v/>
      </c>
      <c r="AI402">
        <f>'Assessment Questions'!AL402</f>
        <v/>
      </c>
      <c r="AJ402">
        <f>IF(OR($H402="",$H402="N/A"),"",IF($AH402="",VLOOKUP('Company Profile'!$B$40,_CONFIG_Model_Settings!$A$5:$B$8,2,FALSE),_xlfn.IFNA(VLOOKUP($AH402,_CONFIG_Model_Settings!$A$5:$B$8,2,FALSE),0.9)))</f>
        <v/>
      </c>
      <c r="AK402">
        <f>IF(OR($H402="",$H402="N/A"),"",IF($AI402="",VLOOKUP('Company Profile'!$B$41,_CONFIG_Model_Settings!$A$5:$B$8,2,FALSE),_xlfn.IFNA(VLOOKUP($AI402,_CONFIG_Model_Settings!$A$5:$B$8,2,FALSE),0.9)))</f>
        <v/>
      </c>
      <c r="AL402">
        <f>IF(OR($H402="",$H402="N/A"),"",ROUND(VALUE($H402)*$AJ402*$AK402*$AV402,2))</f>
        <v/>
      </c>
      <c r="AM402">
        <f>IF($AL402="","",ROUND($AL402/5*100,1))</f>
        <v/>
      </c>
      <c r="AN402">
        <f>IFERROR(MIN(5,MAX(0,(SUMIFS(_REF_Model_Content!$D$1:$D$157,_REF_Model_Content!$A$1:$A$157,'Company Profile'!$B$9,_REF_Model_Content!$B$1:$B$157,"Cyber Privacy"))+_xlfn.IFNA(VLOOKUP('Company Profile'!$B$35,_CONFIG_Model_Settings!$A$11:$B$13,2,0),0))),"")</f>
        <v/>
      </c>
      <c r="AO402">
        <f>IF($AL402="","",MAX(0,ROUND($AN402-$AL402,2)))</f>
        <v/>
      </c>
      <c r="AP402">
        <f>IFERROR(SUMIFS(_REF_Model_Content!$E$1:$E$157,_REF_Model_Content!$A$1:$A$157,'Company Profile'!$B$9,_REF_Model_Content!$B$1:$B$157,"Cyber Privacy"),1)</f>
        <v/>
      </c>
      <c r="AQ402">
        <f>IF($AO402="","",ROUND($AO402*$AP402*($G402/5),2))</f>
        <v/>
      </c>
      <c r="AR402">
        <f>IF($AO402="","",IF($AO402&gt;=2,"Critical industry gap",IF($AO402&gt;=1,"High industry gap",IF($AO402&gt;=0.5,"Moderate industry gap","Within target"))))</f>
        <v/>
      </c>
      <c r="AS402">
        <f>IF(OR($H402="",$H402="N/A"),0,VALUE($H402)*(($AJ402+$AK402)/2)*$AV402)</f>
        <v/>
      </c>
      <c r="AT402">
        <f>IF(OR($H402="",$H402="N/A"),0,($AJ402+$AK402)/2)</f>
        <v/>
      </c>
      <c r="AU402">
        <f>'Assessment Questions'!AX402</f>
        <v/>
      </c>
      <c r="AV402">
        <f>IF(OR($H402="",$H402="N/A"),"",IF(OR($AU402="",$AU402="Everywhere",$AU402="Not applicable"),1,IF($AU402="Pilot / one team",0.4,IF($AU402="One unit or site",0.7,0.9))))</f>
        <v/>
      </c>
      <c r="AW402" t="inlineStr">
        <is>
          <t>Cyber Privacy</t>
        </is>
      </c>
      <c r="AX402" t="inlineStr">
        <is>
          <t>Cyber Privacy</t>
        </is>
      </c>
      <c r="AY402" t="n">
        <v>34</v>
      </c>
      <c r="AZ402" t="n">
        <v>402</v>
      </c>
    </row>
    <row r="403">
      <c r="A403" t="inlineStr">
        <is>
          <t>CYBE-035</t>
        </is>
      </c>
      <c r="B403" t="inlineStr">
        <is>
          <t>Security governance</t>
        </is>
      </c>
      <c r="C403" t="inlineStr">
        <is>
          <t>How mature is the organization in managing inclusion of critical suppliers and service providers in incident response planning, contact lists and joint exercises, including ownership, evidence, metrics, fallback procedures and crisis stress testing?</t>
        </is>
      </c>
      <c r="D403" t="inlineStr">
        <is>
          <t>This topic affects exposure to Cyberattack/ransomware; Supplier/logistics disruption; Cloud/SaaS outage. It helps identify how disruption may impact operations, people, revenue, systems, legal exposure or recovery time.</t>
        </is>
      </c>
      <c r="E403" t="inlineStr">
        <is>
          <t>NIST CSF 2.0 GV.SC-08; ISO 27036; ISO 22301</t>
        </is>
      </c>
      <c r="F403" t="inlineStr">
        <is>
          <t>Policy/SOP; owner/RACI; system report; dashboard; contracts; test records; incident history; interview evidence related to information security management system with policies, owners, risks and controls.</t>
        </is>
      </c>
      <c r="G403">
        <f>'Assessment Questions'!J403</f>
        <v/>
      </c>
      <c r="H403">
        <f>IF($Z403="","",IF($Z403="N/A","N/A",VALUE(LEFT($Z403,1))))</f>
        <v/>
      </c>
      <c r="I403">
        <f>IF($H403="","",IF($H403="N/A","",VALUE($H403)/5*$G403))</f>
        <v/>
      </c>
      <c r="J403">
        <f>IF(OR($H403="",$H403="N/A"),"",$G403)</f>
        <v/>
      </c>
      <c r="K403">
        <f>IF(OR($H403="",$H403="N/A"),"",$J403-$I403)</f>
        <v/>
      </c>
      <c r="L403">
        <f>IF($H403="","",IF($H403="N/A","N/A",IF(VALUE($H403)&lt;=1,"Critical",IF(VALUE($H403)&lt;=2,"High",IF(VALUE($H403)&lt;=3,"Medium",IF(VALUE($H403)&lt;=4,"Low","Resilient"))))))</f>
        <v/>
      </c>
      <c r="M403" t="inlineStr">
        <is>
          <t>Never done; no records exist.</t>
        </is>
      </c>
      <c r="N403" t="inlineStr">
        <is>
          <t>Done once long ago or only after an incident; no schedule, no records.</t>
        </is>
      </c>
      <c r="O403" t="inlineStr">
        <is>
          <t>Done irregularly; results are not documented and findings are not tracked.</t>
        </is>
      </c>
      <c r="P403" t="inlineStr">
        <is>
          <t>Done on a defined schedule (at least annually); results documented, owner assigned.</t>
        </is>
      </c>
      <c r="Q403" t="inlineStr">
        <is>
          <t>Done quarterly/semi-annually; findings tracked to closure, effectiveness measured against targets.</t>
        </is>
      </c>
      <c r="R403" t="inlineStr">
        <is>
          <t>Continuous or automated where possible; results drive improvements and are validated externally (audit/customer).</t>
        </is>
      </c>
      <c r="S403" t="inlineStr">
        <is>
          <t>Cyberattack/ransomware; Supplier/logistics disruption; Cloud/SaaS outage</t>
        </is>
      </c>
      <c r="T403">
        <f>'Assessment Questions'!W403</f>
        <v/>
      </c>
      <c r="U403">
        <f>'Assessment Questions'!X403</f>
        <v/>
      </c>
      <c r="V403">
        <f>'Assessment Questions'!Y403</f>
        <v/>
      </c>
      <c r="W403" t="n">
        <v>3</v>
      </c>
      <c r="X403" t="n">
        <v>5</v>
      </c>
      <c r="Y403" t="n">
        <v>4</v>
      </c>
      <c r="Z403">
        <f>'Assessment Questions'!AC403</f>
        <v/>
      </c>
      <c r="AB403">
        <f>COUNTIF($B$373:$B$406,$AA403)</f>
        <v/>
      </c>
      <c r="AC403">
        <f>IFERROR(SUMPRODUCT(($B$373:$B$406=$AA403)*($H$373:$H$406&lt;&gt;"")*($H$373:$H$406&lt;&gt;"N/A")*IFERROR(VALUE($H$373:$H$406),0))/SUMPRODUCT(($B$373:$B$406=$AA403)*($H$373:$H$406&lt;&gt;"")*($H$373:$H$406&lt;&gt;"N/A")),0)</f>
        <v/>
      </c>
      <c r="AD403">
        <f>AC403/5</f>
        <v/>
      </c>
      <c r="AE403">
        <f>COUNTIFS($B$373:$B$406,$AA403,$L$373:$L$406,"Critical")+COUNTIFS($B$373:$B$406,$AA403,$L$373:$L$406,"High")</f>
        <v/>
      </c>
      <c r="AF403">
        <f>5-AC403</f>
        <v/>
      </c>
      <c r="AG403">
        <f>SUMPRODUCT(($B$373:$B$406=$AA403)*(ISNUMBER($H$373:$H$406)+($H$373:$H$406="N/A")))</f>
        <v/>
      </c>
      <c r="AH403">
        <f>'Assessment Questions'!AK403</f>
        <v/>
      </c>
      <c r="AI403">
        <f>'Assessment Questions'!AL403</f>
        <v/>
      </c>
      <c r="AJ403">
        <f>IF(OR($H403="",$H403="N/A"),"",IF($AH403="",VLOOKUP('Company Profile'!$B$40,_CONFIG_Model_Settings!$A$5:$B$8,2,FALSE),_xlfn.IFNA(VLOOKUP($AH403,_CONFIG_Model_Settings!$A$5:$B$8,2,FALSE),0.9)))</f>
        <v/>
      </c>
      <c r="AK403">
        <f>IF(OR($H403="",$H403="N/A"),"",IF($AI403="",VLOOKUP('Company Profile'!$B$41,_CONFIG_Model_Settings!$A$5:$B$8,2,FALSE),_xlfn.IFNA(VLOOKUP($AI403,_CONFIG_Model_Settings!$A$5:$B$8,2,FALSE),0.9)))</f>
        <v/>
      </c>
      <c r="AL403">
        <f>IF(OR($H403="",$H403="N/A"),"",ROUND(VALUE($H403)*$AJ403*$AK403*$AV403,2))</f>
        <v/>
      </c>
      <c r="AM403">
        <f>IF($AL403="","",ROUND($AL403/5*100,1))</f>
        <v/>
      </c>
      <c r="AN403">
        <f>IFERROR(MIN(5,MAX(0,(SUMIFS(_REF_Model_Content!$D$1:$D$157,_REF_Model_Content!$A$1:$A$157,'Company Profile'!$B$9,_REF_Model_Content!$B$1:$B$157,"Cyber Privacy"))+_xlfn.IFNA(VLOOKUP('Company Profile'!$B$35,_CONFIG_Model_Settings!$A$11:$B$13,2,0),0))),"")</f>
        <v/>
      </c>
      <c r="AO403">
        <f>IF($AL403="","",MAX(0,ROUND($AN403-$AL403,2)))</f>
        <v/>
      </c>
      <c r="AP403">
        <f>IFERROR(SUMIFS(_REF_Model_Content!$E$1:$E$157,_REF_Model_Content!$A$1:$A$157,'Company Profile'!$B$9,_REF_Model_Content!$B$1:$B$157,"Cyber Privacy"),1)</f>
        <v/>
      </c>
      <c r="AQ403">
        <f>IF($AO403="","",ROUND($AO403*$AP403*($G403/5),2))</f>
        <v/>
      </c>
      <c r="AR403">
        <f>IF($AO403="","",IF($AO403&gt;=2,"Critical industry gap",IF($AO403&gt;=1,"High industry gap",IF($AO403&gt;=0.5,"Moderate industry gap","Within target"))))</f>
        <v/>
      </c>
      <c r="AS403">
        <f>IF(OR($H403="",$H403="N/A"),0,VALUE($H403)*(($AJ403+$AK403)/2)*$AV403)</f>
        <v/>
      </c>
      <c r="AT403">
        <f>IF(OR($H403="",$H403="N/A"),0,($AJ403+$AK403)/2)</f>
        <v/>
      </c>
      <c r="AU403">
        <f>'Assessment Questions'!AX403</f>
        <v/>
      </c>
      <c r="AV403">
        <f>IF(OR($H403="",$H403="N/A"),"",IF(OR($AU403="",$AU403="Everywhere",$AU403="Not applicable"),1,IF($AU403="Pilot / one team",0.4,IF($AU403="One unit or site",0.7,0.9))))</f>
        <v/>
      </c>
      <c r="AW403" t="inlineStr">
        <is>
          <t>Cyber Privacy</t>
        </is>
      </c>
      <c r="AX403" t="inlineStr">
        <is>
          <t>Cyber Privacy</t>
        </is>
      </c>
      <c r="AY403" t="n">
        <v>35</v>
      </c>
      <c r="AZ403" t="n">
        <v>403</v>
      </c>
    </row>
    <row r="404">
      <c r="A404" t="inlineStr">
        <is>
          <t>CYBE-036</t>
        </is>
      </c>
      <c r="B404" t="inlineStr">
        <is>
          <t>Security governance</t>
        </is>
      </c>
      <c r="C404" t="inlineStr">
        <is>
          <t>How mature is the organization in managing vendor offboarding with access revocation, data return or deletion and post-contract security obligations, including ownership, evidence, metrics, fallback procedures and crisis stress testing?</t>
        </is>
      </c>
      <c r="D404" t="inlineStr">
        <is>
          <t>This topic affects exposure to Cyberattack/ransomware; Regulatory/legal shock. It helps identify how disruption may impact operations, people, revenue, systems, legal exposure or recovery time.</t>
        </is>
      </c>
      <c r="E404" t="inlineStr">
        <is>
          <t>NIST CSF 2.0 GV.SC-10; ISO 27001; GDPR</t>
        </is>
      </c>
      <c r="F404" t="inlineStr">
        <is>
          <t>Policy/SOP; owner/RACI; system report; dashboard; contracts; test records; incident history; interview evidence related to information security management system with policies, owners, risks and controls.</t>
        </is>
      </c>
      <c r="G404">
        <f>'Assessment Questions'!J404</f>
        <v/>
      </c>
      <c r="H404">
        <f>IF($Z404="","",IF($Z404="N/A","N/A",VALUE(LEFT($Z404,1))))</f>
        <v/>
      </c>
      <c r="I404">
        <f>IF($H404="","",IF($H404="N/A","",VALUE($H404)/5*$G404))</f>
        <v/>
      </c>
      <c r="J404">
        <f>IF(OR($H404="",$H404="N/A"),"",$G404)</f>
        <v/>
      </c>
      <c r="K404">
        <f>IF(OR($H404="",$H404="N/A"),"",$J404-$I404)</f>
        <v/>
      </c>
      <c r="L404">
        <f>IF($H404="","",IF($H404="N/A","N/A",IF(VALUE($H404)&lt;=1,"Critical",IF(VALUE($H404)&lt;=2,"High",IF(VALUE($H404)&lt;=3,"Medium",IF(VALUE($H404)&lt;=4,"Low","Resilient"))))))</f>
        <v/>
      </c>
      <c r="M404" t="inlineStr">
        <is>
          <t>No reliable evidence that vendor offboarding with access revocation, data return or deletion and post-contract security obligations is defined, owned or managed.</t>
        </is>
      </c>
      <c r="N404" t="inlineStr">
        <is>
          <t>Vendor offboarding with access revocation, data return or deletion and post-contract security obligations is handled informally and depends on individual knowledge or heroic effort.</t>
        </is>
      </c>
      <c r="O404" t="inlineStr">
        <is>
          <t>Vendor offboarding with access revocation, data return or deletion and post-contract security obligations is partially documented or implemented, but coverage is inconsistent and not crisis-tested.</t>
        </is>
      </c>
      <c r="P404" t="inlineStr">
        <is>
          <t>Vendor offboarding with access revocation, data return or deletion and post-contract security obligations is documented, owned, used in normal operations and supported by basic evidence or metrics.</t>
        </is>
      </c>
      <c r="Q404" t="inlineStr">
        <is>
          <t>Vendor offboarding with access revocation, data return or deletion and post-contract security obligations is measured, periodically reviewed, integrated with related processes and tested against relevant disruption scenarios.</t>
        </is>
      </c>
      <c r="R404" t="inlineStr">
        <is>
          <t>Vendor offboarding with access revocation, data return or deletion and post-contract security obligations is optimized, continuously improved, automated where practical and demonstrably supports crisis resilience.</t>
        </is>
      </c>
      <c r="S404" t="inlineStr">
        <is>
          <t>Cyberattack/ransomware; Regulatory/legal shock</t>
        </is>
      </c>
      <c r="T404">
        <f>'Assessment Questions'!W404</f>
        <v/>
      </c>
      <c r="U404">
        <f>'Assessment Questions'!X404</f>
        <v/>
      </c>
      <c r="V404">
        <f>'Assessment Questions'!Y404</f>
        <v/>
      </c>
      <c r="W404" t="n">
        <v>4</v>
      </c>
      <c r="X404" t="n">
        <v>4</v>
      </c>
      <c r="Y404" t="n">
        <v>4</v>
      </c>
      <c r="Z404">
        <f>'Assessment Questions'!AC404</f>
        <v/>
      </c>
      <c r="AB404">
        <f>COUNTIF($B$373:$B$406,$AA404)</f>
        <v/>
      </c>
      <c r="AC404">
        <f>IFERROR(SUMPRODUCT(($B$373:$B$406=$AA404)*($H$373:$H$406&lt;&gt;"")*($H$373:$H$406&lt;&gt;"N/A")*IFERROR(VALUE($H$373:$H$406),0))/SUMPRODUCT(($B$373:$B$406=$AA404)*($H$373:$H$406&lt;&gt;"")*($H$373:$H$406&lt;&gt;"N/A")),0)</f>
        <v/>
      </c>
      <c r="AD404">
        <f>AC404/5</f>
        <v/>
      </c>
      <c r="AE404">
        <f>COUNTIFS($B$373:$B$406,$AA404,$L$373:$L$406,"Critical")+COUNTIFS($B$373:$B$406,$AA404,$L$373:$L$406,"High")</f>
        <v/>
      </c>
      <c r="AF404">
        <f>5-AC404</f>
        <v/>
      </c>
      <c r="AG404">
        <f>SUMPRODUCT(($B$373:$B$406=$AA404)*(ISNUMBER($H$373:$H$406)+($H$373:$H$406="N/A")))</f>
        <v/>
      </c>
      <c r="AH404">
        <f>'Assessment Questions'!AK404</f>
        <v/>
      </c>
      <c r="AI404">
        <f>'Assessment Questions'!AL404</f>
        <v/>
      </c>
      <c r="AJ404">
        <f>IF(OR($H404="",$H404="N/A"),"",IF($AH404="",VLOOKUP('Company Profile'!$B$40,_CONFIG_Model_Settings!$A$5:$B$8,2,FALSE),_xlfn.IFNA(VLOOKUP($AH404,_CONFIG_Model_Settings!$A$5:$B$8,2,FALSE),0.9)))</f>
        <v/>
      </c>
      <c r="AK404">
        <f>IF(OR($H404="",$H404="N/A"),"",IF($AI404="",VLOOKUP('Company Profile'!$B$41,_CONFIG_Model_Settings!$A$5:$B$8,2,FALSE),_xlfn.IFNA(VLOOKUP($AI404,_CONFIG_Model_Settings!$A$5:$B$8,2,FALSE),0.9)))</f>
        <v/>
      </c>
      <c r="AL404">
        <f>IF(OR($H404="",$H404="N/A"),"",ROUND(VALUE($H404)*$AJ404*$AK404*$AV404,2))</f>
        <v/>
      </c>
      <c r="AM404">
        <f>IF($AL404="","",ROUND($AL404/5*100,1))</f>
        <v/>
      </c>
      <c r="AN404">
        <f>IFERROR(MIN(5,MAX(0,(SUMIFS(_REF_Model_Content!$D$1:$D$157,_REF_Model_Content!$A$1:$A$157,'Company Profile'!$B$9,_REF_Model_Content!$B$1:$B$157,"Cyber Privacy"))+_xlfn.IFNA(VLOOKUP('Company Profile'!$B$35,_CONFIG_Model_Settings!$A$11:$B$13,2,0),0))),"")</f>
        <v/>
      </c>
      <c r="AO404">
        <f>IF($AL404="","",MAX(0,ROUND($AN404-$AL404,2)))</f>
        <v/>
      </c>
      <c r="AP404">
        <f>IFERROR(SUMIFS(_REF_Model_Content!$E$1:$E$157,_REF_Model_Content!$A$1:$A$157,'Company Profile'!$B$9,_REF_Model_Content!$B$1:$B$157,"Cyber Privacy"),1)</f>
        <v/>
      </c>
      <c r="AQ404">
        <f>IF($AO404="","",ROUND($AO404*$AP404*($G404/5),2))</f>
        <v/>
      </c>
      <c r="AR404">
        <f>IF($AO404="","",IF($AO404&gt;=2,"Critical industry gap",IF($AO404&gt;=1,"High industry gap",IF($AO404&gt;=0.5,"Moderate industry gap","Within target"))))</f>
        <v/>
      </c>
      <c r="AS404">
        <f>IF(OR($H404="",$H404="N/A"),0,VALUE($H404)*(($AJ404+$AK404)/2)*$AV404)</f>
        <v/>
      </c>
      <c r="AT404">
        <f>IF(OR($H404="",$H404="N/A"),0,($AJ404+$AK404)/2)</f>
        <v/>
      </c>
      <c r="AU404">
        <f>'Assessment Questions'!AX404</f>
        <v/>
      </c>
      <c r="AV404">
        <f>IF(OR($H404="",$H404="N/A"),"",IF(OR($AU404="",$AU404="Everywhere",$AU404="Not applicable"),1,IF($AU404="Pilot / one team",0.4,IF($AU404="One unit or site",0.7,0.9))))</f>
        <v/>
      </c>
      <c r="AW404" t="inlineStr">
        <is>
          <t>Cyber Privacy</t>
        </is>
      </c>
      <c r="AX404" t="inlineStr">
        <is>
          <t>Cyber Privacy</t>
        </is>
      </c>
      <c r="AY404" t="n">
        <v>36</v>
      </c>
      <c r="AZ404" t="n">
        <v>404</v>
      </c>
    </row>
    <row r="405">
      <c r="A405" t="inlineStr">
        <is>
          <t>CYBE-037</t>
        </is>
      </c>
      <c r="B405" t="inlineStr">
        <is>
          <t>Detection and response</t>
        </is>
      </c>
      <c r="C405" t="inlineStr">
        <is>
          <t>How mature is the organization in managing threat intelligence intake from CERT, sector and vendor sources integrated into detection and patch priorities, including ownership, evidence, metrics, fallback procedures and crisis stress testing?</t>
        </is>
      </c>
      <c r="D405" t="inlineStr">
        <is>
          <t>This topic affects exposure to Cyberattack/ransomware. It helps identify how disruption may impact operations, people, revenue, systems, legal exposure or recovery time.</t>
        </is>
      </c>
      <c r="E405" t="inlineStr">
        <is>
          <t>NIST CSF 2.0 ID.RA-02; CIS Controls; ISO 27001</t>
        </is>
      </c>
      <c r="F405" t="inlineStr">
        <is>
          <t>Policy/SOP; owner/RACI; system report; dashboard; contracts; test records; incident history; interview evidence related to information security management system with policies, owners, risks and controls.</t>
        </is>
      </c>
      <c r="G405">
        <f>'Assessment Questions'!J405</f>
        <v/>
      </c>
      <c r="H405">
        <f>IF($Z405="","",IF($Z405="N/A","N/A",VALUE(LEFT($Z405,1))))</f>
        <v/>
      </c>
      <c r="I405">
        <f>IF($H405="","",IF($H405="N/A","",VALUE($H405)/5*$G405))</f>
        <v/>
      </c>
      <c r="J405">
        <f>IF(OR($H405="",$H405="N/A"),"",$G405)</f>
        <v/>
      </c>
      <c r="K405">
        <f>IF(OR($H405="",$H405="N/A"),"",$J405-$I405)</f>
        <v/>
      </c>
      <c r="L405">
        <f>IF($H405="","",IF($H405="N/A","N/A",IF(VALUE($H405)&lt;=1,"Critical",IF(VALUE($H405)&lt;=2,"High",IF(VALUE($H405)&lt;=3,"Medium",IF(VALUE($H405)&lt;=4,"Low","Resilient"))))))</f>
        <v/>
      </c>
      <c r="M405" t="inlineStr">
        <is>
          <t>No reliable evidence that threat intelligence intake from CERT, sector and vendor sources integrated into detection and patch priorities is defined, owned or managed.</t>
        </is>
      </c>
      <c r="N405" t="inlineStr">
        <is>
          <t>Threat intelligence intake from CERT, sector and vendor sources integrated into detection and patch priorities is handled informally and depends on individual knowledge or heroic effort.</t>
        </is>
      </c>
      <c r="O405" t="inlineStr">
        <is>
          <t>Threat intelligence intake from CERT, sector and vendor sources integrated into detection and patch priorities is partially documented or implemented, but coverage is inconsistent and not crisis-tested.</t>
        </is>
      </c>
      <c r="P405" t="inlineStr">
        <is>
          <t>Threat intelligence intake from CERT, sector and vendor sources integrated into detection and patch priorities is documented, owned, used in normal operations and supported by basic evidence or metrics.</t>
        </is>
      </c>
      <c r="Q405" t="inlineStr">
        <is>
          <t>Threat intelligence intake from CERT, sector and vendor sources integrated into detection and patch priorities is measured, periodically reviewed, integrated with related processes and tested against relevant disruption scenarios.</t>
        </is>
      </c>
      <c r="R405" t="inlineStr">
        <is>
          <t>Threat intelligence intake from CERT, sector and vendor sources integrated into detection and patch priorities is optimized, continuously improved, automated where practical and demonstrably supports crisis resilience.</t>
        </is>
      </c>
      <c r="S405" t="inlineStr">
        <is>
          <t>Cyberattack/ransomware</t>
        </is>
      </c>
      <c r="T405">
        <f>'Assessment Questions'!W405</f>
        <v/>
      </c>
      <c r="U405">
        <f>'Assessment Questions'!X405</f>
        <v/>
      </c>
      <c r="V405">
        <f>'Assessment Questions'!Y405</f>
        <v/>
      </c>
      <c r="W405" t="n">
        <v>4</v>
      </c>
      <c r="X405" t="n">
        <v>4</v>
      </c>
      <c r="Y405" t="n">
        <v>3</v>
      </c>
      <c r="Z405">
        <f>'Assessment Questions'!AC405</f>
        <v/>
      </c>
      <c r="AB405">
        <f>COUNTIF($B$373:$B$406,$AA405)</f>
        <v/>
      </c>
      <c r="AC405">
        <f>IFERROR(SUMPRODUCT(($B$373:$B$406=$AA405)*($H$373:$H$406&lt;&gt;"")*($H$373:$H$406&lt;&gt;"N/A")*IFERROR(VALUE($H$373:$H$406),0))/SUMPRODUCT(($B$373:$B$406=$AA405)*($H$373:$H$406&lt;&gt;"")*($H$373:$H$406&lt;&gt;"N/A")),0)</f>
        <v/>
      </c>
      <c r="AD405">
        <f>AC405/5</f>
        <v/>
      </c>
      <c r="AE405">
        <f>COUNTIFS($B$373:$B$406,$AA405,$L$373:$L$406,"Critical")+COUNTIFS($B$373:$B$406,$AA405,$L$373:$L$406,"High")</f>
        <v/>
      </c>
      <c r="AF405">
        <f>5-AC405</f>
        <v/>
      </c>
      <c r="AG405">
        <f>SUMPRODUCT(($B$373:$B$406=$AA405)*(ISNUMBER($H$373:$H$406)+($H$373:$H$406="N/A")))</f>
        <v/>
      </c>
      <c r="AH405">
        <f>'Assessment Questions'!AK405</f>
        <v/>
      </c>
      <c r="AI405">
        <f>'Assessment Questions'!AL405</f>
        <v/>
      </c>
      <c r="AJ405">
        <f>IF(OR($H405="",$H405="N/A"),"",IF($AH405="",VLOOKUP('Company Profile'!$B$40,_CONFIG_Model_Settings!$A$5:$B$8,2,FALSE),_xlfn.IFNA(VLOOKUP($AH405,_CONFIG_Model_Settings!$A$5:$B$8,2,FALSE),0.9)))</f>
        <v/>
      </c>
      <c r="AK405">
        <f>IF(OR($H405="",$H405="N/A"),"",IF($AI405="",VLOOKUP('Company Profile'!$B$41,_CONFIG_Model_Settings!$A$5:$B$8,2,FALSE),_xlfn.IFNA(VLOOKUP($AI405,_CONFIG_Model_Settings!$A$5:$B$8,2,FALSE),0.9)))</f>
        <v/>
      </c>
      <c r="AL405">
        <f>IF(OR($H405="",$H405="N/A"),"",ROUND(VALUE($H405)*$AJ405*$AK405*$AV405,2))</f>
        <v/>
      </c>
      <c r="AM405">
        <f>IF($AL405="","",ROUND($AL405/5*100,1))</f>
        <v/>
      </c>
      <c r="AN405">
        <f>IFERROR(MIN(5,MAX(0,(SUMIFS(_REF_Model_Content!$D$1:$D$157,_REF_Model_Content!$A$1:$A$157,'Company Profile'!$B$9,_REF_Model_Content!$B$1:$B$157,"Cyber Privacy"))+_xlfn.IFNA(VLOOKUP('Company Profile'!$B$35,_CONFIG_Model_Settings!$A$11:$B$13,2,0),0))),"")</f>
        <v/>
      </c>
      <c r="AO405">
        <f>IF($AL405="","",MAX(0,ROUND($AN405-$AL405,2)))</f>
        <v/>
      </c>
      <c r="AP405">
        <f>IFERROR(SUMIFS(_REF_Model_Content!$E$1:$E$157,_REF_Model_Content!$A$1:$A$157,'Company Profile'!$B$9,_REF_Model_Content!$B$1:$B$157,"Cyber Privacy"),1)</f>
        <v/>
      </c>
      <c r="AQ405">
        <f>IF($AO405="","",ROUND($AO405*$AP405*($G405/5),2))</f>
        <v/>
      </c>
      <c r="AR405">
        <f>IF($AO405="","",IF($AO405&gt;=2,"Critical industry gap",IF($AO405&gt;=1,"High industry gap",IF($AO405&gt;=0.5,"Moderate industry gap","Within target"))))</f>
        <v/>
      </c>
      <c r="AS405">
        <f>IF(OR($H405="",$H405="N/A"),0,VALUE($H405)*(($AJ405+$AK405)/2)*$AV405)</f>
        <v/>
      </c>
      <c r="AT405">
        <f>IF(OR($H405="",$H405="N/A"),0,($AJ405+$AK405)/2)</f>
        <v/>
      </c>
      <c r="AU405">
        <f>'Assessment Questions'!AX405</f>
        <v/>
      </c>
      <c r="AV405">
        <f>IF(OR($H405="",$H405="N/A"),"",IF(OR($AU405="",$AU405="Everywhere",$AU405="Not applicable"),1,IF($AU405="Pilot / one team",0.4,IF($AU405="One unit or site",0.7,0.9))))</f>
        <v/>
      </c>
      <c r="AW405" t="inlineStr">
        <is>
          <t>Cyber Privacy</t>
        </is>
      </c>
      <c r="AX405" t="inlineStr">
        <is>
          <t>Cyber Privacy</t>
        </is>
      </c>
      <c r="AY405" t="n">
        <v>37</v>
      </c>
      <c r="AZ405" t="n">
        <v>405</v>
      </c>
    </row>
    <row r="406">
      <c r="A406" t="inlineStr">
        <is>
          <t>CYBE-038</t>
        </is>
      </c>
      <c r="B406" t="inlineStr">
        <is>
          <t>Detection and response</t>
        </is>
      </c>
      <c r="C406" t="inlineStr">
        <is>
          <t>How mature is the organization in managing forensic evidence preservation with defined collection procedures, integrity protection and chain of custody, including ownership, evidence, metrics, fallback procedures and crisis stress testing?</t>
        </is>
      </c>
      <c r="D406" t="inlineStr">
        <is>
          <t>This topic affects exposure to Cyberattack/ransomware; Regulatory/legal shock. It helps identify how disruption may impact operations, people, revenue, systems, legal exposure or recovery time.</t>
        </is>
      </c>
      <c r="E406" t="inlineStr">
        <is>
          <t>NIST CSF 2.0 RS.AN-06/07; ISO 27037</t>
        </is>
      </c>
      <c r="F406" t="inlineStr">
        <is>
          <t>Policy/SOP; owner/RACI; system report; dashboard; contracts; test records; incident history; interview evidence related to information security management system with policies, owners, risks and controls.</t>
        </is>
      </c>
      <c r="G406">
        <f>'Assessment Questions'!J406</f>
        <v/>
      </c>
      <c r="H406">
        <f>IF($Z406="","",IF($Z406="N/A","N/A",VALUE(LEFT($Z406,1))))</f>
        <v/>
      </c>
      <c r="I406">
        <f>IF($H406="","",IF($H406="N/A","",VALUE($H406)/5*$G406))</f>
        <v/>
      </c>
      <c r="J406">
        <f>IF(OR($H406="",$H406="N/A"),"",$G406)</f>
        <v/>
      </c>
      <c r="K406">
        <f>IF(OR($H406="",$H406="N/A"),"",$J406-$I406)</f>
        <v/>
      </c>
      <c r="L406">
        <f>IF($H406="","",IF($H406="N/A","N/A",IF(VALUE($H406)&lt;=1,"Critical",IF(VALUE($H406)&lt;=2,"High",IF(VALUE($H406)&lt;=3,"Medium",IF(VALUE($H406)&lt;=4,"Low","Resilient"))))))</f>
        <v/>
      </c>
      <c r="M406" t="inlineStr">
        <is>
          <t>No reliable evidence that forensic evidence preservation with defined collection procedures, integrity protection and chain of custody is defined, owned or managed.</t>
        </is>
      </c>
      <c r="N406" t="inlineStr">
        <is>
          <t>Forensic evidence preservation with defined collection procedures, integrity protection and chain of custody is handled informally and depends on individual knowledge or heroic effort.</t>
        </is>
      </c>
      <c r="O406" t="inlineStr">
        <is>
          <t>Forensic evidence preservation with defined collection procedures, integrity protection and chain of custody is partially documented or implemented, but coverage is inconsistent and not crisis-tested.</t>
        </is>
      </c>
      <c r="P406" t="inlineStr">
        <is>
          <t>Forensic evidence preservation with defined collection procedures, integrity protection and chain of custody is documented, owned, used in normal operations and supported by basic evidence or metrics.</t>
        </is>
      </c>
      <c r="Q406" t="inlineStr">
        <is>
          <t>Forensic evidence preservation with defined collection procedures, integrity protection and chain of custody is measured, periodically reviewed, integrated with related processes and tested against relevant disruption scenarios.</t>
        </is>
      </c>
      <c r="R406" t="inlineStr">
        <is>
          <t>Forensic evidence preservation with defined collection procedures, integrity protection and chain of custody is optimized, continuously improved, automated where practical and demonstrably supports crisis resilience.</t>
        </is>
      </c>
      <c r="S406" t="inlineStr">
        <is>
          <t>Cyberattack/ransomware; Regulatory/legal shock</t>
        </is>
      </c>
      <c r="T406">
        <f>'Assessment Questions'!W406</f>
        <v/>
      </c>
      <c r="U406">
        <f>'Assessment Questions'!X406</f>
        <v/>
      </c>
      <c r="V406">
        <f>'Assessment Questions'!Y406</f>
        <v/>
      </c>
      <c r="W406" t="n">
        <v>3</v>
      </c>
      <c r="X406" t="n">
        <v>4</v>
      </c>
      <c r="Y406" t="n">
        <v>4</v>
      </c>
      <c r="Z406">
        <f>'Assessment Questions'!AC406</f>
        <v/>
      </c>
      <c r="AB406">
        <f>COUNTIF($B$373:$B$406,$AA406)</f>
        <v/>
      </c>
      <c r="AC406">
        <f>IFERROR(SUMPRODUCT(($B$373:$B$406=$AA406)*($H$373:$H$406&lt;&gt;"")*($H$373:$H$406&lt;&gt;"N/A")*IFERROR(VALUE($H$373:$H$406),0))/SUMPRODUCT(($B$373:$B$406=$AA406)*($H$373:$H$406&lt;&gt;"")*($H$373:$H$406&lt;&gt;"N/A")),0)</f>
        <v/>
      </c>
      <c r="AD406">
        <f>AC406/5</f>
        <v/>
      </c>
      <c r="AE406">
        <f>COUNTIFS($B$373:$B$406,$AA406,$L$373:$L$406,"Critical")+COUNTIFS($B$373:$B$406,$AA406,$L$373:$L$406,"High")</f>
        <v/>
      </c>
      <c r="AF406">
        <f>5-AC406</f>
        <v/>
      </c>
      <c r="AG406">
        <f>SUMPRODUCT(($B$373:$B$406=$AA406)*(ISNUMBER($H$373:$H$406)+($H$373:$H$406="N/A")))</f>
        <v/>
      </c>
      <c r="AH406">
        <f>'Assessment Questions'!AK406</f>
        <v/>
      </c>
      <c r="AI406">
        <f>'Assessment Questions'!AL406</f>
        <v/>
      </c>
      <c r="AJ406">
        <f>IF(OR($H406="",$H406="N/A"),"",IF($AH406="",VLOOKUP('Company Profile'!$B$40,_CONFIG_Model_Settings!$A$5:$B$8,2,FALSE),_xlfn.IFNA(VLOOKUP($AH406,_CONFIG_Model_Settings!$A$5:$B$8,2,FALSE),0.9)))</f>
        <v/>
      </c>
      <c r="AK406">
        <f>IF(OR($H406="",$H406="N/A"),"",IF($AI406="",VLOOKUP('Company Profile'!$B$41,_CONFIG_Model_Settings!$A$5:$B$8,2,FALSE),_xlfn.IFNA(VLOOKUP($AI406,_CONFIG_Model_Settings!$A$5:$B$8,2,FALSE),0.9)))</f>
        <v/>
      </c>
      <c r="AL406">
        <f>IF(OR($H406="",$H406="N/A"),"",ROUND(VALUE($H406)*$AJ406*$AK406*$AV406,2))</f>
        <v/>
      </c>
      <c r="AM406">
        <f>IF($AL406="","",ROUND($AL406/5*100,1))</f>
        <v/>
      </c>
      <c r="AN406">
        <f>IFERROR(MIN(5,MAX(0,(SUMIFS(_REF_Model_Content!$D$1:$D$157,_REF_Model_Content!$A$1:$A$157,'Company Profile'!$B$9,_REF_Model_Content!$B$1:$B$157,"Cyber Privacy"))+_xlfn.IFNA(VLOOKUP('Company Profile'!$B$35,_CONFIG_Model_Settings!$A$11:$B$13,2,0),0))),"")</f>
        <v/>
      </c>
      <c r="AO406">
        <f>IF($AL406="","",MAX(0,ROUND($AN406-$AL406,2)))</f>
        <v/>
      </c>
      <c r="AP406">
        <f>IFERROR(SUMIFS(_REF_Model_Content!$E$1:$E$157,_REF_Model_Content!$A$1:$A$157,'Company Profile'!$B$9,_REF_Model_Content!$B$1:$B$157,"Cyber Privacy"),1)</f>
        <v/>
      </c>
      <c r="AQ406">
        <f>IF($AO406="","",ROUND($AO406*$AP406*($G406/5),2))</f>
        <v/>
      </c>
      <c r="AR406">
        <f>IF($AO406="","",IF($AO406&gt;=2,"Critical industry gap",IF($AO406&gt;=1,"High industry gap",IF($AO406&gt;=0.5,"Moderate industry gap","Within target"))))</f>
        <v/>
      </c>
      <c r="AS406">
        <f>IF(OR($H406="",$H406="N/A"),0,VALUE($H406)*(($AJ406+$AK406)/2)*$AV406)</f>
        <v/>
      </c>
      <c r="AT406">
        <f>IF(OR($H406="",$H406="N/A"),0,($AJ406+$AK406)/2)</f>
        <v/>
      </c>
      <c r="AU406">
        <f>'Assessment Questions'!AX406</f>
        <v/>
      </c>
      <c r="AV406">
        <f>IF(OR($H406="",$H406="N/A"),"",IF(OR($AU406="",$AU406="Everywhere",$AU406="Not applicable"),1,IF($AU406="Pilot / one team",0.4,IF($AU406="One unit or site",0.7,0.9))))</f>
        <v/>
      </c>
      <c r="AW406" t="inlineStr">
        <is>
          <t>Cyber Privacy</t>
        </is>
      </c>
      <c r="AX406" t="inlineStr">
        <is>
          <t>Cyber Privacy</t>
        </is>
      </c>
      <c r="AY406" t="n">
        <v>38</v>
      </c>
      <c r="AZ406" t="n">
        <v>406</v>
      </c>
    </row>
    <row r="407">
      <c r="A407" t="inlineStr">
        <is>
          <t>QUAL-001</t>
        </is>
      </c>
      <c r="B407" t="inlineStr">
        <is>
          <t>Process management</t>
        </is>
      </c>
      <c r="C407" t="inlineStr">
        <is>
          <t>How mature is the organization in managing process architecture covering major value streams and support processes, including ownership, evidence, metrics, fallback procedures and crisis stress testing?</t>
        </is>
      </c>
      <c r="D407" t="inlineStr">
        <is>
          <t>This topic affects exposure to Execution failure; Delivery disruption; Decision failure. It helps identify how disruption may impact operations, people, revenue, systems, legal exposure or recovery time.</t>
        </is>
      </c>
      <c r="E407" t="inlineStr">
        <is>
          <t>ISO 9001; ISO 21502; ISO 21500; APQC; Lean; Six Sigma; PMBOK; COBIT</t>
        </is>
      </c>
      <c r="F407" t="inlineStr">
        <is>
          <t>Policy/SOP; owner/RACI; system report; dashboard; contracts; test records; incident history; interview evidence related to process architecture covering major value streams and support processes.</t>
        </is>
      </c>
      <c r="G407">
        <f>'Assessment Questions'!J407</f>
        <v/>
      </c>
      <c r="H407">
        <f>IF($Z407="","",IF($Z407="N/A","N/A",VALUE(LEFT($Z407,1))))</f>
        <v/>
      </c>
      <c r="I407">
        <f>IF($H407="","",IF($H407="N/A","",VALUE($H407)/5*$G407))</f>
        <v/>
      </c>
      <c r="J407">
        <f>IF(OR($H407="",$H407="N/A"),"",$G407)</f>
        <v/>
      </c>
      <c r="K407">
        <f>IF(OR($H407="",$H407="N/A"),"",$J407-$I407)</f>
        <v/>
      </c>
      <c r="L407">
        <f>IF($H407="","",IF($H407="N/A","N/A",IF(VALUE($H407)&lt;=1,"Critical",IF(VALUE($H407)&lt;=2,"High",IF(VALUE($H407)&lt;=3,"Medium",IF(VALUE($H407)&lt;=4,"Low","Resilient"))))))</f>
        <v/>
      </c>
      <c r="M407" t="inlineStr">
        <is>
          <t>No reliable evidence that process architecture covering major value streams and support processes is defined, owned or managed.</t>
        </is>
      </c>
      <c r="N407" t="inlineStr">
        <is>
          <t>Process architecture covering major value streams and support processes is handled informally and depends on individual knowledge or heroic effort.</t>
        </is>
      </c>
      <c r="O407" t="inlineStr">
        <is>
          <t>Process architecture covering major value streams and support processes is partially documented or implemented, but coverage is inconsistent and not crisis-tested.</t>
        </is>
      </c>
      <c r="P407" t="inlineStr">
        <is>
          <t>Process architecture covering major value streams and support processes is documented, owned, used in normal operations and supported by basic evidence or metrics.</t>
        </is>
      </c>
      <c r="Q407" t="inlineStr">
        <is>
          <t>Process architecture covering major value streams and support processes is measured, periodically reviewed, integrated with related processes and tested against relevant disruption scenarios.</t>
        </is>
      </c>
      <c r="R407" t="inlineStr">
        <is>
          <t>Process architecture covering major value streams and support processes is optimized, continuously improved, automated where practical and demonstrably supports crisis resilience.</t>
        </is>
      </c>
      <c r="S407" t="inlineStr">
        <is>
          <t>Execution failure; Delivery disruption; Decision failure</t>
        </is>
      </c>
      <c r="T407">
        <f>'Assessment Questions'!W407</f>
        <v/>
      </c>
      <c r="U407">
        <f>'Assessment Questions'!X407</f>
        <v/>
      </c>
      <c r="V407">
        <f>'Assessment Questions'!Y407</f>
        <v/>
      </c>
      <c r="W407" t="n">
        <v>4</v>
      </c>
      <c r="X407" t="n">
        <v>5</v>
      </c>
      <c r="Y407" t="n">
        <v>5</v>
      </c>
      <c r="Z407">
        <f>'Assessment Questions'!AC407</f>
        <v/>
      </c>
      <c r="AA407" t="inlineStr">
        <is>
          <t>Process management</t>
        </is>
      </c>
      <c r="AB407">
        <f>COUNTIF($B$407:$B$428,$AA407)</f>
        <v/>
      </c>
      <c r="AC407">
        <f>IFERROR(SUMPRODUCT(($B$407:$B$428=$AA407)*($H$407:$H$428&lt;&gt;"")*($H$407:$H$428&lt;&gt;"N/A")*IFERROR(VALUE($H$407:$H$428),0))/SUMPRODUCT(($B$407:$B$428=$AA407)*($H$407:$H$428&lt;&gt;"")*($H$407:$H$428&lt;&gt;"N/A")),0)</f>
        <v/>
      </c>
      <c r="AD407">
        <f>AC407/5</f>
        <v/>
      </c>
      <c r="AE407">
        <f>COUNTIFS($B$407:$B$428,$AA407,$L$407:$L$428,"Critical")+COUNTIFS($B$407:$B$428,$AA407,$L$407:$L$428,"High")</f>
        <v/>
      </c>
      <c r="AF407">
        <f>5-AC407</f>
        <v/>
      </c>
      <c r="AG407">
        <f>SUMPRODUCT(($B$407:$B$428=$AA407)*(ISNUMBER($H$407:$H$428)+($H$407:$H$428="N/A")))</f>
        <v/>
      </c>
      <c r="AH407">
        <f>'Assessment Questions'!AK407</f>
        <v/>
      </c>
      <c r="AI407">
        <f>'Assessment Questions'!AL407</f>
        <v/>
      </c>
      <c r="AJ407">
        <f>IF(OR($H407="",$H407="N/A"),"",IF($AH407="",VLOOKUP('Company Profile'!$B$40,_CONFIG_Model_Settings!$A$5:$B$8,2,FALSE),_xlfn.IFNA(VLOOKUP($AH407,_CONFIG_Model_Settings!$A$5:$B$8,2,FALSE),0.9)))</f>
        <v/>
      </c>
      <c r="AK407">
        <f>IF(OR($H407="",$H407="N/A"),"",IF($AI407="",VLOOKUP('Company Profile'!$B$41,_CONFIG_Model_Settings!$A$5:$B$8,2,FALSE),_xlfn.IFNA(VLOOKUP($AI407,_CONFIG_Model_Settings!$A$5:$B$8,2,FALSE),0.9)))</f>
        <v/>
      </c>
      <c r="AL407">
        <f>IF(OR($H407="",$H407="N/A"),"",ROUND(VALUE($H407)*$AJ407*$AK407*$AV407,2))</f>
        <v/>
      </c>
      <c r="AM407">
        <f>IF($AL407="","",ROUND($AL407/5*100,1))</f>
        <v/>
      </c>
      <c r="AN407">
        <f>IFERROR(MIN(5,MAX(0,(SUMIFS(_REF_Model_Content!$D$1:$D$157,_REF_Model_Content!$A$1:$A$157,'Company Profile'!$B$9,_REF_Model_Content!$B$1:$B$157,"Quality Portfolio"))+_xlfn.IFNA(VLOOKUP('Company Profile'!$B$35,_CONFIG_Model_Settings!$A$11:$B$13,2,0),0))),"")</f>
        <v/>
      </c>
      <c r="AO407">
        <f>IF($AL407="","",MAX(0,ROUND($AN407-$AL407,2)))</f>
        <v/>
      </c>
      <c r="AP407">
        <f>IFERROR(SUMIFS(_REF_Model_Content!$E$1:$E$157,_REF_Model_Content!$A$1:$A$157,'Company Profile'!$B$9,_REF_Model_Content!$B$1:$B$157,"Quality Portfolio"),1)</f>
        <v/>
      </c>
      <c r="AQ407">
        <f>IF($AO407="","",ROUND($AO407*$AP407*($G407/5),2))</f>
        <v/>
      </c>
      <c r="AR407">
        <f>IF($AO407="","",IF($AO407&gt;=2,"Critical industry gap",IF($AO407&gt;=1,"High industry gap",IF($AO407&gt;=0.5,"Moderate industry gap","Within target"))))</f>
        <v/>
      </c>
      <c r="AS407">
        <f>IF(OR($H407="",$H407="N/A"),0,VALUE($H407)*(($AJ407+$AK407)/2)*$AV407)</f>
        <v/>
      </c>
      <c r="AT407">
        <f>IF(OR($H407="",$H407="N/A"),0,($AJ407+$AK407)/2)</f>
        <v/>
      </c>
      <c r="AU407">
        <f>'Assessment Questions'!AX407</f>
        <v/>
      </c>
      <c r="AV407">
        <f>IF(OR($H407="",$H407="N/A"),"",IF(OR($AU407="",$AU407="Everywhere",$AU407="Not applicable"),1,IF($AU407="Pilot / one team",0.4,IF($AU407="One unit or site",0.7,0.9))))</f>
        <v/>
      </c>
      <c r="AW407" t="inlineStr">
        <is>
          <t>Quality Portfolio</t>
        </is>
      </c>
      <c r="AX407" t="inlineStr">
        <is>
          <t>Quality Portfolio</t>
        </is>
      </c>
      <c r="AY407" t="n">
        <v>5</v>
      </c>
      <c r="AZ407" t="n">
        <v>407</v>
      </c>
    </row>
    <row r="408">
      <c r="A408" t="inlineStr">
        <is>
          <t>QUAL-002</t>
        </is>
      </c>
      <c r="B408" t="inlineStr">
        <is>
          <t>Process management</t>
        </is>
      </c>
      <c r="C408" t="inlineStr">
        <is>
          <t>How mature is the organization in managing process ownership for critical processes with inputs, outputs, controls and KPIs, including ownership, evidence, metrics, fallback procedures and crisis stress testing?</t>
        </is>
      </c>
      <c r="D408" t="inlineStr">
        <is>
          <t>This topic affects exposure to Execution failure; Delivery disruption; Decision failure. It helps identify how disruption may impact operations, people, revenue, systems, legal exposure or recovery time.</t>
        </is>
      </c>
      <c r="E408" t="inlineStr">
        <is>
          <t>ISO 9001; ISO 21502; ISO 21500; APQC; Lean; Six Sigma; PMBOK; COBIT</t>
        </is>
      </c>
      <c r="F408" t="inlineStr">
        <is>
          <t>Policy/SOP; owner/RACI; system report; dashboard; contracts; test records; incident history; interview evidence related to process ownership for critical processes with inputs, outputs, controls and KPIs.</t>
        </is>
      </c>
      <c r="G408">
        <f>'Assessment Questions'!J408</f>
        <v/>
      </c>
      <c r="H408">
        <f>IF($Z408="","",IF($Z408="N/A","N/A",VALUE(LEFT($Z408,1))))</f>
        <v/>
      </c>
      <c r="I408">
        <f>IF($H408="","",IF($H408="N/A","",VALUE($H408)/5*$G408))</f>
        <v/>
      </c>
      <c r="J408">
        <f>IF(OR($H408="",$H408="N/A"),"",$G408)</f>
        <v/>
      </c>
      <c r="K408">
        <f>IF(OR($H408="",$H408="N/A"),"",$J408-$I408)</f>
        <v/>
      </c>
      <c r="L408">
        <f>IF($H408="","",IF($H408="N/A","N/A",IF(VALUE($H408)&lt;=1,"Critical",IF(VALUE($H408)&lt;=2,"High",IF(VALUE($H408)&lt;=3,"Medium",IF(VALUE($H408)&lt;=4,"Low","Resilient"))))))</f>
        <v/>
      </c>
      <c r="M408" t="inlineStr">
        <is>
          <t>Nothing is monitored or measured.</t>
        </is>
      </c>
      <c r="N408" t="inlineStr">
        <is>
          <t>Occasional manual checks by individuals.</t>
        </is>
      </c>
      <c r="O408" t="inlineStr">
        <is>
          <t>Some metrics exist but are not reviewed regularly and trigger no action.</t>
        </is>
      </c>
      <c r="P408" t="inlineStr">
        <is>
          <t>Defined metrics with an owner, reviewed on a set cadence.</t>
        </is>
      </c>
      <c r="Q408" t="inlineStr">
        <is>
          <t>Thresholds and alerts in place; deviations trigger documented action; trends analyzed.</t>
        </is>
      </c>
      <c r="R408" t="inlineStr">
        <is>
          <t>Automated monitoring with leading indicators, integrated into management decisions.</t>
        </is>
      </c>
      <c r="S408" t="inlineStr">
        <is>
          <t>Execution failure; Delivery disruption; Decision failure</t>
        </is>
      </c>
      <c r="T408">
        <f>'Assessment Questions'!W408</f>
        <v/>
      </c>
      <c r="U408">
        <f>'Assessment Questions'!X408</f>
        <v/>
      </c>
      <c r="V408">
        <f>'Assessment Questions'!Y408</f>
        <v/>
      </c>
      <c r="W408" t="n">
        <v>4</v>
      </c>
      <c r="X408" t="n">
        <v>5</v>
      </c>
      <c r="Y408" t="n">
        <v>5</v>
      </c>
      <c r="Z408">
        <f>'Assessment Questions'!AC408</f>
        <v/>
      </c>
      <c r="AA408" t="inlineStr">
        <is>
          <t>Quality management</t>
        </is>
      </c>
      <c r="AB408">
        <f>COUNTIF($B$407:$B$428,$AA408)</f>
        <v/>
      </c>
      <c r="AC408">
        <f>IFERROR(SUMPRODUCT(($B$407:$B$428=$AA408)*($H$407:$H$428&lt;&gt;"")*($H$407:$H$428&lt;&gt;"N/A")*IFERROR(VALUE($H$407:$H$428),0))/SUMPRODUCT(($B$407:$B$428=$AA408)*($H$407:$H$428&lt;&gt;"")*($H$407:$H$428&lt;&gt;"N/A")),0)</f>
        <v/>
      </c>
      <c r="AD408">
        <f>AC408/5</f>
        <v/>
      </c>
      <c r="AE408">
        <f>COUNTIFS($B$407:$B$428,$AA408,$L$407:$L$428,"Critical")+COUNTIFS($B$407:$B$428,$AA408,$L$407:$L$428,"High")</f>
        <v/>
      </c>
      <c r="AF408">
        <f>5-AC408</f>
        <v/>
      </c>
      <c r="AG408">
        <f>SUMPRODUCT(($B$407:$B$428=$AA408)*(ISNUMBER($H$407:$H$428)+($H$407:$H$428="N/A")))</f>
        <v/>
      </c>
      <c r="AH408">
        <f>'Assessment Questions'!AK408</f>
        <v/>
      </c>
      <c r="AI408">
        <f>'Assessment Questions'!AL408</f>
        <v/>
      </c>
      <c r="AJ408">
        <f>IF(OR($H408="",$H408="N/A"),"",IF($AH408="",VLOOKUP('Company Profile'!$B$40,_CONFIG_Model_Settings!$A$5:$B$8,2,FALSE),_xlfn.IFNA(VLOOKUP($AH408,_CONFIG_Model_Settings!$A$5:$B$8,2,FALSE),0.9)))</f>
        <v/>
      </c>
      <c r="AK408">
        <f>IF(OR($H408="",$H408="N/A"),"",IF($AI408="",VLOOKUP('Company Profile'!$B$41,_CONFIG_Model_Settings!$A$5:$B$8,2,FALSE),_xlfn.IFNA(VLOOKUP($AI408,_CONFIG_Model_Settings!$A$5:$B$8,2,FALSE),0.9)))</f>
        <v/>
      </c>
      <c r="AL408">
        <f>IF(OR($H408="",$H408="N/A"),"",ROUND(VALUE($H408)*$AJ408*$AK408*$AV408,2))</f>
        <v/>
      </c>
      <c r="AM408">
        <f>IF($AL408="","",ROUND($AL408/5*100,1))</f>
        <v/>
      </c>
      <c r="AN408">
        <f>IFERROR(MIN(5,MAX(0,(SUMIFS(_REF_Model_Content!$D$1:$D$157,_REF_Model_Content!$A$1:$A$157,'Company Profile'!$B$9,_REF_Model_Content!$B$1:$B$157,"Quality Portfolio"))+_xlfn.IFNA(VLOOKUP('Company Profile'!$B$35,_CONFIG_Model_Settings!$A$11:$B$13,2,0),0))),"")</f>
        <v/>
      </c>
      <c r="AO408">
        <f>IF($AL408="","",MAX(0,ROUND($AN408-$AL408,2)))</f>
        <v/>
      </c>
      <c r="AP408">
        <f>IFERROR(SUMIFS(_REF_Model_Content!$E$1:$E$157,_REF_Model_Content!$A$1:$A$157,'Company Profile'!$B$9,_REF_Model_Content!$B$1:$B$157,"Quality Portfolio"),1)</f>
        <v/>
      </c>
      <c r="AQ408">
        <f>IF($AO408="","",ROUND($AO408*$AP408*($G408/5),2))</f>
        <v/>
      </c>
      <c r="AR408">
        <f>IF($AO408="","",IF($AO408&gt;=2,"Critical industry gap",IF($AO408&gt;=1,"High industry gap",IF($AO408&gt;=0.5,"Moderate industry gap","Within target"))))</f>
        <v/>
      </c>
      <c r="AS408">
        <f>IF(OR($H408="",$H408="N/A"),0,VALUE($H408)*(($AJ408+$AK408)/2)*$AV408)</f>
        <v/>
      </c>
      <c r="AT408">
        <f>IF(OR($H408="",$H408="N/A"),0,($AJ408+$AK408)/2)</f>
        <v/>
      </c>
      <c r="AU408">
        <f>'Assessment Questions'!AX408</f>
        <v/>
      </c>
      <c r="AV408">
        <f>IF(OR($H408="",$H408="N/A"),"",IF(OR($AU408="",$AU408="Everywhere",$AU408="Not applicable"),1,IF($AU408="Pilot / one team",0.4,IF($AU408="One unit or site",0.7,0.9))))</f>
        <v/>
      </c>
      <c r="AW408" t="inlineStr">
        <is>
          <t>Quality Portfolio</t>
        </is>
      </c>
      <c r="AX408" t="inlineStr">
        <is>
          <t>Quality Portfolio</t>
        </is>
      </c>
      <c r="AY408" t="n">
        <v>6</v>
      </c>
      <c r="AZ408" t="n">
        <v>408</v>
      </c>
    </row>
    <row r="409">
      <c r="A409" t="inlineStr">
        <is>
          <t>QUAL-004</t>
        </is>
      </c>
      <c r="B409" t="inlineStr">
        <is>
          <t>Process management</t>
        </is>
      </c>
      <c r="C409" t="inlineStr">
        <is>
          <t>How mature is the organization in managing SOP and policy document control with versioning, ownership and review cadence, including ownership, evidence, metrics, fallback procedures and crisis stress testing?</t>
        </is>
      </c>
      <c r="D409" t="inlineStr">
        <is>
          <t>This topic affects exposure to Execution failure; Delivery disruption; Decision failure. It helps identify how disruption may impact operations, people, revenue, systems, legal exposure or recovery time.</t>
        </is>
      </c>
      <c r="E409" t="inlineStr">
        <is>
          <t>ISO 9001; ISO 21502; ISO 21500; APQC; Lean; Six Sigma; PMBOK; COBIT</t>
        </is>
      </c>
      <c r="F409" t="inlineStr">
        <is>
          <t>Policy/SOP; owner/RACI; system report; dashboard; contracts; test records; incident history; interview evidence related to SOP and policy document control with versioning, ownership and review cadence.</t>
        </is>
      </c>
      <c r="G409">
        <f>'Assessment Questions'!J409</f>
        <v/>
      </c>
      <c r="H409">
        <f>IF($Z409="","",IF($Z409="N/A","N/A",VALUE(LEFT($Z409,1))))</f>
        <v/>
      </c>
      <c r="I409">
        <f>IF($H409="","",IF($H409="N/A","",VALUE($H409)/5*$G409))</f>
        <v/>
      </c>
      <c r="J409">
        <f>IF(OR($H409="",$H409="N/A"),"",$G409)</f>
        <v/>
      </c>
      <c r="K409">
        <f>IF(OR($H409="",$H409="N/A"),"",$J409-$I409)</f>
        <v/>
      </c>
      <c r="L409">
        <f>IF($H409="","",IF($H409="N/A","N/A",IF(VALUE($H409)&lt;=1,"Critical",IF(VALUE($H409)&lt;=2,"High",IF(VALUE($H409)&lt;=3,"Medium",IF(VALUE($H409)&lt;=4,"Low","Resilient"))))))</f>
        <v/>
      </c>
      <c r="M409" t="inlineStr">
        <is>
          <t>Never done; no records exist.</t>
        </is>
      </c>
      <c r="N409" t="inlineStr">
        <is>
          <t>Done once long ago or only after an incident; no schedule, no records.</t>
        </is>
      </c>
      <c r="O409" t="inlineStr">
        <is>
          <t>Done irregularly; results are not documented and findings are not tracked.</t>
        </is>
      </c>
      <c r="P409" t="inlineStr">
        <is>
          <t>Done on a defined schedule (at least annually); results documented, owner assigned.</t>
        </is>
      </c>
      <c r="Q409" t="inlineStr">
        <is>
          <t>Done quarterly/semi-annually; findings tracked to closure, effectiveness measured against targets.</t>
        </is>
      </c>
      <c r="R409" t="inlineStr">
        <is>
          <t>Continuous or automated where possible; results drive improvements and are validated externally (audit/customer).</t>
        </is>
      </c>
      <c r="S409" t="inlineStr">
        <is>
          <t>Execution failure; Delivery disruption; Decision failure</t>
        </is>
      </c>
      <c r="T409">
        <f>'Assessment Questions'!W409</f>
        <v/>
      </c>
      <c r="U409">
        <f>'Assessment Questions'!X409</f>
        <v/>
      </c>
      <c r="V409">
        <f>'Assessment Questions'!Y409</f>
        <v/>
      </c>
      <c r="W409" t="n">
        <v>4</v>
      </c>
      <c r="X409" t="n">
        <v>5</v>
      </c>
      <c r="Y409" t="n">
        <v>5</v>
      </c>
      <c r="Z409">
        <f>'Assessment Questions'!AC409</f>
        <v/>
      </c>
      <c r="AA409" t="inlineStr">
        <is>
          <t>Portfolio and change</t>
        </is>
      </c>
      <c r="AB409">
        <f>COUNTIF($B$407:$B$428,$AA409)</f>
        <v/>
      </c>
      <c r="AC409">
        <f>IFERROR(SUMPRODUCT(($B$407:$B$428=$AA409)*($H$407:$H$428&lt;&gt;"")*($H$407:$H$428&lt;&gt;"N/A")*IFERROR(VALUE($H$407:$H$428),0))/SUMPRODUCT(($B$407:$B$428=$AA409)*($H$407:$H$428&lt;&gt;"")*($H$407:$H$428&lt;&gt;"N/A")),0)</f>
        <v/>
      </c>
      <c r="AD409">
        <f>AC409/5</f>
        <v/>
      </c>
      <c r="AE409">
        <f>COUNTIFS($B$407:$B$428,$AA409,$L$407:$L$428,"Critical")+COUNTIFS($B$407:$B$428,$AA409,$L$407:$L$428,"High")</f>
        <v/>
      </c>
      <c r="AF409">
        <f>5-AC409</f>
        <v/>
      </c>
      <c r="AG409">
        <f>SUMPRODUCT(($B$407:$B$428=$AA409)*(ISNUMBER($H$407:$H$428)+($H$407:$H$428="N/A")))</f>
        <v/>
      </c>
      <c r="AH409">
        <f>'Assessment Questions'!AK409</f>
        <v/>
      </c>
      <c r="AI409">
        <f>'Assessment Questions'!AL409</f>
        <v/>
      </c>
      <c r="AJ409">
        <f>IF(OR($H409="",$H409="N/A"),"",IF($AH409="",VLOOKUP('Company Profile'!$B$40,_CONFIG_Model_Settings!$A$5:$B$8,2,FALSE),_xlfn.IFNA(VLOOKUP($AH409,_CONFIG_Model_Settings!$A$5:$B$8,2,FALSE),0.9)))</f>
        <v/>
      </c>
      <c r="AK409">
        <f>IF(OR($H409="",$H409="N/A"),"",IF($AI409="",VLOOKUP('Company Profile'!$B$41,_CONFIG_Model_Settings!$A$5:$B$8,2,FALSE),_xlfn.IFNA(VLOOKUP($AI409,_CONFIG_Model_Settings!$A$5:$B$8,2,FALSE),0.9)))</f>
        <v/>
      </c>
      <c r="AL409">
        <f>IF(OR($H409="",$H409="N/A"),"",ROUND(VALUE($H409)*$AJ409*$AK409*$AV409,2))</f>
        <v/>
      </c>
      <c r="AM409">
        <f>IF($AL409="","",ROUND($AL409/5*100,1))</f>
        <v/>
      </c>
      <c r="AN409">
        <f>IFERROR(MIN(5,MAX(0,(SUMIFS(_REF_Model_Content!$D$1:$D$157,_REF_Model_Content!$A$1:$A$157,'Company Profile'!$B$9,_REF_Model_Content!$B$1:$B$157,"Quality Portfolio"))+_xlfn.IFNA(VLOOKUP('Company Profile'!$B$35,_CONFIG_Model_Settings!$A$11:$B$13,2,0),0))),"")</f>
        <v/>
      </c>
      <c r="AO409">
        <f>IF($AL409="","",MAX(0,ROUND($AN409-$AL409,2)))</f>
        <v/>
      </c>
      <c r="AP409">
        <f>IFERROR(SUMIFS(_REF_Model_Content!$E$1:$E$157,_REF_Model_Content!$A$1:$A$157,'Company Profile'!$B$9,_REF_Model_Content!$B$1:$B$157,"Quality Portfolio"),1)</f>
        <v/>
      </c>
      <c r="AQ409">
        <f>IF($AO409="","",ROUND($AO409*$AP409*($G409/5),2))</f>
        <v/>
      </c>
      <c r="AR409">
        <f>IF($AO409="","",IF($AO409&gt;=2,"Critical industry gap",IF($AO409&gt;=1,"High industry gap",IF($AO409&gt;=0.5,"Moderate industry gap","Within target"))))</f>
        <v/>
      </c>
      <c r="AS409">
        <f>IF(OR($H409="",$H409="N/A"),0,VALUE($H409)*(($AJ409+$AK409)/2)*$AV409)</f>
        <v/>
      </c>
      <c r="AT409">
        <f>IF(OR($H409="",$H409="N/A"),0,($AJ409+$AK409)/2)</f>
        <v/>
      </c>
      <c r="AU409">
        <f>'Assessment Questions'!AX409</f>
        <v/>
      </c>
      <c r="AV409">
        <f>IF(OR($H409="",$H409="N/A"),"",IF(OR($AU409="",$AU409="Everywhere",$AU409="Not applicable"),1,IF($AU409="Pilot / one team",0.4,IF($AU409="One unit or site",0.7,0.9))))</f>
        <v/>
      </c>
      <c r="AW409" t="inlineStr">
        <is>
          <t>Quality Portfolio</t>
        </is>
      </c>
      <c r="AX409" t="inlineStr">
        <is>
          <t>Quality Portfolio</t>
        </is>
      </c>
      <c r="AY409" t="n">
        <v>7</v>
      </c>
      <c r="AZ409" t="n">
        <v>409</v>
      </c>
    </row>
    <row r="410">
      <c r="A410" t="inlineStr">
        <is>
          <t>QUAL-005</t>
        </is>
      </c>
      <c r="B410" t="inlineStr">
        <is>
          <t>Process management</t>
        </is>
      </c>
      <c r="C410" t="inlineStr">
        <is>
          <t>How mature is the organization in managing process automation documented, monitored and covered by manual fallback, including ownership, evidence, metrics, fallback procedures and crisis stress testing?</t>
        </is>
      </c>
      <c r="D410" t="inlineStr">
        <is>
          <t>This topic affects exposure to Execution failure; Delivery disruption; Decision failure. It helps identify how disruption may impact operations, people, revenue, systems, legal exposure or recovery time.</t>
        </is>
      </c>
      <c r="E410" t="inlineStr">
        <is>
          <t>ISO 9001; ISO 21502; ISO 21500; APQC; Lean; Six Sigma; PMBOK; COBIT</t>
        </is>
      </c>
      <c r="F410" t="inlineStr">
        <is>
          <t>Policy/SOP; owner/RACI; system report; dashboard; contracts; test records; incident history; interview evidence related to process automation documented, monitored and covered by manual fallback.</t>
        </is>
      </c>
      <c r="G410">
        <f>'Assessment Questions'!J410</f>
        <v/>
      </c>
      <c r="H410">
        <f>IF($Z410="","",IF($Z410="N/A","N/A",VALUE(LEFT($Z410,1))))</f>
        <v/>
      </c>
      <c r="I410">
        <f>IF($H410="","",IF($H410="N/A","",VALUE($H410)/5*$G410))</f>
        <v/>
      </c>
      <c r="J410">
        <f>IF(OR($H410="",$H410="N/A"),"",$G410)</f>
        <v/>
      </c>
      <c r="K410">
        <f>IF(OR($H410="",$H410="N/A"),"",$J410-$I410)</f>
        <v/>
      </c>
      <c r="L410">
        <f>IF($H410="","",IF($H410="N/A","N/A",IF(VALUE($H410)&lt;=1,"Critical",IF(VALUE($H410)&lt;=2,"High",IF(VALUE($H410)&lt;=3,"Medium",IF(VALUE($H410)&lt;=4,"Low","Resilient"))))))</f>
        <v/>
      </c>
      <c r="M410" t="inlineStr">
        <is>
          <t>No reliable evidence that process automation documented, monitored and covered by manual fallback is defined, owned or managed.</t>
        </is>
      </c>
      <c r="N410" t="inlineStr">
        <is>
          <t>Process automation documented, monitored and covered by manual fallback is handled informally and depends on individual knowledge or heroic effort.</t>
        </is>
      </c>
      <c r="O410" t="inlineStr">
        <is>
          <t>Process automation documented, monitored and covered by manual fallback is partially documented or implemented, but coverage is inconsistent and not crisis-tested.</t>
        </is>
      </c>
      <c r="P410" t="inlineStr">
        <is>
          <t>Process automation documented, monitored and covered by manual fallback is documented, owned, used in normal operations and supported by basic evidence or metrics.</t>
        </is>
      </c>
      <c r="Q410" t="inlineStr">
        <is>
          <t>Process automation documented, monitored and covered by manual fallback is measured, periodically reviewed, integrated with related processes and tested against relevant disruption scenarios.</t>
        </is>
      </c>
      <c r="R410" t="inlineStr">
        <is>
          <t>Process automation documented, monitored and covered by manual fallback is optimized, continuously improved, automated where practical and demonstrably supports crisis resilience.</t>
        </is>
      </c>
      <c r="S410" t="inlineStr">
        <is>
          <t>Execution failure; Delivery disruption; Decision failure</t>
        </is>
      </c>
      <c r="T410">
        <f>'Assessment Questions'!W410</f>
        <v/>
      </c>
      <c r="U410">
        <f>'Assessment Questions'!X410</f>
        <v/>
      </c>
      <c r="V410">
        <f>'Assessment Questions'!Y410</f>
        <v/>
      </c>
      <c r="W410" t="n">
        <v>4</v>
      </c>
      <c r="X410" t="n">
        <v>5</v>
      </c>
      <c r="Y410" t="n">
        <v>5</v>
      </c>
      <c r="Z410">
        <f>'Assessment Questions'!AC410</f>
        <v/>
      </c>
      <c r="AA410" t="inlineStr">
        <is>
          <t>Management system</t>
        </is>
      </c>
      <c r="AB410">
        <f>COUNTIF($B$407:$B$428,$AA410)</f>
        <v/>
      </c>
      <c r="AC410">
        <f>IFERROR(SUMPRODUCT(($B$407:$B$428=$AA410)*($H$407:$H$428&lt;&gt;"")*($H$407:$H$428&lt;&gt;"N/A")*IFERROR(VALUE($H$407:$H$428),0))/SUMPRODUCT(($B$407:$B$428=$AA410)*($H$407:$H$428&lt;&gt;"")*($H$407:$H$428&lt;&gt;"N/A")),0)</f>
        <v/>
      </c>
      <c r="AD410">
        <f>AC410/5</f>
        <v/>
      </c>
      <c r="AE410">
        <f>COUNTIFS($B$407:$B$428,$AA410,$L$407:$L$428,"Critical")+COUNTIFS($B$407:$B$428,$AA410,$L$407:$L$428,"High")</f>
        <v/>
      </c>
      <c r="AF410">
        <f>5-AC410</f>
        <v/>
      </c>
      <c r="AG410">
        <f>SUMPRODUCT(($B$407:$B$428=$AA410)*(ISNUMBER($H$407:$H$428)+($H$407:$H$428="N/A")))</f>
        <v/>
      </c>
      <c r="AH410">
        <f>'Assessment Questions'!AK410</f>
        <v/>
      </c>
      <c r="AI410">
        <f>'Assessment Questions'!AL410</f>
        <v/>
      </c>
      <c r="AJ410">
        <f>IF(OR($H410="",$H410="N/A"),"",IF($AH410="",VLOOKUP('Company Profile'!$B$40,_CONFIG_Model_Settings!$A$5:$B$8,2,FALSE),_xlfn.IFNA(VLOOKUP($AH410,_CONFIG_Model_Settings!$A$5:$B$8,2,FALSE),0.9)))</f>
        <v/>
      </c>
      <c r="AK410">
        <f>IF(OR($H410="",$H410="N/A"),"",IF($AI410="",VLOOKUP('Company Profile'!$B$41,_CONFIG_Model_Settings!$A$5:$B$8,2,FALSE),_xlfn.IFNA(VLOOKUP($AI410,_CONFIG_Model_Settings!$A$5:$B$8,2,FALSE),0.9)))</f>
        <v/>
      </c>
      <c r="AL410">
        <f>IF(OR($H410="",$H410="N/A"),"",ROUND(VALUE($H410)*$AJ410*$AK410*$AV410,2))</f>
        <v/>
      </c>
      <c r="AM410">
        <f>IF($AL410="","",ROUND($AL410/5*100,1))</f>
        <v/>
      </c>
      <c r="AN410">
        <f>IFERROR(MIN(5,MAX(0,(SUMIFS(_REF_Model_Content!$D$1:$D$157,_REF_Model_Content!$A$1:$A$157,'Company Profile'!$B$9,_REF_Model_Content!$B$1:$B$157,"Quality Portfolio"))+_xlfn.IFNA(VLOOKUP('Company Profile'!$B$35,_CONFIG_Model_Settings!$A$11:$B$13,2,0),0))),"")</f>
        <v/>
      </c>
      <c r="AO410">
        <f>IF($AL410="","",MAX(0,ROUND($AN410-$AL410,2)))</f>
        <v/>
      </c>
      <c r="AP410">
        <f>IFERROR(SUMIFS(_REF_Model_Content!$E$1:$E$157,_REF_Model_Content!$A$1:$A$157,'Company Profile'!$B$9,_REF_Model_Content!$B$1:$B$157,"Quality Portfolio"),1)</f>
        <v/>
      </c>
      <c r="AQ410">
        <f>IF($AO410="","",ROUND($AO410*$AP410*($G410/5),2))</f>
        <v/>
      </c>
      <c r="AR410">
        <f>IF($AO410="","",IF($AO410&gt;=2,"Critical industry gap",IF($AO410&gt;=1,"High industry gap",IF($AO410&gt;=0.5,"Moderate industry gap","Within target"))))</f>
        <v/>
      </c>
      <c r="AS410">
        <f>IF(OR($H410="",$H410="N/A"),0,VALUE($H410)*(($AJ410+$AK410)/2)*$AV410)</f>
        <v/>
      </c>
      <c r="AT410">
        <f>IF(OR($H410="",$H410="N/A"),0,($AJ410+$AK410)/2)</f>
        <v/>
      </c>
      <c r="AU410">
        <f>'Assessment Questions'!AX410</f>
        <v/>
      </c>
      <c r="AV410">
        <f>IF(OR($H410="",$H410="N/A"),"",IF(OR($AU410="",$AU410="Everywhere",$AU410="Not applicable"),1,IF($AU410="Pilot / one team",0.4,IF($AU410="One unit or site",0.7,0.9))))</f>
        <v/>
      </c>
      <c r="AW410" t="inlineStr">
        <is>
          <t>Quality Portfolio</t>
        </is>
      </c>
      <c r="AX410" t="inlineStr">
        <is>
          <t>Quality Portfolio</t>
        </is>
      </c>
      <c r="AY410" t="n">
        <v>8</v>
      </c>
      <c r="AZ410" t="n">
        <v>410</v>
      </c>
    </row>
    <row r="411">
      <c r="A411" t="inlineStr">
        <is>
          <t>QUAL-006</t>
        </is>
      </c>
      <c r="B411" t="inlineStr">
        <is>
          <t>Quality management</t>
        </is>
      </c>
      <c r="C411" t="inlineStr">
        <is>
          <t>How mature is the organization in managing quality objectives linked to customer, delivery and operational performance, including ownership, evidence, metrics, fallback procedures and crisis stress testing?</t>
        </is>
      </c>
      <c r="D411" t="inlineStr">
        <is>
          <t>This topic affects exposure to Execution failure; Delivery disruption; Decision failure. It helps identify how disruption may impact operations, people, revenue, systems, legal exposure or recovery time.</t>
        </is>
      </c>
      <c r="E411" t="inlineStr">
        <is>
          <t>ISO 9001; ISO 21502; ISO 21500; APQC; Lean; Six Sigma; PMBOK; COBIT</t>
        </is>
      </c>
      <c r="F411" t="inlineStr">
        <is>
          <t>Policy/SOP; owner/RACI; system report; dashboard; contracts; test records; incident history; interview evidence related to quality objectives linked to customer, delivery and operational performance.</t>
        </is>
      </c>
      <c r="G411">
        <f>'Assessment Questions'!J411</f>
        <v/>
      </c>
      <c r="H411">
        <f>IF($Z411="","",IF($Z411="N/A","N/A",VALUE(LEFT($Z411,1))))</f>
        <v/>
      </c>
      <c r="I411">
        <f>IF($H411="","",IF($H411="N/A","",VALUE($H411)/5*$G411))</f>
        <v/>
      </c>
      <c r="J411">
        <f>IF(OR($H411="",$H411="N/A"),"",$G411)</f>
        <v/>
      </c>
      <c r="K411">
        <f>IF(OR($H411="",$H411="N/A"),"",$J411-$I411)</f>
        <v/>
      </c>
      <c r="L411">
        <f>IF($H411="","",IF($H411="N/A","N/A",IF(VALUE($H411)&lt;=1,"Critical",IF(VALUE($H411)&lt;=2,"High",IF(VALUE($H411)&lt;=3,"Medium",IF(VALUE($H411)&lt;=4,"Low","Resilient"))))))</f>
        <v/>
      </c>
      <c r="M411" t="inlineStr">
        <is>
          <t>No reliable evidence that quality objectives linked to customer, delivery and operational performance is defined, owned or managed.</t>
        </is>
      </c>
      <c r="N411" t="inlineStr">
        <is>
          <t>Quality objectives linked to customer, delivery and operational performance is handled informally and depends on individual knowledge or heroic effort.</t>
        </is>
      </c>
      <c r="O411" t="inlineStr">
        <is>
          <t>Quality objectives linked to customer, delivery and operational performance is partially documented or implemented, but coverage is inconsistent and not crisis-tested.</t>
        </is>
      </c>
      <c r="P411" t="inlineStr">
        <is>
          <t>Quality objectives linked to customer, delivery and operational performance is documented, owned, used in normal operations and supported by basic evidence or metrics.</t>
        </is>
      </c>
      <c r="Q411" t="inlineStr">
        <is>
          <t>Quality objectives linked to customer, delivery and operational performance is measured, periodically reviewed, integrated with related processes and tested against relevant disruption scenarios.</t>
        </is>
      </c>
      <c r="R411" t="inlineStr">
        <is>
          <t>Quality objectives linked to customer, delivery and operational performance is optimized, continuously improved, automated where practical and demonstrably supports crisis resilience.</t>
        </is>
      </c>
      <c r="S411" t="inlineStr">
        <is>
          <t>Execution failure; Delivery disruption; Decision failure</t>
        </is>
      </c>
      <c r="T411">
        <f>'Assessment Questions'!W411</f>
        <v/>
      </c>
      <c r="U411">
        <f>'Assessment Questions'!X411</f>
        <v/>
      </c>
      <c r="V411">
        <f>'Assessment Questions'!Y411</f>
        <v/>
      </c>
      <c r="W411" t="n">
        <v>4</v>
      </c>
      <c r="X411" t="n">
        <v>5</v>
      </c>
      <c r="Y411" t="n">
        <v>5</v>
      </c>
      <c r="Z411">
        <f>'Assessment Questions'!AC411</f>
        <v/>
      </c>
      <c r="AB411">
        <f>COUNTIF($B$407:$B$428,$AA411)</f>
        <v/>
      </c>
      <c r="AC411">
        <f>IFERROR(SUMPRODUCT(($B$407:$B$428=$AA411)*($H$407:$H$428&lt;&gt;"")*($H$407:$H$428&lt;&gt;"N/A")*IFERROR(VALUE($H$407:$H$428),0))/SUMPRODUCT(($B$407:$B$428=$AA411)*($H$407:$H$428&lt;&gt;"")*($H$407:$H$428&lt;&gt;"N/A")),0)</f>
        <v/>
      </c>
      <c r="AD411">
        <f>AC411/5</f>
        <v/>
      </c>
      <c r="AE411">
        <f>COUNTIFS($B$407:$B$428,$AA411,$L$407:$L$428,"Critical")+COUNTIFS($B$407:$B$428,$AA411,$L$407:$L$428,"High")</f>
        <v/>
      </c>
      <c r="AF411">
        <f>5-AC411</f>
        <v/>
      </c>
      <c r="AG411">
        <f>SUMPRODUCT(($B$407:$B$428=$AA411)*(ISNUMBER($H$407:$H$428)+($H$407:$H$428="N/A")))</f>
        <v/>
      </c>
      <c r="AH411">
        <f>'Assessment Questions'!AK411</f>
        <v/>
      </c>
      <c r="AI411">
        <f>'Assessment Questions'!AL411</f>
        <v/>
      </c>
      <c r="AJ411">
        <f>IF(OR($H411="",$H411="N/A"),"",IF($AH411="",VLOOKUP('Company Profile'!$B$40,_CONFIG_Model_Settings!$A$5:$B$8,2,FALSE),_xlfn.IFNA(VLOOKUP($AH411,_CONFIG_Model_Settings!$A$5:$B$8,2,FALSE),0.9)))</f>
        <v/>
      </c>
      <c r="AK411">
        <f>IF(OR($H411="",$H411="N/A"),"",IF($AI411="",VLOOKUP('Company Profile'!$B$41,_CONFIG_Model_Settings!$A$5:$B$8,2,FALSE),_xlfn.IFNA(VLOOKUP($AI411,_CONFIG_Model_Settings!$A$5:$B$8,2,FALSE),0.9)))</f>
        <v/>
      </c>
      <c r="AL411">
        <f>IF(OR($H411="",$H411="N/A"),"",ROUND(VALUE($H411)*$AJ411*$AK411*$AV411,2))</f>
        <v/>
      </c>
      <c r="AM411">
        <f>IF($AL411="","",ROUND($AL411/5*100,1))</f>
        <v/>
      </c>
      <c r="AN411">
        <f>IFERROR(MIN(5,MAX(0,(SUMIFS(_REF_Model_Content!$D$1:$D$157,_REF_Model_Content!$A$1:$A$157,'Company Profile'!$B$9,_REF_Model_Content!$B$1:$B$157,"Quality Portfolio"))+_xlfn.IFNA(VLOOKUP('Company Profile'!$B$35,_CONFIG_Model_Settings!$A$11:$B$13,2,0),0))),"")</f>
        <v/>
      </c>
      <c r="AO411">
        <f>IF($AL411="","",MAX(0,ROUND($AN411-$AL411,2)))</f>
        <v/>
      </c>
      <c r="AP411">
        <f>IFERROR(SUMIFS(_REF_Model_Content!$E$1:$E$157,_REF_Model_Content!$A$1:$A$157,'Company Profile'!$B$9,_REF_Model_Content!$B$1:$B$157,"Quality Portfolio"),1)</f>
        <v/>
      </c>
      <c r="AQ411">
        <f>IF($AO411="","",ROUND($AO411*$AP411*($G411/5),2))</f>
        <v/>
      </c>
      <c r="AR411">
        <f>IF($AO411="","",IF($AO411&gt;=2,"Critical industry gap",IF($AO411&gt;=1,"High industry gap",IF($AO411&gt;=0.5,"Moderate industry gap","Within target"))))</f>
        <v/>
      </c>
      <c r="AS411">
        <f>IF(OR($H411="",$H411="N/A"),0,VALUE($H411)*(($AJ411+$AK411)/2)*$AV411)</f>
        <v/>
      </c>
      <c r="AT411">
        <f>IF(OR($H411="",$H411="N/A"),0,($AJ411+$AK411)/2)</f>
        <v/>
      </c>
      <c r="AU411">
        <f>'Assessment Questions'!AX411</f>
        <v/>
      </c>
      <c r="AV411">
        <f>IF(OR($H411="",$H411="N/A"),"",IF(OR($AU411="",$AU411="Everywhere",$AU411="Not applicable"),1,IF($AU411="Pilot / one team",0.4,IF($AU411="One unit or site",0.7,0.9))))</f>
        <v/>
      </c>
      <c r="AW411" t="inlineStr">
        <is>
          <t>Quality Portfolio</t>
        </is>
      </c>
      <c r="AX411" t="inlineStr">
        <is>
          <t>Quality Portfolio</t>
        </is>
      </c>
      <c r="AY411" t="n">
        <v>9</v>
      </c>
      <c r="AZ411" t="n">
        <v>411</v>
      </c>
    </row>
    <row r="412">
      <c r="A412" t="inlineStr">
        <is>
          <t>QUAL-007</t>
        </is>
      </c>
      <c r="B412" t="inlineStr">
        <is>
          <t>Quality management</t>
        </is>
      </c>
      <c r="C412" t="inlineStr">
        <is>
          <t>How mature is the organization in managing nonconformity, defect, complaint and corrective action management, including ownership, evidence, metrics, fallback procedures and crisis stress testing?</t>
        </is>
      </c>
      <c r="D412" t="inlineStr">
        <is>
          <t>This topic affects exposure to Execution failure; Delivery disruption; Decision failure. It helps identify how disruption may impact operations, people, revenue, systems, legal exposure or recovery time.</t>
        </is>
      </c>
      <c r="E412" t="inlineStr">
        <is>
          <t>ISO 9001; ISO 21502; ISO 21500; APQC; Lean; Six Sigma; PMBOK; COBIT</t>
        </is>
      </c>
      <c r="F412" t="inlineStr">
        <is>
          <t>Policy/SOP; owner/RACI; system report; dashboard; contracts; test records; incident history; interview evidence related to nonconformity, defect, complaint and corrective action management.</t>
        </is>
      </c>
      <c r="G412">
        <f>'Assessment Questions'!J412</f>
        <v/>
      </c>
      <c r="H412">
        <f>IF($Z412="","",IF($Z412="N/A","N/A",VALUE(LEFT($Z412,1))))</f>
        <v/>
      </c>
      <c r="I412">
        <f>IF($H412="","",IF($H412="N/A","",VALUE($H412)/5*$G412))</f>
        <v/>
      </c>
      <c r="J412">
        <f>IF(OR($H412="",$H412="N/A"),"",$G412)</f>
        <v/>
      </c>
      <c r="K412">
        <f>IF(OR($H412="",$H412="N/A"),"",$J412-$I412)</f>
        <v/>
      </c>
      <c r="L412">
        <f>IF($H412="","",IF($H412="N/A","N/A",IF(VALUE($H412)&lt;=1,"Critical",IF(VALUE($H412)&lt;=2,"High",IF(VALUE($H412)&lt;=3,"Medium",IF(VALUE($H412)&lt;=4,"Low","Resilient"))))))</f>
        <v/>
      </c>
      <c r="M412" t="inlineStr">
        <is>
          <t>No reliable evidence that nonconformity, defect, complaint and corrective action management is defined, owned or managed.</t>
        </is>
      </c>
      <c r="N412" t="inlineStr">
        <is>
          <t>Nonconformity, defect, complaint and corrective action management is handled informally and depends on individual knowledge or heroic effort.</t>
        </is>
      </c>
      <c r="O412" t="inlineStr">
        <is>
          <t>Nonconformity, defect, complaint and corrective action management is partially documented or implemented, but coverage is inconsistent and not crisis-tested.</t>
        </is>
      </c>
      <c r="P412" t="inlineStr">
        <is>
          <t>Nonconformity, defect, complaint and corrective action management is documented, owned, used in normal operations and supported by basic evidence or metrics.</t>
        </is>
      </c>
      <c r="Q412" t="inlineStr">
        <is>
          <t>Nonconformity, defect, complaint and corrective action management is measured, periodically reviewed, integrated with related processes and tested against relevant disruption scenarios.</t>
        </is>
      </c>
      <c r="R412" t="inlineStr">
        <is>
          <t>Nonconformity, defect, complaint and corrective action management is optimized, continuously improved, automated where practical and demonstrably supports crisis resilience.</t>
        </is>
      </c>
      <c r="S412" t="inlineStr">
        <is>
          <t>Execution failure; Delivery disruption; Decision failure</t>
        </is>
      </c>
      <c r="T412">
        <f>'Assessment Questions'!W412</f>
        <v/>
      </c>
      <c r="U412">
        <f>'Assessment Questions'!X412</f>
        <v/>
      </c>
      <c r="V412">
        <f>'Assessment Questions'!Y412</f>
        <v/>
      </c>
      <c r="W412" t="n">
        <v>4</v>
      </c>
      <c r="X412" t="n">
        <v>5</v>
      </c>
      <c r="Y412" t="n">
        <v>5</v>
      </c>
      <c r="Z412">
        <f>'Assessment Questions'!AC412</f>
        <v/>
      </c>
      <c r="AB412">
        <f>COUNTIF($B$407:$B$428,$AA412)</f>
        <v/>
      </c>
      <c r="AC412">
        <f>IFERROR(SUMPRODUCT(($B$407:$B$428=$AA412)*($H$407:$H$428&lt;&gt;"")*($H$407:$H$428&lt;&gt;"N/A")*IFERROR(VALUE($H$407:$H$428),0))/SUMPRODUCT(($B$407:$B$428=$AA412)*($H$407:$H$428&lt;&gt;"")*($H$407:$H$428&lt;&gt;"N/A")),0)</f>
        <v/>
      </c>
      <c r="AD412">
        <f>AC412/5</f>
        <v/>
      </c>
      <c r="AE412">
        <f>COUNTIFS($B$407:$B$428,$AA412,$L$407:$L$428,"Critical")+COUNTIFS($B$407:$B$428,$AA412,$L$407:$L$428,"High")</f>
        <v/>
      </c>
      <c r="AF412">
        <f>5-AC412</f>
        <v/>
      </c>
      <c r="AG412">
        <f>SUMPRODUCT(($B$407:$B$428=$AA412)*(ISNUMBER($H$407:$H$428)+($H$407:$H$428="N/A")))</f>
        <v/>
      </c>
      <c r="AH412">
        <f>'Assessment Questions'!AK412</f>
        <v/>
      </c>
      <c r="AI412">
        <f>'Assessment Questions'!AL412</f>
        <v/>
      </c>
      <c r="AJ412">
        <f>IF(OR($H412="",$H412="N/A"),"",IF($AH412="",VLOOKUP('Company Profile'!$B$40,_CONFIG_Model_Settings!$A$5:$B$8,2,FALSE),_xlfn.IFNA(VLOOKUP($AH412,_CONFIG_Model_Settings!$A$5:$B$8,2,FALSE),0.9)))</f>
        <v/>
      </c>
      <c r="AK412">
        <f>IF(OR($H412="",$H412="N/A"),"",IF($AI412="",VLOOKUP('Company Profile'!$B$41,_CONFIG_Model_Settings!$A$5:$B$8,2,FALSE),_xlfn.IFNA(VLOOKUP($AI412,_CONFIG_Model_Settings!$A$5:$B$8,2,FALSE),0.9)))</f>
        <v/>
      </c>
      <c r="AL412">
        <f>IF(OR($H412="",$H412="N/A"),"",ROUND(VALUE($H412)*$AJ412*$AK412*$AV412,2))</f>
        <v/>
      </c>
      <c r="AM412">
        <f>IF($AL412="","",ROUND($AL412/5*100,1))</f>
        <v/>
      </c>
      <c r="AN412">
        <f>IFERROR(MIN(5,MAX(0,(SUMIFS(_REF_Model_Content!$D$1:$D$157,_REF_Model_Content!$A$1:$A$157,'Company Profile'!$B$9,_REF_Model_Content!$B$1:$B$157,"Quality Portfolio"))+_xlfn.IFNA(VLOOKUP('Company Profile'!$B$35,_CONFIG_Model_Settings!$A$11:$B$13,2,0),0))),"")</f>
        <v/>
      </c>
      <c r="AO412">
        <f>IF($AL412="","",MAX(0,ROUND($AN412-$AL412,2)))</f>
        <v/>
      </c>
      <c r="AP412">
        <f>IFERROR(SUMIFS(_REF_Model_Content!$E$1:$E$157,_REF_Model_Content!$A$1:$A$157,'Company Profile'!$B$9,_REF_Model_Content!$B$1:$B$157,"Quality Portfolio"),1)</f>
        <v/>
      </c>
      <c r="AQ412">
        <f>IF($AO412="","",ROUND($AO412*$AP412*($G412/5),2))</f>
        <v/>
      </c>
      <c r="AR412">
        <f>IF($AO412="","",IF($AO412&gt;=2,"Critical industry gap",IF($AO412&gt;=1,"High industry gap",IF($AO412&gt;=0.5,"Moderate industry gap","Within target"))))</f>
        <v/>
      </c>
      <c r="AS412">
        <f>IF(OR($H412="",$H412="N/A"),0,VALUE($H412)*(($AJ412+$AK412)/2)*$AV412)</f>
        <v/>
      </c>
      <c r="AT412">
        <f>IF(OR($H412="",$H412="N/A"),0,($AJ412+$AK412)/2)</f>
        <v/>
      </c>
      <c r="AU412">
        <f>'Assessment Questions'!AX412</f>
        <v/>
      </c>
      <c r="AV412">
        <f>IF(OR($H412="",$H412="N/A"),"",IF(OR($AU412="",$AU412="Everywhere",$AU412="Not applicable"),1,IF($AU412="Pilot / one team",0.4,IF($AU412="One unit or site",0.7,0.9))))</f>
        <v/>
      </c>
      <c r="AW412" t="inlineStr">
        <is>
          <t>Quality Portfolio</t>
        </is>
      </c>
      <c r="AX412" t="inlineStr">
        <is>
          <t>Quality Portfolio</t>
        </is>
      </c>
      <c r="AY412" t="n">
        <v>10</v>
      </c>
      <c r="AZ412" t="n">
        <v>412</v>
      </c>
    </row>
    <row r="413">
      <c r="A413" t="inlineStr">
        <is>
          <t>QUAL-008</t>
        </is>
      </c>
      <c r="B413" t="inlineStr">
        <is>
          <t>Quality management</t>
        </is>
      </c>
      <c r="C413" t="inlineStr">
        <is>
          <t>How mature is the organization in managing internal audit program for critical processes and controls, including ownership, evidence, metrics, fallback procedures and crisis stress testing?</t>
        </is>
      </c>
      <c r="D413" t="inlineStr">
        <is>
          <t>This topic affects exposure to Execution failure; Delivery disruption; Decision failure. It helps identify how disruption may impact operations, people, revenue, systems, legal exposure or recovery time.</t>
        </is>
      </c>
      <c r="E413" t="inlineStr">
        <is>
          <t>ISO 9001; ISO 21502; ISO 21500; APQC; Lean; Six Sigma; PMBOK; COBIT</t>
        </is>
      </c>
      <c r="F413" t="inlineStr">
        <is>
          <t>Policy/SOP; owner/RACI; system report; dashboard; contracts; test records; incident history; interview evidence related to internal audit program for critical processes and controls.</t>
        </is>
      </c>
      <c r="G413">
        <f>'Assessment Questions'!J413</f>
        <v/>
      </c>
      <c r="H413">
        <f>IF($Z413="","",IF($Z413="N/A","N/A",VALUE(LEFT($Z413,1))))</f>
        <v/>
      </c>
      <c r="I413">
        <f>IF($H413="","",IF($H413="N/A","",VALUE($H413)/5*$G413))</f>
        <v/>
      </c>
      <c r="J413">
        <f>IF(OR($H413="",$H413="N/A"),"",$G413)</f>
        <v/>
      </c>
      <c r="K413">
        <f>IF(OR($H413="",$H413="N/A"),"",$J413-$I413)</f>
        <v/>
      </c>
      <c r="L413">
        <f>IF($H413="","",IF($H413="N/A","N/A",IF(VALUE($H413)&lt;=1,"Critical",IF(VALUE($H413)&lt;=2,"High",IF(VALUE($H413)&lt;=3,"Medium",IF(VALUE($H413)&lt;=4,"Low","Resilient"))))))</f>
        <v/>
      </c>
      <c r="M413" t="inlineStr">
        <is>
          <t>Does not exist; no owner, no documentation, no practice.</t>
        </is>
      </c>
      <c r="N413" t="inlineStr">
        <is>
          <t>Ad hoc; depends entirely on specific individuals.</t>
        </is>
      </c>
      <c r="O413" t="inlineStr">
        <is>
          <t>Partially documented or implemented; coverage inconsistent; never tested under stress.</t>
        </is>
      </c>
      <c r="P413" t="inlineStr">
        <is>
          <t>Documented, owned, executed consistently; basic evidence and metrics exist.</t>
        </is>
      </c>
      <c r="Q413" t="inlineStr">
        <is>
          <t>Measured and periodically tested/audited; integrated with adjacent processes.</t>
        </is>
      </c>
      <c r="R413" t="inlineStr">
        <is>
          <t>Optimized and automated where practical; stress-tested; benchmarked externally.</t>
        </is>
      </c>
      <c r="S413" t="inlineStr">
        <is>
          <t>Execution failure; Delivery disruption; Decision failure</t>
        </is>
      </c>
      <c r="T413">
        <f>'Assessment Questions'!W413</f>
        <v/>
      </c>
      <c r="U413">
        <f>'Assessment Questions'!X413</f>
        <v/>
      </c>
      <c r="V413">
        <f>'Assessment Questions'!Y413</f>
        <v/>
      </c>
      <c r="W413" t="n">
        <v>4</v>
      </c>
      <c r="X413" t="n">
        <v>5</v>
      </c>
      <c r="Y413" t="n">
        <v>5</v>
      </c>
      <c r="Z413">
        <f>'Assessment Questions'!AC413</f>
        <v/>
      </c>
      <c r="AB413">
        <f>COUNTIF($B$407:$B$428,$AA413)</f>
        <v/>
      </c>
      <c r="AC413">
        <f>IFERROR(SUMPRODUCT(($B$407:$B$428=$AA413)*($H$407:$H$428&lt;&gt;"")*($H$407:$H$428&lt;&gt;"N/A")*IFERROR(VALUE($H$407:$H$428),0))/SUMPRODUCT(($B$407:$B$428=$AA413)*($H$407:$H$428&lt;&gt;"")*($H$407:$H$428&lt;&gt;"N/A")),0)</f>
        <v/>
      </c>
      <c r="AD413">
        <f>AC413/5</f>
        <v/>
      </c>
      <c r="AE413">
        <f>COUNTIFS($B$407:$B$428,$AA413,$L$407:$L$428,"Critical")+COUNTIFS($B$407:$B$428,$AA413,$L$407:$L$428,"High")</f>
        <v/>
      </c>
      <c r="AF413">
        <f>5-AC413</f>
        <v/>
      </c>
      <c r="AG413">
        <f>SUMPRODUCT(($B$407:$B$428=$AA413)*(ISNUMBER($H$407:$H$428)+($H$407:$H$428="N/A")))</f>
        <v/>
      </c>
      <c r="AH413">
        <f>'Assessment Questions'!AK413</f>
        <v/>
      </c>
      <c r="AI413">
        <f>'Assessment Questions'!AL413</f>
        <v/>
      </c>
      <c r="AJ413">
        <f>IF(OR($H413="",$H413="N/A"),"",IF($AH413="",VLOOKUP('Company Profile'!$B$40,_CONFIG_Model_Settings!$A$5:$B$8,2,FALSE),_xlfn.IFNA(VLOOKUP($AH413,_CONFIG_Model_Settings!$A$5:$B$8,2,FALSE),0.9)))</f>
        <v/>
      </c>
      <c r="AK413">
        <f>IF(OR($H413="",$H413="N/A"),"",IF($AI413="",VLOOKUP('Company Profile'!$B$41,_CONFIG_Model_Settings!$A$5:$B$8,2,FALSE),_xlfn.IFNA(VLOOKUP($AI413,_CONFIG_Model_Settings!$A$5:$B$8,2,FALSE),0.9)))</f>
        <v/>
      </c>
      <c r="AL413">
        <f>IF(OR($H413="",$H413="N/A"),"",ROUND(VALUE($H413)*$AJ413*$AK413*$AV413,2))</f>
        <v/>
      </c>
      <c r="AM413">
        <f>IF($AL413="","",ROUND($AL413/5*100,1))</f>
        <v/>
      </c>
      <c r="AN413">
        <f>IFERROR(MIN(5,MAX(0,(SUMIFS(_REF_Model_Content!$D$1:$D$157,_REF_Model_Content!$A$1:$A$157,'Company Profile'!$B$9,_REF_Model_Content!$B$1:$B$157,"Quality Portfolio"))+_xlfn.IFNA(VLOOKUP('Company Profile'!$B$35,_CONFIG_Model_Settings!$A$11:$B$13,2,0),0))),"")</f>
        <v/>
      </c>
      <c r="AO413">
        <f>IF($AL413="","",MAX(0,ROUND($AN413-$AL413,2)))</f>
        <v/>
      </c>
      <c r="AP413">
        <f>IFERROR(SUMIFS(_REF_Model_Content!$E$1:$E$157,_REF_Model_Content!$A$1:$A$157,'Company Profile'!$B$9,_REF_Model_Content!$B$1:$B$157,"Quality Portfolio"),1)</f>
        <v/>
      </c>
      <c r="AQ413">
        <f>IF($AO413="","",ROUND($AO413*$AP413*($G413/5),2))</f>
        <v/>
      </c>
      <c r="AR413">
        <f>IF($AO413="","",IF($AO413&gt;=2,"Critical industry gap",IF($AO413&gt;=1,"High industry gap",IF($AO413&gt;=0.5,"Moderate industry gap","Within target"))))</f>
        <v/>
      </c>
      <c r="AS413">
        <f>IF(OR($H413="",$H413="N/A"),0,VALUE($H413)*(($AJ413+$AK413)/2)*$AV413)</f>
        <v/>
      </c>
      <c r="AT413">
        <f>IF(OR($H413="",$H413="N/A"),0,($AJ413+$AK413)/2)</f>
        <v/>
      </c>
      <c r="AU413">
        <f>'Assessment Questions'!AX413</f>
        <v/>
      </c>
      <c r="AV413">
        <f>IF(OR($H413="",$H413="N/A"),"",IF(OR($AU413="",$AU413="Everywhere",$AU413="Not applicable"),1,IF($AU413="Pilot / one team",0.4,IF($AU413="One unit or site",0.7,0.9))))</f>
        <v/>
      </c>
      <c r="AW413" t="inlineStr">
        <is>
          <t>Quality Portfolio</t>
        </is>
      </c>
      <c r="AX413" t="inlineStr">
        <is>
          <t>Quality Portfolio</t>
        </is>
      </c>
      <c r="AY413" t="n">
        <v>11</v>
      </c>
      <c r="AZ413" t="n">
        <v>413</v>
      </c>
    </row>
    <row r="414">
      <c r="A414" t="inlineStr">
        <is>
          <t>QUAL-009</t>
        </is>
      </c>
      <c r="B414" t="inlineStr">
        <is>
          <t>Quality management</t>
        </is>
      </c>
      <c r="C414" t="inlineStr">
        <is>
          <t>How mature is the organization in managing control testing for effectiveness, not only existence, including ownership, evidence, metrics, fallback procedures and crisis stress testing?</t>
        </is>
      </c>
      <c r="D414" t="inlineStr">
        <is>
          <t>This topic affects exposure to Execution failure; Delivery disruption; Decision failure. It helps identify how disruption may impact operations, people, revenue, systems, legal exposure or recovery time.</t>
        </is>
      </c>
      <c r="E414" t="inlineStr">
        <is>
          <t>ISO 9001; ISO 21502; ISO 21500; APQC; Lean; Six Sigma; PMBOK; COBIT</t>
        </is>
      </c>
      <c r="F414" t="inlineStr">
        <is>
          <t>Policy/SOP; owner/RACI; system report; dashboard; contracts; test records; incident history; interview evidence related to control testing for effectiveness, not only existence.</t>
        </is>
      </c>
      <c r="G414">
        <f>'Assessment Questions'!J414</f>
        <v/>
      </c>
      <c r="H414">
        <f>IF($Z414="","",IF($Z414="N/A","N/A",VALUE(LEFT($Z414,1))))</f>
        <v/>
      </c>
      <c r="I414">
        <f>IF($H414="","",IF($H414="N/A","",VALUE($H414)/5*$G414))</f>
        <v/>
      </c>
      <c r="J414">
        <f>IF(OR($H414="",$H414="N/A"),"",$G414)</f>
        <v/>
      </c>
      <c r="K414">
        <f>IF(OR($H414="",$H414="N/A"),"",$J414-$I414)</f>
        <v/>
      </c>
      <c r="L414">
        <f>IF($H414="","",IF($H414="N/A","N/A",IF(VALUE($H414)&lt;=1,"Critical",IF(VALUE($H414)&lt;=2,"High",IF(VALUE($H414)&lt;=3,"Medium",IF(VALUE($H414)&lt;=4,"Low","Resilient"))))))</f>
        <v/>
      </c>
      <c r="M414" t="inlineStr">
        <is>
          <t>Never done; no records exist.</t>
        </is>
      </c>
      <c r="N414" t="inlineStr">
        <is>
          <t>Done once long ago or only after an incident; no schedule, no records.</t>
        </is>
      </c>
      <c r="O414" t="inlineStr">
        <is>
          <t>Done irregularly; results are not documented and findings are not tracked.</t>
        </is>
      </c>
      <c r="P414" t="inlineStr">
        <is>
          <t>Done on a defined schedule (at least annually); results documented, owner assigned.</t>
        </is>
      </c>
      <c r="Q414" t="inlineStr">
        <is>
          <t>Done quarterly/semi-annually; findings tracked to closure, effectiveness measured against targets.</t>
        </is>
      </c>
      <c r="R414" t="inlineStr">
        <is>
          <t>Continuous or automated where possible; results drive improvements and are validated externally (audit/customer).</t>
        </is>
      </c>
      <c r="S414" t="inlineStr">
        <is>
          <t>Execution failure; Delivery disruption; Decision failure</t>
        </is>
      </c>
      <c r="T414">
        <f>'Assessment Questions'!W414</f>
        <v/>
      </c>
      <c r="U414">
        <f>'Assessment Questions'!X414</f>
        <v/>
      </c>
      <c r="V414">
        <f>'Assessment Questions'!Y414</f>
        <v/>
      </c>
      <c r="W414" t="n">
        <v>4</v>
      </c>
      <c r="X414" t="n">
        <v>5</v>
      </c>
      <c r="Y414" t="n">
        <v>5</v>
      </c>
      <c r="Z414">
        <f>'Assessment Questions'!AC414</f>
        <v/>
      </c>
      <c r="AB414">
        <f>COUNTIF($B$407:$B$428,$AA414)</f>
        <v/>
      </c>
      <c r="AC414">
        <f>IFERROR(SUMPRODUCT(($B$407:$B$428=$AA414)*($H$407:$H$428&lt;&gt;"")*($H$407:$H$428&lt;&gt;"N/A")*IFERROR(VALUE($H$407:$H$428),0))/SUMPRODUCT(($B$407:$B$428=$AA414)*($H$407:$H$428&lt;&gt;"")*($H$407:$H$428&lt;&gt;"N/A")),0)</f>
        <v/>
      </c>
      <c r="AD414">
        <f>AC414/5</f>
        <v/>
      </c>
      <c r="AE414">
        <f>COUNTIFS($B$407:$B$428,$AA414,$L$407:$L$428,"Critical")+COUNTIFS($B$407:$B$428,$AA414,$L$407:$L$428,"High")</f>
        <v/>
      </c>
      <c r="AF414">
        <f>5-AC414</f>
        <v/>
      </c>
      <c r="AG414">
        <f>SUMPRODUCT(($B$407:$B$428=$AA414)*(ISNUMBER($H$407:$H$428)+($H$407:$H$428="N/A")))</f>
        <v/>
      </c>
      <c r="AH414">
        <f>'Assessment Questions'!AK414</f>
        <v/>
      </c>
      <c r="AI414">
        <f>'Assessment Questions'!AL414</f>
        <v/>
      </c>
      <c r="AJ414">
        <f>IF(OR($H414="",$H414="N/A"),"",IF($AH414="",VLOOKUP('Company Profile'!$B$40,_CONFIG_Model_Settings!$A$5:$B$8,2,FALSE),_xlfn.IFNA(VLOOKUP($AH414,_CONFIG_Model_Settings!$A$5:$B$8,2,FALSE),0.9)))</f>
        <v/>
      </c>
      <c r="AK414">
        <f>IF(OR($H414="",$H414="N/A"),"",IF($AI414="",VLOOKUP('Company Profile'!$B$41,_CONFIG_Model_Settings!$A$5:$B$8,2,FALSE),_xlfn.IFNA(VLOOKUP($AI414,_CONFIG_Model_Settings!$A$5:$B$8,2,FALSE),0.9)))</f>
        <v/>
      </c>
      <c r="AL414">
        <f>IF(OR($H414="",$H414="N/A"),"",ROUND(VALUE($H414)*$AJ414*$AK414*$AV414,2))</f>
        <v/>
      </c>
      <c r="AM414">
        <f>IF($AL414="","",ROUND($AL414/5*100,1))</f>
        <v/>
      </c>
      <c r="AN414">
        <f>IFERROR(MIN(5,MAX(0,(SUMIFS(_REF_Model_Content!$D$1:$D$157,_REF_Model_Content!$A$1:$A$157,'Company Profile'!$B$9,_REF_Model_Content!$B$1:$B$157,"Quality Portfolio"))+_xlfn.IFNA(VLOOKUP('Company Profile'!$B$35,_CONFIG_Model_Settings!$A$11:$B$13,2,0),0))),"")</f>
        <v/>
      </c>
      <c r="AO414">
        <f>IF($AL414="","",MAX(0,ROUND($AN414-$AL414,2)))</f>
        <v/>
      </c>
      <c r="AP414">
        <f>IFERROR(SUMIFS(_REF_Model_Content!$E$1:$E$157,_REF_Model_Content!$A$1:$A$157,'Company Profile'!$B$9,_REF_Model_Content!$B$1:$B$157,"Quality Portfolio"),1)</f>
        <v/>
      </c>
      <c r="AQ414">
        <f>IF($AO414="","",ROUND($AO414*$AP414*($G414/5),2))</f>
        <v/>
      </c>
      <c r="AR414">
        <f>IF($AO414="","",IF($AO414&gt;=2,"Critical industry gap",IF($AO414&gt;=1,"High industry gap",IF($AO414&gt;=0.5,"Moderate industry gap","Within target"))))</f>
        <v/>
      </c>
      <c r="AS414">
        <f>IF(OR($H414="",$H414="N/A"),0,VALUE($H414)*(($AJ414+$AK414)/2)*$AV414)</f>
        <v/>
      </c>
      <c r="AT414">
        <f>IF(OR($H414="",$H414="N/A"),0,($AJ414+$AK414)/2)</f>
        <v/>
      </c>
      <c r="AU414">
        <f>'Assessment Questions'!AX414</f>
        <v/>
      </c>
      <c r="AV414">
        <f>IF(OR($H414="",$H414="N/A"),"",IF(OR($AU414="",$AU414="Everywhere",$AU414="Not applicable"),1,IF($AU414="Pilot / one team",0.4,IF($AU414="One unit or site",0.7,0.9))))</f>
        <v/>
      </c>
      <c r="AW414" t="inlineStr">
        <is>
          <t>Quality Portfolio</t>
        </is>
      </c>
      <c r="AX414" t="inlineStr">
        <is>
          <t>Quality Portfolio</t>
        </is>
      </c>
      <c r="AY414" t="n">
        <v>12</v>
      </c>
      <c r="AZ414" t="n">
        <v>414</v>
      </c>
    </row>
    <row r="415">
      <c r="A415" t="inlineStr">
        <is>
          <t>QUAL-010</t>
        </is>
      </c>
      <c r="B415" t="inlineStr">
        <is>
          <t>Quality management</t>
        </is>
      </c>
      <c r="C415" t="inlineStr">
        <is>
          <t>How mature is the organization in managing customer complaint handling and root cause analysis, including ownership, evidence, metrics, fallback procedures and crisis stress testing?</t>
        </is>
      </c>
      <c r="D415" t="inlineStr">
        <is>
          <t>This topic affects exposure to Execution failure; Delivery disruption; Decision failure. It helps identify how disruption may impact operations, people, revenue, systems, legal exposure or recovery time.</t>
        </is>
      </c>
      <c r="E415" t="inlineStr">
        <is>
          <t>ISO 9001; ISO 21502; ISO 21500; APQC; Lean; Six Sigma; PMBOK; COBIT</t>
        </is>
      </c>
      <c r="F415" t="inlineStr">
        <is>
          <t>Policy/SOP; owner/RACI; system report; dashboard; contracts; test records; incident history; interview evidence related to customer complaint handling and root cause analysis.</t>
        </is>
      </c>
      <c r="G415">
        <f>'Assessment Questions'!J415</f>
        <v/>
      </c>
      <c r="H415">
        <f>IF($Z415="","",IF($Z415="N/A","N/A",VALUE(LEFT($Z415,1))))</f>
        <v/>
      </c>
      <c r="I415">
        <f>IF($H415="","",IF($H415="N/A","",VALUE($H415)/5*$G415))</f>
        <v/>
      </c>
      <c r="J415">
        <f>IF(OR($H415="",$H415="N/A"),"",$G415)</f>
        <v/>
      </c>
      <c r="K415">
        <f>IF(OR($H415="",$H415="N/A"),"",$J415-$I415)</f>
        <v/>
      </c>
      <c r="L415">
        <f>IF($H415="","",IF($H415="N/A","N/A",IF(VALUE($H415)&lt;=1,"Critical",IF(VALUE($H415)&lt;=2,"High",IF(VALUE($H415)&lt;=3,"Medium",IF(VALUE($H415)&lt;=4,"Low","Resilient"))))))</f>
        <v/>
      </c>
      <c r="M415" t="inlineStr">
        <is>
          <t>No reliable evidence that customer complaint handling and root cause analysis is defined, owned or managed.</t>
        </is>
      </c>
      <c r="N415" t="inlineStr">
        <is>
          <t>Customer complaint handling and root cause analysis is handled informally and depends on individual knowledge or heroic effort.</t>
        </is>
      </c>
      <c r="O415" t="inlineStr">
        <is>
          <t>Customer complaint handling and root cause analysis is partially documented or implemented, but coverage is inconsistent and not crisis-tested.</t>
        </is>
      </c>
      <c r="P415" t="inlineStr">
        <is>
          <t>Customer complaint handling and root cause analysis is documented, owned, used in normal operations and supported by basic evidence or metrics.</t>
        </is>
      </c>
      <c r="Q415" t="inlineStr">
        <is>
          <t>Customer complaint handling and root cause analysis is measured, periodically reviewed, integrated with related processes and tested against relevant disruption scenarios.</t>
        </is>
      </c>
      <c r="R415" t="inlineStr">
        <is>
          <t>Customer complaint handling and root cause analysis is optimized, continuously improved, automated where practical and demonstrably supports crisis resilience.</t>
        </is>
      </c>
      <c r="S415" t="inlineStr">
        <is>
          <t>Execution failure; Delivery disruption; Decision failure</t>
        </is>
      </c>
      <c r="T415">
        <f>'Assessment Questions'!W415</f>
        <v/>
      </c>
      <c r="U415">
        <f>'Assessment Questions'!X415</f>
        <v/>
      </c>
      <c r="V415">
        <f>'Assessment Questions'!Y415</f>
        <v/>
      </c>
      <c r="W415" t="n">
        <v>4</v>
      </c>
      <c r="X415" t="n">
        <v>5</v>
      </c>
      <c r="Y415" t="n">
        <v>5</v>
      </c>
      <c r="Z415">
        <f>'Assessment Questions'!AC415</f>
        <v/>
      </c>
      <c r="AB415">
        <f>COUNTIF($B$407:$B$428,$AA415)</f>
        <v/>
      </c>
      <c r="AC415">
        <f>IFERROR(SUMPRODUCT(($B$407:$B$428=$AA415)*($H$407:$H$428&lt;&gt;"")*($H$407:$H$428&lt;&gt;"N/A")*IFERROR(VALUE($H$407:$H$428),0))/SUMPRODUCT(($B$407:$B$428=$AA415)*($H$407:$H$428&lt;&gt;"")*($H$407:$H$428&lt;&gt;"N/A")),0)</f>
        <v/>
      </c>
      <c r="AD415">
        <f>AC415/5</f>
        <v/>
      </c>
      <c r="AE415">
        <f>COUNTIFS($B$407:$B$428,$AA415,$L$407:$L$428,"Critical")+COUNTIFS($B$407:$B$428,$AA415,$L$407:$L$428,"High")</f>
        <v/>
      </c>
      <c r="AF415">
        <f>5-AC415</f>
        <v/>
      </c>
      <c r="AG415">
        <f>SUMPRODUCT(($B$407:$B$428=$AA415)*(ISNUMBER($H$407:$H$428)+($H$407:$H$428="N/A")))</f>
        <v/>
      </c>
      <c r="AH415">
        <f>'Assessment Questions'!AK415</f>
        <v/>
      </c>
      <c r="AI415">
        <f>'Assessment Questions'!AL415</f>
        <v/>
      </c>
      <c r="AJ415">
        <f>IF(OR($H415="",$H415="N/A"),"",IF($AH415="",VLOOKUP('Company Profile'!$B$40,_CONFIG_Model_Settings!$A$5:$B$8,2,FALSE),_xlfn.IFNA(VLOOKUP($AH415,_CONFIG_Model_Settings!$A$5:$B$8,2,FALSE),0.9)))</f>
        <v/>
      </c>
      <c r="AK415">
        <f>IF(OR($H415="",$H415="N/A"),"",IF($AI415="",VLOOKUP('Company Profile'!$B$41,_CONFIG_Model_Settings!$A$5:$B$8,2,FALSE),_xlfn.IFNA(VLOOKUP($AI415,_CONFIG_Model_Settings!$A$5:$B$8,2,FALSE),0.9)))</f>
        <v/>
      </c>
      <c r="AL415">
        <f>IF(OR($H415="",$H415="N/A"),"",ROUND(VALUE($H415)*$AJ415*$AK415*$AV415,2))</f>
        <v/>
      </c>
      <c r="AM415">
        <f>IF($AL415="","",ROUND($AL415/5*100,1))</f>
        <v/>
      </c>
      <c r="AN415">
        <f>IFERROR(MIN(5,MAX(0,(SUMIFS(_REF_Model_Content!$D$1:$D$157,_REF_Model_Content!$A$1:$A$157,'Company Profile'!$B$9,_REF_Model_Content!$B$1:$B$157,"Quality Portfolio"))+_xlfn.IFNA(VLOOKUP('Company Profile'!$B$35,_CONFIG_Model_Settings!$A$11:$B$13,2,0),0))),"")</f>
        <v/>
      </c>
      <c r="AO415">
        <f>IF($AL415="","",MAX(0,ROUND($AN415-$AL415,2)))</f>
        <v/>
      </c>
      <c r="AP415">
        <f>IFERROR(SUMIFS(_REF_Model_Content!$E$1:$E$157,_REF_Model_Content!$A$1:$A$157,'Company Profile'!$B$9,_REF_Model_Content!$B$1:$B$157,"Quality Portfolio"),1)</f>
        <v/>
      </c>
      <c r="AQ415">
        <f>IF($AO415="","",ROUND($AO415*$AP415*($G415/5),2))</f>
        <v/>
      </c>
      <c r="AR415">
        <f>IF($AO415="","",IF($AO415&gt;=2,"Critical industry gap",IF($AO415&gt;=1,"High industry gap",IF($AO415&gt;=0.5,"Moderate industry gap","Within target"))))</f>
        <v/>
      </c>
      <c r="AS415">
        <f>IF(OR($H415="",$H415="N/A"),0,VALUE($H415)*(($AJ415+$AK415)/2)*$AV415)</f>
        <v/>
      </c>
      <c r="AT415">
        <f>IF(OR($H415="",$H415="N/A"),0,($AJ415+$AK415)/2)</f>
        <v/>
      </c>
      <c r="AU415">
        <f>'Assessment Questions'!AX415</f>
        <v/>
      </c>
      <c r="AV415">
        <f>IF(OR($H415="",$H415="N/A"),"",IF(OR($AU415="",$AU415="Everywhere",$AU415="Not applicable"),1,IF($AU415="Pilot / one team",0.4,IF($AU415="One unit or site",0.7,0.9))))</f>
        <v/>
      </c>
      <c r="AW415" t="inlineStr">
        <is>
          <t>Quality Portfolio</t>
        </is>
      </c>
      <c r="AX415" t="inlineStr">
        <is>
          <t>Quality Portfolio</t>
        </is>
      </c>
      <c r="AY415" t="n">
        <v>13</v>
      </c>
      <c r="AZ415" t="n">
        <v>415</v>
      </c>
    </row>
    <row r="416">
      <c r="A416" t="inlineStr">
        <is>
          <t>QUAL-011</t>
        </is>
      </c>
      <c r="B416" t="inlineStr">
        <is>
          <t>Portfolio and change</t>
        </is>
      </c>
      <c r="C416" t="inlineStr">
        <is>
          <t>How mature is the organization in managing portfolio governance with prioritization, capacity, benefits, risks and dependencies, including ownership, evidence, metrics, fallback procedures and crisis stress testing?</t>
        </is>
      </c>
      <c r="D416" t="inlineStr">
        <is>
          <t>This topic affects exposure to Execution failure; Delivery disruption; Decision failure. It helps identify how disruption may impact operations, people, revenue, systems, legal exposure or recovery time.</t>
        </is>
      </c>
      <c r="E416" t="inlineStr">
        <is>
          <t>ISO 9001; ISO 21502; ISO 21500; APQC; Lean; Six Sigma; PMBOK; COBIT</t>
        </is>
      </c>
      <c r="F416" t="inlineStr">
        <is>
          <t>Policy/SOP; owner/RACI; system report; dashboard; contracts; test records; incident history; interview evidence related to portfolio governance with prioritization, capacity, benefits, risks and dependencies.</t>
        </is>
      </c>
      <c r="G416">
        <f>'Assessment Questions'!J416</f>
        <v/>
      </c>
      <c r="H416">
        <f>IF($Z416="","",IF($Z416="N/A","N/A",VALUE(LEFT($Z416,1))))</f>
        <v/>
      </c>
      <c r="I416">
        <f>IF($H416="","",IF($H416="N/A","",VALUE($H416)/5*$G416))</f>
        <v/>
      </c>
      <c r="J416">
        <f>IF(OR($H416="",$H416="N/A"),"",$G416)</f>
        <v/>
      </c>
      <c r="K416">
        <f>IF(OR($H416="",$H416="N/A"),"",$J416-$I416)</f>
        <v/>
      </c>
      <c r="L416">
        <f>IF($H416="","",IF($H416="N/A","N/A",IF(VALUE($H416)&lt;=1,"Critical",IF(VALUE($H416)&lt;=2,"High",IF(VALUE($H416)&lt;=3,"Medium",IF(VALUE($H416)&lt;=4,"Low","Resilient"))))))</f>
        <v/>
      </c>
      <c r="M416" t="inlineStr">
        <is>
          <t>No reliable evidence that portfolio governance with prioritization, capacity, benefits, risks and dependencies is defined, owned or managed.</t>
        </is>
      </c>
      <c r="N416" t="inlineStr">
        <is>
          <t>Portfolio governance with prioritization, capacity, benefits, risks and dependencies is handled informally and depends on individual knowledge or heroic effort.</t>
        </is>
      </c>
      <c r="O416" t="inlineStr">
        <is>
          <t>Portfolio governance with prioritization, capacity, benefits, risks and dependencies is partially documented or implemented, but coverage is inconsistent and not crisis-tested.</t>
        </is>
      </c>
      <c r="P416" t="inlineStr">
        <is>
          <t>Portfolio governance with prioritization, capacity, benefits, risks and dependencies is documented, owned, used in normal operations and supported by basic evidence or metrics.</t>
        </is>
      </c>
      <c r="Q416" t="inlineStr">
        <is>
          <t>Portfolio governance with prioritization, capacity, benefits, risks and dependencies is measured, periodically reviewed, integrated with related processes and tested against relevant disruption scenarios.</t>
        </is>
      </c>
      <c r="R416" t="inlineStr">
        <is>
          <t>Portfolio governance with prioritization, capacity, benefits, risks and dependencies is optimized, continuously improved, automated where practical and demonstrably supports crisis resilience.</t>
        </is>
      </c>
      <c r="S416" t="inlineStr">
        <is>
          <t>Execution failure; Delivery disruption; Decision failure</t>
        </is>
      </c>
      <c r="T416">
        <f>'Assessment Questions'!W416</f>
        <v/>
      </c>
      <c r="U416">
        <f>'Assessment Questions'!X416</f>
        <v/>
      </c>
      <c r="V416">
        <f>'Assessment Questions'!Y416</f>
        <v/>
      </c>
      <c r="W416" t="n">
        <v>4</v>
      </c>
      <c r="X416" t="n">
        <v>5</v>
      </c>
      <c r="Y416" t="n">
        <v>5</v>
      </c>
      <c r="Z416">
        <f>'Assessment Questions'!AC416</f>
        <v/>
      </c>
      <c r="AB416">
        <f>COUNTIF($B$407:$B$428,$AA416)</f>
        <v/>
      </c>
      <c r="AC416">
        <f>IFERROR(SUMPRODUCT(($B$407:$B$428=$AA416)*($H$407:$H$428&lt;&gt;"")*($H$407:$H$428&lt;&gt;"N/A")*IFERROR(VALUE($H$407:$H$428),0))/SUMPRODUCT(($B$407:$B$428=$AA416)*($H$407:$H$428&lt;&gt;"")*($H$407:$H$428&lt;&gt;"N/A")),0)</f>
        <v/>
      </c>
      <c r="AD416">
        <f>AC416/5</f>
        <v/>
      </c>
      <c r="AE416">
        <f>COUNTIFS($B$407:$B$428,$AA416,$L$407:$L$428,"Critical")+COUNTIFS($B$407:$B$428,$AA416,$L$407:$L$428,"High")</f>
        <v/>
      </c>
      <c r="AF416">
        <f>5-AC416</f>
        <v/>
      </c>
      <c r="AG416">
        <f>SUMPRODUCT(($B$407:$B$428=$AA416)*(ISNUMBER($H$407:$H$428)+($H$407:$H$428="N/A")))</f>
        <v/>
      </c>
      <c r="AH416">
        <f>'Assessment Questions'!AK416</f>
        <v/>
      </c>
      <c r="AI416">
        <f>'Assessment Questions'!AL416</f>
        <v/>
      </c>
      <c r="AJ416">
        <f>IF(OR($H416="",$H416="N/A"),"",IF($AH416="",VLOOKUP('Company Profile'!$B$40,_CONFIG_Model_Settings!$A$5:$B$8,2,FALSE),_xlfn.IFNA(VLOOKUP($AH416,_CONFIG_Model_Settings!$A$5:$B$8,2,FALSE),0.9)))</f>
        <v/>
      </c>
      <c r="AK416">
        <f>IF(OR($H416="",$H416="N/A"),"",IF($AI416="",VLOOKUP('Company Profile'!$B$41,_CONFIG_Model_Settings!$A$5:$B$8,2,FALSE),_xlfn.IFNA(VLOOKUP($AI416,_CONFIG_Model_Settings!$A$5:$B$8,2,FALSE),0.9)))</f>
        <v/>
      </c>
      <c r="AL416">
        <f>IF(OR($H416="",$H416="N/A"),"",ROUND(VALUE($H416)*$AJ416*$AK416*$AV416,2))</f>
        <v/>
      </c>
      <c r="AM416">
        <f>IF($AL416="","",ROUND($AL416/5*100,1))</f>
        <v/>
      </c>
      <c r="AN416">
        <f>IFERROR(MIN(5,MAX(0,(SUMIFS(_REF_Model_Content!$D$1:$D$157,_REF_Model_Content!$A$1:$A$157,'Company Profile'!$B$9,_REF_Model_Content!$B$1:$B$157,"Quality Portfolio"))+_xlfn.IFNA(VLOOKUP('Company Profile'!$B$35,_CONFIG_Model_Settings!$A$11:$B$13,2,0),0))),"")</f>
        <v/>
      </c>
      <c r="AO416">
        <f>IF($AL416="","",MAX(0,ROUND($AN416-$AL416,2)))</f>
        <v/>
      </c>
      <c r="AP416">
        <f>IFERROR(SUMIFS(_REF_Model_Content!$E$1:$E$157,_REF_Model_Content!$A$1:$A$157,'Company Profile'!$B$9,_REF_Model_Content!$B$1:$B$157,"Quality Portfolio"),1)</f>
        <v/>
      </c>
      <c r="AQ416">
        <f>IF($AO416="","",ROUND($AO416*$AP416*($G416/5),2))</f>
        <v/>
      </c>
      <c r="AR416">
        <f>IF($AO416="","",IF($AO416&gt;=2,"Critical industry gap",IF($AO416&gt;=1,"High industry gap",IF($AO416&gt;=0.5,"Moderate industry gap","Within target"))))</f>
        <v/>
      </c>
      <c r="AS416">
        <f>IF(OR($H416="",$H416="N/A"),0,VALUE($H416)*(($AJ416+$AK416)/2)*$AV416)</f>
        <v/>
      </c>
      <c r="AT416">
        <f>IF(OR($H416="",$H416="N/A"),0,($AJ416+$AK416)/2)</f>
        <v/>
      </c>
      <c r="AU416">
        <f>'Assessment Questions'!AX416</f>
        <v/>
      </c>
      <c r="AV416">
        <f>IF(OR($H416="",$H416="N/A"),"",IF(OR($AU416="",$AU416="Everywhere",$AU416="Not applicable"),1,IF($AU416="Pilot / one team",0.4,IF($AU416="One unit or site",0.7,0.9))))</f>
        <v/>
      </c>
      <c r="AW416" t="inlineStr">
        <is>
          <t>Quality Portfolio</t>
        </is>
      </c>
      <c r="AX416" t="inlineStr">
        <is>
          <t>Quality Portfolio</t>
        </is>
      </c>
      <c r="AY416" t="n">
        <v>14</v>
      </c>
      <c r="AZ416" t="n">
        <v>416</v>
      </c>
    </row>
    <row r="417">
      <c r="A417" t="inlineStr">
        <is>
          <t>QUAL-012</t>
        </is>
      </c>
      <c r="B417" t="inlineStr">
        <is>
          <t>Portfolio and change</t>
        </is>
      </c>
      <c r="C417" t="inlineStr">
        <is>
          <t>How mature is the organization in managing rapid reprioritization of initiatives during crisis using value, urgency, risk and capacity, including ownership, evidence, metrics, fallback procedures and crisis stress testing?</t>
        </is>
      </c>
      <c r="D417" t="inlineStr">
        <is>
          <t>This topic affects exposure to Execution failure; Delivery disruption; Decision failure. It helps identify how disruption may impact operations, people, revenue, systems, legal exposure or recovery time.</t>
        </is>
      </c>
      <c r="E417" t="inlineStr">
        <is>
          <t>ISO 9001; ISO 21502; ISO 21500; APQC; Lean; Six Sigma; PMBOK; COBIT</t>
        </is>
      </c>
      <c r="F417" t="inlineStr">
        <is>
          <t>Policy/SOP; owner/RACI; system report; dashboard; contracts; test records; incident history; interview evidence related to rapid reprioritization of initiatives during crisis using value, urgency, risk and capacity.</t>
        </is>
      </c>
      <c r="G417">
        <f>'Assessment Questions'!J417</f>
        <v/>
      </c>
      <c r="H417">
        <f>IF($Z417="","",IF($Z417="N/A","N/A",VALUE(LEFT($Z417,1))))</f>
        <v/>
      </c>
      <c r="I417">
        <f>IF($H417="","",IF($H417="N/A","",VALUE($H417)/5*$G417))</f>
        <v/>
      </c>
      <c r="J417">
        <f>IF(OR($H417="",$H417="N/A"),"",$G417)</f>
        <v/>
      </c>
      <c r="K417">
        <f>IF(OR($H417="",$H417="N/A"),"",$J417-$I417)</f>
        <v/>
      </c>
      <c r="L417">
        <f>IF($H417="","",IF($H417="N/A","N/A",IF(VALUE($H417)&lt;=1,"Critical",IF(VALUE($H417)&lt;=2,"High",IF(VALUE($H417)&lt;=3,"Medium",IF(VALUE($H417)&lt;=4,"Low","Resilient"))))))</f>
        <v/>
      </c>
      <c r="M417" t="inlineStr">
        <is>
          <t>Does not exist; no owner, no documentation, no practice.</t>
        </is>
      </c>
      <c r="N417" t="inlineStr">
        <is>
          <t>Ad hoc; depends entirely on specific individuals.</t>
        </is>
      </c>
      <c r="O417" t="inlineStr">
        <is>
          <t>Partially documented or implemented; coverage inconsistent; never tested under stress.</t>
        </is>
      </c>
      <c r="P417" t="inlineStr">
        <is>
          <t>Documented, owned, executed consistently; basic evidence and metrics exist.</t>
        </is>
      </c>
      <c r="Q417" t="inlineStr">
        <is>
          <t>Measured and periodically tested/audited; integrated with adjacent processes.</t>
        </is>
      </c>
      <c r="R417" t="inlineStr">
        <is>
          <t>Optimized and automated where practical; stress-tested; benchmarked externally.</t>
        </is>
      </c>
      <c r="S417" t="inlineStr">
        <is>
          <t>Execution failure; Delivery disruption; Decision failure</t>
        </is>
      </c>
      <c r="T417">
        <f>'Assessment Questions'!W417</f>
        <v/>
      </c>
      <c r="U417">
        <f>'Assessment Questions'!X417</f>
        <v/>
      </c>
      <c r="V417">
        <f>'Assessment Questions'!Y417</f>
        <v/>
      </c>
      <c r="W417" t="n">
        <v>4</v>
      </c>
      <c r="X417" t="n">
        <v>5</v>
      </c>
      <c r="Y417" t="n">
        <v>5</v>
      </c>
      <c r="Z417">
        <f>'Assessment Questions'!AC417</f>
        <v/>
      </c>
      <c r="AB417">
        <f>COUNTIF($B$407:$B$428,$AA417)</f>
        <v/>
      </c>
      <c r="AC417">
        <f>IFERROR(SUMPRODUCT(($B$407:$B$428=$AA417)*($H$407:$H$428&lt;&gt;"")*($H$407:$H$428&lt;&gt;"N/A")*IFERROR(VALUE($H$407:$H$428),0))/SUMPRODUCT(($B$407:$B$428=$AA417)*($H$407:$H$428&lt;&gt;"")*($H$407:$H$428&lt;&gt;"N/A")),0)</f>
        <v/>
      </c>
      <c r="AD417">
        <f>AC417/5</f>
        <v/>
      </c>
      <c r="AE417">
        <f>COUNTIFS($B$407:$B$428,$AA417,$L$407:$L$428,"Critical")+COUNTIFS($B$407:$B$428,$AA417,$L$407:$L$428,"High")</f>
        <v/>
      </c>
      <c r="AF417">
        <f>5-AC417</f>
        <v/>
      </c>
      <c r="AG417">
        <f>SUMPRODUCT(($B$407:$B$428=$AA417)*(ISNUMBER($H$407:$H$428)+($H$407:$H$428="N/A")))</f>
        <v/>
      </c>
      <c r="AH417">
        <f>'Assessment Questions'!AK417</f>
        <v/>
      </c>
      <c r="AI417">
        <f>'Assessment Questions'!AL417</f>
        <v/>
      </c>
      <c r="AJ417">
        <f>IF(OR($H417="",$H417="N/A"),"",IF($AH417="",VLOOKUP('Company Profile'!$B$40,_CONFIG_Model_Settings!$A$5:$B$8,2,FALSE),_xlfn.IFNA(VLOOKUP($AH417,_CONFIG_Model_Settings!$A$5:$B$8,2,FALSE),0.9)))</f>
        <v/>
      </c>
      <c r="AK417">
        <f>IF(OR($H417="",$H417="N/A"),"",IF($AI417="",VLOOKUP('Company Profile'!$B$41,_CONFIG_Model_Settings!$A$5:$B$8,2,FALSE),_xlfn.IFNA(VLOOKUP($AI417,_CONFIG_Model_Settings!$A$5:$B$8,2,FALSE),0.9)))</f>
        <v/>
      </c>
      <c r="AL417">
        <f>IF(OR($H417="",$H417="N/A"),"",ROUND(VALUE($H417)*$AJ417*$AK417*$AV417,2))</f>
        <v/>
      </c>
      <c r="AM417">
        <f>IF($AL417="","",ROUND($AL417/5*100,1))</f>
        <v/>
      </c>
      <c r="AN417">
        <f>IFERROR(MIN(5,MAX(0,(SUMIFS(_REF_Model_Content!$D$1:$D$157,_REF_Model_Content!$A$1:$A$157,'Company Profile'!$B$9,_REF_Model_Content!$B$1:$B$157,"Quality Portfolio"))+_xlfn.IFNA(VLOOKUP('Company Profile'!$B$35,_CONFIG_Model_Settings!$A$11:$B$13,2,0),0))),"")</f>
        <v/>
      </c>
      <c r="AO417">
        <f>IF($AL417="","",MAX(0,ROUND($AN417-$AL417,2)))</f>
        <v/>
      </c>
      <c r="AP417">
        <f>IFERROR(SUMIFS(_REF_Model_Content!$E$1:$E$157,_REF_Model_Content!$A$1:$A$157,'Company Profile'!$B$9,_REF_Model_Content!$B$1:$B$157,"Quality Portfolio"),1)</f>
        <v/>
      </c>
      <c r="AQ417">
        <f>IF($AO417="","",ROUND($AO417*$AP417*($G417/5),2))</f>
        <v/>
      </c>
      <c r="AR417">
        <f>IF($AO417="","",IF($AO417&gt;=2,"Critical industry gap",IF($AO417&gt;=1,"High industry gap",IF($AO417&gt;=0.5,"Moderate industry gap","Within target"))))</f>
        <v/>
      </c>
      <c r="AS417">
        <f>IF(OR($H417="",$H417="N/A"),0,VALUE($H417)*(($AJ417+$AK417)/2)*$AV417)</f>
        <v/>
      </c>
      <c r="AT417">
        <f>IF(OR($H417="",$H417="N/A"),0,($AJ417+$AK417)/2)</f>
        <v/>
      </c>
      <c r="AU417">
        <f>'Assessment Questions'!AX417</f>
        <v/>
      </c>
      <c r="AV417">
        <f>IF(OR($H417="",$H417="N/A"),"",IF(OR($AU417="",$AU417="Everywhere",$AU417="Not applicable"),1,IF($AU417="Pilot / one team",0.4,IF($AU417="One unit or site",0.7,0.9))))</f>
        <v/>
      </c>
      <c r="AW417" t="inlineStr">
        <is>
          <t>Quality Portfolio</t>
        </is>
      </c>
      <c r="AX417" t="inlineStr">
        <is>
          <t>Quality Portfolio</t>
        </is>
      </c>
      <c r="AY417" t="n">
        <v>15</v>
      </c>
      <c r="AZ417" t="n">
        <v>417</v>
      </c>
    </row>
    <row r="418">
      <c r="A418" t="inlineStr">
        <is>
          <t>QUAL-013</t>
        </is>
      </c>
      <c r="B418" t="inlineStr">
        <is>
          <t>Portfolio and change</t>
        </is>
      </c>
      <c r="C418" t="inlineStr">
        <is>
          <t>How mature is the organization in managing benefits realization tracking for resilience, digital and operational initiatives, including ownership, evidence, metrics, fallback procedures and crisis stress testing?</t>
        </is>
      </c>
      <c r="D418" t="inlineStr">
        <is>
          <t>This topic affects exposure to Execution failure; Delivery disruption; Decision failure. It helps identify how disruption may impact operations, people, revenue, systems, legal exposure or recovery time.</t>
        </is>
      </c>
      <c r="E418" t="inlineStr">
        <is>
          <t>ISO 9001; ISO 21502; ISO 21500; APQC; Lean; Six Sigma; PMBOK; COBIT</t>
        </is>
      </c>
      <c r="F418" t="inlineStr">
        <is>
          <t>Policy/SOP; owner/RACI; system report; dashboard; contracts; test records; incident history; interview evidence related to benefits realization tracking for resilience, digital and operational initiatives.</t>
        </is>
      </c>
      <c r="G418">
        <f>'Assessment Questions'!J418</f>
        <v/>
      </c>
      <c r="H418">
        <f>IF($Z418="","",IF($Z418="N/A","N/A",VALUE(LEFT($Z418,1))))</f>
        <v/>
      </c>
      <c r="I418">
        <f>IF($H418="","",IF($H418="N/A","",VALUE($H418)/5*$G418))</f>
        <v/>
      </c>
      <c r="J418">
        <f>IF(OR($H418="",$H418="N/A"),"",$G418)</f>
        <v/>
      </c>
      <c r="K418">
        <f>IF(OR($H418="",$H418="N/A"),"",$J418-$I418)</f>
        <v/>
      </c>
      <c r="L418">
        <f>IF($H418="","",IF($H418="N/A","N/A",IF(VALUE($H418)&lt;=1,"Critical",IF(VALUE($H418)&lt;=2,"High",IF(VALUE($H418)&lt;=3,"Medium",IF(VALUE($H418)&lt;=4,"Low","Resilient"))))))</f>
        <v/>
      </c>
      <c r="M418" t="inlineStr">
        <is>
          <t>No reliable evidence that benefits realization tracking for resilience, digital and operational initiatives is defined, owned or managed.</t>
        </is>
      </c>
      <c r="N418" t="inlineStr">
        <is>
          <t>Benefits realization tracking for resilience, digital and operational initiatives is handled informally and depends on individual knowledge or heroic effort.</t>
        </is>
      </c>
      <c r="O418" t="inlineStr">
        <is>
          <t>Benefits realization tracking for resilience, digital and operational initiatives is partially documented or implemented, but coverage is inconsistent and not crisis-tested.</t>
        </is>
      </c>
      <c r="P418" t="inlineStr">
        <is>
          <t>Benefits realization tracking for resilience, digital and operational initiatives is documented, owned, used in normal operations and supported by basic evidence or metrics.</t>
        </is>
      </c>
      <c r="Q418" t="inlineStr">
        <is>
          <t>Benefits realization tracking for resilience, digital and operational initiatives is measured, periodically reviewed, integrated with related processes and tested against relevant disruption scenarios.</t>
        </is>
      </c>
      <c r="R418" t="inlineStr">
        <is>
          <t>Benefits realization tracking for resilience, digital and operational initiatives is optimized, continuously improved, automated where practical and demonstrably supports crisis resilience.</t>
        </is>
      </c>
      <c r="S418" t="inlineStr">
        <is>
          <t>Execution failure; Delivery disruption; Decision failure</t>
        </is>
      </c>
      <c r="T418">
        <f>'Assessment Questions'!W418</f>
        <v/>
      </c>
      <c r="U418">
        <f>'Assessment Questions'!X418</f>
        <v/>
      </c>
      <c r="V418">
        <f>'Assessment Questions'!Y418</f>
        <v/>
      </c>
      <c r="W418" t="n">
        <v>4</v>
      </c>
      <c r="X418" t="n">
        <v>5</v>
      </c>
      <c r="Y418" t="n">
        <v>5</v>
      </c>
      <c r="Z418">
        <f>'Assessment Questions'!AC418</f>
        <v/>
      </c>
      <c r="AB418">
        <f>COUNTIF($B$407:$B$428,$AA418)</f>
        <v/>
      </c>
      <c r="AC418">
        <f>IFERROR(SUMPRODUCT(($B$407:$B$428=$AA418)*($H$407:$H$428&lt;&gt;"")*($H$407:$H$428&lt;&gt;"N/A")*IFERROR(VALUE($H$407:$H$428),0))/SUMPRODUCT(($B$407:$B$428=$AA418)*($H$407:$H$428&lt;&gt;"")*($H$407:$H$428&lt;&gt;"N/A")),0)</f>
        <v/>
      </c>
      <c r="AD418">
        <f>AC418/5</f>
        <v/>
      </c>
      <c r="AE418">
        <f>COUNTIFS($B$407:$B$428,$AA418,$L$407:$L$428,"Critical")+COUNTIFS($B$407:$B$428,$AA418,$L$407:$L$428,"High")</f>
        <v/>
      </c>
      <c r="AF418">
        <f>5-AC418</f>
        <v/>
      </c>
      <c r="AG418">
        <f>SUMPRODUCT(($B$407:$B$428=$AA418)*(ISNUMBER($H$407:$H$428)+($H$407:$H$428="N/A")))</f>
        <v/>
      </c>
      <c r="AH418">
        <f>'Assessment Questions'!AK418</f>
        <v/>
      </c>
      <c r="AI418">
        <f>'Assessment Questions'!AL418</f>
        <v/>
      </c>
      <c r="AJ418">
        <f>IF(OR($H418="",$H418="N/A"),"",IF($AH418="",VLOOKUP('Company Profile'!$B$40,_CONFIG_Model_Settings!$A$5:$B$8,2,FALSE),_xlfn.IFNA(VLOOKUP($AH418,_CONFIG_Model_Settings!$A$5:$B$8,2,FALSE),0.9)))</f>
        <v/>
      </c>
      <c r="AK418">
        <f>IF(OR($H418="",$H418="N/A"),"",IF($AI418="",VLOOKUP('Company Profile'!$B$41,_CONFIG_Model_Settings!$A$5:$B$8,2,FALSE),_xlfn.IFNA(VLOOKUP($AI418,_CONFIG_Model_Settings!$A$5:$B$8,2,FALSE),0.9)))</f>
        <v/>
      </c>
      <c r="AL418">
        <f>IF(OR($H418="",$H418="N/A"),"",ROUND(VALUE($H418)*$AJ418*$AK418*$AV418,2))</f>
        <v/>
      </c>
      <c r="AM418">
        <f>IF($AL418="","",ROUND($AL418/5*100,1))</f>
        <v/>
      </c>
      <c r="AN418">
        <f>IFERROR(MIN(5,MAX(0,(SUMIFS(_REF_Model_Content!$D$1:$D$157,_REF_Model_Content!$A$1:$A$157,'Company Profile'!$B$9,_REF_Model_Content!$B$1:$B$157,"Quality Portfolio"))+_xlfn.IFNA(VLOOKUP('Company Profile'!$B$35,_CONFIG_Model_Settings!$A$11:$B$13,2,0),0))),"")</f>
        <v/>
      </c>
      <c r="AO418">
        <f>IF($AL418="","",MAX(0,ROUND($AN418-$AL418,2)))</f>
        <v/>
      </c>
      <c r="AP418">
        <f>IFERROR(SUMIFS(_REF_Model_Content!$E$1:$E$157,_REF_Model_Content!$A$1:$A$157,'Company Profile'!$B$9,_REF_Model_Content!$B$1:$B$157,"Quality Portfolio"),1)</f>
        <v/>
      </c>
      <c r="AQ418">
        <f>IF($AO418="","",ROUND($AO418*$AP418*($G418/5),2))</f>
        <v/>
      </c>
      <c r="AR418">
        <f>IF($AO418="","",IF($AO418&gt;=2,"Critical industry gap",IF($AO418&gt;=1,"High industry gap",IF($AO418&gt;=0.5,"Moderate industry gap","Within target"))))</f>
        <v/>
      </c>
      <c r="AS418">
        <f>IF(OR($H418="",$H418="N/A"),0,VALUE($H418)*(($AJ418+$AK418)/2)*$AV418)</f>
        <v/>
      </c>
      <c r="AT418">
        <f>IF(OR($H418="",$H418="N/A"),0,($AJ418+$AK418)/2)</f>
        <v/>
      </c>
      <c r="AU418">
        <f>'Assessment Questions'!AX418</f>
        <v/>
      </c>
      <c r="AV418">
        <f>IF(OR($H418="",$H418="N/A"),"",IF(OR($AU418="",$AU418="Everywhere",$AU418="Not applicable"),1,IF($AU418="Pilot / one team",0.4,IF($AU418="One unit or site",0.7,0.9))))</f>
        <v/>
      </c>
      <c r="AW418" t="inlineStr">
        <is>
          <t>Quality Portfolio</t>
        </is>
      </c>
      <c r="AX418" t="inlineStr">
        <is>
          <t>Quality Portfolio</t>
        </is>
      </c>
      <c r="AY418" t="n">
        <v>16</v>
      </c>
      <c r="AZ418" t="n">
        <v>418</v>
      </c>
    </row>
    <row r="419">
      <c r="A419" t="inlineStr">
        <is>
          <t>QUAL-014</t>
        </is>
      </c>
      <c r="B419" t="inlineStr">
        <is>
          <t>Portfolio and change</t>
        </is>
      </c>
      <c r="C419" t="inlineStr">
        <is>
          <t>How mature is the organization in managing change adoption management with communication, training, sponsor accountability and adoption metrics, including ownership, evidence, metrics, fallback procedures and crisis stress testing?</t>
        </is>
      </c>
      <c r="D419" t="inlineStr">
        <is>
          <t>This topic affects exposure to Execution failure; Delivery disruption; Decision failure. It helps identify how disruption may impact operations, people, revenue, systems, legal exposure or recovery time.</t>
        </is>
      </c>
      <c r="E419" t="inlineStr">
        <is>
          <t>ISO 9001; ISO 21502; ISO 21500; APQC; Lean; Six Sigma; PMBOK; COBIT</t>
        </is>
      </c>
      <c r="F419" t="inlineStr">
        <is>
          <t>Policy/SOP; owner/RACI; system report; dashboard; contracts; test records; incident history; interview evidence related to change adoption management with communication, training, sponsor accountability and adoption metrics.</t>
        </is>
      </c>
      <c r="G419">
        <f>'Assessment Questions'!J419</f>
        <v/>
      </c>
      <c r="H419">
        <f>IF($Z419="","",IF($Z419="N/A","N/A",VALUE(LEFT($Z419,1))))</f>
        <v/>
      </c>
      <c r="I419">
        <f>IF($H419="","",IF($H419="N/A","",VALUE($H419)/5*$G419))</f>
        <v/>
      </c>
      <c r="J419">
        <f>IF(OR($H419="",$H419="N/A"),"",$G419)</f>
        <v/>
      </c>
      <c r="K419">
        <f>IF(OR($H419="",$H419="N/A"),"",$J419-$I419)</f>
        <v/>
      </c>
      <c r="L419">
        <f>IF($H419="","",IF($H419="N/A","N/A",IF(VALUE($H419)&lt;=1,"Critical",IF(VALUE($H419)&lt;=2,"High",IF(VALUE($H419)&lt;=3,"Medium",IF(VALUE($H419)&lt;=4,"Low","Resilient"))))))</f>
        <v/>
      </c>
      <c r="M419" t="inlineStr">
        <is>
          <t>Never done; no records exist.</t>
        </is>
      </c>
      <c r="N419" t="inlineStr">
        <is>
          <t>Done once long ago or only after an incident; no schedule, no records.</t>
        </is>
      </c>
      <c r="O419" t="inlineStr">
        <is>
          <t>Done irregularly; results are not documented and findings are not tracked.</t>
        </is>
      </c>
      <c r="P419" t="inlineStr">
        <is>
          <t>Done on a defined schedule (at least annually); results documented, owner assigned.</t>
        </is>
      </c>
      <c r="Q419" t="inlineStr">
        <is>
          <t>Done quarterly/semi-annually; findings tracked to closure, effectiveness measured against targets.</t>
        </is>
      </c>
      <c r="R419" t="inlineStr">
        <is>
          <t>Continuous or automated where possible; results drive improvements and are validated externally (audit/customer).</t>
        </is>
      </c>
      <c r="S419" t="inlineStr">
        <is>
          <t>Execution failure; Delivery disruption; Decision failure</t>
        </is>
      </c>
      <c r="T419">
        <f>'Assessment Questions'!W419</f>
        <v/>
      </c>
      <c r="U419">
        <f>'Assessment Questions'!X419</f>
        <v/>
      </c>
      <c r="V419">
        <f>'Assessment Questions'!Y419</f>
        <v/>
      </c>
      <c r="W419" t="n">
        <v>4</v>
      </c>
      <c r="X419" t="n">
        <v>5</v>
      </c>
      <c r="Y419" t="n">
        <v>5</v>
      </c>
      <c r="Z419">
        <f>'Assessment Questions'!AC419</f>
        <v/>
      </c>
      <c r="AB419">
        <f>COUNTIF($B$407:$B$428,$AA419)</f>
        <v/>
      </c>
      <c r="AC419">
        <f>IFERROR(SUMPRODUCT(($B$407:$B$428=$AA419)*($H$407:$H$428&lt;&gt;"")*($H$407:$H$428&lt;&gt;"N/A")*IFERROR(VALUE($H$407:$H$428),0))/SUMPRODUCT(($B$407:$B$428=$AA419)*($H$407:$H$428&lt;&gt;"")*($H$407:$H$428&lt;&gt;"N/A")),0)</f>
        <v/>
      </c>
      <c r="AD419">
        <f>AC419/5</f>
        <v/>
      </c>
      <c r="AE419">
        <f>COUNTIFS($B$407:$B$428,$AA419,$L$407:$L$428,"Critical")+COUNTIFS($B$407:$B$428,$AA419,$L$407:$L$428,"High")</f>
        <v/>
      </c>
      <c r="AF419">
        <f>5-AC419</f>
        <v/>
      </c>
      <c r="AG419">
        <f>SUMPRODUCT(($B$407:$B$428=$AA419)*(ISNUMBER($H$407:$H$428)+($H$407:$H$428="N/A")))</f>
        <v/>
      </c>
      <c r="AH419">
        <f>'Assessment Questions'!AK419</f>
        <v/>
      </c>
      <c r="AI419">
        <f>'Assessment Questions'!AL419</f>
        <v/>
      </c>
      <c r="AJ419">
        <f>IF(OR($H419="",$H419="N/A"),"",IF($AH419="",VLOOKUP('Company Profile'!$B$40,_CONFIG_Model_Settings!$A$5:$B$8,2,FALSE),_xlfn.IFNA(VLOOKUP($AH419,_CONFIG_Model_Settings!$A$5:$B$8,2,FALSE),0.9)))</f>
        <v/>
      </c>
      <c r="AK419">
        <f>IF(OR($H419="",$H419="N/A"),"",IF($AI419="",VLOOKUP('Company Profile'!$B$41,_CONFIG_Model_Settings!$A$5:$B$8,2,FALSE),_xlfn.IFNA(VLOOKUP($AI419,_CONFIG_Model_Settings!$A$5:$B$8,2,FALSE),0.9)))</f>
        <v/>
      </c>
      <c r="AL419">
        <f>IF(OR($H419="",$H419="N/A"),"",ROUND(VALUE($H419)*$AJ419*$AK419*$AV419,2))</f>
        <v/>
      </c>
      <c r="AM419">
        <f>IF($AL419="","",ROUND($AL419/5*100,1))</f>
        <v/>
      </c>
      <c r="AN419">
        <f>IFERROR(MIN(5,MAX(0,(SUMIFS(_REF_Model_Content!$D$1:$D$157,_REF_Model_Content!$A$1:$A$157,'Company Profile'!$B$9,_REF_Model_Content!$B$1:$B$157,"Quality Portfolio"))+_xlfn.IFNA(VLOOKUP('Company Profile'!$B$35,_CONFIG_Model_Settings!$A$11:$B$13,2,0),0))),"")</f>
        <v/>
      </c>
      <c r="AO419">
        <f>IF($AL419="","",MAX(0,ROUND($AN419-$AL419,2)))</f>
        <v/>
      </c>
      <c r="AP419">
        <f>IFERROR(SUMIFS(_REF_Model_Content!$E$1:$E$157,_REF_Model_Content!$A$1:$A$157,'Company Profile'!$B$9,_REF_Model_Content!$B$1:$B$157,"Quality Portfolio"),1)</f>
        <v/>
      </c>
      <c r="AQ419">
        <f>IF($AO419="","",ROUND($AO419*$AP419*($G419/5),2))</f>
        <v/>
      </c>
      <c r="AR419">
        <f>IF($AO419="","",IF($AO419&gt;=2,"Critical industry gap",IF($AO419&gt;=1,"High industry gap",IF($AO419&gt;=0.5,"Moderate industry gap","Within target"))))</f>
        <v/>
      </c>
      <c r="AS419">
        <f>IF(OR($H419="",$H419="N/A"),0,VALUE($H419)*(($AJ419+$AK419)/2)*$AV419)</f>
        <v/>
      </c>
      <c r="AT419">
        <f>IF(OR($H419="",$H419="N/A"),0,($AJ419+$AK419)/2)</f>
        <v/>
      </c>
      <c r="AU419">
        <f>'Assessment Questions'!AX419</f>
        <v/>
      </c>
      <c r="AV419">
        <f>IF(OR($H419="",$H419="N/A"),"",IF(OR($AU419="",$AU419="Everywhere",$AU419="Not applicable"),1,IF($AU419="Pilot / one team",0.4,IF($AU419="One unit or site",0.7,0.9))))</f>
        <v/>
      </c>
      <c r="AW419" t="inlineStr">
        <is>
          <t>Quality Portfolio</t>
        </is>
      </c>
      <c r="AX419" t="inlineStr">
        <is>
          <t>Quality Portfolio</t>
        </is>
      </c>
      <c r="AY419" t="n">
        <v>17</v>
      </c>
      <c r="AZ419" t="n">
        <v>419</v>
      </c>
    </row>
    <row r="420">
      <c r="A420" t="inlineStr">
        <is>
          <t>QUAL-015</t>
        </is>
      </c>
      <c r="B420" t="inlineStr">
        <is>
          <t>Portfolio and change</t>
        </is>
      </c>
      <c r="C420" t="inlineStr">
        <is>
          <t>How mature is the organization in managing improvement backlog linked to incidents, audits, customer feedback, risk and strategy, including ownership, evidence, metrics, fallback procedures and crisis stress testing?</t>
        </is>
      </c>
      <c r="D420" t="inlineStr">
        <is>
          <t>This topic affects exposure to Execution failure; Delivery disruption; Decision failure. It helps identify how disruption may impact operations, people, revenue, systems, legal exposure or recovery time.</t>
        </is>
      </c>
      <c r="E420" t="inlineStr">
        <is>
          <t>ISO 9001; ISO 21502; ISO 21500; APQC; Lean; Six Sigma; PMBOK; COBIT</t>
        </is>
      </c>
      <c r="F420" t="inlineStr">
        <is>
          <t>Policy/SOP; owner/RACI; system report; dashboard; contracts; test records; incident history; interview evidence related to improvement backlog linked to incidents, audits, customer feedback, risk and strategy.</t>
        </is>
      </c>
      <c r="G420">
        <f>'Assessment Questions'!J420</f>
        <v/>
      </c>
      <c r="H420">
        <f>IF($Z420="","",IF($Z420="N/A","N/A",VALUE(LEFT($Z420,1))))</f>
        <v/>
      </c>
      <c r="I420">
        <f>IF($H420="","",IF($H420="N/A","",VALUE($H420)/5*$G420))</f>
        <v/>
      </c>
      <c r="J420">
        <f>IF(OR($H420="",$H420="N/A"),"",$G420)</f>
        <v/>
      </c>
      <c r="K420">
        <f>IF(OR($H420="",$H420="N/A"),"",$J420-$I420)</f>
        <v/>
      </c>
      <c r="L420">
        <f>IF($H420="","",IF($H420="N/A","N/A",IF(VALUE($H420)&lt;=1,"Critical",IF(VALUE($H420)&lt;=2,"High",IF(VALUE($H420)&lt;=3,"Medium",IF(VALUE($H420)&lt;=4,"Low","Resilient"))))))</f>
        <v/>
      </c>
      <c r="M420" t="inlineStr">
        <is>
          <t>Does not exist; no owner, no documentation, no practice.</t>
        </is>
      </c>
      <c r="N420" t="inlineStr">
        <is>
          <t>Ad hoc; depends entirely on specific individuals.</t>
        </is>
      </c>
      <c r="O420" t="inlineStr">
        <is>
          <t>Partially documented or implemented; coverage inconsistent; never tested under stress.</t>
        </is>
      </c>
      <c r="P420" t="inlineStr">
        <is>
          <t>Documented, owned, executed consistently; basic evidence and metrics exist.</t>
        </is>
      </c>
      <c r="Q420" t="inlineStr">
        <is>
          <t>Measured and periodically tested/audited; integrated with adjacent processes.</t>
        </is>
      </c>
      <c r="R420" t="inlineStr">
        <is>
          <t>Optimized and automated where practical; stress-tested; benchmarked externally.</t>
        </is>
      </c>
      <c r="S420" t="inlineStr">
        <is>
          <t>Execution failure; Delivery disruption; Decision failure</t>
        </is>
      </c>
      <c r="T420">
        <f>'Assessment Questions'!W420</f>
        <v/>
      </c>
      <c r="U420">
        <f>'Assessment Questions'!X420</f>
        <v/>
      </c>
      <c r="V420">
        <f>'Assessment Questions'!Y420</f>
        <v/>
      </c>
      <c r="W420" t="n">
        <v>4</v>
      </c>
      <c r="X420" t="n">
        <v>5</v>
      </c>
      <c r="Y420" t="n">
        <v>5</v>
      </c>
      <c r="Z420">
        <f>'Assessment Questions'!AC420</f>
        <v/>
      </c>
      <c r="AB420">
        <f>COUNTIF($B$407:$B$428,$AA420)</f>
        <v/>
      </c>
      <c r="AC420">
        <f>IFERROR(SUMPRODUCT(($B$407:$B$428=$AA420)*($H$407:$H$428&lt;&gt;"")*($H$407:$H$428&lt;&gt;"N/A")*IFERROR(VALUE($H$407:$H$428),0))/SUMPRODUCT(($B$407:$B$428=$AA420)*($H$407:$H$428&lt;&gt;"")*($H$407:$H$428&lt;&gt;"N/A")),0)</f>
        <v/>
      </c>
      <c r="AD420">
        <f>AC420/5</f>
        <v/>
      </c>
      <c r="AE420">
        <f>COUNTIFS($B$407:$B$428,$AA420,$L$407:$L$428,"Critical")+COUNTIFS($B$407:$B$428,$AA420,$L$407:$L$428,"High")</f>
        <v/>
      </c>
      <c r="AF420">
        <f>5-AC420</f>
        <v/>
      </c>
      <c r="AG420">
        <f>SUMPRODUCT(($B$407:$B$428=$AA420)*(ISNUMBER($H$407:$H$428)+($H$407:$H$428="N/A")))</f>
        <v/>
      </c>
      <c r="AH420">
        <f>'Assessment Questions'!AK420</f>
        <v/>
      </c>
      <c r="AI420">
        <f>'Assessment Questions'!AL420</f>
        <v/>
      </c>
      <c r="AJ420">
        <f>IF(OR($H420="",$H420="N/A"),"",IF($AH420="",VLOOKUP('Company Profile'!$B$40,_CONFIG_Model_Settings!$A$5:$B$8,2,FALSE),_xlfn.IFNA(VLOOKUP($AH420,_CONFIG_Model_Settings!$A$5:$B$8,2,FALSE),0.9)))</f>
        <v/>
      </c>
      <c r="AK420">
        <f>IF(OR($H420="",$H420="N/A"),"",IF($AI420="",VLOOKUP('Company Profile'!$B$41,_CONFIG_Model_Settings!$A$5:$B$8,2,FALSE),_xlfn.IFNA(VLOOKUP($AI420,_CONFIG_Model_Settings!$A$5:$B$8,2,FALSE),0.9)))</f>
        <v/>
      </c>
      <c r="AL420">
        <f>IF(OR($H420="",$H420="N/A"),"",ROUND(VALUE($H420)*$AJ420*$AK420*$AV420,2))</f>
        <v/>
      </c>
      <c r="AM420">
        <f>IF($AL420="","",ROUND($AL420/5*100,1))</f>
        <v/>
      </c>
      <c r="AN420">
        <f>IFERROR(MIN(5,MAX(0,(SUMIFS(_REF_Model_Content!$D$1:$D$157,_REF_Model_Content!$A$1:$A$157,'Company Profile'!$B$9,_REF_Model_Content!$B$1:$B$157,"Quality Portfolio"))+_xlfn.IFNA(VLOOKUP('Company Profile'!$B$35,_CONFIG_Model_Settings!$A$11:$B$13,2,0),0))),"")</f>
        <v/>
      </c>
      <c r="AO420">
        <f>IF($AL420="","",MAX(0,ROUND($AN420-$AL420,2)))</f>
        <v/>
      </c>
      <c r="AP420">
        <f>IFERROR(SUMIFS(_REF_Model_Content!$E$1:$E$157,_REF_Model_Content!$A$1:$A$157,'Company Profile'!$B$9,_REF_Model_Content!$B$1:$B$157,"Quality Portfolio"),1)</f>
        <v/>
      </c>
      <c r="AQ420">
        <f>IF($AO420="","",ROUND($AO420*$AP420*($G420/5),2))</f>
        <v/>
      </c>
      <c r="AR420">
        <f>IF($AO420="","",IF($AO420&gt;=2,"Critical industry gap",IF($AO420&gt;=1,"High industry gap",IF($AO420&gt;=0.5,"Moderate industry gap","Within target"))))</f>
        <v/>
      </c>
      <c r="AS420">
        <f>IF(OR($H420="",$H420="N/A"),0,VALUE($H420)*(($AJ420+$AK420)/2)*$AV420)</f>
        <v/>
      </c>
      <c r="AT420">
        <f>IF(OR($H420="",$H420="N/A"),0,($AJ420+$AK420)/2)</f>
        <v/>
      </c>
      <c r="AU420">
        <f>'Assessment Questions'!AX420</f>
        <v/>
      </c>
      <c r="AV420">
        <f>IF(OR($H420="",$H420="N/A"),"",IF(OR($AU420="",$AU420="Everywhere",$AU420="Not applicable"),1,IF($AU420="Pilot / one team",0.4,IF($AU420="One unit or site",0.7,0.9))))</f>
        <v/>
      </c>
      <c r="AW420" t="inlineStr">
        <is>
          <t>Quality Portfolio</t>
        </is>
      </c>
      <c r="AX420" t="inlineStr">
        <is>
          <t>Quality Portfolio</t>
        </is>
      </c>
      <c r="AY420" t="n">
        <v>18</v>
      </c>
      <c r="AZ420" t="n">
        <v>420</v>
      </c>
    </row>
    <row r="421">
      <c r="A421" t="inlineStr">
        <is>
          <t>QUAL-016</t>
        </is>
      </c>
      <c r="B421" t="inlineStr">
        <is>
          <t>Management system</t>
        </is>
      </c>
      <c r="C421" t="inlineStr">
        <is>
          <t>How mature is the organization in managing KPI hierarchy from strategy to functions, processes, teams and crisis readiness, including ownership, evidence, metrics, fallback procedures and crisis stress testing?</t>
        </is>
      </c>
      <c r="D421" t="inlineStr">
        <is>
          <t>This topic affects exposure to Execution failure; Delivery disruption; Decision failure. It helps identify how disruption may impact operations, people, revenue, systems, legal exposure or recovery time.</t>
        </is>
      </c>
      <c r="E421" t="inlineStr">
        <is>
          <t>ISO 9001; ISO 21502; ISO 21500; APQC; Lean; Six Sigma; PMBOK; COBIT</t>
        </is>
      </c>
      <c r="F421" t="inlineStr">
        <is>
          <t>Policy/SOP; owner/RACI; system report; dashboard; contracts; test records; incident history; interview evidence related to KPI hierarchy from strategy to functions, processes, teams and crisis readiness.</t>
        </is>
      </c>
      <c r="G421">
        <f>'Assessment Questions'!J421</f>
        <v/>
      </c>
      <c r="H421">
        <f>IF($Z421="","",IF($Z421="N/A","N/A",VALUE(LEFT($Z421,1))))</f>
        <v/>
      </c>
      <c r="I421">
        <f>IF($H421="","",IF($H421="N/A","",VALUE($H421)/5*$G421))</f>
        <v/>
      </c>
      <c r="J421">
        <f>IF(OR($H421="",$H421="N/A"),"",$G421)</f>
        <v/>
      </c>
      <c r="K421">
        <f>IF(OR($H421="",$H421="N/A"),"",$J421-$I421)</f>
        <v/>
      </c>
      <c r="L421">
        <f>IF($H421="","",IF($H421="N/A","N/A",IF(VALUE($H421)&lt;=1,"Critical",IF(VALUE($H421)&lt;=2,"High",IF(VALUE($H421)&lt;=3,"Medium",IF(VALUE($H421)&lt;=4,"Low","Resilient"))))))</f>
        <v/>
      </c>
      <c r="M421" t="inlineStr">
        <is>
          <t>Nothing is monitored or measured.</t>
        </is>
      </c>
      <c r="N421" t="inlineStr">
        <is>
          <t>Occasional manual checks by individuals.</t>
        </is>
      </c>
      <c r="O421" t="inlineStr">
        <is>
          <t>Some metrics exist but are not reviewed regularly and trigger no action.</t>
        </is>
      </c>
      <c r="P421" t="inlineStr">
        <is>
          <t>Defined metrics with an owner, reviewed on a set cadence.</t>
        </is>
      </c>
      <c r="Q421" t="inlineStr">
        <is>
          <t>Thresholds and alerts in place; deviations trigger documented action; trends analyzed.</t>
        </is>
      </c>
      <c r="R421" t="inlineStr">
        <is>
          <t>Automated monitoring with leading indicators, integrated into management decisions.</t>
        </is>
      </c>
      <c r="S421" t="inlineStr">
        <is>
          <t>Execution failure; Delivery disruption; Decision failure</t>
        </is>
      </c>
      <c r="T421">
        <f>'Assessment Questions'!W421</f>
        <v/>
      </c>
      <c r="U421">
        <f>'Assessment Questions'!X421</f>
        <v/>
      </c>
      <c r="V421">
        <f>'Assessment Questions'!Y421</f>
        <v/>
      </c>
      <c r="W421" t="n">
        <v>4</v>
      </c>
      <c r="X421" t="n">
        <v>5</v>
      </c>
      <c r="Y421" t="n">
        <v>5</v>
      </c>
      <c r="Z421">
        <f>'Assessment Questions'!AC421</f>
        <v/>
      </c>
      <c r="AB421">
        <f>COUNTIF($B$407:$B$428,$AA421)</f>
        <v/>
      </c>
      <c r="AC421">
        <f>IFERROR(SUMPRODUCT(($B$407:$B$428=$AA421)*($H$407:$H$428&lt;&gt;"")*($H$407:$H$428&lt;&gt;"N/A")*IFERROR(VALUE($H$407:$H$428),0))/SUMPRODUCT(($B$407:$B$428=$AA421)*($H$407:$H$428&lt;&gt;"")*($H$407:$H$428&lt;&gt;"N/A")),0)</f>
        <v/>
      </c>
      <c r="AD421">
        <f>AC421/5</f>
        <v/>
      </c>
      <c r="AE421">
        <f>COUNTIFS($B$407:$B$428,$AA421,$L$407:$L$428,"Critical")+COUNTIFS($B$407:$B$428,$AA421,$L$407:$L$428,"High")</f>
        <v/>
      </c>
      <c r="AF421">
        <f>5-AC421</f>
        <v/>
      </c>
      <c r="AG421">
        <f>SUMPRODUCT(($B$407:$B$428=$AA421)*(ISNUMBER($H$407:$H$428)+($H$407:$H$428="N/A")))</f>
        <v/>
      </c>
      <c r="AH421">
        <f>'Assessment Questions'!AK421</f>
        <v/>
      </c>
      <c r="AI421">
        <f>'Assessment Questions'!AL421</f>
        <v/>
      </c>
      <c r="AJ421">
        <f>IF(OR($H421="",$H421="N/A"),"",IF($AH421="",VLOOKUP('Company Profile'!$B$40,_CONFIG_Model_Settings!$A$5:$B$8,2,FALSE),_xlfn.IFNA(VLOOKUP($AH421,_CONFIG_Model_Settings!$A$5:$B$8,2,FALSE),0.9)))</f>
        <v/>
      </c>
      <c r="AK421">
        <f>IF(OR($H421="",$H421="N/A"),"",IF($AI421="",VLOOKUP('Company Profile'!$B$41,_CONFIG_Model_Settings!$A$5:$B$8,2,FALSE),_xlfn.IFNA(VLOOKUP($AI421,_CONFIG_Model_Settings!$A$5:$B$8,2,FALSE),0.9)))</f>
        <v/>
      </c>
      <c r="AL421">
        <f>IF(OR($H421="",$H421="N/A"),"",ROUND(VALUE($H421)*$AJ421*$AK421*$AV421,2))</f>
        <v/>
      </c>
      <c r="AM421">
        <f>IF($AL421="","",ROUND($AL421/5*100,1))</f>
        <v/>
      </c>
      <c r="AN421">
        <f>IFERROR(MIN(5,MAX(0,(SUMIFS(_REF_Model_Content!$D$1:$D$157,_REF_Model_Content!$A$1:$A$157,'Company Profile'!$B$9,_REF_Model_Content!$B$1:$B$157,"Quality Portfolio"))+_xlfn.IFNA(VLOOKUP('Company Profile'!$B$35,_CONFIG_Model_Settings!$A$11:$B$13,2,0),0))),"")</f>
        <v/>
      </c>
      <c r="AO421">
        <f>IF($AL421="","",MAX(0,ROUND($AN421-$AL421,2)))</f>
        <v/>
      </c>
      <c r="AP421">
        <f>IFERROR(SUMIFS(_REF_Model_Content!$E$1:$E$157,_REF_Model_Content!$A$1:$A$157,'Company Profile'!$B$9,_REF_Model_Content!$B$1:$B$157,"Quality Portfolio"),1)</f>
        <v/>
      </c>
      <c r="AQ421">
        <f>IF($AO421="","",ROUND($AO421*$AP421*($G421/5),2))</f>
        <v/>
      </c>
      <c r="AR421">
        <f>IF($AO421="","",IF($AO421&gt;=2,"Critical industry gap",IF($AO421&gt;=1,"High industry gap",IF($AO421&gt;=0.5,"Moderate industry gap","Within target"))))</f>
        <v/>
      </c>
      <c r="AS421">
        <f>IF(OR($H421="",$H421="N/A"),0,VALUE($H421)*(($AJ421+$AK421)/2)*$AV421)</f>
        <v/>
      </c>
      <c r="AT421">
        <f>IF(OR($H421="",$H421="N/A"),0,($AJ421+$AK421)/2)</f>
        <v/>
      </c>
      <c r="AU421">
        <f>'Assessment Questions'!AX421</f>
        <v/>
      </c>
      <c r="AV421">
        <f>IF(OR($H421="",$H421="N/A"),"",IF(OR($AU421="",$AU421="Everywhere",$AU421="Not applicable"),1,IF($AU421="Pilot / one team",0.4,IF($AU421="One unit or site",0.7,0.9))))</f>
        <v/>
      </c>
      <c r="AW421" t="inlineStr">
        <is>
          <t>Quality Portfolio</t>
        </is>
      </c>
      <c r="AX421" t="inlineStr">
        <is>
          <t>Quality Portfolio</t>
        </is>
      </c>
      <c r="AY421" t="n">
        <v>19</v>
      </c>
      <c r="AZ421" t="n">
        <v>421</v>
      </c>
    </row>
    <row r="422">
      <c r="A422" t="inlineStr">
        <is>
          <t>QUAL-017</t>
        </is>
      </c>
      <c r="B422" t="inlineStr">
        <is>
          <t>Management system</t>
        </is>
      </c>
      <c r="C422" t="inlineStr">
        <is>
          <t>How mature is the organization in managing management review of performance, risks, audit findings, incidents, customers and improvements, including ownership, evidence, metrics, fallback procedures and crisis stress testing?</t>
        </is>
      </c>
      <c r="D422" t="inlineStr">
        <is>
          <t>This topic affects exposure to Execution failure; Delivery disruption; Decision failure. It helps identify how disruption may impact operations, people, revenue, systems, legal exposure or recovery time.</t>
        </is>
      </c>
      <c r="E422" t="inlineStr">
        <is>
          <t>ISO 9001; ISO 21502; ISO 21500; APQC; Lean; Six Sigma; PMBOK; COBIT</t>
        </is>
      </c>
      <c r="F422" t="inlineStr">
        <is>
          <t>Policy/SOP; owner/RACI; system report; dashboard; contracts; test records; incident history; interview evidence related to management review of performance, risks, audit findings, incidents, customers and improvements.</t>
        </is>
      </c>
      <c r="G422">
        <f>'Assessment Questions'!J422</f>
        <v/>
      </c>
      <c r="H422">
        <f>IF($Z422="","",IF($Z422="N/A","N/A",VALUE(LEFT($Z422,1))))</f>
        <v/>
      </c>
      <c r="I422">
        <f>IF($H422="","",IF($H422="N/A","",VALUE($H422)/5*$G422))</f>
        <v/>
      </c>
      <c r="J422">
        <f>IF(OR($H422="",$H422="N/A"),"",$G422)</f>
        <v/>
      </c>
      <c r="K422">
        <f>IF(OR($H422="",$H422="N/A"),"",$J422-$I422)</f>
        <v/>
      </c>
      <c r="L422">
        <f>IF($H422="","",IF($H422="N/A","N/A",IF(VALUE($H422)&lt;=1,"Critical",IF(VALUE($H422)&lt;=2,"High",IF(VALUE($H422)&lt;=3,"Medium",IF(VALUE($H422)&lt;=4,"Low","Resilient"))))))</f>
        <v/>
      </c>
      <c r="M422" t="inlineStr">
        <is>
          <t>Does not exist; no owner, no documentation, no practice.</t>
        </is>
      </c>
      <c r="N422" t="inlineStr">
        <is>
          <t>Ad hoc; depends entirely on specific individuals.</t>
        </is>
      </c>
      <c r="O422" t="inlineStr">
        <is>
          <t>Partially documented or implemented; coverage inconsistent; never tested under stress.</t>
        </is>
      </c>
      <c r="P422" t="inlineStr">
        <is>
          <t>Documented, owned, executed consistently; basic evidence and metrics exist.</t>
        </is>
      </c>
      <c r="Q422" t="inlineStr">
        <is>
          <t>Measured and periodically tested/audited; integrated with adjacent processes.</t>
        </is>
      </c>
      <c r="R422" t="inlineStr">
        <is>
          <t>Optimized and automated where practical; stress-tested; benchmarked externally.</t>
        </is>
      </c>
      <c r="S422" t="inlineStr">
        <is>
          <t>Execution failure; Delivery disruption; Decision failure</t>
        </is>
      </c>
      <c r="T422">
        <f>'Assessment Questions'!W422</f>
        <v/>
      </c>
      <c r="U422">
        <f>'Assessment Questions'!X422</f>
        <v/>
      </c>
      <c r="V422">
        <f>'Assessment Questions'!Y422</f>
        <v/>
      </c>
      <c r="W422" t="n">
        <v>4</v>
      </c>
      <c r="X422" t="n">
        <v>5</v>
      </c>
      <c r="Y422" t="n">
        <v>5</v>
      </c>
      <c r="Z422">
        <f>'Assessment Questions'!AC422</f>
        <v/>
      </c>
      <c r="AB422">
        <f>COUNTIF($B$407:$B$428,$AA422)</f>
        <v/>
      </c>
      <c r="AC422">
        <f>IFERROR(SUMPRODUCT(($B$407:$B$428=$AA422)*($H$407:$H$428&lt;&gt;"")*($H$407:$H$428&lt;&gt;"N/A")*IFERROR(VALUE($H$407:$H$428),0))/SUMPRODUCT(($B$407:$B$428=$AA422)*($H$407:$H$428&lt;&gt;"")*($H$407:$H$428&lt;&gt;"N/A")),0)</f>
        <v/>
      </c>
      <c r="AD422">
        <f>AC422/5</f>
        <v/>
      </c>
      <c r="AE422">
        <f>COUNTIFS($B$407:$B$428,$AA422,$L$407:$L$428,"Critical")+COUNTIFS($B$407:$B$428,$AA422,$L$407:$L$428,"High")</f>
        <v/>
      </c>
      <c r="AF422">
        <f>5-AC422</f>
        <v/>
      </c>
      <c r="AG422">
        <f>SUMPRODUCT(($B$407:$B$428=$AA422)*(ISNUMBER($H$407:$H$428)+($H$407:$H$428="N/A")))</f>
        <v/>
      </c>
      <c r="AH422">
        <f>'Assessment Questions'!AK422</f>
        <v/>
      </c>
      <c r="AI422">
        <f>'Assessment Questions'!AL422</f>
        <v/>
      </c>
      <c r="AJ422">
        <f>IF(OR($H422="",$H422="N/A"),"",IF($AH422="",VLOOKUP('Company Profile'!$B$40,_CONFIG_Model_Settings!$A$5:$B$8,2,FALSE),_xlfn.IFNA(VLOOKUP($AH422,_CONFIG_Model_Settings!$A$5:$B$8,2,FALSE),0.9)))</f>
        <v/>
      </c>
      <c r="AK422">
        <f>IF(OR($H422="",$H422="N/A"),"",IF($AI422="",VLOOKUP('Company Profile'!$B$41,_CONFIG_Model_Settings!$A$5:$B$8,2,FALSE),_xlfn.IFNA(VLOOKUP($AI422,_CONFIG_Model_Settings!$A$5:$B$8,2,FALSE),0.9)))</f>
        <v/>
      </c>
      <c r="AL422">
        <f>IF(OR($H422="",$H422="N/A"),"",ROUND(VALUE($H422)*$AJ422*$AK422*$AV422,2))</f>
        <v/>
      </c>
      <c r="AM422">
        <f>IF($AL422="","",ROUND($AL422/5*100,1))</f>
        <v/>
      </c>
      <c r="AN422">
        <f>IFERROR(MIN(5,MAX(0,(SUMIFS(_REF_Model_Content!$D$1:$D$157,_REF_Model_Content!$A$1:$A$157,'Company Profile'!$B$9,_REF_Model_Content!$B$1:$B$157,"Quality Portfolio"))+_xlfn.IFNA(VLOOKUP('Company Profile'!$B$35,_CONFIG_Model_Settings!$A$11:$B$13,2,0),0))),"")</f>
        <v/>
      </c>
      <c r="AO422">
        <f>IF($AL422="","",MAX(0,ROUND($AN422-$AL422,2)))</f>
        <v/>
      </c>
      <c r="AP422">
        <f>IFERROR(SUMIFS(_REF_Model_Content!$E$1:$E$157,_REF_Model_Content!$A$1:$A$157,'Company Profile'!$B$9,_REF_Model_Content!$B$1:$B$157,"Quality Portfolio"),1)</f>
        <v/>
      </c>
      <c r="AQ422">
        <f>IF($AO422="","",ROUND($AO422*$AP422*($G422/5),2))</f>
        <v/>
      </c>
      <c r="AR422">
        <f>IF($AO422="","",IF($AO422&gt;=2,"Critical industry gap",IF($AO422&gt;=1,"High industry gap",IF($AO422&gt;=0.5,"Moderate industry gap","Within target"))))</f>
        <v/>
      </c>
      <c r="AS422">
        <f>IF(OR($H422="",$H422="N/A"),0,VALUE($H422)*(($AJ422+$AK422)/2)*$AV422)</f>
        <v/>
      </c>
      <c r="AT422">
        <f>IF(OR($H422="",$H422="N/A"),0,($AJ422+$AK422)/2)</f>
        <v/>
      </c>
      <c r="AU422">
        <f>'Assessment Questions'!AX422</f>
        <v/>
      </c>
      <c r="AV422">
        <f>IF(OR($H422="",$H422="N/A"),"",IF(OR($AU422="",$AU422="Everywhere",$AU422="Not applicable"),1,IF($AU422="Pilot / one team",0.4,IF($AU422="One unit or site",0.7,0.9))))</f>
        <v/>
      </c>
      <c r="AW422" t="inlineStr">
        <is>
          <t>Quality Portfolio</t>
        </is>
      </c>
      <c r="AX422" t="inlineStr">
        <is>
          <t>Quality Portfolio</t>
        </is>
      </c>
      <c r="AY422" t="n">
        <v>20</v>
      </c>
      <c r="AZ422" t="n">
        <v>422</v>
      </c>
    </row>
    <row r="423">
      <c r="A423" t="inlineStr">
        <is>
          <t>QUAL-018</t>
        </is>
      </c>
      <c r="B423" t="inlineStr">
        <is>
          <t>Management system</t>
        </is>
      </c>
      <c r="C423" t="inlineStr">
        <is>
          <t>How mature is the organization in managing decision log for major decisions with alternatives, risks, assumptions, owners and follow-up, including ownership, evidence, metrics, fallback procedures and crisis stress testing?</t>
        </is>
      </c>
      <c r="D423" t="inlineStr">
        <is>
          <t>This topic affects exposure to Execution failure; Delivery disruption; Decision failure. It helps identify how disruption may impact operations, people, revenue, systems, legal exposure or recovery time.</t>
        </is>
      </c>
      <c r="E423" t="inlineStr">
        <is>
          <t>ISO 9001; ISO 21502; ISO 21500; APQC; Lean; Six Sigma; PMBOK; COBIT</t>
        </is>
      </c>
      <c r="F423" t="inlineStr">
        <is>
          <t>Policy/SOP; owner/RACI; system report; dashboard; contracts; test records; incident history; interview evidence related to decision log for major decisions with alternatives, risks, assumptions, owners and follow-up.</t>
        </is>
      </c>
      <c r="G423">
        <f>'Assessment Questions'!J423</f>
        <v/>
      </c>
      <c r="H423">
        <f>IF($Z423="","",IF($Z423="N/A","N/A",VALUE(LEFT($Z423,1))))</f>
        <v/>
      </c>
      <c r="I423">
        <f>IF($H423="","",IF($H423="N/A","",VALUE($H423)/5*$G423))</f>
        <v/>
      </c>
      <c r="J423">
        <f>IF(OR($H423="",$H423="N/A"),"",$G423)</f>
        <v/>
      </c>
      <c r="K423">
        <f>IF(OR($H423="",$H423="N/A"),"",$J423-$I423)</f>
        <v/>
      </c>
      <c r="L423">
        <f>IF($H423="","",IF($H423="N/A","N/A",IF(VALUE($H423)&lt;=1,"Critical",IF(VALUE($H423)&lt;=2,"High",IF(VALUE($H423)&lt;=3,"Medium",IF(VALUE($H423)&lt;=4,"Low","Resilient"))))))</f>
        <v/>
      </c>
      <c r="M423" t="inlineStr">
        <is>
          <t>No reliable evidence that decision log for major decisions with alternatives, risks, assumptions, owners and follow-up is defined, owned or managed.</t>
        </is>
      </c>
      <c r="N423" t="inlineStr">
        <is>
          <t>Decision log for major decisions with alternatives, risks, assumptions, owners and follow-up is handled informally and depends on individual knowledge or heroic effort.</t>
        </is>
      </c>
      <c r="O423" t="inlineStr">
        <is>
          <t>Decision log for major decisions with alternatives, risks, assumptions, owners and follow-up is partially documented or implemented, but coverage is inconsistent and not crisis-tested.</t>
        </is>
      </c>
      <c r="P423" t="inlineStr">
        <is>
          <t>Decision log for major decisions with alternatives, risks, assumptions, owners and follow-up is documented, owned, used in normal operations and supported by basic evidence or metrics.</t>
        </is>
      </c>
      <c r="Q423" t="inlineStr">
        <is>
          <t>Decision log for major decisions with alternatives, risks, assumptions, owners and follow-up is measured, periodically reviewed, integrated with related processes and tested against relevant disruption scenarios.</t>
        </is>
      </c>
      <c r="R423" t="inlineStr">
        <is>
          <t>Decision log for major decisions with alternatives, risks, assumptions, owners and follow-up is optimized, continuously improved, automated where practical and demonstrably supports crisis resilience.</t>
        </is>
      </c>
      <c r="S423" t="inlineStr">
        <is>
          <t>Execution failure; Delivery disruption; Decision failure</t>
        </is>
      </c>
      <c r="T423">
        <f>'Assessment Questions'!W423</f>
        <v/>
      </c>
      <c r="U423">
        <f>'Assessment Questions'!X423</f>
        <v/>
      </c>
      <c r="V423">
        <f>'Assessment Questions'!Y423</f>
        <v/>
      </c>
      <c r="W423" t="n">
        <v>4</v>
      </c>
      <c r="X423" t="n">
        <v>5</v>
      </c>
      <c r="Y423" t="n">
        <v>5</v>
      </c>
      <c r="Z423">
        <f>'Assessment Questions'!AC423</f>
        <v/>
      </c>
      <c r="AB423">
        <f>COUNTIF($B$407:$B$428,$AA423)</f>
        <v/>
      </c>
      <c r="AC423">
        <f>IFERROR(SUMPRODUCT(($B$407:$B$428=$AA423)*($H$407:$H$428&lt;&gt;"")*($H$407:$H$428&lt;&gt;"N/A")*IFERROR(VALUE($H$407:$H$428),0))/SUMPRODUCT(($B$407:$B$428=$AA423)*($H$407:$H$428&lt;&gt;"")*($H$407:$H$428&lt;&gt;"N/A")),0)</f>
        <v/>
      </c>
      <c r="AD423">
        <f>AC423/5</f>
        <v/>
      </c>
      <c r="AE423">
        <f>COUNTIFS($B$407:$B$428,$AA423,$L$407:$L$428,"Critical")+COUNTIFS($B$407:$B$428,$AA423,$L$407:$L$428,"High")</f>
        <v/>
      </c>
      <c r="AF423">
        <f>5-AC423</f>
        <v/>
      </c>
      <c r="AG423">
        <f>SUMPRODUCT(($B$407:$B$428=$AA423)*(ISNUMBER($H$407:$H$428)+($H$407:$H$428="N/A")))</f>
        <v/>
      </c>
      <c r="AH423">
        <f>'Assessment Questions'!AK423</f>
        <v/>
      </c>
      <c r="AI423">
        <f>'Assessment Questions'!AL423</f>
        <v/>
      </c>
      <c r="AJ423">
        <f>IF(OR($H423="",$H423="N/A"),"",IF($AH423="",VLOOKUP('Company Profile'!$B$40,_CONFIG_Model_Settings!$A$5:$B$8,2,FALSE),_xlfn.IFNA(VLOOKUP($AH423,_CONFIG_Model_Settings!$A$5:$B$8,2,FALSE),0.9)))</f>
        <v/>
      </c>
      <c r="AK423">
        <f>IF(OR($H423="",$H423="N/A"),"",IF($AI423="",VLOOKUP('Company Profile'!$B$41,_CONFIG_Model_Settings!$A$5:$B$8,2,FALSE),_xlfn.IFNA(VLOOKUP($AI423,_CONFIG_Model_Settings!$A$5:$B$8,2,FALSE),0.9)))</f>
        <v/>
      </c>
      <c r="AL423">
        <f>IF(OR($H423="",$H423="N/A"),"",ROUND(VALUE($H423)*$AJ423*$AK423*$AV423,2))</f>
        <v/>
      </c>
      <c r="AM423">
        <f>IF($AL423="","",ROUND($AL423/5*100,1))</f>
        <v/>
      </c>
      <c r="AN423">
        <f>IFERROR(MIN(5,MAX(0,(SUMIFS(_REF_Model_Content!$D$1:$D$157,_REF_Model_Content!$A$1:$A$157,'Company Profile'!$B$9,_REF_Model_Content!$B$1:$B$157,"Quality Portfolio"))+_xlfn.IFNA(VLOOKUP('Company Profile'!$B$35,_CONFIG_Model_Settings!$A$11:$B$13,2,0),0))),"")</f>
        <v/>
      </c>
      <c r="AO423">
        <f>IF($AL423="","",MAX(0,ROUND($AN423-$AL423,2)))</f>
        <v/>
      </c>
      <c r="AP423">
        <f>IFERROR(SUMIFS(_REF_Model_Content!$E$1:$E$157,_REF_Model_Content!$A$1:$A$157,'Company Profile'!$B$9,_REF_Model_Content!$B$1:$B$157,"Quality Portfolio"),1)</f>
        <v/>
      </c>
      <c r="AQ423">
        <f>IF($AO423="","",ROUND($AO423*$AP423*($G423/5),2))</f>
        <v/>
      </c>
      <c r="AR423">
        <f>IF($AO423="","",IF($AO423&gt;=2,"Critical industry gap",IF($AO423&gt;=1,"High industry gap",IF($AO423&gt;=0.5,"Moderate industry gap","Within target"))))</f>
        <v/>
      </c>
      <c r="AS423">
        <f>IF(OR($H423="",$H423="N/A"),0,VALUE($H423)*(($AJ423+$AK423)/2)*$AV423)</f>
        <v/>
      </c>
      <c r="AT423">
        <f>IF(OR($H423="",$H423="N/A"),0,($AJ423+$AK423)/2)</f>
        <v/>
      </c>
      <c r="AU423">
        <f>'Assessment Questions'!AX423</f>
        <v/>
      </c>
      <c r="AV423">
        <f>IF(OR($H423="",$H423="N/A"),"",IF(OR($AU423="",$AU423="Everywhere",$AU423="Not applicable"),1,IF($AU423="Pilot / one team",0.4,IF($AU423="One unit or site",0.7,0.9))))</f>
        <v/>
      </c>
      <c r="AW423" t="inlineStr">
        <is>
          <t>Quality Portfolio</t>
        </is>
      </c>
      <c r="AX423" t="inlineStr">
        <is>
          <t>Quality Portfolio</t>
        </is>
      </c>
      <c r="AY423" t="n">
        <v>21</v>
      </c>
      <c r="AZ423" t="n">
        <v>423</v>
      </c>
    </row>
    <row r="424">
      <c r="A424" t="inlineStr">
        <is>
          <t>QUAL-019</t>
        </is>
      </c>
      <c r="B424" t="inlineStr">
        <is>
          <t>Management system</t>
        </is>
      </c>
      <c r="C424" t="inlineStr">
        <is>
          <t>How mature is the organization in managing evidence readiness for audits, customers, insurers or regulators during crisis, including ownership, evidence, metrics, fallback procedures and crisis stress testing?</t>
        </is>
      </c>
      <c r="D424" t="inlineStr">
        <is>
          <t>This topic affects exposure to Execution failure; Delivery disruption; Decision failure. It helps identify how disruption may impact operations, people, revenue, systems, legal exposure or recovery time.</t>
        </is>
      </c>
      <c r="E424" t="inlineStr">
        <is>
          <t>ISO 9001; ISO 21502; ISO 21500; APQC; Lean; Six Sigma; PMBOK; COBIT</t>
        </is>
      </c>
      <c r="F424" t="inlineStr">
        <is>
          <t>Policy/SOP; owner/RACI; system report; dashboard; contracts; test records; incident history; interview evidence related to evidence readiness for audits, customers, insurers or regulators during crisis.</t>
        </is>
      </c>
      <c r="G424">
        <f>'Assessment Questions'!J424</f>
        <v/>
      </c>
      <c r="H424">
        <f>IF($Z424="","",IF($Z424="N/A","N/A",VALUE(LEFT($Z424,1))))</f>
        <v/>
      </c>
      <c r="I424">
        <f>IF($H424="","",IF($H424="N/A","",VALUE($H424)/5*$G424))</f>
        <v/>
      </c>
      <c r="J424">
        <f>IF(OR($H424="",$H424="N/A"),"",$G424)</f>
        <v/>
      </c>
      <c r="K424">
        <f>IF(OR($H424="",$H424="N/A"),"",$J424-$I424)</f>
        <v/>
      </c>
      <c r="L424">
        <f>IF($H424="","",IF($H424="N/A","N/A",IF(VALUE($H424)&lt;=1,"Critical",IF(VALUE($H424)&lt;=2,"High",IF(VALUE($H424)&lt;=3,"Medium",IF(VALUE($H424)&lt;=4,"Low","Resilient"))))))</f>
        <v/>
      </c>
      <c r="M424" t="inlineStr">
        <is>
          <t>Does not exist; no owner, no documentation, no practice.</t>
        </is>
      </c>
      <c r="N424" t="inlineStr">
        <is>
          <t>Ad hoc; depends entirely on specific individuals.</t>
        </is>
      </c>
      <c r="O424" t="inlineStr">
        <is>
          <t>Partially documented or implemented; coverage inconsistent; never tested under stress.</t>
        </is>
      </c>
      <c r="P424" t="inlineStr">
        <is>
          <t>Documented, owned, executed consistently; basic evidence and metrics exist.</t>
        </is>
      </c>
      <c r="Q424" t="inlineStr">
        <is>
          <t>Measured and periodically tested/audited; integrated with adjacent processes.</t>
        </is>
      </c>
      <c r="R424" t="inlineStr">
        <is>
          <t>Optimized and automated where practical; stress-tested; benchmarked externally.</t>
        </is>
      </c>
      <c r="S424" t="inlineStr">
        <is>
          <t>Execution failure; Delivery disruption; Decision failure</t>
        </is>
      </c>
      <c r="T424">
        <f>'Assessment Questions'!W424</f>
        <v/>
      </c>
      <c r="U424">
        <f>'Assessment Questions'!X424</f>
        <v/>
      </c>
      <c r="V424">
        <f>'Assessment Questions'!Y424</f>
        <v/>
      </c>
      <c r="W424" t="n">
        <v>4</v>
      </c>
      <c r="X424" t="n">
        <v>5</v>
      </c>
      <c r="Y424" t="n">
        <v>5</v>
      </c>
      <c r="Z424">
        <f>'Assessment Questions'!AC424</f>
        <v/>
      </c>
      <c r="AB424">
        <f>COUNTIF($B$407:$B$428,$AA424)</f>
        <v/>
      </c>
      <c r="AC424">
        <f>IFERROR(SUMPRODUCT(($B$407:$B$428=$AA424)*($H$407:$H$428&lt;&gt;"")*($H$407:$H$428&lt;&gt;"N/A")*IFERROR(VALUE($H$407:$H$428),0))/SUMPRODUCT(($B$407:$B$428=$AA424)*($H$407:$H$428&lt;&gt;"")*($H$407:$H$428&lt;&gt;"N/A")),0)</f>
        <v/>
      </c>
      <c r="AD424">
        <f>AC424/5</f>
        <v/>
      </c>
      <c r="AE424">
        <f>COUNTIFS($B$407:$B$428,$AA424,$L$407:$L$428,"Critical")+COUNTIFS($B$407:$B$428,$AA424,$L$407:$L$428,"High")</f>
        <v/>
      </c>
      <c r="AF424">
        <f>5-AC424</f>
        <v/>
      </c>
      <c r="AG424">
        <f>SUMPRODUCT(($B$407:$B$428=$AA424)*(ISNUMBER($H$407:$H$428)+($H$407:$H$428="N/A")))</f>
        <v/>
      </c>
      <c r="AH424">
        <f>'Assessment Questions'!AK424</f>
        <v/>
      </c>
      <c r="AI424">
        <f>'Assessment Questions'!AL424</f>
        <v/>
      </c>
      <c r="AJ424">
        <f>IF(OR($H424="",$H424="N/A"),"",IF($AH424="",VLOOKUP('Company Profile'!$B$40,_CONFIG_Model_Settings!$A$5:$B$8,2,FALSE),_xlfn.IFNA(VLOOKUP($AH424,_CONFIG_Model_Settings!$A$5:$B$8,2,FALSE),0.9)))</f>
        <v/>
      </c>
      <c r="AK424">
        <f>IF(OR($H424="",$H424="N/A"),"",IF($AI424="",VLOOKUP('Company Profile'!$B$41,_CONFIG_Model_Settings!$A$5:$B$8,2,FALSE),_xlfn.IFNA(VLOOKUP($AI424,_CONFIG_Model_Settings!$A$5:$B$8,2,FALSE),0.9)))</f>
        <v/>
      </c>
      <c r="AL424">
        <f>IF(OR($H424="",$H424="N/A"),"",ROUND(VALUE($H424)*$AJ424*$AK424*$AV424,2))</f>
        <v/>
      </c>
      <c r="AM424">
        <f>IF($AL424="","",ROUND($AL424/5*100,1))</f>
        <v/>
      </c>
      <c r="AN424">
        <f>IFERROR(MIN(5,MAX(0,(SUMIFS(_REF_Model_Content!$D$1:$D$157,_REF_Model_Content!$A$1:$A$157,'Company Profile'!$B$9,_REF_Model_Content!$B$1:$B$157,"Quality Portfolio"))+_xlfn.IFNA(VLOOKUP('Company Profile'!$B$35,_CONFIG_Model_Settings!$A$11:$B$13,2,0),0))),"")</f>
        <v/>
      </c>
      <c r="AO424">
        <f>IF($AL424="","",MAX(0,ROUND($AN424-$AL424,2)))</f>
        <v/>
      </c>
      <c r="AP424">
        <f>IFERROR(SUMIFS(_REF_Model_Content!$E$1:$E$157,_REF_Model_Content!$A$1:$A$157,'Company Profile'!$B$9,_REF_Model_Content!$B$1:$B$157,"Quality Portfolio"),1)</f>
        <v/>
      </c>
      <c r="AQ424">
        <f>IF($AO424="","",ROUND($AO424*$AP424*($G424/5),2))</f>
        <v/>
      </c>
      <c r="AR424">
        <f>IF($AO424="","",IF($AO424&gt;=2,"Critical industry gap",IF($AO424&gt;=1,"High industry gap",IF($AO424&gt;=0.5,"Moderate industry gap","Within target"))))</f>
        <v/>
      </c>
      <c r="AS424">
        <f>IF(OR($H424="",$H424="N/A"),0,VALUE($H424)*(($AJ424+$AK424)/2)*$AV424)</f>
        <v/>
      </c>
      <c r="AT424">
        <f>IF(OR($H424="",$H424="N/A"),0,($AJ424+$AK424)/2)</f>
        <v/>
      </c>
      <c r="AU424">
        <f>'Assessment Questions'!AX424</f>
        <v/>
      </c>
      <c r="AV424">
        <f>IF(OR($H424="",$H424="N/A"),"",IF(OR($AU424="",$AU424="Everywhere",$AU424="Not applicable"),1,IF($AU424="Pilot / one team",0.4,IF($AU424="One unit or site",0.7,0.9))))</f>
        <v/>
      </c>
      <c r="AW424" t="inlineStr">
        <is>
          <t>Quality Portfolio</t>
        </is>
      </c>
      <c r="AX424" t="inlineStr">
        <is>
          <t>Quality Portfolio</t>
        </is>
      </c>
      <c r="AY424" t="n">
        <v>22</v>
      </c>
      <c r="AZ424" t="n">
        <v>424</v>
      </c>
    </row>
    <row r="425">
      <c r="A425" t="inlineStr">
        <is>
          <t>QUAL-021</t>
        </is>
      </c>
      <c r="B425" t="inlineStr">
        <is>
          <t>Portfolio and change</t>
        </is>
      </c>
      <c r="C425" t="inlineStr">
        <is>
          <t>How mature is the organization in managing organizational project management alignment connecting strategy to portfolios, programs and projects with defined governance layers, including ownership, evidence, metrics, fallback procedures and crisis stress testing?</t>
        </is>
      </c>
      <c r="D425" t="inlineStr">
        <is>
          <t>This topic affects exposure to Financial/liquidity crisis; Demand shock. It helps identify how disruption may impact operations, people, revenue, systems, legal exposure or recovery time.</t>
        </is>
      </c>
      <c r="E425" t="inlineStr">
        <is>
          <t>PMI Standard for OPM; ISO 21502; APQC PCF 13.0</t>
        </is>
      </c>
      <c r="F425" t="inlineStr">
        <is>
          <t>Policy/SOP; owner/RACI; system report; dashboard; contracts; test records; incident history; interview evidence related to process architecture covering major value streams and support processes.</t>
        </is>
      </c>
      <c r="G425">
        <f>'Assessment Questions'!J425</f>
        <v/>
      </c>
      <c r="H425">
        <f>IF($Z425="","",IF($Z425="N/A","N/A",VALUE(LEFT($Z425,1))))</f>
        <v/>
      </c>
      <c r="I425">
        <f>IF($H425="","",IF($H425="N/A","",VALUE($H425)/5*$G425))</f>
        <v/>
      </c>
      <c r="J425">
        <f>IF(OR($H425="",$H425="N/A"),"",$G425)</f>
        <v/>
      </c>
      <c r="K425">
        <f>IF(OR($H425="",$H425="N/A"),"",$J425-$I425)</f>
        <v/>
      </c>
      <c r="L425">
        <f>IF($H425="","",IF($H425="N/A","N/A",IF(VALUE($H425)&lt;=1,"Critical",IF(VALUE($H425)&lt;=2,"High",IF(VALUE($H425)&lt;=3,"Medium",IF(VALUE($H425)&lt;=4,"Low","Resilient"))))))</f>
        <v/>
      </c>
      <c r="M425" t="inlineStr">
        <is>
          <t>No reliable evidence that organizational project management alignment connecting strategy to portfolios, programs and projects with defined governance layers is defined, owned or managed.</t>
        </is>
      </c>
      <c r="N425" t="inlineStr">
        <is>
          <t>Organizational project management alignment connecting strategy to portfolios, programs and projects with defined governance layers is handled informally and depends on individual knowledge or heroic effort.</t>
        </is>
      </c>
      <c r="O425" t="inlineStr">
        <is>
          <t>Organizational project management alignment connecting strategy to portfolios, programs and projects with defined governance layers is partially documented or implemented, but coverage is inconsistent and not crisis-tested.</t>
        </is>
      </c>
      <c r="P425" t="inlineStr">
        <is>
          <t>Organizational project management alignment connecting strategy to portfolios, programs and projects with defined governance layers is documented, owned, used in normal operations and supported by basic evidence or metrics.</t>
        </is>
      </c>
      <c r="Q425" t="inlineStr">
        <is>
          <t>Organizational project management alignment connecting strategy to portfolios, programs and projects with defined governance layers is measured, periodically reviewed, integrated with related processes and tested against relevant disruption scenarios.</t>
        </is>
      </c>
      <c r="R425" t="inlineStr">
        <is>
          <t>Organizational project management alignment connecting strategy to portfolios, programs and projects with defined governance layers is optimized, continuously improved, automated where practical and demonstrably supports crisis resilience.</t>
        </is>
      </c>
      <c r="S425" t="inlineStr">
        <is>
          <t>Financial/liquidity crisis; Demand shock</t>
        </is>
      </c>
      <c r="T425">
        <f>'Assessment Questions'!W425</f>
        <v/>
      </c>
      <c r="U425">
        <f>'Assessment Questions'!X425</f>
        <v/>
      </c>
      <c r="V425">
        <f>'Assessment Questions'!Y425</f>
        <v/>
      </c>
      <c r="W425" t="n">
        <v>3</v>
      </c>
      <c r="X425" t="n">
        <v>3</v>
      </c>
      <c r="Y425" t="n">
        <v>5</v>
      </c>
      <c r="Z425">
        <f>'Assessment Questions'!AC425</f>
        <v/>
      </c>
      <c r="AB425">
        <f>COUNTIF($B$407:$B$428,$AA425)</f>
        <v/>
      </c>
      <c r="AC425">
        <f>IFERROR(SUMPRODUCT(($B$407:$B$428=$AA425)*($H$407:$H$428&lt;&gt;"")*($H$407:$H$428&lt;&gt;"N/A")*IFERROR(VALUE($H$407:$H$428),0))/SUMPRODUCT(($B$407:$B$428=$AA425)*($H$407:$H$428&lt;&gt;"")*($H$407:$H$428&lt;&gt;"N/A")),0)</f>
        <v/>
      </c>
      <c r="AD425">
        <f>AC425/5</f>
        <v/>
      </c>
      <c r="AE425">
        <f>COUNTIFS($B$407:$B$428,$AA425,$L$407:$L$428,"Critical")+COUNTIFS($B$407:$B$428,$AA425,$L$407:$L$428,"High")</f>
        <v/>
      </c>
      <c r="AF425">
        <f>5-AC425</f>
        <v/>
      </c>
      <c r="AG425">
        <f>SUMPRODUCT(($B$407:$B$428=$AA425)*(ISNUMBER($H$407:$H$428)+($H$407:$H$428="N/A")))</f>
        <v/>
      </c>
      <c r="AH425">
        <f>'Assessment Questions'!AK425</f>
        <v/>
      </c>
      <c r="AI425">
        <f>'Assessment Questions'!AL425</f>
        <v/>
      </c>
      <c r="AJ425">
        <f>IF(OR($H425="",$H425="N/A"),"",IF($AH425="",VLOOKUP('Company Profile'!$B$40,_CONFIG_Model_Settings!$A$5:$B$8,2,FALSE),_xlfn.IFNA(VLOOKUP($AH425,_CONFIG_Model_Settings!$A$5:$B$8,2,FALSE),0.9)))</f>
        <v/>
      </c>
      <c r="AK425">
        <f>IF(OR($H425="",$H425="N/A"),"",IF($AI425="",VLOOKUP('Company Profile'!$B$41,_CONFIG_Model_Settings!$A$5:$B$8,2,FALSE),_xlfn.IFNA(VLOOKUP($AI425,_CONFIG_Model_Settings!$A$5:$B$8,2,FALSE),0.9)))</f>
        <v/>
      </c>
      <c r="AL425">
        <f>IF(OR($H425="",$H425="N/A"),"",ROUND(VALUE($H425)*$AJ425*$AK425*$AV425,2))</f>
        <v/>
      </c>
      <c r="AM425">
        <f>IF($AL425="","",ROUND($AL425/5*100,1))</f>
        <v/>
      </c>
      <c r="AN425">
        <f>IFERROR(MIN(5,MAX(0,(SUMIFS(_REF_Model_Content!$D$1:$D$157,_REF_Model_Content!$A$1:$A$157,'Company Profile'!$B$9,_REF_Model_Content!$B$1:$B$157,"Quality Portfolio"))+_xlfn.IFNA(VLOOKUP('Company Profile'!$B$35,_CONFIG_Model_Settings!$A$11:$B$13,2,0),0))),"")</f>
        <v/>
      </c>
      <c r="AO425">
        <f>IF($AL425="","",MAX(0,ROUND($AN425-$AL425,2)))</f>
        <v/>
      </c>
      <c r="AP425">
        <f>IFERROR(SUMIFS(_REF_Model_Content!$E$1:$E$157,_REF_Model_Content!$A$1:$A$157,'Company Profile'!$B$9,_REF_Model_Content!$B$1:$B$157,"Quality Portfolio"),1)</f>
        <v/>
      </c>
      <c r="AQ425">
        <f>IF($AO425="","",ROUND($AO425*$AP425*($G425/5),2))</f>
        <v/>
      </c>
      <c r="AR425">
        <f>IF($AO425="","",IF($AO425&gt;=2,"Critical industry gap",IF($AO425&gt;=1,"High industry gap",IF($AO425&gt;=0.5,"Moderate industry gap","Within target"))))</f>
        <v/>
      </c>
      <c r="AS425">
        <f>IF(OR($H425="",$H425="N/A"),0,VALUE($H425)*(($AJ425+$AK425)/2)*$AV425)</f>
        <v/>
      </c>
      <c r="AT425">
        <f>IF(OR($H425="",$H425="N/A"),0,($AJ425+$AK425)/2)</f>
        <v/>
      </c>
      <c r="AU425">
        <f>'Assessment Questions'!AX425</f>
        <v/>
      </c>
      <c r="AV425">
        <f>IF(OR($H425="",$H425="N/A"),"",IF(OR($AU425="",$AU425="Everywhere",$AU425="Not applicable"),1,IF($AU425="Pilot / one team",0.4,IF($AU425="One unit or site",0.7,0.9))))</f>
        <v/>
      </c>
      <c r="AW425" t="inlineStr">
        <is>
          <t>Quality Portfolio</t>
        </is>
      </c>
      <c r="AX425" t="inlineStr">
        <is>
          <t>Quality Portfolio</t>
        </is>
      </c>
      <c r="AY425" t="n">
        <v>23</v>
      </c>
      <c r="AZ425" t="n">
        <v>425</v>
      </c>
    </row>
    <row r="426">
      <c r="A426" t="inlineStr">
        <is>
          <t>QUAL-022</t>
        </is>
      </c>
      <c r="B426" t="inlineStr">
        <is>
          <t>Portfolio and change</t>
        </is>
      </c>
      <c r="C426" t="inlineStr">
        <is>
          <t>How mature is the organization in managing standardized and tailored project delivery methodology with knowledge transfer between initiatives, including ownership, evidence, metrics, fallback procedures and crisis stress testing?</t>
        </is>
      </c>
      <c r="D426" t="inlineStr">
        <is>
          <t>This topic affects exposure to Demand shock; Workforce disruption. It helps identify how disruption may impact operations, people, revenue, systems, legal exposure or recovery time.</t>
        </is>
      </c>
      <c r="E426" t="inlineStr">
        <is>
          <t>PMI OPM; PMBOK; ISO 21502</t>
        </is>
      </c>
      <c r="F426" t="inlineStr">
        <is>
          <t>Policy/SOP; owner/RACI; system report; dashboard; contracts; test records; incident history; interview evidence related to process architecture covering major value streams and support processes.</t>
        </is>
      </c>
      <c r="G426">
        <f>'Assessment Questions'!J426</f>
        <v/>
      </c>
      <c r="H426">
        <f>IF($Z426="","",IF($Z426="N/A","N/A",VALUE(LEFT($Z426,1))))</f>
        <v/>
      </c>
      <c r="I426">
        <f>IF($H426="","",IF($H426="N/A","",VALUE($H426)/5*$G426))</f>
        <v/>
      </c>
      <c r="J426">
        <f>IF(OR($H426="",$H426="N/A"),"",$G426)</f>
        <v/>
      </c>
      <c r="K426">
        <f>IF(OR($H426="",$H426="N/A"),"",$J426-$I426)</f>
        <v/>
      </c>
      <c r="L426">
        <f>IF($H426="","",IF($H426="N/A","N/A",IF(VALUE($H426)&lt;=1,"Critical",IF(VALUE($H426)&lt;=2,"High",IF(VALUE($H426)&lt;=3,"Medium",IF(VALUE($H426)&lt;=4,"Low","Resilient"))))))</f>
        <v/>
      </c>
      <c r="M426" t="inlineStr">
        <is>
          <t>No reliable evidence that standardized and tailored project delivery methodology with knowledge transfer between initiatives is defined, owned or managed.</t>
        </is>
      </c>
      <c r="N426" t="inlineStr">
        <is>
          <t>Standardized and tailored project delivery methodology with knowledge transfer between initiatives is handled informally and depends on individual knowledge or heroic effort.</t>
        </is>
      </c>
      <c r="O426" t="inlineStr">
        <is>
          <t>Standardized and tailored project delivery methodology with knowledge transfer between initiatives is partially documented or implemented, but coverage is inconsistent and not crisis-tested.</t>
        </is>
      </c>
      <c r="P426" t="inlineStr">
        <is>
          <t>Standardized and tailored project delivery methodology with knowledge transfer between initiatives is documented, owned, used in normal operations and supported by basic evidence or metrics.</t>
        </is>
      </c>
      <c r="Q426" t="inlineStr">
        <is>
          <t>Standardized and tailored project delivery methodology with knowledge transfer between initiatives is measured, periodically reviewed, integrated with related processes and tested against relevant disruption scenarios.</t>
        </is>
      </c>
      <c r="R426" t="inlineStr">
        <is>
          <t>Standardized and tailored project delivery methodology with knowledge transfer between initiatives is optimized, continuously improved, automated where practical and demonstrably supports crisis resilience.</t>
        </is>
      </c>
      <c r="S426" t="inlineStr">
        <is>
          <t>Demand shock; Workforce disruption</t>
        </is>
      </c>
      <c r="T426">
        <f>'Assessment Questions'!W426</f>
        <v/>
      </c>
      <c r="U426">
        <f>'Assessment Questions'!X426</f>
        <v/>
      </c>
      <c r="V426">
        <f>'Assessment Questions'!Y426</f>
        <v/>
      </c>
      <c r="W426" t="n">
        <v>3</v>
      </c>
      <c r="X426" t="n">
        <v>3</v>
      </c>
      <c r="Y426" t="n">
        <v>5</v>
      </c>
      <c r="Z426">
        <f>'Assessment Questions'!AC426</f>
        <v/>
      </c>
      <c r="AB426">
        <f>COUNTIF($B$407:$B$428,$AA426)</f>
        <v/>
      </c>
      <c r="AC426">
        <f>IFERROR(SUMPRODUCT(($B$407:$B$428=$AA426)*($H$407:$H$428&lt;&gt;"")*($H$407:$H$428&lt;&gt;"N/A")*IFERROR(VALUE($H$407:$H$428),0))/SUMPRODUCT(($B$407:$B$428=$AA426)*($H$407:$H$428&lt;&gt;"")*($H$407:$H$428&lt;&gt;"N/A")),0)</f>
        <v/>
      </c>
      <c r="AD426">
        <f>AC426/5</f>
        <v/>
      </c>
      <c r="AE426">
        <f>COUNTIFS($B$407:$B$428,$AA426,$L$407:$L$428,"Critical")+COUNTIFS($B$407:$B$428,$AA426,$L$407:$L$428,"High")</f>
        <v/>
      </c>
      <c r="AF426">
        <f>5-AC426</f>
        <v/>
      </c>
      <c r="AG426">
        <f>SUMPRODUCT(($B$407:$B$428=$AA426)*(ISNUMBER($H$407:$H$428)+($H$407:$H$428="N/A")))</f>
        <v/>
      </c>
      <c r="AH426">
        <f>'Assessment Questions'!AK426</f>
        <v/>
      </c>
      <c r="AI426">
        <f>'Assessment Questions'!AL426</f>
        <v/>
      </c>
      <c r="AJ426">
        <f>IF(OR($H426="",$H426="N/A"),"",IF($AH426="",VLOOKUP('Company Profile'!$B$40,_CONFIG_Model_Settings!$A$5:$B$8,2,FALSE),_xlfn.IFNA(VLOOKUP($AH426,_CONFIG_Model_Settings!$A$5:$B$8,2,FALSE),0.9)))</f>
        <v/>
      </c>
      <c r="AK426">
        <f>IF(OR($H426="",$H426="N/A"),"",IF($AI426="",VLOOKUP('Company Profile'!$B$41,_CONFIG_Model_Settings!$A$5:$B$8,2,FALSE),_xlfn.IFNA(VLOOKUP($AI426,_CONFIG_Model_Settings!$A$5:$B$8,2,FALSE),0.9)))</f>
        <v/>
      </c>
      <c r="AL426">
        <f>IF(OR($H426="",$H426="N/A"),"",ROUND(VALUE($H426)*$AJ426*$AK426*$AV426,2))</f>
        <v/>
      </c>
      <c r="AM426">
        <f>IF($AL426="","",ROUND($AL426/5*100,1))</f>
        <v/>
      </c>
      <c r="AN426">
        <f>IFERROR(MIN(5,MAX(0,(SUMIFS(_REF_Model_Content!$D$1:$D$157,_REF_Model_Content!$A$1:$A$157,'Company Profile'!$B$9,_REF_Model_Content!$B$1:$B$157,"Quality Portfolio"))+_xlfn.IFNA(VLOOKUP('Company Profile'!$B$35,_CONFIG_Model_Settings!$A$11:$B$13,2,0),0))),"")</f>
        <v/>
      </c>
      <c r="AO426">
        <f>IF($AL426="","",MAX(0,ROUND($AN426-$AL426,2)))</f>
        <v/>
      </c>
      <c r="AP426">
        <f>IFERROR(SUMIFS(_REF_Model_Content!$E$1:$E$157,_REF_Model_Content!$A$1:$A$157,'Company Profile'!$B$9,_REF_Model_Content!$B$1:$B$157,"Quality Portfolio"),1)</f>
        <v/>
      </c>
      <c r="AQ426">
        <f>IF($AO426="","",ROUND($AO426*$AP426*($G426/5),2))</f>
        <v/>
      </c>
      <c r="AR426">
        <f>IF($AO426="","",IF($AO426&gt;=2,"Critical industry gap",IF($AO426&gt;=1,"High industry gap",IF($AO426&gt;=0.5,"Moderate industry gap","Within target"))))</f>
        <v/>
      </c>
      <c r="AS426">
        <f>IF(OR($H426="",$H426="N/A"),0,VALUE($H426)*(($AJ426+$AK426)/2)*$AV426)</f>
        <v/>
      </c>
      <c r="AT426">
        <f>IF(OR($H426="",$H426="N/A"),0,($AJ426+$AK426)/2)</f>
        <v/>
      </c>
      <c r="AU426">
        <f>'Assessment Questions'!AX426</f>
        <v/>
      </c>
      <c r="AV426">
        <f>IF(OR($H426="",$H426="N/A"),"",IF(OR($AU426="",$AU426="Everywhere",$AU426="Not applicable"),1,IF($AU426="Pilot / one team",0.4,IF($AU426="One unit or site",0.7,0.9))))</f>
        <v/>
      </c>
      <c r="AW426" t="inlineStr">
        <is>
          <t>Quality Portfolio</t>
        </is>
      </c>
      <c r="AX426" t="inlineStr">
        <is>
          <t>Quality Portfolio</t>
        </is>
      </c>
      <c r="AY426" t="n">
        <v>24</v>
      </c>
      <c r="AZ426" t="n">
        <v>426</v>
      </c>
    </row>
    <row r="427">
      <c r="A427" t="inlineStr">
        <is>
          <t>QUAL-023</t>
        </is>
      </c>
      <c r="B427" t="inlineStr">
        <is>
          <t>Portfolio and change</t>
        </is>
      </c>
      <c r="C427" t="inlineStr">
        <is>
          <t>How mature is the organization in managing project and change management competency development with a visible resource pool and capacity view, including ownership, evidence, metrics, fallback procedures and crisis stress testing?</t>
        </is>
      </c>
      <c r="D427" t="inlineStr">
        <is>
          <t>This topic affects exposure to Workforce disruption; Demand shock. It helps identify how disruption may impact operations, people, revenue, systems, legal exposure or recovery time.</t>
        </is>
      </c>
      <c r="E427" t="inlineStr">
        <is>
          <t>PMI OPM organizational enablers; APQC PCF 13.0</t>
        </is>
      </c>
      <c r="F427" t="inlineStr">
        <is>
          <t>Policy/SOP; owner/RACI; system report; dashboard; contracts; test records; incident history; interview evidence related to process architecture covering major value streams and support processes.</t>
        </is>
      </c>
      <c r="G427">
        <f>'Assessment Questions'!J427</f>
        <v/>
      </c>
      <c r="H427">
        <f>IF($Z427="","",IF($Z427="N/A","N/A",VALUE(LEFT($Z427,1))))</f>
        <v/>
      </c>
      <c r="I427">
        <f>IF($H427="","",IF($H427="N/A","",VALUE($H427)/5*$G427))</f>
        <v/>
      </c>
      <c r="J427">
        <f>IF(OR($H427="",$H427="N/A"),"",$G427)</f>
        <v/>
      </c>
      <c r="K427">
        <f>IF(OR($H427="",$H427="N/A"),"",$J427-$I427)</f>
        <v/>
      </c>
      <c r="L427">
        <f>IF($H427="","",IF($H427="N/A","N/A",IF(VALUE($H427)&lt;=1,"Critical",IF(VALUE($H427)&lt;=2,"High",IF(VALUE($H427)&lt;=3,"Medium",IF(VALUE($H427)&lt;=4,"Low","Resilient"))))))</f>
        <v/>
      </c>
      <c r="M427" t="inlineStr">
        <is>
          <t>No reliable evidence that project and change management competency development with a visible resource pool and capacity view is defined, owned or managed.</t>
        </is>
      </c>
      <c r="N427" t="inlineStr">
        <is>
          <t>Project and change management competency development with a visible resource pool and capacity view is handled informally and depends on individual knowledge or heroic effort.</t>
        </is>
      </c>
      <c r="O427" t="inlineStr">
        <is>
          <t>Project and change management competency development with a visible resource pool and capacity view is partially documented or implemented, but coverage is inconsistent and not crisis-tested.</t>
        </is>
      </c>
      <c r="P427" t="inlineStr">
        <is>
          <t>Project and change management competency development with a visible resource pool and capacity view is documented, owned, used in normal operations and supported by basic evidence or metrics.</t>
        </is>
      </c>
      <c r="Q427" t="inlineStr">
        <is>
          <t>Project and change management competency development with a visible resource pool and capacity view is measured, periodically reviewed, integrated with related processes and tested against relevant disruption scenarios.</t>
        </is>
      </c>
      <c r="R427" t="inlineStr">
        <is>
          <t>Project and change management competency development with a visible resource pool and capacity view is optimized, continuously improved, automated where practical and demonstrably supports crisis resilience.</t>
        </is>
      </c>
      <c r="S427" t="inlineStr">
        <is>
          <t>Workforce disruption; Demand shock</t>
        </is>
      </c>
      <c r="T427">
        <f>'Assessment Questions'!W427</f>
        <v/>
      </c>
      <c r="U427">
        <f>'Assessment Questions'!X427</f>
        <v/>
      </c>
      <c r="V427">
        <f>'Assessment Questions'!Y427</f>
        <v/>
      </c>
      <c r="W427" t="n">
        <v>3</v>
      </c>
      <c r="X427" t="n">
        <v>3</v>
      </c>
      <c r="Y427" t="n">
        <v>4</v>
      </c>
      <c r="Z427">
        <f>'Assessment Questions'!AC427</f>
        <v/>
      </c>
      <c r="AB427">
        <f>COUNTIF($B$407:$B$428,$AA427)</f>
        <v/>
      </c>
      <c r="AC427">
        <f>IFERROR(SUMPRODUCT(($B$407:$B$428=$AA427)*($H$407:$H$428&lt;&gt;"")*($H$407:$H$428&lt;&gt;"N/A")*IFERROR(VALUE($H$407:$H$428),0))/SUMPRODUCT(($B$407:$B$428=$AA427)*($H$407:$H$428&lt;&gt;"")*($H$407:$H$428&lt;&gt;"N/A")),0)</f>
        <v/>
      </c>
      <c r="AD427">
        <f>AC427/5</f>
        <v/>
      </c>
      <c r="AE427">
        <f>COUNTIFS($B$407:$B$428,$AA427,$L$407:$L$428,"Critical")+COUNTIFS($B$407:$B$428,$AA427,$L$407:$L$428,"High")</f>
        <v/>
      </c>
      <c r="AF427">
        <f>5-AC427</f>
        <v/>
      </c>
      <c r="AG427">
        <f>SUMPRODUCT(($B$407:$B$428=$AA427)*(ISNUMBER($H$407:$H$428)+($H$407:$H$428="N/A")))</f>
        <v/>
      </c>
      <c r="AH427">
        <f>'Assessment Questions'!AK427</f>
        <v/>
      </c>
      <c r="AI427">
        <f>'Assessment Questions'!AL427</f>
        <v/>
      </c>
      <c r="AJ427">
        <f>IF(OR($H427="",$H427="N/A"),"",IF($AH427="",VLOOKUP('Company Profile'!$B$40,_CONFIG_Model_Settings!$A$5:$B$8,2,FALSE),_xlfn.IFNA(VLOOKUP($AH427,_CONFIG_Model_Settings!$A$5:$B$8,2,FALSE),0.9)))</f>
        <v/>
      </c>
      <c r="AK427">
        <f>IF(OR($H427="",$H427="N/A"),"",IF($AI427="",VLOOKUP('Company Profile'!$B$41,_CONFIG_Model_Settings!$A$5:$B$8,2,FALSE),_xlfn.IFNA(VLOOKUP($AI427,_CONFIG_Model_Settings!$A$5:$B$8,2,FALSE),0.9)))</f>
        <v/>
      </c>
      <c r="AL427">
        <f>IF(OR($H427="",$H427="N/A"),"",ROUND(VALUE($H427)*$AJ427*$AK427*$AV427,2))</f>
        <v/>
      </c>
      <c r="AM427">
        <f>IF($AL427="","",ROUND($AL427/5*100,1))</f>
        <v/>
      </c>
      <c r="AN427">
        <f>IFERROR(MIN(5,MAX(0,(SUMIFS(_REF_Model_Content!$D$1:$D$157,_REF_Model_Content!$A$1:$A$157,'Company Profile'!$B$9,_REF_Model_Content!$B$1:$B$157,"Quality Portfolio"))+_xlfn.IFNA(VLOOKUP('Company Profile'!$B$35,_CONFIG_Model_Settings!$A$11:$B$13,2,0),0))),"")</f>
        <v/>
      </c>
      <c r="AO427">
        <f>IF($AL427="","",MAX(0,ROUND($AN427-$AL427,2)))</f>
        <v/>
      </c>
      <c r="AP427">
        <f>IFERROR(SUMIFS(_REF_Model_Content!$E$1:$E$157,_REF_Model_Content!$A$1:$A$157,'Company Profile'!$B$9,_REF_Model_Content!$B$1:$B$157,"Quality Portfolio"),1)</f>
        <v/>
      </c>
      <c r="AQ427">
        <f>IF($AO427="","",ROUND($AO427*$AP427*($G427/5),2))</f>
        <v/>
      </c>
      <c r="AR427">
        <f>IF($AO427="","",IF($AO427&gt;=2,"Critical industry gap",IF($AO427&gt;=1,"High industry gap",IF($AO427&gt;=0.5,"Moderate industry gap","Within target"))))</f>
        <v/>
      </c>
      <c r="AS427">
        <f>IF(OR($H427="",$H427="N/A"),0,VALUE($H427)*(($AJ427+$AK427)/2)*$AV427)</f>
        <v/>
      </c>
      <c r="AT427">
        <f>IF(OR($H427="",$H427="N/A"),0,($AJ427+$AK427)/2)</f>
        <v/>
      </c>
      <c r="AU427">
        <f>'Assessment Questions'!AX427</f>
        <v/>
      </c>
      <c r="AV427">
        <f>IF(OR($H427="",$H427="N/A"),"",IF(OR($AU427="",$AU427="Everywhere",$AU427="Not applicable"),1,IF($AU427="Pilot / one team",0.4,IF($AU427="One unit or site",0.7,0.9))))</f>
        <v/>
      </c>
      <c r="AW427" t="inlineStr">
        <is>
          <t>Quality Portfolio</t>
        </is>
      </c>
      <c r="AX427" t="inlineStr">
        <is>
          <t>Quality Portfolio</t>
        </is>
      </c>
      <c r="AY427" t="n">
        <v>25</v>
      </c>
      <c r="AZ427" t="n">
        <v>427</v>
      </c>
    </row>
    <row r="428">
      <c r="A428" t="inlineStr">
        <is>
          <t>QUAL-024</t>
        </is>
      </c>
      <c r="B428" t="inlineStr">
        <is>
          <t>Portfolio and change</t>
        </is>
      </c>
      <c r="C428" t="inlineStr">
        <is>
          <t>How mature is the organization in managing innovation and idea pipeline capturing, evaluating and funding employee and customer-driven improvements, including ownership, evidence, metrics, fallback procedures and crisis stress testing?</t>
        </is>
      </c>
      <c r="D428" t="inlineStr">
        <is>
          <t>This topic affects exposure to Demand shock; Reputation crisis. It helps identify how disruption may impact operations, people, revenue, systems, legal exposure or recovery time.</t>
        </is>
      </c>
      <c r="E428" t="inlineStr">
        <is>
          <t>EFQM 2025 2.3; ISO 56002; APQC PCF 13.0</t>
        </is>
      </c>
      <c r="F428" t="inlineStr">
        <is>
          <t>Policy/SOP; owner/RACI; system report; dashboard; contracts; test records; incident history; interview evidence related to process architecture covering major value streams and support processes.</t>
        </is>
      </c>
      <c r="G428">
        <f>'Assessment Questions'!J428</f>
        <v/>
      </c>
      <c r="H428">
        <f>IF($Z428="","",IF($Z428="N/A","N/A",VALUE(LEFT($Z428,1))))</f>
        <v/>
      </c>
      <c r="I428">
        <f>IF($H428="","",IF($H428="N/A","",VALUE($H428)/5*$G428))</f>
        <v/>
      </c>
      <c r="J428">
        <f>IF(OR($H428="",$H428="N/A"),"",$G428)</f>
        <v/>
      </c>
      <c r="K428">
        <f>IF(OR($H428="",$H428="N/A"),"",$J428-$I428)</f>
        <v/>
      </c>
      <c r="L428">
        <f>IF($H428="","",IF($H428="N/A","N/A",IF(VALUE($H428)&lt;=1,"Critical",IF(VALUE($H428)&lt;=2,"High",IF(VALUE($H428)&lt;=3,"Medium",IF(VALUE($H428)&lt;=4,"Low","Resilient"))))))</f>
        <v/>
      </c>
      <c r="M428" t="inlineStr">
        <is>
          <t>No reliable evidence that innovation and idea pipeline capturing, evaluating and funding employee and customer-driven improvements is defined, owned or managed.</t>
        </is>
      </c>
      <c r="N428" t="inlineStr">
        <is>
          <t>Innovation and idea pipeline capturing, evaluating and funding employee and customer-driven improvements is handled informally and depends on individual knowledge or heroic effort.</t>
        </is>
      </c>
      <c r="O428" t="inlineStr">
        <is>
          <t>Innovation and idea pipeline capturing, evaluating and funding employee and customer-driven improvements is partially documented or implemented, but coverage is inconsistent and not crisis-tested.</t>
        </is>
      </c>
      <c r="P428" t="inlineStr">
        <is>
          <t>Innovation and idea pipeline capturing, evaluating and funding employee and customer-driven improvements is documented, owned, used in normal operations and supported by basic evidence or metrics.</t>
        </is>
      </c>
      <c r="Q428" t="inlineStr">
        <is>
          <t>Innovation and idea pipeline capturing, evaluating and funding employee and customer-driven improvements is measured, periodically reviewed, integrated with related processes and tested against relevant disruption scenarios.</t>
        </is>
      </c>
      <c r="R428" t="inlineStr">
        <is>
          <t>Innovation and idea pipeline capturing, evaluating and funding employee and customer-driven improvements is optimized, continuously improved, automated where practical and demonstrably supports crisis resilience.</t>
        </is>
      </c>
      <c r="S428" t="inlineStr">
        <is>
          <t>Demand shock; Reputation crisis</t>
        </is>
      </c>
      <c r="T428">
        <f>'Assessment Questions'!W428</f>
        <v/>
      </c>
      <c r="U428">
        <f>'Assessment Questions'!X428</f>
        <v/>
      </c>
      <c r="V428">
        <f>'Assessment Questions'!Y428</f>
        <v/>
      </c>
      <c r="W428" t="n">
        <v>3</v>
      </c>
      <c r="X428" t="n">
        <v>3</v>
      </c>
      <c r="Y428" t="n">
        <v>4</v>
      </c>
      <c r="Z428">
        <f>'Assessment Questions'!AC428</f>
        <v/>
      </c>
      <c r="AB428">
        <f>COUNTIF($B$407:$B$428,$AA428)</f>
        <v/>
      </c>
      <c r="AC428">
        <f>IFERROR(SUMPRODUCT(($B$407:$B$428=$AA428)*($H$407:$H$428&lt;&gt;"")*($H$407:$H$428&lt;&gt;"N/A")*IFERROR(VALUE($H$407:$H$428),0))/SUMPRODUCT(($B$407:$B$428=$AA428)*($H$407:$H$428&lt;&gt;"")*($H$407:$H$428&lt;&gt;"N/A")),0)</f>
        <v/>
      </c>
      <c r="AD428">
        <f>AC428/5</f>
        <v/>
      </c>
      <c r="AE428">
        <f>COUNTIFS($B$407:$B$428,$AA428,$L$407:$L$428,"Critical")+COUNTIFS($B$407:$B$428,$AA428,$L$407:$L$428,"High")</f>
        <v/>
      </c>
      <c r="AF428">
        <f>5-AC428</f>
        <v/>
      </c>
      <c r="AG428">
        <f>SUMPRODUCT(($B$407:$B$428=$AA428)*(ISNUMBER($H$407:$H$428)+($H$407:$H$428="N/A")))</f>
        <v/>
      </c>
      <c r="AH428">
        <f>'Assessment Questions'!AK428</f>
        <v/>
      </c>
      <c r="AI428">
        <f>'Assessment Questions'!AL428</f>
        <v/>
      </c>
      <c r="AJ428">
        <f>IF(OR($H428="",$H428="N/A"),"",IF($AH428="",VLOOKUP('Company Profile'!$B$40,_CONFIG_Model_Settings!$A$5:$B$8,2,FALSE),_xlfn.IFNA(VLOOKUP($AH428,_CONFIG_Model_Settings!$A$5:$B$8,2,FALSE),0.9)))</f>
        <v/>
      </c>
      <c r="AK428">
        <f>IF(OR($H428="",$H428="N/A"),"",IF($AI428="",VLOOKUP('Company Profile'!$B$41,_CONFIG_Model_Settings!$A$5:$B$8,2,FALSE),_xlfn.IFNA(VLOOKUP($AI428,_CONFIG_Model_Settings!$A$5:$B$8,2,FALSE),0.9)))</f>
        <v/>
      </c>
      <c r="AL428">
        <f>IF(OR($H428="",$H428="N/A"),"",ROUND(VALUE($H428)*$AJ428*$AK428*$AV428,2))</f>
        <v/>
      </c>
      <c r="AM428">
        <f>IF($AL428="","",ROUND($AL428/5*100,1))</f>
        <v/>
      </c>
      <c r="AN428">
        <f>IFERROR(MIN(5,MAX(0,(SUMIFS(_REF_Model_Content!$D$1:$D$157,_REF_Model_Content!$A$1:$A$157,'Company Profile'!$B$9,_REF_Model_Content!$B$1:$B$157,"Quality Portfolio"))+_xlfn.IFNA(VLOOKUP('Company Profile'!$B$35,_CONFIG_Model_Settings!$A$11:$B$13,2,0),0))),"")</f>
        <v/>
      </c>
      <c r="AO428">
        <f>IF($AL428="","",MAX(0,ROUND($AN428-$AL428,2)))</f>
        <v/>
      </c>
      <c r="AP428">
        <f>IFERROR(SUMIFS(_REF_Model_Content!$E$1:$E$157,_REF_Model_Content!$A$1:$A$157,'Company Profile'!$B$9,_REF_Model_Content!$B$1:$B$157,"Quality Portfolio"),1)</f>
        <v/>
      </c>
      <c r="AQ428">
        <f>IF($AO428="","",ROUND($AO428*$AP428*($G428/5),2))</f>
        <v/>
      </c>
      <c r="AR428">
        <f>IF($AO428="","",IF($AO428&gt;=2,"Critical industry gap",IF($AO428&gt;=1,"High industry gap",IF($AO428&gt;=0.5,"Moderate industry gap","Within target"))))</f>
        <v/>
      </c>
      <c r="AS428">
        <f>IF(OR($H428="",$H428="N/A"),0,VALUE($H428)*(($AJ428+$AK428)/2)*$AV428)</f>
        <v/>
      </c>
      <c r="AT428">
        <f>IF(OR($H428="",$H428="N/A"),0,($AJ428+$AK428)/2)</f>
        <v/>
      </c>
      <c r="AU428">
        <f>'Assessment Questions'!AX428</f>
        <v/>
      </c>
      <c r="AV428">
        <f>IF(OR($H428="",$H428="N/A"),"",IF(OR($AU428="",$AU428="Everywhere",$AU428="Not applicable"),1,IF($AU428="Pilot / one team",0.4,IF($AU428="One unit or site",0.7,0.9))))</f>
        <v/>
      </c>
      <c r="AW428" t="inlineStr">
        <is>
          <t>Quality Portfolio</t>
        </is>
      </c>
      <c r="AX428" t="inlineStr">
        <is>
          <t>Quality Portfolio</t>
        </is>
      </c>
      <c r="AY428" t="n">
        <v>26</v>
      </c>
      <c r="AZ428" t="n">
        <v>428</v>
      </c>
    </row>
  </sheetData>
  <autoFilter ref="A4:AZ428"/>
  <pageMargins left="0.7" right="0.7" top="0.75" bottom="0.75" header="0.3" footer="0.3"/>
  <pageSetup orientation="landscape" fitToHeight="0"/>
  <headerFooter>
    <oddHeader/>
    <oddFooter>&amp;R© Roman Reznikov / RR-framework — CC BY-NC-SA 4.0 — For authorized use only</oddFooter>
    <evenHeader/>
    <evenFooter>&amp;R© Roman Reznikov / RR-framework — CC BY-NC-SA 4.0 — For authorized use only</evenFooter>
    <firstHeader/>
    <firstFooter>&amp;R© Roman Reznikov / RR-framework — CC BY-NC-SA 4.0 — For authorized use only</firstFooter>
  </headerFooter>
  <legacyDrawing xmlns:r="http://schemas.openxmlformats.org/officeDocument/2006/relationships" r:id="anysvml"/>
</worksheet>
</file>

<file path=xl/worksheets/sheet13.xml><?xml version="1.0" encoding="utf-8"?>
<worksheet xmlns="http://schemas.openxmlformats.org/spreadsheetml/2006/main" xmlns:r="http://schemas.openxmlformats.org/officeDocument/2006/relationships">
  <sheetPr>
    <tabColor rgb="FF6B7280"/>
    <outlinePr summaryBelow="1" summaryRight="1"/>
    <pageSetUpPr fitToPage="1"/>
  </sheetPr>
  <dimension ref="A1:BS923"/>
  <sheetViews>
    <sheetView showGridLines="0" workbookViewId="0">
      <pane ySplit="3" topLeftCell="A4" activePane="bottomLeft" state="frozen"/>
      <selection pane="bottomLeft" activeCell="A1" sqref="A1"/>
    </sheetView>
  </sheetViews>
  <sheetFormatPr baseColWidth="8" defaultRowHeight="13.8"/>
  <cols>
    <col width="34" customWidth="1" style="209" min="1" max="1"/>
    <col width="26" customWidth="1" style="209" min="2" max="2"/>
    <col width="60" customWidth="1" style="209" min="3" max="3"/>
    <col width="20" customWidth="1" style="209" min="4" max="4"/>
    <col width="40" customWidth="1" style="209" min="5" max="5"/>
    <col width="13" customWidth="1" style="209" min="6" max="6"/>
    <col width="20" customWidth="1" style="209" min="7" max="7"/>
    <col width="14" customWidth="1" style="209" min="8" max="8"/>
    <col width="13" customWidth="1" style="209" min="9" max="9"/>
    <col width="48" customWidth="1" style="209" min="10" max="10"/>
    <col width="13" customWidth="1" style="209" min="11" max="11"/>
    <col width="24" customWidth="1" style="209" min="12" max="12"/>
    <col width="16" customWidth="1" style="209" min="13" max="13"/>
    <col width="13" customWidth="1" style="209" min="14" max="22"/>
  </cols>
  <sheetData>
    <row r="1" ht="25.95" customHeight="1" s="209">
      <c r="A1" s="261" t="inlineStr">
        <is>
          <t>Crisis Management Assessment Dashboard</t>
        </is>
      </c>
      <c r="B1" s="261" t="n"/>
      <c r="C1" s="261" t="n"/>
      <c r="D1" s="261" t="n"/>
      <c r="E1" s="261" t="n"/>
      <c r="F1" s="261" t="n"/>
      <c r="G1" s="261" t="n"/>
      <c r="H1" s="261" t="n"/>
      <c r="I1" s="261" t="n"/>
      <c r="J1" s="261" t="n"/>
      <c r="K1" s="261" t="n"/>
      <c r="L1" s="261" t="n"/>
      <c r="M1" s="202" t="n"/>
      <c r="N1" s="202" t="n"/>
      <c r="O1" s="202" t="n"/>
      <c r="P1" s="202" t="n"/>
      <c r="Q1" s="202" t="n"/>
      <c r="R1" s="202" t="n"/>
      <c r="S1" s="202" t="n"/>
      <c r="T1" s="202" t="n"/>
      <c r="U1" s="202" t="n"/>
      <c r="V1" s="202" t="n"/>
      <c r="Y1" t="inlineStr">
        <is>
          <t>Consolidated dashboard source map</t>
        </is>
      </c>
    </row>
    <row r="2" ht="34.05" customHeight="1" s="209">
      <c r="A2" s="257" t="inlineStr">
        <is>
          <t>How to use: fill Score 0-5 or N/A in each domain tab; add evidence and comments; review Critical/High gaps; then build crisis-specific mitigation roadmaps. The focus is crisis impact across people, geography, physical safety, suppliers, manufacturing, systems, cloud, data, cybersecurity, strategy and GTM.</t>
        </is>
      </c>
      <c r="B2" s="257" t="n"/>
      <c r="C2" s="257" t="n"/>
      <c r="D2" s="257" t="n"/>
      <c r="E2" s="257" t="n"/>
      <c r="F2" s="257" t="n"/>
      <c r="G2" s="257" t="n"/>
      <c r="H2" s="257" t="n"/>
      <c r="I2" s="257" t="n"/>
      <c r="J2" s="257" t="n"/>
      <c r="K2" s="257" t="n"/>
      <c r="L2" s="257" t="n"/>
      <c r="M2" s="202" t="n"/>
      <c r="N2" s="202" t="n"/>
      <c r="O2" s="202" t="n"/>
      <c r="P2" s="202" t="n"/>
      <c r="Q2" s="202" t="n"/>
      <c r="R2" s="202" t="n"/>
      <c r="S2" s="202" t="n"/>
      <c r="T2" s="202" t="n"/>
      <c r="U2" s="202" t="n"/>
      <c r="V2" s="202" t="n"/>
      <c r="Y2" t="inlineStr">
        <is>
          <t>Original sheet</t>
        </is>
      </c>
      <c r="Z2" t="inlineStr">
        <is>
          <t>Backend block start</t>
        </is>
      </c>
      <c r="AA2" t="inlineStr">
        <is>
          <t>Original range size</t>
        </is>
      </c>
    </row>
    <row r="3">
      <c r="A3" s="202" t="n"/>
      <c r="B3" s="202" t="n"/>
      <c r="C3" s="202" t="n"/>
      <c r="D3" s="202" t="n"/>
      <c r="E3" s="202" t="n"/>
      <c r="F3" s="202" t="n"/>
      <c r="G3" s="202" t="n"/>
      <c r="H3" s="202" t="n"/>
      <c r="I3" s="202" t="n"/>
      <c r="J3" s="202" t="n"/>
      <c r="K3" s="202" t="n"/>
      <c r="L3" s="202" t="n"/>
      <c r="M3" s="202" t="n"/>
      <c r="N3" s="202" t="n"/>
      <c r="O3" s="202" t="n"/>
      <c r="P3" s="202" t="n"/>
      <c r="Q3" s="202" t="n"/>
      <c r="R3" s="202" t="n"/>
      <c r="S3" s="202" t="n"/>
      <c r="T3" s="202" t="n"/>
      <c r="U3" s="202" t="n"/>
      <c r="V3" s="202" t="n"/>
      <c r="Y3" t="inlineStr">
        <is>
          <t>Dashboard</t>
        </is>
      </c>
      <c r="Z3" t="inlineStr">
        <is>
          <t>A1</t>
        </is>
      </c>
      <c r="AA3" t="inlineStr">
        <is>
          <t>90 rows × 22 cols</t>
        </is>
      </c>
    </row>
    <row r="4" ht="30" customHeight="1" s="209">
      <c r="A4" s="101" t="inlineStr">
        <is>
          <t>Domain</t>
        </is>
      </c>
      <c r="B4" s="101" t="inlineStr">
        <is>
          <t>Questions</t>
        </is>
      </c>
      <c r="C4" s="101" t="inlineStr">
        <is>
          <t>Answered</t>
        </is>
      </c>
      <c r="D4" s="101" t="inlineStr">
        <is>
          <t>Completion %</t>
        </is>
      </c>
      <c r="E4" s="101" t="inlineStr">
        <is>
          <t>Weighted score</t>
        </is>
      </c>
      <c r="F4" s="101" t="inlineStr">
        <is>
          <t>Max score</t>
        </is>
      </c>
      <c r="G4" s="101" t="inlineStr">
        <is>
          <t>Maturity %</t>
        </is>
      </c>
      <c r="H4" s="101" t="inlineStr">
        <is>
          <t>Maturity 0-5</t>
        </is>
      </c>
      <c r="I4" s="101" t="inlineStr">
        <is>
          <t>Gap</t>
        </is>
      </c>
      <c r="J4" s="101" t="inlineStr">
        <is>
          <t>Critical</t>
        </is>
      </c>
      <c r="K4" s="101" t="inlineStr">
        <is>
          <t>High</t>
        </is>
      </c>
      <c r="L4" s="101" t="inlineStr">
        <is>
          <t>Medium</t>
        </is>
      </c>
      <c r="M4" s="101" t="inlineStr">
        <is>
          <t>Low</t>
        </is>
      </c>
      <c r="N4" s="101" t="inlineStr">
        <is>
          <t>Resilient</t>
        </is>
      </c>
      <c r="O4" s="101" t="inlineStr">
        <is>
          <t>Priority note</t>
        </is>
      </c>
      <c r="P4" s="202" t="n"/>
      <c r="Q4" s="107" t="inlineStr">
        <is>
          <t>Overall metric</t>
        </is>
      </c>
      <c r="R4" s="107" t="inlineStr">
        <is>
          <t>Value</t>
        </is>
      </c>
      <c r="S4" s="107" t="inlineStr">
        <is>
          <t>Interpretation</t>
        </is>
      </c>
      <c r="T4" s="202" t="n"/>
      <c r="U4" s="202" t="n"/>
      <c r="V4" s="202" t="n"/>
      <c r="Y4" t="inlineStr">
        <is>
          <t>Heatmaps</t>
        </is>
      </c>
      <c r="Z4" t="inlineStr">
        <is>
          <t>A110</t>
        </is>
      </c>
      <c r="AA4" t="inlineStr">
        <is>
          <t>81 rows × 22 cols</t>
        </is>
      </c>
    </row>
    <row r="5">
      <c r="A5" s="225" t="inlineStr">
        <is>
          <t>Company Geography</t>
        </is>
      </c>
      <c r="B5" s="225" t="n">
        <v>19</v>
      </c>
      <c r="C5" s="225">
        <f>COUNTIF(_DATA_Assessment_Model!$H$5:$H$23,"N/A")+COUNTIF(_DATA_Assessment_Model!$H$5:$H$23,"0")+COUNTIF(_DATA_Assessment_Model!$H$5:$H$23,"1")+COUNTIF(_DATA_Assessment_Model!$H$5:$H$23,"2")+COUNTIF(_DATA_Assessment_Model!$H$5:$H$23,"3")+COUNTIF(_DATA_Assessment_Model!$H$5:$H$23,"4")+COUNTIF(_DATA_Assessment_Model!$H$5:$H$23,"5")</f>
        <v/>
      </c>
      <c r="D5" s="108">
        <f>IFERROR(C5/B5,0)</f>
        <v/>
      </c>
      <c r="E5" s="109">
        <f>SUM(_DATA_Assessment_Model!$I$5:$I$23)</f>
        <v/>
      </c>
      <c r="F5" s="109">
        <f>SUM(_DATA_Assessment_Model!$J$5:$J$23)</f>
        <v/>
      </c>
      <c r="G5" s="109">
        <f>IFERROR(E5/F5,0)</f>
        <v/>
      </c>
      <c r="H5" s="109">
        <f>G5*5</f>
        <v/>
      </c>
      <c r="I5" s="109">
        <f>SUM(_DATA_Assessment_Model!$K$5:$K$23)</f>
        <v/>
      </c>
      <c r="J5" s="225">
        <f>COUNTIF(_DATA_Assessment_Model!$L$5:$L$23,"Critical")</f>
        <v/>
      </c>
      <c r="K5" s="225">
        <f>COUNTIF(_DATA_Assessment_Model!$L$5:$L$23,"High")</f>
        <v/>
      </c>
      <c r="L5" s="225">
        <f>COUNTIF(_DATA_Assessment_Model!$L$5:$L$23,"Medium")</f>
        <v/>
      </c>
      <c r="M5" s="225">
        <f>COUNTIF(_DATA_Assessment_Model!$L$5:$L$23,"Low")</f>
        <v/>
      </c>
      <c r="N5" s="225">
        <f>COUNTIF(_DATA_Assessment_Model!$L$5:$L$23,"Resilient")</f>
        <v/>
      </c>
      <c r="O5" s="225">
        <f>IF(J5+K5&gt;0,"Review critical/high-risk gaps",IF(D5&lt;1,"Complete assessment","Monitor and improve"))</f>
        <v/>
      </c>
      <c r="P5" s="202" t="n"/>
      <c r="Q5" s="202" t="inlineStr">
        <is>
          <t>Total questions</t>
        </is>
      </c>
      <c r="R5" s="110">
        <f>SUM(B5:B21)</f>
        <v/>
      </c>
      <c r="S5" s="202" t="inlineStr">
        <is>
          <t>Total number of questions across all domains.</t>
        </is>
      </c>
      <c r="T5" s="202" t="n"/>
      <c r="U5" s="202" t="n"/>
      <c r="V5" s="202" t="n"/>
      <c r="Y5" t="inlineStr">
        <is>
          <t>Benchmark View</t>
        </is>
      </c>
      <c r="Z5" t="inlineStr">
        <is>
          <t>A210</t>
        </is>
      </c>
      <c r="AA5" t="inlineStr">
        <is>
          <t>37 rows × 11 cols</t>
        </is>
      </c>
    </row>
    <row r="6">
      <c r="A6" s="225" t="inlineStr">
        <is>
          <t>Strategy GTM</t>
        </is>
      </c>
      <c r="B6" s="225" t="n">
        <v>26</v>
      </c>
      <c r="C6" s="225">
        <f>COUNTIF(_DATA_Assessment_Model!$H$24:$H$49,"N/A")+COUNTIF(_DATA_Assessment_Model!$H$24:$H$49,"0")+COUNTIF(_DATA_Assessment_Model!$H$24:$H$49,"1")+COUNTIF(_DATA_Assessment_Model!$H$24:$H$49,"2")+COUNTIF(_DATA_Assessment_Model!$H$24:$H$49,"3")+COUNTIF(_DATA_Assessment_Model!$H$24:$H$49,"4")+COUNTIF(_DATA_Assessment_Model!$H$24:$H$49,"5")</f>
        <v/>
      </c>
      <c r="D6" s="108">
        <f>IFERROR(C6/B6,0)</f>
        <v/>
      </c>
      <c r="E6" s="109">
        <f>SUM(_DATA_Assessment_Model!$I$24:$I$49)</f>
        <v/>
      </c>
      <c r="F6" s="109">
        <f>SUM(_DATA_Assessment_Model!$J$24:$J$49)</f>
        <v/>
      </c>
      <c r="G6" s="109">
        <f>IFERROR(E6/F6,0)</f>
        <v/>
      </c>
      <c r="H6" s="109">
        <f>G6*5</f>
        <v/>
      </c>
      <c r="I6" s="109">
        <f>SUM(_DATA_Assessment_Model!$K$24:$K$49)</f>
        <v/>
      </c>
      <c r="J6" s="225">
        <f>COUNTIF(_DATA_Assessment_Model!$L$24:$L$49,"Critical")</f>
        <v/>
      </c>
      <c r="K6" s="225">
        <f>COUNTIF(_DATA_Assessment_Model!$L$24:$L$49,"High")</f>
        <v/>
      </c>
      <c r="L6" s="225">
        <f>COUNTIF(_DATA_Assessment_Model!$L$24:$L$49,"Medium")</f>
        <v/>
      </c>
      <c r="M6" s="225">
        <f>COUNTIF(_DATA_Assessment_Model!$L$24:$L$49,"Low")</f>
        <v/>
      </c>
      <c r="N6" s="225">
        <f>COUNTIF(_DATA_Assessment_Model!$L$24:$L$49,"Resilient")</f>
        <v/>
      </c>
      <c r="O6" s="225">
        <f>IF(J6+K6&gt;0,"Review critical/high-risk gaps",IF(D6&lt;1,"Complete assessment","Monitor and improve"))</f>
        <v/>
      </c>
      <c r="P6" s="202" t="n"/>
      <c r="Q6" s="202" t="inlineStr">
        <is>
          <t>Answered questions</t>
        </is>
      </c>
      <c r="R6" s="110">
        <f>SUM(C5:C21)</f>
        <v/>
      </c>
      <c r="S6" s="202" t="inlineStr">
        <is>
          <t>Includes N/A as answered.</t>
        </is>
      </c>
      <c r="T6" s="202" t="n"/>
      <c r="U6" s="202" t="n"/>
      <c r="V6" s="202" t="n"/>
      <c r="Y6" t="inlineStr">
        <is>
          <t>Spider Dashboards</t>
        </is>
      </c>
      <c r="Z6" t="inlineStr">
        <is>
          <t>A270</t>
        </is>
      </c>
      <c r="AA6" t="inlineStr">
        <is>
          <t>51 rows × 18 cols</t>
        </is>
      </c>
    </row>
    <row r="7">
      <c r="A7" s="225" t="inlineStr">
        <is>
          <t>Governance Crisis</t>
        </is>
      </c>
      <c r="B7" s="225" t="n">
        <v>22</v>
      </c>
      <c r="C7" s="225">
        <f>COUNTIF(_DATA_Assessment_Model!$H$50:$H$71,"N/A")+COUNTIF(_DATA_Assessment_Model!$H$50:$H$71,"0")+COUNTIF(_DATA_Assessment_Model!$H$50:$H$71,"1")+COUNTIF(_DATA_Assessment_Model!$H$50:$H$71,"2")+COUNTIF(_DATA_Assessment_Model!$H$50:$H$71,"3")+COUNTIF(_DATA_Assessment_Model!$H$50:$H$71,"4")+COUNTIF(_DATA_Assessment_Model!$H$50:$H$71,"5")</f>
        <v/>
      </c>
      <c r="D7" s="108">
        <f>IFERROR(C7/B7,0)</f>
        <v/>
      </c>
      <c r="E7" s="109">
        <f>SUM(_DATA_Assessment_Model!$I$50:$I$71)</f>
        <v/>
      </c>
      <c r="F7" s="109">
        <f>SUM(_DATA_Assessment_Model!$J$50:$J$71)</f>
        <v/>
      </c>
      <c r="G7" s="109">
        <f>IFERROR(E7/F7,0)</f>
        <v/>
      </c>
      <c r="H7" s="109">
        <f>G7*5</f>
        <v/>
      </c>
      <c r="I7" s="109">
        <f>SUM(_DATA_Assessment_Model!$K$50:$K$71)</f>
        <v/>
      </c>
      <c r="J7" s="225">
        <f>COUNTIF(_DATA_Assessment_Model!$L$50:$L$71,"Critical")</f>
        <v/>
      </c>
      <c r="K7" s="225">
        <f>COUNTIF(_DATA_Assessment_Model!$L$50:$L$71,"High")</f>
        <v/>
      </c>
      <c r="L7" s="225">
        <f>COUNTIF(_DATA_Assessment_Model!$L$50:$L$71,"Medium")</f>
        <v/>
      </c>
      <c r="M7" s="225">
        <f>COUNTIF(_DATA_Assessment_Model!$L$50:$L$71,"Low")</f>
        <v/>
      </c>
      <c r="N7" s="225">
        <f>COUNTIF(_DATA_Assessment_Model!$L$50:$L$71,"Resilient")</f>
        <v/>
      </c>
      <c r="O7" s="225">
        <f>IF(J7+K7&gt;0,"Review critical/high-risk gaps",IF(D7&lt;1,"Complete assessment","Monitor and improve"))</f>
        <v/>
      </c>
      <c r="P7" s="202" t="n"/>
      <c r="Q7" s="202" t="inlineStr">
        <is>
          <t>Overall completion</t>
        </is>
      </c>
      <c r="R7" s="110">
        <f>IFERROR(R6/R5,0)</f>
        <v/>
      </c>
      <c r="S7" s="202" t="inlineStr">
        <is>
          <t>Target: 100% before final diagnosis.</t>
        </is>
      </c>
      <c r="T7" s="202" t="n"/>
      <c r="U7" s="202" t="n"/>
      <c r="V7" s="202" t="n"/>
      <c r="Y7" t="inlineStr">
        <is>
          <t>Executive Brief</t>
        </is>
      </c>
      <c r="Z7" t="inlineStr">
        <is>
          <t>A340</t>
        </is>
      </c>
      <c r="AA7" t="inlineStr">
        <is>
          <t>26 rows × 4 cols</t>
        </is>
      </c>
    </row>
    <row r="8">
      <c r="A8" s="225" t="inlineStr">
        <is>
          <t>HR Workforce</t>
        </is>
      </c>
      <c r="B8" s="225" t="n">
        <v>26</v>
      </c>
      <c r="C8" s="225">
        <f>COUNTIF(_DATA_Assessment_Model!$H$72:$H$97,"N/A")+COUNTIF(_DATA_Assessment_Model!$H$72:$H$97,"0")+COUNTIF(_DATA_Assessment_Model!$H$72:$H$97,"1")+COUNTIF(_DATA_Assessment_Model!$H$72:$H$97,"2")+COUNTIF(_DATA_Assessment_Model!$H$72:$H$97,"3")+COUNTIF(_DATA_Assessment_Model!$H$72:$H$97,"4")+COUNTIF(_DATA_Assessment_Model!$H$72:$H$97,"5")</f>
        <v/>
      </c>
      <c r="D8" s="108">
        <f>IFERROR(C8/B8,0)</f>
        <v/>
      </c>
      <c r="E8" s="109">
        <f>SUM(_DATA_Assessment_Model!$I$72:$I$97)</f>
        <v/>
      </c>
      <c r="F8" s="109">
        <f>SUM(_DATA_Assessment_Model!$J$72:$J$97)</f>
        <v/>
      </c>
      <c r="G8" s="109">
        <f>IFERROR(E8/F8,0)</f>
        <v/>
      </c>
      <c r="H8" s="109">
        <f>G8*5</f>
        <v/>
      </c>
      <c r="I8" s="109">
        <f>SUM(_DATA_Assessment_Model!$K$72:$K$97)</f>
        <v/>
      </c>
      <c r="J8" s="225">
        <f>COUNTIF(_DATA_Assessment_Model!$L$72:$L$97,"Critical")</f>
        <v/>
      </c>
      <c r="K8" s="225">
        <f>COUNTIF(_DATA_Assessment_Model!$L$72:$L$97,"High")</f>
        <v/>
      </c>
      <c r="L8" s="225">
        <f>COUNTIF(_DATA_Assessment_Model!$L$72:$L$97,"Medium")</f>
        <v/>
      </c>
      <c r="M8" s="225">
        <f>COUNTIF(_DATA_Assessment_Model!$L$72:$L$97,"Low")</f>
        <v/>
      </c>
      <c r="N8" s="225">
        <f>COUNTIF(_DATA_Assessment_Model!$L$72:$L$97,"Resilient")</f>
        <v/>
      </c>
      <c r="O8" s="225">
        <f>IF(J8+K8&gt;0,"Review critical/high-risk gaps",IF(D8&lt;1,"Complete assessment","Monitor and improve"))</f>
        <v/>
      </c>
      <c r="P8" s="202" t="n"/>
      <c r="Q8" s="202" t="inlineStr">
        <is>
          <t>Overall maturity %</t>
        </is>
      </c>
      <c r="R8" s="110">
        <f>IFERROR(SUM(E5:E21)/SUM(F5:F21),0)</f>
        <v/>
      </c>
      <c r="S8" s="202" t="inlineStr">
        <is>
          <t>Weighted resilience maturity across answered items.</t>
        </is>
      </c>
      <c r="T8" s="202" t="n"/>
      <c r="U8" s="202" t="n"/>
      <c r="V8" s="202" t="n"/>
    </row>
    <row r="9">
      <c r="A9" s="225" t="inlineStr">
        <is>
          <t>Finance Procurement</t>
        </is>
      </c>
      <c r="B9" s="225" t="n">
        <v>26</v>
      </c>
      <c r="C9" s="225">
        <f>COUNTIF(_DATA_Assessment_Model!$H$98:$H$123,"N/A")+COUNTIF(_DATA_Assessment_Model!$H$98:$H$123,"0")+COUNTIF(_DATA_Assessment_Model!$H$98:$H$123,"1")+COUNTIF(_DATA_Assessment_Model!$H$98:$H$123,"2")+COUNTIF(_DATA_Assessment_Model!$H$98:$H$123,"3")+COUNTIF(_DATA_Assessment_Model!$H$98:$H$123,"4")+COUNTIF(_DATA_Assessment_Model!$H$98:$H$123,"5")</f>
        <v/>
      </c>
      <c r="D9" s="108">
        <f>IFERROR(C9/B9,0)</f>
        <v/>
      </c>
      <c r="E9" s="109">
        <f>SUM(_DATA_Assessment_Model!$I$98:$I$123)</f>
        <v/>
      </c>
      <c r="F9" s="109">
        <f>SUM(_DATA_Assessment_Model!$J$98:$J$123)</f>
        <v/>
      </c>
      <c r="G9" s="109">
        <f>IFERROR(E9/F9,0)</f>
        <v/>
      </c>
      <c r="H9" s="109">
        <f>G9*5</f>
        <v/>
      </c>
      <c r="I9" s="109">
        <f>SUM(_DATA_Assessment_Model!$K$98:$K$123)</f>
        <v/>
      </c>
      <c r="J9" s="225">
        <f>COUNTIF(_DATA_Assessment_Model!$L$98:$L$123,"Critical")</f>
        <v/>
      </c>
      <c r="K9" s="225">
        <f>COUNTIF(_DATA_Assessment_Model!$L$98:$L$123,"High")</f>
        <v/>
      </c>
      <c r="L9" s="225">
        <f>COUNTIF(_DATA_Assessment_Model!$L$98:$L$123,"Medium")</f>
        <v/>
      </c>
      <c r="M9" s="225">
        <f>COUNTIF(_DATA_Assessment_Model!$L$98:$L$123,"Low")</f>
        <v/>
      </c>
      <c r="N9" s="225">
        <f>COUNTIF(_DATA_Assessment_Model!$L$98:$L$123,"Resilient")</f>
        <v/>
      </c>
      <c r="O9" s="225">
        <f>IF(J9+K9&gt;0,"Review critical/high-risk gaps",IF(D9&lt;1,"Complete assessment","Monitor and improve"))</f>
        <v/>
      </c>
      <c r="P9" s="202" t="n"/>
      <c r="Q9" s="202" t="inlineStr">
        <is>
          <t>Overall maturity 0-5</t>
        </is>
      </c>
      <c r="R9" s="110">
        <f>R8*5</f>
        <v/>
      </c>
      <c r="S9" s="202" t="inlineStr">
        <is>
          <t>0 = absent, 5 = optimized/resilient.</t>
        </is>
      </c>
      <c r="T9" s="202" t="n"/>
      <c r="U9" s="202" t="n"/>
      <c r="V9" s="202" t="n"/>
    </row>
    <row r="10">
      <c r="A10" s="225" t="inlineStr">
        <is>
          <t>Legal Risk</t>
        </is>
      </c>
      <c r="B10" s="225" t="n">
        <v>21</v>
      </c>
      <c r="C10" s="225">
        <f>COUNTIF(_DATA_Assessment_Model!$H$124:$H$144,"N/A")+COUNTIF(_DATA_Assessment_Model!$H$124:$H$144,"0")+COUNTIF(_DATA_Assessment_Model!$H$124:$H$144,"1")+COUNTIF(_DATA_Assessment_Model!$H$124:$H$144,"2")+COUNTIF(_DATA_Assessment_Model!$H$124:$H$144,"3")+COUNTIF(_DATA_Assessment_Model!$H$124:$H$144,"4")+COUNTIF(_DATA_Assessment_Model!$H$124:$H$144,"5")</f>
        <v/>
      </c>
      <c r="D10" s="108">
        <f>IFERROR(C10/B10,0)</f>
        <v/>
      </c>
      <c r="E10" s="109">
        <f>SUM(_DATA_Assessment_Model!$I$124:$I$144)</f>
        <v/>
      </c>
      <c r="F10" s="109">
        <f>SUM(_DATA_Assessment_Model!$J$124:$J$144)</f>
        <v/>
      </c>
      <c r="G10" s="109">
        <f>IFERROR(E10/F10,0)</f>
        <v/>
      </c>
      <c r="H10" s="109">
        <f>G10*5</f>
        <v/>
      </c>
      <c r="I10" s="109">
        <f>SUM(_DATA_Assessment_Model!$K$124:$K$144)</f>
        <v/>
      </c>
      <c r="J10" s="225">
        <f>COUNTIF(_DATA_Assessment_Model!$L$124:$L$144,"Critical")</f>
        <v/>
      </c>
      <c r="K10" s="225">
        <f>COUNTIF(_DATA_Assessment_Model!$L$124:$L$144,"High")</f>
        <v/>
      </c>
      <c r="L10" s="225">
        <f>COUNTIF(_DATA_Assessment_Model!$L$124:$L$144,"Medium")</f>
        <v/>
      </c>
      <c r="M10" s="225">
        <f>COUNTIF(_DATA_Assessment_Model!$L$124:$L$144,"Low")</f>
        <v/>
      </c>
      <c r="N10" s="225">
        <f>COUNTIF(_DATA_Assessment_Model!$L$124:$L$144,"Resilient")</f>
        <v/>
      </c>
      <c r="O10" s="225">
        <f>IF(J10+K10&gt;0,"Review critical/high-risk gaps",IF(D10&lt;1,"Complete assessment","Monitor and improve"))</f>
        <v/>
      </c>
      <c r="P10" s="202" t="n"/>
      <c r="Q10" s="202" t="inlineStr">
        <is>
          <t>Critical items</t>
        </is>
      </c>
      <c r="R10" s="110">
        <f>SUM(J5:J21)</f>
        <v/>
      </c>
      <c r="S10" s="202" t="inlineStr">
        <is>
          <t>Immediate action required.</t>
        </is>
      </c>
      <c r="T10" s="202" t="n"/>
      <c r="U10" s="202" t="n"/>
      <c r="V10" s="202" t="n"/>
    </row>
    <row r="11">
      <c r="A11" s="225" t="inlineStr">
        <is>
          <t>Physical Safety</t>
        </is>
      </c>
      <c r="B11" s="225" t="n">
        <v>31</v>
      </c>
      <c r="C11" s="225">
        <f>COUNTIF(_DATA_Assessment_Model!$H$145:$H$175,"N/A")+COUNTIF(_DATA_Assessment_Model!$H$145:$H$175,"0")+COUNTIF(_DATA_Assessment_Model!$H$145:$H$175,"1")+COUNTIF(_DATA_Assessment_Model!$H$145:$H$175,"2")+COUNTIF(_DATA_Assessment_Model!$H$145:$H$175,"3")+COUNTIF(_DATA_Assessment_Model!$H$145:$H$175,"4")+COUNTIF(_DATA_Assessment_Model!$H$145:$H$175,"5")</f>
        <v/>
      </c>
      <c r="D11" s="108">
        <f>IFERROR(C11/B11,0)</f>
        <v/>
      </c>
      <c r="E11" s="109">
        <f>SUM(_DATA_Assessment_Model!$I$145:$I$175)</f>
        <v/>
      </c>
      <c r="F11" s="109">
        <f>SUM(_DATA_Assessment_Model!$J$145:$J$175)</f>
        <v/>
      </c>
      <c r="G11" s="109">
        <f>IFERROR(E11/F11,0)</f>
        <v/>
      </c>
      <c r="H11" s="109">
        <f>G11*5</f>
        <v/>
      </c>
      <c r="I11" s="109">
        <f>SUM(_DATA_Assessment_Model!$K$145:$K$175)</f>
        <v/>
      </c>
      <c r="J11" s="225">
        <f>COUNTIF(_DATA_Assessment_Model!$L$145:$L$175,"Critical")</f>
        <v/>
      </c>
      <c r="K11" s="225">
        <f>COUNTIF(_DATA_Assessment_Model!$L$145:$L$175,"High")</f>
        <v/>
      </c>
      <c r="L11" s="225">
        <f>COUNTIF(_DATA_Assessment_Model!$L$145:$L$175,"Medium")</f>
        <v/>
      </c>
      <c r="M11" s="225">
        <f>COUNTIF(_DATA_Assessment_Model!$L$145:$L$175,"Low")</f>
        <v/>
      </c>
      <c r="N11" s="225">
        <f>COUNTIF(_DATA_Assessment_Model!$L$145:$L$175,"Resilient")</f>
        <v/>
      </c>
      <c r="O11" s="225">
        <f>IF(J11+K11&gt;0,"Review critical/high-risk gaps",IF(D11&lt;1,"Complete assessment","Monitor and improve"))</f>
        <v/>
      </c>
      <c r="P11" s="202" t="n"/>
      <c r="Q11" s="202" t="inlineStr">
        <is>
          <t>High-risk items</t>
        </is>
      </c>
      <c r="R11" s="110">
        <f>SUM(K5:K21)</f>
        <v/>
      </c>
      <c r="S11" s="202" t="inlineStr">
        <is>
          <t>Near-term mitigation required.</t>
        </is>
      </c>
      <c r="T11" s="202" t="n"/>
      <c r="U11" s="202" t="n"/>
      <c r="V11" s="202" t="n"/>
    </row>
    <row r="12">
      <c r="A12" s="225" t="inlineStr">
        <is>
          <t>Delivery Ops</t>
        </is>
      </c>
      <c r="B12" s="225" t="n">
        <v>24</v>
      </c>
      <c r="C12" s="225">
        <f>COUNTIF(_DATA_Assessment_Model!$H$176:$H$199,"N/A")+COUNTIF(_DATA_Assessment_Model!$H$176:$H$199,"0")+COUNTIF(_DATA_Assessment_Model!$H$176:$H$199,"1")+COUNTIF(_DATA_Assessment_Model!$H$176:$H$199,"2")+COUNTIF(_DATA_Assessment_Model!$H$176:$H$199,"3")+COUNTIF(_DATA_Assessment_Model!$H$176:$H$199,"4")+COUNTIF(_DATA_Assessment_Model!$H$176:$H$199,"5")</f>
        <v/>
      </c>
      <c r="D12" s="108">
        <f>IFERROR(C12/B12,0)</f>
        <v/>
      </c>
      <c r="E12" s="109">
        <f>SUM(_DATA_Assessment_Model!$I$176:$I$199)</f>
        <v/>
      </c>
      <c r="F12" s="109">
        <f>SUM(_DATA_Assessment_Model!$J$176:$J$199)</f>
        <v/>
      </c>
      <c r="G12" s="109">
        <f>IFERROR(E12/F12,0)</f>
        <v/>
      </c>
      <c r="H12" s="109">
        <f>G12*5</f>
        <v/>
      </c>
      <c r="I12" s="109">
        <f>SUM(_DATA_Assessment_Model!$K$176:$K$199)</f>
        <v/>
      </c>
      <c r="J12" s="225">
        <f>COUNTIF(_DATA_Assessment_Model!$L$176:$L$199,"Critical")</f>
        <v/>
      </c>
      <c r="K12" s="225">
        <f>COUNTIF(_DATA_Assessment_Model!$L$176:$L$199,"High")</f>
        <v/>
      </c>
      <c r="L12" s="225">
        <f>COUNTIF(_DATA_Assessment_Model!$L$176:$L$199,"Medium")</f>
        <v/>
      </c>
      <c r="M12" s="225">
        <f>COUNTIF(_DATA_Assessment_Model!$L$176:$L$199,"Low")</f>
        <v/>
      </c>
      <c r="N12" s="225">
        <f>COUNTIF(_DATA_Assessment_Model!$L$176:$L$199,"Resilient")</f>
        <v/>
      </c>
      <c r="O12" s="225">
        <f>IF(J12+K12&gt;0,"Review critical/high-risk gaps",IF(D12&lt;1,"Complete assessment","Monitor and improve"))</f>
        <v/>
      </c>
      <c r="P12" s="202" t="n"/>
      <c r="Q12" s="202" t="inlineStr">
        <is>
          <t>Total weighted gap</t>
        </is>
      </c>
      <c r="R12" s="110">
        <f>SUM(I5:I21)</f>
        <v/>
      </c>
      <c r="S12" s="202" t="inlineStr">
        <is>
          <t>Weighted improvement opportunity.</t>
        </is>
      </c>
      <c r="T12" s="202" t="n"/>
      <c r="U12" s="202" t="n"/>
      <c r="V12" s="202" t="n"/>
    </row>
    <row r="13" ht="15" customHeight="1" s="209">
      <c r="A13" s="225" t="inlineStr">
        <is>
          <t>Supply Chain</t>
        </is>
      </c>
      <c r="B13" s="225" t="n">
        <v>29</v>
      </c>
      <c r="C13" s="225">
        <f>COUNTIF(_DATA_Assessment_Model!$H$200:$H$228,"N/A")+COUNTIF(_DATA_Assessment_Model!$H$200:$H$228,"0")+COUNTIF(_DATA_Assessment_Model!$H$200:$H$228,"1")+COUNTIF(_DATA_Assessment_Model!$H$200:$H$228,"2")+COUNTIF(_DATA_Assessment_Model!$H$200:$H$228,"3")+COUNTIF(_DATA_Assessment_Model!$H$200:$H$228,"4")+COUNTIF(_DATA_Assessment_Model!$H$200:$H$228,"5")</f>
        <v/>
      </c>
      <c r="D13" s="108">
        <f>IFERROR(C13/B13,0)</f>
        <v/>
      </c>
      <c r="E13" s="109">
        <f>SUM(_DATA_Assessment_Model!$I$200:$I$228)</f>
        <v/>
      </c>
      <c r="F13" s="109">
        <f>SUM(_DATA_Assessment_Model!$J$200:$J$228)</f>
        <v/>
      </c>
      <c r="G13" s="109">
        <f>IFERROR(E13/F13,0)</f>
        <v/>
      </c>
      <c r="H13" s="109">
        <f>G13*5</f>
        <v/>
      </c>
      <c r="I13" s="109">
        <f>SUM(_DATA_Assessment_Model!$K$200:$K$228)</f>
        <v/>
      </c>
      <c r="J13" s="225">
        <f>COUNTIF(_DATA_Assessment_Model!$L$200:$L$228,"Critical")</f>
        <v/>
      </c>
      <c r="K13" s="225">
        <f>COUNTIF(_DATA_Assessment_Model!$L$200:$L$228,"High")</f>
        <v/>
      </c>
      <c r="L13" s="225">
        <f>COUNTIF(_DATA_Assessment_Model!$L$200:$L$228,"Medium")</f>
        <v/>
      </c>
      <c r="M13" s="225">
        <f>COUNTIF(_DATA_Assessment_Model!$L$200:$L$228,"Low")</f>
        <v/>
      </c>
      <c r="N13" s="225">
        <f>COUNTIF(_DATA_Assessment_Model!$L$200:$L$228,"Resilient")</f>
        <v/>
      </c>
      <c r="O13" s="225">
        <f>IF(J13+K13&gt;0,"Review critical/high-risk gaps",IF(D13&lt;1,"Complete assessment","Monitor and improve"))</f>
        <v/>
      </c>
      <c r="P13" s="202" t="n"/>
      <c r="Q13" s="15" t="inlineStr">
        <is>
          <t>Selected crisis scenario</t>
        </is>
      </c>
      <c r="R13" s="16">
        <f>'Resilience &amp; Risk Scenario'!$B$6</f>
        <v/>
      </c>
      <c r="S13" s="17" t="inlineStr">
        <is>
          <t>Used by scenario-adjusted risk and strategy logic.</t>
        </is>
      </c>
      <c r="T13" s="202" t="n"/>
      <c r="U13" s="202" t="n"/>
      <c r="V13" s="202" t="n"/>
    </row>
    <row r="14" ht="15" customHeight="1" s="209">
      <c r="A14" s="225" t="inlineStr">
        <is>
          <t>Manufacturing MES</t>
        </is>
      </c>
      <c r="B14" s="225" t="n">
        <v>28</v>
      </c>
      <c r="C14" s="225">
        <f>COUNTIF(_DATA_Assessment_Model!$H$229:$H$256,"N/A")+COUNTIF(_DATA_Assessment_Model!$H$229:$H$256,"0")+COUNTIF(_DATA_Assessment_Model!$H$229:$H$256,"1")+COUNTIF(_DATA_Assessment_Model!$H$229:$H$256,"2")+COUNTIF(_DATA_Assessment_Model!$H$229:$H$256,"3")+COUNTIF(_DATA_Assessment_Model!$H$229:$H$256,"4")+COUNTIF(_DATA_Assessment_Model!$H$229:$H$256,"5")</f>
        <v/>
      </c>
      <c r="D14" s="108">
        <f>IFERROR(C14/B14,0)</f>
        <v/>
      </c>
      <c r="E14" s="109">
        <f>SUM(_DATA_Assessment_Model!$I$229:$I$256)</f>
        <v/>
      </c>
      <c r="F14" s="109">
        <f>SUM(_DATA_Assessment_Model!$J$229:$J$256)</f>
        <v/>
      </c>
      <c r="G14" s="109">
        <f>IFERROR(E14/F14,0)</f>
        <v/>
      </c>
      <c r="H14" s="109">
        <f>G14*5</f>
        <v/>
      </c>
      <c r="I14" s="109">
        <f>SUM(_DATA_Assessment_Model!$K$229:$K$256)</f>
        <v/>
      </c>
      <c r="J14" s="225">
        <f>COUNTIF(_DATA_Assessment_Model!$L$229:$L$256,"Critical")</f>
        <v/>
      </c>
      <c r="K14" s="225">
        <f>COUNTIF(_DATA_Assessment_Model!$L$229:$L$256,"High")</f>
        <v/>
      </c>
      <c r="L14" s="225">
        <f>COUNTIF(_DATA_Assessment_Model!$L$229:$L$256,"Medium")</f>
        <v/>
      </c>
      <c r="M14" s="225">
        <f>COUNTIF(_DATA_Assessment_Model!$L$229:$L$256,"Low")</f>
        <v/>
      </c>
      <c r="N14" s="225">
        <f>COUNTIF(_DATA_Assessment_Model!$L$229:$L$256,"Resilient")</f>
        <v/>
      </c>
      <c r="O14" s="225">
        <f>IF(J14+K14&gt;0,"Review critical/high-risk gaps",IF(D14&lt;1,"Complete assessment","Monitor and improve"))</f>
        <v/>
      </c>
      <c r="P14" s="202" t="n"/>
      <c r="Q14" s="15" t="inlineStr">
        <is>
          <t>Crisis severity</t>
        </is>
      </c>
      <c r="R14" s="16">
        <f>'Resilience &amp; Risk Scenario'!$B$7</f>
        <v/>
      </c>
      <c r="S14" s="17" t="inlineStr">
        <is>
          <t>1 mild; 3 base; 5 severe.</t>
        </is>
      </c>
      <c r="T14" s="202" t="n"/>
      <c r="U14" s="202" t="n"/>
      <c r="V14" s="202" t="n"/>
    </row>
    <row r="15" ht="15" customHeight="1" s="209">
      <c r="A15" s="225" t="inlineStr">
        <is>
          <t>Sales CRM</t>
        </is>
      </c>
      <c r="B15" s="225" t="n">
        <v>24</v>
      </c>
      <c r="C15" s="225">
        <f>COUNTIF(_DATA_Assessment_Model!$H$257:$H$280,"N/A")+COUNTIF(_DATA_Assessment_Model!$H$257:$H$280,"0")+COUNTIF(_DATA_Assessment_Model!$H$257:$H$280,"1")+COUNTIF(_DATA_Assessment_Model!$H$257:$H$280,"2")+COUNTIF(_DATA_Assessment_Model!$H$257:$H$280,"3")+COUNTIF(_DATA_Assessment_Model!$H$257:$H$280,"4")+COUNTIF(_DATA_Assessment_Model!$H$257:$H$280,"5")</f>
        <v/>
      </c>
      <c r="D15" s="108">
        <f>IFERROR(C15/B15,0)</f>
        <v/>
      </c>
      <c r="E15" s="109">
        <f>SUM(_DATA_Assessment_Model!$I$257:$I$280)</f>
        <v/>
      </c>
      <c r="F15" s="109">
        <f>SUM(_DATA_Assessment_Model!$J$257:$J$280)</f>
        <v/>
      </c>
      <c r="G15" s="109">
        <f>IFERROR(E15/F15,0)</f>
        <v/>
      </c>
      <c r="H15" s="109">
        <f>G15*5</f>
        <v/>
      </c>
      <c r="I15" s="109">
        <f>SUM(_DATA_Assessment_Model!$K$257:$K$280)</f>
        <v/>
      </c>
      <c r="J15" s="225">
        <f>COUNTIF(_DATA_Assessment_Model!$L$257:$L$280,"Critical")</f>
        <v/>
      </c>
      <c r="K15" s="225">
        <f>COUNTIF(_DATA_Assessment_Model!$L$257:$L$280,"High")</f>
        <v/>
      </c>
      <c r="L15" s="225">
        <f>COUNTIF(_DATA_Assessment_Model!$L$257:$L$280,"Medium")</f>
        <v/>
      </c>
      <c r="M15" s="225">
        <f>COUNTIF(_DATA_Assessment_Model!$L$257:$L$280,"Low")</f>
        <v/>
      </c>
      <c r="N15" s="225">
        <f>COUNTIF(_DATA_Assessment_Model!$L$257:$L$280,"Resilient")</f>
        <v/>
      </c>
      <c r="O15" s="225">
        <f>IF(J15+K15&gt;0,"Review critical/high-risk gaps",IF(D15&lt;1,"Complete assessment","Monitor and improve"))</f>
        <v/>
      </c>
      <c r="P15" s="202" t="n"/>
      <c r="Q15" s="15" t="inlineStr">
        <is>
          <t>Top exposed domain</t>
        </is>
      </c>
      <c r="R15" s="16">
        <f>IFERROR(INDEX(_DATA_Dashboard_Facts!$A$5:$A$21,MATCH(1,'Resilience &amp; Risk Scenario'!$A$21:$A$37,0)),"")</f>
        <v/>
      </c>
      <c r="S15" s="17" t="inlineStr">
        <is>
          <t>Domain with highest scenario-adjusted exposure.</t>
        </is>
      </c>
      <c r="T15" s="202" t="n"/>
      <c r="U15" s="202" t="n"/>
      <c r="V15" s="202" t="n"/>
    </row>
    <row r="16" ht="15" customHeight="1" s="209">
      <c r="A16" s="225" t="inlineStr">
        <is>
          <t>Marketing Comms</t>
        </is>
      </c>
      <c r="B16" s="225" t="n">
        <v>16</v>
      </c>
      <c r="C16" s="225">
        <f>COUNTIF(_DATA_Assessment_Model!$H$281:$H$296,"N/A")+COUNTIF(_DATA_Assessment_Model!$H$281:$H$296,"0")+COUNTIF(_DATA_Assessment_Model!$H$281:$H$296,"1")+COUNTIF(_DATA_Assessment_Model!$H$281:$H$296,"2")+COUNTIF(_DATA_Assessment_Model!$H$281:$H$296,"3")+COUNTIF(_DATA_Assessment_Model!$H$281:$H$296,"4")+COUNTIF(_DATA_Assessment_Model!$H$281:$H$296,"5")</f>
        <v/>
      </c>
      <c r="D16" s="108">
        <f>IFERROR(C16/B16,0)</f>
        <v/>
      </c>
      <c r="E16" s="109">
        <f>SUM(_DATA_Assessment_Model!$I$281:$I$296)</f>
        <v/>
      </c>
      <c r="F16" s="109">
        <f>SUM(_DATA_Assessment_Model!$J$281:$J$296)</f>
        <v/>
      </c>
      <c r="G16" s="109">
        <f>IFERROR(E16/F16,0)</f>
        <v/>
      </c>
      <c r="H16" s="109">
        <f>G16*5</f>
        <v/>
      </c>
      <c r="I16" s="109">
        <f>SUM(_DATA_Assessment_Model!$K$281:$K$296)</f>
        <v/>
      </c>
      <c r="J16" s="225">
        <f>COUNTIF(_DATA_Assessment_Model!$L$281:$L$296,"Critical")</f>
        <v/>
      </c>
      <c r="K16" s="225">
        <f>COUNTIF(_DATA_Assessment_Model!$L$281:$L$296,"High")</f>
        <v/>
      </c>
      <c r="L16" s="225">
        <f>COUNTIF(_DATA_Assessment_Model!$L$281:$L$296,"Medium")</f>
        <v/>
      </c>
      <c r="M16" s="225">
        <f>COUNTIF(_DATA_Assessment_Model!$L$281:$L$296,"Low")</f>
        <v/>
      </c>
      <c r="N16" s="225">
        <f>COUNTIF(_DATA_Assessment_Model!$L$281:$L$296,"Resilient")</f>
        <v/>
      </c>
      <c r="O16" s="225">
        <f>IF(J16+K16&gt;0,"Review critical/high-risk gaps",IF(D16&lt;1,"Complete assessment","Monitor and improve"))</f>
        <v/>
      </c>
      <c r="P16" s="202" t="n"/>
      <c r="Q16" s="15" t="inlineStr">
        <is>
          <t>Primary strategy</t>
        </is>
      </c>
      <c r="R16" s="16">
        <f>'_ENGINE_Strategy'!$B$95</f>
        <v/>
      </c>
      <c r="S16" s="17" t="inlineStr">
        <is>
          <t>Highest-scoring strategy under the selected crisis scenario.</t>
        </is>
      </c>
      <c r="T16" s="202" t="n"/>
      <c r="U16" s="202" t="n"/>
      <c r="V16" s="202" t="n"/>
    </row>
    <row r="17">
      <c r="A17" s="225" t="inlineStr">
        <is>
          <t>IT Cloud DR</t>
        </is>
      </c>
      <c r="B17" s="225" t="n">
        <v>28</v>
      </c>
      <c r="C17" s="225">
        <f>COUNTIF(_DATA_Assessment_Model!$H$297:$H$324,"N/A")+COUNTIF(_DATA_Assessment_Model!$H$297:$H$324,"0")+COUNTIF(_DATA_Assessment_Model!$H$297:$H$324,"1")+COUNTIF(_DATA_Assessment_Model!$H$297:$H$324,"2")+COUNTIF(_DATA_Assessment_Model!$H$297:$H$324,"3")+COUNTIF(_DATA_Assessment_Model!$H$297:$H$324,"4")+COUNTIF(_DATA_Assessment_Model!$H$297:$H$324,"5")</f>
        <v/>
      </c>
      <c r="D17" s="108">
        <f>IFERROR(C17/B17,0)</f>
        <v/>
      </c>
      <c r="E17" s="109">
        <f>SUM(_DATA_Assessment_Model!$I$297:$I$324)</f>
        <v/>
      </c>
      <c r="F17" s="109">
        <f>SUM(_DATA_Assessment_Model!$J$297:$J$324)</f>
        <v/>
      </c>
      <c r="G17" s="109">
        <f>IFERROR(E17/F17,0)</f>
        <v/>
      </c>
      <c r="H17" s="109">
        <f>G17*5</f>
        <v/>
      </c>
      <c r="I17" s="109">
        <f>SUM(_DATA_Assessment_Model!$K$297:$K$324)</f>
        <v/>
      </c>
      <c r="J17" s="225">
        <f>COUNTIF(_DATA_Assessment_Model!$L$297:$L$324,"Critical")</f>
        <v/>
      </c>
      <c r="K17" s="225">
        <f>COUNTIF(_DATA_Assessment_Model!$L$297:$L$324,"High")</f>
        <v/>
      </c>
      <c r="L17" s="225">
        <f>COUNTIF(_DATA_Assessment_Model!$L$297:$L$324,"Medium")</f>
        <v/>
      </c>
      <c r="M17" s="225">
        <f>COUNTIF(_DATA_Assessment_Model!$L$297:$L$324,"Low")</f>
        <v/>
      </c>
      <c r="N17" s="225">
        <f>COUNTIF(_DATA_Assessment_Model!$L$297:$L$324,"Resilient")</f>
        <v/>
      </c>
      <c r="O17" s="225">
        <f>IF(J17+K17&gt;0,"Review critical/high-risk gaps",IF(D17&lt;1,"Complete assessment","Monitor and improve"))</f>
        <v/>
      </c>
      <c r="P17" s="202" t="n"/>
      <c r="Q17" s="202" t="inlineStr">
        <is>
          <t>Effective resilience (weak-link, 0-5)</t>
        </is>
      </c>
      <c r="R17" s="202">
        <f>_ENGINE_Crisis!$B$306</f>
        <v/>
      </c>
      <c r="S17" s="202" t="inlineStr">
        <is>
          <t>Weak-link, red-line and cascade adjusted. Compare with Overall maturity 0-5: a large drop means uneven or gated profile.</t>
        </is>
      </c>
      <c r="T17" s="202" t="n"/>
      <c r="U17" s="202" t="n"/>
      <c r="V17" s="202" t="n"/>
    </row>
    <row r="18">
      <c r="A18" s="225" t="inlineStr">
        <is>
          <t>Business Systems</t>
        </is>
      </c>
      <c r="B18" s="225" t="n">
        <v>21</v>
      </c>
      <c r="C18" s="225">
        <f>COUNTIF(_DATA_Assessment_Model!$H$325:$H$345,"N/A")+COUNTIF(_DATA_Assessment_Model!$H$325:$H$345,"0")+COUNTIF(_DATA_Assessment_Model!$H$325:$H$345,"1")+COUNTIF(_DATA_Assessment_Model!$H$325:$H$345,"2")+COUNTIF(_DATA_Assessment_Model!$H$325:$H$345,"3")+COUNTIF(_DATA_Assessment_Model!$H$325:$H$345,"4")+COUNTIF(_DATA_Assessment_Model!$H$325:$H$345,"5")</f>
        <v/>
      </c>
      <c r="D18" s="108">
        <f>IFERROR(C18/B18,0)</f>
        <v/>
      </c>
      <c r="E18" s="109">
        <f>SUM(_DATA_Assessment_Model!$I$325:$I$345)</f>
        <v/>
      </c>
      <c r="F18" s="109">
        <f>SUM(_DATA_Assessment_Model!$J$325:$J$345)</f>
        <v/>
      </c>
      <c r="G18" s="109">
        <f>IFERROR(E18/F18,0)</f>
        <v/>
      </c>
      <c r="H18" s="109">
        <f>G18*5</f>
        <v/>
      </c>
      <c r="I18" s="109">
        <f>SUM(_DATA_Assessment_Model!$K$325:$K$345)</f>
        <v/>
      </c>
      <c r="J18" s="225">
        <f>COUNTIF(_DATA_Assessment_Model!$L$325:$L$345,"Critical")</f>
        <v/>
      </c>
      <c r="K18" s="225">
        <f>COUNTIF(_DATA_Assessment_Model!$L$325:$L$345,"High")</f>
        <v/>
      </c>
      <c r="L18" s="225">
        <f>COUNTIF(_DATA_Assessment_Model!$L$325:$L$345,"Medium")</f>
        <v/>
      </c>
      <c r="M18" s="225">
        <f>COUNTIF(_DATA_Assessment_Model!$L$325:$L$345,"Low")</f>
        <v/>
      </c>
      <c r="N18" s="225">
        <f>COUNTIF(_DATA_Assessment_Model!$L$325:$L$345,"Resilient")</f>
        <v/>
      </c>
      <c r="O18" s="225">
        <f>IF(J18+K18&gt;0,"Review critical/high-risk gaps",IF(D18&lt;1,"Complete assessment","Monitor and improve"))</f>
        <v/>
      </c>
      <c r="P18" s="202" t="n"/>
      <c r="Q18" s="202" t="inlineStr">
        <is>
          <t>Weakest domain (cascade engine)</t>
        </is>
      </c>
      <c r="R18" s="202">
        <f>_ENGINE_Crisis!$B$305</f>
        <v/>
      </c>
      <c r="S18" s="202" t="inlineStr">
        <is>
          <t>Single biggest structural constraint on resilience.</t>
        </is>
      </c>
      <c r="T18" s="202" t="n"/>
      <c r="U18" s="202" t="n"/>
      <c r="V18" s="202" t="n"/>
    </row>
    <row r="19">
      <c r="A19" s="225" t="inlineStr">
        <is>
          <t>Data BI AI</t>
        </is>
      </c>
      <c r="B19" s="225" t="n">
        <v>27</v>
      </c>
      <c r="C19" s="225">
        <f>COUNTIF(_DATA_Assessment_Model!$H$346:$H$372,"N/A")+COUNTIF(_DATA_Assessment_Model!$H$346:$H$372,"0")+COUNTIF(_DATA_Assessment_Model!$H$346:$H$372,"1")+COUNTIF(_DATA_Assessment_Model!$H$346:$H$372,"2")+COUNTIF(_DATA_Assessment_Model!$H$346:$H$372,"3")+COUNTIF(_DATA_Assessment_Model!$H$346:$H$372,"4")+COUNTIF(_DATA_Assessment_Model!$H$346:$H$372,"5")</f>
        <v/>
      </c>
      <c r="D19" s="108">
        <f>IFERROR(C19/B19,0)</f>
        <v/>
      </c>
      <c r="E19" s="109">
        <f>SUM(_DATA_Assessment_Model!$I$346:$I$372)</f>
        <v/>
      </c>
      <c r="F19" s="109">
        <f>SUM(_DATA_Assessment_Model!$J$346:$J$372)</f>
        <v/>
      </c>
      <c r="G19" s="109">
        <f>IFERROR(E19/F19,0)</f>
        <v/>
      </c>
      <c r="H19" s="109">
        <f>G19*5</f>
        <v/>
      </c>
      <c r="I19" s="109">
        <f>SUM(_DATA_Assessment_Model!$K$346:$K$372)</f>
        <v/>
      </c>
      <c r="J19" s="225">
        <f>COUNTIF(_DATA_Assessment_Model!$L$346:$L$372,"Critical")</f>
        <v/>
      </c>
      <c r="K19" s="225">
        <f>COUNTIF(_DATA_Assessment_Model!$L$346:$L$372,"High")</f>
        <v/>
      </c>
      <c r="L19" s="225">
        <f>COUNTIF(_DATA_Assessment_Model!$L$346:$L$372,"Medium")</f>
        <v/>
      </c>
      <c r="M19" s="225">
        <f>COUNTIF(_DATA_Assessment_Model!$L$346:$L$372,"Low")</f>
        <v/>
      </c>
      <c r="N19" s="225">
        <f>COUNTIF(_DATA_Assessment_Model!$L$346:$L$372,"Resilient")</f>
        <v/>
      </c>
      <c r="O19" s="225">
        <f>IF(J19+K19&gt;0,"Review critical/high-risk gaps",IF(D19&lt;1,"Complete assessment","Monitor and improve"))</f>
        <v/>
      </c>
      <c r="P19" s="202" t="n"/>
      <c r="Q19" s="202" t="inlineStr">
        <is>
          <t>Penalty-adjusted maturity 0-5</t>
        </is>
      </c>
      <c r="R19" s="202">
        <f>'_DATA_Dashboard_Facts'!$B$325</f>
        <v/>
      </c>
      <c r="S19" s="202" t="inlineStr">
        <is>
          <t>Additive maturity penalized for dispersion across domains.</t>
        </is>
      </c>
      <c r="T19" s="202" t="n"/>
      <c r="U19" s="202" t="n"/>
      <c r="V19" s="202" t="n"/>
    </row>
    <row r="20">
      <c r="A20" s="225" t="inlineStr">
        <is>
          <t>Cyber Privacy</t>
        </is>
      </c>
      <c r="B20" s="225" t="n">
        <v>34</v>
      </c>
      <c r="C20" s="225">
        <f>COUNTIF(_DATA_Assessment_Model!$H$373:$H$406,"N/A")+COUNTIF(_DATA_Assessment_Model!$H$373:$H$406,"0")+COUNTIF(_DATA_Assessment_Model!$H$373:$H$406,"1")+COUNTIF(_DATA_Assessment_Model!$H$373:$H$406,"2")+COUNTIF(_DATA_Assessment_Model!$H$373:$H$406,"3")+COUNTIF(_DATA_Assessment_Model!$H$373:$H$406,"4")+COUNTIF(_DATA_Assessment_Model!$H$373:$H$406,"5")</f>
        <v/>
      </c>
      <c r="D20" s="108">
        <f>IFERROR(C20/B20,0)</f>
        <v/>
      </c>
      <c r="E20" s="109">
        <f>SUM(_DATA_Assessment_Model!$I$373:$I$406)</f>
        <v/>
      </c>
      <c r="F20" s="109">
        <f>SUM(_DATA_Assessment_Model!$J$373:$J$406)</f>
        <v/>
      </c>
      <c r="G20" s="109">
        <f>IFERROR(E20/F20,0)</f>
        <v/>
      </c>
      <c r="H20" s="109">
        <f>G20*5</f>
        <v/>
      </c>
      <c r="I20" s="109">
        <f>SUM(_DATA_Assessment_Model!$K$373:$K$406)</f>
        <v/>
      </c>
      <c r="J20" s="225">
        <f>COUNTIF(_DATA_Assessment_Model!$L$373:$L$406,"Critical")</f>
        <v/>
      </c>
      <c r="K20" s="225">
        <f>COUNTIF(_DATA_Assessment_Model!$L$373:$L$406,"High")</f>
        <v/>
      </c>
      <c r="L20" s="225">
        <f>COUNTIF(_DATA_Assessment_Model!$L$373:$L$406,"Medium")</f>
        <v/>
      </c>
      <c r="M20" s="225">
        <f>COUNTIF(_DATA_Assessment_Model!$L$373:$L$406,"Low")</f>
        <v/>
      </c>
      <c r="N20" s="225">
        <f>COUNTIF(_DATA_Assessment_Model!$L$373:$L$406,"Resilient")</f>
        <v/>
      </c>
      <c r="O20" s="225">
        <f>IF(J20+K20&gt;0,"Review critical/high-risk gaps",IF(D20&lt;1,"Complete assessment","Monitor and improve"))</f>
        <v/>
      </c>
      <c r="P20" s="202" t="n"/>
      <c r="Q20" s="202" t="inlineStr">
        <is>
          <t>Red-line / threshold breaches</t>
        </is>
      </c>
      <c r="R20" s="202">
        <f>'_DATA_Dashboard_Facts'!$B$328</f>
        <v/>
      </c>
      <c r="S20" s="202" t="inlineStr">
        <is>
          <t>Domains below the industry minimum viable threshold.</t>
        </is>
      </c>
      <c r="T20" s="202" t="n"/>
      <c r="U20" s="202" t="n"/>
      <c r="V20" s="202" t="n"/>
    </row>
    <row r="21">
      <c r="A21" s="225" t="inlineStr">
        <is>
          <t>Quality Portfolio</t>
        </is>
      </c>
      <c r="B21" s="225" t="n">
        <v>22</v>
      </c>
      <c r="C21" s="225">
        <f>COUNTIF(_DATA_Assessment_Model!$H$407:$H$428,"N/A")+COUNTIF(_DATA_Assessment_Model!$H$407:$H$428,"0")+COUNTIF(_DATA_Assessment_Model!$H$407:$H$428,"1")+COUNTIF(_DATA_Assessment_Model!$H$407:$H$428,"2")+COUNTIF(_DATA_Assessment_Model!$H$407:$H$428,"3")+COUNTIF(_DATA_Assessment_Model!$H$407:$H$428,"4")+COUNTIF(_DATA_Assessment_Model!$H$407:$H$428,"5")</f>
        <v/>
      </c>
      <c r="D21" s="108">
        <f>IFERROR(C21/B21,0)</f>
        <v/>
      </c>
      <c r="E21" s="109">
        <f>SUM(_DATA_Assessment_Model!$I$407:$I$428)</f>
        <v/>
      </c>
      <c r="F21" s="109">
        <f>SUM(_DATA_Assessment_Model!$J$407:$J$428)</f>
        <v/>
      </c>
      <c r="G21" s="109">
        <f>IFERROR(E21/F21,0)</f>
        <v/>
      </c>
      <c r="H21" s="109">
        <f>G21*5</f>
        <v/>
      </c>
      <c r="I21" s="109">
        <f>SUM(_DATA_Assessment_Model!$K$407:$K$428)</f>
        <v/>
      </c>
      <c r="J21" s="225">
        <f>COUNTIF(_DATA_Assessment_Model!$L$407:$L$428,"Critical")</f>
        <v/>
      </c>
      <c r="K21" s="225">
        <f>COUNTIF(_DATA_Assessment_Model!$L$407:$L$428,"High")</f>
        <v/>
      </c>
      <c r="L21" s="225">
        <f>COUNTIF(_DATA_Assessment_Model!$L$407:$L$428,"Medium")</f>
        <v/>
      </c>
      <c r="M21" s="225">
        <f>COUNTIF(_DATA_Assessment_Model!$L$407:$L$428,"Low")</f>
        <v/>
      </c>
      <c r="N21" s="225">
        <f>COUNTIF(_DATA_Assessment_Model!$L$407:$L$428,"Resilient")</f>
        <v/>
      </c>
      <c r="O21" s="225">
        <f>IF(J21+K21&gt;0,"Review critical/high-risk gaps",IF(D21&lt;1,"Complete assessment","Monitor and improve"))</f>
        <v/>
      </c>
      <c r="P21" s="202" t="n"/>
      <c r="Q21" s="202" t="inlineStr">
        <is>
          <t>Risk appetite</t>
        </is>
      </c>
      <c r="R21" s="202">
        <f>'Company Profile'!$B$35</f>
        <v/>
      </c>
      <c r="S21" s="202" t="inlineStr">
        <is>
          <t>Adjusts industry targets (Low +0.25 / Balanced 0 / High -0.25).</t>
        </is>
      </c>
      <c r="T21" s="202" t="n"/>
      <c r="U21" s="202" t="n"/>
      <c r="V21" s="202" t="n"/>
    </row>
    <row r="22">
      <c r="A22" s="202" t="n"/>
      <c r="B22" s="202" t="n"/>
      <c r="C22" s="202" t="n"/>
      <c r="D22" s="202" t="n"/>
      <c r="E22" s="202" t="n"/>
      <c r="F22" s="202" t="n"/>
      <c r="G22" s="202" t="n"/>
      <c r="H22" s="202" t="n"/>
      <c r="I22" s="202" t="n"/>
      <c r="J22" s="202" t="n"/>
      <c r="K22" s="202" t="n"/>
      <c r="L22" s="202" t="n"/>
      <c r="M22" s="202" t="n"/>
      <c r="N22" s="202" t="n"/>
      <c r="O22" s="202" t="n"/>
      <c r="P22" s="202" t="n"/>
      <c r="Q22" s="202" t="inlineStr">
        <is>
          <t>Domains below peer median (seed benchmark)</t>
        </is>
      </c>
      <c r="R22" s="202">
        <f>SUMPRODUCT(--(_DATA_Dashboard_Facts!$B$217:$B$233&lt;&gt;"")*--(_DATA_Dashboard_Facts!$B$217:$B$233&lt;_DATA_Dashboard_Facts!$D$217:$D$233))</f>
        <v/>
      </c>
      <c r="S22" s="202" t="inlineStr">
        <is>
          <t>Seed peer benchmark - indicative only until measured data accumulates.</t>
        </is>
      </c>
      <c r="T22" s="202" t="n"/>
      <c r="U22" s="202" t="n"/>
      <c r="V22" s="202" t="n"/>
    </row>
    <row r="23">
      <c r="A23" s="202" t="n"/>
      <c r="B23" s="202" t="n"/>
      <c r="C23" s="202" t="n"/>
      <c r="D23" s="202" t="n"/>
      <c r="E23" s="202" t="n"/>
      <c r="F23" s="202" t="n"/>
      <c r="G23" s="202" t="n"/>
      <c r="H23" s="202" t="n"/>
      <c r="I23" s="202" t="n"/>
      <c r="J23" s="202" t="n"/>
      <c r="K23" s="202" t="n"/>
      <c r="L23" s="202" t="n"/>
      <c r="M23" s="202" t="n"/>
      <c r="N23" s="202" t="n"/>
      <c r="O23" s="202" t="n"/>
      <c r="P23" s="202" t="n"/>
      <c r="Q23" s="202" t="inlineStr">
        <is>
          <t>Financial Resilience Index (0-5)</t>
        </is>
      </c>
      <c r="R23" s="202">
        <f>_DATA_Dashboard_Facts!$B$388</f>
        <v/>
      </c>
      <c r="S23" s="202" t="inlineStr">
        <is>
          <t>Computed from hard financial facts, not self-assessment.</t>
        </is>
      </c>
      <c r="T23" s="202" t="n"/>
      <c r="U23" s="202" t="n"/>
      <c r="V23" s="202" t="n"/>
    </row>
    <row r="24">
      <c r="A24" s="202" t="n"/>
      <c r="B24" s="202" t="n"/>
      <c r="C24" s="202" t="n"/>
      <c r="D24" s="202" t="n"/>
      <c r="E24" s="202" t="n"/>
      <c r="F24" s="202" t="n"/>
      <c r="G24" s="202" t="n"/>
      <c r="H24" s="202" t="n"/>
      <c r="I24" s="202" t="n"/>
      <c r="J24" s="202" t="n"/>
      <c r="K24" s="202" t="n"/>
      <c r="L24" s="202" t="n"/>
      <c r="M24" s="202" t="n"/>
      <c r="N24" s="202" t="n"/>
      <c r="O24" s="202" t="n"/>
      <c r="P24" s="202" t="n"/>
      <c r="Q24" s="202" t="inlineStr">
        <is>
          <t>Cost of inaction (annual ALE, EUR k)</t>
        </is>
      </c>
      <c r="R24" s="202">
        <f>'_ENGINE_Risk'!$I$494</f>
        <v/>
      </c>
      <c r="S24" s="202" t="inlineStr">
        <is>
          <t>Annualized expected loss of all active risks if nothing is done.</t>
        </is>
      </c>
      <c r="T24" s="202" t="n"/>
      <c r="U24" s="202" t="n"/>
      <c r="V24" s="202" t="n"/>
    </row>
    <row r="25">
      <c r="A25" s="202" t="n"/>
      <c r="B25" s="202" t="n"/>
      <c r="C25" s="202" t="n"/>
      <c r="D25" s="202" t="n"/>
      <c r="E25" s="202" t="n"/>
      <c r="F25" s="202" t="n"/>
      <c r="G25" s="202" t="n"/>
      <c r="H25" s="202" t="n"/>
      <c r="I25" s="202" t="n"/>
      <c r="J25" s="202" t="n"/>
      <c r="K25" s="202" t="n"/>
      <c r="L25" s="202" t="n"/>
      <c r="M25" s="202" t="n"/>
      <c r="N25" s="202" t="n"/>
      <c r="O25" s="202" t="n"/>
      <c r="P25" s="202" t="n"/>
      <c r="Q25" s="202" t="inlineStr">
        <is>
          <t>Decision Stability Index (0-100)</t>
        </is>
      </c>
      <c r="R25" s="202">
        <f>'_DATA_Dashboard_Facts'!$B$361</f>
        <v/>
      </c>
      <c r="S25" s="202" t="inlineStr">
        <is>
          <t>How robust the priority ranking is to alternative weighting schemes.</t>
        </is>
      </c>
      <c r="T25" s="202" t="n"/>
      <c r="U25" s="202" t="n"/>
      <c r="V25" s="202" t="n"/>
    </row>
    <row r="26">
      <c r="A26" s="202" t="n"/>
      <c r="B26" s="202" t="n"/>
      <c r="C26" s="202" t="n"/>
      <c r="D26" s="202" t="n"/>
      <c r="E26" s="202" t="n"/>
      <c r="F26" s="202" t="n"/>
      <c r="G26" s="202" t="n"/>
      <c r="H26" s="202" t="n"/>
      <c r="I26" s="202" t="n"/>
      <c r="J26" s="202" t="n"/>
      <c r="K26" s="202" t="n"/>
      <c r="L26" s="202" t="n"/>
      <c r="M26" s="202" t="n"/>
      <c r="N26" s="202" t="n"/>
      <c r="O26" s="202" t="n"/>
      <c r="P26" s="202" t="n"/>
      <c r="Q26" s="202" t="n"/>
      <c r="R26" s="202" t="n"/>
      <c r="S26" s="202" t="n"/>
      <c r="T26" s="202" t="n"/>
      <c r="U26" s="202" t="n"/>
      <c r="V26" s="202" t="n"/>
    </row>
    <row r="27">
      <c r="A27" s="202" t="n"/>
      <c r="B27" s="202" t="n"/>
      <c r="C27" s="202" t="n"/>
      <c r="D27" s="202" t="n"/>
      <c r="E27" s="202" t="n"/>
      <c r="F27" s="202" t="n"/>
      <c r="G27" s="202" t="n"/>
      <c r="H27" s="202" t="n"/>
      <c r="I27" s="202" t="n"/>
      <c r="J27" s="202" t="n"/>
      <c r="K27" s="202" t="n"/>
      <c r="L27" s="202" t="n"/>
      <c r="M27" s="202" t="n"/>
      <c r="N27" s="202" t="n"/>
      <c r="O27" s="202" t="n"/>
      <c r="P27" s="202" t="n"/>
      <c r="Q27" s="202" t="n"/>
      <c r="R27" s="202" t="n"/>
      <c r="S27" s="202" t="n"/>
      <c r="T27" s="202" t="n"/>
      <c r="U27" s="202" t="n"/>
      <c r="V27" s="202" t="n"/>
    </row>
    <row r="28">
      <c r="A28" s="202" t="n"/>
      <c r="B28" s="202" t="n"/>
      <c r="C28" s="202" t="n"/>
      <c r="D28" s="202" t="n"/>
      <c r="E28" s="202" t="n"/>
      <c r="F28" s="202" t="n"/>
      <c r="G28" s="202" t="n"/>
      <c r="H28" s="202" t="n"/>
      <c r="I28" s="202" t="n"/>
      <c r="J28" s="202" t="n"/>
      <c r="K28" s="202" t="n"/>
      <c r="L28" s="202" t="n"/>
      <c r="M28" s="202" t="n"/>
      <c r="N28" s="202" t="n"/>
      <c r="O28" s="202" t="n"/>
      <c r="P28" s="202" t="n"/>
      <c r="Q28" s="202" t="n"/>
      <c r="R28" s="202" t="n"/>
      <c r="S28" s="202" t="n"/>
      <c r="T28" s="202" t="n"/>
      <c r="U28" s="202" t="n"/>
      <c r="V28" s="202" t="n"/>
    </row>
    <row r="29">
      <c r="A29" s="202" t="n"/>
      <c r="B29" s="202" t="n"/>
      <c r="C29" s="202" t="n"/>
      <c r="D29" s="202" t="n"/>
      <c r="E29" s="202" t="n"/>
      <c r="F29" s="202" t="n"/>
      <c r="G29" s="202" t="n"/>
      <c r="H29" s="202" t="n"/>
      <c r="I29" s="202" t="n"/>
      <c r="J29" s="202" t="n"/>
      <c r="K29" s="202" t="n"/>
      <c r="L29" s="202" t="n"/>
      <c r="M29" s="202" t="n"/>
      <c r="N29" s="202" t="n"/>
      <c r="O29" s="202" t="n"/>
      <c r="P29" s="202" t="n"/>
      <c r="Q29" s="202" t="n"/>
      <c r="R29" s="202" t="n"/>
      <c r="S29" s="202" t="n"/>
      <c r="T29" s="202" t="n"/>
      <c r="U29" s="202" t="n"/>
      <c r="V29" s="202" t="n"/>
    </row>
    <row r="30">
      <c r="A30" s="202" t="n"/>
      <c r="B30" s="202" t="n"/>
      <c r="C30" s="202" t="n"/>
      <c r="D30" s="202" t="n"/>
      <c r="E30" s="202" t="n"/>
      <c r="F30" s="202" t="n"/>
      <c r="G30" s="202" t="n"/>
      <c r="H30" s="202" t="n"/>
      <c r="I30" s="202" t="n"/>
      <c r="J30" s="202" t="n"/>
      <c r="K30" s="202" t="n"/>
      <c r="L30" s="202" t="n"/>
      <c r="M30" s="202" t="n"/>
      <c r="N30" s="202" t="n"/>
      <c r="O30" s="202" t="n"/>
      <c r="P30" s="202" t="n"/>
      <c r="Q30" s="202" t="n"/>
      <c r="R30" s="202" t="n"/>
      <c r="S30" s="202" t="n"/>
      <c r="T30" s="202" t="n"/>
      <c r="U30" s="202" t="n"/>
      <c r="V30" s="202" t="n"/>
    </row>
    <row r="31">
      <c r="A31" s="202" t="n"/>
      <c r="B31" s="202" t="n"/>
      <c r="C31" s="202" t="n"/>
      <c r="D31" s="202" t="n"/>
      <c r="E31" s="202" t="n"/>
      <c r="F31" s="202" t="n"/>
      <c r="G31" s="202" t="n"/>
      <c r="H31" s="202" t="n"/>
      <c r="I31" s="202" t="n"/>
      <c r="J31" s="202" t="n"/>
      <c r="K31" s="202" t="n"/>
      <c r="L31" s="202" t="n"/>
      <c r="M31" s="202" t="n"/>
      <c r="N31" s="202" t="n"/>
      <c r="O31" s="202" t="n"/>
      <c r="P31" s="202" t="n"/>
      <c r="Q31" s="202" t="n"/>
      <c r="R31" s="202" t="n"/>
      <c r="S31" s="202" t="n"/>
      <c r="T31" s="202" t="n"/>
      <c r="U31" s="202" t="n"/>
      <c r="V31" s="202" t="n"/>
    </row>
    <row r="32">
      <c r="A32" s="202" t="n"/>
      <c r="B32" s="202" t="n"/>
      <c r="C32" s="202" t="n"/>
      <c r="D32" s="202" t="n"/>
      <c r="E32" s="202" t="n"/>
      <c r="F32" s="202" t="n"/>
      <c r="G32" s="202" t="n"/>
      <c r="H32" s="202" t="n"/>
      <c r="I32" s="202" t="n"/>
      <c r="J32" s="202" t="n"/>
      <c r="K32" s="202" t="n"/>
      <c r="L32" s="202" t="n"/>
      <c r="M32" s="202" t="n"/>
      <c r="N32" s="202" t="n"/>
      <c r="O32" s="202" t="n"/>
      <c r="P32" s="202" t="n"/>
      <c r="Q32" s="202" t="n"/>
      <c r="R32" s="202" t="n"/>
      <c r="S32" s="202" t="n"/>
      <c r="T32" s="202" t="n"/>
      <c r="U32" s="202" t="n"/>
      <c r="V32" s="202" t="n"/>
    </row>
    <row r="33">
      <c r="A33" s="202" t="n"/>
      <c r="B33" s="202" t="n"/>
      <c r="C33" s="202" t="n"/>
      <c r="D33" s="202" t="n"/>
      <c r="E33" s="202" t="n"/>
      <c r="F33" s="202" t="n"/>
      <c r="G33" s="202" t="n"/>
      <c r="H33" s="202" t="n"/>
      <c r="I33" s="202" t="n"/>
      <c r="J33" s="202" t="n"/>
      <c r="K33" s="202" t="n"/>
      <c r="L33" s="202" t="n"/>
      <c r="M33" s="202" t="n"/>
      <c r="N33" s="202" t="n"/>
      <c r="O33" s="202" t="n"/>
      <c r="P33" s="202" t="n"/>
      <c r="Q33" s="202" t="n"/>
      <c r="R33" s="202" t="n"/>
      <c r="S33" s="202" t="n"/>
      <c r="T33" s="202" t="n"/>
      <c r="U33" s="202" t="n"/>
      <c r="V33" s="202" t="n"/>
    </row>
    <row r="34">
      <c r="A34" s="202" t="n"/>
      <c r="B34" s="202" t="n"/>
      <c r="C34" s="202" t="n"/>
      <c r="D34" s="202" t="n"/>
      <c r="E34" s="202" t="n"/>
      <c r="F34" s="202" t="n"/>
      <c r="G34" s="202" t="n"/>
      <c r="H34" s="202" t="n"/>
      <c r="I34" s="202" t="n"/>
      <c r="J34" s="202" t="n"/>
      <c r="K34" s="202" t="n"/>
      <c r="L34" s="202" t="n"/>
      <c r="M34" s="202" t="n"/>
      <c r="N34" s="202" t="n"/>
      <c r="O34" s="202" t="n"/>
      <c r="P34" s="202" t="n"/>
      <c r="Q34" s="202" t="n"/>
      <c r="R34" s="202" t="n"/>
      <c r="S34" s="202" t="n"/>
      <c r="T34" s="202" t="n"/>
      <c r="U34" s="202" t="n"/>
      <c r="V34" s="202" t="n"/>
    </row>
    <row r="35">
      <c r="A35" s="202" t="n"/>
      <c r="B35" s="202" t="n"/>
      <c r="C35" s="202" t="n"/>
      <c r="D35" s="202" t="n"/>
      <c r="E35" s="202" t="n"/>
      <c r="F35" s="202" t="n"/>
      <c r="G35" s="202" t="n"/>
      <c r="H35" s="202" t="n"/>
      <c r="I35" s="202" t="n"/>
      <c r="J35" s="202" t="n"/>
      <c r="K35" s="202" t="n"/>
      <c r="L35" s="202" t="n"/>
      <c r="M35" s="202" t="n"/>
      <c r="N35" s="202" t="n"/>
      <c r="O35" s="202" t="n"/>
      <c r="P35" s="202" t="n"/>
      <c r="Q35" s="202" t="n"/>
      <c r="R35" s="202" t="n"/>
      <c r="S35" s="202" t="n"/>
      <c r="T35" s="202" t="n"/>
      <c r="U35" s="202" t="n"/>
      <c r="V35" s="202" t="n"/>
    </row>
    <row r="36">
      <c r="A36" s="202" t="n"/>
      <c r="B36" s="202" t="n"/>
      <c r="C36" s="202" t="n"/>
      <c r="D36" s="202" t="n"/>
      <c r="E36" s="202" t="n"/>
      <c r="F36" s="202" t="n"/>
      <c r="G36" s="202" t="n"/>
      <c r="H36" s="202" t="n"/>
      <c r="I36" s="202" t="n"/>
      <c r="J36" s="202" t="n"/>
      <c r="K36" s="202" t="n"/>
      <c r="L36" s="202" t="n"/>
      <c r="M36" s="202" t="n"/>
      <c r="N36" s="202" t="n"/>
      <c r="O36" s="202" t="n"/>
      <c r="P36" s="202" t="n"/>
      <c r="Q36" s="202" t="n"/>
      <c r="R36" s="202" t="n"/>
      <c r="S36" s="202" t="n"/>
      <c r="T36" s="202" t="n"/>
      <c r="U36" s="202" t="n"/>
      <c r="V36" s="202" t="n"/>
    </row>
    <row r="37">
      <c r="A37" s="202" t="n"/>
      <c r="B37" s="202" t="n"/>
      <c r="C37" s="202" t="n"/>
      <c r="D37" s="202" t="n"/>
      <c r="E37" s="202" t="n"/>
      <c r="F37" s="202" t="n"/>
      <c r="G37" s="202" t="n"/>
      <c r="H37" s="202" t="n"/>
      <c r="I37" s="202" t="n"/>
      <c r="J37" s="202" t="n"/>
      <c r="K37" s="202" t="n"/>
      <c r="L37" s="202" t="n"/>
      <c r="M37" s="202" t="n"/>
      <c r="N37" s="202" t="n"/>
      <c r="O37" s="202" t="n"/>
      <c r="P37" s="202" t="n"/>
      <c r="Q37" s="202" t="n"/>
      <c r="R37" s="202" t="n"/>
      <c r="S37" s="202" t="n"/>
      <c r="T37" s="202" t="n"/>
      <c r="U37" s="202" t="n"/>
      <c r="V37" s="202" t="n"/>
    </row>
    <row r="38">
      <c r="A38" s="202" t="n"/>
      <c r="B38" s="202" t="n"/>
      <c r="C38" s="202" t="n"/>
      <c r="D38" s="202" t="n"/>
      <c r="E38" s="202" t="n"/>
      <c r="F38" s="202" t="n"/>
      <c r="G38" s="202" t="n"/>
      <c r="H38" s="202" t="n"/>
      <c r="I38" s="202" t="n"/>
      <c r="J38" s="202" t="n"/>
      <c r="K38" s="202" t="n"/>
      <c r="L38" s="202" t="n"/>
      <c r="M38" s="202" t="n"/>
      <c r="N38" s="202" t="n"/>
      <c r="O38" s="202" t="n"/>
      <c r="P38" s="202" t="n"/>
      <c r="Q38" s="202" t="n"/>
      <c r="R38" s="202" t="n"/>
      <c r="S38" s="202" t="n"/>
      <c r="T38" s="202" t="n"/>
      <c r="U38" s="202" t="n"/>
      <c r="V38" s="202" t="n"/>
    </row>
    <row r="39">
      <c r="A39" s="202" t="n"/>
      <c r="B39" s="202" t="n"/>
      <c r="C39" s="202" t="n"/>
      <c r="D39" s="202" t="n"/>
      <c r="E39" s="202" t="n"/>
      <c r="F39" s="202" t="n"/>
      <c r="G39" s="202" t="n"/>
      <c r="H39" s="202" t="n"/>
      <c r="I39" s="202" t="n"/>
      <c r="J39" s="202" t="n"/>
      <c r="K39" s="202" t="n"/>
      <c r="L39" s="202" t="n"/>
      <c r="M39" s="202" t="n"/>
      <c r="N39" s="202" t="n"/>
      <c r="O39" s="202" t="n"/>
      <c r="P39" s="202" t="n"/>
      <c r="Q39" s="202" t="n"/>
      <c r="R39" s="202" t="n"/>
      <c r="S39" s="202" t="n"/>
      <c r="T39" s="202" t="n"/>
      <c r="U39" s="202" t="n"/>
      <c r="V39" s="202" t="n"/>
    </row>
    <row r="40" ht="30" customHeight="1" s="209">
      <c r="A40" s="202" t="n"/>
      <c r="B40" s="202" t="n"/>
      <c r="C40" s="202" t="n"/>
      <c r="D40" s="202" t="n"/>
      <c r="E40" s="202" t="n"/>
      <c r="F40" s="202" t="n"/>
      <c r="G40" s="202" t="n"/>
      <c r="H40" s="202" t="n"/>
      <c r="I40" s="202" t="n"/>
      <c r="J40" s="202" t="n"/>
      <c r="K40" s="202" t="n"/>
      <c r="L40" s="202" t="n"/>
      <c r="M40" s="202" t="n"/>
      <c r="N40" s="202" t="n"/>
      <c r="O40" s="202" t="n"/>
      <c r="P40" s="202" t="n"/>
      <c r="Q40" s="101" t="inlineStr">
        <is>
          <t>Crisis scenario</t>
        </is>
      </c>
      <c r="R40" s="101" t="inlineStr">
        <is>
          <t>Primary diagnostic tabs</t>
        </is>
      </c>
      <c r="S40" s="101" t="inlineStr">
        <is>
          <t>Typical management output</t>
        </is>
      </c>
      <c r="T40" s="202" t="n"/>
      <c r="U40" s="202" t="n"/>
      <c r="V40" s="202" t="n"/>
    </row>
    <row r="41" ht="85.5" customHeight="1" s="209">
      <c r="A41" s="202" t="n"/>
      <c r="B41" s="202" t="n"/>
      <c r="C41" s="202" t="n"/>
      <c r="D41" s="202" t="n"/>
      <c r="E41" s="202" t="n"/>
      <c r="F41" s="202" t="n"/>
      <c r="G41" s="202" t="n"/>
      <c r="H41" s="202" t="n"/>
      <c r="I41" s="202" t="n"/>
      <c r="J41" s="202" t="n"/>
      <c r="K41" s="202" t="n"/>
      <c r="L41" s="202" t="n"/>
      <c r="M41" s="202" t="n"/>
      <c r="N41" s="202" t="n"/>
      <c r="O41" s="202" t="n"/>
      <c r="P41" s="202" t="n"/>
      <c r="Q41" s="225" t="inlineStr">
        <is>
          <t>War / security crisis</t>
        </is>
      </c>
      <c r="R41" s="225" t="inlineStr">
        <is>
          <t>Company Geography; Physical Safety; HR Workforce; Supply Chain; IT Cloud DR</t>
        </is>
      </c>
      <c r="S41" s="225" t="inlineStr">
        <is>
          <t>Employee safety map; site recovery plan; relocation options; logistics fallback; remote operations plan</t>
        </is>
      </c>
      <c r="T41" s="202" t="n"/>
      <c r="U41" s="202" t="n"/>
      <c r="V41" s="202" t="n"/>
    </row>
    <row r="42" ht="85.5" customHeight="1" s="209">
      <c r="A42" s="202" t="n"/>
      <c r="B42" s="202" t="n"/>
      <c r="C42" s="202" t="n"/>
      <c r="D42" s="202" t="n"/>
      <c r="E42" s="202" t="n"/>
      <c r="F42" s="202" t="n"/>
      <c r="G42" s="202" t="n"/>
      <c r="H42" s="202" t="n"/>
      <c r="I42" s="202" t="n"/>
      <c r="J42" s="202" t="n"/>
      <c r="K42" s="202" t="n"/>
      <c r="L42" s="202" t="n"/>
      <c r="M42" s="202" t="n"/>
      <c r="N42" s="202" t="n"/>
      <c r="O42" s="202" t="n"/>
      <c r="P42" s="202" t="n"/>
      <c r="Q42" s="225" t="inlineStr">
        <is>
          <t>Physical site loss</t>
        </is>
      </c>
      <c r="R42" s="225" t="inlineStr">
        <is>
          <t>Physical Safety; Delivery Ops; Manufacturing MES; IT Cloud DR; Business Systems</t>
        </is>
      </c>
      <c r="S42" s="225" t="inlineStr">
        <is>
          <t>Alternative site plan; production/service transfer plan; insurance/evidence package; recovery sequencing</t>
        </is>
      </c>
      <c r="T42" s="202" t="n"/>
      <c r="U42" s="202" t="n"/>
      <c r="V42" s="202" t="n"/>
    </row>
    <row r="43" ht="85.5" customHeight="1" s="209">
      <c r="A43" s="202" t="n"/>
      <c r="B43" s="202" t="n"/>
      <c r="C43" s="202" t="n"/>
      <c r="D43" s="202" t="n"/>
      <c r="E43" s="202" t="n"/>
      <c r="F43" s="202" t="n"/>
      <c r="G43" s="202" t="n"/>
      <c r="H43" s="202" t="n"/>
      <c r="I43" s="202" t="n"/>
      <c r="J43" s="202" t="n"/>
      <c r="K43" s="202" t="n"/>
      <c r="L43" s="202" t="n"/>
      <c r="M43" s="202" t="n"/>
      <c r="N43" s="202" t="n"/>
      <c r="O43" s="202" t="n"/>
      <c r="P43" s="202" t="n"/>
      <c r="Q43" s="225" t="inlineStr">
        <is>
          <t>Cyberattack / ransomware</t>
        </is>
      </c>
      <c r="R43" s="225" t="inlineStr">
        <is>
          <t>Cyber Privacy; IT Cloud DR; Business Systems; Legal Risk; Marketing Comms</t>
        </is>
      </c>
      <c r="S43" s="225" t="inlineStr">
        <is>
          <t>Incident response plan; isolation and restore runbook; notification workflow; customer communication pack</t>
        </is>
      </c>
      <c r="T43" s="202" t="n"/>
      <c r="U43" s="202" t="n"/>
      <c r="V43" s="202" t="n"/>
    </row>
    <row r="44" ht="57" customHeight="1" s="209">
      <c r="A44" s="202" t="n"/>
      <c r="B44" s="202" t="n"/>
      <c r="C44" s="202" t="n"/>
      <c r="D44" s="202" t="n"/>
      <c r="E44" s="202" t="n"/>
      <c r="F44" s="202" t="n"/>
      <c r="G44" s="202" t="n"/>
      <c r="H44" s="202" t="n"/>
      <c r="I44" s="202" t="n"/>
      <c r="J44" s="202" t="n"/>
      <c r="K44" s="202" t="n"/>
      <c r="L44" s="202" t="n"/>
      <c r="M44" s="202" t="n"/>
      <c r="N44" s="202" t="n"/>
      <c r="O44" s="202" t="n"/>
      <c r="P44" s="202" t="n"/>
      <c r="Q44" s="225" t="inlineStr">
        <is>
          <t>Cloud / SaaS outage</t>
        </is>
      </c>
      <c r="R44" s="225" t="inlineStr">
        <is>
          <t>IT Cloud DR; Business Systems; Data BI AI; Sales CRM</t>
        </is>
      </c>
      <c r="S44" s="225" t="inlineStr">
        <is>
          <t>Cloud/SaaS dependency map; RTO/RPO gaps; backup/export strategy; failover exercise</t>
        </is>
      </c>
      <c r="T44" s="202" t="n"/>
      <c r="U44" s="202" t="n"/>
      <c r="V44" s="202" t="n"/>
    </row>
    <row r="45" ht="85.5" customHeight="1" s="209">
      <c r="A45" s="202" t="n"/>
      <c r="B45" s="202" t="n"/>
      <c r="C45" s="202" t="n"/>
      <c r="D45" s="202" t="n"/>
      <c r="E45" s="202" t="n"/>
      <c r="F45" s="202" t="n"/>
      <c r="G45" s="202" t="n"/>
      <c r="H45" s="202" t="n"/>
      <c r="I45" s="202" t="n"/>
      <c r="J45" s="202" t="n"/>
      <c r="K45" s="202" t="n"/>
      <c r="L45" s="202" t="n"/>
      <c r="M45" s="202" t="n"/>
      <c r="N45" s="202" t="n"/>
      <c r="O45" s="202" t="n"/>
      <c r="P45" s="202" t="n"/>
      <c r="Q45" s="225" t="inlineStr">
        <is>
          <t>Supplier / logistics disruption</t>
        </is>
      </c>
      <c r="R45" s="225" t="inlineStr">
        <is>
          <t>Supply Chain; Finance Procurement; Manufacturing MES; Delivery Ops</t>
        </is>
      </c>
      <c r="S45" s="225" t="inlineStr">
        <is>
          <t>Critical supplier map; alternate suppliers; inventory buffer model; customer allocation rules</t>
        </is>
      </c>
      <c r="T45" s="202" t="n"/>
      <c r="U45" s="202" t="n"/>
      <c r="V45" s="202" t="n"/>
    </row>
    <row r="46" ht="57" customHeight="1" s="209">
      <c r="A46" s="202" t="n"/>
      <c r="B46" s="202" t="n"/>
      <c r="C46" s="202" t="n"/>
      <c r="D46" s="202" t="n"/>
      <c r="E46" s="202" t="n"/>
      <c r="F46" s="202" t="n"/>
      <c r="G46" s="202" t="n"/>
      <c r="H46" s="202" t="n"/>
      <c r="I46" s="202" t="n"/>
      <c r="J46" s="202" t="n"/>
      <c r="K46" s="202" t="n"/>
      <c r="L46" s="202" t="n"/>
      <c r="M46" s="202" t="n"/>
      <c r="N46" s="202" t="n"/>
      <c r="O46" s="202" t="n"/>
      <c r="P46" s="202" t="n"/>
      <c r="Q46" s="225" t="inlineStr">
        <is>
          <t>Energy / utilities outage</t>
        </is>
      </c>
      <c r="R46" s="225" t="inlineStr">
        <is>
          <t>Physical Safety; Manufacturing MES; IT Cloud DR; Delivery Ops</t>
        </is>
      </c>
      <c r="S46" s="225" t="inlineStr">
        <is>
          <t>Backup power/fuel plan; utility dependency map; minimum viable operations</t>
        </is>
      </c>
      <c r="T46" s="202" t="n"/>
      <c r="U46" s="202" t="n"/>
      <c r="V46" s="202" t="n"/>
    </row>
    <row r="47" ht="85.5" customHeight="1" s="209">
      <c r="A47" s="202" t="n"/>
      <c r="B47" s="202" t="n"/>
      <c r="C47" s="202" t="n"/>
      <c r="D47" s="202" t="n"/>
      <c r="E47" s="202" t="n"/>
      <c r="F47" s="202" t="n"/>
      <c r="G47" s="202" t="n"/>
      <c r="H47" s="202" t="n"/>
      <c r="I47" s="202" t="n"/>
      <c r="J47" s="202" t="n"/>
      <c r="K47" s="202" t="n"/>
      <c r="L47" s="202" t="n"/>
      <c r="M47" s="202" t="n"/>
      <c r="N47" s="202" t="n"/>
      <c r="O47" s="202" t="n"/>
      <c r="P47" s="202" t="n"/>
      <c r="Q47" s="225" t="inlineStr">
        <is>
          <t>Financial liquidity crisis</t>
        </is>
      </c>
      <c r="R47" s="225" t="inlineStr">
        <is>
          <t>Finance Procurement; Strategy GTM; Sales CRM; Governance Crisis</t>
        </is>
      </c>
      <c r="S47" s="225" t="inlineStr">
        <is>
          <t>Cash-flow stress test; payment priority rules; revenue defense plan; emergency budget actions</t>
        </is>
      </c>
      <c r="T47" s="202" t="n"/>
      <c r="U47" s="202" t="n"/>
      <c r="V47" s="202" t="n"/>
    </row>
    <row r="48" ht="71.25" customHeight="1" s="209">
      <c r="A48" s="202" t="n"/>
      <c r="B48" s="202" t="n"/>
      <c r="C48" s="202" t="n"/>
      <c r="D48" s="202" t="n"/>
      <c r="E48" s="202" t="n"/>
      <c r="F48" s="202" t="n"/>
      <c r="G48" s="202" t="n"/>
      <c r="H48" s="202" t="n"/>
      <c r="I48" s="202" t="n"/>
      <c r="J48" s="202" t="n"/>
      <c r="K48" s="202" t="n"/>
      <c r="L48" s="202" t="n"/>
      <c r="M48" s="202" t="n"/>
      <c r="N48" s="202" t="n"/>
      <c r="O48" s="202" t="n"/>
      <c r="P48" s="202" t="n"/>
      <c r="Q48" s="225" t="inlineStr">
        <is>
          <t>Demand shock</t>
        </is>
      </c>
      <c r="R48" s="225" t="inlineStr">
        <is>
          <t>Strategy GTM; Sales CRM; Marketing Comms; Finance Procurement</t>
        </is>
      </c>
      <c r="S48" s="225" t="inlineStr">
        <is>
          <t>ICP/offering review; pipeline stress test; pricing response; market pivot options</t>
        </is>
      </c>
      <c r="T48" s="202" t="n"/>
      <c r="U48" s="202" t="n"/>
      <c r="V48" s="202" t="n"/>
    </row>
    <row r="49" ht="57" customHeight="1" s="209">
      <c r="A49" s="202" t="n"/>
      <c r="B49" s="202" t="n"/>
      <c r="C49" s="202" t="n"/>
      <c r="D49" s="202" t="n"/>
      <c r="E49" s="202" t="n"/>
      <c r="F49" s="202" t="n"/>
      <c r="G49" s="202" t="n"/>
      <c r="H49" s="202" t="n"/>
      <c r="I49" s="202" t="n"/>
      <c r="J49" s="202" t="n"/>
      <c r="K49" s="202" t="n"/>
      <c r="L49" s="202" t="n"/>
      <c r="M49" s="202" t="n"/>
      <c r="N49" s="202" t="n"/>
      <c r="O49" s="202" t="n"/>
      <c r="P49" s="202" t="n"/>
      <c r="Q49" s="225" t="inlineStr">
        <is>
          <t>Pandemic / health crisis</t>
        </is>
      </c>
      <c r="R49" s="225" t="inlineStr">
        <is>
          <t>HR Workforce; Physical Safety; IT Cloud DR; Delivery Ops</t>
        </is>
      </c>
      <c r="S49" s="225" t="inlineStr">
        <is>
          <t>Remote operating model; absence plan; health protocols; minimum staffing</t>
        </is>
      </c>
      <c r="T49" s="202" t="n"/>
      <c r="U49" s="202" t="n"/>
      <c r="V49" s="202" t="n"/>
    </row>
    <row r="50" ht="57" customHeight="1" s="209">
      <c r="A50" s="202" t="n"/>
      <c r="B50" s="202" t="n"/>
      <c r="C50" s="202" t="n"/>
      <c r="D50" s="202" t="n"/>
      <c r="E50" s="202" t="n"/>
      <c r="F50" s="202" t="n"/>
      <c r="G50" s="202" t="n"/>
      <c r="H50" s="202" t="n"/>
      <c r="I50" s="202" t="n"/>
      <c r="J50" s="202" t="n"/>
      <c r="K50" s="202" t="n"/>
      <c r="L50" s="202" t="n"/>
      <c r="M50" s="202" t="n"/>
      <c r="N50" s="202" t="n"/>
      <c r="O50" s="202" t="n"/>
      <c r="P50" s="202" t="n"/>
      <c r="Q50" s="225" t="inlineStr">
        <is>
          <t>Regulatory / legal shock</t>
        </is>
      </c>
      <c r="R50" s="225" t="inlineStr">
        <is>
          <t>Legal Risk; Data BI AI; Cyber Privacy; Finance Procurement</t>
        </is>
      </c>
      <c r="S50" s="225" t="inlineStr">
        <is>
          <t>Compliance gap map; contract/legal exposure; data/privacy remediation plan</t>
        </is>
      </c>
      <c r="T50" s="202" t="n"/>
      <c r="U50" s="202" t="n"/>
      <c r="V50" s="202" t="n"/>
    </row>
    <row r="51" ht="57" customHeight="1" s="209">
      <c r="A51" s="202" t="n"/>
      <c r="B51" s="202" t="n"/>
      <c r="C51" s="202" t="n"/>
      <c r="D51" s="202" t="n"/>
      <c r="E51" s="202" t="n"/>
      <c r="F51" s="202" t="n"/>
      <c r="G51" s="202" t="n"/>
      <c r="H51" s="202" t="n"/>
      <c r="I51" s="202" t="n"/>
      <c r="J51" s="202" t="n"/>
      <c r="K51" s="202" t="n"/>
      <c r="L51" s="202" t="n"/>
      <c r="M51" s="202" t="n"/>
      <c r="N51" s="202" t="n"/>
      <c r="O51" s="202" t="n"/>
      <c r="P51" s="202" t="n"/>
      <c r="Q51" s="225" t="inlineStr">
        <is>
          <t>Reputation crisis</t>
        </is>
      </c>
      <c r="R51" s="225" t="inlineStr">
        <is>
          <t>Marketing Comms; Sales CRM; Legal Risk; Cyber Privacy</t>
        </is>
      </c>
      <c r="S51" s="225" t="inlineStr">
        <is>
          <t>Crisis communication playbook; customer notification plan; spokesperson matrix</t>
        </is>
      </c>
      <c r="T51" s="202" t="n"/>
      <c r="U51" s="202" t="n"/>
      <c r="V51" s="202" t="n"/>
    </row>
    <row r="52" ht="57" customHeight="1" s="209">
      <c r="A52" s="202" t="n"/>
      <c r="B52" s="202" t="n"/>
      <c r="C52" s="202" t="n"/>
      <c r="D52" s="202" t="n"/>
      <c r="E52" s="202" t="n"/>
      <c r="F52" s="202" t="n"/>
      <c r="G52" s="202" t="n"/>
      <c r="H52" s="202" t="n"/>
      <c r="I52" s="202" t="n"/>
      <c r="J52" s="202" t="n"/>
      <c r="K52" s="202" t="n"/>
      <c r="L52" s="202" t="n"/>
      <c r="M52" s="202" t="n"/>
      <c r="N52" s="202" t="n"/>
      <c r="O52" s="202" t="n"/>
      <c r="P52" s="202" t="n"/>
      <c r="Q52" s="225" t="inlineStr">
        <is>
          <t>Natural disaster / climate event</t>
        </is>
      </c>
      <c r="R52" s="225" t="inlineStr">
        <is>
          <t>Physical Safety; Supply Chain; HR Workforce; Delivery Ops</t>
        </is>
      </c>
      <c r="S52" s="225" t="inlineStr">
        <is>
          <t>Site risk map; emergency supplies; alternate routes; employee notification</t>
        </is>
      </c>
      <c r="T52" s="202" t="n"/>
      <c r="U52" s="202" t="n"/>
      <c r="V52" s="202" t="n"/>
    </row>
    <row r="53">
      <c r="A53" s="202" t="n"/>
      <c r="B53" s="202" t="n"/>
      <c r="C53" s="202" t="n"/>
      <c r="D53" s="202" t="n"/>
      <c r="E53" s="202" t="n"/>
      <c r="F53" s="202" t="n"/>
      <c r="G53" s="202" t="n"/>
      <c r="H53" s="202" t="n"/>
      <c r="I53" s="202" t="n"/>
      <c r="J53" s="202" t="n"/>
      <c r="K53" s="202" t="n"/>
      <c r="L53" s="202" t="n"/>
      <c r="M53" s="202" t="n"/>
      <c r="N53" s="202" t="n"/>
      <c r="O53" s="202" t="n"/>
      <c r="P53" s="202" t="n"/>
      <c r="Q53" s="202" t="n"/>
      <c r="R53" s="202" t="n"/>
      <c r="S53" s="202" t="n"/>
      <c r="T53" s="202" t="n"/>
      <c r="U53" s="202" t="n"/>
      <c r="V53" s="202" t="n"/>
    </row>
    <row r="54">
      <c r="A54" s="202" t="n"/>
      <c r="B54" s="202" t="n"/>
      <c r="C54" s="202" t="n"/>
      <c r="D54" s="202" t="n"/>
      <c r="E54" s="202" t="n"/>
      <c r="F54" s="202" t="n"/>
      <c r="G54" s="202" t="n"/>
      <c r="H54" s="202" t="n"/>
      <c r="I54" s="202" t="n"/>
      <c r="J54" s="202" t="n"/>
      <c r="K54" s="202" t="n"/>
      <c r="L54" s="202" t="n"/>
      <c r="M54" s="202" t="n"/>
      <c r="N54" s="202" t="n"/>
      <c r="O54" s="202" t="n"/>
      <c r="P54" s="202" t="n"/>
      <c r="Q54" s="202" t="n"/>
      <c r="R54" s="202" t="n"/>
      <c r="S54" s="202" t="n"/>
      <c r="T54" s="202" t="n"/>
      <c r="U54" s="202" t="n"/>
      <c r="V54" s="202" t="n"/>
    </row>
    <row r="55" ht="15.75" customHeight="1" s="209">
      <c r="A55" s="210" t="inlineStr">
        <is>
          <t>Initiative roadmap summary</t>
        </is>
      </c>
      <c r="B55" s="202" t="n"/>
      <c r="C55" s="202" t="n"/>
      <c r="D55" s="202" t="n"/>
      <c r="E55" s="202" t="n"/>
      <c r="F55" s="202" t="n"/>
      <c r="G55" s="202" t="n"/>
      <c r="H55" s="202" t="n"/>
      <c r="I55" s="202" t="n"/>
      <c r="J55" s="202" t="n"/>
      <c r="K55" s="202" t="n"/>
      <c r="L55" s="202" t="n"/>
      <c r="M55" s="202" t="n"/>
      <c r="N55" s="202" t="n"/>
      <c r="O55" s="202" t="n"/>
      <c r="P55" s="202" t="n"/>
      <c r="Q55" s="202" t="n"/>
      <c r="R55" s="202" t="n"/>
      <c r="S55" s="202" t="n"/>
      <c r="T55" s="202" t="n"/>
      <c r="U55" s="202" t="n"/>
      <c r="V55" s="202" t="n"/>
    </row>
    <row r="56" ht="25.5" customHeight="1" s="209">
      <c r="A56" s="24" t="inlineStr">
        <is>
          <t>Metric</t>
        </is>
      </c>
      <c r="B56" s="24" t="inlineStr">
        <is>
          <t>Value</t>
        </is>
      </c>
      <c r="C56" s="24" t="inlineStr">
        <is>
          <t>How it is calculated</t>
        </is>
      </c>
      <c r="D56" s="24" t="inlineStr">
        <is>
          <t>Action</t>
        </is>
      </c>
      <c r="E56" s="202" t="n"/>
      <c r="F56" s="202" t="n"/>
      <c r="G56" s="202" t="n"/>
      <c r="H56" s="202" t="n"/>
      <c r="I56" s="202" t="n"/>
      <c r="J56" s="202" t="n"/>
      <c r="K56" s="202" t="n"/>
      <c r="L56" s="202" t="n"/>
      <c r="M56" s="202" t="n"/>
      <c r="N56" s="202" t="n"/>
      <c r="O56" s="202" t="n"/>
      <c r="P56" s="202" t="n"/>
      <c r="Q56" s="202" t="n"/>
      <c r="R56" s="202" t="n"/>
      <c r="S56" s="202" t="n"/>
      <c r="T56" s="202" t="n"/>
      <c r="U56" s="202" t="n"/>
      <c r="V56" s="202" t="n"/>
    </row>
    <row r="57" ht="51" customHeight="1" s="209">
      <c r="A57" s="25" t="inlineStr">
        <is>
          <t>Primary strategy</t>
        </is>
      </c>
      <c r="B57" s="25">
        <f>'_ENGINE_Strategy'!$B$95</f>
        <v/>
      </c>
      <c r="C57" s="25" t="inlineStr">
        <is>
          <t>Top-ranked strategy from Strategy Selection.</t>
        </is>
      </c>
      <c r="D57" s="25" t="inlineStr">
        <is>
          <t>Use as portfolio theme.</t>
        </is>
      </c>
      <c r="E57" s="202" t="n"/>
      <c r="F57" s="202" t="n"/>
      <c r="G57" s="202" t="n"/>
      <c r="H57" s="202" t="n"/>
      <c r="I57" s="202" t="n"/>
      <c r="J57" s="202" t="n"/>
      <c r="K57" s="202" t="n"/>
      <c r="L57" s="202" t="n"/>
      <c r="M57" s="202" t="n"/>
      <c r="N57" s="202" t="n"/>
      <c r="O57" s="202" t="n"/>
      <c r="P57" s="202" t="n"/>
      <c r="Q57" s="202" t="n"/>
      <c r="R57" s="202" t="n"/>
      <c r="S57" s="202" t="n"/>
      <c r="T57" s="202" t="n"/>
      <c r="U57" s="202" t="n"/>
      <c r="V57" s="202" t="n"/>
    </row>
    <row r="58" ht="38.25" customHeight="1" s="209">
      <c r="A58" s="25" t="inlineStr">
        <is>
          <t>Selected crisis</t>
        </is>
      </c>
      <c r="B58" s="25">
        <f>'Resilience &amp; Risk Scenario'!$B$6</f>
        <v/>
      </c>
      <c r="C58" s="25" t="inlineStr">
        <is>
          <t>Scenario selected in Crisis Simulator.</t>
        </is>
      </c>
      <c r="D58" s="25" t="inlineStr">
        <is>
          <t>Review if scenario changed.</t>
        </is>
      </c>
      <c r="E58" s="202" t="n"/>
      <c r="F58" s="202" t="n"/>
      <c r="G58" s="202" t="n"/>
      <c r="H58" s="202" t="n"/>
      <c r="I58" s="202" t="n"/>
      <c r="J58" s="202" t="n"/>
      <c r="K58" s="202" t="n"/>
      <c r="L58" s="202" t="n"/>
      <c r="M58" s="202" t="n"/>
      <c r="N58" s="202" t="n"/>
      <c r="O58" s="202" t="n"/>
      <c r="P58" s="202" t="n"/>
      <c r="Q58" s="202" t="n"/>
      <c r="R58" s="202" t="n"/>
      <c r="S58" s="202" t="n"/>
      <c r="T58" s="202" t="n"/>
      <c r="U58" s="202" t="n"/>
      <c r="V58" s="202" t="n"/>
    </row>
    <row r="59" ht="51" customHeight="1" s="209">
      <c r="A59" s="25" t="inlineStr">
        <is>
          <t>Active / triggered initiatives</t>
        </is>
      </c>
      <c r="B59" s="25">
        <f>COUNTIFS(_ENGINE_Initiatives!$BW$5:$BW$76,"&lt;=55")</f>
      </c>
      <c r="C59" s="25" t="inlineStr">
        <is>
          <t>Initiatives ranked into 0-90 days through 12+ months from _ENGINE_Initiatives.</t>
        </is>
      </c>
      <c r="D59" s="25" t="inlineStr">
        <is>
          <t>Start with top 10.</t>
        </is>
      </c>
      <c r="E59" s="202" t="n"/>
      <c r="F59" s="202" t="n"/>
      <c r="G59" s="202" t="n"/>
      <c r="H59" s="202" t="n"/>
      <c r="I59" s="202" t="n"/>
      <c r="J59" s="202" t="n"/>
      <c r="K59" s="202" t="n"/>
      <c r="L59" s="202" t="n"/>
      <c r="M59" s="202" t="n"/>
      <c r="N59" s="202" t="n"/>
      <c r="O59" s="202" t="n"/>
      <c r="P59" s="202" t="n"/>
      <c r="Q59" s="202" t="n"/>
      <c r="R59" s="202" t="n"/>
      <c r="S59" s="202" t="n"/>
      <c r="T59" s="202" t="n"/>
      <c r="U59" s="202" t="n"/>
      <c r="V59" s="202" t="n"/>
    </row>
    <row r="60" ht="38.25" customHeight="1" s="209">
      <c r="A60" s="25" t="inlineStr">
        <is>
          <t>Top WSJF</t>
        </is>
      </c>
      <c r="B60" s="25">
        <f>IFERROR(MAX(_ENGINE_Initiatives!$BV$5:$BV$76),"")</f>
      </c>
      <c r="C60" s="25" t="inlineStr">
        <is>
          <t>Highest P2 WSJF v3 across initiative library.</t>
        </is>
      </c>
      <c r="D60" s="25" t="inlineStr">
        <is>
          <t>Use for first wave.</t>
        </is>
      </c>
      <c r="E60" s="202" t="n"/>
      <c r="F60" s="202" t="n"/>
      <c r="G60" s="202" t="n"/>
      <c r="H60" s="202" t="n"/>
      <c r="I60" s="202" t="n"/>
      <c r="J60" s="202" t="n"/>
      <c r="K60" s="202" t="n"/>
      <c r="L60" s="202" t="n"/>
      <c r="M60" s="202" t="n"/>
      <c r="N60" s="202" t="n"/>
      <c r="O60" s="202" t="n"/>
      <c r="P60" s="202" t="n"/>
      <c r="Q60" s="202" t="n"/>
      <c r="R60" s="202" t="n"/>
      <c r="S60" s="202" t="n"/>
      <c r="T60" s="202" t="n"/>
      <c r="U60" s="202" t="n"/>
      <c r="V60" s="202" t="n"/>
    </row>
    <row r="61" ht="38.25" customHeight="1" s="209">
      <c r="A61" s="25" t="inlineStr">
        <is>
          <t>0-90 days initiatives</t>
        </is>
      </c>
      <c r="B61" s="25">
        <f>COUNTIF(_ENGINE_Initiatives!$BX$5:$BX$76,"0-90 days")</f>
      </c>
      <c r="C61" s="25" t="inlineStr">
        <is>
          <t>Roadmap wave based on P2 rank and WSJF.</t>
        </is>
      </c>
      <c r="D61" s="25" t="inlineStr">
        <is>
          <t>Assign owners.</t>
        </is>
      </c>
      <c r="E61" s="202" t="n"/>
      <c r="F61" s="202" t="n"/>
      <c r="G61" s="202" t="n"/>
      <c r="H61" s="202" t="n"/>
      <c r="I61" s="202" t="n"/>
      <c r="J61" s="202" t="n"/>
      <c r="K61" s="202" t="n"/>
      <c r="L61" s="202" t="n"/>
      <c r="M61" s="202" t="n"/>
      <c r="N61" s="202" t="n"/>
      <c r="O61" s="202" t="n"/>
      <c r="P61" s="202" t="n"/>
      <c r="Q61" s="202" t="n"/>
      <c r="R61" s="202" t="n"/>
      <c r="S61" s="202" t="n"/>
      <c r="T61" s="202" t="n"/>
      <c r="U61" s="202" t="n"/>
      <c r="V61" s="202" t="n"/>
    </row>
    <row r="62" ht="38.25" customHeight="1" s="209">
      <c r="A62" s="25" t="inlineStr">
        <is>
          <t>3-6 months initiatives</t>
        </is>
      </c>
      <c r="B62" s="25">
        <f>COUNTIF(_ENGINE_Initiatives!$BX$5:$BX$76,"3-6 months")</f>
      </c>
      <c r="C62" s="25" t="inlineStr">
        <is>
          <t>Roadmap wave based on P2 rank and WSJF.</t>
        </is>
      </c>
      <c r="D62" s="25" t="inlineStr">
        <is>
          <t>Prepare budget.</t>
        </is>
      </c>
      <c r="E62" s="202" t="n"/>
      <c r="F62" s="202" t="n"/>
      <c r="G62" s="202" t="n"/>
      <c r="H62" s="202" t="n"/>
      <c r="I62" s="202" t="n"/>
      <c r="J62" s="202" t="n"/>
      <c r="K62" s="202" t="n"/>
      <c r="L62" s="202" t="n"/>
      <c r="M62" s="202" t="n"/>
      <c r="N62" s="202" t="n"/>
      <c r="O62" s="202" t="n"/>
      <c r="P62" s="202" t="n"/>
      <c r="Q62" s="202" t="n"/>
      <c r="R62" s="202" t="n"/>
      <c r="S62" s="202" t="n"/>
      <c r="T62" s="202" t="n"/>
      <c r="U62" s="202" t="n"/>
      <c r="V62" s="202" t="n"/>
    </row>
    <row r="63">
      <c r="A63" s="202" t="n"/>
      <c r="B63" s="202" t="n"/>
      <c r="C63" s="202" t="n"/>
      <c r="D63" s="202" t="n"/>
      <c r="E63" s="202" t="n"/>
      <c r="F63" s="202" t="n"/>
      <c r="G63" s="202" t="n"/>
      <c r="H63" s="202" t="n"/>
      <c r="I63" s="202" t="n"/>
      <c r="J63" s="202" t="n"/>
      <c r="K63" s="202" t="n"/>
      <c r="L63" s="202" t="n"/>
      <c r="M63" s="202" t="n"/>
      <c r="N63" s="202" t="n"/>
      <c r="O63" s="202" t="n"/>
      <c r="P63" s="202" t="n"/>
      <c r="Q63" s="202" t="n"/>
      <c r="R63" s="202" t="n"/>
      <c r="S63" s="202" t="n"/>
      <c r="T63" s="202" t="n"/>
      <c r="U63" s="202" t="n"/>
      <c r="V63" s="202" t="n"/>
    </row>
    <row r="64" ht="15" customHeight="1" s="209">
      <c r="A64" s="219" t="inlineStr">
        <is>
          <t>Scope update</t>
        </is>
      </c>
      <c r="B64" s="202" t="n"/>
      <c r="C64" s="202" t="n"/>
      <c r="D64" s="202" t="n"/>
      <c r="E64" s="202" t="n"/>
      <c r="F64" s="202" t="n"/>
      <c r="G64" s="202" t="n"/>
      <c r="H64" s="202" t="n"/>
      <c r="I64" s="202" t="n"/>
      <c r="J64" s="202" t="n"/>
      <c r="K64" s="202" t="n"/>
      <c r="L64" s="202" t="n"/>
      <c r="M64" s="202" t="n"/>
      <c r="N64" s="202" t="n"/>
      <c r="O64" s="202" t="n"/>
      <c r="P64" s="202" t="n"/>
      <c r="Q64" s="202" t="n"/>
      <c r="R64" s="202" t="n"/>
      <c r="S64" s="202" t="n"/>
      <c r="T64" s="202" t="n"/>
      <c r="U64" s="202" t="n"/>
      <c r="V64" s="202" t="n"/>
    </row>
    <row r="65" ht="28.5" customHeight="1" s="209">
      <c r="A65" s="17" t="inlineStr">
        <is>
          <t>Company Profile</t>
        </is>
      </c>
      <c r="B65" s="17" t="inlineStr">
        <is>
          <t>Context and target settings</t>
        </is>
      </c>
      <c r="C65" s="202" t="n"/>
      <c r="D65" s="202" t="n"/>
      <c r="E65" s="202" t="n"/>
      <c r="F65" s="202" t="n"/>
      <c r="G65" s="202" t="n"/>
      <c r="H65" s="202" t="n"/>
      <c r="I65" s="202" t="n"/>
      <c r="J65" s="202" t="n"/>
      <c r="K65" s="202" t="n"/>
      <c r="L65" s="202" t="n"/>
      <c r="M65" s="202" t="n"/>
      <c r="N65" s="202" t="n"/>
      <c r="O65" s="202" t="n"/>
      <c r="P65" s="202" t="n"/>
      <c r="Q65" s="202" t="n"/>
      <c r="R65" s="202" t="n"/>
      <c r="S65" s="202" t="n"/>
      <c r="T65" s="202" t="n"/>
      <c r="U65" s="202" t="n"/>
      <c r="V65" s="202" t="n"/>
    </row>
    <row r="66" ht="42.75" customHeight="1" s="209">
      <c r="A66" s="17" t="inlineStr">
        <is>
          <t>Quality Control</t>
        </is>
      </c>
      <c r="B66" s="17" t="inlineStr">
        <is>
          <t>Completeness and quality checks</t>
        </is>
      </c>
      <c r="C66" s="202" t="n"/>
      <c r="D66" s="202" t="n"/>
      <c r="E66" s="202" t="n"/>
      <c r="F66" s="202" t="n"/>
      <c r="G66" s="202" t="n"/>
      <c r="H66" s="202" t="n"/>
      <c r="I66" s="202" t="n"/>
      <c r="J66" s="202" t="n"/>
      <c r="K66" s="202" t="n"/>
      <c r="L66" s="202" t="n"/>
      <c r="M66" s="202" t="n"/>
      <c r="N66" s="202" t="n"/>
      <c r="O66" s="202" t="n"/>
      <c r="P66" s="202" t="n"/>
      <c r="Q66" s="202" t="n"/>
      <c r="R66" s="202" t="n"/>
      <c r="S66" s="202" t="n"/>
      <c r="T66" s="202" t="n"/>
      <c r="U66" s="202" t="n"/>
      <c r="V66" s="202" t="n"/>
    </row>
    <row r="67" ht="42.75" customHeight="1" s="209">
      <c r="A67" s="17" t="inlineStr">
        <is>
          <t>Gantt Roadmap</t>
        </is>
      </c>
      <c r="B67" s="17" t="inlineStr">
        <is>
          <t>Time-based initiative roadmap</t>
        </is>
      </c>
      <c r="C67" s="202" t="n"/>
      <c r="D67" s="202" t="n"/>
      <c r="E67" s="202" t="n"/>
      <c r="F67" s="202" t="n"/>
      <c r="G67" s="202" t="n"/>
      <c r="H67" s="202" t="n"/>
      <c r="I67" s="202" t="n"/>
      <c r="J67" s="202" t="n"/>
      <c r="K67" s="202" t="n"/>
      <c r="L67" s="202" t="n"/>
      <c r="M67" s="202" t="n"/>
      <c r="N67" s="202" t="n"/>
      <c r="O67" s="202" t="n"/>
      <c r="P67" s="202" t="n"/>
      <c r="Q67" s="202" t="n"/>
      <c r="R67" s="202" t="n"/>
      <c r="S67" s="202" t="n"/>
      <c r="T67" s="202" t="n"/>
      <c r="U67" s="202" t="n"/>
      <c r="V67" s="202" t="n"/>
    </row>
    <row r="68" ht="42.75" customHeight="1" s="209">
      <c r="A68" s="17" t="inlineStr">
        <is>
          <t>Standards per Question</t>
        </is>
      </c>
      <c r="B68" s="17" t="inlineStr">
        <is>
          <t>Question-level standards mapping</t>
        </is>
      </c>
      <c r="C68" s="202" t="n"/>
      <c r="D68" s="202" t="n"/>
      <c r="E68" s="202" t="n"/>
      <c r="F68" s="202" t="n"/>
      <c r="G68" s="202" t="n"/>
      <c r="H68" s="202" t="n"/>
      <c r="I68" s="202" t="n"/>
      <c r="J68" s="202" t="n"/>
      <c r="K68" s="202" t="n"/>
      <c r="L68" s="202" t="n"/>
      <c r="M68" s="202" t="n"/>
      <c r="N68" s="202" t="n"/>
      <c r="O68" s="202" t="n"/>
      <c r="P68" s="202" t="n"/>
      <c r="Q68" s="202" t="n"/>
      <c r="R68" s="202" t="n"/>
      <c r="S68" s="202" t="n"/>
      <c r="T68" s="202" t="n"/>
      <c r="U68" s="202" t="n"/>
      <c r="V68" s="202" t="n"/>
    </row>
    <row r="69">
      <c r="A69" s="202" t="n"/>
      <c r="B69" s="202" t="n"/>
      <c r="C69" s="202" t="n"/>
      <c r="D69" s="202" t="n"/>
      <c r="E69" s="202" t="n"/>
      <c r="F69" s="202" t="n"/>
      <c r="G69" s="202" t="n"/>
      <c r="H69" s="202" t="n"/>
      <c r="I69" s="202" t="n"/>
      <c r="J69" s="202" t="n"/>
      <c r="K69" s="202" t="n"/>
      <c r="L69" s="202" t="n"/>
      <c r="M69" s="202" t="n"/>
      <c r="N69" s="202" t="n"/>
      <c r="O69" s="202" t="n"/>
      <c r="P69" s="202" t="n"/>
      <c r="Q69" s="202" t="n"/>
      <c r="R69" s="202" t="n"/>
      <c r="S69" s="202" t="n"/>
      <c r="T69" s="202" t="n"/>
      <c r="U69" s="202" t="n"/>
      <c r="V69" s="202" t="n"/>
    </row>
    <row r="70">
      <c r="A70" s="202" t="n"/>
      <c r="B70" s="202" t="n"/>
      <c r="C70" s="202" t="n"/>
      <c r="D70" s="202" t="n"/>
      <c r="E70" s="202" t="n"/>
      <c r="F70" s="202" t="n"/>
      <c r="G70" s="202" t="n"/>
      <c r="H70" s="202" t="n"/>
      <c r="I70" s="202" t="n"/>
      <c r="J70" s="202" t="n"/>
      <c r="K70" s="202" t="n"/>
      <c r="L70" s="202" t="n"/>
      <c r="M70" s="202" t="n"/>
      <c r="N70" s="202" t="n"/>
      <c r="O70" s="202" t="n"/>
      <c r="P70" s="202" t="n"/>
      <c r="Q70" s="202" t="n"/>
      <c r="R70" s="202" t="n"/>
      <c r="S70" s="202" t="n"/>
      <c r="T70" s="202" t="n"/>
      <c r="U70" s="202" t="n"/>
      <c r="V70" s="202" t="n"/>
    </row>
    <row r="71">
      <c r="A71" s="202" t="n"/>
      <c r="B71" s="202" t="n"/>
      <c r="C71" s="202" t="n"/>
      <c r="D71" s="202" t="n"/>
      <c r="E71" s="202" t="n"/>
      <c r="F71" s="202" t="n"/>
      <c r="G71" s="202" t="n"/>
      <c r="H71" s="202" t="n"/>
      <c r="I71" s="202" t="n"/>
      <c r="J71" s="202" t="n"/>
      <c r="K71" s="202" t="n"/>
      <c r="L71" s="202" t="n"/>
      <c r="M71" s="202" t="n"/>
      <c r="N71" s="202" t="n"/>
      <c r="O71" s="202" t="n"/>
      <c r="P71" s="202" t="n"/>
      <c r="Q71" s="202" t="n"/>
      <c r="R71" s="202" t="n"/>
      <c r="S71" s="202" t="n"/>
      <c r="T71" s="202" t="n"/>
      <c r="U71" s="202" t="n"/>
      <c r="V71" s="202" t="n"/>
    </row>
    <row r="72" ht="15.75" customHeight="1" s="209">
      <c r="A72" s="217" t="inlineStr">
        <is>
          <t>Industry-adjusted scoring overview</t>
        </is>
      </c>
      <c r="B72" s="202" t="n"/>
      <c r="C72" s="202" t="n"/>
      <c r="D72" s="202" t="n"/>
      <c r="E72" s="202" t="n"/>
      <c r="F72" s="202" t="n"/>
      <c r="G72" s="202" t="n"/>
      <c r="H72" s="202" t="n"/>
      <c r="I72" s="202" t="n"/>
      <c r="J72" s="202" t="n"/>
      <c r="K72" s="202" t="n"/>
      <c r="L72" s="202" t="n"/>
      <c r="M72" s="202" t="n"/>
      <c r="N72" s="202" t="n"/>
      <c r="O72" s="202" t="n"/>
      <c r="P72" s="202" t="n"/>
      <c r="Q72" s="202" t="n"/>
      <c r="R72" s="202" t="n"/>
      <c r="S72" s="202" t="n"/>
      <c r="T72" s="202" t="n"/>
      <c r="U72" s="202" t="n"/>
      <c r="V72" s="202" t="n"/>
    </row>
    <row r="73" ht="30" customHeight="1" s="209">
      <c r="A73" s="41" t="inlineStr">
        <is>
          <t>Selected industry</t>
        </is>
      </c>
      <c r="B73" s="42">
        <f>'Company Profile'!$B$9</f>
        <v/>
      </c>
      <c r="C73" s="202" t="n"/>
      <c r="D73" s="23" t="inlineStr">
        <is>
          <t>Domain</t>
        </is>
      </c>
      <c r="E73" s="23" t="inlineStr">
        <is>
          <t>Adjusted score</t>
        </is>
      </c>
      <c r="F73" s="23" t="inlineStr">
        <is>
          <t>Target</t>
        </is>
      </c>
      <c r="G73" s="23" t="inlineStr">
        <is>
          <t>Gap</t>
        </is>
      </c>
      <c r="H73" s="23" t="inlineStr">
        <is>
          <t>Threshold status</t>
        </is>
      </c>
      <c r="I73" s="202" t="n"/>
      <c r="J73" s="202" t="n"/>
      <c r="K73" s="202" t="n"/>
      <c r="L73" s="202" t="n"/>
      <c r="M73" s="202" t="n"/>
      <c r="N73" s="202" t="n"/>
      <c r="O73" s="202" t="n"/>
      <c r="P73" s="202" t="n"/>
      <c r="Q73" s="202" t="n"/>
      <c r="R73" s="202" t="n"/>
      <c r="S73" s="202" t="n"/>
      <c r="T73" s="202" t="n"/>
      <c r="U73" s="202" t="n"/>
      <c r="V73" s="202" t="n"/>
    </row>
    <row r="74" ht="28.5" customHeight="1" s="209">
      <c r="A74" s="41" t="inlineStr">
        <is>
          <t>Industry-adjusted weighted score 0-5</t>
        </is>
      </c>
      <c r="B74" s="42">
        <f>'_DATA_Dashboard_Facts'!$Q$294</f>
        <v/>
      </c>
      <c r="C74" s="202" t="n"/>
      <c r="D74" s="43" t="inlineStr">
        <is>
          <t>Company Geography</t>
        </is>
      </c>
      <c r="E74" s="43">
        <f>IFERROR(INDEX('_DATA_Dashboard_Facts'!$C$300:$C$316,MATCH($D74,'_DATA_Dashboard_Facts'!$A$300:$A$316,0)),"")</f>
        <v/>
      </c>
      <c r="F74" s="43">
        <f>IFERROR(INDEX('_DATA_Dashboard_Facts'!$F$300:$F$316,MATCH($D74,'_DATA_Dashboard_Facts'!$A$300:$A$316,0)),"")</f>
        <v/>
      </c>
      <c r="G74" s="43">
        <f>IFERROR(INDEX('_DATA_Dashboard_Facts'!$G$300:$G$316,MATCH($D74,'_DATA_Dashboard_Facts'!$A$300:$A$316,0)),"")</f>
        <v/>
      </c>
      <c r="H74" s="43">
        <f>IFERROR(INDEX('_DATA_Dashboard_Facts'!$K$300:$K$316,MATCH($D74,'_DATA_Dashboard_Facts'!$A$300:$A$316,0)),"")</f>
        <v/>
      </c>
      <c r="I74" s="202" t="n"/>
      <c r="J74" s="202" t="n"/>
      <c r="K74" s="202" t="n"/>
      <c r="L74" s="202" t="n"/>
      <c r="M74" s="202" t="n"/>
      <c r="N74" s="202" t="n"/>
      <c r="O74" s="202" t="n"/>
      <c r="P74" s="202" t="n"/>
      <c r="Q74" s="202" t="n"/>
      <c r="R74" s="202" t="n"/>
      <c r="S74" s="202" t="n"/>
      <c r="T74" s="202" t="n"/>
      <c r="U74" s="202" t="n"/>
      <c r="V74" s="202" t="n"/>
    </row>
    <row r="75" ht="15" customHeight="1" s="209">
      <c r="A75" s="41" t="inlineStr">
        <is>
          <t>Average gap to industry target</t>
        </is>
      </c>
      <c r="B75" s="42">
        <f>'_DATA_Dashboard_Facts'!$Q$295</f>
        <v/>
      </c>
      <c r="C75" s="202" t="n"/>
      <c r="D75" s="247" t="inlineStr">
        <is>
          <t>Strategy GTM</t>
        </is>
      </c>
      <c r="E75" s="247">
        <f>IFERROR(INDEX('_DATA_Dashboard_Facts'!$C$300:$C$316,MATCH($D75,'_DATA_Dashboard_Facts'!$A$300:$A$316,0)),"")</f>
        <v/>
      </c>
      <c r="F75" s="247">
        <f>IFERROR(INDEX('_DATA_Dashboard_Facts'!$F$300:$F$316,MATCH($D75,'_DATA_Dashboard_Facts'!$A$300:$A$316,0)),"")</f>
        <v/>
      </c>
      <c r="G75" s="247">
        <f>IFERROR(INDEX('_DATA_Dashboard_Facts'!$G$300:$G$316,MATCH($D75,'_DATA_Dashboard_Facts'!$A$300:$A$316,0)),"")</f>
        <v/>
      </c>
      <c r="H75" s="247">
        <f>IFERROR(INDEX('_DATA_Dashboard_Facts'!$K$300:$K$316,MATCH($D75,'_DATA_Dashboard_Facts'!$A$300:$A$316,0)),"")</f>
        <v/>
      </c>
      <c r="I75" s="202" t="n"/>
      <c r="J75" s="202" t="n"/>
      <c r="K75" s="202" t="n"/>
      <c r="L75" s="202" t="n"/>
      <c r="M75" s="202" t="n"/>
      <c r="N75" s="202" t="n"/>
      <c r="O75" s="202" t="n"/>
      <c r="P75" s="202" t="n"/>
      <c r="Q75" s="202" t="n"/>
      <c r="R75" s="202" t="n"/>
      <c r="S75" s="202" t="n"/>
      <c r="T75" s="202" t="n"/>
      <c r="U75" s="202" t="n"/>
      <c r="V75" s="202" t="n"/>
    </row>
    <row r="76" ht="28.5" customHeight="1" s="209">
      <c r="A76" s="41" t="inlineStr">
        <is>
          <t>Red-line threshold breaches</t>
        </is>
      </c>
      <c r="B76" s="42">
        <f>'_DATA_Dashboard_Facts'!$Q$296</f>
        <v/>
      </c>
      <c r="C76" s="202" t="n"/>
      <c r="D76" s="43" t="inlineStr">
        <is>
          <t>Governance Crisis</t>
        </is>
      </c>
      <c r="E76" s="43">
        <f>IFERROR(INDEX('_DATA_Dashboard_Facts'!$C$300:$C$316,MATCH($D76,'_DATA_Dashboard_Facts'!$A$300:$A$316,0)),"")</f>
        <v/>
      </c>
      <c r="F76" s="43">
        <f>IFERROR(INDEX('_DATA_Dashboard_Facts'!$F$300:$F$316,MATCH($D76,'_DATA_Dashboard_Facts'!$A$300:$A$316,0)),"")</f>
        <v/>
      </c>
      <c r="G76" s="43">
        <f>IFERROR(INDEX('_DATA_Dashboard_Facts'!$G$300:$G$316,MATCH($D76,'_DATA_Dashboard_Facts'!$A$300:$A$316,0)),"")</f>
        <v/>
      </c>
      <c r="H76" s="43">
        <f>IFERROR(INDEX('_DATA_Dashboard_Facts'!$K$300:$K$316,MATCH($D76,'_DATA_Dashboard_Facts'!$A$300:$A$316,0)),"")</f>
        <v/>
      </c>
      <c r="I76" s="202" t="n"/>
      <c r="J76" s="202" t="n"/>
      <c r="K76" s="202" t="n"/>
      <c r="L76" s="202" t="n"/>
      <c r="M76" s="202" t="n"/>
      <c r="N76" s="202" t="n"/>
      <c r="O76" s="202" t="n"/>
      <c r="P76" s="202" t="n"/>
      <c r="Q76" s="202" t="n"/>
      <c r="R76" s="202" t="n"/>
      <c r="S76" s="202" t="n"/>
      <c r="T76" s="202" t="n"/>
      <c r="U76" s="202" t="n"/>
      <c r="V76" s="202" t="n"/>
    </row>
    <row r="77" ht="15" customHeight="1" s="209">
      <c r="A77" s="41" t="inlineStr">
        <is>
          <t>Primary industry-adjusted strategy</t>
        </is>
      </c>
      <c r="B77" s="42">
        <f>'_ENGINE_Strategy'!$B$95</f>
        <v/>
      </c>
      <c r="C77" s="202" t="n"/>
      <c r="D77" s="247" t="inlineStr">
        <is>
          <t>HR Workforce</t>
        </is>
      </c>
      <c r="E77" s="247">
        <f>IFERROR(INDEX('_DATA_Dashboard_Facts'!$C$300:$C$316,MATCH($D77,'_DATA_Dashboard_Facts'!$A$300:$A$316,0)),"")</f>
        <v/>
      </c>
      <c r="F77" s="247">
        <f>IFERROR(INDEX('_DATA_Dashboard_Facts'!$F$300:$F$316,MATCH($D77,'_DATA_Dashboard_Facts'!$A$300:$A$316,0)),"")</f>
        <v/>
      </c>
      <c r="G77" s="247">
        <f>IFERROR(INDEX('_DATA_Dashboard_Facts'!$G$300:$G$316,MATCH($D77,'_DATA_Dashboard_Facts'!$A$300:$A$316,0)),"")</f>
        <v/>
      </c>
      <c r="H77" s="247">
        <f>IFERROR(INDEX('_DATA_Dashboard_Facts'!$K$300:$K$316,MATCH($D77,'_DATA_Dashboard_Facts'!$A$300:$A$316,0)),"")</f>
        <v/>
      </c>
      <c r="I77" s="202" t="n"/>
      <c r="J77" s="202" t="n"/>
      <c r="K77" s="202" t="n"/>
      <c r="L77" s="202" t="n"/>
      <c r="M77" s="202" t="n"/>
      <c r="N77" s="202" t="n"/>
      <c r="O77" s="202" t="n"/>
      <c r="P77" s="202" t="n"/>
      <c r="Q77" s="202" t="n"/>
      <c r="R77" s="202" t="n"/>
      <c r="S77" s="202" t="n"/>
      <c r="T77" s="202" t="n"/>
      <c r="U77" s="202" t="n"/>
      <c r="V77" s="202" t="n"/>
    </row>
    <row r="78" ht="28.5" customHeight="1" s="209">
      <c r="A78" s="202" t="n"/>
      <c r="B78" s="202" t="n"/>
      <c r="C78" s="202" t="n"/>
      <c r="D78" s="43" t="inlineStr">
        <is>
          <t>Finance Procurement</t>
        </is>
      </c>
      <c r="E78" s="43">
        <f>IFERROR(INDEX('_DATA_Dashboard_Facts'!$C$300:$C$316,MATCH($D78,'_DATA_Dashboard_Facts'!$A$300:$A$316,0)),"")</f>
        <v/>
      </c>
      <c r="F78" s="43">
        <f>IFERROR(INDEX('_DATA_Dashboard_Facts'!$F$300:$F$316,MATCH($D78,'_DATA_Dashboard_Facts'!$A$300:$A$316,0)),"")</f>
        <v/>
      </c>
      <c r="G78" s="43">
        <f>IFERROR(INDEX('_DATA_Dashboard_Facts'!$G$300:$G$316,MATCH($D78,'_DATA_Dashboard_Facts'!$A$300:$A$316,0)),"")</f>
        <v/>
      </c>
      <c r="H78" s="43">
        <f>IFERROR(INDEX('_DATA_Dashboard_Facts'!$K$300:$K$316,MATCH($D78,'_DATA_Dashboard_Facts'!$A$300:$A$316,0)),"")</f>
        <v/>
      </c>
      <c r="I78" s="202" t="n"/>
      <c r="J78" s="202" t="n"/>
      <c r="K78" s="202" t="n"/>
      <c r="L78" s="202" t="n"/>
      <c r="M78" s="202" t="n"/>
      <c r="N78" s="202" t="n"/>
      <c r="O78" s="202" t="n"/>
      <c r="P78" s="202" t="n"/>
      <c r="Q78" s="202" t="n"/>
      <c r="R78" s="202" t="n"/>
      <c r="S78" s="202" t="n"/>
      <c r="T78" s="202" t="n"/>
      <c r="U78" s="202" t="n"/>
      <c r="V78" s="202" t="n"/>
    </row>
    <row r="79">
      <c r="A79" s="202" t="n"/>
      <c r="B79" s="202" t="n"/>
      <c r="C79" s="202" t="n"/>
      <c r="D79" s="247" t="inlineStr">
        <is>
          <t>Legal Risk</t>
        </is>
      </c>
      <c r="E79" s="247">
        <f>IFERROR(INDEX('_DATA_Dashboard_Facts'!$C$300:$C$316,MATCH($D79,'_DATA_Dashboard_Facts'!$A$300:$A$316,0)),"")</f>
        <v/>
      </c>
      <c r="F79" s="247">
        <f>IFERROR(INDEX('_DATA_Dashboard_Facts'!$F$300:$F$316,MATCH($D79,'_DATA_Dashboard_Facts'!$A$300:$A$316,0)),"")</f>
        <v/>
      </c>
      <c r="G79" s="247">
        <f>IFERROR(INDEX('_DATA_Dashboard_Facts'!$G$300:$G$316,MATCH($D79,'_DATA_Dashboard_Facts'!$A$300:$A$316,0)),"")</f>
        <v/>
      </c>
      <c r="H79" s="247">
        <f>IFERROR(INDEX('_DATA_Dashboard_Facts'!$K$300:$K$316,MATCH($D79,'_DATA_Dashboard_Facts'!$A$300:$A$316,0)),"")</f>
        <v/>
      </c>
      <c r="I79" s="202" t="n"/>
      <c r="J79" s="202" t="n"/>
      <c r="K79" s="202" t="n"/>
      <c r="L79" s="202" t="n"/>
      <c r="M79" s="202" t="n"/>
      <c r="N79" s="202" t="n"/>
      <c r="O79" s="202" t="n"/>
      <c r="P79" s="202" t="n"/>
      <c r="Q79" s="202" t="n"/>
      <c r="R79" s="202" t="n"/>
      <c r="S79" s="202" t="n"/>
      <c r="T79" s="202" t="n"/>
      <c r="U79" s="202" t="n"/>
      <c r="V79" s="202" t="n"/>
    </row>
    <row r="80" ht="28.5" customHeight="1" s="209">
      <c r="A80" s="202" t="n"/>
      <c r="B80" s="202" t="n"/>
      <c r="C80" s="202" t="n"/>
      <c r="D80" s="43" t="inlineStr">
        <is>
          <t>Physical Safety</t>
        </is>
      </c>
      <c r="E80" s="43">
        <f>IFERROR(INDEX('_DATA_Dashboard_Facts'!$C$300:$C$316,MATCH($D80,'_DATA_Dashboard_Facts'!$A$300:$A$316,0)),"")</f>
        <v/>
      </c>
      <c r="F80" s="43">
        <f>IFERROR(INDEX('_DATA_Dashboard_Facts'!$F$300:$F$316,MATCH($D80,'_DATA_Dashboard_Facts'!$A$300:$A$316,0)),"")</f>
        <v/>
      </c>
      <c r="G80" s="43">
        <f>IFERROR(INDEX('_DATA_Dashboard_Facts'!$G$300:$G$316,MATCH($D80,'_DATA_Dashboard_Facts'!$A$300:$A$316,0)),"")</f>
        <v/>
      </c>
      <c r="H80" s="43">
        <f>IFERROR(INDEX('_DATA_Dashboard_Facts'!$K$300:$K$316,MATCH($D80,'_DATA_Dashboard_Facts'!$A$300:$A$316,0)),"")</f>
        <v/>
      </c>
      <c r="I80" s="202" t="n"/>
      <c r="J80" s="202" t="n"/>
      <c r="K80" s="202" t="n"/>
      <c r="L80" s="202" t="n"/>
      <c r="M80" s="202" t="n"/>
      <c r="N80" s="202" t="n"/>
      <c r="O80" s="202" t="n"/>
      <c r="P80" s="202" t="n"/>
      <c r="Q80" s="202" t="n"/>
      <c r="R80" s="202" t="n"/>
      <c r="S80" s="202" t="n"/>
      <c r="T80" s="202" t="n"/>
      <c r="U80" s="202" t="n"/>
      <c r="V80" s="202" t="n"/>
    </row>
    <row r="81">
      <c r="A81" s="202" t="n"/>
      <c r="B81" s="202" t="n"/>
      <c r="C81" s="202" t="n"/>
      <c r="D81" s="247" t="inlineStr">
        <is>
          <t>Delivery Ops</t>
        </is>
      </c>
      <c r="E81" s="247">
        <f>IFERROR(INDEX('_DATA_Dashboard_Facts'!$C$300:$C$316,MATCH($D81,'_DATA_Dashboard_Facts'!$A$300:$A$316,0)),"")</f>
        <v/>
      </c>
      <c r="F81" s="247">
        <f>IFERROR(INDEX('_DATA_Dashboard_Facts'!$F$300:$F$316,MATCH($D81,'_DATA_Dashboard_Facts'!$A$300:$A$316,0)),"")</f>
        <v/>
      </c>
      <c r="G81" s="247">
        <f>IFERROR(INDEX('_DATA_Dashboard_Facts'!$G$300:$G$316,MATCH($D81,'_DATA_Dashboard_Facts'!$A$300:$A$316,0)),"")</f>
        <v/>
      </c>
      <c r="H81" s="247">
        <f>IFERROR(INDEX('_DATA_Dashboard_Facts'!$K$300:$K$316,MATCH($D81,'_DATA_Dashboard_Facts'!$A$300:$A$316,0)),"")</f>
        <v/>
      </c>
      <c r="I81" s="202" t="n"/>
      <c r="J81" s="202" t="n"/>
      <c r="K81" s="202" t="n"/>
      <c r="L81" s="202" t="n"/>
      <c r="M81" s="202" t="n"/>
      <c r="N81" s="202" t="n"/>
      <c r="O81" s="202" t="n"/>
      <c r="P81" s="202" t="n"/>
      <c r="Q81" s="202" t="n"/>
      <c r="R81" s="202" t="n"/>
      <c r="S81" s="202" t="n"/>
      <c r="T81" s="202" t="n"/>
      <c r="U81" s="202" t="n"/>
      <c r="V81" s="202" t="n"/>
    </row>
    <row r="82">
      <c r="A82" s="202" t="n"/>
      <c r="B82" s="202" t="n"/>
      <c r="C82" s="202" t="n"/>
      <c r="D82" s="43" t="inlineStr">
        <is>
          <t>Supply Chain</t>
        </is>
      </c>
      <c r="E82" s="43">
        <f>IFERROR(INDEX('_DATA_Dashboard_Facts'!$C$300:$C$316,MATCH($D82,'_DATA_Dashboard_Facts'!$A$300:$A$316,0)),"")</f>
        <v/>
      </c>
      <c r="F82" s="43">
        <f>IFERROR(INDEX('_DATA_Dashboard_Facts'!$F$300:$F$316,MATCH($D82,'_DATA_Dashboard_Facts'!$A$300:$A$316,0)),"")</f>
        <v/>
      </c>
      <c r="G82" s="43">
        <f>IFERROR(INDEX('_DATA_Dashboard_Facts'!$G$300:$G$316,MATCH($D82,'_DATA_Dashboard_Facts'!$A$300:$A$316,0)),"")</f>
        <v/>
      </c>
      <c r="H82" s="43">
        <f>IFERROR(INDEX('_DATA_Dashboard_Facts'!$K$300:$K$316,MATCH($D82,'_DATA_Dashboard_Facts'!$A$300:$A$316,0)),"")</f>
        <v/>
      </c>
      <c r="I82" s="202" t="n"/>
      <c r="J82" s="202" t="n"/>
      <c r="K82" s="202" t="n"/>
      <c r="L82" s="202" t="n"/>
      <c r="M82" s="202" t="n"/>
      <c r="N82" s="202" t="n"/>
      <c r="O82" s="202" t="n"/>
      <c r="P82" s="202" t="n"/>
      <c r="Q82" s="202" t="n"/>
      <c r="R82" s="202" t="n"/>
      <c r="S82" s="202" t="n"/>
      <c r="T82" s="202" t="n"/>
      <c r="U82" s="202" t="n"/>
      <c r="V82" s="202" t="n"/>
    </row>
    <row r="83" ht="28.5" customHeight="1" s="209">
      <c r="A83" s="202" t="n"/>
      <c r="B83" s="202" t="n"/>
      <c r="C83" s="202" t="n"/>
      <c r="D83" s="247" t="inlineStr">
        <is>
          <t>Manufacturing MES</t>
        </is>
      </c>
      <c r="E83" s="247">
        <f>IFERROR(INDEX('_DATA_Dashboard_Facts'!$C$300:$C$316,MATCH($D83,'_DATA_Dashboard_Facts'!$A$300:$A$316,0)),"")</f>
        <v/>
      </c>
      <c r="F83" s="247">
        <f>IFERROR(INDEX('_DATA_Dashboard_Facts'!$F$300:$F$316,MATCH($D83,'_DATA_Dashboard_Facts'!$A$300:$A$316,0)),"")</f>
        <v/>
      </c>
      <c r="G83" s="247">
        <f>IFERROR(INDEX('_DATA_Dashboard_Facts'!$G$300:$G$316,MATCH($D83,'_DATA_Dashboard_Facts'!$A$300:$A$316,0)),"")</f>
        <v/>
      </c>
      <c r="H83" s="247">
        <f>IFERROR(INDEX('_DATA_Dashboard_Facts'!$K$300:$K$316,MATCH($D83,'_DATA_Dashboard_Facts'!$A$300:$A$316,0)),"")</f>
        <v/>
      </c>
      <c r="I83" s="202" t="n"/>
      <c r="J83" s="202" t="n"/>
      <c r="K83" s="202" t="n"/>
      <c r="L83" s="202" t="n"/>
      <c r="M83" s="202" t="n"/>
      <c r="N83" s="202" t="n"/>
      <c r="O83" s="202" t="n"/>
      <c r="P83" s="202" t="n"/>
      <c r="Q83" s="202" t="n"/>
      <c r="R83" s="202" t="n"/>
      <c r="S83" s="202" t="n"/>
      <c r="T83" s="202" t="n"/>
      <c r="U83" s="202" t="n"/>
      <c r="V83" s="202" t="n"/>
    </row>
    <row r="84">
      <c r="A84" s="229" t="inlineStr">
        <is>
          <t>Roadmap and heatmap outputs</t>
        </is>
      </c>
      <c r="B84" s="228" t="n"/>
      <c r="C84" s="202" t="n"/>
      <c r="D84" s="43" t="inlineStr">
        <is>
          <t>Sales CRM</t>
        </is>
      </c>
      <c r="E84" s="43">
        <f>IFERROR(INDEX('_DATA_Dashboard_Facts'!$C$300:$C$316,MATCH($D84,'_DATA_Dashboard_Facts'!$A$300:$A$316,0)),"")</f>
        <v/>
      </c>
      <c r="F84" s="43">
        <f>IFERROR(INDEX('_DATA_Dashboard_Facts'!$F$300:$F$316,MATCH($D84,'_DATA_Dashboard_Facts'!$A$300:$A$316,0)),"")</f>
        <v/>
      </c>
      <c r="G84" s="43">
        <f>IFERROR(INDEX('_DATA_Dashboard_Facts'!$G$300:$G$316,MATCH($D84,'_DATA_Dashboard_Facts'!$A$300:$A$316,0)),"")</f>
        <v/>
      </c>
      <c r="H84" s="43">
        <f>IFERROR(INDEX('_DATA_Dashboard_Facts'!$K$300:$K$316,MATCH($D84,'_DATA_Dashboard_Facts'!$A$300:$A$316,0)),"")</f>
        <v/>
      </c>
      <c r="I84" s="202" t="n"/>
      <c r="J84" s="202" t="n"/>
      <c r="K84" s="202" t="n"/>
      <c r="L84" s="202" t="n"/>
      <c r="M84" s="202" t="n"/>
      <c r="N84" s="202" t="n"/>
      <c r="O84" s="202" t="n"/>
      <c r="P84" s="202" t="n"/>
      <c r="Q84" s="202" t="n"/>
      <c r="R84" s="202" t="n"/>
      <c r="S84" s="202" t="n"/>
      <c r="T84" s="202" t="n"/>
      <c r="U84" s="202" t="n"/>
      <c r="V84" s="202" t="n"/>
    </row>
    <row r="85" ht="171" customHeight="1" s="209">
      <c r="A85" s="247" t="inlineStr">
        <is>
          <t>Gantt Roadmap</t>
        </is>
      </c>
      <c r="B85" s="247" t="inlineStr">
        <is>
          <t>Open the Gantt Roadmap tab to review initiative sequencing, capacity load, overload months, dependencies and decision flags.</t>
        </is>
      </c>
      <c r="C85" s="202" t="n"/>
      <c r="D85" s="247" t="inlineStr">
        <is>
          <t>Marketing Comms</t>
        </is>
      </c>
      <c r="E85" s="247">
        <f>IFERROR(INDEX('_DATA_Dashboard_Facts'!$C$300:$C$316,MATCH($D85,'_DATA_Dashboard_Facts'!$A$300:$A$316,0)),"")</f>
        <v/>
      </c>
      <c r="F85" s="247">
        <f>IFERROR(INDEX('_DATA_Dashboard_Facts'!$F$300:$F$316,MATCH($D85,'_DATA_Dashboard_Facts'!$A$300:$A$316,0)),"")</f>
        <v/>
      </c>
      <c r="G85" s="247">
        <f>IFERROR(INDEX('_DATA_Dashboard_Facts'!$G$300:$G$316,MATCH($D85,'_DATA_Dashboard_Facts'!$A$300:$A$316,0)),"")</f>
        <v/>
      </c>
      <c r="H85" s="247">
        <f>IFERROR(INDEX('_DATA_Dashboard_Facts'!$K$300:$K$316,MATCH($D85,'_DATA_Dashboard_Facts'!$A$300:$A$316,0)),"")</f>
        <v/>
      </c>
      <c r="I85" s="202" t="n"/>
      <c r="J85" s="202" t="n"/>
      <c r="K85" s="202" t="n"/>
      <c r="L85" s="202" t="n"/>
      <c r="M85" s="202" t="n"/>
      <c r="N85" s="202" t="n"/>
      <c r="O85" s="202" t="n"/>
      <c r="P85" s="202" t="n"/>
      <c r="Q85" s="202" t="n"/>
      <c r="R85" s="202" t="n"/>
      <c r="S85" s="202" t="n"/>
      <c r="T85" s="202" t="n"/>
      <c r="U85" s="202" t="n"/>
      <c r="V85" s="202" t="n"/>
    </row>
    <row r="86" ht="156.75" customHeight="1" s="209">
      <c r="A86" s="247" t="inlineStr">
        <is>
          <t>Heatmaps</t>
        </is>
      </c>
      <c r="B86" s="247" t="inlineStr">
        <is>
          <t>Open the Heatmaps tab to review domain-by-crisis exposure, risk category concentration and roadmap capacity pressure.</t>
        </is>
      </c>
      <c r="C86" s="202" t="n"/>
      <c r="D86" s="43" t="inlineStr">
        <is>
          <t>IT Cloud DR</t>
        </is>
      </c>
      <c r="E86" s="43">
        <f>IFERROR(INDEX('_DATA_Dashboard_Facts'!$C$300:$C$316,MATCH($D86,'_DATA_Dashboard_Facts'!$A$300:$A$316,0)),"")</f>
        <v/>
      </c>
      <c r="F86" s="43">
        <f>IFERROR(INDEX('_DATA_Dashboard_Facts'!$F$300:$F$316,MATCH($D86,'_DATA_Dashboard_Facts'!$A$300:$A$316,0)),"")</f>
        <v/>
      </c>
      <c r="G86" s="43">
        <f>IFERROR(INDEX('_DATA_Dashboard_Facts'!$G$300:$G$316,MATCH($D86,'_DATA_Dashboard_Facts'!$A$300:$A$316,0)),"")</f>
        <v/>
      </c>
      <c r="H86" s="43">
        <f>IFERROR(INDEX('_DATA_Dashboard_Facts'!$K$300:$K$316,MATCH($D86,'_DATA_Dashboard_Facts'!$A$300:$A$316,0)),"")</f>
        <v/>
      </c>
      <c r="I86" s="202" t="n"/>
      <c r="J86" s="202" t="n"/>
      <c r="K86" s="202" t="n"/>
      <c r="L86" s="202" t="n"/>
      <c r="M86" s="202" t="n"/>
      <c r="N86" s="202" t="n"/>
      <c r="O86" s="202" t="n"/>
      <c r="P86" s="202" t="n"/>
      <c r="Q86" s="202" t="n"/>
      <c r="R86" s="202" t="n"/>
      <c r="S86" s="202" t="n"/>
      <c r="T86" s="202" t="n"/>
      <c r="U86" s="202" t="n"/>
      <c r="V86" s="202" t="n"/>
    </row>
    <row r="87" ht="28.5" customHeight="1" s="209">
      <c r="A87" s="202" t="n"/>
      <c r="B87" s="202" t="n"/>
      <c r="C87" s="202" t="n"/>
      <c r="D87" s="247" t="inlineStr">
        <is>
          <t>Business Systems</t>
        </is>
      </c>
      <c r="E87" s="247">
        <f>IFERROR(INDEX('_DATA_Dashboard_Facts'!$C$300:$C$316,MATCH($D87,'_DATA_Dashboard_Facts'!$A$300:$A$316,0)),"")</f>
        <v/>
      </c>
      <c r="F87" s="247">
        <f>IFERROR(INDEX('_DATA_Dashboard_Facts'!$F$300:$F$316,MATCH($D87,'_DATA_Dashboard_Facts'!$A$300:$A$316,0)),"")</f>
        <v/>
      </c>
      <c r="G87" s="247">
        <f>IFERROR(INDEX('_DATA_Dashboard_Facts'!$G$300:$G$316,MATCH($D87,'_DATA_Dashboard_Facts'!$A$300:$A$316,0)),"")</f>
        <v/>
      </c>
      <c r="H87" s="247">
        <f>IFERROR(INDEX('_DATA_Dashboard_Facts'!$K$300:$K$316,MATCH($D87,'_DATA_Dashboard_Facts'!$A$300:$A$316,0)),"")</f>
        <v/>
      </c>
      <c r="I87" s="202" t="n"/>
      <c r="J87" s="202" t="n"/>
      <c r="K87" s="202" t="n"/>
      <c r="L87" s="202" t="n"/>
      <c r="M87" s="202" t="n"/>
      <c r="N87" s="202" t="n"/>
      <c r="O87" s="202" t="n"/>
      <c r="P87" s="202" t="n"/>
      <c r="Q87" s="202" t="n"/>
      <c r="R87" s="202" t="n"/>
      <c r="S87" s="202" t="n"/>
      <c r="T87" s="202" t="n"/>
      <c r="U87" s="202" t="n"/>
      <c r="V87" s="202" t="n"/>
    </row>
    <row r="88">
      <c r="A88" s="202" t="n"/>
      <c r="B88" s="202" t="n"/>
      <c r="C88" s="202" t="n"/>
      <c r="D88" s="43" t="inlineStr">
        <is>
          <t>Data BI AI</t>
        </is>
      </c>
      <c r="E88" s="43">
        <f>IFERROR(INDEX('_DATA_Dashboard_Facts'!$C$300:$C$316,MATCH($D88,'_DATA_Dashboard_Facts'!$A$300:$A$316,0)),"")</f>
        <v/>
      </c>
      <c r="F88" s="43">
        <f>IFERROR(INDEX('_DATA_Dashboard_Facts'!$F$300:$F$316,MATCH($D88,'_DATA_Dashboard_Facts'!$A$300:$A$316,0)),"")</f>
        <v/>
      </c>
      <c r="G88" s="43">
        <f>IFERROR(INDEX('_DATA_Dashboard_Facts'!$G$300:$G$316,MATCH($D88,'_DATA_Dashboard_Facts'!$A$300:$A$316,0)),"")</f>
        <v/>
      </c>
      <c r="H88" s="43">
        <f>IFERROR(INDEX('_DATA_Dashboard_Facts'!$K$300:$K$316,MATCH($D88,'_DATA_Dashboard_Facts'!$A$300:$A$316,0)),"")</f>
        <v/>
      </c>
      <c r="I88" s="202" t="n"/>
      <c r="J88" s="202" t="n"/>
      <c r="K88" s="202" t="n"/>
      <c r="L88" s="202" t="n"/>
      <c r="M88" s="202" t="n"/>
      <c r="N88" s="202" t="n"/>
      <c r="O88" s="202" t="n"/>
      <c r="P88" s="202" t="n"/>
      <c r="Q88" s="202" t="n"/>
      <c r="R88" s="202" t="n"/>
      <c r="S88" s="202" t="n"/>
      <c r="T88" s="202" t="n"/>
      <c r="U88" s="202" t="n"/>
      <c r="V88" s="202" t="n"/>
    </row>
    <row r="89">
      <c r="A89" s="202" t="n"/>
      <c r="B89" s="202" t="n"/>
      <c r="C89" s="202" t="n"/>
      <c r="D89" s="247" t="inlineStr">
        <is>
          <t>Cyber Privacy</t>
        </is>
      </c>
      <c r="E89" s="247">
        <f>IFERROR(INDEX('_DATA_Dashboard_Facts'!$C$300:$C$316,MATCH($D89,'_DATA_Dashboard_Facts'!$A$300:$A$316,0)),"")</f>
        <v/>
      </c>
      <c r="F89" s="247">
        <f>IFERROR(INDEX('_DATA_Dashboard_Facts'!$F$300:$F$316,MATCH($D89,'_DATA_Dashboard_Facts'!$A$300:$A$316,0)),"")</f>
        <v/>
      </c>
      <c r="G89" s="247">
        <f>IFERROR(INDEX('_DATA_Dashboard_Facts'!$G$300:$G$316,MATCH($D89,'_DATA_Dashboard_Facts'!$A$300:$A$316,0)),"")</f>
        <v/>
      </c>
      <c r="H89" s="247">
        <f>IFERROR(INDEX('_DATA_Dashboard_Facts'!$K$300:$K$316,MATCH($D89,'_DATA_Dashboard_Facts'!$A$300:$A$316,0)),"")</f>
        <v/>
      </c>
      <c r="I89" s="202" t="n"/>
      <c r="J89" s="202" t="n"/>
      <c r="K89" s="202" t="n"/>
      <c r="L89" s="202" t="n"/>
      <c r="M89" s="202" t="n"/>
      <c r="N89" s="202" t="n"/>
      <c r="O89" s="202" t="n"/>
      <c r="P89" s="202" t="n"/>
      <c r="Q89" s="202" t="n"/>
      <c r="R89" s="202" t="n"/>
      <c r="S89" s="202" t="n"/>
      <c r="T89" s="202" t="n"/>
      <c r="U89" s="202" t="n"/>
      <c r="V89" s="202" t="n"/>
    </row>
    <row r="90" ht="28.5" customHeight="1" s="209">
      <c r="A90" s="202" t="n"/>
      <c r="B90" s="202" t="n"/>
      <c r="C90" s="202" t="n"/>
      <c r="D90" s="43" t="inlineStr">
        <is>
          <t>Quality Portfolio</t>
        </is>
      </c>
      <c r="E90" s="43">
        <f>IFERROR(INDEX('_DATA_Dashboard_Facts'!$C$300:$C$316,MATCH($D90,'_DATA_Dashboard_Facts'!$A$300:$A$316,0)),"")</f>
        <v/>
      </c>
      <c r="F90" s="43">
        <f>IFERROR(INDEX('_DATA_Dashboard_Facts'!$F$300:$F$316,MATCH($D90,'_DATA_Dashboard_Facts'!$A$300:$A$316,0)),"")</f>
        <v/>
      </c>
      <c r="G90" s="43">
        <f>IFERROR(INDEX('_DATA_Dashboard_Facts'!$G$300:$G$316,MATCH($D90,'_DATA_Dashboard_Facts'!$A$300:$A$316,0)),"")</f>
        <v/>
      </c>
      <c r="H90" s="43">
        <f>IFERROR(INDEX('_DATA_Dashboard_Facts'!$K$300:$K$316,MATCH($D90,'_DATA_Dashboard_Facts'!$A$300:$A$316,0)),"")</f>
        <v/>
      </c>
      <c r="I90" s="202" t="n"/>
      <c r="J90" s="202" t="n"/>
      <c r="K90" s="202" t="n"/>
      <c r="L90" s="202" t="n"/>
      <c r="M90" s="202" t="n"/>
      <c r="N90" s="202" t="n"/>
      <c r="O90" s="202" t="n"/>
      <c r="P90" s="202" t="n"/>
      <c r="Q90" s="202" t="n"/>
      <c r="R90" s="202" t="n"/>
      <c r="S90" s="202" t="n"/>
      <c r="T90" s="202" t="n"/>
      <c r="U90" s="202" t="n"/>
      <c r="V90" s="202" t="n"/>
    </row>
    <row r="110" ht="24" customHeight="1" s="209">
      <c r="A110" s="93" t="inlineStr">
        <is>
          <t>Crisis and Risk Heatmaps</t>
        </is>
      </c>
      <c r="B110" s="227" t="n"/>
      <c r="C110" s="227" t="n"/>
      <c r="D110" s="227" t="n"/>
      <c r="E110" s="227" t="n"/>
      <c r="F110" s="227" t="n"/>
      <c r="G110" s="227" t="n"/>
      <c r="H110" s="228" t="n"/>
      <c r="I110" s="30" t="n"/>
      <c r="J110" s="30" t="n"/>
      <c r="K110" s="30" t="n"/>
      <c r="L110" s="30" t="n"/>
      <c r="M110" s="30" t="n"/>
      <c r="N110" s="30" t="n"/>
      <c r="O110" s="30" t="n"/>
      <c r="P110" s="30" t="n"/>
      <c r="Q110" s="30" t="n"/>
      <c r="R110" s="30" t="n"/>
      <c r="S110" s="30" t="n"/>
      <c r="T110" s="30" t="n"/>
      <c r="U110" s="30" t="n"/>
      <c r="V110" s="30" t="n"/>
    </row>
    <row r="111" ht="33.9" customHeight="1" s="209">
      <c r="A111" s="230" t="inlineStr">
        <is>
          <t>Visual heatmaps to help executives see which domains are most exposed to selected crisis scenarios, risk categories and roadmap workload. Values recalculate when the questionnaire, crisis scenario or industry template changes.</t>
        </is>
      </c>
      <c r="B111" s="227" t="n"/>
      <c r="C111" s="227" t="n"/>
      <c r="D111" s="227" t="n"/>
      <c r="E111" s="227" t="n"/>
      <c r="F111" s="227" t="n"/>
      <c r="G111" s="227" t="n"/>
      <c r="H111" s="228" t="n"/>
      <c r="I111" s="30" t="n"/>
      <c r="J111" s="30" t="n"/>
      <c r="K111" s="30" t="n"/>
      <c r="L111" s="30" t="n"/>
      <c r="M111" s="30" t="n"/>
      <c r="N111" s="30" t="n"/>
      <c r="O111" s="30" t="n"/>
      <c r="P111" s="30" t="n"/>
      <c r="Q111" s="30" t="n"/>
      <c r="R111" s="30" t="n"/>
      <c r="S111" s="30" t="n"/>
      <c r="T111" s="30" t="n"/>
      <c r="U111" s="30" t="n"/>
      <c r="V111" s="30" t="n"/>
    </row>
    <row r="112">
      <c r="A112" s="30" t="n"/>
      <c r="B112" s="30" t="n"/>
      <c r="C112" s="30" t="n"/>
      <c r="D112" s="30" t="n"/>
      <c r="E112" s="30" t="n"/>
      <c r="F112" s="30" t="n"/>
      <c r="G112" s="30" t="n"/>
      <c r="H112" s="30" t="n"/>
      <c r="I112" s="30" t="n"/>
      <c r="J112" s="30" t="n"/>
      <c r="K112" s="30" t="n"/>
      <c r="L112" s="30" t="n"/>
      <c r="M112" s="30" t="n"/>
      <c r="N112" s="30" t="n"/>
      <c r="O112" s="30" t="n"/>
      <c r="P112" s="30" t="n"/>
      <c r="Q112" s="30" t="n"/>
      <c r="R112" s="30" t="n"/>
      <c r="S112" s="30" t="n"/>
      <c r="T112" s="30" t="n"/>
      <c r="U112" s="30" t="n"/>
      <c r="V112" s="30" t="n"/>
    </row>
    <row r="113" ht="30" customHeight="1" s="209">
      <c r="A113" s="23" t="inlineStr">
        <is>
          <t>Selected industry</t>
        </is>
      </c>
      <c r="B113" s="48">
        <f>'Company Profile'!$B$9</f>
        <v/>
      </c>
      <c r="C113" s="23" t="inlineStr">
        <is>
          <t>Selected crisis</t>
        </is>
      </c>
      <c r="D113" s="49">
        <f>'Resilience &amp; Risk Scenario'!$B$6</f>
        <v/>
      </c>
      <c r="E113" s="23" t="inlineStr">
        <is>
          <t>Severity</t>
        </is>
      </c>
      <c r="F113" s="49">
        <f>'Resilience &amp; Risk Scenario'!$B$7</f>
        <v/>
      </c>
      <c r="G113" s="30" t="n"/>
      <c r="H113" s="30" t="n"/>
      <c r="I113" s="30" t="n"/>
      <c r="J113" s="30" t="n"/>
      <c r="K113" s="30" t="n"/>
      <c r="L113" s="30" t="n"/>
      <c r="M113" s="30" t="n"/>
      <c r="N113" s="30" t="n"/>
      <c r="O113" s="30" t="n"/>
      <c r="P113" s="30" t="n"/>
      <c r="Q113" s="30" t="n"/>
      <c r="R113" s="30" t="n"/>
      <c r="S113" s="30" t="n"/>
      <c r="T113" s="30" t="n"/>
      <c r="U113" s="30" t="n"/>
      <c r="V113" s="30" t="n"/>
    </row>
    <row r="114" ht="45" customHeight="1" s="209">
      <c r="A114" s="23" t="inlineStr">
        <is>
          <t>Primary strategy</t>
        </is>
      </c>
      <c r="B114" s="49">
        <f>'_ENGINE_Strategy'!$B$95</f>
        <v/>
      </c>
      <c r="C114" s="23" t="inlineStr">
        <is>
          <t>Business resilience score</t>
        </is>
      </c>
      <c r="D114" s="49">
        <f>_DATA_Dashboard_Facts!$B$31</f>
        <v/>
      </c>
      <c r="E114" s="23" t="inlineStr">
        <is>
          <t>Active risks</t>
        </is>
      </c>
      <c r="F114" s="49">
        <f>'_ENGINE_Risk'!$A$494</f>
        <v/>
      </c>
      <c r="G114" s="30" t="n"/>
      <c r="H114" s="30" t="n"/>
      <c r="I114" s="30" t="n"/>
      <c r="J114" s="30" t="n"/>
      <c r="K114" s="30" t="n"/>
      <c r="L114" s="30" t="n"/>
      <c r="M114" s="30" t="n"/>
      <c r="N114" s="30" t="n"/>
      <c r="O114" s="30" t="n"/>
      <c r="P114" s="30" t="n"/>
      <c r="Q114" s="30" t="n"/>
      <c r="R114" s="30" t="n"/>
      <c r="S114" s="30" t="n"/>
      <c r="T114" s="30" t="n"/>
      <c r="U114" s="30" t="n"/>
      <c r="V114" s="30" t="n"/>
    </row>
    <row r="115">
      <c r="A115" s="30" t="n"/>
      <c r="B115" s="30" t="n"/>
      <c r="C115" s="30" t="n"/>
      <c r="D115" s="30" t="n"/>
      <c r="E115" s="30" t="n"/>
      <c r="F115" s="30" t="n"/>
      <c r="G115" s="30" t="n"/>
      <c r="H115" s="30" t="n"/>
      <c r="I115" s="30" t="n"/>
      <c r="J115" s="30" t="n"/>
      <c r="K115" s="30" t="n"/>
      <c r="L115" s="30" t="n"/>
      <c r="M115" s="30" t="n"/>
      <c r="N115" s="30" t="n"/>
      <c r="O115" s="30" t="n"/>
      <c r="P115" s="30" t="n"/>
      <c r="Q115" s="30" t="n"/>
      <c r="R115" s="30" t="n"/>
      <c r="S115" s="30" t="n"/>
      <c r="T115" s="30" t="n"/>
      <c r="U115" s="30" t="n"/>
      <c r="V115" s="30" t="n"/>
    </row>
    <row r="116">
      <c r="A116" s="30" t="n"/>
      <c r="B116" s="30" t="n"/>
      <c r="C116" s="30" t="n"/>
      <c r="D116" s="30" t="n"/>
      <c r="E116" s="30" t="n"/>
      <c r="F116" s="30" t="n"/>
      <c r="G116" s="30" t="n"/>
      <c r="H116" s="30" t="n"/>
      <c r="I116" s="30" t="n"/>
      <c r="J116" s="30" t="n"/>
      <c r="K116" s="30" t="n"/>
      <c r="L116" s="30" t="n"/>
      <c r="M116" s="30" t="n"/>
      <c r="N116" s="30" t="n"/>
      <c r="O116" s="30" t="n"/>
      <c r="P116" s="30" t="n"/>
      <c r="Q116" s="30" t="n"/>
      <c r="R116" s="30" t="n"/>
      <c r="S116" s="30" t="n"/>
      <c r="T116" s="30" t="n"/>
      <c r="U116" s="30" t="n"/>
      <c r="V116" s="30" t="n"/>
    </row>
    <row r="117" ht="15" customHeight="1" s="209">
      <c r="A117" s="226" t="inlineStr">
        <is>
          <t>Heatmap 1. Domain vs crisis scenario exposure</t>
        </is>
      </c>
      <c r="B117" s="227" t="n"/>
      <c r="C117" s="227" t="n"/>
      <c r="D117" s="227" t="n"/>
      <c r="E117" s="227" t="n"/>
      <c r="F117" s="227" t="n"/>
      <c r="G117" s="227" t="n"/>
      <c r="H117" s="227" t="n"/>
      <c r="I117" s="227" t="n"/>
      <c r="J117" s="227" t="n"/>
      <c r="K117" s="227" t="n"/>
      <c r="L117" s="228" t="n"/>
      <c r="M117" s="30" t="n"/>
      <c r="N117" s="30" t="n"/>
      <c r="O117" s="30" t="n"/>
      <c r="P117" s="30" t="n"/>
      <c r="Q117" s="30" t="n"/>
      <c r="R117" s="30" t="n"/>
      <c r="S117" s="30" t="n"/>
      <c r="T117" s="30" t="n"/>
      <c r="U117" s="30" t="n"/>
      <c r="V117" s="30" t="n"/>
    </row>
    <row r="118" ht="44.1" customHeight="1" s="209">
      <c r="A118" s="23" t="inlineStr">
        <is>
          <t>Domain</t>
        </is>
      </c>
      <c r="B118" s="23" t="inlineStr">
        <is>
          <t>War / security crisis</t>
        </is>
      </c>
      <c r="C118" s="23" t="inlineStr">
        <is>
          <t>Physical site loss</t>
        </is>
      </c>
      <c r="D118" s="23" t="inlineStr">
        <is>
          <t>Cyberattack / ransomware</t>
        </is>
      </c>
      <c r="E118" s="23" t="inlineStr">
        <is>
          <t>Cloud / SaaS outage</t>
        </is>
      </c>
      <c r="F118" s="23" t="inlineStr">
        <is>
          <t>Supplier / logistics disruption</t>
        </is>
      </c>
      <c r="G118" s="23" t="inlineStr">
        <is>
          <t>Energy / utilities outage</t>
        </is>
      </c>
      <c r="H118" s="23" t="inlineStr">
        <is>
          <t>Financial liquidity crisis</t>
        </is>
      </c>
      <c r="I118" s="23" t="inlineStr">
        <is>
          <t>Demand shock</t>
        </is>
      </c>
      <c r="J118" s="23" t="inlineStr">
        <is>
          <t>Pandemic / health crisis</t>
        </is>
      </c>
      <c r="K118" s="23" t="inlineStr">
        <is>
          <t>Regulatory / legal shock</t>
        </is>
      </c>
      <c r="L118" s="23" t="inlineStr">
        <is>
          <t>Reputation crisis</t>
        </is>
      </c>
      <c r="M118" s="50" t="n"/>
      <c r="N118" s="50" t="n"/>
      <c r="O118" s="50" t="n"/>
      <c r="P118" s="50" t="n"/>
      <c r="Q118" s="50" t="n"/>
      <c r="R118" s="50" t="n"/>
      <c r="S118" s="50" t="n"/>
      <c r="T118" s="50" t="n"/>
      <c r="U118" s="50" t="n"/>
      <c r="V118" s="50" t="n"/>
    </row>
    <row r="119" ht="15" customHeight="1" s="209">
      <c r="A119" s="51" t="inlineStr">
        <is>
          <t>Company Geography</t>
        </is>
      </c>
      <c r="B119" s="52">
        <f>IFERROR(SUMIFS(_ENGINE_Crisis!$D:$D,_ENGINE_Crisis!$A:$A,B$9,_ENGINE_Crisis!$B:$B,$A10),"")</f>
        <v/>
      </c>
      <c r="C119" s="52">
        <f>IFERROR(SUMIFS(_ENGINE_Crisis!$D:$D,_ENGINE_Crisis!$A:$A,C$9,_ENGINE_Crisis!$B:$B,$A10),"")</f>
        <v/>
      </c>
      <c r="D119" s="52">
        <f>IFERROR(SUMIFS(_ENGINE_Crisis!$D:$D,_ENGINE_Crisis!$A:$A,D$9,_ENGINE_Crisis!$B:$B,$A10),"")</f>
        <v/>
      </c>
      <c r="E119" s="52">
        <f>IFERROR(SUMIFS(_ENGINE_Crisis!$D:$D,_ENGINE_Crisis!$A:$A,E$9,_ENGINE_Crisis!$B:$B,$A10),"")</f>
        <v/>
      </c>
      <c r="F119" s="52">
        <f>IFERROR(SUMIFS(_ENGINE_Crisis!$D:$D,_ENGINE_Crisis!$A:$A,F$9,_ENGINE_Crisis!$B:$B,$A10),"")</f>
        <v/>
      </c>
      <c r="G119" s="52">
        <f>IFERROR(SUMIFS(_ENGINE_Crisis!$D:$D,_ENGINE_Crisis!$A:$A,G$9,_ENGINE_Crisis!$B:$B,$A10),"")</f>
        <v/>
      </c>
      <c r="H119" s="52">
        <f>IFERROR(SUMIFS(_ENGINE_Crisis!$D:$D,_ENGINE_Crisis!$A:$A,H$9,_ENGINE_Crisis!$B:$B,$A10),"")</f>
        <v/>
      </c>
      <c r="I119" s="52">
        <f>IFERROR(SUMIFS(_ENGINE_Crisis!$D:$D,_ENGINE_Crisis!$A:$A,I$9,_ENGINE_Crisis!$B:$B,$A10),"")</f>
        <v/>
      </c>
      <c r="J119" s="52">
        <f>IFERROR(SUMIFS(_ENGINE_Crisis!$D:$D,_ENGINE_Crisis!$A:$A,J$9,_ENGINE_Crisis!$B:$B,$A10),"")</f>
        <v/>
      </c>
      <c r="K119" s="52">
        <f>IFERROR(SUMIFS(_ENGINE_Crisis!$D:$D,_ENGINE_Crisis!$A:$A,K$9,_ENGINE_Crisis!$B:$B,$A10),"")</f>
        <v/>
      </c>
      <c r="L119" s="52">
        <f>IFERROR(SUMIFS(_ENGINE_Crisis!$D:$D,_ENGINE_Crisis!$A:$A,L$9,_ENGINE_Crisis!$B:$B,$A10),"")</f>
        <v/>
      </c>
      <c r="M119" s="30" t="n"/>
      <c r="N119" s="30" t="n"/>
      <c r="O119" s="30" t="n"/>
      <c r="P119" s="30" t="n"/>
      <c r="Q119" s="30" t="n"/>
      <c r="R119" s="30" t="n"/>
      <c r="S119" s="30" t="n"/>
      <c r="T119" s="30" t="n"/>
      <c r="U119" s="30" t="n"/>
      <c r="V119" s="30" t="n"/>
    </row>
    <row r="120" ht="15" customHeight="1" s="209">
      <c r="A120" s="51" t="inlineStr">
        <is>
          <t>Strategy GTM</t>
        </is>
      </c>
      <c r="B120" s="52">
        <f>IFERROR(SUMIFS(_ENGINE_Crisis!$D:$D,_ENGINE_Crisis!$A:$A,B$9,_ENGINE_Crisis!$B:$B,$A11),"")</f>
        <v/>
      </c>
      <c r="C120" s="52">
        <f>IFERROR(SUMIFS(_ENGINE_Crisis!$D:$D,_ENGINE_Crisis!$A:$A,C$9,_ENGINE_Crisis!$B:$B,$A11),"")</f>
        <v/>
      </c>
      <c r="D120" s="52">
        <f>IFERROR(SUMIFS(_ENGINE_Crisis!$D:$D,_ENGINE_Crisis!$A:$A,D$9,_ENGINE_Crisis!$B:$B,$A11),"")</f>
        <v/>
      </c>
      <c r="E120" s="52">
        <f>IFERROR(SUMIFS(_ENGINE_Crisis!$D:$D,_ENGINE_Crisis!$A:$A,E$9,_ENGINE_Crisis!$B:$B,$A11),"")</f>
        <v/>
      </c>
      <c r="F120" s="52">
        <f>IFERROR(SUMIFS(_ENGINE_Crisis!$D:$D,_ENGINE_Crisis!$A:$A,F$9,_ENGINE_Crisis!$B:$B,$A11),"")</f>
        <v/>
      </c>
      <c r="G120" s="52">
        <f>IFERROR(SUMIFS(_ENGINE_Crisis!$D:$D,_ENGINE_Crisis!$A:$A,G$9,_ENGINE_Crisis!$B:$B,$A11),"")</f>
        <v/>
      </c>
      <c r="H120" s="52">
        <f>IFERROR(SUMIFS(_ENGINE_Crisis!$D:$D,_ENGINE_Crisis!$A:$A,H$9,_ENGINE_Crisis!$B:$B,$A11),"")</f>
        <v/>
      </c>
      <c r="I120" s="52">
        <f>IFERROR(SUMIFS(_ENGINE_Crisis!$D:$D,_ENGINE_Crisis!$A:$A,I$9,_ENGINE_Crisis!$B:$B,$A11),"")</f>
        <v/>
      </c>
      <c r="J120" s="52">
        <f>IFERROR(SUMIFS(_ENGINE_Crisis!$D:$D,_ENGINE_Crisis!$A:$A,J$9,_ENGINE_Crisis!$B:$B,$A11),"")</f>
        <v/>
      </c>
      <c r="K120" s="52">
        <f>IFERROR(SUMIFS(_ENGINE_Crisis!$D:$D,_ENGINE_Crisis!$A:$A,K$9,_ENGINE_Crisis!$B:$B,$A11),"")</f>
        <v/>
      </c>
      <c r="L120" s="52">
        <f>IFERROR(SUMIFS(_ENGINE_Crisis!$D:$D,_ENGINE_Crisis!$A:$A,L$9,_ENGINE_Crisis!$B:$B,$A11),"")</f>
        <v/>
      </c>
      <c r="M120" s="30" t="n"/>
      <c r="N120" s="30" t="n"/>
      <c r="O120" s="30" t="n"/>
      <c r="P120" s="30" t="n"/>
      <c r="Q120" s="30" t="n"/>
      <c r="R120" s="30" t="n"/>
      <c r="S120" s="30" t="n"/>
      <c r="T120" s="30" t="n"/>
      <c r="U120" s="30" t="n"/>
      <c r="V120" s="30" t="n"/>
    </row>
    <row r="121" ht="15" customHeight="1" s="209">
      <c r="A121" s="51" t="inlineStr">
        <is>
          <t>Governance Crisis</t>
        </is>
      </c>
      <c r="B121" s="52">
        <f>IFERROR(SUMIFS(_ENGINE_Crisis!$D:$D,_ENGINE_Crisis!$A:$A,B$9,_ENGINE_Crisis!$B:$B,$A12),"")</f>
        <v/>
      </c>
      <c r="C121" s="52">
        <f>IFERROR(SUMIFS(_ENGINE_Crisis!$D:$D,_ENGINE_Crisis!$A:$A,C$9,_ENGINE_Crisis!$B:$B,$A12),"")</f>
        <v/>
      </c>
      <c r="D121" s="52">
        <f>IFERROR(SUMIFS(_ENGINE_Crisis!$D:$D,_ENGINE_Crisis!$A:$A,D$9,_ENGINE_Crisis!$B:$B,$A12),"")</f>
        <v/>
      </c>
      <c r="E121" s="52">
        <f>IFERROR(SUMIFS(_ENGINE_Crisis!$D:$D,_ENGINE_Crisis!$A:$A,E$9,_ENGINE_Crisis!$B:$B,$A12),"")</f>
        <v/>
      </c>
      <c r="F121" s="52">
        <f>IFERROR(SUMIFS(_ENGINE_Crisis!$D:$D,_ENGINE_Crisis!$A:$A,F$9,_ENGINE_Crisis!$B:$B,$A12),"")</f>
        <v/>
      </c>
      <c r="G121" s="52">
        <f>IFERROR(SUMIFS(_ENGINE_Crisis!$D:$D,_ENGINE_Crisis!$A:$A,G$9,_ENGINE_Crisis!$B:$B,$A12),"")</f>
        <v/>
      </c>
      <c r="H121" s="52">
        <f>IFERROR(SUMIFS(_ENGINE_Crisis!$D:$D,_ENGINE_Crisis!$A:$A,H$9,_ENGINE_Crisis!$B:$B,$A12),"")</f>
        <v/>
      </c>
      <c r="I121" s="52">
        <f>IFERROR(SUMIFS(_ENGINE_Crisis!$D:$D,_ENGINE_Crisis!$A:$A,I$9,_ENGINE_Crisis!$B:$B,$A12),"")</f>
        <v/>
      </c>
      <c r="J121" s="52">
        <f>IFERROR(SUMIFS(_ENGINE_Crisis!$D:$D,_ENGINE_Crisis!$A:$A,J$9,_ENGINE_Crisis!$B:$B,$A12),"")</f>
        <v/>
      </c>
      <c r="K121" s="52">
        <f>IFERROR(SUMIFS(_ENGINE_Crisis!$D:$D,_ENGINE_Crisis!$A:$A,K$9,_ENGINE_Crisis!$B:$B,$A12),"")</f>
        <v/>
      </c>
      <c r="L121" s="52">
        <f>IFERROR(SUMIFS(_ENGINE_Crisis!$D:$D,_ENGINE_Crisis!$A:$A,L$9,_ENGINE_Crisis!$B:$B,$A12),"")</f>
        <v/>
      </c>
      <c r="M121" s="30" t="n"/>
      <c r="N121" s="30" t="n"/>
      <c r="O121" s="30" t="n"/>
      <c r="P121" s="30" t="n"/>
      <c r="Q121" s="30" t="n"/>
      <c r="R121" s="30" t="n"/>
      <c r="S121" s="30" t="n"/>
      <c r="T121" s="30" t="n"/>
      <c r="U121" s="30" t="n"/>
      <c r="V121" s="30" t="n"/>
    </row>
    <row r="122" ht="15" customHeight="1" s="209">
      <c r="A122" s="51" t="inlineStr">
        <is>
          <t>HR Workforce</t>
        </is>
      </c>
      <c r="B122" s="52">
        <f>IFERROR(SUMIFS(_ENGINE_Crisis!$D:$D,_ENGINE_Crisis!$A:$A,B$9,_ENGINE_Crisis!$B:$B,$A13),"")</f>
        <v/>
      </c>
      <c r="C122" s="52">
        <f>IFERROR(SUMIFS(_ENGINE_Crisis!$D:$D,_ENGINE_Crisis!$A:$A,C$9,_ENGINE_Crisis!$B:$B,$A13),"")</f>
        <v/>
      </c>
      <c r="D122" s="52">
        <f>IFERROR(SUMIFS(_ENGINE_Crisis!$D:$D,_ENGINE_Crisis!$A:$A,D$9,_ENGINE_Crisis!$B:$B,$A13),"")</f>
        <v/>
      </c>
      <c r="E122" s="52">
        <f>IFERROR(SUMIFS(_ENGINE_Crisis!$D:$D,_ENGINE_Crisis!$A:$A,E$9,_ENGINE_Crisis!$B:$B,$A13),"")</f>
        <v/>
      </c>
      <c r="F122" s="52">
        <f>IFERROR(SUMIFS(_ENGINE_Crisis!$D:$D,_ENGINE_Crisis!$A:$A,F$9,_ENGINE_Crisis!$B:$B,$A13),"")</f>
        <v/>
      </c>
      <c r="G122" s="52">
        <f>IFERROR(SUMIFS(_ENGINE_Crisis!$D:$D,_ENGINE_Crisis!$A:$A,G$9,_ENGINE_Crisis!$B:$B,$A13),"")</f>
        <v/>
      </c>
      <c r="H122" s="52">
        <f>IFERROR(SUMIFS(_ENGINE_Crisis!$D:$D,_ENGINE_Crisis!$A:$A,H$9,_ENGINE_Crisis!$B:$B,$A13),"")</f>
        <v/>
      </c>
      <c r="I122" s="52">
        <f>IFERROR(SUMIFS(_ENGINE_Crisis!$D:$D,_ENGINE_Crisis!$A:$A,I$9,_ENGINE_Crisis!$B:$B,$A13),"")</f>
        <v/>
      </c>
      <c r="J122" s="52">
        <f>IFERROR(SUMIFS(_ENGINE_Crisis!$D:$D,_ENGINE_Crisis!$A:$A,J$9,_ENGINE_Crisis!$B:$B,$A13),"")</f>
        <v/>
      </c>
      <c r="K122" s="52">
        <f>IFERROR(SUMIFS(_ENGINE_Crisis!$D:$D,_ENGINE_Crisis!$A:$A,K$9,_ENGINE_Crisis!$B:$B,$A13),"")</f>
        <v/>
      </c>
      <c r="L122" s="52">
        <f>IFERROR(SUMIFS(_ENGINE_Crisis!$D:$D,_ENGINE_Crisis!$A:$A,L$9,_ENGINE_Crisis!$B:$B,$A13),"")</f>
        <v/>
      </c>
      <c r="M122" s="30" t="n"/>
      <c r="N122" s="30" t="n"/>
      <c r="O122" s="30" t="n"/>
      <c r="P122" s="30" t="n"/>
      <c r="Q122" s="30" t="n"/>
      <c r="R122" s="30" t="n"/>
      <c r="S122" s="30" t="n"/>
      <c r="T122" s="30" t="n"/>
      <c r="U122" s="30" t="n"/>
      <c r="V122" s="30" t="n"/>
    </row>
    <row r="123" ht="15" customHeight="1" s="209">
      <c r="A123" s="51" t="inlineStr">
        <is>
          <t>Finance Procurement</t>
        </is>
      </c>
      <c r="B123" s="52">
        <f>IFERROR(SUMIFS(_ENGINE_Crisis!$D:$D,_ENGINE_Crisis!$A:$A,B$9,_ENGINE_Crisis!$B:$B,$A14),"")</f>
        <v/>
      </c>
      <c r="C123" s="52">
        <f>IFERROR(SUMIFS(_ENGINE_Crisis!$D:$D,_ENGINE_Crisis!$A:$A,C$9,_ENGINE_Crisis!$B:$B,$A14),"")</f>
        <v/>
      </c>
      <c r="D123" s="52">
        <f>IFERROR(SUMIFS(_ENGINE_Crisis!$D:$D,_ENGINE_Crisis!$A:$A,D$9,_ENGINE_Crisis!$B:$B,$A14),"")</f>
        <v/>
      </c>
      <c r="E123" s="52">
        <f>IFERROR(SUMIFS(_ENGINE_Crisis!$D:$D,_ENGINE_Crisis!$A:$A,E$9,_ENGINE_Crisis!$B:$B,$A14),"")</f>
        <v/>
      </c>
      <c r="F123" s="52">
        <f>IFERROR(SUMIFS(_ENGINE_Crisis!$D:$D,_ENGINE_Crisis!$A:$A,F$9,_ENGINE_Crisis!$B:$B,$A14),"")</f>
        <v/>
      </c>
      <c r="G123" s="52">
        <f>IFERROR(SUMIFS(_ENGINE_Crisis!$D:$D,_ENGINE_Crisis!$A:$A,G$9,_ENGINE_Crisis!$B:$B,$A14),"")</f>
        <v/>
      </c>
      <c r="H123" s="52">
        <f>IFERROR(SUMIFS(_ENGINE_Crisis!$D:$D,_ENGINE_Crisis!$A:$A,H$9,_ENGINE_Crisis!$B:$B,$A14),"")</f>
        <v/>
      </c>
      <c r="I123" s="52">
        <f>IFERROR(SUMIFS(_ENGINE_Crisis!$D:$D,_ENGINE_Crisis!$A:$A,I$9,_ENGINE_Crisis!$B:$B,$A14),"")</f>
        <v/>
      </c>
      <c r="J123" s="52">
        <f>IFERROR(SUMIFS(_ENGINE_Crisis!$D:$D,_ENGINE_Crisis!$A:$A,J$9,_ENGINE_Crisis!$B:$B,$A14),"")</f>
        <v/>
      </c>
      <c r="K123" s="52">
        <f>IFERROR(SUMIFS(_ENGINE_Crisis!$D:$D,_ENGINE_Crisis!$A:$A,K$9,_ENGINE_Crisis!$B:$B,$A14),"")</f>
        <v/>
      </c>
      <c r="L123" s="52">
        <f>IFERROR(SUMIFS(_ENGINE_Crisis!$D:$D,_ENGINE_Crisis!$A:$A,L$9,_ENGINE_Crisis!$B:$B,$A14),"")</f>
        <v/>
      </c>
      <c r="M123" s="30" t="n"/>
      <c r="N123" s="30" t="n"/>
      <c r="O123" s="30" t="n"/>
      <c r="P123" s="30" t="n"/>
      <c r="Q123" s="30" t="n"/>
      <c r="R123" s="30" t="n"/>
      <c r="S123" s="30" t="n"/>
      <c r="T123" s="30" t="n"/>
      <c r="U123" s="30" t="n"/>
      <c r="V123" s="30" t="n"/>
    </row>
    <row r="124" ht="15" customHeight="1" s="209">
      <c r="A124" s="51" t="inlineStr">
        <is>
          <t>Legal Risk</t>
        </is>
      </c>
      <c r="B124" s="52">
        <f>IFERROR(SUMIFS(_ENGINE_Crisis!$D:$D,_ENGINE_Crisis!$A:$A,B$9,_ENGINE_Crisis!$B:$B,$A15),"")</f>
        <v/>
      </c>
      <c r="C124" s="52">
        <f>IFERROR(SUMIFS(_ENGINE_Crisis!$D:$D,_ENGINE_Crisis!$A:$A,C$9,_ENGINE_Crisis!$B:$B,$A15),"")</f>
        <v/>
      </c>
      <c r="D124" s="52">
        <f>IFERROR(SUMIFS(_ENGINE_Crisis!$D:$D,_ENGINE_Crisis!$A:$A,D$9,_ENGINE_Crisis!$B:$B,$A15),"")</f>
        <v/>
      </c>
      <c r="E124" s="52">
        <f>IFERROR(SUMIFS(_ENGINE_Crisis!$D:$D,_ENGINE_Crisis!$A:$A,E$9,_ENGINE_Crisis!$B:$B,$A15),"")</f>
        <v/>
      </c>
      <c r="F124" s="52">
        <f>IFERROR(SUMIFS(_ENGINE_Crisis!$D:$D,_ENGINE_Crisis!$A:$A,F$9,_ENGINE_Crisis!$B:$B,$A15),"")</f>
        <v/>
      </c>
      <c r="G124" s="52">
        <f>IFERROR(SUMIFS(_ENGINE_Crisis!$D:$D,_ENGINE_Crisis!$A:$A,G$9,_ENGINE_Crisis!$B:$B,$A15),"")</f>
        <v/>
      </c>
      <c r="H124" s="52">
        <f>IFERROR(SUMIFS(_ENGINE_Crisis!$D:$D,_ENGINE_Crisis!$A:$A,H$9,_ENGINE_Crisis!$B:$B,$A15),"")</f>
        <v/>
      </c>
      <c r="I124" s="52">
        <f>IFERROR(SUMIFS(_ENGINE_Crisis!$D:$D,_ENGINE_Crisis!$A:$A,I$9,_ENGINE_Crisis!$B:$B,$A15),"")</f>
        <v/>
      </c>
      <c r="J124" s="52">
        <f>IFERROR(SUMIFS(_ENGINE_Crisis!$D:$D,_ENGINE_Crisis!$A:$A,J$9,_ENGINE_Crisis!$B:$B,$A15),"")</f>
        <v/>
      </c>
      <c r="K124" s="52">
        <f>IFERROR(SUMIFS(_ENGINE_Crisis!$D:$D,_ENGINE_Crisis!$A:$A,K$9,_ENGINE_Crisis!$B:$B,$A15),"")</f>
        <v/>
      </c>
      <c r="L124" s="52">
        <f>IFERROR(SUMIFS(_ENGINE_Crisis!$D:$D,_ENGINE_Crisis!$A:$A,L$9,_ENGINE_Crisis!$B:$B,$A15),"")</f>
        <v/>
      </c>
      <c r="M124" s="30" t="n"/>
      <c r="N124" s="30" t="n"/>
      <c r="O124" s="30" t="n"/>
      <c r="P124" s="30" t="n"/>
      <c r="Q124" s="30" t="n"/>
      <c r="R124" s="30" t="n"/>
      <c r="S124" s="30" t="n"/>
      <c r="T124" s="30" t="n"/>
      <c r="U124" s="30" t="n"/>
      <c r="V124" s="30" t="n"/>
    </row>
    <row r="125" ht="15" customHeight="1" s="209">
      <c r="A125" s="51" t="inlineStr">
        <is>
          <t>Physical Safety</t>
        </is>
      </c>
      <c r="B125" s="52">
        <f>IFERROR(SUMIFS(_ENGINE_Crisis!$D:$D,_ENGINE_Crisis!$A:$A,B$9,_ENGINE_Crisis!$B:$B,$A16),"")</f>
        <v/>
      </c>
      <c r="C125" s="52">
        <f>IFERROR(SUMIFS(_ENGINE_Crisis!$D:$D,_ENGINE_Crisis!$A:$A,C$9,_ENGINE_Crisis!$B:$B,$A16),"")</f>
        <v/>
      </c>
      <c r="D125" s="52">
        <f>IFERROR(SUMIFS(_ENGINE_Crisis!$D:$D,_ENGINE_Crisis!$A:$A,D$9,_ENGINE_Crisis!$B:$B,$A16),"")</f>
        <v/>
      </c>
      <c r="E125" s="52">
        <f>IFERROR(SUMIFS(_ENGINE_Crisis!$D:$D,_ENGINE_Crisis!$A:$A,E$9,_ENGINE_Crisis!$B:$B,$A16),"")</f>
        <v/>
      </c>
      <c r="F125" s="52">
        <f>IFERROR(SUMIFS(_ENGINE_Crisis!$D:$D,_ENGINE_Crisis!$A:$A,F$9,_ENGINE_Crisis!$B:$B,$A16),"")</f>
        <v/>
      </c>
      <c r="G125" s="52">
        <f>IFERROR(SUMIFS(_ENGINE_Crisis!$D:$D,_ENGINE_Crisis!$A:$A,G$9,_ENGINE_Crisis!$B:$B,$A16),"")</f>
        <v/>
      </c>
      <c r="H125" s="52">
        <f>IFERROR(SUMIFS(_ENGINE_Crisis!$D:$D,_ENGINE_Crisis!$A:$A,H$9,_ENGINE_Crisis!$B:$B,$A16),"")</f>
        <v/>
      </c>
      <c r="I125" s="52">
        <f>IFERROR(SUMIFS(_ENGINE_Crisis!$D:$D,_ENGINE_Crisis!$A:$A,I$9,_ENGINE_Crisis!$B:$B,$A16),"")</f>
        <v/>
      </c>
      <c r="J125" s="52">
        <f>IFERROR(SUMIFS(_ENGINE_Crisis!$D:$D,_ENGINE_Crisis!$A:$A,J$9,_ENGINE_Crisis!$B:$B,$A16),"")</f>
        <v/>
      </c>
      <c r="K125" s="52">
        <f>IFERROR(SUMIFS(_ENGINE_Crisis!$D:$D,_ENGINE_Crisis!$A:$A,K$9,_ENGINE_Crisis!$B:$B,$A16),"")</f>
        <v/>
      </c>
      <c r="L125" s="52">
        <f>IFERROR(SUMIFS(_ENGINE_Crisis!$D:$D,_ENGINE_Crisis!$A:$A,L$9,_ENGINE_Crisis!$B:$B,$A16),"")</f>
        <v/>
      </c>
      <c r="M125" s="30" t="n"/>
      <c r="N125" s="30" t="n"/>
      <c r="O125" s="30" t="n"/>
      <c r="P125" s="30" t="n"/>
      <c r="Q125" s="30" t="n"/>
      <c r="R125" s="30" t="n"/>
      <c r="S125" s="30" t="n"/>
      <c r="T125" s="30" t="n"/>
      <c r="U125" s="30" t="n"/>
      <c r="V125" s="30" t="n"/>
    </row>
    <row r="126" ht="15" customHeight="1" s="209">
      <c r="A126" s="51" t="inlineStr">
        <is>
          <t>Delivery Ops</t>
        </is>
      </c>
      <c r="B126" s="52">
        <f>IFERROR(SUMIFS(_ENGINE_Crisis!$D:$D,_ENGINE_Crisis!$A:$A,B$9,_ENGINE_Crisis!$B:$B,$A17),"")</f>
        <v/>
      </c>
      <c r="C126" s="52">
        <f>IFERROR(SUMIFS(_ENGINE_Crisis!$D:$D,_ENGINE_Crisis!$A:$A,C$9,_ENGINE_Crisis!$B:$B,$A17),"")</f>
        <v/>
      </c>
      <c r="D126" s="52">
        <f>IFERROR(SUMIFS(_ENGINE_Crisis!$D:$D,_ENGINE_Crisis!$A:$A,D$9,_ENGINE_Crisis!$B:$B,$A17),"")</f>
        <v/>
      </c>
      <c r="E126" s="52">
        <f>IFERROR(SUMIFS(_ENGINE_Crisis!$D:$D,_ENGINE_Crisis!$A:$A,E$9,_ENGINE_Crisis!$B:$B,$A17),"")</f>
        <v/>
      </c>
      <c r="F126" s="52">
        <f>IFERROR(SUMIFS(_ENGINE_Crisis!$D:$D,_ENGINE_Crisis!$A:$A,F$9,_ENGINE_Crisis!$B:$B,$A17),"")</f>
        <v/>
      </c>
      <c r="G126" s="52">
        <f>IFERROR(SUMIFS(_ENGINE_Crisis!$D:$D,_ENGINE_Crisis!$A:$A,G$9,_ENGINE_Crisis!$B:$B,$A17),"")</f>
        <v/>
      </c>
      <c r="H126" s="52">
        <f>IFERROR(SUMIFS(_ENGINE_Crisis!$D:$D,_ENGINE_Crisis!$A:$A,H$9,_ENGINE_Crisis!$B:$B,$A17),"")</f>
        <v/>
      </c>
      <c r="I126" s="52">
        <f>IFERROR(SUMIFS(_ENGINE_Crisis!$D:$D,_ENGINE_Crisis!$A:$A,I$9,_ENGINE_Crisis!$B:$B,$A17),"")</f>
        <v/>
      </c>
      <c r="J126" s="52">
        <f>IFERROR(SUMIFS(_ENGINE_Crisis!$D:$D,_ENGINE_Crisis!$A:$A,J$9,_ENGINE_Crisis!$B:$B,$A17),"")</f>
        <v/>
      </c>
      <c r="K126" s="52">
        <f>IFERROR(SUMIFS(_ENGINE_Crisis!$D:$D,_ENGINE_Crisis!$A:$A,K$9,_ENGINE_Crisis!$B:$B,$A17),"")</f>
        <v/>
      </c>
      <c r="L126" s="52">
        <f>IFERROR(SUMIFS(_ENGINE_Crisis!$D:$D,_ENGINE_Crisis!$A:$A,L$9,_ENGINE_Crisis!$B:$B,$A17),"")</f>
        <v/>
      </c>
      <c r="M126" s="30" t="n"/>
      <c r="N126" s="30" t="n"/>
      <c r="O126" s="30" t="n"/>
      <c r="P126" s="30" t="n"/>
      <c r="Q126" s="30" t="n"/>
      <c r="R126" s="30" t="n"/>
      <c r="S126" s="30" t="n"/>
      <c r="T126" s="30" t="n"/>
      <c r="U126" s="30" t="n"/>
      <c r="V126" s="30" t="n"/>
    </row>
    <row r="127" ht="15" customHeight="1" s="209">
      <c r="A127" s="51" t="inlineStr">
        <is>
          <t>Supply Chain</t>
        </is>
      </c>
      <c r="B127" s="52">
        <f>IFERROR(SUMIFS(_ENGINE_Crisis!$D:$D,_ENGINE_Crisis!$A:$A,B$9,_ENGINE_Crisis!$B:$B,$A18),"")</f>
        <v/>
      </c>
      <c r="C127" s="52">
        <f>IFERROR(SUMIFS(_ENGINE_Crisis!$D:$D,_ENGINE_Crisis!$A:$A,C$9,_ENGINE_Crisis!$B:$B,$A18),"")</f>
        <v/>
      </c>
      <c r="D127" s="52">
        <f>IFERROR(SUMIFS(_ENGINE_Crisis!$D:$D,_ENGINE_Crisis!$A:$A,D$9,_ENGINE_Crisis!$B:$B,$A18),"")</f>
        <v/>
      </c>
      <c r="E127" s="52">
        <f>IFERROR(SUMIFS(_ENGINE_Crisis!$D:$D,_ENGINE_Crisis!$A:$A,E$9,_ENGINE_Crisis!$B:$B,$A18),"")</f>
        <v/>
      </c>
      <c r="F127" s="52">
        <f>IFERROR(SUMIFS(_ENGINE_Crisis!$D:$D,_ENGINE_Crisis!$A:$A,F$9,_ENGINE_Crisis!$B:$B,$A18),"")</f>
        <v/>
      </c>
      <c r="G127" s="52">
        <f>IFERROR(SUMIFS(_ENGINE_Crisis!$D:$D,_ENGINE_Crisis!$A:$A,G$9,_ENGINE_Crisis!$B:$B,$A18),"")</f>
        <v/>
      </c>
      <c r="H127" s="52">
        <f>IFERROR(SUMIFS(_ENGINE_Crisis!$D:$D,_ENGINE_Crisis!$A:$A,H$9,_ENGINE_Crisis!$B:$B,$A18),"")</f>
        <v/>
      </c>
      <c r="I127" s="52">
        <f>IFERROR(SUMIFS(_ENGINE_Crisis!$D:$D,_ENGINE_Crisis!$A:$A,I$9,_ENGINE_Crisis!$B:$B,$A18),"")</f>
        <v/>
      </c>
      <c r="J127" s="52">
        <f>IFERROR(SUMIFS(_ENGINE_Crisis!$D:$D,_ENGINE_Crisis!$A:$A,J$9,_ENGINE_Crisis!$B:$B,$A18),"")</f>
        <v/>
      </c>
      <c r="K127" s="52">
        <f>IFERROR(SUMIFS(_ENGINE_Crisis!$D:$D,_ENGINE_Crisis!$A:$A,K$9,_ENGINE_Crisis!$B:$B,$A18),"")</f>
        <v/>
      </c>
      <c r="L127" s="52">
        <f>IFERROR(SUMIFS(_ENGINE_Crisis!$D:$D,_ENGINE_Crisis!$A:$A,L$9,_ENGINE_Crisis!$B:$B,$A18),"")</f>
        <v/>
      </c>
      <c r="M127" s="30" t="n"/>
      <c r="N127" s="30" t="n"/>
      <c r="O127" s="30" t="n"/>
      <c r="P127" s="30" t="n"/>
      <c r="Q127" s="30" t="n"/>
      <c r="R127" s="30" t="n"/>
      <c r="S127" s="30" t="n"/>
      <c r="T127" s="30" t="n"/>
      <c r="U127" s="30" t="n"/>
      <c r="V127" s="30" t="n"/>
    </row>
    <row r="128" ht="15" customHeight="1" s="209">
      <c r="A128" s="51" t="inlineStr">
        <is>
          <t>Manufacturing MES</t>
        </is>
      </c>
      <c r="B128" s="52">
        <f>IFERROR(SUMIFS(_ENGINE_Crisis!$D:$D,_ENGINE_Crisis!$A:$A,B$9,_ENGINE_Crisis!$B:$B,$A19),"")</f>
        <v/>
      </c>
      <c r="C128" s="52">
        <f>IFERROR(SUMIFS(_ENGINE_Crisis!$D:$D,_ENGINE_Crisis!$A:$A,C$9,_ENGINE_Crisis!$B:$B,$A19),"")</f>
        <v/>
      </c>
      <c r="D128" s="52">
        <f>IFERROR(SUMIFS(_ENGINE_Crisis!$D:$D,_ENGINE_Crisis!$A:$A,D$9,_ENGINE_Crisis!$B:$B,$A19),"")</f>
        <v/>
      </c>
      <c r="E128" s="52">
        <f>IFERROR(SUMIFS(_ENGINE_Crisis!$D:$D,_ENGINE_Crisis!$A:$A,E$9,_ENGINE_Crisis!$B:$B,$A19),"")</f>
        <v/>
      </c>
      <c r="F128" s="52">
        <f>IFERROR(SUMIFS(_ENGINE_Crisis!$D:$D,_ENGINE_Crisis!$A:$A,F$9,_ENGINE_Crisis!$B:$B,$A19),"")</f>
        <v/>
      </c>
      <c r="G128" s="52">
        <f>IFERROR(SUMIFS(_ENGINE_Crisis!$D:$D,_ENGINE_Crisis!$A:$A,G$9,_ENGINE_Crisis!$B:$B,$A19),"")</f>
        <v/>
      </c>
      <c r="H128" s="52">
        <f>IFERROR(SUMIFS(_ENGINE_Crisis!$D:$D,_ENGINE_Crisis!$A:$A,H$9,_ENGINE_Crisis!$B:$B,$A19),"")</f>
        <v/>
      </c>
      <c r="I128" s="52">
        <f>IFERROR(SUMIFS(_ENGINE_Crisis!$D:$D,_ENGINE_Crisis!$A:$A,I$9,_ENGINE_Crisis!$B:$B,$A19),"")</f>
        <v/>
      </c>
      <c r="J128" s="52">
        <f>IFERROR(SUMIFS(_ENGINE_Crisis!$D:$D,_ENGINE_Crisis!$A:$A,J$9,_ENGINE_Crisis!$B:$B,$A19),"")</f>
        <v/>
      </c>
      <c r="K128" s="52">
        <f>IFERROR(SUMIFS(_ENGINE_Crisis!$D:$D,_ENGINE_Crisis!$A:$A,K$9,_ENGINE_Crisis!$B:$B,$A19),"")</f>
        <v/>
      </c>
      <c r="L128" s="52">
        <f>IFERROR(SUMIFS(_ENGINE_Crisis!$D:$D,_ENGINE_Crisis!$A:$A,L$9,_ENGINE_Crisis!$B:$B,$A19),"")</f>
        <v/>
      </c>
      <c r="M128" s="30" t="n"/>
      <c r="N128" s="30" t="n"/>
      <c r="O128" s="30" t="n"/>
      <c r="P128" s="30" t="n"/>
      <c r="Q128" s="30" t="n"/>
      <c r="R128" s="30" t="n"/>
      <c r="S128" s="30" t="n"/>
      <c r="T128" s="30" t="n"/>
      <c r="U128" s="30" t="n"/>
      <c r="V128" s="30" t="n"/>
    </row>
    <row r="129" ht="15" customHeight="1" s="209">
      <c r="A129" s="51" t="inlineStr">
        <is>
          <t>Sales CRM</t>
        </is>
      </c>
      <c r="B129" s="52">
        <f>IFERROR(SUMIFS(_ENGINE_Crisis!$D:$D,_ENGINE_Crisis!$A:$A,B$9,_ENGINE_Crisis!$B:$B,$A20),"")</f>
        <v/>
      </c>
      <c r="C129" s="52">
        <f>IFERROR(SUMIFS(_ENGINE_Crisis!$D:$D,_ENGINE_Crisis!$A:$A,C$9,_ENGINE_Crisis!$B:$B,$A20),"")</f>
        <v/>
      </c>
      <c r="D129" s="52">
        <f>IFERROR(SUMIFS(_ENGINE_Crisis!$D:$D,_ENGINE_Crisis!$A:$A,D$9,_ENGINE_Crisis!$B:$B,$A20),"")</f>
        <v/>
      </c>
      <c r="E129" s="52">
        <f>IFERROR(SUMIFS(_ENGINE_Crisis!$D:$D,_ENGINE_Crisis!$A:$A,E$9,_ENGINE_Crisis!$B:$B,$A20),"")</f>
        <v/>
      </c>
      <c r="F129" s="52">
        <f>IFERROR(SUMIFS(_ENGINE_Crisis!$D:$D,_ENGINE_Crisis!$A:$A,F$9,_ENGINE_Crisis!$B:$B,$A20),"")</f>
        <v/>
      </c>
      <c r="G129" s="52">
        <f>IFERROR(SUMIFS(_ENGINE_Crisis!$D:$D,_ENGINE_Crisis!$A:$A,G$9,_ENGINE_Crisis!$B:$B,$A20),"")</f>
        <v/>
      </c>
      <c r="H129" s="52">
        <f>IFERROR(SUMIFS(_ENGINE_Crisis!$D:$D,_ENGINE_Crisis!$A:$A,H$9,_ENGINE_Crisis!$B:$B,$A20),"")</f>
        <v/>
      </c>
      <c r="I129" s="52">
        <f>IFERROR(SUMIFS(_ENGINE_Crisis!$D:$D,_ENGINE_Crisis!$A:$A,I$9,_ENGINE_Crisis!$B:$B,$A20),"")</f>
        <v/>
      </c>
      <c r="J129" s="52">
        <f>IFERROR(SUMIFS(_ENGINE_Crisis!$D:$D,_ENGINE_Crisis!$A:$A,J$9,_ENGINE_Crisis!$B:$B,$A20),"")</f>
        <v/>
      </c>
      <c r="K129" s="52">
        <f>IFERROR(SUMIFS(_ENGINE_Crisis!$D:$D,_ENGINE_Crisis!$A:$A,K$9,_ENGINE_Crisis!$B:$B,$A20),"")</f>
        <v/>
      </c>
      <c r="L129" s="52">
        <f>IFERROR(SUMIFS(_ENGINE_Crisis!$D:$D,_ENGINE_Crisis!$A:$A,L$9,_ENGINE_Crisis!$B:$B,$A20),"")</f>
        <v/>
      </c>
      <c r="M129" s="30" t="n"/>
      <c r="N129" s="30" t="n"/>
      <c r="O129" s="30" t="n"/>
      <c r="P129" s="30" t="n"/>
      <c r="Q129" s="30" t="n"/>
      <c r="R129" s="30" t="n"/>
      <c r="S129" s="30" t="n"/>
      <c r="T129" s="30" t="n"/>
      <c r="U129" s="30" t="n"/>
      <c r="V129" s="30" t="n"/>
    </row>
    <row r="130" ht="15" customHeight="1" s="209">
      <c r="A130" s="51" t="inlineStr">
        <is>
          <t>Marketing Comms</t>
        </is>
      </c>
      <c r="B130" s="52">
        <f>IFERROR(SUMIFS(_ENGINE_Crisis!$D:$D,_ENGINE_Crisis!$A:$A,B$9,_ENGINE_Crisis!$B:$B,$A21),"")</f>
        <v/>
      </c>
      <c r="C130" s="52">
        <f>IFERROR(SUMIFS(_ENGINE_Crisis!$D:$D,_ENGINE_Crisis!$A:$A,C$9,_ENGINE_Crisis!$B:$B,$A21),"")</f>
        <v/>
      </c>
      <c r="D130" s="52">
        <f>IFERROR(SUMIFS(_ENGINE_Crisis!$D:$D,_ENGINE_Crisis!$A:$A,D$9,_ENGINE_Crisis!$B:$B,$A21),"")</f>
        <v/>
      </c>
      <c r="E130" s="52">
        <f>IFERROR(SUMIFS(_ENGINE_Crisis!$D:$D,_ENGINE_Crisis!$A:$A,E$9,_ENGINE_Crisis!$B:$B,$A21),"")</f>
        <v/>
      </c>
      <c r="F130" s="52">
        <f>IFERROR(SUMIFS(_ENGINE_Crisis!$D:$D,_ENGINE_Crisis!$A:$A,F$9,_ENGINE_Crisis!$B:$B,$A21),"")</f>
        <v/>
      </c>
      <c r="G130" s="52">
        <f>IFERROR(SUMIFS(_ENGINE_Crisis!$D:$D,_ENGINE_Crisis!$A:$A,G$9,_ENGINE_Crisis!$B:$B,$A21),"")</f>
        <v/>
      </c>
      <c r="H130" s="52">
        <f>IFERROR(SUMIFS(_ENGINE_Crisis!$D:$D,_ENGINE_Crisis!$A:$A,H$9,_ENGINE_Crisis!$B:$B,$A21),"")</f>
        <v/>
      </c>
      <c r="I130" s="52">
        <f>IFERROR(SUMIFS(_ENGINE_Crisis!$D:$D,_ENGINE_Crisis!$A:$A,I$9,_ENGINE_Crisis!$B:$B,$A21),"")</f>
        <v/>
      </c>
      <c r="J130" s="52">
        <f>IFERROR(SUMIFS(_ENGINE_Crisis!$D:$D,_ENGINE_Crisis!$A:$A,J$9,_ENGINE_Crisis!$B:$B,$A21),"")</f>
        <v/>
      </c>
      <c r="K130" s="52">
        <f>IFERROR(SUMIFS(_ENGINE_Crisis!$D:$D,_ENGINE_Crisis!$A:$A,K$9,_ENGINE_Crisis!$B:$B,$A21),"")</f>
        <v/>
      </c>
      <c r="L130" s="52">
        <f>IFERROR(SUMIFS(_ENGINE_Crisis!$D:$D,_ENGINE_Crisis!$A:$A,L$9,_ENGINE_Crisis!$B:$B,$A21),"")</f>
        <v/>
      </c>
      <c r="M130" s="30" t="n"/>
      <c r="N130" s="30" t="n"/>
      <c r="O130" s="30" t="n"/>
      <c r="P130" s="30" t="n"/>
      <c r="Q130" s="30" t="n"/>
      <c r="R130" s="30" t="n"/>
      <c r="S130" s="30" t="n"/>
      <c r="T130" s="30" t="n"/>
      <c r="U130" s="30" t="n"/>
      <c r="V130" s="30" t="n"/>
    </row>
    <row r="131" ht="15" customHeight="1" s="209">
      <c r="A131" s="51" t="inlineStr">
        <is>
          <t>IT Cloud DR</t>
        </is>
      </c>
      <c r="B131" s="52">
        <f>IFERROR(SUMIFS(_ENGINE_Crisis!$D:$D,_ENGINE_Crisis!$A:$A,B$9,_ENGINE_Crisis!$B:$B,$A22),"")</f>
        <v/>
      </c>
      <c r="C131" s="52">
        <f>IFERROR(SUMIFS(_ENGINE_Crisis!$D:$D,_ENGINE_Crisis!$A:$A,C$9,_ENGINE_Crisis!$B:$B,$A22),"")</f>
        <v/>
      </c>
      <c r="D131" s="52">
        <f>IFERROR(SUMIFS(_ENGINE_Crisis!$D:$D,_ENGINE_Crisis!$A:$A,D$9,_ENGINE_Crisis!$B:$B,$A22),"")</f>
        <v/>
      </c>
      <c r="E131" s="52">
        <f>IFERROR(SUMIFS(_ENGINE_Crisis!$D:$D,_ENGINE_Crisis!$A:$A,E$9,_ENGINE_Crisis!$B:$B,$A22),"")</f>
        <v/>
      </c>
      <c r="F131" s="52">
        <f>IFERROR(SUMIFS(_ENGINE_Crisis!$D:$D,_ENGINE_Crisis!$A:$A,F$9,_ENGINE_Crisis!$B:$B,$A22),"")</f>
        <v/>
      </c>
      <c r="G131" s="52">
        <f>IFERROR(SUMIFS(_ENGINE_Crisis!$D:$D,_ENGINE_Crisis!$A:$A,G$9,_ENGINE_Crisis!$B:$B,$A22),"")</f>
        <v/>
      </c>
      <c r="H131" s="52">
        <f>IFERROR(SUMIFS(_ENGINE_Crisis!$D:$D,_ENGINE_Crisis!$A:$A,H$9,_ENGINE_Crisis!$B:$B,$A22),"")</f>
        <v/>
      </c>
      <c r="I131" s="52">
        <f>IFERROR(SUMIFS(_ENGINE_Crisis!$D:$D,_ENGINE_Crisis!$A:$A,I$9,_ENGINE_Crisis!$B:$B,$A22),"")</f>
        <v/>
      </c>
      <c r="J131" s="52">
        <f>IFERROR(SUMIFS(_ENGINE_Crisis!$D:$D,_ENGINE_Crisis!$A:$A,J$9,_ENGINE_Crisis!$B:$B,$A22),"")</f>
        <v/>
      </c>
      <c r="K131" s="52">
        <f>IFERROR(SUMIFS(_ENGINE_Crisis!$D:$D,_ENGINE_Crisis!$A:$A,K$9,_ENGINE_Crisis!$B:$B,$A22),"")</f>
        <v/>
      </c>
      <c r="L131" s="52">
        <f>IFERROR(SUMIFS(_ENGINE_Crisis!$D:$D,_ENGINE_Crisis!$A:$A,L$9,_ENGINE_Crisis!$B:$B,$A22),"")</f>
        <v/>
      </c>
      <c r="M131" s="30" t="n"/>
      <c r="N131" s="30" t="n"/>
      <c r="O131" s="30" t="n"/>
      <c r="P131" s="30" t="n"/>
      <c r="Q131" s="30" t="n"/>
      <c r="R131" s="30" t="n"/>
      <c r="S131" s="30" t="n"/>
      <c r="T131" s="30" t="n"/>
      <c r="U131" s="30" t="n"/>
      <c r="V131" s="30" t="n"/>
    </row>
    <row r="132" ht="15" customHeight="1" s="209">
      <c r="A132" s="51" t="inlineStr">
        <is>
          <t>Business Systems</t>
        </is>
      </c>
      <c r="B132" s="52">
        <f>IFERROR(SUMIFS(_ENGINE_Crisis!$D:$D,_ENGINE_Crisis!$A:$A,B$9,_ENGINE_Crisis!$B:$B,$A23),"")</f>
        <v/>
      </c>
      <c r="C132" s="52">
        <f>IFERROR(SUMIFS(_ENGINE_Crisis!$D:$D,_ENGINE_Crisis!$A:$A,C$9,_ENGINE_Crisis!$B:$B,$A23),"")</f>
        <v/>
      </c>
      <c r="D132" s="52">
        <f>IFERROR(SUMIFS(_ENGINE_Crisis!$D:$D,_ENGINE_Crisis!$A:$A,D$9,_ENGINE_Crisis!$B:$B,$A23),"")</f>
        <v/>
      </c>
      <c r="E132" s="52">
        <f>IFERROR(SUMIFS(_ENGINE_Crisis!$D:$D,_ENGINE_Crisis!$A:$A,E$9,_ENGINE_Crisis!$B:$B,$A23),"")</f>
        <v/>
      </c>
      <c r="F132" s="52">
        <f>IFERROR(SUMIFS(_ENGINE_Crisis!$D:$D,_ENGINE_Crisis!$A:$A,F$9,_ENGINE_Crisis!$B:$B,$A23),"")</f>
        <v/>
      </c>
      <c r="G132" s="52">
        <f>IFERROR(SUMIFS(_ENGINE_Crisis!$D:$D,_ENGINE_Crisis!$A:$A,G$9,_ENGINE_Crisis!$B:$B,$A23),"")</f>
        <v/>
      </c>
      <c r="H132" s="52">
        <f>IFERROR(SUMIFS(_ENGINE_Crisis!$D:$D,_ENGINE_Crisis!$A:$A,H$9,_ENGINE_Crisis!$B:$B,$A23),"")</f>
        <v/>
      </c>
      <c r="I132" s="52">
        <f>IFERROR(SUMIFS(_ENGINE_Crisis!$D:$D,_ENGINE_Crisis!$A:$A,I$9,_ENGINE_Crisis!$B:$B,$A23),"")</f>
        <v/>
      </c>
      <c r="J132" s="52">
        <f>IFERROR(SUMIFS(_ENGINE_Crisis!$D:$D,_ENGINE_Crisis!$A:$A,J$9,_ENGINE_Crisis!$B:$B,$A23),"")</f>
        <v/>
      </c>
      <c r="K132" s="52">
        <f>IFERROR(SUMIFS(_ENGINE_Crisis!$D:$D,_ENGINE_Crisis!$A:$A,K$9,_ENGINE_Crisis!$B:$B,$A23),"")</f>
        <v/>
      </c>
      <c r="L132" s="52">
        <f>IFERROR(SUMIFS(_ENGINE_Crisis!$D:$D,_ENGINE_Crisis!$A:$A,L$9,_ENGINE_Crisis!$B:$B,$A23),"")</f>
        <v/>
      </c>
      <c r="M132" s="30" t="n"/>
      <c r="N132" s="30" t="n"/>
      <c r="O132" s="30" t="n"/>
      <c r="P132" s="30" t="n"/>
      <c r="Q132" s="30" t="n"/>
      <c r="R132" s="30" t="n"/>
      <c r="S132" s="30" t="n"/>
      <c r="T132" s="30" t="n"/>
      <c r="U132" s="30" t="n"/>
      <c r="V132" s="30" t="n"/>
    </row>
    <row r="133" ht="15" customHeight="1" s="209">
      <c r="A133" s="51" t="inlineStr">
        <is>
          <t>Data BI AI</t>
        </is>
      </c>
      <c r="B133" s="52">
        <f>IFERROR(SUMIFS(_ENGINE_Crisis!$D:$D,_ENGINE_Crisis!$A:$A,B$9,_ENGINE_Crisis!$B:$B,$A24),"")</f>
        <v/>
      </c>
      <c r="C133" s="52">
        <f>IFERROR(SUMIFS(_ENGINE_Crisis!$D:$D,_ENGINE_Crisis!$A:$A,C$9,_ENGINE_Crisis!$B:$B,$A24),"")</f>
        <v/>
      </c>
      <c r="D133" s="52">
        <f>IFERROR(SUMIFS(_ENGINE_Crisis!$D:$D,_ENGINE_Crisis!$A:$A,D$9,_ENGINE_Crisis!$B:$B,$A24),"")</f>
        <v/>
      </c>
      <c r="E133" s="52">
        <f>IFERROR(SUMIFS(_ENGINE_Crisis!$D:$D,_ENGINE_Crisis!$A:$A,E$9,_ENGINE_Crisis!$B:$B,$A24),"")</f>
        <v/>
      </c>
      <c r="F133" s="52">
        <f>IFERROR(SUMIFS(_ENGINE_Crisis!$D:$D,_ENGINE_Crisis!$A:$A,F$9,_ENGINE_Crisis!$B:$B,$A24),"")</f>
        <v/>
      </c>
      <c r="G133" s="52">
        <f>IFERROR(SUMIFS(_ENGINE_Crisis!$D:$D,_ENGINE_Crisis!$A:$A,G$9,_ENGINE_Crisis!$B:$B,$A24),"")</f>
        <v/>
      </c>
      <c r="H133" s="52">
        <f>IFERROR(SUMIFS(_ENGINE_Crisis!$D:$D,_ENGINE_Crisis!$A:$A,H$9,_ENGINE_Crisis!$B:$B,$A24),"")</f>
        <v/>
      </c>
      <c r="I133" s="52">
        <f>IFERROR(SUMIFS(_ENGINE_Crisis!$D:$D,_ENGINE_Crisis!$A:$A,I$9,_ENGINE_Crisis!$B:$B,$A24),"")</f>
        <v/>
      </c>
      <c r="J133" s="52">
        <f>IFERROR(SUMIFS(_ENGINE_Crisis!$D:$D,_ENGINE_Crisis!$A:$A,J$9,_ENGINE_Crisis!$B:$B,$A24),"")</f>
        <v/>
      </c>
      <c r="K133" s="52">
        <f>IFERROR(SUMIFS(_ENGINE_Crisis!$D:$D,_ENGINE_Crisis!$A:$A,K$9,_ENGINE_Crisis!$B:$B,$A24),"")</f>
        <v/>
      </c>
      <c r="L133" s="52">
        <f>IFERROR(SUMIFS(_ENGINE_Crisis!$D:$D,_ENGINE_Crisis!$A:$A,L$9,_ENGINE_Crisis!$B:$B,$A24),"")</f>
        <v/>
      </c>
      <c r="M133" s="30" t="n"/>
      <c r="N133" s="30" t="n"/>
      <c r="O133" s="30" t="n"/>
      <c r="P133" s="30" t="n"/>
      <c r="Q133" s="30" t="n"/>
      <c r="R133" s="30" t="n"/>
      <c r="S133" s="30" t="n"/>
      <c r="T133" s="30" t="n"/>
      <c r="U133" s="30" t="n"/>
      <c r="V133" s="30" t="n"/>
    </row>
    <row r="134" ht="15" customHeight="1" s="209">
      <c r="A134" s="51" t="inlineStr">
        <is>
          <t>Cyber Privacy</t>
        </is>
      </c>
      <c r="B134" s="52">
        <f>IFERROR(SUMIFS(_ENGINE_Crisis!$D:$D,_ENGINE_Crisis!$A:$A,B$9,_ENGINE_Crisis!$B:$B,$A25),"")</f>
        <v/>
      </c>
      <c r="C134" s="52">
        <f>IFERROR(SUMIFS(_ENGINE_Crisis!$D:$D,_ENGINE_Crisis!$A:$A,C$9,_ENGINE_Crisis!$B:$B,$A25),"")</f>
        <v/>
      </c>
      <c r="D134" s="52">
        <f>IFERROR(SUMIFS(_ENGINE_Crisis!$D:$D,_ENGINE_Crisis!$A:$A,D$9,_ENGINE_Crisis!$B:$B,$A25),"")</f>
        <v/>
      </c>
      <c r="E134" s="52">
        <f>IFERROR(SUMIFS(_ENGINE_Crisis!$D:$D,_ENGINE_Crisis!$A:$A,E$9,_ENGINE_Crisis!$B:$B,$A25),"")</f>
        <v/>
      </c>
      <c r="F134" s="52">
        <f>IFERROR(SUMIFS(_ENGINE_Crisis!$D:$D,_ENGINE_Crisis!$A:$A,F$9,_ENGINE_Crisis!$B:$B,$A25),"")</f>
        <v/>
      </c>
      <c r="G134" s="52">
        <f>IFERROR(SUMIFS(_ENGINE_Crisis!$D:$D,_ENGINE_Crisis!$A:$A,G$9,_ENGINE_Crisis!$B:$B,$A25),"")</f>
        <v/>
      </c>
      <c r="H134" s="52">
        <f>IFERROR(SUMIFS(_ENGINE_Crisis!$D:$D,_ENGINE_Crisis!$A:$A,H$9,_ENGINE_Crisis!$B:$B,$A25),"")</f>
        <v/>
      </c>
      <c r="I134" s="52">
        <f>IFERROR(SUMIFS(_ENGINE_Crisis!$D:$D,_ENGINE_Crisis!$A:$A,I$9,_ENGINE_Crisis!$B:$B,$A25),"")</f>
        <v/>
      </c>
      <c r="J134" s="52">
        <f>IFERROR(SUMIFS(_ENGINE_Crisis!$D:$D,_ENGINE_Crisis!$A:$A,J$9,_ENGINE_Crisis!$B:$B,$A25),"")</f>
        <v/>
      </c>
      <c r="K134" s="52">
        <f>IFERROR(SUMIFS(_ENGINE_Crisis!$D:$D,_ENGINE_Crisis!$A:$A,K$9,_ENGINE_Crisis!$B:$B,$A25),"")</f>
        <v/>
      </c>
      <c r="L134" s="52">
        <f>IFERROR(SUMIFS(_ENGINE_Crisis!$D:$D,_ENGINE_Crisis!$A:$A,L$9,_ENGINE_Crisis!$B:$B,$A25),"")</f>
        <v/>
      </c>
      <c r="M134" s="30" t="n"/>
      <c r="N134" s="30" t="n"/>
      <c r="O134" s="30" t="n"/>
      <c r="P134" s="30" t="n"/>
      <c r="Q134" s="30" t="n"/>
      <c r="R134" s="30" t="n"/>
      <c r="S134" s="30" t="n"/>
      <c r="T134" s="30" t="n"/>
      <c r="U134" s="30" t="n"/>
      <c r="V134" s="30" t="n"/>
    </row>
    <row r="135" ht="15" customHeight="1" s="209">
      <c r="A135" s="51" t="inlineStr">
        <is>
          <t>Quality Portfolio</t>
        </is>
      </c>
      <c r="B135" s="52">
        <f>IFERROR(SUMIFS(_ENGINE_Crisis!$D:$D,_ENGINE_Crisis!$A:$A,B$9,_ENGINE_Crisis!$B:$B,$A26),"")</f>
        <v/>
      </c>
      <c r="C135" s="52">
        <f>IFERROR(SUMIFS(_ENGINE_Crisis!$D:$D,_ENGINE_Crisis!$A:$A,C$9,_ENGINE_Crisis!$B:$B,$A26),"")</f>
        <v/>
      </c>
      <c r="D135" s="52">
        <f>IFERROR(SUMIFS(_ENGINE_Crisis!$D:$D,_ENGINE_Crisis!$A:$A,D$9,_ENGINE_Crisis!$B:$B,$A26),"")</f>
        <v/>
      </c>
      <c r="E135" s="52">
        <f>IFERROR(SUMIFS(_ENGINE_Crisis!$D:$D,_ENGINE_Crisis!$A:$A,E$9,_ENGINE_Crisis!$B:$B,$A26),"")</f>
        <v/>
      </c>
      <c r="F135" s="52">
        <f>IFERROR(SUMIFS(_ENGINE_Crisis!$D:$D,_ENGINE_Crisis!$A:$A,F$9,_ENGINE_Crisis!$B:$B,$A26),"")</f>
        <v/>
      </c>
      <c r="G135" s="52">
        <f>IFERROR(SUMIFS(_ENGINE_Crisis!$D:$D,_ENGINE_Crisis!$A:$A,G$9,_ENGINE_Crisis!$B:$B,$A26),"")</f>
        <v/>
      </c>
      <c r="H135" s="52">
        <f>IFERROR(SUMIFS(_ENGINE_Crisis!$D:$D,_ENGINE_Crisis!$A:$A,H$9,_ENGINE_Crisis!$B:$B,$A26),"")</f>
        <v/>
      </c>
      <c r="I135" s="52">
        <f>IFERROR(SUMIFS(_ENGINE_Crisis!$D:$D,_ENGINE_Crisis!$A:$A,I$9,_ENGINE_Crisis!$B:$B,$A26),"")</f>
        <v/>
      </c>
      <c r="J135" s="52">
        <f>IFERROR(SUMIFS(_ENGINE_Crisis!$D:$D,_ENGINE_Crisis!$A:$A,J$9,_ENGINE_Crisis!$B:$B,$A26),"")</f>
        <v/>
      </c>
      <c r="K135" s="52">
        <f>IFERROR(SUMIFS(_ENGINE_Crisis!$D:$D,_ENGINE_Crisis!$A:$A,K$9,_ENGINE_Crisis!$B:$B,$A26),"")</f>
        <v/>
      </c>
      <c r="L135" s="52">
        <f>IFERROR(SUMIFS(_ENGINE_Crisis!$D:$D,_ENGINE_Crisis!$A:$A,L$9,_ENGINE_Crisis!$B:$B,$A26),"")</f>
        <v/>
      </c>
      <c r="M135" s="30" t="n"/>
      <c r="N135" s="30" t="n"/>
      <c r="O135" s="30" t="n"/>
      <c r="P135" s="30" t="n"/>
      <c r="Q135" s="30" t="n"/>
      <c r="R135" s="30" t="n"/>
      <c r="S135" s="30" t="n"/>
      <c r="T135" s="30" t="n"/>
      <c r="U135" s="30" t="n"/>
      <c r="V135" s="30" t="n"/>
    </row>
    <row r="136">
      <c r="A136" s="30" t="n"/>
      <c r="B136" s="30" t="n"/>
      <c r="C136" s="30" t="n"/>
      <c r="D136" s="30" t="n"/>
      <c r="E136" s="30" t="n"/>
      <c r="F136" s="30" t="n"/>
      <c r="G136" s="30" t="n"/>
      <c r="H136" s="30" t="n"/>
      <c r="I136" s="30" t="n"/>
      <c r="J136" s="30" t="n"/>
      <c r="K136" s="30" t="n"/>
      <c r="L136" s="30" t="n"/>
      <c r="M136" s="30" t="n"/>
      <c r="N136" s="30" t="n"/>
      <c r="O136" s="30" t="n"/>
      <c r="P136" s="30" t="n"/>
      <c r="Q136" s="30" t="n"/>
      <c r="R136" s="30" t="n"/>
      <c r="S136" s="30" t="n"/>
      <c r="T136" s="30" t="n"/>
      <c r="U136" s="30" t="n"/>
      <c r="V136" s="30" t="n"/>
    </row>
    <row r="137">
      <c r="A137" s="30" t="n"/>
      <c r="B137" s="30" t="n"/>
      <c r="C137" s="30" t="n"/>
      <c r="D137" s="30" t="n"/>
      <c r="E137" s="30" t="n"/>
      <c r="F137" s="30" t="n"/>
      <c r="G137" s="30" t="n"/>
      <c r="H137" s="30" t="n"/>
      <c r="I137" s="30" t="n"/>
      <c r="J137" s="30" t="n"/>
      <c r="K137" s="30" t="n"/>
      <c r="L137" s="30" t="n"/>
      <c r="M137" s="30" t="n"/>
      <c r="N137" s="30" t="n"/>
      <c r="O137" s="30" t="n"/>
      <c r="P137" s="30" t="n"/>
      <c r="Q137" s="30" t="n"/>
      <c r="R137" s="30" t="n"/>
      <c r="S137" s="30" t="n"/>
      <c r="T137" s="30" t="n"/>
      <c r="U137" s="30" t="n"/>
      <c r="V137" s="30" t="n"/>
    </row>
    <row r="138">
      <c r="A138" s="30" t="n"/>
      <c r="B138" s="30" t="n"/>
      <c r="C138" s="30" t="n"/>
      <c r="D138" s="30" t="n"/>
      <c r="E138" s="30" t="n"/>
      <c r="F138" s="30" t="n"/>
      <c r="G138" s="30" t="n"/>
      <c r="H138" s="30" t="n"/>
      <c r="I138" s="30" t="n"/>
      <c r="J138" s="30" t="n"/>
      <c r="K138" s="30" t="n"/>
      <c r="L138" s="30" t="n"/>
      <c r="M138" s="30" t="n"/>
      <c r="N138" s="30" t="n"/>
      <c r="O138" s="30" t="n"/>
      <c r="P138" s="30" t="n"/>
      <c r="Q138" s="30" t="n"/>
      <c r="R138" s="30" t="n"/>
      <c r="S138" s="30" t="n"/>
      <c r="T138" s="30" t="n"/>
      <c r="U138" s="30" t="n"/>
      <c r="V138" s="30" t="n"/>
    </row>
    <row r="139" ht="15" customHeight="1" s="209">
      <c r="A139" s="226" t="inlineStr">
        <is>
          <t>Heatmap 2. Domain vs active risk category score</t>
        </is>
      </c>
      <c r="B139" s="227" t="n"/>
      <c r="C139" s="227" t="n"/>
      <c r="D139" s="227" t="n"/>
      <c r="E139" s="227" t="n"/>
      <c r="F139" s="227" t="n"/>
      <c r="G139" s="227" t="n"/>
      <c r="H139" s="227" t="n"/>
      <c r="I139" s="227" t="n"/>
      <c r="J139" s="227" t="n"/>
      <c r="K139" s="227" t="n"/>
      <c r="L139" s="227" t="n"/>
      <c r="M139" s="228" t="n"/>
      <c r="N139" s="30" t="n"/>
      <c r="O139" s="30" t="n"/>
      <c r="P139" s="30" t="n"/>
      <c r="Q139" s="30" t="n"/>
      <c r="R139" s="30" t="n"/>
      <c r="S139" s="30" t="n"/>
      <c r="T139" s="30" t="n"/>
      <c r="U139" s="30" t="n"/>
      <c r="V139" s="30" t="n"/>
    </row>
    <row r="140" ht="44.1" customHeight="1" s="209">
      <c r="A140" s="23" t="inlineStr">
        <is>
          <t>Domain</t>
        </is>
      </c>
      <c r="B140" s="23" t="inlineStr">
        <is>
          <t>Geographic, entity and market exposure</t>
        </is>
      </c>
      <c r="C140" s="23" t="inlineStr">
        <is>
          <t>Strategic and go-to-market resilience</t>
        </is>
      </c>
      <c r="D140" s="23" t="inlineStr">
        <is>
          <t>Crisis governance and decision-making</t>
        </is>
      </c>
      <c r="E140" s="23" t="inlineStr">
        <is>
          <t>People, critical roles and knowledge continuity</t>
        </is>
      </c>
      <c r="F140" s="23" t="inlineStr">
        <is>
          <t>Financial control and procurement resilience</t>
        </is>
      </c>
      <c r="G140" s="23" t="inlineStr">
        <is>
          <t>Legal, compliance and contractual exposure</t>
        </is>
      </c>
      <c r="H140" s="23" t="inlineStr">
        <is>
          <t>Physical safety, security and facility resilience</t>
        </is>
      </c>
      <c r="I140" s="23" t="inlineStr">
        <is>
          <t>Delivery, service continuity and operational execution</t>
        </is>
      </c>
      <c r="J140" s="23" t="inlineStr">
        <is>
          <t>Supply chain, logistics and supplier continuity</t>
        </is>
      </c>
      <c r="K140" s="23" t="inlineStr">
        <is>
          <t>Manufacturing, MES and production continuity</t>
        </is>
      </c>
      <c r="L140" s="23" t="inlineStr">
        <is>
          <t>Revenue, sales pipeline and CRM continuity</t>
        </is>
      </c>
      <c r="M140" s="23" t="inlineStr">
        <is>
          <t>Market communication and reputation resilience</t>
        </is>
      </c>
      <c r="N140" s="50" t="n"/>
      <c r="O140" s="50" t="n"/>
      <c r="P140" s="50" t="n"/>
      <c r="Q140" s="50" t="n"/>
      <c r="R140" s="50" t="n"/>
      <c r="S140" s="50" t="n"/>
      <c r="T140" s="50" t="n"/>
      <c r="U140" s="50" t="n"/>
      <c r="V140" s="50" t="n"/>
    </row>
    <row r="141" ht="15" customHeight="1" s="209">
      <c r="A141" s="51" t="inlineStr">
        <is>
          <t>Company Geography</t>
        </is>
      </c>
      <c r="B141" s="280">
        <f>IFERROR(ROUND(AVERAGEIFS('_ENGINE_Risk'!$L$500:$L$923,'_ENGINE_Risk'!$B$500:$B$923,"Yes",'_ENGINE_Risk'!$C$500:$C$923,$A32,'_ENGINE_Risk'!$F$500:$F$923,B$31),1),"")</f>
        <v/>
      </c>
      <c r="C141" s="280">
        <f>IFERROR(ROUND(AVERAGEIFS('_ENGINE_Risk'!$L$500:$L$923,'_ENGINE_Risk'!$B$500:$B$923,"Yes",'_ENGINE_Risk'!$C$500:$C$923,$A32,'_ENGINE_Risk'!$F$500:$F$923,C$31),1),"")</f>
        <v/>
      </c>
      <c r="D141" s="280">
        <f>IFERROR(ROUND(AVERAGEIFS('_ENGINE_Risk'!$L$500:$L$923,'_ENGINE_Risk'!$B$500:$B$923,"Yes",'_ENGINE_Risk'!$C$500:$C$923,$A32,'_ENGINE_Risk'!$F$500:$F$923,D$31),1),"")</f>
        <v/>
      </c>
      <c r="E141" s="280">
        <f>IFERROR(ROUND(AVERAGEIFS('_ENGINE_Risk'!$L$500:$L$923,'_ENGINE_Risk'!$B$500:$B$923,"Yes",'_ENGINE_Risk'!$C$500:$C$923,$A32,'_ENGINE_Risk'!$F$500:$F$923,E$31),1),"")</f>
        <v/>
      </c>
      <c r="F141" s="280">
        <f>IFERROR(ROUND(AVERAGEIFS('_ENGINE_Risk'!$L$500:$L$923,'_ENGINE_Risk'!$B$500:$B$923,"Yes",'_ENGINE_Risk'!$C$500:$C$923,$A32,'_ENGINE_Risk'!$F$500:$F$923,F$31),1),"")</f>
        <v/>
      </c>
      <c r="G141" s="280">
        <f>IFERROR(ROUND(AVERAGEIFS('_ENGINE_Risk'!$L$500:$L$923,'_ENGINE_Risk'!$B$500:$B$923,"Yes",'_ENGINE_Risk'!$C$500:$C$923,$A32,'_ENGINE_Risk'!$F$500:$F$923,G$31),1),"")</f>
        <v/>
      </c>
      <c r="H141" s="280">
        <f>IFERROR(ROUND(AVERAGEIFS('_ENGINE_Risk'!$L$500:$L$923,'_ENGINE_Risk'!$B$500:$B$923,"Yes",'_ENGINE_Risk'!$C$500:$C$923,$A32,'_ENGINE_Risk'!$F$500:$F$923,H$31),1),"")</f>
        <v/>
      </c>
      <c r="I141" s="280">
        <f>IFERROR(ROUND(AVERAGEIFS('_ENGINE_Risk'!$L$500:$L$923,'_ENGINE_Risk'!$B$500:$B$923,"Yes",'_ENGINE_Risk'!$C$500:$C$923,$A32,'_ENGINE_Risk'!$F$500:$F$923,I$31),1),"")</f>
        <v/>
      </c>
      <c r="J141" s="280">
        <f>IFERROR(ROUND(AVERAGEIFS('_ENGINE_Risk'!$L$500:$L$923,'_ENGINE_Risk'!$B$500:$B$923,"Yes",'_ENGINE_Risk'!$C$500:$C$923,$A32,'_ENGINE_Risk'!$F$500:$F$923,J$31),1),"")</f>
        <v/>
      </c>
      <c r="K141" s="280">
        <f>IFERROR(ROUND(AVERAGEIFS('_ENGINE_Risk'!$L$500:$L$923,'_ENGINE_Risk'!$B$500:$B$923,"Yes",'_ENGINE_Risk'!$C$500:$C$923,$A32,'_ENGINE_Risk'!$F$500:$F$923,K$31),1),"")</f>
        <v/>
      </c>
      <c r="L141" s="280">
        <f>IFERROR(ROUND(AVERAGEIFS('_ENGINE_Risk'!$L$500:$L$923,'_ENGINE_Risk'!$B$500:$B$923,"Yes",'_ENGINE_Risk'!$C$500:$C$923,$A32,'_ENGINE_Risk'!$F$500:$F$923,L$31),1),"")</f>
        <v/>
      </c>
      <c r="M141" s="280">
        <f>IFERROR(ROUND(AVERAGEIFS('_ENGINE_Risk'!$L$500:$L$923,'_ENGINE_Risk'!$B$500:$B$923,"Yes",'_ENGINE_Risk'!$C$500:$C$923,$A32,'_ENGINE_Risk'!$F$500:$F$923,M$31),1),"")</f>
        <v/>
      </c>
      <c r="N141" s="30" t="n"/>
      <c r="O141" s="30" t="n"/>
      <c r="P141" s="30" t="n"/>
      <c r="Q141" s="30" t="n"/>
      <c r="R141" s="30" t="n"/>
      <c r="S141" s="30" t="n"/>
      <c r="T141" s="30" t="n"/>
      <c r="U141" s="30" t="n"/>
      <c r="V141" s="30" t="n"/>
    </row>
    <row r="142" ht="15" customHeight="1" s="209">
      <c r="A142" s="51" t="inlineStr">
        <is>
          <t>Strategy GTM</t>
        </is>
      </c>
      <c r="B142" s="280">
        <f>IFERROR(ROUND(AVERAGEIFS('_ENGINE_Risk'!$L$500:$L$923,'_ENGINE_Risk'!$B$500:$B$923,"Yes",'_ENGINE_Risk'!$C$500:$C$923,$A33,'_ENGINE_Risk'!$F$500:$F$923,B$31),1),"")</f>
        <v/>
      </c>
      <c r="C142" s="280">
        <f>IFERROR(ROUND(AVERAGEIFS('_ENGINE_Risk'!$L$500:$L$923,'_ENGINE_Risk'!$B$500:$B$923,"Yes",'_ENGINE_Risk'!$C$500:$C$923,$A33,'_ENGINE_Risk'!$F$500:$F$923,C$31),1),"")</f>
        <v/>
      </c>
      <c r="D142" s="280">
        <f>IFERROR(ROUND(AVERAGEIFS('_ENGINE_Risk'!$L$500:$L$923,'_ENGINE_Risk'!$B$500:$B$923,"Yes",'_ENGINE_Risk'!$C$500:$C$923,$A33,'_ENGINE_Risk'!$F$500:$F$923,D$31),1),"")</f>
        <v/>
      </c>
      <c r="E142" s="280">
        <f>IFERROR(ROUND(AVERAGEIFS('_ENGINE_Risk'!$L$500:$L$923,'_ENGINE_Risk'!$B$500:$B$923,"Yes",'_ENGINE_Risk'!$C$500:$C$923,$A33,'_ENGINE_Risk'!$F$500:$F$923,E$31),1),"")</f>
        <v/>
      </c>
      <c r="F142" s="280">
        <f>IFERROR(ROUND(AVERAGEIFS('_ENGINE_Risk'!$L$500:$L$923,'_ENGINE_Risk'!$B$500:$B$923,"Yes",'_ENGINE_Risk'!$C$500:$C$923,$A33,'_ENGINE_Risk'!$F$500:$F$923,F$31),1),"")</f>
        <v/>
      </c>
      <c r="G142" s="280">
        <f>IFERROR(ROUND(AVERAGEIFS('_ENGINE_Risk'!$L$500:$L$923,'_ENGINE_Risk'!$B$500:$B$923,"Yes",'_ENGINE_Risk'!$C$500:$C$923,$A33,'_ENGINE_Risk'!$F$500:$F$923,G$31),1),"")</f>
        <v/>
      </c>
      <c r="H142" s="280">
        <f>IFERROR(ROUND(AVERAGEIFS('_ENGINE_Risk'!$L$500:$L$923,'_ENGINE_Risk'!$B$500:$B$923,"Yes",'_ENGINE_Risk'!$C$500:$C$923,$A33,'_ENGINE_Risk'!$F$500:$F$923,H$31),1),"")</f>
        <v/>
      </c>
      <c r="I142" s="280">
        <f>IFERROR(ROUND(AVERAGEIFS('_ENGINE_Risk'!$L$500:$L$923,'_ENGINE_Risk'!$B$500:$B$923,"Yes",'_ENGINE_Risk'!$C$500:$C$923,$A33,'_ENGINE_Risk'!$F$500:$F$923,I$31),1),"")</f>
        <v/>
      </c>
      <c r="J142" s="280">
        <f>IFERROR(ROUND(AVERAGEIFS('_ENGINE_Risk'!$L$500:$L$923,'_ENGINE_Risk'!$B$500:$B$923,"Yes",'_ENGINE_Risk'!$C$500:$C$923,$A33,'_ENGINE_Risk'!$F$500:$F$923,J$31),1),"")</f>
        <v/>
      </c>
      <c r="K142" s="280">
        <f>IFERROR(ROUND(AVERAGEIFS('_ENGINE_Risk'!$L$500:$L$923,'_ENGINE_Risk'!$B$500:$B$923,"Yes",'_ENGINE_Risk'!$C$500:$C$923,$A33,'_ENGINE_Risk'!$F$500:$F$923,K$31),1),"")</f>
        <v/>
      </c>
      <c r="L142" s="280">
        <f>IFERROR(ROUND(AVERAGEIFS('_ENGINE_Risk'!$L$500:$L$923,'_ENGINE_Risk'!$B$500:$B$923,"Yes",'_ENGINE_Risk'!$C$500:$C$923,$A33,'_ENGINE_Risk'!$F$500:$F$923,L$31),1),"")</f>
        <v/>
      </c>
      <c r="M142" s="280">
        <f>IFERROR(ROUND(AVERAGEIFS('_ENGINE_Risk'!$L$500:$L$923,'_ENGINE_Risk'!$B$500:$B$923,"Yes",'_ENGINE_Risk'!$C$500:$C$923,$A33,'_ENGINE_Risk'!$F$500:$F$923,M$31),1),"")</f>
        <v/>
      </c>
      <c r="N142" s="30" t="n"/>
      <c r="O142" s="30" t="n"/>
      <c r="P142" s="30" t="n"/>
      <c r="Q142" s="30" t="n"/>
      <c r="R142" s="30" t="n"/>
      <c r="S142" s="30" t="n"/>
      <c r="T142" s="30" t="n"/>
      <c r="U142" s="30" t="n"/>
      <c r="V142" s="30" t="n"/>
    </row>
    <row r="143" ht="15" customHeight="1" s="209">
      <c r="A143" s="51" t="inlineStr">
        <is>
          <t>Governance Crisis</t>
        </is>
      </c>
      <c r="B143" s="280">
        <f>IFERROR(ROUND(AVERAGEIFS('_ENGINE_Risk'!$L$500:$L$923,'_ENGINE_Risk'!$B$500:$B$923,"Yes",'_ENGINE_Risk'!$C$500:$C$923,$A34,'_ENGINE_Risk'!$F$500:$F$923,B$31),1),"")</f>
        <v/>
      </c>
      <c r="C143" s="280">
        <f>IFERROR(ROUND(AVERAGEIFS('_ENGINE_Risk'!$L$500:$L$923,'_ENGINE_Risk'!$B$500:$B$923,"Yes",'_ENGINE_Risk'!$C$500:$C$923,$A34,'_ENGINE_Risk'!$F$500:$F$923,C$31),1),"")</f>
        <v/>
      </c>
      <c r="D143" s="280">
        <f>IFERROR(ROUND(AVERAGEIFS('_ENGINE_Risk'!$L$500:$L$923,'_ENGINE_Risk'!$B$500:$B$923,"Yes",'_ENGINE_Risk'!$C$500:$C$923,$A34,'_ENGINE_Risk'!$F$500:$F$923,D$31),1),"")</f>
        <v/>
      </c>
      <c r="E143" s="280">
        <f>IFERROR(ROUND(AVERAGEIFS('_ENGINE_Risk'!$L$500:$L$923,'_ENGINE_Risk'!$B$500:$B$923,"Yes",'_ENGINE_Risk'!$C$500:$C$923,$A34,'_ENGINE_Risk'!$F$500:$F$923,E$31),1),"")</f>
        <v/>
      </c>
      <c r="F143" s="280">
        <f>IFERROR(ROUND(AVERAGEIFS('_ENGINE_Risk'!$L$500:$L$923,'_ENGINE_Risk'!$B$500:$B$923,"Yes",'_ENGINE_Risk'!$C$500:$C$923,$A34,'_ENGINE_Risk'!$F$500:$F$923,F$31),1),"")</f>
        <v/>
      </c>
      <c r="G143" s="280">
        <f>IFERROR(ROUND(AVERAGEIFS('_ENGINE_Risk'!$L$500:$L$923,'_ENGINE_Risk'!$B$500:$B$923,"Yes",'_ENGINE_Risk'!$C$500:$C$923,$A34,'_ENGINE_Risk'!$F$500:$F$923,G$31),1),"")</f>
        <v/>
      </c>
      <c r="H143" s="280">
        <f>IFERROR(ROUND(AVERAGEIFS('_ENGINE_Risk'!$L$500:$L$923,'_ENGINE_Risk'!$B$500:$B$923,"Yes",'_ENGINE_Risk'!$C$500:$C$923,$A34,'_ENGINE_Risk'!$F$500:$F$923,H$31),1),"")</f>
        <v/>
      </c>
      <c r="I143" s="280">
        <f>IFERROR(ROUND(AVERAGEIFS('_ENGINE_Risk'!$L$500:$L$923,'_ENGINE_Risk'!$B$500:$B$923,"Yes",'_ENGINE_Risk'!$C$500:$C$923,$A34,'_ENGINE_Risk'!$F$500:$F$923,I$31),1),"")</f>
        <v/>
      </c>
      <c r="J143" s="280">
        <f>IFERROR(ROUND(AVERAGEIFS('_ENGINE_Risk'!$L$500:$L$923,'_ENGINE_Risk'!$B$500:$B$923,"Yes",'_ENGINE_Risk'!$C$500:$C$923,$A34,'_ENGINE_Risk'!$F$500:$F$923,J$31),1),"")</f>
        <v/>
      </c>
      <c r="K143" s="280">
        <f>IFERROR(ROUND(AVERAGEIFS('_ENGINE_Risk'!$L$500:$L$923,'_ENGINE_Risk'!$B$500:$B$923,"Yes",'_ENGINE_Risk'!$C$500:$C$923,$A34,'_ENGINE_Risk'!$F$500:$F$923,K$31),1),"")</f>
        <v/>
      </c>
      <c r="L143" s="280">
        <f>IFERROR(ROUND(AVERAGEIFS('_ENGINE_Risk'!$L$500:$L$923,'_ENGINE_Risk'!$B$500:$B$923,"Yes",'_ENGINE_Risk'!$C$500:$C$923,$A34,'_ENGINE_Risk'!$F$500:$F$923,L$31),1),"")</f>
        <v/>
      </c>
      <c r="M143" s="280">
        <f>IFERROR(ROUND(AVERAGEIFS('_ENGINE_Risk'!$L$500:$L$923,'_ENGINE_Risk'!$B$500:$B$923,"Yes",'_ENGINE_Risk'!$C$500:$C$923,$A34,'_ENGINE_Risk'!$F$500:$F$923,M$31),1),"")</f>
        <v/>
      </c>
      <c r="N143" s="30" t="n"/>
      <c r="O143" s="30" t="n"/>
      <c r="P143" s="30" t="n"/>
      <c r="Q143" s="30" t="n"/>
      <c r="R143" s="30" t="n"/>
      <c r="S143" s="30" t="n"/>
      <c r="T143" s="30" t="n"/>
      <c r="U143" s="30" t="n"/>
      <c r="V143" s="30" t="n"/>
    </row>
    <row r="144" ht="15" customHeight="1" s="209">
      <c r="A144" s="51" t="inlineStr">
        <is>
          <t>HR Workforce</t>
        </is>
      </c>
      <c r="B144" s="280">
        <f>IFERROR(ROUND(AVERAGEIFS('_ENGINE_Risk'!$L$500:$L$923,'_ENGINE_Risk'!$B$500:$B$923,"Yes",'_ENGINE_Risk'!$C$500:$C$923,$A35,'_ENGINE_Risk'!$F$500:$F$923,B$31),1),"")</f>
        <v/>
      </c>
      <c r="C144" s="280">
        <f>IFERROR(ROUND(AVERAGEIFS('_ENGINE_Risk'!$L$500:$L$923,'_ENGINE_Risk'!$B$500:$B$923,"Yes",'_ENGINE_Risk'!$C$500:$C$923,$A35,'_ENGINE_Risk'!$F$500:$F$923,C$31),1),"")</f>
        <v/>
      </c>
      <c r="D144" s="280">
        <f>IFERROR(ROUND(AVERAGEIFS('_ENGINE_Risk'!$L$500:$L$923,'_ENGINE_Risk'!$B$500:$B$923,"Yes",'_ENGINE_Risk'!$C$500:$C$923,$A35,'_ENGINE_Risk'!$F$500:$F$923,D$31),1),"")</f>
        <v/>
      </c>
      <c r="E144" s="280">
        <f>IFERROR(ROUND(AVERAGEIFS('_ENGINE_Risk'!$L$500:$L$923,'_ENGINE_Risk'!$B$500:$B$923,"Yes",'_ENGINE_Risk'!$C$500:$C$923,$A35,'_ENGINE_Risk'!$F$500:$F$923,E$31),1),"")</f>
        <v/>
      </c>
      <c r="F144" s="280">
        <f>IFERROR(ROUND(AVERAGEIFS('_ENGINE_Risk'!$L$500:$L$923,'_ENGINE_Risk'!$B$500:$B$923,"Yes",'_ENGINE_Risk'!$C$500:$C$923,$A35,'_ENGINE_Risk'!$F$500:$F$923,F$31),1),"")</f>
        <v/>
      </c>
      <c r="G144" s="280">
        <f>IFERROR(ROUND(AVERAGEIFS('_ENGINE_Risk'!$L$500:$L$923,'_ENGINE_Risk'!$B$500:$B$923,"Yes",'_ENGINE_Risk'!$C$500:$C$923,$A35,'_ENGINE_Risk'!$F$500:$F$923,G$31),1),"")</f>
        <v/>
      </c>
      <c r="H144" s="280">
        <f>IFERROR(ROUND(AVERAGEIFS('_ENGINE_Risk'!$L$500:$L$923,'_ENGINE_Risk'!$B$500:$B$923,"Yes",'_ENGINE_Risk'!$C$500:$C$923,$A35,'_ENGINE_Risk'!$F$500:$F$923,H$31),1),"")</f>
        <v/>
      </c>
      <c r="I144" s="280">
        <f>IFERROR(ROUND(AVERAGEIFS('_ENGINE_Risk'!$L$500:$L$923,'_ENGINE_Risk'!$B$500:$B$923,"Yes",'_ENGINE_Risk'!$C$500:$C$923,$A35,'_ENGINE_Risk'!$F$500:$F$923,I$31),1),"")</f>
        <v/>
      </c>
      <c r="J144" s="280">
        <f>IFERROR(ROUND(AVERAGEIFS('_ENGINE_Risk'!$L$500:$L$923,'_ENGINE_Risk'!$B$500:$B$923,"Yes",'_ENGINE_Risk'!$C$500:$C$923,$A35,'_ENGINE_Risk'!$F$500:$F$923,J$31),1),"")</f>
        <v/>
      </c>
      <c r="K144" s="280">
        <f>IFERROR(ROUND(AVERAGEIFS('_ENGINE_Risk'!$L$500:$L$923,'_ENGINE_Risk'!$B$500:$B$923,"Yes",'_ENGINE_Risk'!$C$500:$C$923,$A35,'_ENGINE_Risk'!$F$500:$F$923,K$31),1),"")</f>
        <v/>
      </c>
      <c r="L144" s="280">
        <f>IFERROR(ROUND(AVERAGEIFS('_ENGINE_Risk'!$L$500:$L$923,'_ENGINE_Risk'!$B$500:$B$923,"Yes",'_ENGINE_Risk'!$C$500:$C$923,$A35,'_ENGINE_Risk'!$F$500:$F$923,L$31),1),"")</f>
        <v/>
      </c>
      <c r="M144" s="280">
        <f>IFERROR(ROUND(AVERAGEIFS('_ENGINE_Risk'!$L$500:$L$923,'_ENGINE_Risk'!$B$500:$B$923,"Yes",'_ENGINE_Risk'!$C$500:$C$923,$A35,'_ENGINE_Risk'!$F$500:$F$923,M$31),1),"")</f>
        <v/>
      </c>
      <c r="N144" s="30" t="n"/>
      <c r="O144" s="30" t="n"/>
      <c r="P144" s="30" t="n"/>
      <c r="Q144" s="30" t="n"/>
      <c r="R144" s="30" t="n"/>
      <c r="S144" s="30" t="n"/>
      <c r="T144" s="30" t="n"/>
      <c r="U144" s="30" t="n"/>
      <c r="V144" s="30" t="n"/>
    </row>
    <row r="145" ht="15" customHeight="1" s="209">
      <c r="A145" s="51" t="inlineStr">
        <is>
          <t>Finance Procurement</t>
        </is>
      </c>
      <c r="B145" s="280">
        <f>IFERROR(ROUND(AVERAGEIFS('_ENGINE_Risk'!$L$500:$L$923,'_ENGINE_Risk'!$B$500:$B$923,"Yes",'_ENGINE_Risk'!$C$500:$C$923,$A36,'_ENGINE_Risk'!$F$500:$F$923,B$31),1),"")</f>
        <v/>
      </c>
      <c r="C145" s="280">
        <f>IFERROR(ROUND(AVERAGEIFS('_ENGINE_Risk'!$L$500:$L$923,'_ENGINE_Risk'!$B$500:$B$923,"Yes",'_ENGINE_Risk'!$C$500:$C$923,$A36,'_ENGINE_Risk'!$F$500:$F$923,C$31),1),"")</f>
        <v/>
      </c>
      <c r="D145" s="280">
        <f>IFERROR(ROUND(AVERAGEIFS('_ENGINE_Risk'!$L$500:$L$923,'_ENGINE_Risk'!$B$500:$B$923,"Yes",'_ENGINE_Risk'!$C$500:$C$923,$A36,'_ENGINE_Risk'!$F$500:$F$923,D$31),1),"")</f>
        <v/>
      </c>
      <c r="E145" s="280">
        <f>IFERROR(ROUND(AVERAGEIFS('_ENGINE_Risk'!$L$500:$L$923,'_ENGINE_Risk'!$B$500:$B$923,"Yes",'_ENGINE_Risk'!$C$500:$C$923,$A36,'_ENGINE_Risk'!$F$500:$F$923,E$31),1),"")</f>
        <v/>
      </c>
      <c r="F145" s="280">
        <f>IFERROR(ROUND(AVERAGEIFS('_ENGINE_Risk'!$L$500:$L$923,'_ENGINE_Risk'!$B$500:$B$923,"Yes",'_ENGINE_Risk'!$C$500:$C$923,$A36,'_ENGINE_Risk'!$F$500:$F$923,F$31),1),"")</f>
        <v/>
      </c>
      <c r="G145" s="280">
        <f>IFERROR(ROUND(AVERAGEIFS('_ENGINE_Risk'!$L$500:$L$923,'_ENGINE_Risk'!$B$500:$B$923,"Yes",'_ENGINE_Risk'!$C$500:$C$923,$A36,'_ENGINE_Risk'!$F$500:$F$923,G$31),1),"")</f>
        <v/>
      </c>
      <c r="H145" s="280">
        <f>IFERROR(ROUND(AVERAGEIFS('_ENGINE_Risk'!$L$500:$L$923,'_ENGINE_Risk'!$B$500:$B$923,"Yes",'_ENGINE_Risk'!$C$500:$C$923,$A36,'_ENGINE_Risk'!$F$500:$F$923,H$31),1),"")</f>
        <v/>
      </c>
      <c r="I145" s="280">
        <f>IFERROR(ROUND(AVERAGEIFS('_ENGINE_Risk'!$L$500:$L$923,'_ENGINE_Risk'!$B$500:$B$923,"Yes",'_ENGINE_Risk'!$C$500:$C$923,$A36,'_ENGINE_Risk'!$F$500:$F$923,I$31),1),"")</f>
        <v/>
      </c>
      <c r="J145" s="280">
        <f>IFERROR(ROUND(AVERAGEIFS('_ENGINE_Risk'!$L$500:$L$923,'_ENGINE_Risk'!$B$500:$B$923,"Yes",'_ENGINE_Risk'!$C$500:$C$923,$A36,'_ENGINE_Risk'!$F$500:$F$923,J$31),1),"")</f>
        <v/>
      </c>
      <c r="K145" s="280">
        <f>IFERROR(ROUND(AVERAGEIFS('_ENGINE_Risk'!$L$500:$L$923,'_ENGINE_Risk'!$B$500:$B$923,"Yes",'_ENGINE_Risk'!$C$500:$C$923,$A36,'_ENGINE_Risk'!$F$500:$F$923,K$31),1),"")</f>
        <v/>
      </c>
      <c r="L145" s="280">
        <f>IFERROR(ROUND(AVERAGEIFS('_ENGINE_Risk'!$L$500:$L$923,'_ENGINE_Risk'!$B$500:$B$923,"Yes",'_ENGINE_Risk'!$C$500:$C$923,$A36,'_ENGINE_Risk'!$F$500:$F$923,L$31),1),"")</f>
        <v/>
      </c>
      <c r="M145" s="280">
        <f>IFERROR(ROUND(AVERAGEIFS('_ENGINE_Risk'!$L$500:$L$923,'_ENGINE_Risk'!$B$500:$B$923,"Yes",'_ENGINE_Risk'!$C$500:$C$923,$A36,'_ENGINE_Risk'!$F$500:$F$923,M$31),1),"")</f>
        <v/>
      </c>
      <c r="N145" s="30" t="n"/>
      <c r="O145" s="30" t="n"/>
      <c r="P145" s="30" t="n"/>
      <c r="Q145" s="30" t="n"/>
      <c r="R145" s="30" t="n"/>
      <c r="S145" s="30" t="n"/>
      <c r="T145" s="30" t="n"/>
      <c r="U145" s="30" t="n"/>
      <c r="V145" s="30" t="n"/>
    </row>
    <row r="146" ht="15" customHeight="1" s="209">
      <c r="A146" s="51" t="inlineStr">
        <is>
          <t>Legal Risk</t>
        </is>
      </c>
      <c r="B146" s="280">
        <f>IFERROR(ROUND(AVERAGEIFS('_ENGINE_Risk'!$L$500:$L$923,'_ENGINE_Risk'!$B$500:$B$923,"Yes",'_ENGINE_Risk'!$C$500:$C$923,$A37,'_ENGINE_Risk'!$F$500:$F$923,B$31),1),"")</f>
        <v/>
      </c>
      <c r="C146" s="280">
        <f>IFERROR(ROUND(AVERAGEIFS('_ENGINE_Risk'!$L$500:$L$923,'_ENGINE_Risk'!$B$500:$B$923,"Yes",'_ENGINE_Risk'!$C$500:$C$923,$A37,'_ENGINE_Risk'!$F$500:$F$923,C$31),1),"")</f>
        <v/>
      </c>
      <c r="D146" s="280">
        <f>IFERROR(ROUND(AVERAGEIFS('_ENGINE_Risk'!$L$500:$L$923,'_ENGINE_Risk'!$B$500:$B$923,"Yes",'_ENGINE_Risk'!$C$500:$C$923,$A37,'_ENGINE_Risk'!$F$500:$F$923,D$31),1),"")</f>
        <v/>
      </c>
      <c r="E146" s="280">
        <f>IFERROR(ROUND(AVERAGEIFS('_ENGINE_Risk'!$L$500:$L$923,'_ENGINE_Risk'!$B$500:$B$923,"Yes",'_ENGINE_Risk'!$C$500:$C$923,$A37,'_ENGINE_Risk'!$F$500:$F$923,E$31),1),"")</f>
        <v/>
      </c>
      <c r="F146" s="280">
        <f>IFERROR(ROUND(AVERAGEIFS('_ENGINE_Risk'!$L$500:$L$923,'_ENGINE_Risk'!$B$500:$B$923,"Yes",'_ENGINE_Risk'!$C$500:$C$923,$A37,'_ENGINE_Risk'!$F$500:$F$923,F$31),1),"")</f>
        <v/>
      </c>
      <c r="G146" s="280">
        <f>IFERROR(ROUND(AVERAGEIFS('_ENGINE_Risk'!$L$500:$L$923,'_ENGINE_Risk'!$B$500:$B$923,"Yes",'_ENGINE_Risk'!$C$500:$C$923,$A37,'_ENGINE_Risk'!$F$500:$F$923,G$31),1),"")</f>
        <v/>
      </c>
      <c r="H146" s="280">
        <f>IFERROR(ROUND(AVERAGEIFS('_ENGINE_Risk'!$L$500:$L$923,'_ENGINE_Risk'!$B$500:$B$923,"Yes",'_ENGINE_Risk'!$C$500:$C$923,$A37,'_ENGINE_Risk'!$F$500:$F$923,H$31),1),"")</f>
        <v/>
      </c>
      <c r="I146" s="280">
        <f>IFERROR(ROUND(AVERAGEIFS('_ENGINE_Risk'!$L$500:$L$923,'_ENGINE_Risk'!$B$500:$B$923,"Yes",'_ENGINE_Risk'!$C$500:$C$923,$A37,'_ENGINE_Risk'!$F$500:$F$923,I$31),1),"")</f>
        <v/>
      </c>
      <c r="J146" s="280">
        <f>IFERROR(ROUND(AVERAGEIFS('_ENGINE_Risk'!$L$500:$L$923,'_ENGINE_Risk'!$B$500:$B$923,"Yes",'_ENGINE_Risk'!$C$500:$C$923,$A37,'_ENGINE_Risk'!$F$500:$F$923,J$31),1),"")</f>
        <v/>
      </c>
      <c r="K146" s="280">
        <f>IFERROR(ROUND(AVERAGEIFS('_ENGINE_Risk'!$L$500:$L$923,'_ENGINE_Risk'!$B$500:$B$923,"Yes",'_ENGINE_Risk'!$C$500:$C$923,$A37,'_ENGINE_Risk'!$F$500:$F$923,K$31),1),"")</f>
        <v/>
      </c>
      <c r="L146" s="280">
        <f>IFERROR(ROUND(AVERAGEIFS('_ENGINE_Risk'!$L$500:$L$923,'_ENGINE_Risk'!$B$500:$B$923,"Yes",'_ENGINE_Risk'!$C$500:$C$923,$A37,'_ENGINE_Risk'!$F$500:$F$923,L$31),1),"")</f>
        <v/>
      </c>
      <c r="M146" s="280">
        <f>IFERROR(ROUND(AVERAGEIFS('_ENGINE_Risk'!$L$500:$L$923,'_ENGINE_Risk'!$B$500:$B$923,"Yes",'_ENGINE_Risk'!$C$500:$C$923,$A37,'_ENGINE_Risk'!$F$500:$F$923,M$31),1),"")</f>
        <v/>
      </c>
      <c r="N146" s="30" t="n"/>
      <c r="O146" s="30" t="n"/>
      <c r="P146" s="30" t="n"/>
      <c r="Q146" s="30" t="n"/>
      <c r="R146" s="30" t="n"/>
      <c r="S146" s="30" t="n"/>
      <c r="T146" s="30" t="n"/>
      <c r="U146" s="30" t="n"/>
      <c r="V146" s="30" t="n"/>
    </row>
    <row r="147" ht="15" customHeight="1" s="209">
      <c r="A147" s="51" t="inlineStr">
        <is>
          <t>Physical Safety</t>
        </is>
      </c>
      <c r="B147" s="280">
        <f>IFERROR(ROUND(AVERAGEIFS('_ENGINE_Risk'!$L$500:$L$923,'_ENGINE_Risk'!$B$500:$B$923,"Yes",'_ENGINE_Risk'!$C$500:$C$923,$A38,'_ENGINE_Risk'!$F$500:$F$923,B$31),1),"")</f>
        <v/>
      </c>
      <c r="C147" s="280">
        <f>IFERROR(ROUND(AVERAGEIFS('_ENGINE_Risk'!$L$500:$L$923,'_ENGINE_Risk'!$B$500:$B$923,"Yes",'_ENGINE_Risk'!$C$500:$C$923,$A38,'_ENGINE_Risk'!$F$500:$F$923,C$31),1),"")</f>
        <v/>
      </c>
      <c r="D147" s="280">
        <f>IFERROR(ROUND(AVERAGEIFS('_ENGINE_Risk'!$L$500:$L$923,'_ENGINE_Risk'!$B$500:$B$923,"Yes",'_ENGINE_Risk'!$C$500:$C$923,$A38,'_ENGINE_Risk'!$F$500:$F$923,D$31),1),"")</f>
        <v/>
      </c>
      <c r="E147" s="280">
        <f>IFERROR(ROUND(AVERAGEIFS('_ENGINE_Risk'!$L$500:$L$923,'_ENGINE_Risk'!$B$500:$B$923,"Yes",'_ENGINE_Risk'!$C$500:$C$923,$A38,'_ENGINE_Risk'!$F$500:$F$923,E$31),1),"")</f>
        <v/>
      </c>
      <c r="F147" s="280">
        <f>IFERROR(ROUND(AVERAGEIFS('_ENGINE_Risk'!$L$500:$L$923,'_ENGINE_Risk'!$B$500:$B$923,"Yes",'_ENGINE_Risk'!$C$500:$C$923,$A38,'_ENGINE_Risk'!$F$500:$F$923,F$31),1),"")</f>
        <v/>
      </c>
      <c r="G147" s="280">
        <f>IFERROR(ROUND(AVERAGEIFS('_ENGINE_Risk'!$L$500:$L$923,'_ENGINE_Risk'!$B$500:$B$923,"Yes",'_ENGINE_Risk'!$C$500:$C$923,$A38,'_ENGINE_Risk'!$F$500:$F$923,G$31),1),"")</f>
        <v/>
      </c>
      <c r="H147" s="280">
        <f>IFERROR(ROUND(AVERAGEIFS('_ENGINE_Risk'!$L$500:$L$923,'_ENGINE_Risk'!$B$500:$B$923,"Yes",'_ENGINE_Risk'!$C$500:$C$923,$A38,'_ENGINE_Risk'!$F$500:$F$923,H$31),1),"")</f>
        <v/>
      </c>
      <c r="I147" s="280">
        <f>IFERROR(ROUND(AVERAGEIFS('_ENGINE_Risk'!$L$500:$L$923,'_ENGINE_Risk'!$B$500:$B$923,"Yes",'_ENGINE_Risk'!$C$500:$C$923,$A38,'_ENGINE_Risk'!$F$500:$F$923,I$31),1),"")</f>
        <v/>
      </c>
      <c r="J147" s="280">
        <f>IFERROR(ROUND(AVERAGEIFS('_ENGINE_Risk'!$L$500:$L$923,'_ENGINE_Risk'!$B$500:$B$923,"Yes",'_ENGINE_Risk'!$C$500:$C$923,$A38,'_ENGINE_Risk'!$F$500:$F$923,J$31),1),"")</f>
        <v/>
      </c>
      <c r="K147" s="280">
        <f>IFERROR(ROUND(AVERAGEIFS('_ENGINE_Risk'!$L$500:$L$923,'_ENGINE_Risk'!$B$500:$B$923,"Yes",'_ENGINE_Risk'!$C$500:$C$923,$A38,'_ENGINE_Risk'!$F$500:$F$923,K$31),1),"")</f>
        <v/>
      </c>
      <c r="L147" s="280">
        <f>IFERROR(ROUND(AVERAGEIFS('_ENGINE_Risk'!$L$500:$L$923,'_ENGINE_Risk'!$B$500:$B$923,"Yes",'_ENGINE_Risk'!$C$500:$C$923,$A38,'_ENGINE_Risk'!$F$500:$F$923,L$31),1),"")</f>
        <v/>
      </c>
      <c r="M147" s="280">
        <f>IFERROR(ROUND(AVERAGEIFS('_ENGINE_Risk'!$L$500:$L$923,'_ENGINE_Risk'!$B$500:$B$923,"Yes",'_ENGINE_Risk'!$C$500:$C$923,$A38,'_ENGINE_Risk'!$F$500:$F$923,M$31),1),"")</f>
        <v/>
      </c>
      <c r="N147" s="30" t="n"/>
      <c r="O147" s="30" t="n"/>
      <c r="P147" s="30" t="n"/>
      <c r="Q147" s="30" t="n"/>
      <c r="R147" s="30" t="n"/>
      <c r="S147" s="30" t="n"/>
      <c r="T147" s="30" t="n"/>
      <c r="U147" s="30" t="n"/>
      <c r="V147" s="30" t="n"/>
    </row>
    <row r="148" ht="15" customHeight="1" s="209">
      <c r="A148" s="51" t="inlineStr">
        <is>
          <t>Delivery Ops</t>
        </is>
      </c>
      <c r="B148" s="280">
        <f>IFERROR(ROUND(AVERAGEIFS('_ENGINE_Risk'!$L$500:$L$923,'_ENGINE_Risk'!$B$500:$B$923,"Yes",'_ENGINE_Risk'!$C$500:$C$923,$A39,'_ENGINE_Risk'!$F$500:$F$923,B$31),1),"")</f>
        <v/>
      </c>
      <c r="C148" s="280">
        <f>IFERROR(ROUND(AVERAGEIFS('_ENGINE_Risk'!$L$500:$L$923,'_ENGINE_Risk'!$B$500:$B$923,"Yes",'_ENGINE_Risk'!$C$500:$C$923,$A39,'_ENGINE_Risk'!$F$500:$F$923,C$31),1),"")</f>
        <v/>
      </c>
      <c r="D148" s="280">
        <f>IFERROR(ROUND(AVERAGEIFS('_ENGINE_Risk'!$L$500:$L$923,'_ENGINE_Risk'!$B$500:$B$923,"Yes",'_ENGINE_Risk'!$C$500:$C$923,$A39,'_ENGINE_Risk'!$F$500:$F$923,D$31),1),"")</f>
        <v/>
      </c>
      <c r="E148" s="280">
        <f>IFERROR(ROUND(AVERAGEIFS('_ENGINE_Risk'!$L$500:$L$923,'_ENGINE_Risk'!$B$500:$B$923,"Yes",'_ENGINE_Risk'!$C$500:$C$923,$A39,'_ENGINE_Risk'!$F$500:$F$923,E$31),1),"")</f>
        <v/>
      </c>
      <c r="F148" s="280">
        <f>IFERROR(ROUND(AVERAGEIFS('_ENGINE_Risk'!$L$500:$L$923,'_ENGINE_Risk'!$B$500:$B$923,"Yes",'_ENGINE_Risk'!$C$500:$C$923,$A39,'_ENGINE_Risk'!$F$500:$F$923,F$31),1),"")</f>
        <v/>
      </c>
      <c r="G148" s="280">
        <f>IFERROR(ROUND(AVERAGEIFS('_ENGINE_Risk'!$L$500:$L$923,'_ENGINE_Risk'!$B$500:$B$923,"Yes",'_ENGINE_Risk'!$C$500:$C$923,$A39,'_ENGINE_Risk'!$F$500:$F$923,G$31),1),"")</f>
        <v/>
      </c>
      <c r="H148" s="280">
        <f>IFERROR(ROUND(AVERAGEIFS('_ENGINE_Risk'!$L$500:$L$923,'_ENGINE_Risk'!$B$500:$B$923,"Yes",'_ENGINE_Risk'!$C$500:$C$923,$A39,'_ENGINE_Risk'!$F$500:$F$923,H$31),1),"")</f>
        <v/>
      </c>
      <c r="I148" s="280">
        <f>IFERROR(ROUND(AVERAGEIFS('_ENGINE_Risk'!$L$500:$L$923,'_ENGINE_Risk'!$B$500:$B$923,"Yes",'_ENGINE_Risk'!$C$500:$C$923,$A39,'_ENGINE_Risk'!$F$500:$F$923,I$31),1),"")</f>
        <v/>
      </c>
      <c r="J148" s="280">
        <f>IFERROR(ROUND(AVERAGEIFS('_ENGINE_Risk'!$L$500:$L$923,'_ENGINE_Risk'!$B$500:$B$923,"Yes",'_ENGINE_Risk'!$C$500:$C$923,$A39,'_ENGINE_Risk'!$F$500:$F$923,J$31),1),"")</f>
        <v/>
      </c>
      <c r="K148" s="280">
        <f>IFERROR(ROUND(AVERAGEIFS('_ENGINE_Risk'!$L$500:$L$923,'_ENGINE_Risk'!$B$500:$B$923,"Yes",'_ENGINE_Risk'!$C$500:$C$923,$A39,'_ENGINE_Risk'!$F$500:$F$923,K$31),1),"")</f>
        <v/>
      </c>
      <c r="L148" s="280">
        <f>IFERROR(ROUND(AVERAGEIFS('_ENGINE_Risk'!$L$500:$L$923,'_ENGINE_Risk'!$B$500:$B$923,"Yes",'_ENGINE_Risk'!$C$500:$C$923,$A39,'_ENGINE_Risk'!$F$500:$F$923,L$31),1),"")</f>
        <v/>
      </c>
      <c r="M148" s="280">
        <f>IFERROR(ROUND(AVERAGEIFS('_ENGINE_Risk'!$L$500:$L$923,'_ENGINE_Risk'!$B$500:$B$923,"Yes",'_ENGINE_Risk'!$C$500:$C$923,$A39,'_ENGINE_Risk'!$F$500:$F$923,M$31),1),"")</f>
        <v/>
      </c>
      <c r="N148" s="30" t="n"/>
      <c r="O148" s="30" t="n"/>
      <c r="P148" s="30" t="n"/>
      <c r="Q148" s="30" t="n"/>
      <c r="R148" s="30" t="n"/>
      <c r="S148" s="30" t="n"/>
      <c r="T148" s="30" t="n"/>
      <c r="U148" s="30" t="n"/>
      <c r="V148" s="30" t="n"/>
    </row>
    <row r="149" ht="15" customHeight="1" s="209">
      <c r="A149" s="51" t="inlineStr">
        <is>
          <t>Supply Chain</t>
        </is>
      </c>
      <c r="B149" s="280">
        <f>IFERROR(ROUND(AVERAGEIFS('_ENGINE_Risk'!$L$500:$L$923,'_ENGINE_Risk'!$B$500:$B$923,"Yes",'_ENGINE_Risk'!$C$500:$C$923,$A40,'_ENGINE_Risk'!$F$500:$F$923,B$31),1),"")</f>
        <v/>
      </c>
      <c r="C149" s="280">
        <f>IFERROR(ROUND(AVERAGEIFS('_ENGINE_Risk'!$L$500:$L$923,'_ENGINE_Risk'!$B$500:$B$923,"Yes",'_ENGINE_Risk'!$C$500:$C$923,$A40,'_ENGINE_Risk'!$F$500:$F$923,C$31),1),"")</f>
        <v/>
      </c>
      <c r="D149" s="280">
        <f>IFERROR(ROUND(AVERAGEIFS('_ENGINE_Risk'!$L$500:$L$923,'_ENGINE_Risk'!$B$500:$B$923,"Yes",'_ENGINE_Risk'!$C$500:$C$923,$A40,'_ENGINE_Risk'!$F$500:$F$923,D$31),1),"")</f>
        <v/>
      </c>
      <c r="E149" s="280">
        <f>IFERROR(ROUND(AVERAGEIFS('_ENGINE_Risk'!$L$500:$L$923,'_ENGINE_Risk'!$B$500:$B$923,"Yes",'_ENGINE_Risk'!$C$500:$C$923,$A40,'_ENGINE_Risk'!$F$500:$F$923,E$31),1),"")</f>
        <v/>
      </c>
      <c r="F149" s="280">
        <f>IFERROR(ROUND(AVERAGEIFS('_ENGINE_Risk'!$L$500:$L$923,'_ENGINE_Risk'!$B$500:$B$923,"Yes",'_ENGINE_Risk'!$C$500:$C$923,$A40,'_ENGINE_Risk'!$F$500:$F$923,F$31),1),"")</f>
        <v/>
      </c>
      <c r="G149" s="280">
        <f>IFERROR(ROUND(AVERAGEIFS('_ENGINE_Risk'!$L$500:$L$923,'_ENGINE_Risk'!$B$500:$B$923,"Yes",'_ENGINE_Risk'!$C$500:$C$923,$A40,'_ENGINE_Risk'!$F$500:$F$923,G$31),1),"")</f>
        <v/>
      </c>
      <c r="H149" s="280">
        <f>IFERROR(ROUND(AVERAGEIFS('_ENGINE_Risk'!$L$500:$L$923,'_ENGINE_Risk'!$B$500:$B$923,"Yes",'_ENGINE_Risk'!$C$500:$C$923,$A40,'_ENGINE_Risk'!$F$500:$F$923,H$31),1),"")</f>
        <v/>
      </c>
      <c r="I149" s="280">
        <f>IFERROR(ROUND(AVERAGEIFS('_ENGINE_Risk'!$L$500:$L$923,'_ENGINE_Risk'!$B$500:$B$923,"Yes",'_ENGINE_Risk'!$C$500:$C$923,$A40,'_ENGINE_Risk'!$F$500:$F$923,I$31),1),"")</f>
        <v/>
      </c>
      <c r="J149" s="280">
        <f>IFERROR(ROUND(AVERAGEIFS('_ENGINE_Risk'!$L$500:$L$923,'_ENGINE_Risk'!$B$500:$B$923,"Yes",'_ENGINE_Risk'!$C$500:$C$923,$A40,'_ENGINE_Risk'!$F$500:$F$923,J$31),1),"")</f>
        <v/>
      </c>
      <c r="K149" s="280">
        <f>IFERROR(ROUND(AVERAGEIFS('_ENGINE_Risk'!$L$500:$L$923,'_ENGINE_Risk'!$B$500:$B$923,"Yes",'_ENGINE_Risk'!$C$500:$C$923,$A40,'_ENGINE_Risk'!$F$500:$F$923,K$31),1),"")</f>
        <v/>
      </c>
      <c r="L149" s="280">
        <f>IFERROR(ROUND(AVERAGEIFS('_ENGINE_Risk'!$L$500:$L$923,'_ENGINE_Risk'!$B$500:$B$923,"Yes",'_ENGINE_Risk'!$C$500:$C$923,$A40,'_ENGINE_Risk'!$F$500:$F$923,L$31),1),"")</f>
        <v/>
      </c>
      <c r="M149" s="280">
        <f>IFERROR(ROUND(AVERAGEIFS('_ENGINE_Risk'!$L$500:$L$923,'_ENGINE_Risk'!$B$500:$B$923,"Yes",'_ENGINE_Risk'!$C$500:$C$923,$A40,'_ENGINE_Risk'!$F$500:$F$923,M$31),1),"")</f>
        <v/>
      </c>
      <c r="N149" s="30" t="n"/>
      <c r="O149" s="30" t="n"/>
      <c r="P149" s="30" t="n"/>
      <c r="Q149" s="30" t="n"/>
      <c r="R149" s="30" t="n"/>
      <c r="S149" s="30" t="n"/>
      <c r="T149" s="30" t="n"/>
      <c r="U149" s="30" t="n"/>
      <c r="V149" s="30" t="n"/>
    </row>
    <row r="150" ht="15" customHeight="1" s="209">
      <c r="A150" s="51" t="inlineStr">
        <is>
          <t>Manufacturing MES</t>
        </is>
      </c>
      <c r="B150" s="280">
        <f>IFERROR(ROUND(AVERAGEIFS('_ENGINE_Risk'!$L$500:$L$923,'_ENGINE_Risk'!$B$500:$B$923,"Yes",'_ENGINE_Risk'!$C$500:$C$923,$A41,'_ENGINE_Risk'!$F$500:$F$923,B$31),1),"")</f>
        <v/>
      </c>
      <c r="C150" s="280">
        <f>IFERROR(ROUND(AVERAGEIFS('_ENGINE_Risk'!$L$500:$L$923,'_ENGINE_Risk'!$B$500:$B$923,"Yes",'_ENGINE_Risk'!$C$500:$C$923,$A41,'_ENGINE_Risk'!$F$500:$F$923,C$31),1),"")</f>
        <v/>
      </c>
      <c r="D150" s="280">
        <f>IFERROR(ROUND(AVERAGEIFS('_ENGINE_Risk'!$L$500:$L$923,'_ENGINE_Risk'!$B$500:$B$923,"Yes",'_ENGINE_Risk'!$C$500:$C$923,$A41,'_ENGINE_Risk'!$F$500:$F$923,D$31),1),"")</f>
        <v/>
      </c>
      <c r="E150" s="280">
        <f>IFERROR(ROUND(AVERAGEIFS('_ENGINE_Risk'!$L$500:$L$923,'_ENGINE_Risk'!$B$500:$B$923,"Yes",'_ENGINE_Risk'!$C$500:$C$923,$A41,'_ENGINE_Risk'!$F$500:$F$923,E$31),1),"")</f>
        <v/>
      </c>
      <c r="F150" s="280">
        <f>IFERROR(ROUND(AVERAGEIFS('_ENGINE_Risk'!$L$500:$L$923,'_ENGINE_Risk'!$B$500:$B$923,"Yes",'_ENGINE_Risk'!$C$500:$C$923,$A41,'_ENGINE_Risk'!$F$500:$F$923,F$31),1),"")</f>
        <v/>
      </c>
      <c r="G150" s="280">
        <f>IFERROR(ROUND(AVERAGEIFS('_ENGINE_Risk'!$L$500:$L$923,'_ENGINE_Risk'!$B$500:$B$923,"Yes",'_ENGINE_Risk'!$C$500:$C$923,$A41,'_ENGINE_Risk'!$F$500:$F$923,G$31),1),"")</f>
        <v/>
      </c>
      <c r="H150" s="280">
        <f>IFERROR(ROUND(AVERAGEIFS('_ENGINE_Risk'!$L$500:$L$923,'_ENGINE_Risk'!$B$500:$B$923,"Yes",'_ENGINE_Risk'!$C$500:$C$923,$A41,'_ENGINE_Risk'!$F$500:$F$923,H$31),1),"")</f>
        <v/>
      </c>
      <c r="I150" s="280">
        <f>IFERROR(ROUND(AVERAGEIFS('_ENGINE_Risk'!$L$500:$L$923,'_ENGINE_Risk'!$B$500:$B$923,"Yes",'_ENGINE_Risk'!$C$500:$C$923,$A41,'_ENGINE_Risk'!$F$500:$F$923,I$31),1),"")</f>
        <v/>
      </c>
      <c r="J150" s="280">
        <f>IFERROR(ROUND(AVERAGEIFS('_ENGINE_Risk'!$L$500:$L$923,'_ENGINE_Risk'!$B$500:$B$923,"Yes",'_ENGINE_Risk'!$C$500:$C$923,$A41,'_ENGINE_Risk'!$F$500:$F$923,J$31),1),"")</f>
        <v/>
      </c>
      <c r="K150" s="280">
        <f>IFERROR(ROUND(AVERAGEIFS('_ENGINE_Risk'!$L$500:$L$923,'_ENGINE_Risk'!$B$500:$B$923,"Yes",'_ENGINE_Risk'!$C$500:$C$923,$A41,'_ENGINE_Risk'!$F$500:$F$923,K$31),1),"")</f>
        <v/>
      </c>
      <c r="L150" s="280">
        <f>IFERROR(ROUND(AVERAGEIFS('_ENGINE_Risk'!$L$500:$L$923,'_ENGINE_Risk'!$B$500:$B$923,"Yes",'_ENGINE_Risk'!$C$500:$C$923,$A41,'_ENGINE_Risk'!$F$500:$F$923,L$31),1),"")</f>
        <v/>
      </c>
      <c r="M150" s="280">
        <f>IFERROR(ROUND(AVERAGEIFS('_ENGINE_Risk'!$L$500:$L$923,'_ENGINE_Risk'!$B$500:$B$923,"Yes",'_ENGINE_Risk'!$C$500:$C$923,$A41,'_ENGINE_Risk'!$F$500:$F$923,M$31),1),"")</f>
        <v/>
      </c>
      <c r="N150" s="30" t="n"/>
      <c r="O150" s="30" t="n"/>
      <c r="P150" s="30" t="n"/>
      <c r="Q150" s="30" t="n"/>
      <c r="R150" s="30" t="n"/>
      <c r="S150" s="30" t="n"/>
      <c r="T150" s="30" t="n"/>
      <c r="U150" s="30" t="n"/>
      <c r="V150" s="30" t="n"/>
    </row>
    <row r="151" ht="15" customHeight="1" s="209">
      <c r="A151" s="51" t="inlineStr">
        <is>
          <t>Sales CRM</t>
        </is>
      </c>
      <c r="B151" s="280">
        <f>IFERROR(ROUND(AVERAGEIFS('_ENGINE_Risk'!$L$500:$L$923,'_ENGINE_Risk'!$B$500:$B$923,"Yes",'_ENGINE_Risk'!$C$500:$C$923,$A42,'_ENGINE_Risk'!$F$500:$F$923,B$31),1),"")</f>
        <v/>
      </c>
      <c r="C151" s="280">
        <f>IFERROR(ROUND(AVERAGEIFS('_ENGINE_Risk'!$L$500:$L$923,'_ENGINE_Risk'!$B$500:$B$923,"Yes",'_ENGINE_Risk'!$C$500:$C$923,$A42,'_ENGINE_Risk'!$F$500:$F$923,C$31),1),"")</f>
        <v/>
      </c>
      <c r="D151" s="280">
        <f>IFERROR(ROUND(AVERAGEIFS('_ENGINE_Risk'!$L$500:$L$923,'_ENGINE_Risk'!$B$500:$B$923,"Yes",'_ENGINE_Risk'!$C$500:$C$923,$A42,'_ENGINE_Risk'!$F$500:$F$923,D$31),1),"")</f>
        <v/>
      </c>
      <c r="E151" s="280">
        <f>IFERROR(ROUND(AVERAGEIFS('_ENGINE_Risk'!$L$500:$L$923,'_ENGINE_Risk'!$B$500:$B$923,"Yes",'_ENGINE_Risk'!$C$500:$C$923,$A42,'_ENGINE_Risk'!$F$500:$F$923,E$31),1),"")</f>
        <v/>
      </c>
      <c r="F151" s="280">
        <f>IFERROR(ROUND(AVERAGEIFS('_ENGINE_Risk'!$L$500:$L$923,'_ENGINE_Risk'!$B$500:$B$923,"Yes",'_ENGINE_Risk'!$C$500:$C$923,$A42,'_ENGINE_Risk'!$F$500:$F$923,F$31),1),"")</f>
        <v/>
      </c>
      <c r="G151" s="280">
        <f>IFERROR(ROUND(AVERAGEIFS('_ENGINE_Risk'!$L$500:$L$923,'_ENGINE_Risk'!$B$500:$B$923,"Yes",'_ENGINE_Risk'!$C$500:$C$923,$A42,'_ENGINE_Risk'!$F$500:$F$923,G$31),1),"")</f>
        <v/>
      </c>
      <c r="H151" s="280">
        <f>IFERROR(ROUND(AVERAGEIFS('_ENGINE_Risk'!$L$500:$L$923,'_ENGINE_Risk'!$B$500:$B$923,"Yes",'_ENGINE_Risk'!$C$500:$C$923,$A42,'_ENGINE_Risk'!$F$500:$F$923,H$31),1),"")</f>
        <v/>
      </c>
      <c r="I151" s="280">
        <f>IFERROR(ROUND(AVERAGEIFS('_ENGINE_Risk'!$L$500:$L$923,'_ENGINE_Risk'!$B$500:$B$923,"Yes",'_ENGINE_Risk'!$C$500:$C$923,$A42,'_ENGINE_Risk'!$F$500:$F$923,I$31),1),"")</f>
        <v/>
      </c>
      <c r="J151" s="280">
        <f>IFERROR(ROUND(AVERAGEIFS('_ENGINE_Risk'!$L$500:$L$923,'_ENGINE_Risk'!$B$500:$B$923,"Yes",'_ENGINE_Risk'!$C$500:$C$923,$A42,'_ENGINE_Risk'!$F$500:$F$923,J$31),1),"")</f>
        <v/>
      </c>
      <c r="K151" s="280">
        <f>IFERROR(ROUND(AVERAGEIFS('_ENGINE_Risk'!$L$500:$L$923,'_ENGINE_Risk'!$B$500:$B$923,"Yes",'_ENGINE_Risk'!$C$500:$C$923,$A42,'_ENGINE_Risk'!$F$500:$F$923,K$31),1),"")</f>
        <v/>
      </c>
      <c r="L151" s="280">
        <f>IFERROR(ROUND(AVERAGEIFS('_ENGINE_Risk'!$L$500:$L$923,'_ENGINE_Risk'!$B$500:$B$923,"Yes",'_ENGINE_Risk'!$C$500:$C$923,$A42,'_ENGINE_Risk'!$F$500:$F$923,L$31),1),"")</f>
        <v/>
      </c>
      <c r="M151" s="280">
        <f>IFERROR(ROUND(AVERAGEIFS('_ENGINE_Risk'!$L$500:$L$923,'_ENGINE_Risk'!$B$500:$B$923,"Yes",'_ENGINE_Risk'!$C$500:$C$923,$A42,'_ENGINE_Risk'!$F$500:$F$923,M$31),1),"")</f>
        <v/>
      </c>
      <c r="N151" s="30" t="n"/>
      <c r="O151" s="30" t="n"/>
      <c r="P151" s="30" t="n"/>
      <c r="Q151" s="30" t="n"/>
      <c r="R151" s="30" t="n"/>
      <c r="S151" s="30" t="n"/>
      <c r="T151" s="30" t="n"/>
      <c r="U151" s="30" t="n"/>
      <c r="V151" s="30" t="n"/>
    </row>
    <row r="152" ht="15" customHeight="1" s="209">
      <c r="A152" s="51" t="inlineStr">
        <is>
          <t>Marketing Comms</t>
        </is>
      </c>
      <c r="B152" s="280">
        <f>IFERROR(ROUND(AVERAGEIFS('_ENGINE_Risk'!$L$500:$L$923,'_ENGINE_Risk'!$B$500:$B$923,"Yes",'_ENGINE_Risk'!$C$500:$C$923,$A43,'_ENGINE_Risk'!$F$500:$F$923,B$31),1),"")</f>
        <v/>
      </c>
      <c r="C152" s="280">
        <f>IFERROR(ROUND(AVERAGEIFS('_ENGINE_Risk'!$L$500:$L$923,'_ENGINE_Risk'!$B$500:$B$923,"Yes",'_ENGINE_Risk'!$C$500:$C$923,$A43,'_ENGINE_Risk'!$F$500:$F$923,C$31),1),"")</f>
        <v/>
      </c>
      <c r="D152" s="280">
        <f>IFERROR(ROUND(AVERAGEIFS('_ENGINE_Risk'!$L$500:$L$923,'_ENGINE_Risk'!$B$500:$B$923,"Yes",'_ENGINE_Risk'!$C$500:$C$923,$A43,'_ENGINE_Risk'!$F$500:$F$923,D$31),1),"")</f>
        <v/>
      </c>
      <c r="E152" s="280">
        <f>IFERROR(ROUND(AVERAGEIFS('_ENGINE_Risk'!$L$500:$L$923,'_ENGINE_Risk'!$B$500:$B$923,"Yes",'_ENGINE_Risk'!$C$500:$C$923,$A43,'_ENGINE_Risk'!$F$500:$F$923,E$31),1),"")</f>
        <v/>
      </c>
      <c r="F152" s="280">
        <f>IFERROR(ROUND(AVERAGEIFS('_ENGINE_Risk'!$L$500:$L$923,'_ENGINE_Risk'!$B$500:$B$923,"Yes",'_ENGINE_Risk'!$C$500:$C$923,$A43,'_ENGINE_Risk'!$F$500:$F$923,F$31),1),"")</f>
        <v/>
      </c>
      <c r="G152" s="280">
        <f>IFERROR(ROUND(AVERAGEIFS('_ENGINE_Risk'!$L$500:$L$923,'_ENGINE_Risk'!$B$500:$B$923,"Yes",'_ENGINE_Risk'!$C$500:$C$923,$A43,'_ENGINE_Risk'!$F$500:$F$923,G$31),1),"")</f>
        <v/>
      </c>
      <c r="H152" s="280">
        <f>IFERROR(ROUND(AVERAGEIFS('_ENGINE_Risk'!$L$500:$L$923,'_ENGINE_Risk'!$B$500:$B$923,"Yes",'_ENGINE_Risk'!$C$500:$C$923,$A43,'_ENGINE_Risk'!$F$500:$F$923,H$31),1),"")</f>
        <v/>
      </c>
      <c r="I152" s="280">
        <f>IFERROR(ROUND(AVERAGEIFS('_ENGINE_Risk'!$L$500:$L$923,'_ENGINE_Risk'!$B$500:$B$923,"Yes",'_ENGINE_Risk'!$C$500:$C$923,$A43,'_ENGINE_Risk'!$F$500:$F$923,I$31),1),"")</f>
        <v/>
      </c>
      <c r="J152" s="280">
        <f>IFERROR(ROUND(AVERAGEIFS('_ENGINE_Risk'!$L$500:$L$923,'_ENGINE_Risk'!$B$500:$B$923,"Yes",'_ENGINE_Risk'!$C$500:$C$923,$A43,'_ENGINE_Risk'!$F$500:$F$923,J$31),1),"")</f>
        <v/>
      </c>
      <c r="K152" s="280">
        <f>IFERROR(ROUND(AVERAGEIFS('_ENGINE_Risk'!$L$500:$L$923,'_ENGINE_Risk'!$B$500:$B$923,"Yes",'_ENGINE_Risk'!$C$500:$C$923,$A43,'_ENGINE_Risk'!$F$500:$F$923,K$31),1),"")</f>
        <v/>
      </c>
      <c r="L152" s="280">
        <f>IFERROR(ROUND(AVERAGEIFS('_ENGINE_Risk'!$L$500:$L$923,'_ENGINE_Risk'!$B$500:$B$923,"Yes",'_ENGINE_Risk'!$C$500:$C$923,$A43,'_ENGINE_Risk'!$F$500:$F$923,L$31),1),"")</f>
        <v/>
      </c>
      <c r="M152" s="280">
        <f>IFERROR(ROUND(AVERAGEIFS('_ENGINE_Risk'!$L$500:$L$923,'_ENGINE_Risk'!$B$500:$B$923,"Yes",'_ENGINE_Risk'!$C$500:$C$923,$A43,'_ENGINE_Risk'!$F$500:$F$923,M$31),1),"")</f>
        <v/>
      </c>
      <c r="N152" s="30" t="n"/>
      <c r="O152" s="30" t="n"/>
      <c r="P152" s="30" t="n"/>
      <c r="Q152" s="30" t="n"/>
      <c r="R152" s="30" t="n"/>
      <c r="S152" s="30" t="n"/>
      <c r="T152" s="30" t="n"/>
      <c r="U152" s="30" t="n"/>
      <c r="V152" s="30" t="n"/>
    </row>
    <row r="153" ht="15" customHeight="1" s="209">
      <c r="A153" s="51" t="inlineStr">
        <is>
          <t>IT Cloud DR</t>
        </is>
      </c>
      <c r="B153" s="280">
        <f>IFERROR(ROUND(AVERAGEIFS('_ENGINE_Risk'!$L$500:$L$923,'_ENGINE_Risk'!$B$500:$B$923,"Yes",'_ENGINE_Risk'!$C$500:$C$923,$A44,'_ENGINE_Risk'!$F$500:$F$923,B$31),1),"")</f>
        <v/>
      </c>
      <c r="C153" s="280">
        <f>IFERROR(ROUND(AVERAGEIFS('_ENGINE_Risk'!$L$500:$L$923,'_ENGINE_Risk'!$B$500:$B$923,"Yes",'_ENGINE_Risk'!$C$500:$C$923,$A44,'_ENGINE_Risk'!$F$500:$F$923,C$31),1),"")</f>
        <v/>
      </c>
      <c r="D153" s="280">
        <f>IFERROR(ROUND(AVERAGEIFS('_ENGINE_Risk'!$L$500:$L$923,'_ENGINE_Risk'!$B$500:$B$923,"Yes",'_ENGINE_Risk'!$C$500:$C$923,$A44,'_ENGINE_Risk'!$F$500:$F$923,D$31),1),"")</f>
        <v/>
      </c>
      <c r="E153" s="280">
        <f>IFERROR(ROUND(AVERAGEIFS('_ENGINE_Risk'!$L$500:$L$923,'_ENGINE_Risk'!$B$500:$B$923,"Yes",'_ENGINE_Risk'!$C$500:$C$923,$A44,'_ENGINE_Risk'!$F$500:$F$923,E$31),1),"")</f>
        <v/>
      </c>
      <c r="F153" s="280">
        <f>IFERROR(ROUND(AVERAGEIFS('_ENGINE_Risk'!$L$500:$L$923,'_ENGINE_Risk'!$B$500:$B$923,"Yes",'_ENGINE_Risk'!$C$500:$C$923,$A44,'_ENGINE_Risk'!$F$500:$F$923,F$31),1),"")</f>
        <v/>
      </c>
      <c r="G153" s="280">
        <f>IFERROR(ROUND(AVERAGEIFS('_ENGINE_Risk'!$L$500:$L$923,'_ENGINE_Risk'!$B$500:$B$923,"Yes",'_ENGINE_Risk'!$C$500:$C$923,$A44,'_ENGINE_Risk'!$F$500:$F$923,G$31),1),"")</f>
        <v/>
      </c>
      <c r="H153" s="280">
        <f>IFERROR(ROUND(AVERAGEIFS('_ENGINE_Risk'!$L$500:$L$923,'_ENGINE_Risk'!$B$500:$B$923,"Yes",'_ENGINE_Risk'!$C$500:$C$923,$A44,'_ENGINE_Risk'!$F$500:$F$923,H$31),1),"")</f>
        <v/>
      </c>
      <c r="I153" s="280">
        <f>IFERROR(ROUND(AVERAGEIFS('_ENGINE_Risk'!$L$500:$L$923,'_ENGINE_Risk'!$B$500:$B$923,"Yes",'_ENGINE_Risk'!$C$500:$C$923,$A44,'_ENGINE_Risk'!$F$500:$F$923,I$31),1),"")</f>
        <v/>
      </c>
      <c r="J153" s="280">
        <f>IFERROR(ROUND(AVERAGEIFS('_ENGINE_Risk'!$L$500:$L$923,'_ENGINE_Risk'!$B$500:$B$923,"Yes",'_ENGINE_Risk'!$C$500:$C$923,$A44,'_ENGINE_Risk'!$F$500:$F$923,J$31),1),"")</f>
        <v/>
      </c>
      <c r="K153" s="280">
        <f>IFERROR(ROUND(AVERAGEIFS('_ENGINE_Risk'!$L$500:$L$923,'_ENGINE_Risk'!$B$500:$B$923,"Yes",'_ENGINE_Risk'!$C$500:$C$923,$A44,'_ENGINE_Risk'!$F$500:$F$923,K$31),1),"")</f>
        <v/>
      </c>
      <c r="L153" s="280">
        <f>IFERROR(ROUND(AVERAGEIFS('_ENGINE_Risk'!$L$500:$L$923,'_ENGINE_Risk'!$B$500:$B$923,"Yes",'_ENGINE_Risk'!$C$500:$C$923,$A44,'_ENGINE_Risk'!$F$500:$F$923,L$31),1),"")</f>
        <v/>
      </c>
      <c r="M153" s="280">
        <f>IFERROR(ROUND(AVERAGEIFS('_ENGINE_Risk'!$L$500:$L$923,'_ENGINE_Risk'!$B$500:$B$923,"Yes",'_ENGINE_Risk'!$C$500:$C$923,$A44,'_ENGINE_Risk'!$F$500:$F$923,M$31),1),"")</f>
        <v/>
      </c>
      <c r="N153" s="30" t="n"/>
      <c r="O153" s="30" t="n"/>
      <c r="P153" s="30" t="n"/>
      <c r="Q153" s="30" t="n"/>
      <c r="R153" s="30" t="n"/>
      <c r="S153" s="30" t="n"/>
      <c r="T153" s="30" t="n"/>
      <c r="U153" s="30" t="n"/>
      <c r="V153" s="30" t="n"/>
    </row>
    <row r="154" ht="15" customHeight="1" s="209">
      <c r="A154" s="51" t="inlineStr">
        <is>
          <t>Business Systems</t>
        </is>
      </c>
      <c r="B154" s="280">
        <f>IFERROR(ROUND(AVERAGEIFS('_ENGINE_Risk'!$L$500:$L$923,'_ENGINE_Risk'!$B$500:$B$923,"Yes",'_ENGINE_Risk'!$C$500:$C$923,$A45,'_ENGINE_Risk'!$F$500:$F$923,B$31),1),"")</f>
        <v/>
      </c>
      <c r="C154" s="280">
        <f>IFERROR(ROUND(AVERAGEIFS('_ENGINE_Risk'!$L$500:$L$923,'_ENGINE_Risk'!$B$500:$B$923,"Yes",'_ENGINE_Risk'!$C$500:$C$923,$A45,'_ENGINE_Risk'!$F$500:$F$923,C$31),1),"")</f>
        <v/>
      </c>
      <c r="D154" s="280">
        <f>IFERROR(ROUND(AVERAGEIFS('_ENGINE_Risk'!$L$500:$L$923,'_ENGINE_Risk'!$B$500:$B$923,"Yes",'_ENGINE_Risk'!$C$500:$C$923,$A45,'_ENGINE_Risk'!$F$500:$F$923,D$31),1),"")</f>
        <v/>
      </c>
      <c r="E154" s="280">
        <f>IFERROR(ROUND(AVERAGEIFS('_ENGINE_Risk'!$L$500:$L$923,'_ENGINE_Risk'!$B$500:$B$923,"Yes",'_ENGINE_Risk'!$C$500:$C$923,$A45,'_ENGINE_Risk'!$F$500:$F$923,E$31),1),"")</f>
        <v/>
      </c>
      <c r="F154" s="280">
        <f>IFERROR(ROUND(AVERAGEIFS('_ENGINE_Risk'!$L$500:$L$923,'_ENGINE_Risk'!$B$500:$B$923,"Yes",'_ENGINE_Risk'!$C$500:$C$923,$A45,'_ENGINE_Risk'!$F$500:$F$923,F$31),1),"")</f>
        <v/>
      </c>
      <c r="G154" s="280">
        <f>IFERROR(ROUND(AVERAGEIFS('_ENGINE_Risk'!$L$500:$L$923,'_ENGINE_Risk'!$B$500:$B$923,"Yes",'_ENGINE_Risk'!$C$500:$C$923,$A45,'_ENGINE_Risk'!$F$500:$F$923,G$31),1),"")</f>
        <v/>
      </c>
      <c r="H154" s="280">
        <f>IFERROR(ROUND(AVERAGEIFS('_ENGINE_Risk'!$L$500:$L$923,'_ENGINE_Risk'!$B$500:$B$923,"Yes",'_ENGINE_Risk'!$C$500:$C$923,$A45,'_ENGINE_Risk'!$F$500:$F$923,H$31),1),"")</f>
        <v/>
      </c>
      <c r="I154" s="280">
        <f>IFERROR(ROUND(AVERAGEIFS('_ENGINE_Risk'!$L$500:$L$923,'_ENGINE_Risk'!$B$500:$B$923,"Yes",'_ENGINE_Risk'!$C$500:$C$923,$A45,'_ENGINE_Risk'!$F$500:$F$923,I$31),1),"")</f>
        <v/>
      </c>
      <c r="J154" s="280">
        <f>IFERROR(ROUND(AVERAGEIFS('_ENGINE_Risk'!$L$500:$L$923,'_ENGINE_Risk'!$B$500:$B$923,"Yes",'_ENGINE_Risk'!$C$500:$C$923,$A45,'_ENGINE_Risk'!$F$500:$F$923,J$31),1),"")</f>
        <v/>
      </c>
      <c r="K154" s="280">
        <f>IFERROR(ROUND(AVERAGEIFS('_ENGINE_Risk'!$L$500:$L$923,'_ENGINE_Risk'!$B$500:$B$923,"Yes",'_ENGINE_Risk'!$C$500:$C$923,$A45,'_ENGINE_Risk'!$F$500:$F$923,K$31),1),"")</f>
        <v/>
      </c>
      <c r="L154" s="280">
        <f>IFERROR(ROUND(AVERAGEIFS('_ENGINE_Risk'!$L$500:$L$923,'_ENGINE_Risk'!$B$500:$B$923,"Yes",'_ENGINE_Risk'!$C$500:$C$923,$A45,'_ENGINE_Risk'!$F$500:$F$923,L$31),1),"")</f>
        <v/>
      </c>
      <c r="M154" s="280">
        <f>IFERROR(ROUND(AVERAGEIFS('_ENGINE_Risk'!$L$500:$L$923,'_ENGINE_Risk'!$B$500:$B$923,"Yes",'_ENGINE_Risk'!$C$500:$C$923,$A45,'_ENGINE_Risk'!$F$500:$F$923,M$31),1),"")</f>
        <v/>
      </c>
      <c r="N154" s="30" t="n"/>
      <c r="O154" s="30" t="n"/>
      <c r="P154" s="30" t="n"/>
      <c r="Q154" s="30" t="n"/>
      <c r="R154" s="30" t="n"/>
      <c r="S154" s="30" t="n"/>
      <c r="T154" s="30" t="n"/>
      <c r="U154" s="30" t="n"/>
      <c r="V154" s="30" t="n"/>
    </row>
    <row r="155" ht="15" customHeight="1" s="209">
      <c r="A155" s="51" t="inlineStr">
        <is>
          <t>Data BI AI</t>
        </is>
      </c>
      <c r="B155" s="280">
        <f>IFERROR(ROUND(AVERAGEIFS('_ENGINE_Risk'!$L$500:$L$923,'_ENGINE_Risk'!$B$500:$B$923,"Yes",'_ENGINE_Risk'!$C$500:$C$923,$A46,'_ENGINE_Risk'!$F$500:$F$923,B$31),1),"")</f>
        <v/>
      </c>
      <c r="C155" s="280">
        <f>IFERROR(ROUND(AVERAGEIFS('_ENGINE_Risk'!$L$500:$L$923,'_ENGINE_Risk'!$B$500:$B$923,"Yes",'_ENGINE_Risk'!$C$500:$C$923,$A46,'_ENGINE_Risk'!$F$500:$F$923,C$31),1),"")</f>
        <v/>
      </c>
      <c r="D155" s="280">
        <f>IFERROR(ROUND(AVERAGEIFS('_ENGINE_Risk'!$L$500:$L$923,'_ENGINE_Risk'!$B$500:$B$923,"Yes",'_ENGINE_Risk'!$C$500:$C$923,$A46,'_ENGINE_Risk'!$F$500:$F$923,D$31),1),"")</f>
        <v/>
      </c>
      <c r="E155" s="280">
        <f>IFERROR(ROUND(AVERAGEIFS('_ENGINE_Risk'!$L$500:$L$923,'_ENGINE_Risk'!$B$500:$B$923,"Yes",'_ENGINE_Risk'!$C$500:$C$923,$A46,'_ENGINE_Risk'!$F$500:$F$923,E$31),1),"")</f>
        <v/>
      </c>
      <c r="F155" s="280">
        <f>IFERROR(ROUND(AVERAGEIFS('_ENGINE_Risk'!$L$500:$L$923,'_ENGINE_Risk'!$B$500:$B$923,"Yes",'_ENGINE_Risk'!$C$500:$C$923,$A46,'_ENGINE_Risk'!$F$500:$F$923,F$31),1),"")</f>
        <v/>
      </c>
      <c r="G155" s="280">
        <f>IFERROR(ROUND(AVERAGEIFS('_ENGINE_Risk'!$L$500:$L$923,'_ENGINE_Risk'!$B$500:$B$923,"Yes",'_ENGINE_Risk'!$C$500:$C$923,$A46,'_ENGINE_Risk'!$F$500:$F$923,G$31),1),"")</f>
        <v/>
      </c>
      <c r="H155" s="280">
        <f>IFERROR(ROUND(AVERAGEIFS('_ENGINE_Risk'!$L$500:$L$923,'_ENGINE_Risk'!$B$500:$B$923,"Yes",'_ENGINE_Risk'!$C$500:$C$923,$A46,'_ENGINE_Risk'!$F$500:$F$923,H$31),1),"")</f>
        <v/>
      </c>
      <c r="I155" s="280">
        <f>IFERROR(ROUND(AVERAGEIFS('_ENGINE_Risk'!$L$500:$L$923,'_ENGINE_Risk'!$B$500:$B$923,"Yes",'_ENGINE_Risk'!$C$500:$C$923,$A46,'_ENGINE_Risk'!$F$500:$F$923,I$31),1),"")</f>
        <v/>
      </c>
      <c r="J155" s="280">
        <f>IFERROR(ROUND(AVERAGEIFS('_ENGINE_Risk'!$L$500:$L$923,'_ENGINE_Risk'!$B$500:$B$923,"Yes",'_ENGINE_Risk'!$C$500:$C$923,$A46,'_ENGINE_Risk'!$F$500:$F$923,J$31),1),"")</f>
        <v/>
      </c>
      <c r="K155" s="280">
        <f>IFERROR(ROUND(AVERAGEIFS('_ENGINE_Risk'!$L$500:$L$923,'_ENGINE_Risk'!$B$500:$B$923,"Yes",'_ENGINE_Risk'!$C$500:$C$923,$A46,'_ENGINE_Risk'!$F$500:$F$923,K$31),1),"")</f>
        <v/>
      </c>
      <c r="L155" s="280">
        <f>IFERROR(ROUND(AVERAGEIFS('_ENGINE_Risk'!$L$500:$L$923,'_ENGINE_Risk'!$B$500:$B$923,"Yes",'_ENGINE_Risk'!$C$500:$C$923,$A46,'_ENGINE_Risk'!$F$500:$F$923,L$31),1),"")</f>
        <v/>
      </c>
      <c r="M155" s="280">
        <f>IFERROR(ROUND(AVERAGEIFS('_ENGINE_Risk'!$L$500:$L$923,'_ENGINE_Risk'!$B$500:$B$923,"Yes",'_ENGINE_Risk'!$C$500:$C$923,$A46,'_ENGINE_Risk'!$F$500:$F$923,M$31),1),"")</f>
        <v/>
      </c>
      <c r="N155" s="30" t="n"/>
      <c r="O155" s="30" t="n"/>
      <c r="P155" s="30" t="n"/>
      <c r="Q155" s="30" t="n"/>
      <c r="R155" s="30" t="n"/>
      <c r="S155" s="30" t="n"/>
      <c r="T155" s="30" t="n"/>
      <c r="U155" s="30" t="n"/>
      <c r="V155" s="30" t="n"/>
    </row>
    <row r="156" ht="15" customHeight="1" s="209">
      <c r="A156" s="51" t="inlineStr">
        <is>
          <t>Cyber Privacy</t>
        </is>
      </c>
      <c r="B156" s="280">
        <f>IFERROR(ROUND(AVERAGEIFS('_ENGINE_Risk'!$L$500:$L$923,'_ENGINE_Risk'!$B$500:$B$923,"Yes",'_ENGINE_Risk'!$C$500:$C$923,$A47,'_ENGINE_Risk'!$F$500:$F$923,B$31),1),"")</f>
        <v/>
      </c>
      <c r="C156" s="280">
        <f>IFERROR(ROUND(AVERAGEIFS('_ENGINE_Risk'!$L$500:$L$923,'_ENGINE_Risk'!$B$500:$B$923,"Yes",'_ENGINE_Risk'!$C$500:$C$923,$A47,'_ENGINE_Risk'!$F$500:$F$923,C$31),1),"")</f>
        <v/>
      </c>
      <c r="D156" s="280">
        <f>IFERROR(ROUND(AVERAGEIFS('_ENGINE_Risk'!$L$500:$L$923,'_ENGINE_Risk'!$B$500:$B$923,"Yes",'_ENGINE_Risk'!$C$500:$C$923,$A47,'_ENGINE_Risk'!$F$500:$F$923,D$31),1),"")</f>
        <v/>
      </c>
      <c r="E156" s="280">
        <f>IFERROR(ROUND(AVERAGEIFS('_ENGINE_Risk'!$L$500:$L$923,'_ENGINE_Risk'!$B$500:$B$923,"Yes",'_ENGINE_Risk'!$C$500:$C$923,$A47,'_ENGINE_Risk'!$F$500:$F$923,E$31),1),"")</f>
        <v/>
      </c>
      <c r="F156" s="280">
        <f>IFERROR(ROUND(AVERAGEIFS('_ENGINE_Risk'!$L$500:$L$923,'_ENGINE_Risk'!$B$500:$B$923,"Yes",'_ENGINE_Risk'!$C$500:$C$923,$A47,'_ENGINE_Risk'!$F$500:$F$923,F$31),1),"")</f>
        <v/>
      </c>
      <c r="G156" s="280">
        <f>IFERROR(ROUND(AVERAGEIFS('_ENGINE_Risk'!$L$500:$L$923,'_ENGINE_Risk'!$B$500:$B$923,"Yes",'_ENGINE_Risk'!$C$500:$C$923,$A47,'_ENGINE_Risk'!$F$500:$F$923,G$31),1),"")</f>
        <v/>
      </c>
      <c r="H156" s="280">
        <f>IFERROR(ROUND(AVERAGEIFS('_ENGINE_Risk'!$L$500:$L$923,'_ENGINE_Risk'!$B$500:$B$923,"Yes",'_ENGINE_Risk'!$C$500:$C$923,$A47,'_ENGINE_Risk'!$F$500:$F$923,H$31),1),"")</f>
        <v/>
      </c>
      <c r="I156" s="280">
        <f>IFERROR(ROUND(AVERAGEIFS('_ENGINE_Risk'!$L$500:$L$923,'_ENGINE_Risk'!$B$500:$B$923,"Yes",'_ENGINE_Risk'!$C$500:$C$923,$A47,'_ENGINE_Risk'!$F$500:$F$923,I$31),1),"")</f>
        <v/>
      </c>
      <c r="J156" s="280">
        <f>IFERROR(ROUND(AVERAGEIFS('_ENGINE_Risk'!$L$500:$L$923,'_ENGINE_Risk'!$B$500:$B$923,"Yes",'_ENGINE_Risk'!$C$500:$C$923,$A47,'_ENGINE_Risk'!$F$500:$F$923,J$31),1),"")</f>
        <v/>
      </c>
      <c r="K156" s="280">
        <f>IFERROR(ROUND(AVERAGEIFS('_ENGINE_Risk'!$L$500:$L$923,'_ENGINE_Risk'!$B$500:$B$923,"Yes",'_ENGINE_Risk'!$C$500:$C$923,$A47,'_ENGINE_Risk'!$F$500:$F$923,K$31),1),"")</f>
        <v/>
      </c>
      <c r="L156" s="280">
        <f>IFERROR(ROUND(AVERAGEIFS('_ENGINE_Risk'!$L$500:$L$923,'_ENGINE_Risk'!$B$500:$B$923,"Yes",'_ENGINE_Risk'!$C$500:$C$923,$A47,'_ENGINE_Risk'!$F$500:$F$923,L$31),1),"")</f>
        <v/>
      </c>
      <c r="M156" s="280">
        <f>IFERROR(ROUND(AVERAGEIFS('_ENGINE_Risk'!$L$500:$L$923,'_ENGINE_Risk'!$B$500:$B$923,"Yes",'_ENGINE_Risk'!$C$500:$C$923,$A47,'_ENGINE_Risk'!$F$500:$F$923,M$31),1),"")</f>
        <v/>
      </c>
      <c r="N156" s="30" t="n"/>
      <c r="O156" s="30" t="n"/>
      <c r="P156" s="30" t="n"/>
      <c r="Q156" s="30" t="n"/>
      <c r="R156" s="30" t="n"/>
      <c r="S156" s="30" t="n"/>
      <c r="T156" s="30" t="n"/>
      <c r="U156" s="30" t="n"/>
      <c r="V156" s="30" t="n"/>
    </row>
    <row r="157" ht="15" customHeight="1" s="209">
      <c r="A157" s="51" t="inlineStr">
        <is>
          <t>Quality Portfolio</t>
        </is>
      </c>
      <c r="B157" s="280">
        <f>IFERROR(ROUND(AVERAGEIFS('_ENGINE_Risk'!$L$500:$L$923,'_ENGINE_Risk'!$B$500:$B$923,"Yes",'_ENGINE_Risk'!$C$500:$C$923,$A48,'_ENGINE_Risk'!$F$500:$F$923,B$31),1),"")</f>
        <v/>
      </c>
      <c r="C157" s="280">
        <f>IFERROR(ROUND(AVERAGEIFS('_ENGINE_Risk'!$L$500:$L$923,'_ENGINE_Risk'!$B$500:$B$923,"Yes",'_ENGINE_Risk'!$C$500:$C$923,$A48,'_ENGINE_Risk'!$F$500:$F$923,C$31),1),"")</f>
        <v/>
      </c>
      <c r="D157" s="280">
        <f>IFERROR(ROUND(AVERAGEIFS('_ENGINE_Risk'!$L$500:$L$923,'_ENGINE_Risk'!$B$500:$B$923,"Yes",'_ENGINE_Risk'!$C$500:$C$923,$A48,'_ENGINE_Risk'!$F$500:$F$923,D$31),1),"")</f>
        <v/>
      </c>
      <c r="E157" s="280">
        <f>IFERROR(ROUND(AVERAGEIFS('_ENGINE_Risk'!$L$500:$L$923,'_ENGINE_Risk'!$B$500:$B$923,"Yes",'_ENGINE_Risk'!$C$500:$C$923,$A48,'_ENGINE_Risk'!$F$500:$F$923,E$31),1),"")</f>
        <v/>
      </c>
      <c r="F157" s="280">
        <f>IFERROR(ROUND(AVERAGEIFS('_ENGINE_Risk'!$L$500:$L$923,'_ENGINE_Risk'!$B$500:$B$923,"Yes",'_ENGINE_Risk'!$C$500:$C$923,$A48,'_ENGINE_Risk'!$F$500:$F$923,F$31),1),"")</f>
        <v/>
      </c>
      <c r="G157" s="280">
        <f>IFERROR(ROUND(AVERAGEIFS('_ENGINE_Risk'!$L$500:$L$923,'_ENGINE_Risk'!$B$500:$B$923,"Yes",'_ENGINE_Risk'!$C$500:$C$923,$A48,'_ENGINE_Risk'!$F$500:$F$923,G$31),1),"")</f>
        <v/>
      </c>
      <c r="H157" s="280">
        <f>IFERROR(ROUND(AVERAGEIFS('_ENGINE_Risk'!$L$500:$L$923,'_ENGINE_Risk'!$B$500:$B$923,"Yes",'_ENGINE_Risk'!$C$500:$C$923,$A48,'_ENGINE_Risk'!$F$500:$F$923,H$31),1),"")</f>
        <v/>
      </c>
      <c r="I157" s="280">
        <f>IFERROR(ROUND(AVERAGEIFS('_ENGINE_Risk'!$L$500:$L$923,'_ENGINE_Risk'!$B$500:$B$923,"Yes",'_ENGINE_Risk'!$C$500:$C$923,$A48,'_ENGINE_Risk'!$F$500:$F$923,I$31),1),"")</f>
        <v/>
      </c>
      <c r="J157" s="280">
        <f>IFERROR(ROUND(AVERAGEIFS('_ENGINE_Risk'!$L$500:$L$923,'_ENGINE_Risk'!$B$500:$B$923,"Yes",'_ENGINE_Risk'!$C$500:$C$923,$A48,'_ENGINE_Risk'!$F$500:$F$923,J$31),1),"")</f>
        <v/>
      </c>
      <c r="K157" s="280">
        <f>IFERROR(ROUND(AVERAGEIFS('_ENGINE_Risk'!$L$500:$L$923,'_ENGINE_Risk'!$B$500:$B$923,"Yes",'_ENGINE_Risk'!$C$500:$C$923,$A48,'_ENGINE_Risk'!$F$500:$F$923,K$31),1),"")</f>
        <v/>
      </c>
      <c r="L157" s="280">
        <f>IFERROR(ROUND(AVERAGEIFS('_ENGINE_Risk'!$L$500:$L$923,'_ENGINE_Risk'!$B$500:$B$923,"Yes",'_ENGINE_Risk'!$C$500:$C$923,$A48,'_ENGINE_Risk'!$F$500:$F$923,L$31),1),"")</f>
        <v/>
      </c>
      <c r="M157" s="280">
        <f>IFERROR(ROUND(AVERAGEIFS('_ENGINE_Risk'!$L$500:$L$923,'_ENGINE_Risk'!$B$500:$B$923,"Yes",'_ENGINE_Risk'!$C$500:$C$923,$A48,'_ENGINE_Risk'!$F$500:$F$923,M$31),1),"")</f>
        <v/>
      </c>
      <c r="N157" s="30" t="n"/>
      <c r="O157" s="30" t="n"/>
      <c r="P157" s="30" t="n"/>
      <c r="Q157" s="30" t="n"/>
      <c r="R157" s="30" t="n"/>
      <c r="S157" s="30" t="n"/>
      <c r="T157" s="30" t="n"/>
      <c r="U157" s="30" t="n"/>
      <c r="V157" s="30" t="n"/>
    </row>
    <row r="158">
      <c r="A158" s="30" t="n"/>
      <c r="B158" s="30" t="n"/>
      <c r="C158" s="30" t="n"/>
      <c r="D158" s="30" t="n"/>
      <c r="E158" s="30" t="n"/>
      <c r="F158" s="30" t="n"/>
      <c r="G158" s="30" t="n"/>
      <c r="H158" s="30" t="n"/>
      <c r="I158" s="30" t="n"/>
      <c r="J158" s="30" t="n"/>
      <c r="K158" s="30" t="n"/>
      <c r="L158" s="30" t="n"/>
      <c r="M158" s="30" t="n"/>
      <c r="N158" s="30" t="n"/>
      <c r="O158" s="30" t="n"/>
      <c r="P158" s="30" t="n"/>
      <c r="Q158" s="30" t="n"/>
      <c r="R158" s="30" t="n"/>
      <c r="S158" s="30" t="n"/>
      <c r="T158" s="30" t="n"/>
      <c r="U158" s="30" t="n"/>
      <c r="V158" s="30" t="n"/>
    </row>
    <row r="159">
      <c r="A159" s="30" t="n"/>
      <c r="B159" s="30" t="n"/>
      <c r="C159" s="30" t="n"/>
      <c r="D159" s="30" t="n"/>
      <c r="E159" s="30" t="n"/>
      <c r="F159" s="30" t="n"/>
      <c r="G159" s="30" t="n"/>
      <c r="H159" s="30" t="n"/>
      <c r="I159" s="30" t="n"/>
      <c r="J159" s="30" t="n"/>
      <c r="K159" s="30" t="n"/>
      <c r="L159" s="30" t="n"/>
      <c r="M159" s="30" t="n"/>
      <c r="N159" s="30" t="n"/>
      <c r="O159" s="30" t="n"/>
      <c r="P159" s="30" t="n"/>
      <c r="Q159" s="30" t="n"/>
      <c r="R159" s="30" t="n"/>
      <c r="S159" s="30" t="n"/>
      <c r="T159" s="30" t="n"/>
      <c r="U159" s="30" t="n"/>
      <c r="V159" s="30" t="n"/>
    </row>
    <row r="160">
      <c r="A160" s="30" t="n"/>
      <c r="B160" s="30" t="n"/>
      <c r="C160" s="30" t="n"/>
      <c r="D160" s="30" t="n"/>
      <c r="E160" s="30" t="n"/>
      <c r="F160" s="30" t="n"/>
      <c r="G160" s="30" t="n"/>
      <c r="H160" s="30" t="n"/>
      <c r="I160" s="30" t="n"/>
      <c r="J160" s="30" t="n"/>
      <c r="K160" s="30" t="n"/>
      <c r="L160" s="30" t="n"/>
      <c r="M160" s="30" t="n"/>
      <c r="N160" s="30" t="n"/>
      <c r="O160" s="30" t="n"/>
      <c r="P160" s="30" t="n"/>
      <c r="Q160" s="30" t="n"/>
      <c r="R160" s="30" t="n"/>
      <c r="S160" s="30" t="n"/>
      <c r="T160" s="30" t="n"/>
      <c r="U160" s="30" t="n"/>
      <c r="V160" s="30" t="n"/>
    </row>
    <row r="161" ht="15" customHeight="1" s="209">
      <c r="A161" s="226" t="inlineStr">
        <is>
          <t>Heatmap 3. Top 20 prioritized initiatives vs timeline</t>
        </is>
      </c>
      <c r="B161" s="227" t="n"/>
      <c r="C161" s="227" t="n"/>
      <c r="D161" s="227" t="n"/>
      <c r="E161" s="227" t="n"/>
      <c r="F161" s="227" t="n"/>
      <c r="G161" s="227" t="n"/>
      <c r="H161" s="227" t="n"/>
      <c r="I161" s="227" t="n"/>
      <c r="J161" s="227" t="n"/>
      <c r="K161" s="227" t="n"/>
      <c r="L161" s="227" t="n"/>
      <c r="M161" s="227" t="n"/>
      <c r="N161" s="227" t="n"/>
      <c r="O161" s="227" t="n"/>
      <c r="P161" s="227" t="n"/>
      <c r="Q161" s="227" t="n"/>
      <c r="R161" s="227" t="n"/>
      <c r="S161" s="227" t="n"/>
      <c r="T161" s="227" t="n"/>
      <c r="U161" s="227" t="n"/>
      <c r="V161" s="228" t="n"/>
    </row>
    <row r="162" ht="44.1" customHeight="1" s="209">
      <c r="A162" s="23" t="inlineStr">
        <is>
          <t>Rank</t>
        </is>
      </c>
      <c r="B162" s="23" t="inlineStr">
        <is>
          <t>Initiative</t>
        </is>
      </c>
      <c r="C162" s="54">
        <f>EDATE('Company Profile'!$B$6,0)</f>
      </c>
      <c r="D162" s="54">
        <f>EDATE('Company Profile'!$B$6,1)</f>
      </c>
      <c r="E162" s="54">
        <f>EDATE('Company Profile'!$B$6,2)</f>
      </c>
      <c r="F162" s="54">
        <f>EDATE('Company Profile'!$B$6,3)</f>
      </c>
      <c r="G162" s="54">
        <f>EDATE('Company Profile'!$B$6,4)</f>
      </c>
      <c r="H162" s="54">
        <f>EDATE('Company Profile'!$B$6,5)</f>
      </c>
      <c r="I162" s="54">
        <f>EDATE('Company Profile'!$B$6,6)</f>
      </c>
      <c r="J162" s="54">
        <f>EDATE('Company Profile'!$B$6,7)</f>
      </c>
      <c r="K162" s="54">
        <f>EDATE('Company Profile'!$B$6,8)</f>
      </c>
      <c r="L162" s="54">
        <f>EDATE('Company Profile'!$B$6,9)</f>
      </c>
      <c r="M162" s="54">
        <f>EDATE('Company Profile'!$B$6,10)</f>
      </c>
      <c r="N162" s="54">
        <f>EDATE('Company Profile'!$B$6,11)</f>
      </c>
      <c r="O162" s="54">
        <f>EDATE('Company Profile'!$B$6,12)</f>
      </c>
      <c r="P162" s="54">
        <f>EDATE('Company Profile'!$B$6,13)</f>
      </c>
      <c r="Q162" s="54">
        <f>EDATE('Company Profile'!$B$6,14)</f>
      </c>
      <c r="R162" s="54">
        <f>EDATE('Company Profile'!$B$6,15)</f>
      </c>
      <c r="S162" s="54">
        <f>EDATE('Company Profile'!$B$6,16)</f>
      </c>
      <c r="T162" s="54">
        <f>EDATE('Company Profile'!$B$6,17)</f>
      </c>
      <c r="U162" s="50" t="n"/>
      <c r="V162" s="50" t="n"/>
    </row>
    <row r="163" ht="15" customHeight="1" s="209">
      <c r="A163" s="51" t="inlineStr">
        <is>
          <t>1</t>
        </is>
      </c>
      <c r="B163" s="51">
        <f>IFERROR(INDEX(_ENGINE_Initiatives!$F$5:$F$76,MATCH($A163,_ENGINE_Initiatives!$BW$5:$BW$76,0)),"")</f>
      </c>
      <c r="C163" s="55">
        <f>IFERROR(IF(AND(C$162&gt;=IF(INDEX(_ENGINE_Initiatives!$BX$5:$BX$76,MATCH($A163,_ENGINE_Initiatives!$BW$5:$BW$76,0))="0-90 days",'Company Profile'!$B$6,IF(INDEX(_ENGINE_Initiatives!$BX$5:$BX$76,MATCH($A163,_ENGINE_Initiatives!$BW$5:$BW$76,0))="3-6 months",EDATE('Company Profile'!$B$6,3),IF(INDEX(_ENGINE_Initiatives!$BX$5:$BX$76,MATCH($A163,_ENGINE_Initiatives!$BW$5:$BW$76,0))="6-12 months",EDATE('Company Profile'!$B$6,6),EDATE('Company Profile'!$B$6,12)))),C$162&lt;=IF(INDEX(_ENGINE_Initiatives!$BX$5:$BX$76,MATCH($A163,_ENGINE_Initiatives!$BW$5:$BW$76,0))="0-90 days",'Company Profile'!$B$6,IF(INDEX(_ENGINE_Initiatives!$BX$5:$BX$76,MATCH($A163,_ENGINE_Initiatives!$BW$5:$BW$76,0))="3-6 months",EDATE('Company Profile'!$B$6,3),IF(INDEX(_ENGINE_Initiatives!$BX$5:$BX$76,MATCH($A163,_ENGINE_Initiatives!$BW$5:$BW$76,0))="6-12 months",EDATE('Company Profile'!$B$6,6),EDATE('Company Profile'!$B$6,12))))+(IF(INDEX(_ENGINE_Initiatives!$AB$5:$AB$76,MATCH($A163,_ENGINE_Initiatives!$BW$5:$BW$76,0))&lt;=2,6,IF(INDEX(_ENGINE_Initiatives!$AB$5:$AB$76,MATCH($A163,_ENGINE_Initiatives!$BW$5:$BW$76,0))=3,10,IF(INDEX(_ENGINE_Initiatives!$AB$5:$AB$76,MATCH($A163,_ENGINE_Initiatives!$BW$5:$BW$76,0))=4,16,24)))*7)),1,""),"")</f>
      </c>
      <c r="D163" s="55">
        <f>IFERROR(IF(AND(D$162&gt;=IF(INDEX(_ENGINE_Initiatives!$BX$5:$BX$76,MATCH($A163,_ENGINE_Initiatives!$BW$5:$BW$76,0))="0-90 days",'Company Profile'!$B$6,IF(INDEX(_ENGINE_Initiatives!$BX$5:$BX$76,MATCH($A163,_ENGINE_Initiatives!$BW$5:$BW$76,0))="3-6 months",EDATE('Company Profile'!$B$6,3),IF(INDEX(_ENGINE_Initiatives!$BX$5:$BX$76,MATCH($A163,_ENGINE_Initiatives!$BW$5:$BW$76,0))="6-12 months",EDATE('Company Profile'!$B$6,6),EDATE('Company Profile'!$B$6,12)))),D$162&lt;=IF(INDEX(_ENGINE_Initiatives!$BX$5:$BX$76,MATCH($A163,_ENGINE_Initiatives!$BW$5:$BW$76,0))="0-90 days",'Company Profile'!$B$6,IF(INDEX(_ENGINE_Initiatives!$BX$5:$BX$76,MATCH($A163,_ENGINE_Initiatives!$BW$5:$BW$76,0))="3-6 months",EDATE('Company Profile'!$B$6,3),IF(INDEX(_ENGINE_Initiatives!$BX$5:$BX$76,MATCH($A163,_ENGINE_Initiatives!$BW$5:$BW$76,0))="6-12 months",EDATE('Company Profile'!$B$6,6),EDATE('Company Profile'!$B$6,12))))+(IF(INDEX(_ENGINE_Initiatives!$AB$5:$AB$76,MATCH($A163,_ENGINE_Initiatives!$BW$5:$BW$76,0))&lt;=2,6,IF(INDEX(_ENGINE_Initiatives!$AB$5:$AB$76,MATCH($A163,_ENGINE_Initiatives!$BW$5:$BW$76,0))=3,10,IF(INDEX(_ENGINE_Initiatives!$AB$5:$AB$76,MATCH($A163,_ENGINE_Initiatives!$BW$5:$BW$76,0))=4,16,24)))*7)),1,""),"")</f>
      </c>
      <c r="E163" s="55">
        <f>IFERROR(IF(AND(E$162&gt;=IF(INDEX(_ENGINE_Initiatives!$BX$5:$BX$76,MATCH($A163,_ENGINE_Initiatives!$BW$5:$BW$76,0))="0-90 days",'Company Profile'!$B$6,IF(INDEX(_ENGINE_Initiatives!$BX$5:$BX$76,MATCH($A163,_ENGINE_Initiatives!$BW$5:$BW$76,0))="3-6 months",EDATE('Company Profile'!$B$6,3),IF(INDEX(_ENGINE_Initiatives!$BX$5:$BX$76,MATCH($A163,_ENGINE_Initiatives!$BW$5:$BW$76,0))="6-12 months",EDATE('Company Profile'!$B$6,6),EDATE('Company Profile'!$B$6,12)))),E$162&lt;=IF(INDEX(_ENGINE_Initiatives!$BX$5:$BX$76,MATCH($A163,_ENGINE_Initiatives!$BW$5:$BW$76,0))="0-90 days",'Company Profile'!$B$6,IF(INDEX(_ENGINE_Initiatives!$BX$5:$BX$76,MATCH($A163,_ENGINE_Initiatives!$BW$5:$BW$76,0))="3-6 months",EDATE('Company Profile'!$B$6,3),IF(INDEX(_ENGINE_Initiatives!$BX$5:$BX$76,MATCH($A163,_ENGINE_Initiatives!$BW$5:$BW$76,0))="6-12 months",EDATE('Company Profile'!$B$6,6),EDATE('Company Profile'!$B$6,12))))+(IF(INDEX(_ENGINE_Initiatives!$AB$5:$AB$76,MATCH($A163,_ENGINE_Initiatives!$BW$5:$BW$76,0))&lt;=2,6,IF(INDEX(_ENGINE_Initiatives!$AB$5:$AB$76,MATCH($A163,_ENGINE_Initiatives!$BW$5:$BW$76,0))=3,10,IF(INDEX(_ENGINE_Initiatives!$AB$5:$AB$76,MATCH($A163,_ENGINE_Initiatives!$BW$5:$BW$76,0))=4,16,24)))*7)),1,""),"")</f>
      </c>
      <c r="F163" s="55">
        <f>IFERROR(IF(AND(F$162&gt;=IF(INDEX(_ENGINE_Initiatives!$BX$5:$BX$76,MATCH($A163,_ENGINE_Initiatives!$BW$5:$BW$76,0))="0-90 days",'Company Profile'!$B$6,IF(INDEX(_ENGINE_Initiatives!$BX$5:$BX$76,MATCH($A163,_ENGINE_Initiatives!$BW$5:$BW$76,0))="3-6 months",EDATE('Company Profile'!$B$6,3),IF(INDEX(_ENGINE_Initiatives!$BX$5:$BX$76,MATCH($A163,_ENGINE_Initiatives!$BW$5:$BW$76,0))="6-12 months",EDATE('Company Profile'!$B$6,6),EDATE('Company Profile'!$B$6,12)))),F$162&lt;=IF(INDEX(_ENGINE_Initiatives!$BX$5:$BX$76,MATCH($A163,_ENGINE_Initiatives!$BW$5:$BW$76,0))="0-90 days",'Company Profile'!$B$6,IF(INDEX(_ENGINE_Initiatives!$BX$5:$BX$76,MATCH($A163,_ENGINE_Initiatives!$BW$5:$BW$76,0))="3-6 months",EDATE('Company Profile'!$B$6,3),IF(INDEX(_ENGINE_Initiatives!$BX$5:$BX$76,MATCH($A163,_ENGINE_Initiatives!$BW$5:$BW$76,0))="6-12 months",EDATE('Company Profile'!$B$6,6),EDATE('Company Profile'!$B$6,12))))+(IF(INDEX(_ENGINE_Initiatives!$AB$5:$AB$76,MATCH($A163,_ENGINE_Initiatives!$BW$5:$BW$76,0))&lt;=2,6,IF(INDEX(_ENGINE_Initiatives!$AB$5:$AB$76,MATCH($A163,_ENGINE_Initiatives!$BW$5:$BW$76,0))=3,10,IF(INDEX(_ENGINE_Initiatives!$AB$5:$AB$76,MATCH($A163,_ENGINE_Initiatives!$BW$5:$BW$76,0))=4,16,24)))*7)),1,""),"")</f>
      </c>
      <c r="G163" s="55">
        <f>IFERROR(IF(AND(G$162&gt;=IF(INDEX(_ENGINE_Initiatives!$BX$5:$BX$76,MATCH($A163,_ENGINE_Initiatives!$BW$5:$BW$76,0))="0-90 days",'Company Profile'!$B$6,IF(INDEX(_ENGINE_Initiatives!$BX$5:$BX$76,MATCH($A163,_ENGINE_Initiatives!$BW$5:$BW$76,0))="3-6 months",EDATE('Company Profile'!$B$6,3),IF(INDEX(_ENGINE_Initiatives!$BX$5:$BX$76,MATCH($A163,_ENGINE_Initiatives!$BW$5:$BW$76,0))="6-12 months",EDATE('Company Profile'!$B$6,6),EDATE('Company Profile'!$B$6,12)))),G$162&lt;=IF(INDEX(_ENGINE_Initiatives!$BX$5:$BX$76,MATCH($A163,_ENGINE_Initiatives!$BW$5:$BW$76,0))="0-90 days",'Company Profile'!$B$6,IF(INDEX(_ENGINE_Initiatives!$BX$5:$BX$76,MATCH($A163,_ENGINE_Initiatives!$BW$5:$BW$76,0))="3-6 months",EDATE('Company Profile'!$B$6,3),IF(INDEX(_ENGINE_Initiatives!$BX$5:$BX$76,MATCH($A163,_ENGINE_Initiatives!$BW$5:$BW$76,0))="6-12 months",EDATE('Company Profile'!$B$6,6),EDATE('Company Profile'!$B$6,12))))+(IF(INDEX(_ENGINE_Initiatives!$AB$5:$AB$76,MATCH($A163,_ENGINE_Initiatives!$BW$5:$BW$76,0))&lt;=2,6,IF(INDEX(_ENGINE_Initiatives!$AB$5:$AB$76,MATCH($A163,_ENGINE_Initiatives!$BW$5:$BW$76,0))=3,10,IF(INDEX(_ENGINE_Initiatives!$AB$5:$AB$76,MATCH($A163,_ENGINE_Initiatives!$BW$5:$BW$76,0))=4,16,24)))*7)),1,""),"")</f>
      </c>
      <c r="H163" s="55">
        <f>IFERROR(IF(AND(H$162&gt;=IF(INDEX(_ENGINE_Initiatives!$BX$5:$BX$76,MATCH($A163,_ENGINE_Initiatives!$BW$5:$BW$76,0))="0-90 days",'Company Profile'!$B$6,IF(INDEX(_ENGINE_Initiatives!$BX$5:$BX$76,MATCH($A163,_ENGINE_Initiatives!$BW$5:$BW$76,0))="3-6 months",EDATE('Company Profile'!$B$6,3),IF(INDEX(_ENGINE_Initiatives!$BX$5:$BX$76,MATCH($A163,_ENGINE_Initiatives!$BW$5:$BW$76,0))="6-12 months",EDATE('Company Profile'!$B$6,6),EDATE('Company Profile'!$B$6,12)))),H$162&lt;=IF(INDEX(_ENGINE_Initiatives!$BX$5:$BX$76,MATCH($A163,_ENGINE_Initiatives!$BW$5:$BW$76,0))="0-90 days",'Company Profile'!$B$6,IF(INDEX(_ENGINE_Initiatives!$BX$5:$BX$76,MATCH($A163,_ENGINE_Initiatives!$BW$5:$BW$76,0))="3-6 months",EDATE('Company Profile'!$B$6,3),IF(INDEX(_ENGINE_Initiatives!$BX$5:$BX$76,MATCH($A163,_ENGINE_Initiatives!$BW$5:$BW$76,0))="6-12 months",EDATE('Company Profile'!$B$6,6),EDATE('Company Profile'!$B$6,12))))+(IF(INDEX(_ENGINE_Initiatives!$AB$5:$AB$76,MATCH($A163,_ENGINE_Initiatives!$BW$5:$BW$76,0))&lt;=2,6,IF(INDEX(_ENGINE_Initiatives!$AB$5:$AB$76,MATCH($A163,_ENGINE_Initiatives!$BW$5:$BW$76,0))=3,10,IF(INDEX(_ENGINE_Initiatives!$AB$5:$AB$76,MATCH($A163,_ENGINE_Initiatives!$BW$5:$BW$76,0))=4,16,24)))*7)),1,""),"")</f>
      </c>
      <c r="I163" s="55">
        <f>IFERROR(IF(AND(I$162&gt;=IF(INDEX(_ENGINE_Initiatives!$BX$5:$BX$76,MATCH($A163,_ENGINE_Initiatives!$BW$5:$BW$76,0))="0-90 days",'Company Profile'!$B$6,IF(INDEX(_ENGINE_Initiatives!$BX$5:$BX$76,MATCH($A163,_ENGINE_Initiatives!$BW$5:$BW$76,0))="3-6 months",EDATE('Company Profile'!$B$6,3),IF(INDEX(_ENGINE_Initiatives!$BX$5:$BX$76,MATCH($A163,_ENGINE_Initiatives!$BW$5:$BW$76,0))="6-12 months",EDATE('Company Profile'!$B$6,6),EDATE('Company Profile'!$B$6,12)))),I$162&lt;=IF(INDEX(_ENGINE_Initiatives!$BX$5:$BX$76,MATCH($A163,_ENGINE_Initiatives!$BW$5:$BW$76,0))="0-90 days",'Company Profile'!$B$6,IF(INDEX(_ENGINE_Initiatives!$BX$5:$BX$76,MATCH($A163,_ENGINE_Initiatives!$BW$5:$BW$76,0))="3-6 months",EDATE('Company Profile'!$B$6,3),IF(INDEX(_ENGINE_Initiatives!$BX$5:$BX$76,MATCH($A163,_ENGINE_Initiatives!$BW$5:$BW$76,0))="6-12 months",EDATE('Company Profile'!$B$6,6),EDATE('Company Profile'!$B$6,12))))+(IF(INDEX(_ENGINE_Initiatives!$AB$5:$AB$76,MATCH($A163,_ENGINE_Initiatives!$BW$5:$BW$76,0))&lt;=2,6,IF(INDEX(_ENGINE_Initiatives!$AB$5:$AB$76,MATCH($A163,_ENGINE_Initiatives!$BW$5:$BW$76,0))=3,10,IF(INDEX(_ENGINE_Initiatives!$AB$5:$AB$76,MATCH($A163,_ENGINE_Initiatives!$BW$5:$BW$76,0))=4,16,24)))*7)),1,""),"")</f>
      </c>
      <c r="J163" s="55">
        <f>IFERROR(IF(AND(J$162&gt;=IF(INDEX(_ENGINE_Initiatives!$BX$5:$BX$76,MATCH($A163,_ENGINE_Initiatives!$BW$5:$BW$76,0))="0-90 days",'Company Profile'!$B$6,IF(INDEX(_ENGINE_Initiatives!$BX$5:$BX$76,MATCH($A163,_ENGINE_Initiatives!$BW$5:$BW$76,0))="3-6 months",EDATE('Company Profile'!$B$6,3),IF(INDEX(_ENGINE_Initiatives!$BX$5:$BX$76,MATCH($A163,_ENGINE_Initiatives!$BW$5:$BW$76,0))="6-12 months",EDATE('Company Profile'!$B$6,6),EDATE('Company Profile'!$B$6,12)))),J$162&lt;=IF(INDEX(_ENGINE_Initiatives!$BX$5:$BX$76,MATCH($A163,_ENGINE_Initiatives!$BW$5:$BW$76,0))="0-90 days",'Company Profile'!$B$6,IF(INDEX(_ENGINE_Initiatives!$BX$5:$BX$76,MATCH($A163,_ENGINE_Initiatives!$BW$5:$BW$76,0))="3-6 months",EDATE('Company Profile'!$B$6,3),IF(INDEX(_ENGINE_Initiatives!$BX$5:$BX$76,MATCH($A163,_ENGINE_Initiatives!$BW$5:$BW$76,0))="6-12 months",EDATE('Company Profile'!$B$6,6),EDATE('Company Profile'!$B$6,12))))+(IF(INDEX(_ENGINE_Initiatives!$AB$5:$AB$76,MATCH($A163,_ENGINE_Initiatives!$BW$5:$BW$76,0))&lt;=2,6,IF(INDEX(_ENGINE_Initiatives!$AB$5:$AB$76,MATCH($A163,_ENGINE_Initiatives!$BW$5:$BW$76,0))=3,10,IF(INDEX(_ENGINE_Initiatives!$AB$5:$AB$76,MATCH($A163,_ENGINE_Initiatives!$BW$5:$BW$76,0))=4,16,24)))*7)),1,""),"")</f>
      </c>
      <c r="K163" s="55">
        <f>IFERROR(IF(AND(K$162&gt;=IF(INDEX(_ENGINE_Initiatives!$BX$5:$BX$76,MATCH($A163,_ENGINE_Initiatives!$BW$5:$BW$76,0))="0-90 days",'Company Profile'!$B$6,IF(INDEX(_ENGINE_Initiatives!$BX$5:$BX$76,MATCH($A163,_ENGINE_Initiatives!$BW$5:$BW$76,0))="3-6 months",EDATE('Company Profile'!$B$6,3),IF(INDEX(_ENGINE_Initiatives!$BX$5:$BX$76,MATCH($A163,_ENGINE_Initiatives!$BW$5:$BW$76,0))="6-12 months",EDATE('Company Profile'!$B$6,6),EDATE('Company Profile'!$B$6,12)))),K$162&lt;=IF(INDEX(_ENGINE_Initiatives!$BX$5:$BX$76,MATCH($A163,_ENGINE_Initiatives!$BW$5:$BW$76,0))="0-90 days",'Company Profile'!$B$6,IF(INDEX(_ENGINE_Initiatives!$BX$5:$BX$76,MATCH($A163,_ENGINE_Initiatives!$BW$5:$BW$76,0))="3-6 months",EDATE('Company Profile'!$B$6,3),IF(INDEX(_ENGINE_Initiatives!$BX$5:$BX$76,MATCH($A163,_ENGINE_Initiatives!$BW$5:$BW$76,0))="6-12 months",EDATE('Company Profile'!$B$6,6),EDATE('Company Profile'!$B$6,12))))+(IF(INDEX(_ENGINE_Initiatives!$AB$5:$AB$76,MATCH($A163,_ENGINE_Initiatives!$BW$5:$BW$76,0))&lt;=2,6,IF(INDEX(_ENGINE_Initiatives!$AB$5:$AB$76,MATCH($A163,_ENGINE_Initiatives!$BW$5:$BW$76,0))=3,10,IF(INDEX(_ENGINE_Initiatives!$AB$5:$AB$76,MATCH($A163,_ENGINE_Initiatives!$BW$5:$BW$76,0))=4,16,24)))*7)),1,""),"")</f>
      </c>
      <c r="L163" s="55">
        <f>IFERROR(IF(AND(L$162&gt;=IF(INDEX(_ENGINE_Initiatives!$BX$5:$BX$76,MATCH($A163,_ENGINE_Initiatives!$BW$5:$BW$76,0))="0-90 days",'Company Profile'!$B$6,IF(INDEX(_ENGINE_Initiatives!$BX$5:$BX$76,MATCH($A163,_ENGINE_Initiatives!$BW$5:$BW$76,0))="3-6 months",EDATE('Company Profile'!$B$6,3),IF(INDEX(_ENGINE_Initiatives!$BX$5:$BX$76,MATCH($A163,_ENGINE_Initiatives!$BW$5:$BW$76,0))="6-12 months",EDATE('Company Profile'!$B$6,6),EDATE('Company Profile'!$B$6,12)))),L$162&lt;=IF(INDEX(_ENGINE_Initiatives!$BX$5:$BX$76,MATCH($A163,_ENGINE_Initiatives!$BW$5:$BW$76,0))="0-90 days",'Company Profile'!$B$6,IF(INDEX(_ENGINE_Initiatives!$BX$5:$BX$76,MATCH($A163,_ENGINE_Initiatives!$BW$5:$BW$76,0))="3-6 months",EDATE('Company Profile'!$B$6,3),IF(INDEX(_ENGINE_Initiatives!$BX$5:$BX$76,MATCH($A163,_ENGINE_Initiatives!$BW$5:$BW$76,0))="6-12 months",EDATE('Company Profile'!$B$6,6),EDATE('Company Profile'!$B$6,12))))+(IF(INDEX(_ENGINE_Initiatives!$AB$5:$AB$76,MATCH($A163,_ENGINE_Initiatives!$BW$5:$BW$76,0))&lt;=2,6,IF(INDEX(_ENGINE_Initiatives!$AB$5:$AB$76,MATCH($A163,_ENGINE_Initiatives!$BW$5:$BW$76,0))=3,10,IF(INDEX(_ENGINE_Initiatives!$AB$5:$AB$76,MATCH($A163,_ENGINE_Initiatives!$BW$5:$BW$76,0))=4,16,24)))*7)),1,""),"")</f>
      </c>
      <c r="M163" s="55">
        <f>IFERROR(IF(AND(M$162&gt;=IF(INDEX(_ENGINE_Initiatives!$BX$5:$BX$76,MATCH($A163,_ENGINE_Initiatives!$BW$5:$BW$76,0))="0-90 days",'Company Profile'!$B$6,IF(INDEX(_ENGINE_Initiatives!$BX$5:$BX$76,MATCH($A163,_ENGINE_Initiatives!$BW$5:$BW$76,0))="3-6 months",EDATE('Company Profile'!$B$6,3),IF(INDEX(_ENGINE_Initiatives!$BX$5:$BX$76,MATCH($A163,_ENGINE_Initiatives!$BW$5:$BW$76,0))="6-12 months",EDATE('Company Profile'!$B$6,6),EDATE('Company Profile'!$B$6,12)))),M$162&lt;=IF(INDEX(_ENGINE_Initiatives!$BX$5:$BX$76,MATCH($A163,_ENGINE_Initiatives!$BW$5:$BW$76,0))="0-90 days",'Company Profile'!$B$6,IF(INDEX(_ENGINE_Initiatives!$BX$5:$BX$76,MATCH($A163,_ENGINE_Initiatives!$BW$5:$BW$76,0))="3-6 months",EDATE('Company Profile'!$B$6,3),IF(INDEX(_ENGINE_Initiatives!$BX$5:$BX$76,MATCH($A163,_ENGINE_Initiatives!$BW$5:$BW$76,0))="6-12 months",EDATE('Company Profile'!$B$6,6),EDATE('Company Profile'!$B$6,12))))+(IF(INDEX(_ENGINE_Initiatives!$AB$5:$AB$76,MATCH($A163,_ENGINE_Initiatives!$BW$5:$BW$76,0))&lt;=2,6,IF(INDEX(_ENGINE_Initiatives!$AB$5:$AB$76,MATCH($A163,_ENGINE_Initiatives!$BW$5:$BW$76,0))=3,10,IF(INDEX(_ENGINE_Initiatives!$AB$5:$AB$76,MATCH($A163,_ENGINE_Initiatives!$BW$5:$BW$76,0))=4,16,24)))*7)),1,""),"")</f>
      </c>
      <c r="N163" s="55">
        <f>IFERROR(IF(AND(N$162&gt;=IF(INDEX(_ENGINE_Initiatives!$BX$5:$BX$76,MATCH($A163,_ENGINE_Initiatives!$BW$5:$BW$76,0))="0-90 days",'Company Profile'!$B$6,IF(INDEX(_ENGINE_Initiatives!$BX$5:$BX$76,MATCH($A163,_ENGINE_Initiatives!$BW$5:$BW$76,0))="3-6 months",EDATE('Company Profile'!$B$6,3),IF(INDEX(_ENGINE_Initiatives!$BX$5:$BX$76,MATCH($A163,_ENGINE_Initiatives!$BW$5:$BW$76,0))="6-12 months",EDATE('Company Profile'!$B$6,6),EDATE('Company Profile'!$B$6,12)))),N$162&lt;=IF(INDEX(_ENGINE_Initiatives!$BX$5:$BX$76,MATCH($A163,_ENGINE_Initiatives!$BW$5:$BW$76,0))="0-90 days",'Company Profile'!$B$6,IF(INDEX(_ENGINE_Initiatives!$BX$5:$BX$76,MATCH($A163,_ENGINE_Initiatives!$BW$5:$BW$76,0))="3-6 months",EDATE('Company Profile'!$B$6,3),IF(INDEX(_ENGINE_Initiatives!$BX$5:$BX$76,MATCH($A163,_ENGINE_Initiatives!$BW$5:$BW$76,0))="6-12 months",EDATE('Company Profile'!$B$6,6),EDATE('Company Profile'!$B$6,12))))+(IF(INDEX(_ENGINE_Initiatives!$AB$5:$AB$76,MATCH($A163,_ENGINE_Initiatives!$BW$5:$BW$76,0))&lt;=2,6,IF(INDEX(_ENGINE_Initiatives!$AB$5:$AB$76,MATCH($A163,_ENGINE_Initiatives!$BW$5:$BW$76,0))=3,10,IF(INDEX(_ENGINE_Initiatives!$AB$5:$AB$76,MATCH($A163,_ENGINE_Initiatives!$BW$5:$BW$76,0))=4,16,24)))*7)),1,""),"")</f>
      </c>
      <c r="O163" s="55">
        <f>IFERROR(IF(AND(O$162&gt;=IF(INDEX(_ENGINE_Initiatives!$BX$5:$BX$76,MATCH($A163,_ENGINE_Initiatives!$BW$5:$BW$76,0))="0-90 days",'Company Profile'!$B$6,IF(INDEX(_ENGINE_Initiatives!$BX$5:$BX$76,MATCH($A163,_ENGINE_Initiatives!$BW$5:$BW$76,0))="3-6 months",EDATE('Company Profile'!$B$6,3),IF(INDEX(_ENGINE_Initiatives!$BX$5:$BX$76,MATCH($A163,_ENGINE_Initiatives!$BW$5:$BW$76,0))="6-12 months",EDATE('Company Profile'!$B$6,6),EDATE('Company Profile'!$B$6,12)))),O$162&lt;=IF(INDEX(_ENGINE_Initiatives!$BX$5:$BX$76,MATCH($A163,_ENGINE_Initiatives!$BW$5:$BW$76,0))="0-90 days",'Company Profile'!$B$6,IF(INDEX(_ENGINE_Initiatives!$BX$5:$BX$76,MATCH($A163,_ENGINE_Initiatives!$BW$5:$BW$76,0))="3-6 months",EDATE('Company Profile'!$B$6,3),IF(INDEX(_ENGINE_Initiatives!$BX$5:$BX$76,MATCH($A163,_ENGINE_Initiatives!$BW$5:$BW$76,0))="6-12 months",EDATE('Company Profile'!$B$6,6),EDATE('Company Profile'!$B$6,12))))+(IF(INDEX(_ENGINE_Initiatives!$AB$5:$AB$76,MATCH($A163,_ENGINE_Initiatives!$BW$5:$BW$76,0))&lt;=2,6,IF(INDEX(_ENGINE_Initiatives!$AB$5:$AB$76,MATCH($A163,_ENGINE_Initiatives!$BW$5:$BW$76,0))=3,10,IF(INDEX(_ENGINE_Initiatives!$AB$5:$AB$76,MATCH($A163,_ENGINE_Initiatives!$BW$5:$BW$76,0))=4,16,24)))*7)),1,""),"")</f>
      </c>
      <c r="P163" s="55">
        <f>IFERROR(IF(AND(P$162&gt;=IF(INDEX(_ENGINE_Initiatives!$BX$5:$BX$76,MATCH($A163,_ENGINE_Initiatives!$BW$5:$BW$76,0))="0-90 days",'Company Profile'!$B$6,IF(INDEX(_ENGINE_Initiatives!$BX$5:$BX$76,MATCH($A163,_ENGINE_Initiatives!$BW$5:$BW$76,0))="3-6 months",EDATE('Company Profile'!$B$6,3),IF(INDEX(_ENGINE_Initiatives!$BX$5:$BX$76,MATCH($A163,_ENGINE_Initiatives!$BW$5:$BW$76,0))="6-12 months",EDATE('Company Profile'!$B$6,6),EDATE('Company Profile'!$B$6,12)))),P$162&lt;=IF(INDEX(_ENGINE_Initiatives!$BX$5:$BX$76,MATCH($A163,_ENGINE_Initiatives!$BW$5:$BW$76,0))="0-90 days",'Company Profile'!$B$6,IF(INDEX(_ENGINE_Initiatives!$BX$5:$BX$76,MATCH($A163,_ENGINE_Initiatives!$BW$5:$BW$76,0))="3-6 months",EDATE('Company Profile'!$B$6,3),IF(INDEX(_ENGINE_Initiatives!$BX$5:$BX$76,MATCH($A163,_ENGINE_Initiatives!$BW$5:$BW$76,0))="6-12 months",EDATE('Company Profile'!$B$6,6),EDATE('Company Profile'!$B$6,12))))+(IF(INDEX(_ENGINE_Initiatives!$AB$5:$AB$76,MATCH($A163,_ENGINE_Initiatives!$BW$5:$BW$76,0))&lt;=2,6,IF(INDEX(_ENGINE_Initiatives!$AB$5:$AB$76,MATCH($A163,_ENGINE_Initiatives!$BW$5:$BW$76,0))=3,10,IF(INDEX(_ENGINE_Initiatives!$AB$5:$AB$76,MATCH($A163,_ENGINE_Initiatives!$BW$5:$BW$76,0))=4,16,24)))*7)),1,""),"")</f>
      </c>
      <c r="Q163" s="55">
        <f>IFERROR(IF(AND(Q$162&gt;=IF(INDEX(_ENGINE_Initiatives!$BX$5:$BX$76,MATCH($A163,_ENGINE_Initiatives!$BW$5:$BW$76,0))="0-90 days",'Company Profile'!$B$6,IF(INDEX(_ENGINE_Initiatives!$BX$5:$BX$76,MATCH($A163,_ENGINE_Initiatives!$BW$5:$BW$76,0))="3-6 months",EDATE('Company Profile'!$B$6,3),IF(INDEX(_ENGINE_Initiatives!$BX$5:$BX$76,MATCH($A163,_ENGINE_Initiatives!$BW$5:$BW$76,0))="6-12 months",EDATE('Company Profile'!$B$6,6),EDATE('Company Profile'!$B$6,12)))),Q$162&lt;=IF(INDEX(_ENGINE_Initiatives!$BX$5:$BX$76,MATCH($A163,_ENGINE_Initiatives!$BW$5:$BW$76,0))="0-90 days",'Company Profile'!$B$6,IF(INDEX(_ENGINE_Initiatives!$BX$5:$BX$76,MATCH($A163,_ENGINE_Initiatives!$BW$5:$BW$76,0))="3-6 months",EDATE('Company Profile'!$B$6,3),IF(INDEX(_ENGINE_Initiatives!$BX$5:$BX$76,MATCH($A163,_ENGINE_Initiatives!$BW$5:$BW$76,0))="6-12 months",EDATE('Company Profile'!$B$6,6),EDATE('Company Profile'!$B$6,12))))+(IF(INDEX(_ENGINE_Initiatives!$AB$5:$AB$76,MATCH($A163,_ENGINE_Initiatives!$BW$5:$BW$76,0))&lt;=2,6,IF(INDEX(_ENGINE_Initiatives!$AB$5:$AB$76,MATCH($A163,_ENGINE_Initiatives!$BW$5:$BW$76,0))=3,10,IF(INDEX(_ENGINE_Initiatives!$AB$5:$AB$76,MATCH($A163,_ENGINE_Initiatives!$BW$5:$BW$76,0))=4,16,24)))*7)),1,""),"")</f>
      </c>
      <c r="R163" s="55">
        <f>IFERROR(IF(AND(R$162&gt;=IF(INDEX(_ENGINE_Initiatives!$BX$5:$BX$76,MATCH($A163,_ENGINE_Initiatives!$BW$5:$BW$76,0))="0-90 days",'Company Profile'!$B$6,IF(INDEX(_ENGINE_Initiatives!$BX$5:$BX$76,MATCH($A163,_ENGINE_Initiatives!$BW$5:$BW$76,0))="3-6 months",EDATE('Company Profile'!$B$6,3),IF(INDEX(_ENGINE_Initiatives!$BX$5:$BX$76,MATCH($A163,_ENGINE_Initiatives!$BW$5:$BW$76,0))="6-12 months",EDATE('Company Profile'!$B$6,6),EDATE('Company Profile'!$B$6,12)))),R$162&lt;=IF(INDEX(_ENGINE_Initiatives!$BX$5:$BX$76,MATCH($A163,_ENGINE_Initiatives!$BW$5:$BW$76,0))="0-90 days",'Company Profile'!$B$6,IF(INDEX(_ENGINE_Initiatives!$BX$5:$BX$76,MATCH($A163,_ENGINE_Initiatives!$BW$5:$BW$76,0))="3-6 months",EDATE('Company Profile'!$B$6,3),IF(INDEX(_ENGINE_Initiatives!$BX$5:$BX$76,MATCH($A163,_ENGINE_Initiatives!$BW$5:$BW$76,0))="6-12 months",EDATE('Company Profile'!$B$6,6),EDATE('Company Profile'!$B$6,12))))+(IF(INDEX(_ENGINE_Initiatives!$AB$5:$AB$76,MATCH($A163,_ENGINE_Initiatives!$BW$5:$BW$76,0))&lt;=2,6,IF(INDEX(_ENGINE_Initiatives!$AB$5:$AB$76,MATCH($A163,_ENGINE_Initiatives!$BW$5:$BW$76,0))=3,10,IF(INDEX(_ENGINE_Initiatives!$AB$5:$AB$76,MATCH($A163,_ENGINE_Initiatives!$BW$5:$BW$76,0))=4,16,24)))*7)),1,""),"")</f>
      </c>
      <c r="S163" s="55">
        <f>IFERROR(IF(AND(S$162&gt;=IF(INDEX(_ENGINE_Initiatives!$BX$5:$BX$76,MATCH($A163,_ENGINE_Initiatives!$BW$5:$BW$76,0))="0-90 days",'Company Profile'!$B$6,IF(INDEX(_ENGINE_Initiatives!$BX$5:$BX$76,MATCH($A163,_ENGINE_Initiatives!$BW$5:$BW$76,0))="3-6 months",EDATE('Company Profile'!$B$6,3),IF(INDEX(_ENGINE_Initiatives!$BX$5:$BX$76,MATCH($A163,_ENGINE_Initiatives!$BW$5:$BW$76,0))="6-12 months",EDATE('Company Profile'!$B$6,6),EDATE('Company Profile'!$B$6,12)))),S$162&lt;=IF(INDEX(_ENGINE_Initiatives!$BX$5:$BX$76,MATCH($A163,_ENGINE_Initiatives!$BW$5:$BW$76,0))="0-90 days",'Company Profile'!$B$6,IF(INDEX(_ENGINE_Initiatives!$BX$5:$BX$76,MATCH($A163,_ENGINE_Initiatives!$BW$5:$BW$76,0))="3-6 months",EDATE('Company Profile'!$B$6,3),IF(INDEX(_ENGINE_Initiatives!$BX$5:$BX$76,MATCH($A163,_ENGINE_Initiatives!$BW$5:$BW$76,0))="6-12 months",EDATE('Company Profile'!$B$6,6),EDATE('Company Profile'!$B$6,12))))+(IF(INDEX(_ENGINE_Initiatives!$AB$5:$AB$76,MATCH($A163,_ENGINE_Initiatives!$BW$5:$BW$76,0))&lt;=2,6,IF(INDEX(_ENGINE_Initiatives!$AB$5:$AB$76,MATCH($A163,_ENGINE_Initiatives!$BW$5:$BW$76,0))=3,10,IF(INDEX(_ENGINE_Initiatives!$AB$5:$AB$76,MATCH($A163,_ENGINE_Initiatives!$BW$5:$BW$76,0))=4,16,24)))*7)),1,""),"")</f>
      </c>
      <c r="T163" s="55">
        <f>IFERROR(IF(AND(T$162&gt;=IF(INDEX(_ENGINE_Initiatives!$BX$5:$BX$76,MATCH($A163,_ENGINE_Initiatives!$BW$5:$BW$76,0))="0-90 days",'Company Profile'!$B$6,IF(INDEX(_ENGINE_Initiatives!$BX$5:$BX$76,MATCH($A163,_ENGINE_Initiatives!$BW$5:$BW$76,0))="3-6 months",EDATE('Company Profile'!$B$6,3),IF(INDEX(_ENGINE_Initiatives!$BX$5:$BX$76,MATCH($A163,_ENGINE_Initiatives!$BW$5:$BW$76,0))="6-12 months",EDATE('Company Profile'!$B$6,6),EDATE('Company Profile'!$B$6,12)))),T$162&lt;=IF(INDEX(_ENGINE_Initiatives!$BX$5:$BX$76,MATCH($A163,_ENGINE_Initiatives!$BW$5:$BW$76,0))="0-90 days",'Company Profile'!$B$6,IF(INDEX(_ENGINE_Initiatives!$BX$5:$BX$76,MATCH($A163,_ENGINE_Initiatives!$BW$5:$BW$76,0))="3-6 months",EDATE('Company Profile'!$B$6,3),IF(INDEX(_ENGINE_Initiatives!$BX$5:$BX$76,MATCH($A163,_ENGINE_Initiatives!$BW$5:$BW$76,0))="6-12 months",EDATE('Company Profile'!$B$6,6),EDATE('Company Profile'!$B$6,12))))+(IF(INDEX(_ENGINE_Initiatives!$AB$5:$AB$76,MATCH($A163,_ENGINE_Initiatives!$BW$5:$BW$76,0))&lt;=2,6,IF(INDEX(_ENGINE_Initiatives!$AB$5:$AB$76,MATCH($A163,_ENGINE_Initiatives!$BW$5:$BW$76,0))=3,10,IF(INDEX(_ENGINE_Initiatives!$AB$5:$AB$76,MATCH($A163,_ENGINE_Initiatives!$BW$5:$BW$76,0))=4,16,24)))*7)),1,""),"")</f>
      </c>
      <c r="U163" s="30" t="n"/>
      <c r="V163" s="30" t="n"/>
    </row>
    <row r="164" ht="15" customHeight="1" s="209">
      <c r="A164" s="51" t="inlineStr">
        <is>
          <t>2</t>
        </is>
      </c>
      <c r="B164" s="51">
        <f>IFERROR(INDEX(_ENGINE_Initiatives!$F$5:$F$76,MATCH($A164,_ENGINE_Initiatives!$BW$5:$BW$76,0)),"")</f>
      </c>
      <c r="C164" s="55">
        <f>IFERROR(IF(AND(C$162&gt;=IF(INDEX(_ENGINE_Initiatives!$BX$5:$BX$76,MATCH($A164,_ENGINE_Initiatives!$BW$5:$BW$76,0))="0-90 days",'Company Profile'!$B$6,IF(INDEX(_ENGINE_Initiatives!$BX$5:$BX$76,MATCH($A164,_ENGINE_Initiatives!$BW$5:$BW$76,0))="3-6 months",EDATE('Company Profile'!$B$6,3),IF(INDEX(_ENGINE_Initiatives!$BX$5:$BX$76,MATCH($A164,_ENGINE_Initiatives!$BW$5:$BW$76,0))="6-12 months",EDATE('Company Profile'!$B$6,6),EDATE('Company Profile'!$B$6,12)))),C$162&lt;=IF(INDEX(_ENGINE_Initiatives!$BX$5:$BX$76,MATCH($A164,_ENGINE_Initiatives!$BW$5:$BW$76,0))="0-90 days",'Company Profile'!$B$6,IF(INDEX(_ENGINE_Initiatives!$BX$5:$BX$76,MATCH($A164,_ENGINE_Initiatives!$BW$5:$BW$76,0))="3-6 months",EDATE('Company Profile'!$B$6,3),IF(INDEX(_ENGINE_Initiatives!$BX$5:$BX$76,MATCH($A164,_ENGINE_Initiatives!$BW$5:$BW$76,0))="6-12 months",EDATE('Company Profile'!$B$6,6),EDATE('Company Profile'!$B$6,12))))+(IF(INDEX(_ENGINE_Initiatives!$AB$5:$AB$76,MATCH($A164,_ENGINE_Initiatives!$BW$5:$BW$76,0))&lt;=2,6,IF(INDEX(_ENGINE_Initiatives!$AB$5:$AB$76,MATCH($A164,_ENGINE_Initiatives!$BW$5:$BW$76,0))=3,10,IF(INDEX(_ENGINE_Initiatives!$AB$5:$AB$76,MATCH($A164,_ENGINE_Initiatives!$BW$5:$BW$76,0))=4,16,24)))*7)),1,""),"")</f>
      </c>
      <c r="D164" s="55">
        <f>IFERROR(IF(AND(D$162&gt;=IF(INDEX(_ENGINE_Initiatives!$BX$5:$BX$76,MATCH($A164,_ENGINE_Initiatives!$BW$5:$BW$76,0))="0-90 days",'Company Profile'!$B$6,IF(INDEX(_ENGINE_Initiatives!$BX$5:$BX$76,MATCH($A164,_ENGINE_Initiatives!$BW$5:$BW$76,0))="3-6 months",EDATE('Company Profile'!$B$6,3),IF(INDEX(_ENGINE_Initiatives!$BX$5:$BX$76,MATCH($A164,_ENGINE_Initiatives!$BW$5:$BW$76,0))="6-12 months",EDATE('Company Profile'!$B$6,6),EDATE('Company Profile'!$B$6,12)))),D$162&lt;=IF(INDEX(_ENGINE_Initiatives!$BX$5:$BX$76,MATCH($A164,_ENGINE_Initiatives!$BW$5:$BW$76,0))="0-90 days",'Company Profile'!$B$6,IF(INDEX(_ENGINE_Initiatives!$BX$5:$BX$76,MATCH($A164,_ENGINE_Initiatives!$BW$5:$BW$76,0))="3-6 months",EDATE('Company Profile'!$B$6,3),IF(INDEX(_ENGINE_Initiatives!$BX$5:$BX$76,MATCH($A164,_ENGINE_Initiatives!$BW$5:$BW$76,0))="6-12 months",EDATE('Company Profile'!$B$6,6),EDATE('Company Profile'!$B$6,12))))+(IF(INDEX(_ENGINE_Initiatives!$AB$5:$AB$76,MATCH($A164,_ENGINE_Initiatives!$BW$5:$BW$76,0))&lt;=2,6,IF(INDEX(_ENGINE_Initiatives!$AB$5:$AB$76,MATCH($A164,_ENGINE_Initiatives!$BW$5:$BW$76,0))=3,10,IF(INDEX(_ENGINE_Initiatives!$AB$5:$AB$76,MATCH($A164,_ENGINE_Initiatives!$BW$5:$BW$76,0))=4,16,24)))*7)),1,""),"")</f>
      </c>
      <c r="E164" s="55">
        <f>IFERROR(IF(AND(E$162&gt;=IF(INDEX(_ENGINE_Initiatives!$BX$5:$BX$76,MATCH($A164,_ENGINE_Initiatives!$BW$5:$BW$76,0))="0-90 days",'Company Profile'!$B$6,IF(INDEX(_ENGINE_Initiatives!$BX$5:$BX$76,MATCH($A164,_ENGINE_Initiatives!$BW$5:$BW$76,0))="3-6 months",EDATE('Company Profile'!$B$6,3),IF(INDEX(_ENGINE_Initiatives!$BX$5:$BX$76,MATCH($A164,_ENGINE_Initiatives!$BW$5:$BW$76,0))="6-12 months",EDATE('Company Profile'!$B$6,6),EDATE('Company Profile'!$B$6,12)))),E$162&lt;=IF(INDEX(_ENGINE_Initiatives!$BX$5:$BX$76,MATCH($A164,_ENGINE_Initiatives!$BW$5:$BW$76,0))="0-90 days",'Company Profile'!$B$6,IF(INDEX(_ENGINE_Initiatives!$BX$5:$BX$76,MATCH($A164,_ENGINE_Initiatives!$BW$5:$BW$76,0))="3-6 months",EDATE('Company Profile'!$B$6,3),IF(INDEX(_ENGINE_Initiatives!$BX$5:$BX$76,MATCH($A164,_ENGINE_Initiatives!$BW$5:$BW$76,0))="6-12 months",EDATE('Company Profile'!$B$6,6),EDATE('Company Profile'!$B$6,12))))+(IF(INDEX(_ENGINE_Initiatives!$AB$5:$AB$76,MATCH($A164,_ENGINE_Initiatives!$BW$5:$BW$76,0))&lt;=2,6,IF(INDEX(_ENGINE_Initiatives!$AB$5:$AB$76,MATCH($A164,_ENGINE_Initiatives!$BW$5:$BW$76,0))=3,10,IF(INDEX(_ENGINE_Initiatives!$AB$5:$AB$76,MATCH($A164,_ENGINE_Initiatives!$BW$5:$BW$76,0))=4,16,24)))*7)),1,""),"")</f>
      </c>
      <c r="F164" s="55">
        <f>IFERROR(IF(AND(F$162&gt;=IF(INDEX(_ENGINE_Initiatives!$BX$5:$BX$76,MATCH($A164,_ENGINE_Initiatives!$BW$5:$BW$76,0))="0-90 days",'Company Profile'!$B$6,IF(INDEX(_ENGINE_Initiatives!$BX$5:$BX$76,MATCH($A164,_ENGINE_Initiatives!$BW$5:$BW$76,0))="3-6 months",EDATE('Company Profile'!$B$6,3),IF(INDEX(_ENGINE_Initiatives!$BX$5:$BX$76,MATCH($A164,_ENGINE_Initiatives!$BW$5:$BW$76,0))="6-12 months",EDATE('Company Profile'!$B$6,6),EDATE('Company Profile'!$B$6,12)))),F$162&lt;=IF(INDEX(_ENGINE_Initiatives!$BX$5:$BX$76,MATCH($A164,_ENGINE_Initiatives!$BW$5:$BW$76,0))="0-90 days",'Company Profile'!$B$6,IF(INDEX(_ENGINE_Initiatives!$BX$5:$BX$76,MATCH($A164,_ENGINE_Initiatives!$BW$5:$BW$76,0))="3-6 months",EDATE('Company Profile'!$B$6,3),IF(INDEX(_ENGINE_Initiatives!$BX$5:$BX$76,MATCH($A164,_ENGINE_Initiatives!$BW$5:$BW$76,0))="6-12 months",EDATE('Company Profile'!$B$6,6),EDATE('Company Profile'!$B$6,12))))+(IF(INDEX(_ENGINE_Initiatives!$AB$5:$AB$76,MATCH($A164,_ENGINE_Initiatives!$BW$5:$BW$76,0))&lt;=2,6,IF(INDEX(_ENGINE_Initiatives!$AB$5:$AB$76,MATCH($A164,_ENGINE_Initiatives!$BW$5:$BW$76,0))=3,10,IF(INDEX(_ENGINE_Initiatives!$AB$5:$AB$76,MATCH($A164,_ENGINE_Initiatives!$BW$5:$BW$76,0))=4,16,24)))*7)),1,""),"")</f>
      </c>
      <c r="G164" s="55">
        <f>IFERROR(IF(AND(G$162&gt;=IF(INDEX(_ENGINE_Initiatives!$BX$5:$BX$76,MATCH($A164,_ENGINE_Initiatives!$BW$5:$BW$76,0))="0-90 days",'Company Profile'!$B$6,IF(INDEX(_ENGINE_Initiatives!$BX$5:$BX$76,MATCH($A164,_ENGINE_Initiatives!$BW$5:$BW$76,0))="3-6 months",EDATE('Company Profile'!$B$6,3),IF(INDEX(_ENGINE_Initiatives!$BX$5:$BX$76,MATCH($A164,_ENGINE_Initiatives!$BW$5:$BW$76,0))="6-12 months",EDATE('Company Profile'!$B$6,6),EDATE('Company Profile'!$B$6,12)))),G$162&lt;=IF(INDEX(_ENGINE_Initiatives!$BX$5:$BX$76,MATCH($A164,_ENGINE_Initiatives!$BW$5:$BW$76,0))="0-90 days",'Company Profile'!$B$6,IF(INDEX(_ENGINE_Initiatives!$BX$5:$BX$76,MATCH($A164,_ENGINE_Initiatives!$BW$5:$BW$76,0))="3-6 months",EDATE('Company Profile'!$B$6,3),IF(INDEX(_ENGINE_Initiatives!$BX$5:$BX$76,MATCH($A164,_ENGINE_Initiatives!$BW$5:$BW$76,0))="6-12 months",EDATE('Company Profile'!$B$6,6),EDATE('Company Profile'!$B$6,12))))+(IF(INDEX(_ENGINE_Initiatives!$AB$5:$AB$76,MATCH($A164,_ENGINE_Initiatives!$BW$5:$BW$76,0))&lt;=2,6,IF(INDEX(_ENGINE_Initiatives!$AB$5:$AB$76,MATCH($A164,_ENGINE_Initiatives!$BW$5:$BW$76,0))=3,10,IF(INDEX(_ENGINE_Initiatives!$AB$5:$AB$76,MATCH($A164,_ENGINE_Initiatives!$BW$5:$BW$76,0))=4,16,24)))*7)),1,""),"")</f>
      </c>
      <c r="H164" s="55">
        <f>IFERROR(IF(AND(H$162&gt;=IF(INDEX(_ENGINE_Initiatives!$BX$5:$BX$76,MATCH($A164,_ENGINE_Initiatives!$BW$5:$BW$76,0))="0-90 days",'Company Profile'!$B$6,IF(INDEX(_ENGINE_Initiatives!$BX$5:$BX$76,MATCH($A164,_ENGINE_Initiatives!$BW$5:$BW$76,0))="3-6 months",EDATE('Company Profile'!$B$6,3),IF(INDEX(_ENGINE_Initiatives!$BX$5:$BX$76,MATCH($A164,_ENGINE_Initiatives!$BW$5:$BW$76,0))="6-12 months",EDATE('Company Profile'!$B$6,6),EDATE('Company Profile'!$B$6,12)))),H$162&lt;=IF(INDEX(_ENGINE_Initiatives!$BX$5:$BX$76,MATCH($A164,_ENGINE_Initiatives!$BW$5:$BW$76,0))="0-90 days",'Company Profile'!$B$6,IF(INDEX(_ENGINE_Initiatives!$BX$5:$BX$76,MATCH($A164,_ENGINE_Initiatives!$BW$5:$BW$76,0))="3-6 months",EDATE('Company Profile'!$B$6,3),IF(INDEX(_ENGINE_Initiatives!$BX$5:$BX$76,MATCH($A164,_ENGINE_Initiatives!$BW$5:$BW$76,0))="6-12 months",EDATE('Company Profile'!$B$6,6),EDATE('Company Profile'!$B$6,12))))+(IF(INDEX(_ENGINE_Initiatives!$AB$5:$AB$76,MATCH($A164,_ENGINE_Initiatives!$BW$5:$BW$76,0))&lt;=2,6,IF(INDEX(_ENGINE_Initiatives!$AB$5:$AB$76,MATCH($A164,_ENGINE_Initiatives!$BW$5:$BW$76,0))=3,10,IF(INDEX(_ENGINE_Initiatives!$AB$5:$AB$76,MATCH($A164,_ENGINE_Initiatives!$BW$5:$BW$76,0))=4,16,24)))*7)),1,""),"")</f>
      </c>
      <c r="I164" s="55">
        <f>IFERROR(IF(AND(I$162&gt;=IF(INDEX(_ENGINE_Initiatives!$BX$5:$BX$76,MATCH($A164,_ENGINE_Initiatives!$BW$5:$BW$76,0))="0-90 days",'Company Profile'!$B$6,IF(INDEX(_ENGINE_Initiatives!$BX$5:$BX$76,MATCH($A164,_ENGINE_Initiatives!$BW$5:$BW$76,0))="3-6 months",EDATE('Company Profile'!$B$6,3),IF(INDEX(_ENGINE_Initiatives!$BX$5:$BX$76,MATCH($A164,_ENGINE_Initiatives!$BW$5:$BW$76,0))="6-12 months",EDATE('Company Profile'!$B$6,6),EDATE('Company Profile'!$B$6,12)))),I$162&lt;=IF(INDEX(_ENGINE_Initiatives!$BX$5:$BX$76,MATCH($A164,_ENGINE_Initiatives!$BW$5:$BW$76,0))="0-90 days",'Company Profile'!$B$6,IF(INDEX(_ENGINE_Initiatives!$BX$5:$BX$76,MATCH($A164,_ENGINE_Initiatives!$BW$5:$BW$76,0))="3-6 months",EDATE('Company Profile'!$B$6,3),IF(INDEX(_ENGINE_Initiatives!$BX$5:$BX$76,MATCH($A164,_ENGINE_Initiatives!$BW$5:$BW$76,0))="6-12 months",EDATE('Company Profile'!$B$6,6),EDATE('Company Profile'!$B$6,12))))+(IF(INDEX(_ENGINE_Initiatives!$AB$5:$AB$76,MATCH($A164,_ENGINE_Initiatives!$BW$5:$BW$76,0))&lt;=2,6,IF(INDEX(_ENGINE_Initiatives!$AB$5:$AB$76,MATCH($A164,_ENGINE_Initiatives!$BW$5:$BW$76,0))=3,10,IF(INDEX(_ENGINE_Initiatives!$AB$5:$AB$76,MATCH($A164,_ENGINE_Initiatives!$BW$5:$BW$76,0))=4,16,24)))*7)),1,""),"")</f>
      </c>
      <c r="J164" s="55">
        <f>IFERROR(IF(AND(J$162&gt;=IF(INDEX(_ENGINE_Initiatives!$BX$5:$BX$76,MATCH($A164,_ENGINE_Initiatives!$BW$5:$BW$76,0))="0-90 days",'Company Profile'!$B$6,IF(INDEX(_ENGINE_Initiatives!$BX$5:$BX$76,MATCH($A164,_ENGINE_Initiatives!$BW$5:$BW$76,0))="3-6 months",EDATE('Company Profile'!$B$6,3),IF(INDEX(_ENGINE_Initiatives!$BX$5:$BX$76,MATCH($A164,_ENGINE_Initiatives!$BW$5:$BW$76,0))="6-12 months",EDATE('Company Profile'!$B$6,6),EDATE('Company Profile'!$B$6,12)))),J$162&lt;=IF(INDEX(_ENGINE_Initiatives!$BX$5:$BX$76,MATCH($A164,_ENGINE_Initiatives!$BW$5:$BW$76,0))="0-90 days",'Company Profile'!$B$6,IF(INDEX(_ENGINE_Initiatives!$BX$5:$BX$76,MATCH($A164,_ENGINE_Initiatives!$BW$5:$BW$76,0))="3-6 months",EDATE('Company Profile'!$B$6,3),IF(INDEX(_ENGINE_Initiatives!$BX$5:$BX$76,MATCH($A164,_ENGINE_Initiatives!$BW$5:$BW$76,0))="6-12 months",EDATE('Company Profile'!$B$6,6),EDATE('Company Profile'!$B$6,12))))+(IF(INDEX(_ENGINE_Initiatives!$AB$5:$AB$76,MATCH($A164,_ENGINE_Initiatives!$BW$5:$BW$76,0))&lt;=2,6,IF(INDEX(_ENGINE_Initiatives!$AB$5:$AB$76,MATCH($A164,_ENGINE_Initiatives!$BW$5:$BW$76,0))=3,10,IF(INDEX(_ENGINE_Initiatives!$AB$5:$AB$76,MATCH($A164,_ENGINE_Initiatives!$BW$5:$BW$76,0))=4,16,24)))*7)),1,""),"")</f>
      </c>
      <c r="K164" s="55">
        <f>IFERROR(IF(AND(K$162&gt;=IF(INDEX(_ENGINE_Initiatives!$BX$5:$BX$76,MATCH($A164,_ENGINE_Initiatives!$BW$5:$BW$76,0))="0-90 days",'Company Profile'!$B$6,IF(INDEX(_ENGINE_Initiatives!$BX$5:$BX$76,MATCH($A164,_ENGINE_Initiatives!$BW$5:$BW$76,0))="3-6 months",EDATE('Company Profile'!$B$6,3),IF(INDEX(_ENGINE_Initiatives!$BX$5:$BX$76,MATCH($A164,_ENGINE_Initiatives!$BW$5:$BW$76,0))="6-12 months",EDATE('Company Profile'!$B$6,6),EDATE('Company Profile'!$B$6,12)))),K$162&lt;=IF(INDEX(_ENGINE_Initiatives!$BX$5:$BX$76,MATCH($A164,_ENGINE_Initiatives!$BW$5:$BW$76,0))="0-90 days",'Company Profile'!$B$6,IF(INDEX(_ENGINE_Initiatives!$BX$5:$BX$76,MATCH($A164,_ENGINE_Initiatives!$BW$5:$BW$76,0))="3-6 months",EDATE('Company Profile'!$B$6,3),IF(INDEX(_ENGINE_Initiatives!$BX$5:$BX$76,MATCH($A164,_ENGINE_Initiatives!$BW$5:$BW$76,0))="6-12 months",EDATE('Company Profile'!$B$6,6),EDATE('Company Profile'!$B$6,12))))+(IF(INDEX(_ENGINE_Initiatives!$AB$5:$AB$76,MATCH($A164,_ENGINE_Initiatives!$BW$5:$BW$76,0))&lt;=2,6,IF(INDEX(_ENGINE_Initiatives!$AB$5:$AB$76,MATCH($A164,_ENGINE_Initiatives!$BW$5:$BW$76,0))=3,10,IF(INDEX(_ENGINE_Initiatives!$AB$5:$AB$76,MATCH($A164,_ENGINE_Initiatives!$BW$5:$BW$76,0))=4,16,24)))*7)),1,""),"")</f>
      </c>
      <c r="L164" s="55">
        <f>IFERROR(IF(AND(L$162&gt;=IF(INDEX(_ENGINE_Initiatives!$BX$5:$BX$76,MATCH($A164,_ENGINE_Initiatives!$BW$5:$BW$76,0))="0-90 days",'Company Profile'!$B$6,IF(INDEX(_ENGINE_Initiatives!$BX$5:$BX$76,MATCH($A164,_ENGINE_Initiatives!$BW$5:$BW$76,0))="3-6 months",EDATE('Company Profile'!$B$6,3),IF(INDEX(_ENGINE_Initiatives!$BX$5:$BX$76,MATCH($A164,_ENGINE_Initiatives!$BW$5:$BW$76,0))="6-12 months",EDATE('Company Profile'!$B$6,6),EDATE('Company Profile'!$B$6,12)))),L$162&lt;=IF(INDEX(_ENGINE_Initiatives!$BX$5:$BX$76,MATCH($A164,_ENGINE_Initiatives!$BW$5:$BW$76,0))="0-90 days",'Company Profile'!$B$6,IF(INDEX(_ENGINE_Initiatives!$BX$5:$BX$76,MATCH($A164,_ENGINE_Initiatives!$BW$5:$BW$76,0))="3-6 months",EDATE('Company Profile'!$B$6,3),IF(INDEX(_ENGINE_Initiatives!$BX$5:$BX$76,MATCH($A164,_ENGINE_Initiatives!$BW$5:$BW$76,0))="6-12 months",EDATE('Company Profile'!$B$6,6),EDATE('Company Profile'!$B$6,12))))+(IF(INDEX(_ENGINE_Initiatives!$AB$5:$AB$76,MATCH($A164,_ENGINE_Initiatives!$BW$5:$BW$76,0))&lt;=2,6,IF(INDEX(_ENGINE_Initiatives!$AB$5:$AB$76,MATCH($A164,_ENGINE_Initiatives!$BW$5:$BW$76,0))=3,10,IF(INDEX(_ENGINE_Initiatives!$AB$5:$AB$76,MATCH($A164,_ENGINE_Initiatives!$BW$5:$BW$76,0))=4,16,24)))*7)),1,""),"")</f>
      </c>
      <c r="M164" s="55">
        <f>IFERROR(IF(AND(M$162&gt;=IF(INDEX(_ENGINE_Initiatives!$BX$5:$BX$76,MATCH($A164,_ENGINE_Initiatives!$BW$5:$BW$76,0))="0-90 days",'Company Profile'!$B$6,IF(INDEX(_ENGINE_Initiatives!$BX$5:$BX$76,MATCH($A164,_ENGINE_Initiatives!$BW$5:$BW$76,0))="3-6 months",EDATE('Company Profile'!$B$6,3),IF(INDEX(_ENGINE_Initiatives!$BX$5:$BX$76,MATCH($A164,_ENGINE_Initiatives!$BW$5:$BW$76,0))="6-12 months",EDATE('Company Profile'!$B$6,6),EDATE('Company Profile'!$B$6,12)))),M$162&lt;=IF(INDEX(_ENGINE_Initiatives!$BX$5:$BX$76,MATCH($A164,_ENGINE_Initiatives!$BW$5:$BW$76,0))="0-90 days",'Company Profile'!$B$6,IF(INDEX(_ENGINE_Initiatives!$BX$5:$BX$76,MATCH($A164,_ENGINE_Initiatives!$BW$5:$BW$76,0))="3-6 months",EDATE('Company Profile'!$B$6,3),IF(INDEX(_ENGINE_Initiatives!$BX$5:$BX$76,MATCH($A164,_ENGINE_Initiatives!$BW$5:$BW$76,0))="6-12 months",EDATE('Company Profile'!$B$6,6),EDATE('Company Profile'!$B$6,12))))+(IF(INDEX(_ENGINE_Initiatives!$AB$5:$AB$76,MATCH($A164,_ENGINE_Initiatives!$BW$5:$BW$76,0))&lt;=2,6,IF(INDEX(_ENGINE_Initiatives!$AB$5:$AB$76,MATCH($A164,_ENGINE_Initiatives!$BW$5:$BW$76,0))=3,10,IF(INDEX(_ENGINE_Initiatives!$AB$5:$AB$76,MATCH($A164,_ENGINE_Initiatives!$BW$5:$BW$76,0))=4,16,24)))*7)),1,""),"")</f>
      </c>
      <c r="N164" s="55">
        <f>IFERROR(IF(AND(N$162&gt;=IF(INDEX(_ENGINE_Initiatives!$BX$5:$BX$76,MATCH($A164,_ENGINE_Initiatives!$BW$5:$BW$76,0))="0-90 days",'Company Profile'!$B$6,IF(INDEX(_ENGINE_Initiatives!$BX$5:$BX$76,MATCH($A164,_ENGINE_Initiatives!$BW$5:$BW$76,0))="3-6 months",EDATE('Company Profile'!$B$6,3),IF(INDEX(_ENGINE_Initiatives!$BX$5:$BX$76,MATCH($A164,_ENGINE_Initiatives!$BW$5:$BW$76,0))="6-12 months",EDATE('Company Profile'!$B$6,6),EDATE('Company Profile'!$B$6,12)))),N$162&lt;=IF(INDEX(_ENGINE_Initiatives!$BX$5:$BX$76,MATCH($A164,_ENGINE_Initiatives!$BW$5:$BW$76,0))="0-90 days",'Company Profile'!$B$6,IF(INDEX(_ENGINE_Initiatives!$BX$5:$BX$76,MATCH($A164,_ENGINE_Initiatives!$BW$5:$BW$76,0))="3-6 months",EDATE('Company Profile'!$B$6,3),IF(INDEX(_ENGINE_Initiatives!$BX$5:$BX$76,MATCH($A164,_ENGINE_Initiatives!$BW$5:$BW$76,0))="6-12 months",EDATE('Company Profile'!$B$6,6),EDATE('Company Profile'!$B$6,12))))+(IF(INDEX(_ENGINE_Initiatives!$AB$5:$AB$76,MATCH($A164,_ENGINE_Initiatives!$BW$5:$BW$76,0))&lt;=2,6,IF(INDEX(_ENGINE_Initiatives!$AB$5:$AB$76,MATCH($A164,_ENGINE_Initiatives!$BW$5:$BW$76,0))=3,10,IF(INDEX(_ENGINE_Initiatives!$AB$5:$AB$76,MATCH($A164,_ENGINE_Initiatives!$BW$5:$BW$76,0))=4,16,24)))*7)),1,""),"")</f>
      </c>
      <c r="O164" s="55">
        <f>IFERROR(IF(AND(O$162&gt;=IF(INDEX(_ENGINE_Initiatives!$BX$5:$BX$76,MATCH($A164,_ENGINE_Initiatives!$BW$5:$BW$76,0))="0-90 days",'Company Profile'!$B$6,IF(INDEX(_ENGINE_Initiatives!$BX$5:$BX$76,MATCH($A164,_ENGINE_Initiatives!$BW$5:$BW$76,0))="3-6 months",EDATE('Company Profile'!$B$6,3),IF(INDEX(_ENGINE_Initiatives!$BX$5:$BX$76,MATCH($A164,_ENGINE_Initiatives!$BW$5:$BW$76,0))="6-12 months",EDATE('Company Profile'!$B$6,6),EDATE('Company Profile'!$B$6,12)))),O$162&lt;=IF(INDEX(_ENGINE_Initiatives!$BX$5:$BX$76,MATCH($A164,_ENGINE_Initiatives!$BW$5:$BW$76,0))="0-90 days",'Company Profile'!$B$6,IF(INDEX(_ENGINE_Initiatives!$BX$5:$BX$76,MATCH($A164,_ENGINE_Initiatives!$BW$5:$BW$76,0))="3-6 months",EDATE('Company Profile'!$B$6,3),IF(INDEX(_ENGINE_Initiatives!$BX$5:$BX$76,MATCH($A164,_ENGINE_Initiatives!$BW$5:$BW$76,0))="6-12 months",EDATE('Company Profile'!$B$6,6),EDATE('Company Profile'!$B$6,12))))+(IF(INDEX(_ENGINE_Initiatives!$AB$5:$AB$76,MATCH($A164,_ENGINE_Initiatives!$BW$5:$BW$76,0))&lt;=2,6,IF(INDEX(_ENGINE_Initiatives!$AB$5:$AB$76,MATCH($A164,_ENGINE_Initiatives!$BW$5:$BW$76,0))=3,10,IF(INDEX(_ENGINE_Initiatives!$AB$5:$AB$76,MATCH($A164,_ENGINE_Initiatives!$BW$5:$BW$76,0))=4,16,24)))*7)),1,""),"")</f>
      </c>
      <c r="P164" s="55">
        <f>IFERROR(IF(AND(P$162&gt;=IF(INDEX(_ENGINE_Initiatives!$BX$5:$BX$76,MATCH($A164,_ENGINE_Initiatives!$BW$5:$BW$76,0))="0-90 days",'Company Profile'!$B$6,IF(INDEX(_ENGINE_Initiatives!$BX$5:$BX$76,MATCH($A164,_ENGINE_Initiatives!$BW$5:$BW$76,0))="3-6 months",EDATE('Company Profile'!$B$6,3),IF(INDEX(_ENGINE_Initiatives!$BX$5:$BX$76,MATCH($A164,_ENGINE_Initiatives!$BW$5:$BW$76,0))="6-12 months",EDATE('Company Profile'!$B$6,6),EDATE('Company Profile'!$B$6,12)))),P$162&lt;=IF(INDEX(_ENGINE_Initiatives!$BX$5:$BX$76,MATCH($A164,_ENGINE_Initiatives!$BW$5:$BW$76,0))="0-90 days",'Company Profile'!$B$6,IF(INDEX(_ENGINE_Initiatives!$BX$5:$BX$76,MATCH($A164,_ENGINE_Initiatives!$BW$5:$BW$76,0))="3-6 months",EDATE('Company Profile'!$B$6,3),IF(INDEX(_ENGINE_Initiatives!$BX$5:$BX$76,MATCH($A164,_ENGINE_Initiatives!$BW$5:$BW$76,0))="6-12 months",EDATE('Company Profile'!$B$6,6),EDATE('Company Profile'!$B$6,12))))+(IF(INDEX(_ENGINE_Initiatives!$AB$5:$AB$76,MATCH($A164,_ENGINE_Initiatives!$BW$5:$BW$76,0))&lt;=2,6,IF(INDEX(_ENGINE_Initiatives!$AB$5:$AB$76,MATCH($A164,_ENGINE_Initiatives!$BW$5:$BW$76,0))=3,10,IF(INDEX(_ENGINE_Initiatives!$AB$5:$AB$76,MATCH($A164,_ENGINE_Initiatives!$BW$5:$BW$76,0))=4,16,24)))*7)),1,""),"")</f>
      </c>
      <c r="Q164" s="55">
        <f>IFERROR(IF(AND(Q$162&gt;=IF(INDEX(_ENGINE_Initiatives!$BX$5:$BX$76,MATCH($A164,_ENGINE_Initiatives!$BW$5:$BW$76,0))="0-90 days",'Company Profile'!$B$6,IF(INDEX(_ENGINE_Initiatives!$BX$5:$BX$76,MATCH($A164,_ENGINE_Initiatives!$BW$5:$BW$76,0))="3-6 months",EDATE('Company Profile'!$B$6,3),IF(INDEX(_ENGINE_Initiatives!$BX$5:$BX$76,MATCH($A164,_ENGINE_Initiatives!$BW$5:$BW$76,0))="6-12 months",EDATE('Company Profile'!$B$6,6),EDATE('Company Profile'!$B$6,12)))),Q$162&lt;=IF(INDEX(_ENGINE_Initiatives!$BX$5:$BX$76,MATCH($A164,_ENGINE_Initiatives!$BW$5:$BW$76,0))="0-90 days",'Company Profile'!$B$6,IF(INDEX(_ENGINE_Initiatives!$BX$5:$BX$76,MATCH($A164,_ENGINE_Initiatives!$BW$5:$BW$76,0))="3-6 months",EDATE('Company Profile'!$B$6,3),IF(INDEX(_ENGINE_Initiatives!$BX$5:$BX$76,MATCH($A164,_ENGINE_Initiatives!$BW$5:$BW$76,0))="6-12 months",EDATE('Company Profile'!$B$6,6),EDATE('Company Profile'!$B$6,12))))+(IF(INDEX(_ENGINE_Initiatives!$AB$5:$AB$76,MATCH($A164,_ENGINE_Initiatives!$BW$5:$BW$76,0))&lt;=2,6,IF(INDEX(_ENGINE_Initiatives!$AB$5:$AB$76,MATCH($A164,_ENGINE_Initiatives!$BW$5:$BW$76,0))=3,10,IF(INDEX(_ENGINE_Initiatives!$AB$5:$AB$76,MATCH($A164,_ENGINE_Initiatives!$BW$5:$BW$76,0))=4,16,24)))*7)),1,""),"")</f>
      </c>
      <c r="R164" s="55">
        <f>IFERROR(IF(AND(R$162&gt;=IF(INDEX(_ENGINE_Initiatives!$BX$5:$BX$76,MATCH($A164,_ENGINE_Initiatives!$BW$5:$BW$76,0))="0-90 days",'Company Profile'!$B$6,IF(INDEX(_ENGINE_Initiatives!$BX$5:$BX$76,MATCH($A164,_ENGINE_Initiatives!$BW$5:$BW$76,0))="3-6 months",EDATE('Company Profile'!$B$6,3),IF(INDEX(_ENGINE_Initiatives!$BX$5:$BX$76,MATCH($A164,_ENGINE_Initiatives!$BW$5:$BW$76,0))="6-12 months",EDATE('Company Profile'!$B$6,6),EDATE('Company Profile'!$B$6,12)))),R$162&lt;=IF(INDEX(_ENGINE_Initiatives!$BX$5:$BX$76,MATCH($A164,_ENGINE_Initiatives!$BW$5:$BW$76,0))="0-90 days",'Company Profile'!$B$6,IF(INDEX(_ENGINE_Initiatives!$BX$5:$BX$76,MATCH($A164,_ENGINE_Initiatives!$BW$5:$BW$76,0))="3-6 months",EDATE('Company Profile'!$B$6,3),IF(INDEX(_ENGINE_Initiatives!$BX$5:$BX$76,MATCH($A164,_ENGINE_Initiatives!$BW$5:$BW$76,0))="6-12 months",EDATE('Company Profile'!$B$6,6),EDATE('Company Profile'!$B$6,12))))+(IF(INDEX(_ENGINE_Initiatives!$AB$5:$AB$76,MATCH($A164,_ENGINE_Initiatives!$BW$5:$BW$76,0))&lt;=2,6,IF(INDEX(_ENGINE_Initiatives!$AB$5:$AB$76,MATCH($A164,_ENGINE_Initiatives!$BW$5:$BW$76,0))=3,10,IF(INDEX(_ENGINE_Initiatives!$AB$5:$AB$76,MATCH($A164,_ENGINE_Initiatives!$BW$5:$BW$76,0))=4,16,24)))*7)),1,""),"")</f>
      </c>
      <c r="S164" s="55">
        <f>IFERROR(IF(AND(S$162&gt;=IF(INDEX(_ENGINE_Initiatives!$BX$5:$BX$76,MATCH($A164,_ENGINE_Initiatives!$BW$5:$BW$76,0))="0-90 days",'Company Profile'!$B$6,IF(INDEX(_ENGINE_Initiatives!$BX$5:$BX$76,MATCH($A164,_ENGINE_Initiatives!$BW$5:$BW$76,0))="3-6 months",EDATE('Company Profile'!$B$6,3),IF(INDEX(_ENGINE_Initiatives!$BX$5:$BX$76,MATCH($A164,_ENGINE_Initiatives!$BW$5:$BW$76,0))="6-12 months",EDATE('Company Profile'!$B$6,6),EDATE('Company Profile'!$B$6,12)))),S$162&lt;=IF(INDEX(_ENGINE_Initiatives!$BX$5:$BX$76,MATCH($A164,_ENGINE_Initiatives!$BW$5:$BW$76,0))="0-90 days",'Company Profile'!$B$6,IF(INDEX(_ENGINE_Initiatives!$BX$5:$BX$76,MATCH($A164,_ENGINE_Initiatives!$BW$5:$BW$76,0))="3-6 months",EDATE('Company Profile'!$B$6,3),IF(INDEX(_ENGINE_Initiatives!$BX$5:$BX$76,MATCH($A164,_ENGINE_Initiatives!$BW$5:$BW$76,0))="6-12 months",EDATE('Company Profile'!$B$6,6),EDATE('Company Profile'!$B$6,12))))+(IF(INDEX(_ENGINE_Initiatives!$AB$5:$AB$76,MATCH($A164,_ENGINE_Initiatives!$BW$5:$BW$76,0))&lt;=2,6,IF(INDEX(_ENGINE_Initiatives!$AB$5:$AB$76,MATCH($A164,_ENGINE_Initiatives!$BW$5:$BW$76,0))=3,10,IF(INDEX(_ENGINE_Initiatives!$AB$5:$AB$76,MATCH($A164,_ENGINE_Initiatives!$BW$5:$BW$76,0))=4,16,24)))*7)),1,""),"")</f>
      </c>
      <c r="T164" s="55">
        <f>IFERROR(IF(AND(T$162&gt;=IF(INDEX(_ENGINE_Initiatives!$BX$5:$BX$76,MATCH($A164,_ENGINE_Initiatives!$BW$5:$BW$76,0))="0-90 days",'Company Profile'!$B$6,IF(INDEX(_ENGINE_Initiatives!$BX$5:$BX$76,MATCH($A164,_ENGINE_Initiatives!$BW$5:$BW$76,0))="3-6 months",EDATE('Company Profile'!$B$6,3),IF(INDEX(_ENGINE_Initiatives!$BX$5:$BX$76,MATCH($A164,_ENGINE_Initiatives!$BW$5:$BW$76,0))="6-12 months",EDATE('Company Profile'!$B$6,6),EDATE('Company Profile'!$B$6,12)))),T$162&lt;=IF(INDEX(_ENGINE_Initiatives!$BX$5:$BX$76,MATCH($A164,_ENGINE_Initiatives!$BW$5:$BW$76,0))="0-90 days",'Company Profile'!$B$6,IF(INDEX(_ENGINE_Initiatives!$BX$5:$BX$76,MATCH($A164,_ENGINE_Initiatives!$BW$5:$BW$76,0))="3-6 months",EDATE('Company Profile'!$B$6,3),IF(INDEX(_ENGINE_Initiatives!$BX$5:$BX$76,MATCH($A164,_ENGINE_Initiatives!$BW$5:$BW$76,0))="6-12 months",EDATE('Company Profile'!$B$6,6),EDATE('Company Profile'!$B$6,12))))+(IF(INDEX(_ENGINE_Initiatives!$AB$5:$AB$76,MATCH($A164,_ENGINE_Initiatives!$BW$5:$BW$76,0))&lt;=2,6,IF(INDEX(_ENGINE_Initiatives!$AB$5:$AB$76,MATCH($A164,_ENGINE_Initiatives!$BW$5:$BW$76,0))=3,10,IF(INDEX(_ENGINE_Initiatives!$AB$5:$AB$76,MATCH($A164,_ENGINE_Initiatives!$BW$5:$BW$76,0))=4,16,24)))*7)),1,""),"")</f>
      </c>
      <c r="U164" s="30" t="n"/>
      <c r="V164" s="30" t="n"/>
    </row>
    <row r="165" ht="15" customHeight="1" s="209">
      <c r="A165" s="51" t="inlineStr">
        <is>
          <t>3</t>
        </is>
      </c>
      <c r="B165" s="51">
        <f>IFERROR(INDEX(_ENGINE_Initiatives!$F$5:$F$76,MATCH($A165,_ENGINE_Initiatives!$BW$5:$BW$76,0)),"")</f>
      </c>
      <c r="C165" s="55">
        <f>IFERROR(IF(AND(C$162&gt;=IF(INDEX(_ENGINE_Initiatives!$BX$5:$BX$76,MATCH($A165,_ENGINE_Initiatives!$BW$5:$BW$76,0))="0-90 days",'Company Profile'!$B$6,IF(INDEX(_ENGINE_Initiatives!$BX$5:$BX$76,MATCH($A165,_ENGINE_Initiatives!$BW$5:$BW$76,0))="3-6 months",EDATE('Company Profile'!$B$6,3),IF(INDEX(_ENGINE_Initiatives!$BX$5:$BX$76,MATCH($A165,_ENGINE_Initiatives!$BW$5:$BW$76,0))="6-12 months",EDATE('Company Profile'!$B$6,6),EDATE('Company Profile'!$B$6,12)))),C$162&lt;=IF(INDEX(_ENGINE_Initiatives!$BX$5:$BX$76,MATCH($A165,_ENGINE_Initiatives!$BW$5:$BW$76,0))="0-90 days",'Company Profile'!$B$6,IF(INDEX(_ENGINE_Initiatives!$BX$5:$BX$76,MATCH($A165,_ENGINE_Initiatives!$BW$5:$BW$76,0))="3-6 months",EDATE('Company Profile'!$B$6,3),IF(INDEX(_ENGINE_Initiatives!$BX$5:$BX$76,MATCH($A165,_ENGINE_Initiatives!$BW$5:$BW$76,0))="6-12 months",EDATE('Company Profile'!$B$6,6),EDATE('Company Profile'!$B$6,12))))+(IF(INDEX(_ENGINE_Initiatives!$AB$5:$AB$76,MATCH($A165,_ENGINE_Initiatives!$BW$5:$BW$76,0))&lt;=2,6,IF(INDEX(_ENGINE_Initiatives!$AB$5:$AB$76,MATCH($A165,_ENGINE_Initiatives!$BW$5:$BW$76,0))=3,10,IF(INDEX(_ENGINE_Initiatives!$AB$5:$AB$76,MATCH($A165,_ENGINE_Initiatives!$BW$5:$BW$76,0))=4,16,24)))*7)),1,""),"")</f>
      </c>
      <c r="D165" s="55">
        <f>IFERROR(IF(AND(D$162&gt;=IF(INDEX(_ENGINE_Initiatives!$BX$5:$BX$76,MATCH($A165,_ENGINE_Initiatives!$BW$5:$BW$76,0))="0-90 days",'Company Profile'!$B$6,IF(INDEX(_ENGINE_Initiatives!$BX$5:$BX$76,MATCH($A165,_ENGINE_Initiatives!$BW$5:$BW$76,0))="3-6 months",EDATE('Company Profile'!$B$6,3),IF(INDEX(_ENGINE_Initiatives!$BX$5:$BX$76,MATCH($A165,_ENGINE_Initiatives!$BW$5:$BW$76,0))="6-12 months",EDATE('Company Profile'!$B$6,6),EDATE('Company Profile'!$B$6,12)))),D$162&lt;=IF(INDEX(_ENGINE_Initiatives!$BX$5:$BX$76,MATCH($A165,_ENGINE_Initiatives!$BW$5:$BW$76,0))="0-90 days",'Company Profile'!$B$6,IF(INDEX(_ENGINE_Initiatives!$BX$5:$BX$76,MATCH($A165,_ENGINE_Initiatives!$BW$5:$BW$76,0))="3-6 months",EDATE('Company Profile'!$B$6,3),IF(INDEX(_ENGINE_Initiatives!$BX$5:$BX$76,MATCH($A165,_ENGINE_Initiatives!$BW$5:$BW$76,0))="6-12 months",EDATE('Company Profile'!$B$6,6),EDATE('Company Profile'!$B$6,12))))+(IF(INDEX(_ENGINE_Initiatives!$AB$5:$AB$76,MATCH($A165,_ENGINE_Initiatives!$BW$5:$BW$76,0))&lt;=2,6,IF(INDEX(_ENGINE_Initiatives!$AB$5:$AB$76,MATCH($A165,_ENGINE_Initiatives!$BW$5:$BW$76,0))=3,10,IF(INDEX(_ENGINE_Initiatives!$AB$5:$AB$76,MATCH($A165,_ENGINE_Initiatives!$BW$5:$BW$76,0))=4,16,24)))*7)),1,""),"")</f>
      </c>
      <c r="E165" s="55">
        <f>IFERROR(IF(AND(E$162&gt;=IF(INDEX(_ENGINE_Initiatives!$BX$5:$BX$76,MATCH($A165,_ENGINE_Initiatives!$BW$5:$BW$76,0))="0-90 days",'Company Profile'!$B$6,IF(INDEX(_ENGINE_Initiatives!$BX$5:$BX$76,MATCH($A165,_ENGINE_Initiatives!$BW$5:$BW$76,0))="3-6 months",EDATE('Company Profile'!$B$6,3),IF(INDEX(_ENGINE_Initiatives!$BX$5:$BX$76,MATCH($A165,_ENGINE_Initiatives!$BW$5:$BW$76,0))="6-12 months",EDATE('Company Profile'!$B$6,6),EDATE('Company Profile'!$B$6,12)))),E$162&lt;=IF(INDEX(_ENGINE_Initiatives!$BX$5:$BX$76,MATCH($A165,_ENGINE_Initiatives!$BW$5:$BW$76,0))="0-90 days",'Company Profile'!$B$6,IF(INDEX(_ENGINE_Initiatives!$BX$5:$BX$76,MATCH($A165,_ENGINE_Initiatives!$BW$5:$BW$76,0))="3-6 months",EDATE('Company Profile'!$B$6,3),IF(INDEX(_ENGINE_Initiatives!$BX$5:$BX$76,MATCH($A165,_ENGINE_Initiatives!$BW$5:$BW$76,0))="6-12 months",EDATE('Company Profile'!$B$6,6),EDATE('Company Profile'!$B$6,12))))+(IF(INDEX(_ENGINE_Initiatives!$AB$5:$AB$76,MATCH($A165,_ENGINE_Initiatives!$BW$5:$BW$76,0))&lt;=2,6,IF(INDEX(_ENGINE_Initiatives!$AB$5:$AB$76,MATCH($A165,_ENGINE_Initiatives!$BW$5:$BW$76,0))=3,10,IF(INDEX(_ENGINE_Initiatives!$AB$5:$AB$76,MATCH($A165,_ENGINE_Initiatives!$BW$5:$BW$76,0))=4,16,24)))*7)),1,""),"")</f>
      </c>
      <c r="F165" s="55">
        <f>IFERROR(IF(AND(F$162&gt;=IF(INDEX(_ENGINE_Initiatives!$BX$5:$BX$76,MATCH($A165,_ENGINE_Initiatives!$BW$5:$BW$76,0))="0-90 days",'Company Profile'!$B$6,IF(INDEX(_ENGINE_Initiatives!$BX$5:$BX$76,MATCH($A165,_ENGINE_Initiatives!$BW$5:$BW$76,0))="3-6 months",EDATE('Company Profile'!$B$6,3),IF(INDEX(_ENGINE_Initiatives!$BX$5:$BX$76,MATCH($A165,_ENGINE_Initiatives!$BW$5:$BW$76,0))="6-12 months",EDATE('Company Profile'!$B$6,6),EDATE('Company Profile'!$B$6,12)))),F$162&lt;=IF(INDEX(_ENGINE_Initiatives!$BX$5:$BX$76,MATCH($A165,_ENGINE_Initiatives!$BW$5:$BW$76,0))="0-90 days",'Company Profile'!$B$6,IF(INDEX(_ENGINE_Initiatives!$BX$5:$BX$76,MATCH($A165,_ENGINE_Initiatives!$BW$5:$BW$76,0))="3-6 months",EDATE('Company Profile'!$B$6,3),IF(INDEX(_ENGINE_Initiatives!$BX$5:$BX$76,MATCH($A165,_ENGINE_Initiatives!$BW$5:$BW$76,0))="6-12 months",EDATE('Company Profile'!$B$6,6),EDATE('Company Profile'!$B$6,12))))+(IF(INDEX(_ENGINE_Initiatives!$AB$5:$AB$76,MATCH($A165,_ENGINE_Initiatives!$BW$5:$BW$76,0))&lt;=2,6,IF(INDEX(_ENGINE_Initiatives!$AB$5:$AB$76,MATCH($A165,_ENGINE_Initiatives!$BW$5:$BW$76,0))=3,10,IF(INDEX(_ENGINE_Initiatives!$AB$5:$AB$76,MATCH($A165,_ENGINE_Initiatives!$BW$5:$BW$76,0))=4,16,24)))*7)),1,""),"")</f>
      </c>
      <c r="G165" s="55">
        <f>IFERROR(IF(AND(G$162&gt;=IF(INDEX(_ENGINE_Initiatives!$BX$5:$BX$76,MATCH($A165,_ENGINE_Initiatives!$BW$5:$BW$76,0))="0-90 days",'Company Profile'!$B$6,IF(INDEX(_ENGINE_Initiatives!$BX$5:$BX$76,MATCH($A165,_ENGINE_Initiatives!$BW$5:$BW$76,0))="3-6 months",EDATE('Company Profile'!$B$6,3),IF(INDEX(_ENGINE_Initiatives!$BX$5:$BX$76,MATCH($A165,_ENGINE_Initiatives!$BW$5:$BW$76,0))="6-12 months",EDATE('Company Profile'!$B$6,6),EDATE('Company Profile'!$B$6,12)))),G$162&lt;=IF(INDEX(_ENGINE_Initiatives!$BX$5:$BX$76,MATCH($A165,_ENGINE_Initiatives!$BW$5:$BW$76,0))="0-90 days",'Company Profile'!$B$6,IF(INDEX(_ENGINE_Initiatives!$BX$5:$BX$76,MATCH($A165,_ENGINE_Initiatives!$BW$5:$BW$76,0))="3-6 months",EDATE('Company Profile'!$B$6,3),IF(INDEX(_ENGINE_Initiatives!$BX$5:$BX$76,MATCH($A165,_ENGINE_Initiatives!$BW$5:$BW$76,0))="6-12 months",EDATE('Company Profile'!$B$6,6),EDATE('Company Profile'!$B$6,12))))+(IF(INDEX(_ENGINE_Initiatives!$AB$5:$AB$76,MATCH($A165,_ENGINE_Initiatives!$BW$5:$BW$76,0))&lt;=2,6,IF(INDEX(_ENGINE_Initiatives!$AB$5:$AB$76,MATCH($A165,_ENGINE_Initiatives!$BW$5:$BW$76,0))=3,10,IF(INDEX(_ENGINE_Initiatives!$AB$5:$AB$76,MATCH($A165,_ENGINE_Initiatives!$BW$5:$BW$76,0))=4,16,24)))*7)),1,""),"")</f>
      </c>
      <c r="H165" s="55">
        <f>IFERROR(IF(AND(H$162&gt;=IF(INDEX(_ENGINE_Initiatives!$BX$5:$BX$76,MATCH($A165,_ENGINE_Initiatives!$BW$5:$BW$76,0))="0-90 days",'Company Profile'!$B$6,IF(INDEX(_ENGINE_Initiatives!$BX$5:$BX$76,MATCH($A165,_ENGINE_Initiatives!$BW$5:$BW$76,0))="3-6 months",EDATE('Company Profile'!$B$6,3),IF(INDEX(_ENGINE_Initiatives!$BX$5:$BX$76,MATCH($A165,_ENGINE_Initiatives!$BW$5:$BW$76,0))="6-12 months",EDATE('Company Profile'!$B$6,6),EDATE('Company Profile'!$B$6,12)))),H$162&lt;=IF(INDEX(_ENGINE_Initiatives!$BX$5:$BX$76,MATCH($A165,_ENGINE_Initiatives!$BW$5:$BW$76,0))="0-90 days",'Company Profile'!$B$6,IF(INDEX(_ENGINE_Initiatives!$BX$5:$BX$76,MATCH($A165,_ENGINE_Initiatives!$BW$5:$BW$76,0))="3-6 months",EDATE('Company Profile'!$B$6,3),IF(INDEX(_ENGINE_Initiatives!$BX$5:$BX$76,MATCH($A165,_ENGINE_Initiatives!$BW$5:$BW$76,0))="6-12 months",EDATE('Company Profile'!$B$6,6),EDATE('Company Profile'!$B$6,12))))+(IF(INDEX(_ENGINE_Initiatives!$AB$5:$AB$76,MATCH($A165,_ENGINE_Initiatives!$BW$5:$BW$76,0))&lt;=2,6,IF(INDEX(_ENGINE_Initiatives!$AB$5:$AB$76,MATCH($A165,_ENGINE_Initiatives!$BW$5:$BW$76,0))=3,10,IF(INDEX(_ENGINE_Initiatives!$AB$5:$AB$76,MATCH($A165,_ENGINE_Initiatives!$BW$5:$BW$76,0))=4,16,24)))*7)),1,""),"")</f>
      </c>
      <c r="I165" s="55">
        <f>IFERROR(IF(AND(I$162&gt;=IF(INDEX(_ENGINE_Initiatives!$BX$5:$BX$76,MATCH($A165,_ENGINE_Initiatives!$BW$5:$BW$76,0))="0-90 days",'Company Profile'!$B$6,IF(INDEX(_ENGINE_Initiatives!$BX$5:$BX$76,MATCH($A165,_ENGINE_Initiatives!$BW$5:$BW$76,0))="3-6 months",EDATE('Company Profile'!$B$6,3),IF(INDEX(_ENGINE_Initiatives!$BX$5:$BX$76,MATCH($A165,_ENGINE_Initiatives!$BW$5:$BW$76,0))="6-12 months",EDATE('Company Profile'!$B$6,6),EDATE('Company Profile'!$B$6,12)))),I$162&lt;=IF(INDEX(_ENGINE_Initiatives!$BX$5:$BX$76,MATCH($A165,_ENGINE_Initiatives!$BW$5:$BW$76,0))="0-90 days",'Company Profile'!$B$6,IF(INDEX(_ENGINE_Initiatives!$BX$5:$BX$76,MATCH($A165,_ENGINE_Initiatives!$BW$5:$BW$76,0))="3-6 months",EDATE('Company Profile'!$B$6,3),IF(INDEX(_ENGINE_Initiatives!$BX$5:$BX$76,MATCH($A165,_ENGINE_Initiatives!$BW$5:$BW$76,0))="6-12 months",EDATE('Company Profile'!$B$6,6),EDATE('Company Profile'!$B$6,12))))+(IF(INDEX(_ENGINE_Initiatives!$AB$5:$AB$76,MATCH($A165,_ENGINE_Initiatives!$BW$5:$BW$76,0))&lt;=2,6,IF(INDEX(_ENGINE_Initiatives!$AB$5:$AB$76,MATCH($A165,_ENGINE_Initiatives!$BW$5:$BW$76,0))=3,10,IF(INDEX(_ENGINE_Initiatives!$AB$5:$AB$76,MATCH($A165,_ENGINE_Initiatives!$BW$5:$BW$76,0))=4,16,24)))*7)),1,""),"")</f>
      </c>
      <c r="J165" s="55">
        <f>IFERROR(IF(AND(J$162&gt;=IF(INDEX(_ENGINE_Initiatives!$BX$5:$BX$76,MATCH($A165,_ENGINE_Initiatives!$BW$5:$BW$76,0))="0-90 days",'Company Profile'!$B$6,IF(INDEX(_ENGINE_Initiatives!$BX$5:$BX$76,MATCH($A165,_ENGINE_Initiatives!$BW$5:$BW$76,0))="3-6 months",EDATE('Company Profile'!$B$6,3),IF(INDEX(_ENGINE_Initiatives!$BX$5:$BX$76,MATCH($A165,_ENGINE_Initiatives!$BW$5:$BW$76,0))="6-12 months",EDATE('Company Profile'!$B$6,6),EDATE('Company Profile'!$B$6,12)))),J$162&lt;=IF(INDEX(_ENGINE_Initiatives!$BX$5:$BX$76,MATCH($A165,_ENGINE_Initiatives!$BW$5:$BW$76,0))="0-90 days",'Company Profile'!$B$6,IF(INDEX(_ENGINE_Initiatives!$BX$5:$BX$76,MATCH($A165,_ENGINE_Initiatives!$BW$5:$BW$76,0))="3-6 months",EDATE('Company Profile'!$B$6,3),IF(INDEX(_ENGINE_Initiatives!$BX$5:$BX$76,MATCH($A165,_ENGINE_Initiatives!$BW$5:$BW$76,0))="6-12 months",EDATE('Company Profile'!$B$6,6),EDATE('Company Profile'!$B$6,12))))+(IF(INDEX(_ENGINE_Initiatives!$AB$5:$AB$76,MATCH($A165,_ENGINE_Initiatives!$BW$5:$BW$76,0))&lt;=2,6,IF(INDEX(_ENGINE_Initiatives!$AB$5:$AB$76,MATCH($A165,_ENGINE_Initiatives!$BW$5:$BW$76,0))=3,10,IF(INDEX(_ENGINE_Initiatives!$AB$5:$AB$76,MATCH($A165,_ENGINE_Initiatives!$BW$5:$BW$76,0))=4,16,24)))*7)),1,""),"")</f>
      </c>
      <c r="K165" s="55">
        <f>IFERROR(IF(AND(K$162&gt;=IF(INDEX(_ENGINE_Initiatives!$BX$5:$BX$76,MATCH($A165,_ENGINE_Initiatives!$BW$5:$BW$76,0))="0-90 days",'Company Profile'!$B$6,IF(INDEX(_ENGINE_Initiatives!$BX$5:$BX$76,MATCH($A165,_ENGINE_Initiatives!$BW$5:$BW$76,0))="3-6 months",EDATE('Company Profile'!$B$6,3),IF(INDEX(_ENGINE_Initiatives!$BX$5:$BX$76,MATCH($A165,_ENGINE_Initiatives!$BW$5:$BW$76,0))="6-12 months",EDATE('Company Profile'!$B$6,6),EDATE('Company Profile'!$B$6,12)))),K$162&lt;=IF(INDEX(_ENGINE_Initiatives!$BX$5:$BX$76,MATCH($A165,_ENGINE_Initiatives!$BW$5:$BW$76,0))="0-90 days",'Company Profile'!$B$6,IF(INDEX(_ENGINE_Initiatives!$BX$5:$BX$76,MATCH($A165,_ENGINE_Initiatives!$BW$5:$BW$76,0))="3-6 months",EDATE('Company Profile'!$B$6,3),IF(INDEX(_ENGINE_Initiatives!$BX$5:$BX$76,MATCH($A165,_ENGINE_Initiatives!$BW$5:$BW$76,0))="6-12 months",EDATE('Company Profile'!$B$6,6),EDATE('Company Profile'!$B$6,12))))+(IF(INDEX(_ENGINE_Initiatives!$AB$5:$AB$76,MATCH($A165,_ENGINE_Initiatives!$BW$5:$BW$76,0))&lt;=2,6,IF(INDEX(_ENGINE_Initiatives!$AB$5:$AB$76,MATCH($A165,_ENGINE_Initiatives!$BW$5:$BW$76,0))=3,10,IF(INDEX(_ENGINE_Initiatives!$AB$5:$AB$76,MATCH($A165,_ENGINE_Initiatives!$BW$5:$BW$76,0))=4,16,24)))*7)),1,""),"")</f>
      </c>
      <c r="L165" s="55">
        <f>IFERROR(IF(AND(L$162&gt;=IF(INDEX(_ENGINE_Initiatives!$BX$5:$BX$76,MATCH($A165,_ENGINE_Initiatives!$BW$5:$BW$76,0))="0-90 days",'Company Profile'!$B$6,IF(INDEX(_ENGINE_Initiatives!$BX$5:$BX$76,MATCH($A165,_ENGINE_Initiatives!$BW$5:$BW$76,0))="3-6 months",EDATE('Company Profile'!$B$6,3),IF(INDEX(_ENGINE_Initiatives!$BX$5:$BX$76,MATCH($A165,_ENGINE_Initiatives!$BW$5:$BW$76,0))="6-12 months",EDATE('Company Profile'!$B$6,6),EDATE('Company Profile'!$B$6,12)))),L$162&lt;=IF(INDEX(_ENGINE_Initiatives!$BX$5:$BX$76,MATCH($A165,_ENGINE_Initiatives!$BW$5:$BW$76,0))="0-90 days",'Company Profile'!$B$6,IF(INDEX(_ENGINE_Initiatives!$BX$5:$BX$76,MATCH($A165,_ENGINE_Initiatives!$BW$5:$BW$76,0))="3-6 months",EDATE('Company Profile'!$B$6,3),IF(INDEX(_ENGINE_Initiatives!$BX$5:$BX$76,MATCH($A165,_ENGINE_Initiatives!$BW$5:$BW$76,0))="6-12 months",EDATE('Company Profile'!$B$6,6),EDATE('Company Profile'!$B$6,12))))+(IF(INDEX(_ENGINE_Initiatives!$AB$5:$AB$76,MATCH($A165,_ENGINE_Initiatives!$BW$5:$BW$76,0))&lt;=2,6,IF(INDEX(_ENGINE_Initiatives!$AB$5:$AB$76,MATCH($A165,_ENGINE_Initiatives!$BW$5:$BW$76,0))=3,10,IF(INDEX(_ENGINE_Initiatives!$AB$5:$AB$76,MATCH($A165,_ENGINE_Initiatives!$BW$5:$BW$76,0))=4,16,24)))*7)),1,""),"")</f>
      </c>
      <c r="M165" s="55">
        <f>IFERROR(IF(AND(M$162&gt;=IF(INDEX(_ENGINE_Initiatives!$BX$5:$BX$76,MATCH($A165,_ENGINE_Initiatives!$BW$5:$BW$76,0))="0-90 days",'Company Profile'!$B$6,IF(INDEX(_ENGINE_Initiatives!$BX$5:$BX$76,MATCH($A165,_ENGINE_Initiatives!$BW$5:$BW$76,0))="3-6 months",EDATE('Company Profile'!$B$6,3),IF(INDEX(_ENGINE_Initiatives!$BX$5:$BX$76,MATCH($A165,_ENGINE_Initiatives!$BW$5:$BW$76,0))="6-12 months",EDATE('Company Profile'!$B$6,6),EDATE('Company Profile'!$B$6,12)))),M$162&lt;=IF(INDEX(_ENGINE_Initiatives!$BX$5:$BX$76,MATCH($A165,_ENGINE_Initiatives!$BW$5:$BW$76,0))="0-90 days",'Company Profile'!$B$6,IF(INDEX(_ENGINE_Initiatives!$BX$5:$BX$76,MATCH($A165,_ENGINE_Initiatives!$BW$5:$BW$76,0))="3-6 months",EDATE('Company Profile'!$B$6,3),IF(INDEX(_ENGINE_Initiatives!$BX$5:$BX$76,MATCH($A165,_ENGINE_Initiatives!$BW$5:$BW$76,0))="6-12 months",EDATE('Company Profile'!$B$6,6),EDATE('Company Profile'!$B$6,12))))+(IF(INDEX(_ENGINE_Initiatives!$AB$5:$AB$76,MATCH($A165,_ENGINE_Initiatives!$BW$5:$BW$76,0))&lt;=2,6,IF(INDEX(_ENGINE_Initiatives!$AB$5:$AB$76,MATCH($A165,_ENGINE_Initiatives!$BW$5:$BW$76,0))=3,10,IF(INDEX(_ENGINE_Initiatives!$AB$5:$AB$76,MATCH($A165,_ENGINE_Initiatives!$BW$5:$BW$76,0))=4,16,24)))*7)),1,""),"")</f>
      </c>
      <c r="N165" s="55">
        <f>IFERROR(IF(AND(N$162&gt;=IF(INDEX(_ENGINE_Initiatives!$BX$5:$BX$76,MATCH($A165,_ENGINE_Initiatives!$BW$5:$BW$76,0))="0-90 days",'Company Profile'!$B$6,IF(INDEX(_ENGINE_Initiatives!$BX$5:$BX$76,MATCH($A165,_ENGINE_Initiatives!$BW$5:$BW$76,0))="3-6 months",EDATE('Company Profile'!$B$6,3),IF(INDEX(_ENGINE_Initiatives!$BX$5:$BX$76,MATCH($A165,_ENGINE_Initiatives!$BW$5:$BW$76,0))="6-12 months",EDATE('Company Profile'!$B$6,6),EDATE('Company Profile'!$B$6,12)))),N$162&lt;=IF(INDEX(_ENGINE_Initiatives!$BX$5:$BX$76,MATCH($A165,_ENGINE_Initiatives!$BW$5:$BW$76,0))="0-90 days",'Company Profile'!$B$6,IF(INDEX(_ENGINE_Initiatives!$BX$5:$BX$76,MATCH($A165,_ENGINE_Initiatives!$BW$5:$BW$76,0))="3-6 months",EDATE('Company Profile'!$B$6,3),IF(INDEX(_ENGINE_Initiatives!$BX$5:$BX$76,MATCH($A165,_ENGINE_Initiatives!$BW$5:$BW$76,0))="6-12 months",EDATE('Company Profile'!$B$6,6),EDATE('Company Profile'!$B$6,12))))+(IF(INDEX(_ENGINE_Initiatives!$AB$5:$AB$76,MATCH($A165,_ENGINE_Initiatives!$BW$5:$BW$76,0))&lt;=2,6,IF(INDEX(_ENGINE_Initiatives!$AB$5:$AB$76,MATCH($A165,_ENGINE_Initiatives!$BW$5:$BW$76,0))=3,10,IF(INDEX(_ENGINE_Initiatives!$AB$5:$AB$76,MATCH($A165,_ENGINE_Initiatives!$BW$5:$BW$76,0))=4,16,24)))*7)),1,""),"")</f>
      </c>
      <c r="O165" s="55">
        <f>IFERROR(IF(AND(O$162&gt;=IF(INDEX(_ENGINE_Initiatives!$BX$5:$BX$76,MATCH($A165,_ENGINE_Initiatives!$BW$5:$BW$76,0))="0-90 days",'Company Profile'!$B$6,IF(INDEX(_ENGINE_Initiatives!$BX$5:$BX$76,MATCH($A165,_ENGINE_Initiatives!$BW$5:$BW$76,0))="3-6 months",EDATE('Company Profile'!$B$6,3),IF(INDEX(_ENGINE_Initiatives!$BX$5:$BX$76,MATCH($A165,_ENGINE_Initiatives!$BW$5:$BW$76,0))="6-12 months",EDATE('Company Profile'!$B$6,6),EDATE('Company Profile'!$B$6,12)))),O$162&lt;=IF(INDEX(_ENGINE_Initiatives!$BX$5:$BX$76,MATCH($A165,_ENGINE_Initiatives!$BW$5:$BW$76,0))="0-90 days",'Company Profile'!$B$6,IF(INDEX(_ENGINE_Initiatives!$BX$5:$BX$76,MATCH($A165,_ENGINE_Initiatives!$BW$5:$BW$76,0))="3-6 months",EDATE('Company Profile'!$B$6,3),IF(INDEX(_ENGINE_Initiatives!$BX$5:$BX$76,MATCH($A165,_ENGINE_Initiatives!$BW$5:$BW$76,0))="6-12 months",EDATE('Company Profile'!$B$6,6),EDATE('Company Profile'!$B$6,12))))+(IF(INDEX(_ENGINE_Initiatives!$AB$5:$AB$76,MATCH($A165,_ENGINE_Initiatives!$BW$5:$BW$76,0))&lt;=2,6,IF(INDEX(_ENGINE_Initiatives!$AB$5:$AB$76,MATCH($A165,_ENGINE_Initiatives!$BW$5:$BW$76,0))=3,10,IF(INDEX(_ENGINE_Initiatives!$AB$5:$AB$76,MATCH($A165,_ENGINE_Initiatives!$BW$5:$BW$76,0))=4,16,24)))*7)),1,""),"")</f>
      </c>
      <c r="P165" s="55">
        <f>IFERROR(IF(AND(P$162&gt;=IF(INDEX(_ENGINE_Initiatives!$BX$5:$BX$76,MATCH($A165,_ENGINE_Initiatives!$BW$5:$BW$76,0))="0-90 days",'Company Profile'!$B$6,IF(INDEX(_ENGINE_Initiatives!$BX$5:$BX$76,MATCH($A165,_ENGINE_Initiatives!$BW$5:$BW$76,0))="3-6 months",EDATE('Company Profile'!$B$6,3),IF(INDEX(_ENGINE_Initiatives!$BX$5:$BX$76,MATCH($A165,_ENGINE_Initiatives!$BW$5:$BW$76,0))="6-12 months",EDATE('Company Profile'!$B$6,6),EDATE('Company Profile'!$B$6,12)))),P$162&lt;=IF(INDEX(_ENGINE_Initiatives!$BX$5:$BX$76,MATCH($A165,_ENGINE_Initiatives!$BW$5:$BW$76,0))="0-90 days",'Company Profile'!$B$6,IF(INDEX(_ENGINE_Initiatives!$BX$5:$BX$76,MATCH($A165,_ENGINE_Initiatives!$BW$5:$BW$76,0))="3-6 months",EDATE('Company Profile'!$B$6,3),IF(INDEX(_ENGINE_Initiatives!$BX$5:$BX$76,MATCH($A165,_ENGINE_Initiatives!$BW$5:$BW$76,0))="6-12 months",EDATE('Company Profile'!$B$6,6),EDATE('Company Profile'!$B$6,12))))+(IF(INDEX(_ENGINE_Initiatives!$AB$5:$AB$76,MATCH($A165,_ENGINE_Initiatives!$BW$5:$BW$76,0))&lt;=2,6,IF(INDEX(_ENGINE_Initiatives!$AB$5:$AB$76,MATCH($A165,_ENGINE_Initiatives!$BW$5:$BW$76,0))=3,10,IF(INDEX(_ENGINE_Initiatives!$AB$5:$AB$76,MATCH($A165,_ENGINE_Initiatives!$BW$5:$BW$76,0))=4,16,24)))*7)),1,""),"")</f>
      </c>
      <c r="Q165" s="55">
        <f>IFERROR(IF(AND(Q$162&gt;=IF(INDEX(_ENGINE_Initiatives!$BX$5:$BX$76,MATCH($A165,_ENGINE_Initiatives!$BW$5:$BW$76,0))="0-90 days",'Company Profile'!$B$6,IF(INDEX(_ENGINE_Initiatives!$BX$5:$BX$76,MATCH($A165,_ENGINE_Initiatives!$BW$5:$BW$76,0))="3-6 months",EDATE('Company Profile'!$B$6,3),IF(INDEX(_ENGINE_Initiatives!$BX$5:$BX$76,MATCH($A165,_ENGINE_Initiatives!$BW$5:$BW$76,0))="6-12 months",EDATE('Company Profile'!$B$6,6),EDATE('Company Profile'!$B$6,12)))),Q$162&lt;=IF(INDEX(_ENGINE_Initiatives!$BX$5:$BX$76,MATCH($A165,_ENGINE_Initiatives!$BW$5:$BW$76,0))="0-90 days",'Company Profile'!$B$6,IF(INDEX(_ENGINE_Initiatives!$BX$5:$BX$76,MATCH($A165,_ENGINE_Initiatives!$BW$5:$BW$76,0))="3-6 months",EDATE('Company Profile'!$B$6,3),IF(INDEX(_ENGINE_Initiatives!$BX$5:$BX$76,MATCH($A165,_ENGINE_Initiatives!$BW$5:$BW$76,0))="6-12 months",EDATE('Company Profile'!$B$6,6),EDATE('Company Profile'!$B$6,12))))+(IF(INDEX(_ENGINE_Initiatives!$AB$5:$AB$76,MATCH($A165,_ENGINE_Initiatives!$BW$5:$BW$76,0))&lt;=2,6,IF(INDEX(_ENGINE_Initiatives!$AB$5:$AB$76,MATCH($A165,_ENGINE_Initiatives!$BW$5:$BW$76,0))=3,10,IF(INDEX(_ENGINE_Initiatives!$AB$5:$AB$76,MATCH($A165,_ENGINE_Initiatives!$BW$5:$BW$76,0))=4,16,24)))*7)),1,""),"")</f>
      </c>
      <c r="R165" s="55">
        <f>IFERROR(IF(AND(R$162&gt;=IF(INDEX(_ENGINE_Initiatives!$BX$5:$BX$76,MATCH($A165,_ENGINE_Initiatives!$BW$5:$BW$76,0))="0-90 days",'Company Profile'!$B$6,IF(INDEX(_ENGINE_Initiatives!$BX$5:$BX$76,MATCH($A165,_ENGINE_Initiatives!$BW$5:$BW$76,0))="3-6 months",EDATE('Company Profile'!$B$6,3),IF(INDEX(_ENGINE_Initiatives!$BX$5:$BX$76,MATCH($A165,_ENGINE_Initiatives!$BW$5:$BW$76,0))="6-12 months",EDATE('Company Profile'!$B$6,6),EDATE('Company Profile'!$B$6,12)))),R$162&lt;=IF(INDEX(_ENGINE_Initiatives!$BX$5:$BX$76,MATCH($A165,_ENGINE_Initiatives!$BW$5:$BW$76,0))="0-90 days",'Company Profile'!$B$6,IF(INDEX(_ENGINE_Initiatives!$BX$5:$BX$76,MATCH($A165,_ENGINE_Initiatives!$BW$5:$BW$76,0))="3-6 months",EDATE('Company Profile'!$B$6,3),IF(INDEX(_ENGINE_Initiatives!$BX$5:$BX$76,MATCH($A165,_ENGINE_Initiatives!$BW$5:$BW$76,0))="6-12 months",EDATE('Company Profile'!$B$6,6),EDATE('Company Profile'!$B$6,12))))+(IF(INDEX(_ENGINE_Initiatives!$AB$5:$AB$76,MATCH($A165,_ENGINE_Initiatives!$BW$5:$BW$76,0))&lt;=2,6,IF(INDEX(_ENGINE_Initiatives!$AB$5:$AB$76,MATCH($A165,_ENGINE_Initiatives!$BW$5:$BW$76,0))=3,10,IF(INDEX(_ENGINE_Initiatives!$AB$5:$AB$76,MATCH($A165,_ENGINE_Initiatives!$BW$5:$BW$76,0))=4,16,24)))*7)),1,""),"")</f>
      </c>
      <c r="S165" s="55">
        <f>IFERROR(IF(AND(S$162&gt;=IF(INDEX(_ENGINE_Initiatives!$BX$5:$BX$76,MATCH($A165,_ENGINE_Initiatives!$BW$5:$BW$76,0))="0-90 days",'Company Profile'!$B$6,IF(INDEX(_ENGINE_Initiatives!$BX$5:$BX$76,MATCH($A165,_ENGINE_Initiatives!$BW$5:$BW$76,0))="3-6 months",EDATE('Company Profile'!$B$6,3),IF(INDEX(_ENGINE_Initiatives!$BX$5:$BX$76,MATCH($A165,_ENGINE_Initiatives!$BW$5:$BW$76,0))="6-12 months",EDATE('Company Profile'!$B$6,6),EDATE('Company Profile'!$B$6,12)))),S$162&lt;=IF(INDEX(_ENGINE_Initiatives!$BX$5:$BX$76,MATCH($A165,_ENGINE_Initiatives!$BW$5:$BW$76,0))="0-90 days",'Company Profile'!$B$6,IF(INDEX(_ENGINE_Initiatives!$BX$5:$BX$76,MATCH($A165,_ENGINE_Initiatives!$BW$5:$BW$76,0))="3-6 months",EDATE('Company Profile'!$B$6,3),IF(INDEX(_ENGINE_Initiatives!$BX$5:$BX$76,MATCH($A165,_ENGINE_Initiatives!$BW$5:$BW$76,0))="6-12 months",EDATE('Company Profile'!$B$6,6),EDATE('Company Profile'!$B$6,12))))+(IF(INDEX(_ENGINE_Initiatives!$AB$5:$AB$76,MATCH($A165,_ENGINE_Initiatives!$BW$5:$BW$76,0))&lt;=2,6,IF(INDEX(_ENGINE_Initiatives!$AB$5:$AB$76,MATCH($A165,_ENGINE_Initiatives!$BW$5:$BW$76,0))=3,10,IF(INDEX(_ENGINE_Initiatives!$AB$5:$AB$76,MATCH($A165,_ENGINE_Initiatives!$BW$5:$BW$76,0))=4,16,24)))*7)),1,""),"")</f>
      </c>
      <c r="T165" s="55">
        <f>IFERROR(IF(AND(T$162&gt;=IF(INDEX(_ENGINE_Initiatives!$BX$5:$BX$76,MATCH($A165,_ENGINE_Initiatives!$BW$5:$BW$76,0))="0-90 days",'Company Profile'!$B$6,IF(INDEX(_ENGINE_Initiatives!$BX$5:$BX$76,MATCH($A165,_ENGINE_Initiatives!$BW$5:$BW$76,0))="3-6 months",EDATE('Company Profile'!$B$6,3),IF(INDEX(_ENGINE_Initiatives!$BX$5:$BX$76,MATCH($A165,_ENGINE_Initiatives!$BW$5:$BW$76,0))="6-12 months",EDATE('Company Profile'!$B$6,6),EDATE('Company Profile'!$B$6,12)))),T$162&lt;=IF(INDEX(_ENGINE_Initiatives!$BX$5:$BX$76,MATCH($A165,_ENGINE_Initiatives!$BW$5:$BW$76,0))="0-90 days",'Company Profile'!$B$6,IF(INDEX(_ENGINE_Initiatives!$BX$5:$BX$76,MATCH($A165,_ENGINE_Initiatives!$BW$5:$BW$76,0))="3-6 months",EDATE('Company Profile'!$B$6,3),IF(INDEX(_ENGINE_Initiatives!$BX$5:$BX$76,MATCH($A165,_ENGINE_Initiatives!$BW$5:$BW$76,0))="6-12 months",EDATE('Company Profile'!$B$6,6),EDATE('Company Profile'!$B$6,12))))+(IF(INDEX(_ENGINE_Initiatives!$AB$5:$AB$76,MATCH($A165,_ENGINE_Initiatives!$BW$5:$BW$76,0))&lt;=2,6,IF(INDEX(_ENGINE_Initiatives!$AB$5:$AB$76,MATCH($A165,_ENGINE_Initiatives!$BW$5:$BW$76,0))=3,10,IF(INDEX(_ENGINE_Initiatives!$AB$5:$AB$76,MATCH($A165,_ENGINE_Initiatives!$BW$5:$BW$76,0))=4,16,24)))*7)),1,""),"")</f>
      </c>
      <c r="U165" s="30" t="n"/>
      <c r="V165" s="30" t="n"/>
    </row>
    <row r="166" ht="15" customHeight="1" s="209">
      <c r="A166" s="51" t="inlineStr">
        <is>
          <t>4</t>
        </is>
      </c>
      <c r="B166" s="51">
        <f>IFERROR(INDEX(_ENGINE_Initiatives!$F$5:$F$76,MATCH($A166,_ENGINE_Initiatives!$BW$5:$BW$76,0)),"")</f>
      </c>
      <c r="C166" s="55">
        <f>IFERROR(IF(AND(C$162&gt;=IF(INDEX(_ENGINE_Initiatives!$BX$5:$BX$76,MATCH($A166,_ENGINE_Initiatives!$BW$5:$BW$76,0))="0-90 days",'Company Profile'!$B$6,IF(INDEX(_ENGINE_Initiatives!$BX$5:$BX$76,MATCH($A166,_ENGINE_Initiatives!$BW$5:$BW$76,0))="3-6 months",EDATE('Company Profile'!$B$6,3),IF(INDEX(_ENGINE_Initiatives!$BX$5:$BX$76,MATCH($A166,_ENGINE_Initiatives!$BW$5:$BW$76,0))="6-12 months",EDATE('Company Profile'!$B$6,6),EDATE('Company Profile'!$B$6,12)))),C$162&lt;=IF(INDEX(_ENGINE_Initiatives!$BX$5:$BX$76,MATCH($A166,_ENGINE_Initiatives!$BW$5:$BW$76,0))="0-90 days",'Company Profile'!$B$6,IF(INDEX(_ENGINE_Initiatives!$BX$5:$BX$76,MATCH($A166,_ENGINE_Initiatives!$BW$5:$BW$76,0))="3-6 months",EDATE('Company Profile'!$B$6,3),IF(INDEX(_ENGINE_Initiatives!$BX$5:$BX$76,MATCH($A166,_ENGINE_Initiatives!$BW$5:$BW$76,0))="6-12 months",EDATE('Company Profile'!$B$6,6),EDATE('Company Profile'!$B$6,12))))+(IF(INDEX(_ENGINE_Initiatives!$AB$5:$AB$76,MATCH($A166,_ENGINE_Initiatives!$BW$5:$BW$76,0))&lt;=2,6,IF(INDEX(_ENGINE_Initiatives!$AB$5:$AB$76,MATCH($A166,_ENGINE_Initiatives!$BW$5:$BW$76,0))=3,10,IF(INDEX(_ENGINE_Initiatives!$AB$5:$AB$76,MATCH($A166,_ENGINE_Initiatives!$BW$5:$BW$76,0))=4,16,24)))*7)),1,""),"")</f>
      </c>
      <c r="D166" s="55">
        <f>IFERROR(IF(AND(D$162&gt;=IF(INDEX(_ENGINE_Initiatives!$BX$5:$BX$76,MATCH($A166,_ENGINE_Initiatives!$BW$5:$BW$76,0))="0-90 days",'Company Profile'!$B$6,IF(INDEX(_ENGINE_Initiatives!$BX$5:$BX$76,MATCH($A166,_ENGINE_Initiatives!$BW$5:$BW$76,0))="3-6 months",EDATE('Company Profile'!$B$6,3),IF(INDEX(_ENGINE_Initiatives!$BX$5:$BX$76,MATCH($A166,_ENGINE_Initiatives!$BW$5:$BW$76,0))="6-12 months",EDATE('Company Profile'!$B$6,6),EDATE('Company Profile'!$B$6,12)))),D$162&lt;=IF(INDEX(_ENGINE_Initiatives!$BX$5:$BX$76,MATCH($A166,_ENGINE_Initiatives!$BW$5:$BW$76,0))="0-90 days",'Company Profile'!$B$6,IF(INDEX(_ENGINE_Initiatives!$BX$5:$BX$76,MATCH($A166,_ENGINE_Initiatives!$BW$5:$BW$76,0))="3-6 months",EDATE('Company Profile'!$B$6,3),IF(INDEX(_ENGINE_Initiatives!$BX$5:$BX$76,MATCH($A166,_ENGINE_Initiatives!$BW$5:$BW$76,0))="6-12 months",EDATE('Company Profile'!$B$6,6),EDATE('Company Profile'!$B$6,12))))+(IF(INDEX(_ENGINE_Initiatives!$AB$5:$AB$76,MATCH($A166,_ENGINE_Initiatives!$BW$5:$BW$76,0))&lt;=2,6,IF(INDEX(_ENGINE_Initiatives!$AB$5:$AB$76,MATCH($A166,_ENGINE_Initiatives!$BW$5:$BW$76,0))=3,10,IF(INDEX(_ENGINE_Initiatives!$AB$5:$AB$76,MATCH($A166,_ENGINE_Initiatives!$BW$5:$BW$76,0))=4,16,24)))*7)),1,""),"")</f>
      </c>
      <c r="E166" s="55">
        <f>IFERROR(IF(AND(E$162&gt;=IF(INDEX(_ENGINE_Initiatives!$BX$5:$BX$76,MATCH($A166,_ENGINE_Initiatives!$BW$5:$BW$76,0))="0-90 days",'Company Profile'!$B$6,IF(INDEX(_ENGINE_Initiatives!$BX$5:$BX$76,MATCH($A166,_ENGINE_Initiatives!$BW$5:$BW$76,0))="3-6 months",EDATE('Company Profile'!$B$6,3),IF(INDEX(_ENGINE_Initiatives!$BX$5:$BX$76,MATCH($A166,_ENGINE_Initiatives!$BW$5:$BW$76,0))="6-12 months",EDATE('Company Profile'!$B$6,6),EDATE('Company Profile'!$B$6,12)))),E$162&lt;=IF(INDEX(_ENGINE_Initiatives!$BX$5:$BX$76,MATCH($A166,_ENGINE_Initiatives!$BW$5:$BW$76,0))="0-90 days",'Company Profile'!$B$6,IF(INDEX(_ENGINE_Initiatives!$BX$5:$BX$76,MATCH($A166,_ENGINE_Initiatives!$BW$5:$BW$76,0))="3-6 months",EDATE('Company Profile'!$B$6,3),IF(INDEX(_ENGINE_Initiatives!$BX$5:$BX$76,MATCH($A166,_ENGINE_Initiatives!$BW$5:$BW$76,0))="6-12 months",EDATE('Company Profile'!$B$6,6),EDATE('Company Profile'!$B$6,12))))+(IF(INDEX(_ENGINE_Initiatives!$AB$5:$AB$76,MATCH($A166,_ENGINE_Initiatives!$BW$5:$BW$76,0))&lt;=2,6,IF(INDEX(_ENGINE_Initiatives!$AB$5:$AB$76,MATCH($A166,_ENGINE_Initiatives!$BW$5:$BW$76,0))=3,10,IF(INDEX(_ENGINE_Initiatives!$AB$5:$AB$76,MATCH($A166,_ENGINE_Initiatives!$BW$5:$BW$76,0))=4,16,24)))*7)),1,""),"")</f>
      </c>
      <c r="F166" s="55">
        <f>IFERROR(IF(AND(F$162&gt;=IF(INDEX(_ENGINE_Initiatives!$BX$5:$BX$76,MATCH($A166,_ENGINE_Initiatives!$BW$5:$BW$76,0))="0-90 days",'Company Profile'!$B$6,IF(INDEX(_ENGINE_Initiatives!$BX$5:$BX$76,MATCH($A166,_ENGINE_Initiatives!$BW$5:$BW$76,0))="3-6 months",EDATE('Company Profile'!$B$6,3),IF(INDEX(_ENGINE_Initiatives!$BX$5:$BX$76,MATCH($A166,_ENGINE_Initiatives!$BW$5:$BW$76,0))="6-12 months",EDATE('Company Profile'!$B$6,6),EDATE('Company Profile'!$B$6,12)))),F$162&lt;=IF(INDEX(_ENGINE_Initiatives!$BX$5:$BX$76,MATCH($A166,_ENGINE_Initiatives!$BW$5:$BW$76,0))="0-90 days",'Company Profile'!$B$6,IF(INDEX(_ENGINE_Initiatives!$BX$5:$BX$76,MATCH($A166,_ENGINE_Initiatives!$BW$5:$BW$76,0))="3-6 months",EDATE('Company Profile'!$B$6,3),IF(INDEX(_ENGINE_Initiatives!$BX$5:$BX$76,MATCH($A166,_ENGINE_Initiatives!$BW$5:$BW$76,0))="6-12 months",EDATE('Company Profile'!$B$6,6),EDATE('Company Profile'!$B$6,12))))+(IF(INDEX(_ENGINE_Initiatives!$AB$5:$AB$76,MATCH($A166,_ENGINE_Initiatives!$BW$5:$BW$76,0))&lt;=2,6,IF(INDEX(_ENGINE_Initiatives!$AB$5:$AB$76,MATCH($A166,_ENGINE_Initiatives!$BW$5:$BW$76,0))=3,10,IF(INDEX(_ENGINE_Initiatives!$AB$5:$AB$76,MATCH($A166,_ENGINE_Initiatives!$BW$5:$BW$76,0))=4,16,24)))*7)),1,""),"")</f>
      </c>
      <c r="G166" s="55">
        <f>IFERROR(IF(AND(G$162&gt;=IF(INDEX(_ENGINE_Initiatives!$BX$5:$BX$76,MATCH($A166,_ENGINE_Initiatives!$BW$5:$BW$76,0))="0-90 days",'Company Profile'!$B$6,IF(INDEX(_ENGINE_Initiatives!$BX$5:$BX$76,MATCH($A166,_ENGINE_Initiatives!$BW$5:$BW$76,0))="3-6 months",EDATE('Company Profile'!$B$6,3),IF(INDEX(_ENGINE_Initiatives!$BX$5:$BX$76,MATCH($A166,_ENGINE_Initiatives!$BW$5:$BW$76,0))="6-12 months",EDATE('Company Profile'!$B$6,6),EDATE('Company Profile'!$B$6,12)))),G$162&lt;=IF(INDEX(_ENGINE_Initiatives!$BX$5:$BX$76,MATCH($A166,_ENGINE_Initiatives!$BW$5:$BW$76,0))="0-90 days",'Company Profile'!$B$6,IF(INDEX(_ENGINE_Initiatives!$BX$5:$BX$76,MATCH($A166,_ENGINE_Initiatives!$BW$5:$BW$76,0))="3-6 months",EDATE('Company Profile'!$B$6,3),IF(INDEX(_ENGINE_Initiatives!$BX$5:$BX$76,MATCH($A166,_ENGINE_Initiatives!$BW$5:$BW$76,0))="6-12 months",EDATE('Company Profile'!$B$6,6),EDATE('Company Profile'!$B$6,12))))+(IF(INDEX(_ENGINE_Initiatives!$AB$5:$AB$76,MATCH($A166,_ENGINE_Initiatives!$BW$5:$BW$76,0))&lt;=2,6,IF(INDEX(_ENGINE_Initiatives!$AB$5:$AB$76,MATCH($A166,_ENGINE_Initiatives!$BW$5:$BW$76,0))=3,10,IF(INDEX(_ENGINE_Initiatives!$AB$5:$AB$76,MATCH($A166,_ENGINE_Initiatives!$BW$5:$BW$76,0))=4,16,24)))*7)),1,""),"")</f>
      </c>
      <c r="H166" s="55">
        <f>IFERROR(IF(AND(H$162&gt;=IF(INDEX(_ENGINE_Initiatives!$BX$5:$BX$76,MATCH($A166,_ENGINE_Initiatives!$BW$5:$BW$76,0))="0-90 days",'Company Profile'!$B$6,IF(INDEX(_ENGINE_Initiatives!$BX$5:$BX$76,MATCH($A166,_ENGINE_Initiatives!$BW$5:$BW$76,0))="3-6 months",EDATE('Company Profile'!$B$6,3),IF(INDEX(_ENGINE_Initiatives!$BX$5:$BX$76,MATCH($A166,_ENGINE_Initiatives!$BW$5:$BW$76,0))="6-12 months",EDATE('Company Profile'!$B$6,6),EDATE('Company Profile'!$B$6,12)))),H$162&lt;=IF(INDEX(_ENGINE_Initiatives!$BX$5:$BX$76,MATCH($A166,_ENGINE_Initiatives!$BW$5:$BW$76,0))="0-90 days",'Company Profile'!$B$6,IF(INDEX(_ENGINE_Initiatives!$BX$5:$BX$76,MATCH($A166,_ENGINE_Initiatives!$BW$5:$BW$76,0))="3-6 months",EDATE('Company Profile'!$B$6,3),IF(INDEX(_ENGINE_Initiatives!$BX$5:$BX$76,MATCH($A166,_ENGINE_Initiatives!$BW$5:$BW$76,0))="6-12 months",EDATE('Company Profile'!$B$6,6),EDATE('Company Profile'!$B$6,12))))+(IF(INDEX(_ENGINE_Initiatives!$AB$5:$AB$76,MATCH($A166,_ENGINE_Initiatives!$BW$5:$BW$76,0))&lt;=2,6,IF(INDEX(_ENGINE_Initiatives!$AB$5:$AB$76,MATCH($A166,_ENGINE_Initiatives!$BW$5:$BW$76,0))=3,10,IF(INDEX(_ENGINE_Initiatives!$AB$5:$AB$76,MATCH($A166,_ENGINE_Initiatives!$BW$5:$BW$76,0))=4,16,24)))*7)),1,""),"")</f>
      </c>
      <c r="I166" s="55">
        <f>IFERROR(IF(AND(I$162&gt;=IF(INDEX(_ENGINE_Initiatives!$BX$5:$BX$76,MATCH($A166,_ENGINE_Initiatives!$BW$5:$BW$76,0))="0-90 days",'Company Profile'!$B$6,IF(INDEX(_ENGINE_Initiatives!$BX$5:$BX$76,MATCH($A166,_ENGINE_Initiatives!$BW$5:$BW$76,0))="3-6 months",EDATE('Company Profile'!$B$6,3),IF(INDEX(_ENGINE_Initiatives!$BX$5:$BX$76,MATCH($A166,_ENGINE_Initiatives!$BW$5:$BW$76,0))="6-12 months",EDATE('Company Profile'!$B$6,6),EDATE('Company Profile'!$B$6,12)))),I$162&lt;=IF(INDEX(_ENGINE_Initiatives!$BX$5:$BX$76,MATCH($A166,_ENGINE_Initiatives!$BW$5:$BW$76,0))="0-90 days",'Company Profile'!$B$6,IF(INDEX(_ENGINE_Initiatives!$BX$5:$BX$76,MATCH($A166,_ENGINE_Initiatives!$BW$5:$BW$76,0))="3-6 months",EDATE('Company Profile'!$B$6,3),IF(INDEX(_ENGINE_Initiatives!$BX$5:$BX$76,MATCH($A166,_ENGINE_Initiatives!$BW$5:$BW$76,0))="6-12 months",EDATE('Company Profile'!$B$6,6),EDATE('Company Profile'!$B$6,12))))+(IF(INDEX(_ENGINE_Initiatives!$AB$5:$AB$76,MATCH($A166,_ENGINE_Initiatives!$BW$5:$BW$76,0))&lt;=2,6,IF(INDEX(_ENGINE_Initiatives!$AB$5:$AB$76,MATCH($A166,_ENGINE_Initiatives!$BW$5:$BW$76,0))=3,10,IF(INDEX(_ENGINE_Initiatives!$AB$5:$AB$76,MATCH($A166,_ENGINE_Initiatives!$BW$5:$BW$76,0))=4,16,24)))*7)),1,""),"")</f>
      </c>
      <c r="J166" s="55">
        <f>IFERROR(IF(AND(J$162&gt;=IF(INDEX(_ENGINE_Initiatives!$BX$5:$BX$76,MATCH($A166,_ENGINE_Initiatives!$BW$5:$BW$76,0))="0-90 days",'Company Profile'!$B$6,IF(INDEX(_ENGINE_Initiatives!$BX$5:$BX$76,MATCH($A166,_ENGINE_Initiatives!$BW$5:$BW$76,0))="3-6 months",EDATE('Company Profile'!$B$6,3),IF(INDEX(_ENGINE_Initiatives!$BX$5:$BX$76,MATCH($A166,_ENGINE_Initiatives!$BW$5:$BW$76,0))="6-12 months",EDATE('Company Profile'!$B$6,6),EDATE('Company Profile'!$B$6,12)))),J$162&lt;=IF(INDEX(_ENGINE_Initiatives!$BX$5:$BX$76,MATCH($A166,_ENGINE_Initiatives!$BW$5:$BW$76,0))="0-90 days",'Company Profile'!$B$6,IF(INDEX(_ENGINE_Initiatives!$BX$5:$BX$76,MATCH($A166,_ENGINE_Initiatives!$BW$5:$BW$76,0))="3-6 months",EDATE('Company Profile'!$B$6,3),IF(INDEX(_ENGINE_Initiatives!$BX$5:$BX$76,MATCH($A166,_ENGINE_Initiatives!$BW$5:$BW$76,0))="6-12 months",EDATE('Company Profile'!$B$6,6),EDATE('Company Profile'!$B$6,12))))+(IF(INDEX(_ENGINE_Initiatives!$AB$5:$AB$76,MATCH($A166,_ENGINE_Initiatives!$BW$5:$BW$76,0))&lt;=2,6,IF(INDEX(_ENGINE_Initiatives!$AB$5:$AB$76,MATCH($A166,_ENGINE_Initiatives!$BW$5:$BW$76,0))=3,10,IF(INDEX(_ENGINE_Initiatives!$AB$5:$AB$76,MATCH($A166,_ENGINE_Initiatives!$BW$5:$BW$76,0))=4,16,24)))*7)),1,""),"")</f>
      </c>
      <c r="K166" s="55">
        <f>IFERROR(IF(AND(K$162&gt;=IF(INDEX(_ENGINE_Initiatives!$BX$5:$BX$76,MATCH($A166,_ENGINE_Initiatives!$BW$5:$BW$76,0))="0-90 days",'Company Profile'!$B$6,IF(INDEX(_ENGINE_Initiatives!$BX$5:$BX$76,MATCH($A166,_ENGINE_Initiatives!$BW$5:$BW$76,0))="3-6 months",EDATE('Company Profile'!$B$6,3),IF(INDEX(_ENGINE_Initiatives!$BX$5:$BX$76,MATCH($A166,_ENGINE_Initiatives!$BW$5:$BW$76,0))="6-12 months",EDATE('Company Profile'!$B$6,6),EDATE('Company Profile'!$B$6,12)))),K$162&lt;=IF(INDEX(_ENGINE_Initiatives!$BX$5:$BX$76,MATCH($A166,_ENGINE_Initiatives!$BW$5:$BW$76,0))="0-90 days",'Company Profile'!$B$6,IF(INDEX(_ENGINE_Initiatives!$BX$5:$BX$76,MATCH($A166,_ENGINE_Initiatives!$BW$5:$BW$76,0))="3-6 months",EDATE('Company Profile'!$B$6,3),IF(INDEX(_ENGINE_Initiatives!$BX$5:$BX$76,MATCH($A166,_ENGINE_Initiatives!$BW$5:$BW$76,0))="6-12 months",EDATE('Company Profile'!$B$6,6),EDATE('Company Profile'!$B$6,12))))+(IF(INDEX(_ENGINE_Initiatives!$AB$5:$AB$76,MATCH($A166,_ENGINE_Initiatives!$BW$5:$BW$76,0))&lt;=2,6,IF(INDEX(_ENGINE_Initiatives!$AB$5:$AB$76,MATCH($A166,_ENGINE_Initiatives!$BW$5:$BW$76,0))=3,10,IF(INDEX(_ENGINE_Initiatives!$AB$5:$AB$76,MATCH($A166,_ENGINE_Initiatives!$BW$5:$BW$76,0))=4,16,24)))*7)),1,""),"")</f>
      </c>
      <c r="L166" s="55">
        <f>IFERROR(IF(AND(L$162&gt;=IF(INDEX(_ENGINE_Initiatives!$BX$5:$BX$76,MATCH($A166,_ENGINE_Initiatives!$BW$5:$BW$76,0))="0-90 days",'Company Profile'!$B$6,IF(INDEX(_ENGINE_Initiatives!$BX$5:$BX$76,MATCH($A166,_ENGINE_Initiatives!$BW$5:$BW$76,0))="3-6 months",EDATE('Company Profile'!$B$6,3),IF(INDEX(_ENGINE_Initiatives!$BX$5:$BX$76,MATCH($A166,_ENGINE_Initiatives!$BW$5:$BW$76,0))="6-12 months",EDATE('Company Profile'!$B$6,6),EDATE('Company Profile'!$B$6,12)))),L$162&lt;=IF(INDEX(_ENGINE_Initiatives!$BX$5:$BX$76,MATCH($A166,_ENGINE_Initiatives!$BW$5:$BW$76,0))="0-90 days",'Company Profile'!$B$6,IF(INDEX(_ENGINE_Initiatives!$BX$5:$BX$76,MATCH($A166,_ENGINE_Initiatives!$BW$5:$BW$76,0))="3-6 months",EDATE('Company Profile'!$B$6,3),IF(INDEX(_ENGINE_Initiatives!$BX$5:$BX$76,MATCH($A166,_ENGINE_Initiatives!$BW$5:$BW$76,0))="6-12 months",EDATE('Company Profile'!$B$6,6),EDATE('Company Profile'!$B$6,12))))+(IF(INDEX(_ENGINE_Initiatives!$AB$5:$AB$76,MATCH($A166,_ENGINE_Initiatives!$BW$5:$BW$76,0))&lt;=2,6,IF(INDEX(_ENGINE_Initiatives!$AB$5:$AB$76,MATCH($A166,_ENGINE_Initiatives!$BW$5:$BW$76,0))=3,10,IF(INDEX(_ENGINE_Initiatives!$AB$5:$AB$76,MATCH($A166,_ENGINE_Initiatives!$BW$5:$BW$76,0))=4,16,24)))*7)),1,""),"")</f>
      </c>
      <c r="M166" s="55">
        <f>IFERROR(IF(AND(M$162&gt;=IF(INDEX(_ENGINE_Initiatives!$BX$5:$BX$76,MATCH($A166,_ENGINE_Initiatives!$BW$5:$BW$76,0))="0-90 days",'Company Profile'!$B$6,IF(INDEX(_ENGINE_Initiatives!$BX$5:$BX$76,MATCH($A166,_ENGINE_Initiatives!$BW$5:$BW$76,0))="3-6 months",EDATE('Company Profile'!$B$6,3),IF(INDEX(_ENGINE_Initiatives!$BX$5:$BX$76,MATCH($A166,_ENGINE_Initiatives!$BW$5:$BW$76,0))="6-12 months",EDATE('Company Profile'!$B$6,6),EDATE('Company Profile'!$B$6,12)))),M$162&lt;=IF(INDEX(_ENGINE_Initiatives!$BX$5:$BX$76,MATCH($A166,_ENGINE_Initiatives!$BW$5:$BW$76,0))="0-90 days",'Company Profile'!$B$6,IF(INDEX(_ENGINE_Initiatives!$BX$5:$BX$76,MATCH($A166,_ENGINE_Initiatives!$BW$5:$BW$76,0))="3-6 months",EDATE('Company Profile'!$B$6,3),IF(INDEX(_ENGINE_Initiatives!$BX$5:$BX$76,MATCH($A166,_ENGINE_Initiatives!$BW$5:$BW$76,0))="6-12 months",EDATE('Company Profile'!$B$6,6),EDATE('Company Profile'!$B$6,12))))+(IF(INDEX(_ENGINE_Initiatives!$AB$5:$AB$76,MATCH($A166,_ENGINE_Initiatives!$BW$5:$BW$76,0))&lt;=2,6,IF(INDEX(_ENGINE_Initiatives!$AB$5:$AB$76,MATCH($A166,_ENGINE_Initiatives!$BW$5:$BW$76,0))=3,10,IF(INDEX(_ENGINE_Initiatives!$AB$5:$AB$76,MATCH($A166,_ENGINE_Initiatives!$BW$5:$BW$76,0))=4,16,24)))*7)),1,""),"")</f>
      </c>
      <c r="N166" s="55">
        <f>IFERROR(IF(AND(N$162&gt;=IF(INDEX(_ENGINE_Initiatives!$BX$5:$BX$76,MATCH($A166,_ENGINE_Initiatives!$BW$5:$BW$76,0))="0-90 days",'Company Profile'!$B$6,IF(INDEX(_ENGINE_Initiatives!$BX$5:$BX$76,MATCH($A166,_ENGINE_Initiatives!$BW$5:$BW$76,0))="3-6 months",EDATE('Company Profile'!$B$6,3),IF(INDEX(_ENGINE_Initiatives!$BX$5:$BX$76,MATCH($A166,_ENGINE_Initiatives!$BW$5:$BW$76,0))="6-12 months",EDATE('Company Profile'!$B$6,6),EDATE('Company Profile'!$B$6,12)))),N$162&lt;=IF(INDEX(_ENGINE_Initiatives!$BX$5:$BX$76,MATCH($A166,_ENGINE_Initiatives!$BW$5:$BW$76,0))="0-90 days",'Company Profile'!$B$6,IF(INDEX(_ENGINE_Initiatives!$BX$5:$BX$76,MATCH($A166,_ENGINE_Initiatives!$BW$5:$BW$76,0))="3-6 months",EDATE('Company Profile'!$B$6,3),IF(INDEX(_ENGINE_Initiatives!$BX$5:$BX$76,MATCH($A166,_ENGINE_Initiatives!$BW$5:$BW$76,0))="6-12 months",EDATE('Company Profile'!$B$6,6),EDATE('Company Profile'!$B$6,12))))+(IF(INDEX(_ENGINE_Initiatives!$AB$5:$AB$76,MATCH($A166,_ENGINE_Initiatives!$BW$5:$BW$76,0))&lt;=2,6,IF(INDEX(_ENGINE_Initiatives!$AB$5:$AB$76,MATCH($A166,_ENGINE_Initiatives!$BW$5:$BW$76,0))=3,10,IF(INDEX(_ENGINE_Initiatives!$AB$5:$AB$76,MATCH($A166,_ENGINE_Initiatives!$BW$5:$BW$76,0))=4,16,24)))*7)),1,""),"")</f>
      </c>
      <c r="O166" s="55">
        <f>IFERROR(IF(AND(O$162&gt;=IF(INDEX(_ENGINE_Initiatives!$BX$5:$BX$76,MATCH($A166,_ENGINE_Initiatives!$BW$5:$BW$76,0))="0-90 days",'Company Profile'!$B$6,IF(INDEX(_ENGINE_Initiatives!$BX$5:$BX$76,MATCH($A166,_ENGINE_Initiatives!$BW$5:$BW$76,0))="3-6 months",EDATE('Company Profile'!$B$6,3),IF(INDEX(_ENGINE_Initiatives!$BX$5:$BX$76,MATCH($A166,_ENGINE_Initiatives!$BW$5:$BW$76,0))="6-12 months",EDATE('Company Profile'!$B$6,6),EDATE('Company Profile'!$B$6,12)))),O$162&lt;=IF(INDEX(_ENGINE_Initiatives!$BX$5:$BX$76,MATCH($A166,_ENGINE_Initiatives!$BW$5:$BW$76,0))="0-90 days",'Company Profile'!$B$6,IF(INDEX(_ENGINE_Initiatives!$BX$5:$BX$76,MATCH($A166,_ENGINE_Initiatives!$BW$5:$BW$76,0))="3-6 months",EDATE('Company Profile'!$B$6,3),IF(INDEX(_ENGINE_Initiatives!$BX$5:$BX$76,MATCH($A166,_ENGINE_Initiatives!$BW$5:$BW$76,0))="6-12 months",EDATE('Company Profile'!$B$6,6),EDATE('Company Profile'!$B$6,12))))+(IF(INDEX(_ENGINE_Initiatives!$AB$5:$AB$76,MATCH($A166,_ENGINE_Initiatives!$BW$5:$BW$76,0))&lt;=2,6,IF(INDEX(_ENGINE_Initiatives!$AB$5:$AB$76,MATCH($A166,_ENGINE_Initiatives!$BW$5:$BW$76,0))=3,10,IF(INDEX(_ENGINE_Initiatives!$AB$5:$AB$76,MATCH($A166,_ENGINE_Initiatives!$BW$5:$BW$76,0))=4,16,24)))*7)),1,""),"")</f>
      </c>
      <c r="P166" s="55">
        <f>IFERROR(IF(AND(P$162&gt;=IF(INDEX(_ENGINE_Initiatives!$BX$5:$BX$76,MATCH($A166,_ENGINE_Initiatives!$BW$5:$BW$76,0))="0-90 days",'Company Profile'!$B$6,IF(INDEX(_ENGINE_Initiatives!$BX$5:$BX$76,MATCH($A166,_ENGINE_Initiatives!$BW$5:$BW$76,0))="3-6 months",EDATE('Company Profile'!$B$6,3),IF(INDEX(_ENGINE_Initiatives!$BX$5:$BX$76,MATCH($A166,_ENGINE_Initiatives!$BW$5:$BW$76,0))="6-12 months",EDATE('Company Profile'!$B$6,6),EDATE('Company Profile'!$B$6,12)))),P$162&lt;=IF(INDEX(_ENGINE_Initiatives!$BX$5:$BX$76,MATCH($A166,_ENGINE_Initiatives!$BW$5:$BW$76,0))="0-90 days",'Company Profile'!$B$6,IF(INDEX(_ENGINE_Initiatives!$BX$5:$BX$76,MATCH($A166,_ENGINE_Initiatives!$BW$5:$BW$76,0))="3-6 months",EDATE('Company Profile'!$B$6,3),IF(INDEX(_ENGINE_Initiatives!$BX$5:$BX$76,MATCH($A166,_ENGINE_Initiatives!$BW$5:$BW$76,0))="6-12 months",EDATE('Company Profile'!$B$6,6),EDATE('Company Profile'!$B$6,12))))+(IF(INDEX(_ENGINE_Initiatives!$AB$5:$AB$76,MATCH($A166,_ENGINE_Initiatives!$BW$5:$BW$76,0))&lt;=2,6,IF(INDEX(_ENGINE_Initiatives!$AB$5:$AB$76,MATCH($A166,_ENGINE_Initiatives!$BW$5:$BW$76,0))=3,10,IF(INDEX(_ENGINE_Initiatives!$AB$5:$AB$76,MATCH($A166,_ENGINE_Initiatives!$BW$5:$BW$76,0))=4,16,24)))*7)),1,""),"")</f>
      </c>
      <c r="Q166" s="55">
        <f>IFERROR(IF(AND(Q$162&gt;=IF(INDEX(_ENGINE_Initiatives!$BX$5:$BX$76,MATCH($A166,_ENGINE_Initiatives!$BW$5:$BW$76,0))="0-90 days",'Company Profile'!$B$6,IF(INDEX(_ENGINE_Initiatives!$BX$5:$BX$76,MATCH($A166,_ENGINE_Initiatives!$BW$5:$BW$76,0))="3-6 months",EDATE('Company Profile'!$B$6,3),IF(INDEX(_ENGINE_Initiatives!$BX$5:$BX$76,MATCH($A166,_ENGINE_Initiatives!$BW$5:$BW$76,0))="6-12 months",EDATE('Company Profile'!$B$6,6),EDATE('Company Profile'!$B$6,12)))),Q$162&lt;=IF(INDEX(_ENGINE_Initiatives!$BX$5:$BX$76,MATCH($A166,_ENGINE_Initiatives!$BW$5:$BW$76,0))="0-90 days",'Company Profile'!$B$6,IF(INDEX(_ENGINE_Initiatives!$BX$5:$BX$76,MATCH($A166,_ENGINE_Initiatives!$BW$5:$BW$76,0))="3-6 months",EDATE('Company Profile'!$B$6,3),IF(INDEX(_ENGINE_Initiatives!$BX$5:$BX$76,MATCH($A166,_ENGINE_Initiatives!$BW$5:$BW$76,0))="6-12 months",EDATE('Company Profile'!$B$6,6),EDATE('Company Profile'!$B$6,12))))+(IF(INDEX(_ENGINE_Initiatives!$AB$5:$AB$76,MATCH($A166,_ENGINE_Initiatives!$BW$5:$BW$76,0))&lt;=2,6,IF(INDEX(_ENGINE_Initiatives!$AB$5:$AB$76,MATCH($A166,_ENGINE_Initiatives!$BW$5:$BW$76,0))=3,10,IF(INDEX(_ENGINE_Initiatives!$AB$5:$AB$76,MATCH($A166,_ENGINE_Initiatives!$BW$5:$BW$76,0))=4,16,24)))*7)),1,""),"")</f>
      </c>
      <c r="R166" s="55">
        <f>IFERROR(IF(AND(R$162&gt;=IF(INDEX(_ENGINE_Initiatives!$BX$5:$BX$76,MATCH($A166,_ENGINE_Initiatives!$BW$5:$BW$76,0))="0-90 days",'Company Profile'!$B$6,IF(INDEX(_ENGINE_Initiatives!$BX$5:$BX$76,MATCH($A166,_ENGINE_Initiatives!$BW$5:$BW$76,0))="3-6 months",EDATE('Company Profile'!$B$6,3),IF(INDEX(_ENGINE_Initiatives!$BX$5:$BX$76,MATCH($A166,_ENGINE_Initiatives!$BW$5:$BW$76,0))="6-12 months",EDATE('Company Profile'!$B$6,6),EDATE('Company Profile'!$B$6,12)))),R$162&lt;=IF(INDEX(_ENGINE_Initiatives!$BX$5:$BX$76,MATCH($A166,_ENGINE_Initiatives!$BW$5:$BW$76,0))="0-90 days",'Company Profile'!$B$6,IF(INDEX(_ENGINE_Initiatives!$BX$5:$BX$76,MATCH($A166,_ENGINE_Initiatives!$BW$5:$BW$76,0))="3-6 months",EDATE('Company Profile'!$B$6,3),IF(INDEX(_ENGINE_Initiatives!$BX$5:$BX$76,MATCH($A166,_ENGINE_Initiatives!$BW$5:$BW$76,0))="6-12 months",EDATE('Company Profile'!$B$6,6),EDATE('Company Profile'!$B$6,12))))+(IF(INDEX(_ENGINE_Initiatives!$AB$5:$AB$76,MATCH($A166,_ENGINE_Initiatives!$BW$5:$BW$76,0))&lt;=2,6,IF(INDEX(_ENGINE_Initiatives!$AB$5:$AB$76,MATCH($A166,_ENGINE_Initiatives!$BW$5:$BW$76,0))=3,10,IF(INDEX(_ENGINE_Initiatives!$AB$5:$AB$76,MATCH($A166,_ENGINE_Initiatives!$BW$5:$BW$76,0))=4,16,24)))*7)),1,""),"")</f>
      </c>
      <c r="S166" s="55">
        <f>IFERROR(IF(AND(S$162&gt;=IF(INDEX(_ENGINE_Initiatives!$BX$5:$BX$76,MATCH($A166,_ENGINE_Initiatives!$BW$5:$BW$76,0))="0-90 days",'Company Profile'!$B$6,IF(INDEX(_ENGINE_Initiatives!$BX$5:$BX$76,MATCH($A166,_ENGINE_Initiatives!$BW$5:$BW$76,0))="3-6 months",EDATE('Company Profile'!$B$6,3),IF(INDEX(_ENGINE_Initiatives!$BX$5:$BX$76,MATCH($A166,_ENGINE_Initiatives!$BW$5:$BW$76,0))="6-12 months",EDATE('Company Profile'!$B$6,6),EDATE('Company Profile'!$B$6,12)))),S$162&lt;=IF(INDEX(_ENGINE_Initiatives!$BX$5:$BX$76,MATCH($A166,_ENGINE_Initiatives!$BW$5:$BW$76,0))="0-90 days",'Company Profile'!$B$6,IF(INDEX(_ENGINE_Initiatives!$BX$5:$BX$76,MATCH($A166,_ENGINE_Initiatives!$BW$5:$BW$76,0))="3-6 months",EDATE('Company Profile'!$B$6,3),IF(INDEX(_ENGINE_Initiatives!$BX$5:$BX$76,MATCH($A166,_ENGINE_Initiatives!$BW$5:$BW$76,0))="6-12 months",EDATE('Company Profile'!$B$6,6),EDATE('Company Profile'!$B$6,12))))+(IF(INDEX(_ENGINE_Initiatives!$AB$5:$AB$76,MATCH($A166,_ENGINE_Initiatives!$BW$5:$BW$76,0))&lt;=2,6,IF(INDEX(_ENGINE_Initiatives!$AB$5:$AB$76,MATCH($A166,_ENGINE_Initiatives!$BW$5:$BW$76,0))=3,10,IF(INDEX(_ENGINE_Initiatives!$AB$5:$AB$76,MATCH($A166,_ENGINE_Initiatives!$BW$5:$BW$76,0))=4,16,24)))*7)),1,""),"")</f>
      </c>
      <c r="T166" s="55">
        <f>IFERROR(IF(AND(T$162&gt;=IF(INDEX(_ENGINE_Initiatives!$BX$5:$BX$76,MATCH($A166,_ENGINE_Initiatives!$BW$5:$BW$76,0))="0-90 days",'Company Profile'!$B$6,IF(INDEX(_ENGINE_Initiatives!$BX$5:$BX$76,MATCH($A166,_ENGINE_Initiatives!$BW$5:$BW$76,0))="3-6 months",EDATE('Company Profile'!$B$6,3),IF(INDEX(_ENGINE_Initiatives!$BX$5:$BX$76,MATCH($A166,_ENGINE_Initiatives!$BW$5:$BW$76,0))="6-12 months",EDATE('Company Profile'!$B$6,6),EDATE('Company Profile'!$B$6,12)))),T$162&lt;=IF(INDEX(_ENGINE_Initiatives!$BX$5:$BX$76,MATCH($A166,_ENGINE_Initiatives!$BW$5:$BW$76,0))="0-90 days",'Company Profile'!$B$6,IF(INDEX(_ENGINE_Initiatives!$BX$5:$BX$76,MATCH($A166,_ENGINE_Initiatives!$BW$5:$BW$76,0))="3-6 months",EDATE('Company Profile'!$B$6,3),IF(INDEX(_ENGINE_Initiatives!$BX$5:$BX$76,MATCH($A166,_ENGINE_Initiatives!$BW$5:$BW$76,0))="6-12 months",EDATE('Company Profile'!$B$6,6),EDATE('Company Profile'!$B$6,12))))+(IF(INDEX(_ENGINE_Initiatives!$AB$5:$AB$76,MATCH($A166,_ENGINE_Initiatives!$BW$5:$BW$76,0))&lt;=2,6,IF(INDEX(_ENGINE_Initiatives!$AB$5:$AB$76,MATCH($A166,_ENGINE_Initiatives!$BW$5:$BW$76,0))=3,10,IF(INDEX(_ENGINE_Initiatives!$AB$5:$AB$76,MATCH($A166,_ENGINE_Initiatives!$BW$5:$BW$76,0))=4,16,24)))*7)),1,""),"")</f>
      </c>
      <c r="U166" s="30" t="n"/>
      <c r="V166" s="30" t="n"/>
    </row>
    <row r="167" ht="15" customHeight="1" s="209">
      <c r="A167" s="51" t="inlineStr">
        <is>
          <t>5</t>
        </is>
      </c>
      <c r="B167" s="51">
        <f>IFERROR(INDEX(_ENGINE_Initiatives!$F$5:$F$76,MATCH($A167,_ENGINE_Initiatives!$BW$5:$BW$76,0)),"")</f>
      </c>
      <c r="C167" s="55">
        <f>IFERROR(IF(AND(C$162&gt;=IF(INDEX(_ENGINE_Initiatives!$BX$5:$BX$76,MATCH($A167,_ENGINE_Initiatives!$BW$5:$BW$76,0))="0-90 days",'Company Profile'!$B$6,IF(INDEX(_ENGINE_Initiatives!$BX$5:$BX$76,MATCH($A167,_ENGINE_Initiatives!$BW$5:$BW$76,0))="3-6 months",EDATE('Company Profile'!$B$6,3),IF(INDEX(_ENGINE_Initiatives!$BX$5:$BX$76,MATCH($A167,_ENGINE_Initiatives!$BW$5:$BW$76,0))="6-12 months",EDATE('Company Profile'!$B$6,6),EDATE('Company Profile'!$B$6,12)))),C$162&lt;=IF(INDEX(_ENGINE_Initiatives!$BX$5:$BX$76,MATCH($A167,_ENGINE_Initiatives!$BW$5:$BW$76,0))="0-90 days",'Company Profile'!$B$6,IF(INDEX(_ENGINE_Initiatives!$BX$5:$BX$76,MATCH($A167,_ENGINE_Initiatives!$BW$5:$BW$76,0))="3-6 months",EDATE('Company Profile'!$B$6,3),IF(INDEX(_ENGINE_Initiatives!$BX$5:$BX$76,MATCH($A167,_ENGINE_Initiatives!$BW$5:$BW$76,0))="6-12 months",EDATE('Company Profile'!$B$6,6),EDATE('Company Profile'!$B$6,12))))+(IF(INDEX(_ENGINE_Initiatives!$AB$5:$AB$76,MATCH($A167,_ENGINE_Initiatives!$BW$5:$BW$76,0))&lt;=2,6,IF(INDEX(_ENGINE_Initiatives!$AB$5:$AB$76,MATCH($A167,_ENGINE_Initiatives!$BW$5:$BW$76,0))=3,10,IF(INDEX(_ENGINE_Initiatives!$AB$5:$AB$76,MATCH($A167,_ENGINE_Initiatives!$BW$5:$BW$76,0))=4,16,24)))*7)),1,""),"")</f>
      </c>
      <c r="D167" s="55">
        <f>IFERROR(IF(AND(D$162&gt;=IF(INDEX(_ENGINE_Initiatives!$BX$5:$BX$76,MATCH($A167,_ENGINE_Initiatives!$BW$5:$BW$76,0))="0-90 days",'Company Profile'!$B$6,IF(INDEX(_ENGINE_Initiatives!$BX$5:$BX$76,MATCH($A167,_ENGINE_Initiatives!$BW$5:$BW$76,0))="3-6 months",EDATE('Company Profile'!$B$6,3),IF(INDEX(_ENGINE_Initiatives!$BX$5:$BX$76,MATCH($A167,_ENGINE_Initiatives!$BW$5:$BW$76,0))="6-12 months",EDATE('Company Profile'!$B$6,6),EDATE('Company Profile'!$B$6,12)))),D$162&lt;=IF(INDEX(_ENGINE_Initiatives!$BX$5:$BX$76,MATCH($A167,_ENGINE_Initiatives!$BW$5:$BW$76,0))="0-90 days",'Company Profile'!$B$6,IF(INDEX(_ENGINE_Initiatives!$BX$5:$BX$76,MATCH($A167,_ENGINE_Initiatives!$BW$5:$BW$76,0))="3-6 months",EDATE('Company Profile'!$B$6,3),IF(INDEX(_ENGINE_Initiatives!$BX$5:$BX$76,MATCH($A167,_ENGINE_Initiatives!$BW$5:$BW$76,0))="6-12 months",EDATE('Company Profile'!$B$6,6),EDATE('Company Profile'!$B$6,12))))+(IF(INDEX(_ENGINE_Initiatives!$AB$5:$AB$76,MATCH($A167,_ENGINE_Initiatives!$BW$5:$BW$76,0))&lt;=2,6,IF(INDEX(_ENGINE_Initiatives!$AB$5:$AB$76,MATCH($A167,_ENGINE_Initiatives!$BW$5:$BW$76,0))=3,10,IF(INDEX(_ENGINE_Initiatives!$AB$5:$AB$76,MATCH($A167,_ENGINE_Initiatives!$BW$5:$BW$76,0))=4,16,24)))*7)),1,""),"")</f>
      </c>
      <c r="E167" s="55">
        <f>IFERROR(IF(AND(E$162&gt;=IF(INDEX(_ENGINE_Initiatives!$BX$5:$BX$76,MATCH($A167,_ENGINE_Initiatives!$BW$5:$BW$76,0))="0-90 days",'Company Profile'!$B$6,IF(INDEX(_ENGINE_Initiatives!$BX$5:$BX$76,MATCH($A167,_ENGINE_Initiatives!$BW$5:$BW$76,0))="3-6 months",EDATE('Company Profile'!$B$6,3),IF(INDEX(_ENGINE_Initiatives!$BX$5:$BX$76,MATCH($A167,_ENGINE_Initiatives!$BW$5:$BW$76,0))="6-12 months",EDATE('Company Profile'!$B$6,6),EDATE('Company Profile'!$B$6,12)))),E$162&lt;=IF(INDEX(_ENGINE_Initiatives!$BX$5:$BX$76,MATCH($A167,_ENGINE_Initiatives!$BW$5:$BW$76,0))="0-90 days",'Company Profile'!$B$6,IF(INDEX(_ENGINE_Initiatives!$BX$5:$BX$76,MATCH($A167,_ENGINE_Initiatives!$BW$5:$BW$76,0))="3-6 months",EDATE('Company Profile'!$B$6,3),IF(INDEX(_ENGINE_Initiatives!$BX$5:$BX$76,MATCH($A167,_ENGINE_Initiatives!$BW$5:$BW$76,0))="6-12 months",EDATE('Company Profile'!$B$6,6),EDATE('Company Profile'!$B$6,12))))+(IF(INDEX(_ENGINE_Initiatives!$AB$5:$AB$76,MATCH($A167,_ENGINE_Initiatives!$BW$5:$BW$76,0))&lt;=2,6,IF(INDEX(_ENGINE_Initiatives!$AB$5:$AB$76,MATCH($A167,_ENGINE_Initiatives!$BW$5:$BW$76,0))=3,10,IF(INDEX(_ENGINE_Initiatives!$AB$5:$AB$76,MATCH($A167,_ENGINE_Initiatives!$BW$5:$BW$76,0))=4,16,24)))*7)),1,""),"")</f>
      </c>
      <c r="F167" s="55">
        <f>IFERROR(IF(AND(F$162&gt;=IF(INDEX(_ENGINE_Initiatives!$BX$5:$BX$76,MATCH($A167,_ENGINE_Initiatives!$BW$5:$BW$76,0))="0-90 days",'Company Profile'!$B$6,IF(INDEX(_ENGINE_Initiatives!$BX$5:$BX$76,MATCH($A167,_ENGINE_Initiatives!$BW$5:$BW$76,0))="3-6 months",EDATE('Company Profile'!$B$6,3),IF(INDEX(_ENGINE_Initiatives!$BX$5:$BX$76,MATCH($A167,_ENGINE_Initiatives!$BW$5:$BW$76,0))="6-12 months",EDATE('Company Profile'!$B$6,6),EDATE('Company Profile'!$B$6,12)))),F$162&lt;=IF(INDEX(_ENGINE_Initiatives!$BX$5:$BX$76,MATCH($A167,_ENGINE_Initiatives!$BW$5:$BW$76,0))="0-90 days",'Company Profile'!$B$6,IF(INDEX(_ENGINE_Initiatives!$BX$5:$BX$76,MATCH($A167,_ENGINE_Initiatives!$BW$5:$BW$76,0))="3-6 months",EDATE('Company Profile'!$B$6,3),IF(INDEX(_ENGINE_Initiatives!$BX$5:$BX$76,MATCH($A167,_ENGINE_Initiatives!$BW$5:$BW$76,0))="6-12 months",EDATE('Company Profile'!$B$6,6),EDATE('Company Profile'!$B$6,12))))+(IF(INDEX(_ENGINE_Initiatives!$AB$5:$AB$76,MATCH($A167,_ENGINE_Initiatives!$BW$5:$BW$76,0))&lt;=2,6,IF(INDEX(_ENGINE_Initiatives!$AB$5:$AB$76,MATCH($A167,_ENGINE_Initiatives!$BW$5:$BW$76,0))=3,10,IF(INDEX(_ENGINE_Initiatives!$AB$5:$AB$76,MATCH($A167,_ENGINE_Initiatives!$BW$5:$BW$76,0))=4,16,24)))*7)),1,""),"")</f>
      </c>
      <c r="G167" s="55">
        <f>IFERROR(IF(AND(G$162&gt;=IF(INDEX(_ENGINE_Initiatives!$BX$5:$BX$76,MATCH($A167,_ENGINE_Initiatives!$BW$5:$BW$76,0))="0-90 days",'Company Profile'!$B$6,IF(INDEX(_ENGINE_Initiatives!$BX$5:$BX$76,MATCH($A167,_ENGINE_Initiatives!$BW$5:$BW$76,0))="3-6 months",EDATE('Company Profile'!$B$6,3),IF(INDEX(_ENGINE_Initiatives!$BX$5:$BX$76,MATCH($A167,_ENGINE_Initiatives!$BW$5:$BW$76,0))="6-12 months",EDATE('Company Profile'!$B$6,6),EDATE('Company Profile'!$B$6,12)))),G$162&lt;=IF(INDEX(_ENGINE_Initiatives!$BX$5:$BX$76,MATCH($A167,_ENGINE_Initiatives!$BW$5:$BW$76,0))="0-90 days",'Company Profile'!$B$6,IF(INDEX(_ENGINE_Initiatives!$BX$5:$BX$76,MATCH($A167,_ENGINE_Initiatives!$BW$5:$BW$76,0))="3-6 months",EDATE('Company Profile'!$B$6,3),IF(INDEX(_ENGINE_Initiatives!$BX$5:$BX$76,MATCH($A167,_ENGINE_Initiatives!$BW$5:$BW$76,0))="6-12 months",EDATE('Company Profile'!$B$6,6),EDATE('Company Profile'!$B$6,12))))+(IF(INDEX(_ENGINE_Initiatives!$AB$5:$AB$76,MATCH($A167,_ENGINE_Initiatives!$BW$5:$BW$76,0))&lt;=2,6,IF(INDEX(_ENGINE_Initiatives!$AB$5:$AB$76,MATCH($A167,_ENGINE_Initiatives!$BW$5:$BW$76,0))=3,10,IF(INDEX(_ENGINE_Initiatives!$AB$5:$AB$76,MATCH($A167,_ENGINE_Initiatives!$BW$5:$BW$76,0))=4,16,24)))*7)),1,""),"")</f>
      </c>
      <c r="H167" s="55">
        <f>IFERROR(IF(AND(H$162&gt;=IF(INDEX(_ENGINE_Initiatives!$BX$5:$BX$76,MATCH($A167,_ENGINE_Initiatives!$BW$5:$BW$76,0))="0-90 days",'Company Profile'!$B$6,IF(INDEX(_ENGINE_Initiatives!$BX$5:$BX$76,MATCH($A167,_ENGINE_Initiatives!$BW$5:$BW$76,0))="3-6 months",EDATE('Company Profile'!$B$6,3),IF(INDEX(_ENGINE_Initiatives!$BX$5:$BX$76,MATCH($A167,_ENGINE_Initiatives!$BW$5:$BW$76,0))="6-12 months",EDATE('Company Profile'!$B$6,6),EDATE('Company Profile'!$B$6,12)))),H$162&lt;=IF(INDEX(_ENGINE_Initiatives!$BX$5:$BX$76,MATCH($A167,_ENGINE_Initiatives!$BW$5:$BW$76,0))="0-90 days",'Company Profile'!$B$6,IF(INDEX(_ENGINE_Initiatives!$BX$5:$BX$76,MATCH($A167,_ENGINE_Initiatives!$BW$5:$BW$76,0))="3-6 months",EDATE('Company Profile'!$B$6,3),IF(INDEX(_ENGINE_Initiatives!$BX$5:$BX$76,MATCH($A167,_ENGINE_Initiatives!$BW$5:$BW$76,0))="6-12 months",EDATE('Company Profile'!$B$6,6),EDATE('Company Profile'!$B$6,12))))+(IF(INDEX(_ENGINE_Initiatives!$AB$5:$AB$76,MATCH($A167,_ENGINE_Initiatives!$BW$5:$BW$76,0))&lt;=2,6,IF(INDEX(_ENGINE_Initiatives!$AB$5:$AB$76,MATCH($A167,_ENGINE_Initiatives!$BW$5:$BW$76,0))=3,10,IF(INDEX(_ENGINE_Initiatives!$AB$5:$AB$76,MATCH($A167,_ENGINE_Initiatives!$BW$5:$BW$76,0))=4,16,24)))*7)),1,""),"")</f>
      </c>
      <c r="I167" s="55">
        <f>IFERROR(IF(AND(I$162&gt;=IF(INDEX(_ENGINE_Initiatives!$BX$5:$BX$76,MATCH($A167,_ENGINE_Initiatives!$BW$5:$BW$76,0))="0-90 days",'Company Profile'!$B$6,IF(INDEX(_ENGINE_Initiatives!$BX$5:$BX$76,MATCH($A167,_ENGINE_Initiatives!$BW$5:$BW$76,0))="3-6 months",EDATE('Company Profile'!$B$6,3),IF(INDEX(_ENGINE_Initiatives!$BX$5:$BX$76,MATCH($A167,_ENGINE_Initiatives!$BW$5:$BW$76,0))="6-12 months",EDATE('Company Profile'!$B$6,6),EDATE('Company Profile'!$B$6,12)))),I$162&lt;=IF(INDEX(_ENGINE_Initiatives!$BX$5:$BX$76,MATCH($A167,_ENGINE_Initiatives!$BW$5:$BW$76,0))="0-90 days",'Company Profile'!$B$6,IF(INDEX(_ENGINE_Initiatives!$BX$5:$BX$76,MATCH($A167,_ENGINE_Initiatives!$BW$5:$BW$76,0))="3-6 months",EDATE('Company Profile'!$B$6,3),IF(INDEX(_ENGINE_Initiatives!$BX$5:$BX$76,MATCH($A167,_ENGINE_Initiatives!$BW$5:$BW$76,0))="6-12 months",EDATE('Company Profile'!$B$6,6),EDATE('Company Profile'!$B$6,12))))+(IF(INDEX(_ENGINE_Initiatives!$AB$5:$AB$76,MATCH($A167,_ENGINE_Initiatives!$BW$5:$BW$76,0))&lt;=2,6,IF(INDEX(_ENGINE_Initiatives!$AB$5:$AB$76,MATCH($A167,_ENGINE_Initiatives!$BW$5:$BW$76,0))=3,10,IF(INDEX(_ENGINE_Initiatives!$AB$5:$AB$76,MATCH($A167,_ENGINE_Initiatives!$BW$5:$BW$76,0))=4,16,24)))*7)),1,""),"")</f>
      </c>
      <c r="J167" s="55">
        <f>IFERROR(IF(AND(J$162&gt;=IF(INDEX(_ENGINE_Initiatives!$BX$5:$BX$76,MATCH($A167,_ENGINE_Initiatives!$BW$5:$BW$76,0))="0-90 days",'Company Profile'!$B$6,IF(INDEX(_ENGINE_Initiatives!$BX$5:$BX$76,MATCH($A167,_ENGINE_Initiatives!$BW$5:$BW$76,0))="3-6 months",EDATE('Company Profile'!$B$6,3),IF(INDEX(_ENGINE_Initiatives!$BX$5:$BX$76,MATCH($A167,_ENGINE_Initiatives!$BW$5:$BW$76,0))="6-12 months",EDATE('Company Profile'!$B$6,6),EDATE('Company Profile'!$B$6,12)))),J$162&lt;=IF(INDEX(_ENGINE_Initiatives!$BX$5:$BX$76,MATCH($A167,_ENGINE_Initiatives!$BW$5:$BW$76,0))="0-90 days",'Company Profile'!$B$6,IF(INDEX(_ENGINE_Initiatives!$BX$5:$BX$76,MATCH($A167,_ENGINE_Initiatives!$BW$5:$BW$76,0))="3-6 months",EDATE('Company Profile'!$B$6,3),IF(INDEX(_ENGINE_Initiatives!$BX$5:$BX$76,MATCH($A167,_ENGINE_Initiatives!$BW$5:$BW$76,0))="6-12 months",EDATE('Company Profile'!$B$6,6),EDATE('Company Profile'!$B$6,12))))+(IF(INDEX(_ENGINE_Initiatives!$AB$5:$AB$76,MATCH($A167,_ENGINE_Initiatives!$BW$5:$BW$76,0))&lt;=2,6,IF(INDEX(_ENGINE_Initiatives!$AB$5:$AB$76,MATCH($A167,_ENGINE_Initiatives!$BW$5:$BW$76,0))=3,10,IF(INDEX(_ENGINE_Initiatives!$AB$5:$AB$76,MATCH($A167,_ENGINE_Initiatives!$BW$5:$BW$76,0))=4,16,24)))*7)),1,""),"")</f>
      </c>
      <c r="K167" s="55">
        <f>IFERROR(IF(AND(K$162&gt;=IF(INDEX(_ENGINE_Initiatives!$BX$5:$BX$76,MATCH($A167,_ENGINE_Initiatives!$BW$5:$BW$76,0))="0-90 days",'Company Profile'!$B$6,IF(INDEX(_ENGINE_Initiatives!$BX$5:$BX$76,MATCH($A167,_ENGINE_Initiatives!$BW$5:$BW$76,0))="3-6 months",EDATE('Company Profile'!$B$6,3),IF(INDEX(_ENGINE_Initiatives!$BX$5:$BX$76,MATCH($A167,_ENGINE_Initiatives!$BW$5:$BW$76,0))="6-12 months",EDATE('Company Profile'!$B$6,6),EDATE('Company Profile'!$B$6,12)))),K$162&lt;=IF(INDEX(_ENGINE_Initiatives!$BX$5:$BX$76,MATCH($A167,_ENGINE_Initiatives!$BW$5:$BW$76,0))="0-90 days",'Company Profile'!$B$6,IF(INDEX(_ENGINE_Initiatives!$BX$5:$BX$76,MATCH($A167,_ENGINE_Initiatives!$BW$5:$BW$76,0))="3-6 months",EDATE('Company Profile'!$B$6,3),IF(INDEX(_ENGINE_Initiatives!$BX$5:$BX$76,MATCH($A167,_ENGINE_Initiatives!$BW$5:$BW$76,0))="6-12 months",EDATE('Company Profile'!$B$6,6),EDATE('Company Profile'!$B$6,12))))+(IF(INDEX(_ENGINE_Initiatives!$AB$5:$AB$76,MATCH($A167,_ENGINE_Initiatives!$BW$5:$BW$76,0))&lt;=2,6,IF(INDEX(_ENGINE_Initiatives!$AB$5:$AB$76,MATCH($A167,_ENGINE_Initiatives!$BW$5:$BW$76,0))=3,10,IF(INDEX(_ENGINE_Initiatives!$AB$5:$AB$76,MATCH($A167,_ENGINE_Initiatives!$BW$5:$BW$76,0))=4,16,24)))*7)),1,""),"")</f>
      </c>
      <c r="L167" s="55">
        <f>IFERROR(IF(AND(L$162&gt;=IF(INDEX(_ENGINE_Initiatives!$BX$5:$BX$76,MATCH($A167,_ENGINE_Initiatives!$BW$5:$BW$76,0))="0-90 days",'Company Profile'!$B$6,IF(INDEX(_ENGINE_Initiatives!$BX$5:$BX$76,MATCH($A167,_ENGINE_Initiatives!$BW$5:$BW$76,0))="3-6 months",EDATE('Company Profile'!$B$6,3),IF(INDEX(_ENGINE_Initiatives!$BX$5:$BX$76,MATCH($A167,_ENGINE_Initiatives!$BW$5:$BW$76,0))="6-12 months",EDATE('Company Profile'!$B$6,6),EDATE('Company Profile'!$B$6,12)))),L$162&lt;=IF(INDEX(_ENGINE_Initiatives!$BX$5:$BX$76,MATCH($A167,_ENGINE_Initiatives!$BW$5:$BW$76,0))="0-90 days",'Company Profile'!$B$6,IF(INDEX(_ENGINE_Initiatives!$BX$5:$BX$76,MATCH($A167,_ENGINE_Initiatives!$BW$5:$BW$76,0))="3-6 months",EDATE('Company Profile'!$B$6,3),IF(INDEX(_ENGINE_Initiatives!$BX$5:$BX$76,MATCH($A167,_ENGINE_Initiatives!$BW$5:$BW$76,0))="6-12 months",EDATE('Company Profile'!$B$6,6),EDATE('Company Profile'!$B$6,12))))+(IF(INDEX(_ENGINE_Initiatives!$AB$5:$AB$76,MATCH($A167,_ENGINE_Initiatives!$BW$5:$BW$76,0))&lt;=2,6,IF(INDEX(_ENGINE_Initiatives!$AB$5:$AB$76,MATCH($A167,_ENGINE_Initiatives!$BW$5:$BW$76,0))=3,10,IF(INDEX(_ENGINE_Initiatives!$AB$5:$AB$76,MATCH($A167,_ENGINE_Initiatives!$BW$5:$BW$76,0))=4,16,24)))*7)),1,""),"")</f>
      </c>
      <c r="M167" s="55">
        <f>IFERROR(IF(AND(M$162&gt;=IF(INDEX(_ENGINE_Initiatives!$BX$5:$BX$76,MATCH($A167,_ENGINE_Initiatives!$BW$5:$BW$76,0))="0-90 days",'Company Profile'!$B$6,IF(INDEX(_ENGINE_Initiatives!$BX$5:$BX$76,MATCH($A167,_ENGINE_Initiatives!$BW$5:$BW$76,0))="3-6 months",EDATE('Company Profile'!$B$6,3),IF(INDEX(_ENGINE_Initiatives!$BX$5:$BX$76,MATCH($A167,_ENGINE_Initiatives!$BW$5:$BW$76,0))="6-12 months",EDATE('Company Profile'!$B$6,6),EDATE('Company Profile'!$B$6,12)))),M$162&lt;=IF(INDEX(_ENGINE_Initiatives!$BX$5:$BX$76,MATCH($A167,_ENGINE_Initiatives!$BW$5:$BW$76,0))="0-90 days",'Company Profile'!$B$6,IF(INDEX(_ENGINE_Initiatives!$BX$5:$BX$76,MATCH($A167,_ENGINE_Initiatives!$BW$5:$BW$76,0))="3-6 months",EDATE('Company Profile'!$B$6,3),IF(INDEX(_ENGINE_Initiatives!$BX$5:$BX$76,MATCH($A167,_ENGINE_Initiatives!$BW$5:$BW$76,0))="6-12 months",EDATE('Company Profile'!$B$6,6),EDATE('Company Profile'!$B$6,12))))+(IF(INDEX(_ENGINE_Initiatives!$AB$5:$AB$76,MATCH($A167,_ENGINE_Initiatives!$BW$5:$BW$76,0))&lt;=2,6,IF(INDEX(_ENGINE_Initiatives!$AB$5:$AB$76,MATCH($A167,_ENGINE_Initiatives!$BW$5:$BW$76,0))=3,10,IF(INDEX(_ENGINE_Initiatives!$AB$5:$AB$76,MATCH($A167,_ENGINE_Initiatives!$BW$5:$BW$76,0))=4,16,24)))*7)),1,""),"")</f>
      </c>
      <c r="N167" s="55">
        <f>IFERROR(IF(AND(N$162&gt;=IF(INDEX(_ENGINE_Initiatives!$BX$5:$BX$76,MATCH($A167,_ENGINE_Initiatives!$BW$5:$BW$76,0))="0-90 days",'Company Profile'!$B$6,IF(INDEX(_ENGINE_Initiatives!$BX$5:$BX$76,MATCH($A167,_ENGINE_Initiatives!$BW$5:$BW$76,0))="3-6 months",EDATE('Company Profile'!$B$6,3),IF(INDEX(_ENGINE_Initiatives!$BX$5:$BX$76,MATCH($A167,_ENGINE_Initiatives!$BW$5:$BW$76,0))="6-12 months",EDATE('Company Profile'!$B$6,6),EDATE('Company Profile'!$B$6,12)))),N$162&lt;=IF(INDEX(_ENGINE_Initiatives!$BX$5:$BX$76,MATCH($A167,_ENGINE_Initiatives!$BW$5:$BW$76,0))="0-90 days",'Company Profile'!$B$6,IF(INDEX(_ENGINE_Initiatives!$BX$5:$BX$76,MATCH($A167,_ENGINE_Initiatives!$BW$5:$BW$76,0))="3-6 months",EDATE('Company Profile'!$B$6,3),IF(INDEX(_ENGINE_Initiatives!$BX$5:$BX$76,MATCH($A167,_ENGINE_Initiatives!$BW$5:$BW$76,0))="6-12 months",EDATE('Company Profile'!$B$6,6),EDATE('Company Profile'!$B$6,12))))+(IF(INDEX(_ENGINE_Initiatives!$AB$5:$AB$76,MATCH($A167,_ENGINE_Initiatives!$BW$5:$BW$76,0))&lt;=2,6,IF(INDEX(_ENGINE_Initiatives!$AB$5:$AB$76,MATCH($A167,_ENGINE_Initiatives!$BW$5:$BW$76,0))=3,10,IF(INDEX(_ENGINE_Initiatives!$AB$5:$AB$76,MATCH($A167,_ENGINE_Initiatives!$BW$5:$BW$76,0))=4,16,24)))*7)),1,""),"")</f>
      </c>
      <c r="O167" s="55">
        <f>IFERROR(IF(AND(O$162&gt;=IF(INDEX(_ENGINE_Initiatives!$BX$5:$BX$76,MATCH($A167,_ENGINE_Initiatives!$BW$5:$BW$76,0))="0-90 days",'Company Profile'!$B$6,IF(INDEX(_ENGINE_Initiatives!$BX$5:$BX$76,MATCH($A167,_ENGINE_Initiatives!$BW$5:$BW$76,0))="3-6 months",EDATE('Company Profile'!$B$6,3),IF(INDEX(_ENGINE_Initiatives!$BX$5:$BX$76,MATCH($A167,_ENGINE_Initiatives!$BW$5:$BW$76,0))="6-12 months",EDATE('Company Profile'!$B$6,6),EDATE('Company Profile'!$B$6,12)))),O$162&lt;=IF(INDEX(_ENGINE_Initiatives!$BX$5:$BX$76,MATCH($A167,_ENGINE_Initiatives!$BW$5:$BW$76,0))="0-90 days",'Company Profile'!$B$6,IF(INDEX(_ENGINE_Initiatives!$BX$5:$BX$76,MATCH($A167,_ENGINE_Initiatives!$BW$5:$BW$76,0))="3-6 months",EDATE('Company Profile'!$B$6,3),IF(INDEX(_ENGINE_Initiatives!$BX$5:$BX$76,MATCH($A167,_ENGINE_Initiatives!$BW$5:$BW$76,0))="6-12 months",EDATE('Company Profile'!$B$6,6),EDATE('Company Profile'!$B$6,12))))+(IF(INDEX(_ENGINE_Initiatives!$AB$5:$AB$76,MATCH($A167,_ENGINE_Initiatives!$BW$5:$BW$76,0))&lt;=2,6,IF(INDEX(_ENGINE_Initiatives!$AB$5:$AB$76,MATCH($A167,_ENGINE_Initiatives!$BW$5:$BW$76,0))=3,10,IF(INDEX(_ENGINE_Initiatives!$AB$5:$AB$76,MATCH($A167,_ENGINE_Initiatives!$BW$5:$BW$76,0))=4,16,24)))*7)),1,""),"")</f>
      </c>
      <c r="P167" s="55">
        <f>IFERROR(IF(AND(P$162&gt;=IF(INDEX(_ENGINE_Initiatives!$BX$5:$BX$76,MATCH($A167,_ENGINE_Initiatives!$BW$5:$BW$76,0))="0-90 days",'Company Profile'!$B$6,IF(INDEX(_ENGINE_Initiatives!$BX$5:$BX$76,MATCH($A167,_ENGINE_Initiatives!$BW$5:$BW$76,0))="3-6 months",EDATE('Company Profile'!$B$6,3),IF(INDEX(_ENGINE_Initiatives!$BX$5:$BX$76,MATCH($A167,_ENGINE_Initiatives!$BW$5:$BW$76,0))="6-12 months",EDATE('Company Profile'!$B$6,6),EDATE('Company Profile'!$B$6,12)))),P$162&lt;=IF(INDEX(_ENGINE_Initiatives!$BX$5:$BX$76,MATCH($A167,_ENGINE_Initiatives!$BW$5:$BW$76,0))="0-90 days",'Company Profile'!$B$6,IF(INDEX(_ENGINE_Initiatives!$BX$5:$BX$76,MATCH($A167,_ENGINE_Initiatives!$BW$5:$BW$76,0))="3-6 months",EDATE('Company Profile'!$B$6,3),IF(INDEX(_ENGINE_Initiatives!$BX$5:$BX$76,MATCH($A167,_ENGINE_Initiatives!$BW$5:$BW$76,0))="6-12 months",EDATE('Company Profile'!$B$6,6),EDATE('Company Profile'!$B$6,12))))+(IF(INDEX(_ENGINE_Initiatives!$AB$5:$AB$76,MATCH($A167,_ENGINE_Initiatives!$BW$5:$BW$76,0))&lt;=2,6,IF(INDEX(_ENGINE_Initiatives!$AB$5:$AB$76,MATCH($A167,_ENGINE_Initiatives!$BW$5:$BW$76,0))=3,10,IF(INDEX(_ENGINE_Initiatives!$AB$5:$AB$76,MATCH($A167,_ENGINE_Initiatives!$BW$5:$BW$76,0))=4,16,24)))*7)),1,""),"")</f>
      </c>
      <c r="Q167" s="55">
        <f>IFERROR(IF(AND(Q$162&gt;=IF(INDEX(_ENGINE_Initiatives!$BX$5:$BX$76,MATCH($A167,_ENGINE_Initiatives!$BW$5:$BW$76,0))="0-90 days",'Company Profile'!$B$6,IF(INDEX(_ENGINE_Initiatives!$BX$5:$BX$76,MATCH($A167,_ENGINE_Initiatives!$BW$5:$BW$76,0))="3-6 months",EDATE('Company Profile'!$B$6,3),IF(INDEX(_ENGINE_Initiatives!$BX$5:$BX$76,MATCH($A167,_ENGINE_Initiatives!$BW$5:$BW$76,0))="6-12 months",EDATE('Company Profile'!$B$6,6),EDATE('Company Profile'!$B$6,12)))),Q$162&lt;=IF(INDEX(_ENGINE_Initiatives!$BX$5:$BX$76,MATCH($A167,_ENGINE_Initiatives!$BW$5:$BW$76,0))="0-90 days",'Company Profile'!$B$6,IF(INDEX(_ENGINE_Initiatives!$BX$5:$BX$76,MATCH($A167,_ENGINE_Initiatives!$BW$5:$BW$76,0))="3-6 months",EDATE('Company Profile'!$B$6,3),IF(INDEX(_ENGINE_Initiatives!$BX$5:$BX$76,MATCH($A167,_ENGINE_Initiatives!$BW$5:$BW$76,0))="6-12 months",EDATE('Company Profile'!$B$6,6),EDATE('Company Profile'!$B$6,12))))+(IF(INDEX(_ENGINE_Initiatives!$AB$5:$AB$76,MATCH($A167,_ENGINE_Initiatives!$BW$5:$BW$76,0))&lt;=2,6,IF(INDEX(_ENGINE_Initiatives!$AB$5:$AB$76,MATCH($A167,_ENGINE_Initiatives!$BW$5:$BW$76,0))=3,10,IF(INDEX(_ENGINE_Initiatives!$AB$5:$AB$76,MATCH($A167,_ENGINE_Initiatives!$BW$5:$BW$76,0))=4,16,24)))*7)),1,""),"")</f>
      </c>
      <c r="R167" s="55">
        <f>IFERROR(IF(AND(R$162&gt;=IF(INDEX(_ENGINE_Initiatives!$BX$5:$BX$76,MATCH($A167,_ENGINE_Initiatives!$BW$5:$BW$76,0))="0-90 days",'Company Profile'!$B$6,IF(INDEX(_ENGINE_Initiatives!$BX$5:$BX$76,MATCH($A167,_ENGINE_Initiatives!$BW$5:$BW$76,0))="3-6 months",EDATE('Company Profile'!$B$6,3),IF(INDEX(_ENGINE_Initiatives!$BX$5:$BX$76,MATCH($A167,_ENGINE_Initiatives!$BW$5:$BW$76,0))="6-12 months",EDATE('Company Profile'!$B$6,6),EDATE('Company Profile'!$B$6,12)))),R$162&lt;=IF(INDEX(_ENGINE_Initiatives!$BX$5:$BX$76,MATCH($A167,_ENGINE_Initiatives!$BW$5:$BW$76,0))="0-90 days",'Company Profile'!$B$6,IF(INDEX(_ENGINE_Initiatives!$BX$5:$BX$76,MATCH($A167,_ENGINE_Initiatives!$BW$5:$BW$76,0))="3-6 months",EDATE('Company Profile'!$B$6,3),IF(INDEX(_ENGINE_Initiatives!$BX$5:$BX$76,MATCH($A167,_ENGINE_Initiatives!$BW$5:$BW$76,0))="6-12 months",EDATE('Company Profile'!$B$6,6),EDATE('Company Profile'!$B$6,12))))+(IF(INDEX(_ENGINE_Initiatives!$AB$5:$AB$76,MATCH($A167,_ENGINE_Initiatives!$BW$5:$BW$76,0))&lt;=2,6,IF(INDEX(_ENGINE_Initiatives!$AB$5:$AB$76,MATCH($A167,_ENGINE_Initiatives!$BW$5:$BW$76,0))=3,10,IF(INDEX(_ENGINE_Initiatives!$AB$5:$AB$76,MATCH($A167,_ENGINE_Initiatives!$BW$5:$BW$76,0))=4,16,24)))*7)),1,""),"")</f>
      </c>
      <c r="S167" s="55">
        <f>IFERROR(IF(AND(S$162&gt;=IF(INDEX(_ENGINE_Initiatives!$BX$5:$BX$76,MATCH($A167,_ENGINE_Initiatives!$BW$5:$BW$76,0))="0-90 days",'Company Profile'!$B$6,IF(INDEX(_ENGINE_Initiatives!$BX$5:$BX$76,MATCH($A167,_ENGINE_Initiatives!$BW$5:$BW$76,0))="3-6 months",EDATE('Company Profile'!$B$6,3),IF(INDEX(_ENGINE_Initiatives!$BX$5:$BX$76,MATCH($A167,_ENGINE_Initiatives!$BW$5:$BW$76,0))="6-12 months",EDATE('Company Profile'!$B$6,6),EDATE('Company Profile'!$B$6,12)))),S$162&lt;=IF(INDEX(_ENGINE_Initiatives!$BX$5:$BX$76,MATCH($A167,_ENGINE_Initiatives!$BW$5:$BW$76,0))="0-90 days",'Company Profile'!$B$6,IF(INDEX(_ENGINE_Initiatives!$BX$5:$BX$76,MATCH($A167,_ENGINE_Initiatives!$BW$5:$BW$76,0))="3-6 months",EDATE('Company Profile'!$B$6,3),IF(INDEX(_ENGINE_Initiatives!$BX$5:$BX$76,MATCH($A167,_ENGINE_Initiatives!$BW$5:$BW$76,0))="6-12 months",EDATE('Company Profile'!$B$6,6),EDATE('Company Profile'!$B$6,12))))+(IF(INDEX(_ENGINE_Initiatives!$AB$5:$AB$76,MATCH($A167,_ENGINE_Initiatives!$BW$5:$BW$76,0))&lt;=2,6,IF(INDEX(_ENGINE_Initiatives!$AB$5:$AB$76,MATCH($A167,_ENGINE_Initiatives!$BW$5:$BW$76,0))=3,10,IF(INDEX(_ENGINE_Initiatives!$AB$5:$AB$76,MATCH($A167,_ENGINE_Initiatives!$BW$5:$BW$76,0))=4,16,24)))*7)),1,""),"")</f>
      </c>
      <c r="T167" s="55">
        <f>IFERROR(IF(AND(T$162&gt;=IF(INDEX(_ENGINE_Initiatives!$BX$5:$BX$76,MATCH($A167,_ENGINE_Initiatives!$BW$5:$BW$76,0))="0-90 days",'Company Profile'!$B$6,IF(INDEX(_ENGINE_Initiatives!$BX$5:$BX$76,MATCH($A167,_ENGINE_Initiatives!$BW$5:$BW$76,0))="3-6 months",EDATE('Company Profile'!$B$6,3),IF(INDEX(_ENGINE_Initiatives!$BX$5:$BX$76,MATCH($A167,_ENGINE_Initiatives!$BW$5:$BW$76,0))="6-12 months",EDATE('Company Profile'!$B$6,6),EDATE('Company Profile'!$B$6,12)))),T$162&lt;=IF(INDEX(_ENGINE_Initiatives!$BX$5:$BX$76,MATCH($A167,_ENGINE_Initiatives!$BW$5:$BW$76,0))="0-90 days",'Company Profile'!$B$6,IF(INDEX(_ENGINE_Initiatives!$BX$5:$BX$76,MATCH($A167,_ENGINE_Initiatives!$BW$5:$BW$76,0))="3-6 months",EDATE('Company Profile'!$B$6,3),IF(INDEX(_ENGINE_Initiatives!$BX$5:$BX$76,MATCH($A167,_ENGINE_Initiatives!$BW$5:$BW$76,0))="6-12 months",EDATE('Company Profile'!$B$6,6),EDATE('Company Profile'!$B$6,12))))+(IF(INDEX(_ENGINE_Initiatives!$AB$5:$AB$76,MATCH($A167,_ENGINE_Initiatives!$BW$5:$BW$76,0))&lt;=2,6,IF(INDEX(_ENGINE_Initiatives!$AB$5:$AB$76,MATCH($A167,_ENGINE_Initiatives!$BW$5:$BW$76,0))=3,10,IF(INDEX(_ENGINE_Initiatives!$AB$5:$AB$76,MATCH($A167,_ENGINE_Initiatives!$BW$5:$BW$76,0))=4,16,24)))*7)),1,""),"")</f>
      </c>
      <c r="U167" s="30" t="n"/>
      <c r="V167" s="30" t="n"/>
    </row>
    <row r="168" ht="15" customHeight="1" s="209">
      <c r="A168" s="51" t="inlineStr">
        <is>
          <t>6</t>
        </is>
      </c>
      <c r="B168" s="51">
        <f>IFERROR(INDEX(_ENGINE_Initiatives!$F$5:$F$76,MATCH($A168,_ENGINE_Initiatives!$BW$5:$BW$76,0)),"")</f>
      </c>
      <c r="C168" s="55">
        <f>IFERROR(IF(AND(C$162&gt;=IF(INDEX(_ENGINE_Initiatives!$BX$5:$BX$76,MATCH($A168,_ENGINE_Initiatives!$BW$5:$BW$76,0))="0-90 days",'Company Profile'!$B$6,IF(INDEX(_ENGINE_Initiatives!$BX$5:$BX$76,MATCH($A168,_ENGINE_Initiatives!$BW$5:$BW$76,0))="3-6 months",EDATE('Company Profile'!$B$6,3),IF(INDEX(_ENGINE_Initiatives!$BX$5:$BX$76,MATCH($A168,_ENGINE_Initiatives!$BW$5:$BW$76,0))="6-12 months",EDATE('Company Profile'!$B$6,6),EDATE('Company Profile'!$B$6,12)))),C$162&lt;=IF(INDEX(_ENGINE_Initiatives!$BX$5:$BX$76,MATCH($A168,_ENGINE_Initiatives!$BW$5:$BW$76,0))="0-90 days",'Company Profile'!$B$6,IF(INDEX(_ENGINE_Initiatives!$BX$5:$BX$76,MATCH($A168,_ENGINE_Initiatives!$BW$5:$BW$76,0))="3-6 months",EDATE('Company Profile'!$B$6,3),IF(INDEX(_ENGINE_Initiatives!$BX$5:$BX$76,MATCH($A168,_ENGINE_Initiatives!$BW$5:$BW$76,0))="6-12 months",EDATE('Company Profile'!$B$6,6),EDATE('Company Profile'!$B$6,12))))+(IF(INDEX(_ENGINE_Initiatives!$AB$5:$AB$76,MATCH($A168,_ENGINE_Initiatives!$BW$5:$BW$76,0))&lt;=2,6,IF(INDEX(_ENGINE_Initiatives!$AB$5:$AB$76,MATCH($A168,_ENGINE_Initiatives!$BW$5:$BW$76,0))=3,10,IF(INDEX(_ENGINE_Initiatives!$AB$5:$AB$76,MATCH($A168,_ENGINE_Initiatives!$BW$5:$BW$76,0))=4,16,24)))*7)),1,""),"")</f>
      </c>
      <c r="D168" s="55">
        <f>IFERROR(IF(AND(D$162&gt;=IF(INDEX(_ENGINE_Initiatives!$BX$5:$BX$76,MATCH($A168,_ENGINE_Initiatives!$BW$5:$BW$76,0))="0-90 days",'Company Profile'!$B$6,IF(INDEX(_ENGINE_Initiatives!$BX$5:$BX$76,MATCH($A168,_ENGINE_Initiatives!$BW$5:$BW$76,0))="3-6 months",EDATE('Company Profile'!$B$6,3),IF(INDEX(_ENGINE_Initiatives!$BX$5:$BX$76,MATCH($A168,_ENGINE_Initiatives!$BW$5:$BW$76,0))="6-12 months",EDATE('Company Profile'!$B$6,6),EDATE('Company Profile'!$B$6,12)))),D$162&lt;=IF(INDEX(_ENGINE_Initiatives!$BX$5:$BX$76,MATCH($A168,_ENGINE_Initiatives!$BW$5:$BW$76,0))="0-90 days",'Company Profile'!$B$6,IF(INDEX(_ENGINE_Initiatives!$BX$5:$BX$76,MATCH($A168,_ENGINE_Initiatives!$BW$5:$BW$76,0))="3-6 months",EDATE('Company Profile'!$B$6,3),IF(INDEX(_ENGINE_Initiatives!$BX$5:$BX$76,MATCH($A168,_ENGINE_Initiatives!$BW$5:$BW$76,0))="6-12 months",EDATE('Company Profile'!$B$6,6),EDATE('Company Profile'!$B$6,12))))+(IF(INDEX(_ENGINE_Initiatives!$AB$5:$AB$76,MATCH($A168,_ENGINE_Initiatives!$BW$5:$BW$76,0))&lt;=2,6,IF(INDEX(_ENGINE_Initiatives!$AB$5:$AB$76,MATCH($A168,_ENGINE_Initiatives!$BW$5:$BW$76,0))=3,10,IF(INDEX(_ENGINE_Initiatives!$AB$5:$AB$76,MATCH($A168,_ENGINE_Initiatives!$BW$5:$BW$76,0))=4,16,24)))*7)),1,""),"")</f>
      </c>
      <c r="E168" s="55">
        <f>IFERROR(IF(AND(E$162&gt;=IF(INDEX(_ENGINE_Initiatives!$BX$5:$BX$76,MATCH($A168,_ENGINE_Initiatives!$BW$5:$BW$76,0))="0-90 days",'Company Profile'!$B$6,IF(INDEX(_ENGINE_Initiatives!$BX$5:$BX$76,MATCH($A168,_ENGINE_Initiatives!$BW$5:$BW$76,0))="3-6 months",EDATE('Company Profile'!$B$6,3),IF(INDEX(_ENGINE_Initiatives!$BX$5:$BX$76,MATCH($A168,_ENGINE_Initiatives!$BW$5:$BW$76,0))="6-12 months",EDATE('Company Profile'!$B$6,6),EDATE('Company Profile'!$B$6,12)))),E$162&lt;=IF(INDEX(_ENGINE_Initiatives!$BX$5:$BX$76,MATCH($A168,_ENGINE_Initiatives!$BW$5:$BW$76,0))="0-90 days",'Company Profile'!$B$6,IF(INDEX(_ENGINE_Initiatives!$BX$5:$BX$76,MATCH($A168,_ENGINE_Initiatives!$BW$5:$BW$76,0))="3-6 months",EDATE('Company Profile'!$B$6,3),IF(INDEX(_ENGINE_Initiatives!$BX$5:$BX$76,MATCH($A168,_ENGINE_Initiatives!$BW$5:$BW$76,0))="6-12 months",EDATE('Company Profile'!$B$6,6),EDATE('Company Profile'!$B$6,12))))+(IF(INDEX(_ENGINE_Initiatives!$AB$5:$AB$76,MATCH($A168,_ENGINE_Initiatives!$BW$5:$BW$76,0))&lt;=2,6,IF(INDEX(_ENGINE_Initiatives!$AB$5:$AB$76,MATCH($A168,_ENGINE_Initiatives!$BW$5:$BW$76,0))=3,10,IF(INDEX(_ENGINE_Initiatives!$AB$5:$AB$76,MATCH($A168,_ENGINE_Initiatives!$BW$5:$BW$76,0))=4,16,24)))*7)),1,""),"")</f>
      </c>
      <c r="F168" s="55">
        <f>IFERROR(IF(AND(F$162&gt;=IF(INDEX(_ENGINE_Initiatives!$BX$5:$BX$76,MATCH($A168,_ENGINE_Initiatives!$BW$5:$BW$76,0))="0-90 days",'Company Profile'!$B$6,IF(INDEX(_ENGINE_Initiatives!$BX$5:$BX$76,MATCH($A168,_ENGINE_Initiatives!$BW$5:$BW$76,0))="3-6 months",EDATE('Company Profile'!$B$6,3),IF(INDEX(_ENGINE_Initiatives!$BX$5:$BX$76,MATCH($A168,_ENGINE_Initiatives!$BW$5:$BW$76,0))="6-12 months",EDATE('Company Profile'!$B$6,6),EDATE('Company Profile'!$B$6,12)))),F$162&lt;=IF(INDEX(_ENGINE_Initiatives!$BX$5:$BX$76,MATCH($A168,_ENGINE_Initiatives!$BW$5:$BW$76,0))="0-90 days",'Company Profile'!$B$6,IF(INDEX(_ENGINE_Initiatives!$BX$5:$BX$76,MATCH($A168,_ENGINE_Initiatives!$BW$5:$BW$76,0))="3-6 months",EDATE('Company Profile'!$B$6,3),IF(INDEX(_ENGINE_Initiatives!$BX$5:$BX$76,MATCH($A168,_ENGINE_Initiatives!$BW$5:$BW$76,0))="6-12 months",EDATE('Company Profile'!$B$6,6),EDATE('Company Profile'!$B$6,12))))+(IF(INDEX(_ENGINE_Initiatives!$AB$5:$AB$76,MATCH($A168,_ENGINE_Initiatives!$BW$5:$BW$76,0))&lt;=2,6,IF(INDEX(_ENGINE_Initiatives!$AB$5:$AB$76,MATCH($A168,_ENGINE_Initiatives!$BW$5:$BW$76,0))=3,10,IF(INDEX(_ENGINE_Initiatives!$AB$5:$AB$76,MATCH($A168,_ENGINE_Initiatives!$BW$5:$BW$76,0))=4,16,24)))*7)),1,""),"")</f>
      </c>
      <c r="G168" s="55">
        <f>IFERROR(IF(AND(G$162&gt;=IF(INDEX(_ENGINE_Initiatives!$BX$5:$BX$76,MATCH($A168,_ENGINE_Initiatives!$BW$5:$BW$76,0))="0-90 days",'Company Profile'!$B$6,IF(INDEX(_ENGINE_Initiatives!$BX$5:$BX$76,MATCH($A168,_ENGINE_Initiatives!$BW$5:$BW$76,0))="3-6 months",EDATE('Company Profile'!$B$6,3),IF(INDEX(_ENGINE_Initiatives!$BX$5:$BX$76,MATCH($A168,_ENGINE_Initiatives!$BW$5:$BW$76,0))="6-12 months",EDATE('Company Profile'!$B$6,6),EDATE('Company Profile'!$B$6,12)))),G$162&lt;=IF(INDEX(_ENGINE_Initiatives!$BX$5:$BX$76,MATCH($A168,_ENGINE_Initiatives!$BW$5:$BW$76,0))="0-90 days",'Company Profile'!$B$6,IF(INDEX(_ENGINE_Initiatives!$BX$5:$BX$76,MATCH($A168,_ENGINE_Initiatives!$BW$5:$BW$76,0))="3-6 months",EDATE('Company Profile'!$B$6,3),IF(INDEX(_ENGINE_Initiatives!$BX$5:$BX$76,MATCH($A168,_ENGINE_Initiatives!$BW$5:$BW$76,0))="6-12 months",EDATE('Company Profile'!$B$6,6),EDATE('Company Profile'!$B$6,12))))+(IF(INDEX(_ENGINE_Initiatives!$AB$5:$AB$76,MATCH($A168,_ENGINE_Initiatives!$BW$5:$BW$76,0))&lt;=2,6,IF(INDEX(_ENGINE_Initiatives!$AB$5:$AB$76,MATCH($A168,_ENGINE_Initiatives!$BW$5:$BW$76,0))=3,10,IF(INDEX(_ENGINE_Initiatives!$AB$5:$AB$76,MATCH($A168,_ENGINE_Initiatives!$BW$5:$BW$76,0))=4,16,24)))*7)),1,""),"")</f>
      </c>
      <c r="H168" s="55">
        <f>IFERROR(IF(AND(H$162&gt;=IF(INDEX(_ENGINE_Initiatives!$BX$5:$BX$76,MATCH($A168,_ENGINE_Initiatives!$BW$5:$BW$76,0))="0-90 days",'Company Profile'!$B$6,IF(INDEX(_ENGINE_Initiatives!$BX$5:$BX$76,MATCH($A168,_ENGINE_Initiatives!$BW$5:$BW$76,0))="3-6 months",EDATE('Company Profile'!$B$6,3),IF(INDEX(_ENGINE_Initiatives!$BX$5:$BX$76,MATCH($A168,_ENGINE_Initiatives!$BW$5:$BW$76,0))="6-12 months",EDATE('Company Profile'!$B$6,6),EDATE('Company Profile'!$B$6,12)))),H$162&lt;=IF(INDEX(_ENGINE_Initiatives!$BX$5:$BX$76,MATCH($A168,_ENGINE_Initiatives!$BW$5:$BW$76,0))="0-90 days",'Company Profile'!$B$6,IF(INDEX(_ENGINE_Initiatives!$BX$5:$BX$76,MATCH($A168,_ENGINE_Initiatives!$BW$5:$BW$76,0))="3-6 months",EDATE('Company Profile'!$B$6,3),IF(INDEX(_ENGINE_Initiatives!$BX$5:$BX$76,MATCH($A168,_ENGINE_Initiatives!$BW$5:$BW$76,0))="6-12 months",EDATE('Company Profile'!$B$6,6),EDATE('Company Profile'!$B$6,12))))+(IF(INDEX(_ENGINE_Initiatives!$AB$5:$AB$76,MATCH($A168,_ENGINE_Initiatives!$BW$5:$BW$76,0))&lt;=2,6,IF(INDEX(_ENGINE_Initiatives!$AB$5:$AB$76,MATCH($A168,_ENGINE_Initiatives!$BW$5:$BW$76,0))=3,10,IF(INDEX(_ENGINE_Initiatives!$AB$5:$AB$76,MATCH($A168,_ENGINE_Initiatives!$BW$5:$BW$76,0))=4,16,24)))*7)),1,""),"")</f>
      </c>
      <c r="I168" s="55">
        <f>IFERROR(IF(AND(I$162&gt;=IF(INDEX(_ENGINE_Initiatives!$BX$5:$BX$76,MATCH($A168,_ENGINE_Initiatives!$BW$5:$BW$76,0))="0-90 days",'Company Profile'!$B$6,IF(INDEX(_ENGINE_Initiatives!$BX$5:$BX$76,MATCH($A168,_ENGINE_Initiatives!$BW$5:$BW$76,0))="3-6 months",EDATE('Company Profile'!$B$6,3),IF(INDEX(_ENGINE_Initiatives!$BX$5:$BX$76,MATCH($A168,_ENGINE_Initiatives!$BW$5:$BW$76,0))="6-12 months",EDATE('Company Profile'!$B$6,6),EDATE('Company Profile'!$B$6,12)))),I$162&lt;=IF(INDEX(_ENGINE_Initiatives!$BX$5:$BX$76,MATCH($A168,_ENGINE_Initiatives!$BW$5:$BW$76,0))="0-90 days",'Company Profile'!$B$6,IF(INDEX(_ENGINE_Initiatives!$BX$5:$BX$76,MATCH($A168,_ENGINE_Initiatives!$BW$5:$BW$76,0))="3-6 months",EDATE('Company Profile'!$B$6,3),IF(INDEX(_ENGINE_Initiatives!$BX$5:$BX$76,MATCH($A168,_ENGINE_Initiatives!$BW$5:$BW$76,0))="6-12 months",EDATE('Company Profile'!$B$6,6),EDATE('Company Profile'!$B$6,12))))+(IF(INDEX(_ENGINE_Initiatives!$AB$5:$AB$76,MATCH($A168,_ENGINE_Initiatives!$BW$5:$BW$76,0))&lt;=2,6,IF(INDEX(_ENGINE_Initiatives!$AB$5:$AB$76,MATCH($A168,_ENGINE_Initiatives!$BW$5:$BW$76,0))=3,10,IF(INDEX(_ENGINE_Initiatives!$AB$5:$AB$76,MATCH($A168,_ENGINE_Initiatives!$BW$5:$BW$76,0))=4,16,24)))*7)),1,""),"")</f>
      </c>
      <c r="J168" s="55">
        <f>IFERROR(IF(AND(J$162&gt;=IF(INDEX(_ENGINE_Initiatives!$BX$5:$BX$76,MATCH($A168,_ENGINE_Initiatives!$BW$5:$BW$76,0))="0-90 days",'Company Profile'!$B$6,IF(INDEX(_ENGINE_Initiatives!$BX$5:$BX$76,MATCH($A168,_ENGINE_Initiatives!$BW$5:$BW$76,0))="3-6 months",EDATE('Company Profile'!$B$6,3),IF(INDEX(_ENGINE_Initiatives!$BX$5:$BX$76,MATCH($A168,_ENGINE_Initiatives!$BW$5:$BW$76,0))="6-12 months",EDATE('Company Profile'!$B$6,6),EDATE('Company Profile'!$B$6,12)))),J$162&lt;=IF(INDEX(_ENGINE_Initiatives!$BX$5:$BX$76,MATCH($A168,_ENGINE_Initiatives!$BW$5:$BW$76,0))="0-90 days",'Company Profile'!$B$6,IF(INDEX(_ENGINE_Initiatives!$BX$5:$BX$76,MATCH($A168,_ENGINE_Initiatives!$BW$5:$BW$76,0))="3-6 months",EDATE('Company Profile'!$B$6,3),IF(INDEX(_ENGINE_Initiatives!$BX$5:$BX$76,MATCH($A168,_ENGINE_Initiatives!$BW$5:$BW$76,0))="6-12 months",EDATE('Company Profile'!$B$6,6),EDATE('Company Profile'!$B$6,12))))+(IF(INDEX(_ENGINE_Initiatives!$AB$5:$AB$76,MATCH($A168,_ENGINE_Initiatives!$BW$5:$BW$76,0))&lt;=2,6,IF(INDEX(_ENGINE_Initiatives!$AB$5:$AB$76,MATCH($A168,_ENGINE_Initiatives!$BW$5:$BW$76,0))=3,10,IF(INDEX(_ENGINE_Initiatives!$AB$5:$AB$76,MATCH($A168,_ENGINE_Initiatives!$BW$5:$BW$76,0))=4,16,24)))*7)),1,""),"")</f>
      </c>
      <c r="K168" s="55">
        <f>IFERROR(IF(AND(K$162&gt;=IF(INDEX(_ENGINE_Initiatives!$BX$5:$BX$76,MATCH($A168,_ENGINE_Initiatives!$BW$5:$BW$76,0))="0-90 days",'Company Profile'!$B$6,IF(INDEX(_ENGINE_Initiatives!$BX$5:$BX$76,MATCH($A168,_ENGINE_Initiatives!$BW$5:$BW$76,0))="3-6 months",EDATE('Company Profile'!$B$6,3),IF(INDEX(_ENGINE_Initiatives!$BX$5:$BX$76,MATCH($A168,_ENGINE_Initiatives!$BW$5:$BW$76,0))="6-12 months",EDATE('Company Profile'!$B$6,6),EDATE('Company Profile'!$B$6,12)))),K$162&lt;=IF(INDEX(_ENGINE_Initiatives!$BX$5:$BX$76,MATCH($A168,_ENGINE_Initiatives!$BW$5:$BW$76,0))="0-90 days",'Company Profile'!$B$6,IF(INDEX(_ENGINE_Initiatives!$BX$5:$BX$76,MATCH($A168,_ENGINE_Initiatives!$BW$5:$BW$76,0))="3-6 months",EDATE('Company Profile'!$B$6,3),IF(INDEX(_ENGINE_Initiatives!$BX$5:$BX$76,MATCH($A168,_ENGINE_Initiatives!$BW$5:$BW$76,0))="6-12 months",EDATE('Company Profile'!$B$6,6),EDATE('Company Profile'!$B$6,12))))+(IF(INDEX(_ENGINE_Initiatives!$AB$5:$AB$76,MATCH($A168,_ENGINE_Initiatives!$BW$5:$BW$76,0))&lt;=2,6,IF(INDEX(_ENGINE_Initiatives!$AB$5:$AB$76,MATCH($A168,_ENGINE_Initiatives!$BW$5:$BW$76,0))=3,10,IF(INDEX(_ENGINE_Initiatives!$AB$5:$AB$76,MATCH($A168,_ENGINE_Initiatives!$BW$5:$BW$76,0))=4,16,24)))*7)),1,""),"")</f>
      </c>
      <c r="L168" s="55">
        <f>IFERROR(IF(AND(L$162&gt;=IF(INDEX(_ENGINE_Initiatives!$BX$5:$BX$76,MATCH($A168,_ENGINE_Initiatives!$BW$5:$BW$76,0))="0-90 days",'Company Profile'!$B$6,IF(INDEX(_ENGINE_Initiatives!$BX$5:$BX$76,MATCH($A168,_ENGINE_Initiatives!$BW$5:$BW$76,0))="3-6 months",EDATE('Company Profile'!$B$6,3),IF(INDEX(_ENGINE_Initiatives!$BX$5:$BX$76,MATCH($A168,_ENGINE_Initiatives!$BW$5:$BW$76,0))="6-12 months",EDATE('Company Profile'!$B$6,6),EDATE('Company Profile'!$B$6,12)))),L$162&lt;=IF(INDEX(_ENGINE_Initiatives!$BX$5:$BX$76,MATCH($A168,_ENGINE_Initiatives!$BW$5:$BW$76,0))="0-90 days",'Company Profile'!$B$6,IF(INDEX(_ENGINE_Initiatives!$BX$5:$BX$76,MATCH($A168,_ENGINE_Initiatives!$BW$5:$BW$76,0))="3-6 months",EDATE('Company Profile'!$B$6,3),IF(INDEX(_ENGINE_Initiatives!$BX$5:$BX$76,MATCH($A168,_ENGINE_Initiatives!$BW$5:$BW$76,0))="6-12 months",EDATE('Company Profile'!$B$6,6),EDATE('Company Profile'!$B$6,12))))+(IF(INDEX(_ENGINE_Initiatives!$AB$5:$AB$76,MATCH($A168,_ENGINE_Initiatives!$BW$5:$BW$76,0))&lt;=2,6,IF(INDEX(_ENGINE_Initiatives!$AB$5:$AB$76,MATCH($A168,_ENGINE_Initiatives!$BW$5:$BW$76,0))=3,10,IF(INDEX(_ENGINE_Initiatives!$AB$5:$AB$76,MATCH($A168,_ENGINE_Initiatives!$BW$5:$BW$76,0))=4,16,24)))*7)),1,""),"")</f>
      </c>
      <c r="M168" s="55">
        <f>IFERROR(IF(AND(M$162&gt;=IF(INDEX(_ENGINE_Initiatives!$BX$5:$BX$76,MATCH($A168,_ENGINE_Initiatives!$BW$5:$BW$76,0))="0-90 days",'Company Profile'!$B$6,IF(INDEX(_ENGINE_Initiatives!$BX$5:$BX$76,MATCH($A168,_ENGINE_Initiatives!$BW$5:$BW$76,0))="3-6 months",EDATE('Company Profile'!$B$6,3),IF(INDEX(_ENGINE_Initiatives!$BX$5:$BX$76,MATCH($A168,_ENGINE_Initiatives!$BW$5:$BW$76,0))="6-12 months",EDATE('Company Profile'!$B$6,6),EDATE('Company Profile'!$B$6,12)))),M$162&lt;=IF(INDEX(_ENGINE_Initiatives!$BX$5:$BX$76,MATCH($A168,_ENGINE_Initiatives!$BW$5:$BW$76,0))="0-90 days",'Company Profile'!$B$6,IF(INDEX(_ENGINE_Initiatives!$BX$5:$BX$76,MATCH($A168,_ENGINE_Initiatives!$BW$5:$BW$76,0))="3-6 months",EDATE('Company Profile'!$B$6,3),IF(INDEX(_ENGINE_Initiatives!$BX$5:$BX$76,MATCH($A168,_ENGINE_Initiatives!$BW$5:$BW$76,0))="6-12 months",EDATE('Company Profile'!$B$6,6),EDATE('Company Profile'!$B$6,12))))+(IF(INDEX(_ENGINE_Initiatives!$AB$5:$AB$76,MATCH($A168,_ENGINE_Initiatives!$BW$5:$BW$76,0))&lt;=2,6,IF(INDEX(_ENGINE_Initiatives!$AB$5:$AB$76,MATCH($A168,_ENGINE_Initiatives!$BW$5:$BW$76,0))=3,10,IF(INDEX(_ENGINE_Initiatives!$AB$5:$AB$76,MATCH($A168,_ENGINE_Initiatives!$BW$5:$BW$76,0))=4,16,24)))*7)),1,""),"")</f>
      </c>
      <c r="N168" s="55">
        <f>IFERROR(IF(AND(N$162&gt;=IF(INDEX(_ENGINE_Initiatives!$BX$5:$BX$76,MATCH($A168,_ENGINE_Initiatives!$BW$5:$BW$76,0))="0-90 days",'Company Profile'!$B$6,IF(INDEX(_ENGINE_Initiatives!$BX$5:$BX$76,MATCH($A168,_ENGINE_Initiatives!$BW$5:$BW$76,0))="3-6 months",EDATE('Company Profile'!$B$6,3),IF(INDEX(_ENGINE_Initiatives!$BX$5:$BX$76,MATCH($A168,_ENGINE_Initiatives!$BW$5:$BW$76,0))="6-12 months",EDATE('Company Profile'!$B$6,6),EDATE('Company Profile'!$B$6,12)))),N$162&lt;=IF(INDEX(_ENGINE_Initiatives!$BX$5:$BX$76,MATCH($A168,_ENGINE_Initiatives!$BW$5:$BW$76,0))="0-90 days",'Company Profile'!$B$6,IF(INDEX(_ENGINE_Initiatives!$BX$5:$BX$76,MATCH($A168,_ENGINE_Initiatives!$BW$5:$BW$76,0))="3-6 months",EDATE('Company Profile'!$B$6,3),IF(INDEX(_ENGINE_Initiatives!$BX$5:$BX$76,MATCH($A168,_ENGINE_Initiatives!$BW$5:$BW$76,0))="6-12 months",EDATE('Company Profile'!$B$6,6),EDATE('Company Profile'!$B$6,12))))+(IF(INDEX(_ENGINE_Initiatives!$AB$5:$AB$76,MATCH($A168,_ENGINE_Initiatives!$BW$5:$BW$76,0))&lt;=2,6,IF(INDEX(_ENGINE_Initiatives!$AB$5:$AB$76,MATCH($A168,_ENGINE_Initiatives!$BW$5:$BW$76,0))=3,10,IF(INDEX(_ENGINE_Initiatives!$AB$5:$AB$76,MATCH($A168,_ENGINE_Initiatives!$BW$5:$BW$76,0))=4,16,24)))*7)),1,""),"")</f>
      </c>
      <c r="O168" s="55">
        <f>IFERROR(IF(AND(O$162&gt;=IF(INDEX(_ENGINE_Initiatives!$BX$5:$BX$76,MATCH($A168,_ENGINE_Initiatives!$BW$5:$BW$76,0))="0-90 days",'Company Profile'!$B$6,IF(INDEX(_ENGINE_Initiatives!$BX$5:$BX$76,MATCH($A168,_ENGINE_Initiatives!$BW$5:$BW$76,0))="3-6 months",EDATE('Company Profile'!$B$6,3),IF(INDEX(_ENGINE_Initiatives!$BX$5:$BX$76,MATCH($A168,_ENGINE_Initiatives!$BW$5:$BW$76,0))="6-12 months",EDATE('Company Profile'!$B$6,6),EDATE('Company Profile'!$B$6,12)))),O$162&lt;=IF(INDEX(_ENGINE_Initiatives!$BX$5:$BX$76,MATCH($A168,_ENGINE_Initiatives!$BW$5:$BW$76,0))="0-90 days",'Company Profile'!$B$6,IF(INDEX(_ENGINE_Initiatives!$BX$5:$BX$76,MATCH($A168,_ENGINE_Initiatives!$BW$5:$BW$76,0))="3-6 months",EDATE('Company Profile'!$B$6,3),IF(INDEX(_ENGINE_Initiatives!$BX$5:$BX$76,MATCH($A168,_ENGINE_Initiatives!$BW$5:$BW$76,0))="6-12 months",EDATE('Company Profile'!$B$6,6),EDATE('Company Profile'!$B$6,12))))+(IF(INDEX(_ENGINE_Initiatives!$AB$5:$AB$76,MATCH($A168,_ENGINE_Initiatives!$BW$5:$BW$76,0))&lt;=2,6,IF(INDEX(_ENGINE_Initiatives!$AB$5:$AB$76,MATCH($A168,_ENGINE_Initiatives!$BW$5:$BW$76,0))=3,10,IF(INDEX(_ENGINE_Initiatives!$AB$5:$AB$76,MATCH($A168,_ENGINE_Initiatives!$BW$5:$BW$76,0))=4,16,24)))*7)),1,""),"")</f>
      </c>
      <c r="P168" s="55">
        <f>IFERROR(IF(AND(P$162&gt;=IF(INDEX(_ENGINE_Initiatives!$BX$5:$BX$76,MATCH($A168,_ENGINE_Initiatives!$BW$5:$BW$76,0))="0-90 days",'Company Profile'!$B$6,IF(INDEX(_ENGINE_Initiatives!$BX$5:$BX$76,MATCH($A168,_ENGINE_Initiatives!$BW$5:$BW$76,0))="3-6 months",EDATE('Company Profile'!$B$6,3),IF(INDEX(_ENGINE_Initiatives!$BX$5:$BX$76,MATCH($A168,_ENGINE_Initiatives!$BW$5:$BW$76,0))="6-12 months",EDATE('Company Profile'!$B$6,6),EDATE('Company Profile'!$B$6,12)))),P$162&lt;=IF(INDEX(_ENGINE_Initiatives!$BX$5:$BX$76,MATCH($A168,_ENGINE_Initiatives!$BW$5:$BW$76,0))="0-90 days",'Company Profile'!$B$6,IF(INDEX(_ENGINE_Initiatives!$BX$5:$BX$76,MATCH($A168,_ENGINE_Initiatives!$BW$5:$BW$76,0))="3-6 months",EDATE('Company Profile'!$B$6,3),IF(INDEX(_ENGINE_Initiatives!$BX$5:$BX$76,MATCH($A168,_ENGINE_Initiatives!$BW$5:$BW$76,0))="6-12 months",EDATE('Company Profile'!$B$6,6),EDATE('Company Profile'!$B$6,12))))+(IF(INDEX(_ENGINE_Initiatives!$AB$5:$AB$76,MATCH($A168,_ENGINE_Initiatives!$BW$5:$BW$76,0))&lt;=2,6,IF(INDEX(_ENGINE_Initiatives!$AB$5:$AB$76,MATCH($A168,_ENGINE_Initiatives!$BW$5:$BW$76,0))=3,10,IF(INDEX(_ENGINE_Initiatives!$AB$5:$AB$76,MATCH($A168,_ENGINE_Initiatives!$BW$5:$BW$76,0))=4,16,24)))*7)),1,""),"")</f>
      </c>
      <c r="Q168" s="55">
        <f>IFERROR(IF(AND(Q$162&gt;=IF(INDEX(_ENGINE_Initiatives!$BX$5:$BX$76,MATCH($A168,_ENGINE_Initiatives!$BW$5:$BW$76,0))="0-90 days",'Company Profile'!$B$6,IF(INDEX(_ENGINE_Initiatives!$BX$5:$BX$76,MATCH($A168,_ENGINE_Initiatives!$BW$5:$BW$76,0))="3-6 months",EDATE('Company Profile'!$B$6,3),IF(INDEX(_ENGINE_Initiatives!$BX$5:$BX$76,MATCH($A168,_ENGINE_Initiatives!$BW$5:$BW$76,0))="6-12 months",EDATE('Company Profile'!$B$6,6),EDATE('Company Profile'!$B$6,12)))),Q$162&lt;=IF(INDEX(_ENGINE_Initiatives!$BX$5:$BX$76,MATCH($A168,_ENGINE_Initiatives!$BW$5:$BW$76,0))="0-90 days",'Company Profile'!$B$6,IF(INDEX(_ENGINE_Initiatives!$BX$5:$BX$76,MATCH($A168,_ENGINE_Initiatives!$BW$5:$BW$76,0))="3-6 months",EDATE('Company Profile'!$B$6,3),IF(INDEX(_ENGINE_Initiatives!$BX$5:$BX$76,MATCH($A168,_ENGINE_Initiatives!$BW$5:$BW$76,0))="6-12 months",EDATE('Company Profile'!$B$6,6),EDATE('Company Profile'!$B$6,12))))+(IF(INDEX(_ENGINE_Initiatives!$AB$5:$AB$76,MATCH($A168,_ENGINE_Initiatives!$BW$5:$BW$76,0))&lt;=2,6,IF(INDEX(_ENGINE_Initiatives!$AB$5:$AB$76,MATCH($A168,_ENGINE_Initiatives!$BW$5:$BW$76,0))=3,10,IF(INDEX(_ENGINE_Initiatives!$AB$5:$AB$76,MATCH($A168,_ENGINE_Initiatives!$BW$5:$BW$76,0))=4,16,24)))*7)),1,""),"")</f>
      </c>
      <c r="R168" s="55">
        <f>IFERROR(IF(AND(R$162&gt;=IF(INDEX(_ENGINE_Initiatives!$BX$5:$BX$76,MATCH($A168,_ENGINE_Initiatives!$BW$5:$BW$76,0))="0-90 days",'Company Profile'!$B$6,IF(INDEX(_ENGINE_Initiatives!$BX$5:$BX$76,MATCH($A168,_ENGINE_Initiatives!$BW$5:$BW$76,0))="3-6 months",EDATE('Company Profile'!$B$6,3),IF(INDEX(_ENGINE_Initiatives!$BX$5:$BX$76,MATCH($A168,_ENGINE_Initiatives!$BW$5:$BW$76,0))="6-12 months",EDATE('Company Profile'!$B$6,6),EDATE('Company Profile'!$B$6,12)))),R$162&lt;=IF(INDEX(_ENGINE_Initiatives!$BX$5:$BX$76,MATCH($A168,_ENGINE_Initiatives!$BW$5:$BW$76,0))="0-90 days",'Company Profile'!$B$6,IF(INDEX(_ENGINE_Initiatives!$BX$5:$BX$76,MATCH($A168,_ENGINE_Initiatives!$BW$5:$BW$76,0))="3-6 months",EDATE('Company Profile'!$B$6,3),IF(INDEX(_ENGINE_Initiatives!$BX$5:$BX$76,MATCH($A168,_ENGINE_Initiatives!$BW$5:$BW$76,0))="6-12 months",EDATE('Company Profile'!$B$6,6),EDATE('Company Profile'!$B$6,12))))+(IF(INDEX(_ENGINE_Initiatives!$AB$5:$AB$76,MATCH($A168,_ENGINE_Initiatives!$BW$5:$BW$76,0))&lt;=2,6,IF(INDEX(_ENGINE_Initiatives!$AB$5:$AB$76,MATCH($A168,_ENGINE_Initiatives!$BW$5:$BW$76,0))=3,10,IF(INDEX(_ENGINE_Initiatives!$AB$5:$AB$76,MATCH($A168,_ENGINE_Initiatives!$BW$5:$BW$76,0))=4,16,24)))*7)),1,""),"")</f>
      </c>
      <c r="S168" s="55">
        <f>IFERROR(IF(AND(S$162&gt;=IF(INDEX(_ENGINE_Initiatives!$BX$5:$BX$76,MATCH($A168,_ENGINE_Initiatives!$BW$5:$BW$76,0))="0-90 days",'Company Profile'!$B$6,IF(INDEX(_ENGINE_Initiatives!$BX$5:$BX$76,MATCH($A168,_ENGINE_Initiatives!$BW$5:$BW$76,0))="3-6 months",EDATE('Company Profile'!$B$6,3),IF(INDEX(_ENGINE_Initiatives!$BX$5:$BX$76,MATCH($A168,_ENGINE_Initiatives!$BW$5:$BW$76,0))="6-12 months",EDATE('Company Profile'!$B$6,6),EDATE('Company Profile'!$B$6,12)))),S$162&lt;=IF(INDEX(_ENGINE_Initiatives!$BX$5:$BX$76,MATCH($A168,_ENGINE_Initiatives!$BW$5:$BW$76,0))="0-90 days",'Company Profile'!$B$6,IF(INDEX(_ENGINE_Initiatives!$BX$5:$BX$76,MATCH($A168,_ENGINE_Initiatives!$BW$5:$BW$76,0))="3-6 months",EDATE('Company Profile'!$B$6,3),IF(INDEX(_ENGINE_Initiatives!$BX$5:$BX$76,MATCH($A168,_ENGINE_Initiatives!$BW$5:$BW$76,0))="6-12 months",EDATE('Company Profile'!$B$6,6),EDATE('Company Profile'!$B$6,12))))+(IF(INDEX(_ENGINE_Initiatives!$AB$5:$AB$76,MATCH($A168,_ENGINE_Initiatives!$BW$5:$BW$76,0))&lt;=2,6,IF(INDEX(_ENGINE_Initiatives!$AB$5:$AB$76,MATCH($A168,_ENGINE_Initiatives!$BW$5:$BW$76,0))=3,10,IF(INDEX(_ENGINE_Initiatives!$AB$5:$AB$76,MATCH($A168,_ENGINE_Initiatives!$BW$5:$BW$76,0))=4,16,24)))*7)),1,""),"")</f>
      </c>
      <c r="T168" s="55">
        <f>IFERROR(IF(AND(T$162&gt;=IF(INDEX(_ENGINE_Initiatives!$BX$5:$BX$76,MATCH($A168,_ENGINE_Initiatives!$BW$5:$BW$76,0))="0-90 days",'Company Profile'!$B$6,IF(INDEX(_ENGINE_Initiatives!$BX$5:$BX$76,MATCH($A168,_ENGINE_Initiatives!$BW$5:$BW$76,0))="3-6 months",EDATE('Company Profile'!$B$6,3),IF(INDEX(_ENGINE_Initiatives!$BX$5:$BX$76,MATCH($A168,_ENGINE_Initiatives!$BW$5:$BW$76,0))="6-12 months",EDATE('Company Profile'!$B$6,6),EDATE('Company Profile'!$B$6,12)))),T$162&lt;=IF(INDEX(_ENGINE_Initiatives!$BX$5:$BX$76,MATCH($A168,_ENGINE_Initiatives!$BW$5:$BW$76,0))="0-90 days",'Company Profile'!$B$6,IF(INDEX(_ENGINE_Initiatives!$BX$5:$BX$76,MATCH($A168,_ENGINE_Initiatives!$BW$5:$BW$76,0))="3-6 months",EDATE('Company Profile'!$B$6,3),IF(INDEX(_ENGINE_Initiatives!$BX$5:$BX$76,MATCH($A168,_ENGINE_Initiatives!$BW$5:$BW$76,0))="6-12 months",EDATE('Company Profile'!$B$6,6),EDATE('Company Profile'!$B$6,12))))+(IF(INDEX(_ENGINE_Initiatives!$AB$5:$AB$76,MATCH($A168,_ENGINE_Initiatives!$BW$5:$BW$76,0))&lt;=2,6,IF(INDEX(_ENGINE_Initiatives!$AB$5:$AB$76,MATCH($A168,_ENGINE_Initiatives!$BW$5:$BW$76,0))=3,10,IF(INDEX(_ENGINE_Initiatives!$AB$5:$AB$76,MATCH($A168,_ENGINE_Initiatives!$BW$5:$BW$76,0))=4,16,24)))*7)),1,""),"")</f>
      </c>
      <c r="U168" s="30" t="n"/>
      <c r="V168" s="30" t="n"/>
    </row>
    <row r="169" ht="15" customHeight="1" s="209">
      <c r="A169" s="51" t="inlineStr">
        <is>
          <t>7</t>
        </is>
      </c>
      <c r="B169" s="51">
        <f>IFERROR(INDEX(_ENGINE_Initiatives!$F$5:$F$76,MATCH($A169,_ENGINE_Initiatives!$BW$5:$BW$76,0)),"")</f>
      </c>
      <c r="C169" s="55">
        <f>IFERROR(IF(AND(C$162&gt;=IF(INDEX(_ENGINE_Initiatives!$BX$5:$BX$76,MATCH($A169,_ENGINE_Initiatives!$BW$5:$BW$76,0))="0-90 days",'Company Profile'!$B$6,IF(INDEX(_ENGINE_Initiatives!$BX$5:$BX$76,MATCH($A169,_ENGINE_Initiatives!$BW$5:$BW$76,0))="3-6 months",EDATE('Company Profile'!$B$6,3),IF(INDEX(_ENGINE_Initiatives!$BX$5:$BX$76,MATCH($A169,_ENGINE_Initiatives!$BW$5:$BW$76,0))="6-12 months",EDATE('Company Profile'!$B$6,6),EDATE('Company Profile'!$B$6,12)))),C$162&lt;=IF(INDEX(_ENGINE_Initiatives!$BX$5:$BX$76,MATCH($A169,_ENGINE_Initiatives!$BW$5:$BW$76,0))="0-90 days",'Company Profile'!$B$6,IF(INDEX(_ENGINE_Initiatives!$BX$5:$BX$76,MATCH($A169,_ENGINE_Initiatives!$BW$5:$BW$76,0))="3-6 months",EDATE('Company Profile'!$B$6,3),IF(INDEX(_ENGINE_Initiatives!$BX$5:$BX$76,MATCH($A169,_ENGINE_Initiatives!$BW$5:$BW$76,0))="6-12 months",EDATE('Company Profile'!$B$6,6),EDATE('Company Profile'!$B$6,12))))+(IF(INDEX(_ENGINE_Initiatives!$AB$5:$AB$76,MATCH($A169,_ENGINE_Initiatives!$BW$5:$BW$76,0))&lt;=2,6,IF(INDEX(_ENGINE_Initiatives!$AB$5:$AB$76,MATCH($A169,_ENGINE_Initiatives!$BW$5:$BW$76,0))=3,10,IF(INDEX(_ENGINE_Initiatives!$AB$5:$AB$76,MATCH($A169,_ENGINE_Initiatives!$BW$5:$BW$76,0))=4,16,24)))*7)),1,""),"")</f>
      </c>
      <c r="D169" s="55">
        <f>IFERROR(IF(AND(D$162&gt;=IF(INDEX(_ENGINE_Initiatives!$BX$5:$BX$76,MATCH($A169,_ENGINE_Initiatives!$BW$5:$BW$76,0))="0-90 days",'Company Profile'!$B$6,IF(INDEX(_ENGINE_Initiatives!$BX$5:$BX$76,MATCH($A169,_ENGINE_Initiatives!$BW$5:$BW$76,0))="3-6 months",EDATE('Company Profile'!$B$6,3),IF(INDEX(_ENGINE_Initiatives!$BX$5:$BX$76,MATCH($A169,_ENGINE_Initiatives!$BW$5:$BW$76,0))="6-12 months",EDATE('Company Profile'!$B$6,6),EDATE('Company Profile'!$B$6,12)))),D$162&lt;=IF(INDEX(_ENGINE_Initiatives!$BX$5:$BX$76,MATCH($A169,_ENGINE_Initiatives!$BW$5:$BW$76,0))="0-90 days",'Company Profile'!$B$6,IF(INDEX(_ENGINE_Initiatives!$BX$5:$BX$76,MATCH($A169,_ENGINE_Initiatives!$BW$5:$BW$76,0))="3-6 months",EDATE('Company Profile'!$B$6,3),IF(INDEX(_ENGINE_Initiatives!$BX$5:$BX$76,MATCH($A169,_ENGINE_Initiatives!$BW$5:$BW$76,0))="6-12 months",EDATE('Company Profile'!$B$6,6),EDATE('Company Profile'!$B$6,12))))+(IF(INDEX(_ENGINE_Initiatives!$AB$5:$AB$76,MATCH($A169,_ENGINE_Initiatives!$BW$5:$BW$76,0))&lt;=2,6,IF(INDEX(_ENGINE_Initiatives!$AB$5:$AB$76,MATCH($A169,_ENGINE_Initiatives!$BW$5:$BW$76,0))=3,10,IF(INDEX(_ENGINE_Initiatives!$AB$5:$AB$76,MATCH($A169,_ENGINE_Initiatives!$BW$5:$BW$76,0))=4,16,24)))*7)),1,""),"")</f>
      </c>
      <c r="E169" s="55">
        <f>IFERROR(IF(AND(E$162&gt;=IF(INDEX(_ENGINE_Initiatives!$BX$5:$BX$76,MATCH($A169,_ENGINE_Initiatives!$BW$5:$BW$76,0))="0-90 days",'Company Profile'!$B$6,IF(INDEX(_ENGINE_Initiatives!$BX$5:$BX$76,MATCH($A169,_ENGINE_Initiatives!$BW$5:$BW$76,0))="3-6 months",EDATE('Company Profile'!$B$6,3),IF(INDEX(_ENGINE_Initiatives!$BX$5:$BX$76,MATCH($A169,_ENGINE_Initiatives!$BW$5:$BW$76,0))="6-12 months",EDATE('Company Profile'!$B$6,6),EDATE('Company Profile'!$B$6,12)))),E$162&lt;=IF(INDEX(_ENGINE_Initiatives!$BX$5:$BX$76,MATCH($A169,_ENGINE_Initiatives!$BW$5:$BW$76,0))="0-90 days",'Company Profile'!$B$6,IF(INDEX(_ENGINE_Initiatives!$BX$5:$BX$76,MATCH($A169,_ENGINE_Initiatives!$BW$5:$BW$76,0))="3-6 months",EDATE('Company Profile'!$B$6,3),IF(INDEX(_ENGINE_Initiatives!$BX$5:$BX$76,MATCH($A169,_ENGINE_Initiatives!$BW$5:$BW$76,0))="6-12 months",EDATE('Company Profile'!$B$6,6),EDATE('Company Profile'!$B$6,12))))+(IF(INDEX(_ENGINE_Initiatives!$AB$5:$AB$76,MATCH($A169,_ENGINE_Initiatives!$BW$5:$BW$76,0))&lt;=2,6,IF(INDEX(_ENGINE_Initiatives!$AB$5:$AB$76,MATCH($A169,_ENGINE_Initiatives!$BW$5:$BW$76,0))=3,10,IF(INDEX(_ENGINE_Initiatives!$AB$5:$AB$76,MATCH($A169,_ENGINE_Initiatives!$BW$5:$BW$76,0))=4,16,24)))*7)),1,""),"")</f>
      </c>
      <c r="F169" s="55">
        <f>IFERROR(IF(AND(F$162&gt;=IF(INDEX(_ENGINE_Initiatives!$BX$5:$BX$76,MATCH($A169,_ENGINE_Initiatives!$BW$5:$BW$76,0))="0-90 days",'Company Profile'!$B$6,IF(INDEX(_ENGINE_Initiatives!$BX$5:$BX$76,MATCH($A169,_ENGINE_Initiatives!$BW$5:$BW$76,0))="3-6 months",EDATE('Company Profile'!$B$6,3),IF(INDEX(_ENGINE_Initiatives!$BX$5:$BX$76,MATCH($A169,_ENGINE_Initiatives!$BW$5:$BW$76,0))="6-12 months",EDATE('Company Profile'!$B$6,6),EDATE('Company Profile'!$B$6,12)))),F$162&lt;=IF(INDEX(_ENGINE_Initiatives!$BX$5:$BX$76,MATCH($A169,_ENGINE_Initiatives!$BW$5:$BW$76,0))="0-90 days",'Company Profile'!$B$6,IF(INDEX(_ENGINE_Initiatives!$BX$5:$BX$76,MATCH($A169,_ENGINE_Initiatives!$BW$5:$BW$76,0))="3-6 months",EDATE('Company Profile'!$B$6,3),IF(INDEX(_ENGINE_Initiatives!$BX$5:$BX$76,MATCH($A169,_ENGINE_Initiatives!$BW$5:$BW$76,0))="6-12 months",EDATE('Company Profile'!$B$6,6),EDATE('Company Profile'!$B$6,12))))+(IF(INDEX(_ENGINE_Initiatives!$AB$5:$AB$76,MATCH($A169,_ENGINE_Initiatives!$BW$5:$BW$76,0))&lt;=2,6,IF(INDEX(_ENGINE_Initiatives!$AB$5:$AB$76,MATCH($A169,_ENGINE_Initiatives!$BW$5:$BW$76,0))=3,10,IF(INDEX(_ENGINE_Initiatives!$AB$5:$AB$76,MATCH($A169,_ENGINE_Initiatives!$BW$5:$BW$76,0))=4,16,24)))*7)),1,""),"")</f>
      </c>
      <c r="G169" s="55">
        <f>IFERROR(IF(AND(G$162&gt;=IF(INDEX(_ENGINE_Initiatives!$BX$5:$BX$76,MATCH($A169,_ENGINE_Initiatives!$BW$5:$BW$76,0))="0-90 days",'Company Profile'!$B$6,IF(INDEX(_ENGINE_Initiatives!$BX$5:$BX$76,MATCH($A169,_ENGINE_Initiatives!$BW$5:$BW$76,0))="3-6 months",EDATE('Company Profile'!$B$6,3),IF(INDEX(_ENGINE_Initiatives!$BX$5:$BX$76,MATCH($A169,_ENGINE_Initiatives!$BW$5:$BW$76,0))="6-12 months",EDATE('Company Profile'!$B$6,6),EDATE('Company Profile'!$B$6,12)))),G$162&lt;=IF(INDEX(_ENGINE_Initiatives!$BX$5:$BX$76,MATCH($A169,_ENGINE_Initiatives!$BW$5:$BW$76,0))="0-90 days",'Company Profile'!$B$6,IF(INDEX(_ENGINE_Initiatives!$BX$5:$BX$76,MATCH($A169,_ENGINE_Initiatives!$BW$5:$BW$76,0))="3-6 months",EDATE('Company Profile'!$B$6,3),IF(INDEX(_ENGINE_Initiatives!$BX$5:$BX$76,MATCH($A169,_ENGINE_Initiatives!$BW$5:$BW$76,0))="6-12 months",EDATE('Company Profile'!$B$6,6),EDATE('Company Profile'!$B$6,12))))+(IF(INDEX(_ENGINE_Initiatives!$AB$5:$AB$76,MATCH($A169,_ENGINE_Initiatives!$BW$5:$BW$76,0))&lt;=2,6,IF(INDEX(_ENGINE_Initiatives!$AB$5:$AB$76,MATCH($A169,_ENGINE_Initiatives!$BW$5:$BW$76,0))=3,10,IF(INDEX(_ENGINE_Initiatives!$AB$5:$AB$76,MATCH($A169,_ENGINE_Initiatives!$BW$5:$BW$76,0))=4,16,24)))*7)),1,""),"")</f>
      </c>
      <c r="H169" s="55">
        <f>IFERROR(IF(AND(H$162&gt;=IF(INDEX(_ENGINE_Initiatives!$BX$5:$BX$76,MATCH($A169,_ENGINE_Initiatives!$BW$5:$BW$76,0))="0-90 days",'Company Profile'!$B$6,IF(INDEX(_ENGINE_Initiatives!$BX$5:$BX$76,MATCH($A169,_ENGINE_Initiatives!$BW$5:$BW$76,0))="3-6 months",EDATE('Company Profile'!$B$6,3),IF(INDEX(_ENGINE_Initiatives!$BX$5:$BX$76,MATCH($A169,_ENGINE_Initiatives!$BW$5:$BW$76,0))="6-12 months",EDATE('Company Profile'!$B$6,6),EDATE('Company Profile'!$B$6,12)))),H$162&lt;=IF(INDEX(_ENGINE_Initiatives!$BX$5:$BX$76,MATCH($A169,_ENGINE_Initiatives!$BW$5:$BW$76,0))="0-90 days",'Company Profile'!$B$6,IF(INDEX(_ENGINE_Initiatives!$BX$5:$BX$76,MATCH($A169,_ENGINE_Initiatives!$BW$5:$BW$76,0))="3-6 months",EDATE('Company Profile'!$B$6,3),IF(INDEX(_ENGINE_Initiatives!$BX$5:$BX$76,MATCH($A169,_ENGINE_Initiatives!$BW$5:$BW$76,0))="6-12 months",EDATE('Company Profile'!$B$6,6),EDATE('Company Profile'!$B$6,12))))+(IF(INDEX(_ENGINE_Initiatives!$AB$5:$AB$76,MATCH($A169,_ENGINE_Initiatives!$BW$5:$BW$76,0))&lt;=2,6,IF(INDEX(_ENGINE_Initiatives!$AB$5:$AB$76,MATCH($A169,_ENGINE_Initiatives!$BW$5:$BW$76,0))=3,10,IF(INDEX(_ENGINE_Initiatives!$AB$5:$AB$76,MATCH($A169,_ENGINE_Initiatives!$BW$5:$BW$76,0))=4,16,24)))*7)),1,""),"")</f>
      </c>
      <c r="I169" s="55">
        <f>IFERROR(IF(AND(I$162&gt;=IF(INDEX(_ENGINE_Initiatives!$BX$5:$BX$76,MATCH($A169,_ENGINE_Initiatives!$BW$5:$BW$76,0))="0-90 days",'Company Profile'!$B$6,IF(INDEX(_ENGINE_Initiatives!$BX$5:$BX$76,MATCH($A169,_ENGINE_Initiatives!$BW$5:$BW$76,0))="3-6 months",EDATE('Company Profile'!$B$6,3),IF(INDEX(_ENGINE_Initiatives!$BX$5:$BX$76,MATCH($A169,_ENGINE_Initiatives!$BW$5:$BW$76,0))="6-12 months",EDATE('Company Profile'!$B$6,6),EDATE('Company Profile'!$B$6,12)))),I$162&lt;=IF(INDEX(_ENGINE_Initiatives!$BX$5:$BX$76,MATCH($A169,_ENGINE_Initiatives!$BW$5:$BW$76,0))="0-90 days",'Company Profile'!$B$6,IF(INDEX(_ENGINE_Initiatives!$BX$5:$BX$76,MATCH($A169,_ENGINE_Initiatives!$BW$5:$BW$76,0))="3-6 months",EDATE('Company Profile'!$B$6,3),IF(INDEX(_ENGINE_Initiatives!$BX$5:$BX$76,MATCH($A169,_ENGINE_Initiatives!$BW$5:$BW$76,0))="6-12 months",EDATE('Company Profile'!$B$6,6),EDATE('Company Profile'!$B$6,12))))+(IF(INDEX(_ENGINE_Initiatives!$AB$5:$AB$76,MATCH($A169,_ENGINE_Initiatives!$BW$5:$BW$76,0))&lt;=2,6,IF(INDEX(_ENGINE_Initiatives!$AB$5:$AB$76,MATCH($A169,_ENGINE_Initiatives!$BW$5:$BW$76,0))=3,10,IF(INDEX(_ENGINE_Initiatives!$AB$5:$AB$76,MATCH($A169,_ENGINE_Initiatives!$BW$5:$BW$76,0))=4,16,24)))*7)),1,""),"")</f>
      </c>
      <c r="J169" s="55">
        <f>IFERROR(IF(AND(J$162&gt;=IF(INDEX(_ENGINE_Initiatives!$BX$5:$BX$76,MATCH($A169,_ENGINE_Initiatives!$BW$5:$BW$76,0))="0-90 days",'Company Profile'!$B$6,IF(INDEX(_ENGINE_Initiatives!$BX$5:$BX$76,MATCH($A169,_ENGINE_Initiatives!$BW$5:$BW$76,0))="3-6 months",EDATE('Company Profile'!$B$6,3),IF(INDEX(_ENGINE_Initiatives!$BX$5:$BX$76,MATCH($A169,_ENGINE_Initiatives!$BW$5:$BW$76,0))="6-12 months",EDATE('Company Profile'!$B$6,6),EDATE('Company Profile'!$B$6,12)))),J$162&lt;=IF(INDEX(_ENGINE_Initiatives!$BX$5:$BX$76,MATCH($A169,_ENGINE_Initiatives!$BW$5:$BW$76,0))="0-90 days",'Company Profile'!$B$6,IF(INDEX(_ENGINE_Initiatives!$BX$5:$BX$76,MATCH($A169,_ENGINE_Initiatives!$BW$5:$BW$76,0))="3-6 months",EDATE('Company Profile'!$B$6,3),IF(INDEX(_ENGINE_Initiatives!$BX$5:$BX$76,MATCH($A169,_ENGINE_Initiatives!$BW$5:$BW$76,0))="6-12 months",EDATE('Company Profile'!$B$6,6),EDATE('Company Profile'!$B$6,12))))+(IF(INDEX(_ENGINE_Initiatives!$AB$5:$AB$76,MATCH($A169,_ENGINE_Initiatives!$BW$5:$BW$76,0))&lt;=2,6,IF(INDEX(_ENGINE_Initiatives!$AB$5:$AB$76,MATCH($A169,_ENGINE_Initiatives!$BW$5:$BW$76,0))=3,10,IF(INDEX(_ENGINE_Initiatives!$AB$5:$AB$76,MATCH($A169,_ENGINE_Initiatives!$BW$5:$BW$76,0))=4,16,24)))*7)),1,""),"")</f>
      </c>
      <c r="K169" s="55">
        <f>IFERROR(IF(AND(K$162&gt;=IF(INDEX(_ENGINE_Initiatives!$BX$5:$BX$76,MATCH($A169,_ENGINE_Initiatives!$BW$5:$BW$76,0))="0-90 days",'Company Profile'!$B$6,IF(INDEX(_ENGINE_Initiatives!$BX$5:$BX$76,MATCH($A169,_ENGINE_Initiatives!$BW$5:$BW$76,0))="3-6 months",EDATE('Company Profile'!$B$6,3),IF(INDEX(_ENGINE_Initiatives!$BX$5:$BX$76,MATCH($A169,_ENGINE_Initiatives!$BW$5:$BW$76,0))="6-12 months",EDATE('Company Profile'!$B$6,6),EDATE('Company Profile'!$B$6,12)))),K$162&lt;=IF(INDEX(_ENGINE_Initiatives!$BX$5:$BX$76,MATCH($A169,_ENGINE_Initiatives!$BW$5:$BW$76,0))="0-90 days",'Company Profile'!$B$6,IF(INDEX(_ENGINE_Initiatives!$BX$5:$BX$76,MATCH($A169,_ENGINE_Initiatives!$BW$5:$BW$76,0))="3-6 months",EDATE('Company Profile'!$B$6,3),IF(INDEX(_ENGINE_Initiatives!$BX$5:$BX$76,MATCH($A169,_ENGINE_Initiatives!$BW$5:$BW$76,0))="6-12 months",EDATE('Company Profile'!$B$6,6),EDATE('Company Profile'!$B$6,12))))+(IF(INDEX(_ENGINE_Initiatives!$AB$5:$AB$76,MATCH($A169,_ENGINE_Initiatives!$BW$5:$BW$76,0))&lt;=2,6,IF(INDEX(_ENGINE_Initiatives!$AB$5:$AB$76,MATCH($A169,_ENGINE_Initiatives!$BW$5:$BW$76,0))=3,10,IF(INDEX(_ENGINE_Initiatives!$AB$5:$AB$76,MATCH($A169,_ENGINE_Initiatives!$BW$5:$BW$76,0))=4,16,24)))*7)),1,""),"")</f>
      </c>
      <c r="L169" s="55">
        <f>IFERROR(IF(AND(L$162&gt;=IF(INDEX(_ENGINE_Initiatives!$BX$5:$BX$76,MATCH($A169,_ENGINE_Initiatives!$BW$5:$BW$76,0))="0-90 days",'Company Profile'!$B$6,IF(INDEX(_ENGINE_Initiatives!$BX$5:$BX$76,MATCH($A169,_ENGINE_Initiatives!$BW$5:$BW$76,0))="3-6 months",EDATE('Company Profile'!$B$6,3),IF(INDEX(_ENGINE_Initiatives!$BX$5:$BX$76,MATCH($A169,_ENGINE_Initiatives!$BW$5:$BW$76,0))="6-12 months",EDATE('Company Profile'!$B$6,6),EDATE('Company Profile'!$B$6,12)))),L$162&lt;=IF(INDEX(_ENGINE_Initiatives!$BX$5:$BX$76,MATCH($A169,_ENGINE_Initiatives!$BW$5:$BW$76,0))="0-90 days",'Company Profile'!$B$6,IF(INDEX(_ENGINE_Initiatives!$BX$5:$BX$76,MATCH($A169,_ENGINE_Initiatives!$BW$5:$BW$76,0))="3-6 months",EDATE('Company Profile'!$B$6,3),IF(INDEX(_ENGINE_Initiatives!$BX$5:$BX$76,MATCH($A169,_ENGINE_Initiatives!$BW$5:$BW$76,0))="6-12 months",EDATE('Company Profile'!$B$6,6),EDATE('Company Profile'!$B$6,12))))+(IF(INDEX(_ENGINE_Initiatives!$AB$5:$AB$76,MATCH($A169,_ENGINE_Initiatives!$BW$5:$BW$76,0))&lt;=2,6,IF(INDEX(_ENGINE_Initiatives!$AB$5:$AB$76,MATCH($A169,_ENGINE_Initiatives!$BW$5:$BW$76,0))=3,10,IF(INDEX(_ENGINE_Initiatives!$AB$5:$AB$76,MATCH($A169,_ENGINE_Initiatives!$BW$5:$BW$76,0))=4,16,24)))*7)),1,""),"")</f>
      </c>
      <c r="M169" s="55">
        <f>IFERROR(IF(AND(M$162&gt;=IF(INDEX(_ENGINE_Initiatives!$BX$5:$BX$76,MATCH($A169,_ENGINE_Initiatives!$BW$5:$BW$76,0))="0-90 days",'Company Profile'!$B$6,IF(INDEX(_ENGINE_Initiatives!$BX$5:$BX$76,MATCH($A169,_ENGINE_Initiatives!$BW$5:$BW$76,0))="3-6 months",EDATE('Company Profile'!$B$6,3),IF(INDEX(_ENGINE_Initiatives!$BX$5:$BX$76,MATCH($A169,_ENGINE_Initiatives!$BW$5:$BW$76,0))="6-12 months",EDATE('Company Profile'!$B$6,6),EDATE('Company Profile'!$B$6,12)))),M$162&lt;=IF(INDEX(_ENGINE_Initiatives!$BX$5:$BX$76,MATCH($A169,_ENGINE_Initiatives!$BW$5:$BW$76,0))="0-90 days",'Company Profile'!$B$6,IF(INDEX(_ENGINE_Initiatives!$BX$5:$BX$76,MATCH($A169,_ENGINE_Initiatives!$BW$5:$BW$76,0))="3-6 months",EDATE('Company Profile'!$B$6,3),IF(INDEX(_ENGINE_Initiatives!$BX$5:$BX$76,MATCH($A169,_ENGINE_Initiatives!$BW$5:$BW$76,0))="6-12 months",EDATE('Company Profile'!$B$6,6),EDATE('Company Profile'!$B$6,12))))+(IF(INDEX(_ENGINE_Initiatives!$AB$5:$AB$76,MATCH($A169,_ENGINE_Initiatives!$BW$5:$BW$76,0))&lt;=2,6,IF(INDEX(_ENGINE_Initiatives!$AB$5:$AB$76,MATCH($A169,_ENGINE_Initiatives!$BW$5:$BW$76,0))=3,10,IF(INDEX(_ENGINE_Initiatives!$AB$5:$AB$76,MATCH($A169,_ENGINE_Initiatives!$BW$5:$BW$76,0))=4,16,24)))*7)),1,""),"")</f>
      </c>
      <c r="N169" s="55">
        <f>IFERROR(IF(AND(N$162&gt;=IF(INDEX(_ENGINE_Initiatives!$BX$5:$BX$76,MATCH($A169,_ENGINE_Initiatives!$BW$5:$BW$76,0))="0-90 days",'Company Profile'!$B$6,IF(INDEX(_ENGINE_Initiatives!$BX$5:$BX$76,MATCH($A169,_ENGINE_Initiatives!$BW$5:$BW$76,0))="3-6 months",EDATE('Company Profile'!$B$6,3),IF(INDEX(_ENGINE_Initiatives!$BX$5:$BX$76,MATCH($A169,_ENGINE_Initiatives!$BW$5:$BW$76,0))="6-12 months",EDATE('Company Profile'!$B$6,6),EDATE('Company Profile'!$B$6,12)))),N$162&lt;=IF(INDEX(_ENGINE_Initiatives!$BX$5:$BX$76,MATCH($A169,_ENGINE_Initiatives!$BW$5:$BW$76,0))="0-90 days",'Company Profile'!$B$6,IF(INDEX(_ENGINE_Initiatives!$BX$5:$BX$76,MATCH($A169,_ENGINE_Initiatives!$BW$5:$BW$76,0))="3-6 months",EDATE('Company Profile'!$B$6,3),IF(INDEX(_ENGINE_Initiatives!$BX$5:$BX$76,MATCH($A169,_ENGINE_Initiatives!$BW$5:$BW$76,0))="6-12 months",EDATE('Company Profile'!$B$6,6),EDATE('Company Profile'!$B$6,12))))+(IF(INDEX(_ENGINE_Initiatives!$AB$5:$AB$76,MATCH($A169,_ENGINE_Initiatives!$BW$5:$BW$76,0))&lt;=2,6,IF(INDEX(_ENGINE_Initiatives!$AB$5:$AB$76,MATCH($A169,_ENGINE_Initiatives!$BW$5:$BW$76,0))=3,10,IF(INDEX(_ENGINE_Initiatives!$AB$5:$AB$76,MATCH($A169,_ENGINE_Initiatives!$BW$5:$BW$76,0))=4,16,24)))*7)),1,""),"")</f>
      </c>
      <c r="O169" s="55">
        <f>IFERROR(IF(AND(O$162&gt;=IF(INDEX(_ENGINE_Initiatives!$BX$5:$BX$76,MATCH($A169,_ENGINE_Initiatives!$BW$5:$BW$76,0))="0-90 days",'Company Profile'!$B$6,IF(INDEX(_ENGINE_Initiatives!$BX$5:$BX$76,MATCH($A169,_ENGINE_Initiatives!$BW$5:$BW$76,0))="3-6 months",EDATE('Company Profile'!$B$6,3),IF(INDEX(_ENGINE_Initiatives!$BX$5:$BX$76,MATCH($A169,_ENGINE_Initiatives!$BW$5:$BW$76,0))="6-12 months",EDATE('Company Profile'!$B$6,6),EDATE('Company Profile'!$B$6,12)))),O$162&lt;=IF(INDEX(_ENGINE_Initiatives!$BX$5:$BX$76,MATCH($A169,_ENGINE_Initiatives!$BW$5:$BW$76,0))="0-90 days",'Company Profile'!$B$6,IF(INDEX(_ENGINE_Initiatives!$BX$5:$BX$76,MATCH($A169,_ENGINE_Initiatives!$BW$5:$BW$76,0))="3-6 months",EDATE('Company Profile'!$B$6,3),IF(INDEX(_ENGINE_Initiatives!$BX$5:$BX$76,MATCH($A169,_ENGINE_Initiatives!$BW$5:$BW$76,0))="6-12 months",EDATE('Company Profile'!$B$6,6),EDATE('Company Profile'!$B$6,12))))+(IF(INDEX(_ENGINE_Initiatives!$AB$5:$AB$76,MATCH($A169,_ENGINE_Initiatives!$BW$5:$BW$76,0))&lt;=2,6,IF(INDEX(_ENGINE_Initiatives!$AB$5:$AB$76,MATCH($A169,_ENGINE_Initiatives!$BW$5:$BW$76,0))=3,10,IF(INDEX(_ENGINE_Initiatives!$AB$5:$AB$76,MATCH($A169,_ENGINE_Initiatives!$BW$5:$BW$76,0))=4,16,24)))*7)),1,""),"")</f>
      </c>
      <c r="P169" s="55">
        <f>IFERROR(IF(AND(P$162&gt;=IF(INDEX(_ENGINE_Initiatives!$BX$5:$BX$76,MATCH($A169,_ENGINE_Initiatives!$BW$5:$BW$76,0))="0-90 days",'Company Profile'!$B$6,IF(INDEX(_ENGINE_Initiatives!$BX$5:$BX$76,MATCH($A169,_ENGINE_Initiatives!$BW$5:$BW$76,0))="3-6 months",EDATE('Company Profile'!$B$6,3),IF(INDEX(_ENGINE_Initiatives!$BX$5:$BX$76,MATCH($A169,_ENGINE_Initiatives!$BW$5:$BW$76,0))="6-12 months",EDATE('Company Profile'!$B$6,6),EDATE('Company Profile'!$B$6,12)))),P$162&lt;=IF(INDEX(_ENGINE_Initiatives!$BX$5:$BX$76,MATCH($A169,_ENGINE_Initiatives!$BW$5:$BW$76,0))="0-90 days",'Company Profile'!$B$6,IF(INDEX(_ENGINE_Initiatives!$BX$5:$BX$76,MATCH($A169,_ENGINE_Initiatives!$BW$5:$BW$76,0))="3-6 months",EDATE('Company Profile'!$B$6,3),IF(INDEX(_ENGINE_Initiatives!$BX$5:$BX$76,MATCH($A169,_ENGINE_Initiatives!$BW$5:$BW$76,0))="6-12 months",EDATE('Company Profile'!$B$6,6),EDATE('Company Profile'!$B$6,12))))+(IF(INDEX(_ENGINE_Initiatives!$AB$5:$AB$76,MATCH($A169,_ENGINE_Initiatives!$BW$5:$BW$76,0))&lt;=2,6,IF(INDEX(_ENGINE_Initiatives!$AB$5:$AB$76,MATCH($A169,_ENGINE_Initiatives!$BW$5:$BW$76,0))=3,10,IF(INDEX(_ENGINE_Initiatives!$AB$5:$AB$76,MATCH($A169,_ENGINE_Initiatives!$BW$5:$BW$76,0))=4,16,24)))*7)),1,""),"")</f>
      </c>
      <c r="Q169" s="55">
        <f>IFERROR(IF(AND(Q$162&gt;=IF(INDEX(_ENGINE_Initiatives!$BX$5:$BX$76,MATCH($A169,_ENGINE_Initiatives!$BW$5:$BW$76,0))="0-90 days",'Company Profile'!$B$6,IF(INDEX(_ENGINE_Initiatives!$BX$5:$BX$76,MATCH($A169,_ENGINE_Initiatives!$BW$5:$BW$76,0))="3-6 months",EDATE('Company Profile'!$B$6,3),IF(INDEX(_ENGINE_Initiatives!$BX$5:$BX$76,MATCH($A169,_ENGINE_Initiatives!$BW$5:$BW$76,0))="6-12 months",EDATE('Company Profile'!$B$6,6),EDATE('Company Profile'!$B$6,12)))),Q$162&lt;=IF(INDEX(_ENGINE_Initiatives!$BX$5:$BX$76,MATCH($A169,_ENGINE_Initiatives!$BW$5:$BW$76,0))="0-90 days",'Company Profile'!$B$6,IF(INDEX(_ENGINE_Initiatives!$BX$5:$BX$76,MATCH($A169,_ENGINE_Initiatives!$BW$5:$BW$76,0))="3-6 months",EDATE('Company Profile'!$B$6,3),IF(INDEX(_ENGINE_Initiatives!$BX$5:$BX$76,MATCH($A169,_ENGINE_Initiatives!$BW$5:$BW$76,0))="6-12 months",EDATE('Company Profile'!$B$6,6),EDATE('Company Profile'!$B$6,12))))+(IF(INDEX(_ENGINE_Initiatives!$AB$5:$AB$76,MATCH($A169,_ENGINE_Initiatives!$BW$5:$BW$76,0))&lt;=2,6,IF(INDEX(_ENGINE_Initiatives!$AB$5:$AB$76,MATCH($A169,_ENGINE_Initiatives!$BW$5:$BW$76,0))=3,10,IF(INDEX(_ENGINE_Initiatives!$AB$5:$AB$76,MATCH($A169,_ENGINE_Initiatives!$BW$5:$BW$76,0))=4,16,24)))*7)),1,""),"")</f>
      </c>
      <c r="R169" s="55">
        <f>IFERROR(IF(AND(R$162&gt;=IF(INDEX(_ENGINE_Initiatives!$BX$5:$BX$76,MATCH($A169,_ENGINE_Initiatives!$BW$5:$BW$76,0))="0-90 days",'Company Profile'!$B$6,IF(INDEX(_ENGINE_Initiatives!$BX$5:$BX$76,MATCH($A169,_ENGINE_Initiatives!$BW$5:$BW$76,0))="3-6 months",EDATE('Company Profile'!$B$6,3),IF(INDEX(_ENGINE_Initiatives!$BX$5:$BX$76,MATCH($A169,_ENGINE_Initiatives!$BW$5:$BW$76,0))="6-12 months",EDATE('Company Profile'!$B$6,6),EDATE('Company Profile'!$B$6,12)))),R$162&lt;=IF(INDEX(_ENGINE_Initiatives!$BX$5:$BX$76,MATCH($A169,_ENGINE_Initiatives!$BW$5:$BW$76,0))="0-90 days",'Company Profile'!$B$6,IF(INDEX(_ENGINE_Initiatives!$BX$5:$BX$76,MATCH($A169,_ENGINE_Initiatives!$BW$5:$BW$76,0))="3-6 months",EDATE('Company Profile'!$B$6,3),IF(INDEX(_ENGINE_Initiatives!$BX$5:$BX$76,MATCH($A169,_ENGINE_Initiatives!$BW$5:$BW$76,0))="6-12 months",EDATE('Company Profile'!$B$6,6),EDATE('Company Profile'!$B$6,12))))+(IF(INDEX(_ENGINE_Initiatives!$AB$5:$AB$76,MATCH($A169,_ENGINE_Initiatives!$BW$5:$BW$76,0))&lt;=2,6,IF(INDEX(_ENGINE_Initiatives!$AB$5:$AB$76,MATCH($A169,_ENGINE_Initiatives!$BW$5:$BW$76,0))=3,10,IF(INDEX(_ENGINE_Initiatives!$AB$5:$AB$76,MATCH($A169,_ENGINE_Initiatives!$BW$5:$BW$76,0))=4,16,24)))*7)),1,""),"")</f>
      </c>
      <c r="S169" s="55">
        <f>IFERROR(IF(AND(S$162&gt;=IF(INDEX(_ENGINE_Initiatives!$BX$5:$BX$76,MATCH($A169,_ENGINE_Initiatives!$BW$5:$BW$76,0))="0-90 days",'Company Profile'!$B$6,IF(INDEX(_ENGINE_Initiatives!$BX$5:$BX$76,MATCH($A169,_ENGINE_Initiatives!$BW$5:$BW$76,0))="3-6 months",EDATE('Company Profile'!$B$6,3),IF(INDEX(_ENGINE_Initiatives!$BX$5:$BX$76,MATCH($A169,_ENGINE_Initiatives!$BW$5:$BW$76,0))="6-12 months",EDATE('Company Profile'!$B$6,6),EDATE('Company Profile'!$B$6,12)))),S$162&lt;=IF(INDEX(_ENGINE_Initiatives!$BX$5:$BX$76,MATCH($A169,_ENGINE_Initiatives!$BW$5:$BW$76,0))="0-90 days",'Company Profile'!$B$6,IF(INDEX(_ENGINE_Initiatives!$BX$5:$BX$76,MATCH($A169,_ENGINE_Initiatives!$BW$5:$BW$76,0))="3-6 months",EDATE('Company Profile'!$B$6,3),IF(INDEX(_ENGINE_Initiatives!$BX$5:$BX$76,MATCH($A169,_ENGINE_Initiatives!$BW$5:$BW$76,0))="6-12 months",EDATE('Company Profile'!$B$6,6),EDATE('Company Profile'!$B$6,12))))+(IF(INDEX(_ENGINE_Initiatives!$AB$5:$AB$76,MATCH($A169,_ENGINE_Initiatives!$BW$5:$BW$76,0))&lt;=2,6,IF(INDEX(_ENGINE_Initiatives!$AB$5:$AB$76,MATCH($A169,_ENGINE_Initiatives!$BW$5:$BW$76,0))=3,10,IF(INDEX(_ENGINE_Initiatives!$AB$5:$AB$76,MATCH($A169,_ENGINE_Initiatives!$BW$5:$BW$76,0))=4,16,24)))*7)),1,""),"")</f>
      </c>
      <c r="T169" s="55">
        <f>IFERROR(IF(AND(T$162&gt;=IF(INDEX(_ENGINE_Initiatives!$BX$5:$BX$76,MATCH($A169,_ENGINE_Initiatives!$BW$5:$BW$76,0))="0-90 days",'Company Profile'!$B$6,IF(INDEX(_ENGINE_Initiatives!$BX$5:$BX$76,MATCH($A169,_ENGINE_Initiatives!$BW$5:$BW$76,0))="3-6 months",EDATE('Company Profile'!$B$6,3),IF(INDEX(_ENGINE_Initiatives!$BX$5:$BX$76,MATCH($A169,_ENGINE_Initiatives!$BW$5:$BW$76,0))="6-12 months",EDATE('Company Profile'!$B$6,6),EDATE('Company Profile'!$B$6,12)))),T$162&lt;=IF(INDEX(_ENGINE_Initiatives!$BX$5:$BX$76,MATCH($A169,_ENGINE_Initiatives!$BW$5:$BW$76,0))="0-90 days",'Company Profile'!$B$6,IF(INDEX(_ENGINE_Initiatives!$BX$5:$BX$76,MATCH($A169,_ENGINE_Initiatives!$BW$5:$BW$76,0))="3-6 months",EDATE('Company Profile'!$B$6,3),IF(INDEX(_ENGINE_Initiatives!$BX$5:$BX$76,MATCH($A169,_ENGINE_Initiatives!$BW$5:$BW$76,0))="6-12 months",EDATE('Company Profile'!$B$6,6),EDATE('Company Profile'!$B$6,12))))+(IF(INDEX(_ENGINE_Initiatives!$AB$5:$AB$76,MATCH($A169,_ENGINE_Initiatives!$BW$5:$BW$76,0))&lt;=2,6,IF(INDEX(_ENGINE_Initiatives!$AB$5:$AB$76,MATCH($A169,_ENGINE_Initiatives!$BW$5:$BW$76,0))=3,10,IF(INDEX(_ENGINE_Initiatives!$AB$5:$AB$76,MATCH($A169,_ENGINE_Initiatives!$BW$5:$BW$76,0))=4,16,24)))*7)),1,""),"")</f>
      </c>
      <c r="U169" s="30" t="n"/>
      <c r="V169" s="30" t="n"/>
    </row>
    <row r="170" ht="15" customHeight="1" s="209">
      <c r="A170" s="51" t="inlineStr">
        <is>
          <t>8</t>
        </is>
      </c>
      <c r="B170" s="51">
        <f>IFERROR(INDEX(_ENGINE_Initiatives!$F$5:$F$76,MATCH($A170,_ENGINE_Initiatives!$BW$5:$BW$76,0)),"")</f>
      </c>
      <c r="C170" s="55">
        <f>IFERROR(IF(AND(C$162&gt;=IF(INDEX(_ENGINE_Initiatives!$BX$5:$BX$76,MATCH($A170,_ENGINE_Initiatives!$BW$5:$BW$76,0))="0-90 days",'Company Profile'!$B$6,IF(INDEX(_ENGINE_Initiatives!$BX$5:$BX$76,MATCH($A170,_ENGINE_Initiatives!$BW$5:$BW$76,0))="3-6 months",EDATE('Company Profile'!$B$6,3),IF(INDEX(_ENGINE_Initiatives!$BX$5:$BX$76,MATCH($A170,_ENGINE_Initiatives!$BW$5:$BW$76,0))="6-12 months",EDATE('Company Profile'!$B$6,6),EDATE('Company Profile'!$B$6,12)))),C$162&lt;=IF(INDEX(_ENGINE_Initiatives!$BX$5:$BX$76,MATCH($A170,_ENGINE_Initiatives!$BW$5:$BW$76,0))="0-90 days",'Company Profile'!$B$6,IF(INDEX(_ENGINE_Initiatives!$BX$5:$BX$76,MATCH($A170,_ENGINE_Initiatives!$BW$5:$BW$76,0))="3-6 months",EDATE('Company Profile'!$B$6,3),IF(INDEX(_ENGINE_Initiatives!$BX$5:$BX$76,MATCH($A170,_ENGINE_Initiatives!$BW$5:$BW$76,0))="6-12 months",EDATE('Company Profile'!$B$6,6),EDATE('Company Profile'!$B$6,12))))+(IF(INDEX(_ENGINE_Initiatives!$AB$5:$AB$76,MATCH($A170,_ENGINE_Initiatives!$BW$5:$BW$76,0))&lt;=2,6,IF(INDEX(_ENGINE_Initiatives!$AB$5:$AB$76,MATCH($A170,_ENGINE_Initiatives!$BW$5:$BW$76,0))=3,10,IF(INDEX(_ENGINE_Initiatives!$AB$5:$AB$76,MATCH($A170,_ENGINE_Initiatives!$BW$5:$BW$76,0))=4,16,24)))*7)),1,""),"")</f>
      </c>
      <c r="D170" s="55">
        <f>IFERROR(IF(AND(D$162&gt;=IF(INDEX(_ENGINE_Initiatives!$BX$5:$BX$76,MATCH($A170,_ENGINE_Initiatives!$BW$5:$BW$76,0))="0-90 days",'Company Profile'!$B$6,IF(INDEX(_ENGINE_Initiatives!$BX$5:$BX$76,MATCH($A170,_ENGINE_Initiatives!$BW$5:$BW$76,0))="3-6 months",EDATE('Company Profile'!$B$6,3),IF(INDEX(_ENGINE_Initiatives!$BX$5:$BX$76,MATCH($A170,_ENGINE_Initiatives!$BW$5:$BW$76,0))="6-12 months",EDATE('Company Profile'!$B$6,6),EDATE('Company Profile'!$B$6,12)))),D$162&lt;=IF(INDEX(_ENGINE_Initiatives!$BX$5:$BX$76,MATCH($A170,_ENGINE_Initiatives!$BW$5:$BW$76,0))="0-90 days",'Company Profile'!$B$6,IF(INDEX(_ENGINE_Initiatives!$BX$5:$BX$76,MATCH($A170,_ENGINE_Initiatives!$BW$5:$BW$76,0))="3-6 months",EDATE('Company Profile'!$B$6,3),IF(INDEX(_ENGINE_Initiatives!$BX$5:$BX$76,MATCH($A170,_ENGINE_Initiatives!$BW$5:$BW$76,0))="6-12 months",EDATE('Company Profile'!$B$6,6),EDATE('Company Profile'!$B$6,12))))+(IF(INDEX(_ENGINE_Initiatives!$AB$5:$AB$76,MATCH($A170,_ENGINE_Initiatives!$BW$5:$BW$76,0))&lt;=2,6,IF(INDEX(_ENGINE_Initiatives!$AB$5:$AB$76,MATCH($A170,_ENGINE_Initiatives!$BW$5:$BW$76,0))=3,10,IF(INDEX(_ENGINE_Initiatives!$AB$5:$AB$76,MATCH($A170,_ENGINE_Initiatives!$BW$5:$BW$76,0))=4,16,24)))*7)),1,""),"")</f>
      </c>
      <c r="E170" s="55">
        <f>IFERROR(IF(AND(E$162&gt;=IF(INDEX(_ENGINE_Initiatives!$BX$5:$BX$76,MATCH($A170,_ENGINE_Initiatives!$BW$5:$BW$76,0))="0-90 days",'Company Profile'!$B$6,IF(INDEX(_ENGINE_Initiatives!$BX$5:$BX$76,MATCH($A170,_ENGINE_Initiatives!$BW$5:$BW$76,0))="3-6 months",EDATE('Company Profile'!$B$6,3),IF(INDEX(_ENGINE_Initiatives!$BX$5:$BX$76,MATCH($A170,_ENGINE_Initiatives!$BW$5:$BW$76,0))="6-12 months",EDATE('Company Profile'!$B$6,6),EDATE('Company Profile'!$B$6,12)))),E$162&lt;=IF(INDEX(_ENGINE_Initiatives!$BX$5:$BX$76,MATCH($A170,_ENGINE_Initiatives!$BW$5:$BW$76,0))="0-90 days",'Company Profile'!$B$6,IF(INDEX(_ENGINE_Initiatives!$BX$5:$BX$76,MATCH($A170,_ENGINE_Initiatives!$BW$5:$BW$76,0))="3-6 months",EDATE('Company Profile'!$B$6,3),IF(INDEX(_ENGINE_Initiatives!$BX$5:$BX$76,MATCH($A170,_ENGINE_Initiatives!$BW$5:$BW$76,0))="6-12 months",EDATE('Company Profile'!$B$6,6),EDATE('Company Profile'!$B$6,12))))+(IF(INDEX(_ENGINE_Initiatives!$AB$5:$AB$76,MATCH($A170,_ENGINE_Initiatives!$BW$5:$BW$76,0))&lt;=2,6,IF(INDEX(_ENGINE_Initiatives!$AB$5:$AB$76,MATCH($A170,_ENGINE_Initiatives!$BW$5:$BW$76,0))=3,10,IF(INDEX(_ENGINE_Initiatives!$AB$5:$AB$76,MATCH($A170,_ENGINE_Initiatives!$BW$5:$BW$76,0))=4,16,24)))*7)),1,""),"")</f>
      </c>
      <c r="F170" s="55">
        <f>IFERROR(IF(AND(F$162&gt;=IF(INDEX(_ENGINE_Initiatives!$BX$5:$BX$76,MATCH($A170,_ENGINE_Initiatives!$BW$5:$BW$76,0))="0-90 days",'Company Profile'!$B$6,IF(INDEX(_ENGINE_Initiatives!$BX$5:$BX$76,MATCH($A170,_ENGINE_Initiatives!$BW$5:$BW$76,0))="3-6 months",EDATE('Company Profile'!$B$6,3),IF(INDEX(_ENGINE_Initiatives!$BX$5:$BX$76,MATCH($A170,_ENGINE_Initiatives!$BW$5:$BW$76,0))="6-12 months",EDATE('Company Profile'!$B$6,6),EDATE('Company Profile'!$B$6,12)))),F$162&lt;=IF(INDEX(_ENGINE_Initiatives!$BX$5:$BX$76,MATCH($A170,_ENGINE_Initiatives!$BW$5:$BW$76,0))="0-90 days",'Company Profile'!$B$6,IF(INDEX(_ENGINE_Initiatives!$BX$5:$BX$76,MATCH($A170,_ENGINE_Initiatives!$BW$5:$BW$76,0))="3-6 months",EDATE('Company Profile'!$B$6,3),IF(INDEX(_ENGINE_Initiatives!$BX$5:$BX$76,MATCH($A170,_ENGINE_Initiatives!$BW$5:$BW$76,0))="6-12 months",EDATE('Company Profile'!$B$6,6),EDATE('Company Profile'!$B$6,12))))+(IF(INDEX(_ENGINE_Initiatives!$AB$5:$AB$76,MATCH($A170,_ENGINE_Initiatives!$BW$5:$BW$76,0))&lt;=2,6,IF(INDEX(_ENGINE_Initiatives!$AB$5:$AB$76,MATCH($A170,_ENGINE_Initiatives!$BW$5:$BW$76,0))=3,10,IF(INDEX(_ENGINE_Initiatives!$AB$5:$AB$76,MATCH($A170,_ENGINE_Initiatives!$BW$5:$BW$76,0))=4,16,24)))*7)),1,""),"")</f>
      </c>
      <c r="G170" s="55">
        <f>IFERROR(IF(AND(G$162&gt;=IF(INDEX(_ENGINE_Initiatives!$BX$5:$BX$76,MATCH($A170,_ENGINE_Initiatives!$BW$5:$BW$76,0))="0-90 days",'Company Profile'!$B$6,IF(INDEX(_ENGINE_Initiatives!$BX$5:$BX$76,MATCH($A170,_ENGINE_Initiatives!$BW$5:$BW$76,0))="3-6 months",EDATE('Company Profile'!$B$6,3),IF(INDEX(_ENGINE_Initiatives!$BX$5:$BX$76,MATCH($A170,_ENGINE_Initiatives!$BW$5:$BW$76,0))="6-12 months",EDATE('Company Profile'!$B$6,6),EDATE('Company Profile'!$B$6,12)))),G$162&lt;=IF(INDEX(_ENGINE_Initiatives!$BX$5:$BX$76,MATCH($A170,_ENGINE_Initiatives!$BW$5:$BW$76,0))="0-90 days",'Company Profile'!$B$6,IF(INDEX(_ENGINE_Initiatives!$BX$5:$BX$76,MATCH($A170,_ENGINE_Initiatives!$BW$5:$BW$76,0))="3-6 months",EDATE('Company Profile'!$B$6,3),IF(INDEX(_ENGINE_Initiatives!$BX$5:$BX$76,MATCH($A170,_ENGINE_Initiatives!$BW$5:$BW$76,0))="6-12 months",EDATE('Company Profile'!$B$6,6),EDATE('Company Profile'!$B$6,12))))+(IF(INDEX(_ENGINE_Initiatives!$AB$5:$AB$76,MATCH($A170,_ENGINE_Initiatives!$BW$5:$BW$76,0))&lt;=2,6,IF(INDEX(_ENGINE_Initiatives!$AB$5:$AB$76,MATCH($A170,_ENGINE_Initiatives!$BW$5:$BW$76,0))=3,10,IF(INDEX(_ENGINE_Initiatives!$AB$5:$AB$76,MATCH($A170,_ENGINE_Initiatives!$BW$5:$BW$76,0))=4,16,24)))*7)),1,""),"")</f>
      </c>
      <c r="H170" s="55">
        <f>IFERROR(IF(AND(H$162&gt;=IF(INDEX(_ENGINE_Initiatives!$BX$5:$BX$76,MATCH($A170,_ENGINE_Initiatives!$BW$5:$BW$76,0))="0-90 days",'Company Profile'!$B$6,IF(INDEX(_ENGINE_Initiatives!$BX$5:$BX$76,MATCH($A170,_ENGINE_Initiatives!$BW$5:$BW$76,0))="3-6 months",EDATE('Company Profile'!$B$6,3),IF(INDEX(_ENGINE_Initiatives!$BX$5:$BX$76,MATCH($A170,_ENGINE_Initiatives!$BW$5:$BW$76,0))="6-12 months",EDATE('Company Profile'!$B$6,6),EDATE('Company Profile'!$B$6,12)))),H$162&lt;=IF(INDEX(_ENGINE_Initiatives!$BX$5:$BX$76,MATCH($A170,_ENGINE_Initiatives!$BW$5:$BW$76,0))="0-90 days",'Company Profile'!$B$6,IF(INDEX(_ENGINE_Initiatives!$BX$5:$BX$76,MATCH($A170,_ENGINE_Initiatives!$BW$5:$BW$76,0))="3-6 months",EDATE('Company Profile'!$B$6,3),IF(INDEX(_ENGINE_Initiatives!$BX$5:$BX$76,MATCH($A170,_ENGINE_Initiatives!$BW$5:$BW$76,0))="6-12 months",EDATE('Company Profile'!$B$6,6),EDATE('Company Profile'!$B$6,12))))+(IF(INDEX(_ENGINE_Initiatives!$AB$5:$AB$76,MATCH($A170,_ENGINE_Initiatives!$BW$5:$BW$76,0))&lt;=2,6,IF(INDEX(_ENGINE_Initiatives!$AB$5:$AB$76,MATCH($A170,_ENGINE_Initiatives!$BW$5:$BW$76,0))=3,10,IF(INDEX(_ENGINE_Initiatives!$AB$5:$AB$76,MATCH($A170,_ENGINE_Initiatives!$BW$5:$BW$76,0))=4,16,24)))*7)),1,""),"")</f>
      </c>
      <c r="I170" s="55">
        <f>IFERROR(IF(AND(I$162&gt;=IF(INDEX(_ENGINE_Initiatives!$BX$5:$BX$76,MATCH($A170,_ENGINE_Initiatives!$BW$5:$BW$76,0))="0-90 days",'Company Profile'!$B$6,IF(INDEX(_ENGINE_Initiatives!$BX$5:$BX$76,MATCH($A170,_ENGINE_Initiatives!$BW$5:$BW$76,0))="3-6 months",EDATE('Company Profile'!$B$6,3),IF(INDEX(_ENGINE_Initiatives!$BX$5:$BX$76,MATCH($A170,_ENGINE_Initiatives!$BW$5:$BW$76,0))="6-12 months",EDATE('Company Profile'!$B$6,6),EDATE('Company Profile'!$B$6,12)))),I$162&lt;=IF(INDEX(_ENGINE_Initiatives!$BX$5:$BX$76,MATCH($A170,_ENGINE_Initiatives!$BW$5:$BW$76,0))="0-90 days",'Company Profile'!$B$6,IF(INDEX(_ENGINE_Initiatives!$BX$5:$BX$76,MATCH($A170,_ENGINE_Initiatives!$BW$5:$BW$76,0))="3-6 months",EDATE('Company Profile'!$B$6,3),IF(INDEX(_ENGINE_Initiatives!$BX$5:$BX$76,MATCH($A170,_ENGINE_Initiatives!$BW$5:$BW$76,0))="6-12 months",EDATE('Company Profile'!$B$6,6),EDATE('Company Profile'!$B$6,12))))+(IF(INDEX(_ENGINE_Initiatives!$AB$5:$AB$76,MATCH($A170,_ENGINE_Initiatives!$BW$5:$BW$76,0))&lt;=2,6,IF(INDEX(_ENGINE_Initiatives!$AB$5:$AB$76,MATCH($A170,_ENGINE_Initiatives!$BW$5:$BW$76,0))=3,10,IF(INDEX(_ENGINE_Initiatives!$AB$5:$AB$76,MATCH($A170,_ENGINE_Initiatives!$BW$5:$BW$76,0))=4,16,24)))*7)),1,""),"")</f>
      </c>
      <c r="J170" s="55">
        <f>IFERROR(IF(AND(J$162&gt;=IF(INDEX(_ENGINE_Initiatives!$BX$5:$BX$76,MATCH($A170,_ENGINE_Initiatives!$BW$5:$BW$76,0))="0-90 days",'Company Profile'!$B$6,IF(INDEX(_ENGINE_Initiatives!$BX$5:$BX$76,MATCH($A170,_ENGINE_Initiatives!$BW$5:$BW$76,0))="3-6 months",EDATE('Company Profile'!$B$6,3),IF(INDEX(_ENGINE_Initiatives!$BX$5:$BX$76,MATCH($A170,_ENGINE_Initiatives!$BW$5:$BW$76,0))="6-12 months",EDATE('Company Profile'!$B$6,6),EDATE('Company Profile'!$B$6,12)))),J$162&lt;=IF(INDEX(_ENGINE_Initiatives!$BX$5:$BX$76,MATCH($A170,_ENGINE_Initiatives!$BW$5:$BW$76,0))="0-90 days",'Company Profile'!$B$6,IF(INDEX(_ENGINE_Initiatives!$BX$5:$BX$76,MATCH($A170,_ENGINE_Initiatives!$BW$5:$BW$76,0))="3-6 months",EDATE('Company Profile'!$B$6,3),IF(INDEX(_ENGINE_Initiatives!$BX$5:$BX$76,MATCH($A170,_ENGINE_Initiatives!$BW$5:$BW$76,0))="6-12 months",EDATE('Company Profile'!$B$6,6),EDATE('Company Profile'!$B$6,12))))+(IF(INDEX(_ENGINE_Initiatives!$AB$5:$AB$76,MATCH($A170,_ENGINE_Initiatives!$BW$5:$BW$76,0))&lt;=2,6,IF(INDEX(_ENGINE_Initiatives!$AB$5:$AB$76,MATCH($A170,_ENGINE_Initiatives!$BW$5:$BW$76,0))=3,10,IF(INDEX(_ENGINE_Initiatives!$AB$5:$AB$76,MATCH($A170,_ENGINE_Initiatives!$BW$5:$BW$76,0))=4,16,24)))*7)),1,""),"")</f>
      </c>
      <c r="K170" s="55">
        <f>IFERROR(IF(AND(K$162&gt;=IF(INDEX(_ENGINE_Initiatives!$BX$5:$BX$76,MATCH($A170,_ENGINE_Initiatives!$BW$5:$BW$76,0))="0-90 days",'Company Profile'!$B$6,IF(INDEX(_ENGINE_Initiatives!$BX$5:$BX$76,MATCH($A170,_ENGINE_Initiatives!$BW$5:$BW$76,0))="3-6 months",EDATE('Company Profile'!$B$6,3),IF(INDEX(_ENGINE_Initiatives!$BX$5:$BX$76,MATCH($A170,_ENGINE_Initiatives!$BW$5:$BW$76,0))="6-12 months",EDATE('Company Profile'!$B$6,6),EDATE('Company Profile'!$B$6,12)))),K$162&lt;=IF(INDEX(_ENGINE_Initiatives!$BX$5:$BX$76,MATCH($A170,_ENGINE_Initiatives!$BW$5:$BW$76,0))="0-90 days",'Company Profile'!$B$6,IF(INDEX(_ENGINE_Initiatives!$BX$5:$BX$76,MATCH($A170,_ENGINE_Initiatives!$BW$5:$BW$76,0))="3-6 months",EDATE('Company Profile'!$B$6,3),IF(INDEX(_ENGINE_Initiatives!$BX$5:$BX$76,MATCH($A170,_ENGINE_Initiatives!$BW$5:$BW$76,0))="6-12 months",EDATE('Company Profile'!$B$6,6),EDATE('Company Profile'!$B$6,12))))+(IF(INDEX(_ENGINE_Initiatives!$AB$5:$AB$76,MATCH($A170,_ENGINE_Initiatives!$BW$5:$BW$76,0))&lt;=2,6,IF(INDEX(_ENGINE_Initiatives!$AB$5:$AB$76,MATCH($A170,_ENGINE_Initiatives!$BW$5:$BW$76,0))=3,10,IF(INDEX(_ENGINE_Initiatives!$AB$5:$AB$76,MATCH($A170,_ENGINE_Initiatives!$BW$5:$BW$76,0))=4,16,24)))*7)),1,""),"")</f>
      </c>
      <c r="L170" s="55">
        <f>IFERROR(IF(AND(L$162&gt;=IF(INDEX(_ENGINE_Initiatives!$BX$5:$BX$76,MATCH($A170,_ENGINE_Initiatives!$BW$5:$BW$76,0))="0-90 days",'Company Profile'!$B$6,IF(INDEX(_ENGINE_Initiatives!$BX$5:$BX$76,MATCH($A170,_ENGINE_Initiatives!$BW$5:$BW$76,0))="3-6 months",EDATE('Company Profile'!$B$6,3),IF(INDEX(_ENGINE_Initiatives!$BX$5:$BX$76,MATCH($A170,_ENGINE_Initiatives!$BW$5:$BW$76,0))="6-12 months",EDATE('Company Profile'!$B$6,6),EDATE('Company Profile'!$B$6,12)))),L$162&lt;=IF(INDEX(_ENGINE_Initiatives!$BX$5:$BX$76,MATCH($A170,_ENGINE_Initiatives!$BW$5:$BW$76,0))="0-90 days",'Company Profile'!$B$6,IF(INDEX(_ENGINE_Initiatives!$BX$5:$BX$76,MATCH($A170,_ENGINE_Initiatives!$BW$5:$BW$76,0))="3-6 months",EDATE('Company Profile'!$B$6,3),IF(INDEX(_ENGINE_Initiatives!$BX$5:$BX$76,MATCH($A170,_ENGINE_Initiatives!$BW$5:$BW$76,0))="6-12 months",EDATE('Company Profile'!$B$6,6),EDATE('Company Profile'!$B$6,12))))+(IF(INDEX(_ENGINE_Initiatives!$AB$5:$AB$76,MATCH($A170,_ENGINE_Initiatives!$BW$5:$BW$76,0))&lt;=2,6,IF(INDEX(_ENGINE_Initiatives!$AB$5:$AB$76,MATCH($A170,_ENGINE_Initiatives!$BW$5:$BW$76,0))=3,10,IF(INDEX(_ENGINE_Initiatives!$AB$5:$AB$76,MATCH($A170,_ENGINE_Initiatives!$BW$5:$BW$76,0))=4,16,24)))*7)),1,""),"")</f>
      </c>
      <c r="M170" s="55">
        <f>IFERROR(IF(AND(M$162&gt;=IF(INDEX(_ENGINE_Initiatives!$BX$5:$BX$76,MATCH($A170,_ENGINE_Initiatives!$BW$5:$BW$76,0))="0-90 days",'Company Profile'!$B$6,IF(INDEX(_ENGINE_Initiatives!$BX$5:$BX$76,MATCH($A170,_ENGINE_Initiatives!$BW$5:$BW$76,0))="3-6 months",EDATE('Company Profile'!$B$6,3),IF(INDEX(_ENGINE_Initiatives!$BX$5:$BX$76,MATCH($A170,_ENGINE_Initiatives!$BW$5:$BW$76,0))="6-12 months",EDATE('Company Profile'!$B$6,6),EDATE('Company Profile'!$B$6,12)))),M$162&lt;=IF(INDEX(_ENGINE_Initiatives!$BX$5:$BX$76,MATCH($A170,_ENGINE_Initiatives!$BW$5:$BW$76,0))="0-90 days",'Company Profile'!$B$6,IF(INDEX(_ENGINE_Initiatives!$BX$5:$BX$76,MATCH($A170,_ENGINE_Initiatives!$BW$5:$BW$76,0))="3-6 months",EDATE('Company Profile'!$B$6,3),IF(INDEX(_ENGINE_Initiatives!$BX$5:$BX$76,MATCH($A170,_ENGINE_Initiatives!$BW$5:$BW$76,0))="6-12 months",EDATE('Company Profile'!$B$6,6),EDATE('Company Profile'!$B$6,12))))+(IF(INDEX(_ENGINE_Initiatives!$AB$5:$AB$76,MATCH($A170,_ENGINE_Initiatives!$BW$5:$BW$76,0))&lt;=2,6,IF(INDEX(_ENGINE_Initiatives!$AB$5:$AB$76,MATCH($A170,_ENGINE_Initiatives!$BW$5:$BW$76,0))=3,10,IF(INDEX(_ENGINE_Initiatives!$AB$5:$AB$76,MATCH($A170,_ENGINE_Initiatives!$BW$5:$BW$76,0))=4,16,24)))*7)),1,""),"")</f>
      </c>
      <c r="N170" s="55">
        <f>IFERROR(IF(AND(N$162&gt;=IF(INDEX(_ENGINE_Initiatives!$BX$5:$BX$76,MATCH($A170,_ENGINE_Initiatives!$BW$5:$BW$76,0))="0-90 days",'Company Profile'!$B$6,IF(INDEX(_ENGINE_Initiatives!$BX$5:$BX$76,MATCH($A170,_ENGINE_Initiatives!$BW$5:$BW$76,0))="3-6 months",EDATE('Company Profile'!$B$6,3),IF(INDEX(_ENGINE_Initiatives!$BX$5:$BX$76,MATCH($A170,_ENGINE_Initiatives!$BW$5:$BW$76,0))="6-12 months",EDATE('Company Profile'!$B$6,6),EDATE('Company Profile'!$B$6,12)))),N$162&lt;=IF(INDEX(_ENGINE_Initiatives!$BX$5:$BX$76,MATCH($A170,_ENGINE_Initiatives!$BW$5:$BW$76,0))="0-90 days",'Company Profile'!$B$6,IF(INDEX(_ENGINE_Initiatives!$BX$5:$BX$76,MATCH($A170,_ENGINE_Initiatives!$BW$5:$BW$76,0))="3-6 months",EDATE('Company Profile'!$B$6,3),IF(INDEX(_ENGINE_Initiatives!$BX$5:$BX$76,MATCH($A170,_ENGINE_Initiatives!$BW$5:$BW$76,0))="6-12 months",EDATE('Company Profile'!$B$6,6),EDATE('Company Profile'!$B$6,12))))+(IF(INDEX(_ENGINE_Initiatives!$AB$5:$AB$76,MATCH($A170,_ENGINE_Initiatives!$BW$5:$BW$76,0))&lt;=2,6,IF(INDEX(_ENGINE_Initiatives!$AB$5:$AB$76,MATCH($A170,_ENGINE_Initiatives!$BW$5:$BW$76,0))=3,10,IF(INDEX(_ENGINE_Initiatives!$AB$5:$AB$76,MATCH($A170,_ENGINE_Initiatives!$BW$5:$BW$76,0))=4,16,24)))*7)),1,""),"")</f>
      </c>
      <c r="O170" s="55">
        <f>IFERROR(IF(AND(O$162&gt;=IF(INDEX(_ENGINE_Initiatives!$BX$5:$BX$76,MATCH($A170,_ENGINE_Initiatives!$BW$5:$BW$76,0))="0-90 days",'Company Profile'!$B$6,IF(INDEX(_ENGINE_Initiatives!$BX$5:$BX$76,MATCH($A170,_ENGINE_Initiatives!$BW$5:$BW$76,0))="3-6 months",EDATE('Company Profile'!$B$6,3),IF(INDEX(_ENGINE_Initiatives!$BX$5:$BX$76,MATCH($A170,_ENGINE_Initiatives!$BW$5:$BW$76,0))="6-12 months",EDATE('Company Profile'!$B$6,6),EDATE('Company Profile'!$B$6,12)))),O$162&lt;=IF(INDEX(_ENGINE_Initiatives!$BX$5:$BX$76,MATCH($A170,_ENGINE_Initiatives!$BW$5:$BW$76,0))="0-90 days",'Company Profile'!$B$6,IF(INDEX(_ENGINE_Initiatives!$BX$5:$BX$76,MATCH($A170,_ENGINE_Initiatives!$BW$5:$BW$76,0))="3-6 months",EDATE('Company Profile'!$B$6,3),IF(INDEX(_ENGINE_Initiatives!$BX$5:$BX$76,MATCH($A170,_ENGINE_Initiatives!$BW$5:$BW$76,0))="6-12 months",EDATE('Company Profile'!$B$6,6),EDATE('Company Profile'!$B$6,12))))+(IF(INDEX(_ENGINE_Initiatives!$AB$5:$AB$76,MATCH($A170,_ENGINE_Initiatives!$BW$5:$BW$76,0))&lt;=2,6,IF(INDEX(_ENGINE_Initiatives!$AB$5:$AB$76,MATCH($A170,_ENGINE_Initiatives!$BW$5:$BW$76,0))=3,10,IF(INDEX(_ENGINE_Initiatives!$AB$5:$AB$76,MATCH($A170,_ENGINE_Initiatives!$BW$5:$BW$76,0))=4,16,24)))*7)),1,""),"")</f>
      </c>
      <c r="P170" s="55">
        <f>IFERROR(IF(AND(P$162&gt;=IF(INDEX(_ENGINE_Initiatives!$BX$5:$BX$76,MATCH($A170,_ENGINE_Initiatives!$BW$5:$BW$76,0))="0-90 days",'Company Profile'!$B$6,IF(INDEX(_ENGINE_Initiatives!$BX$5:$BX$76,MATCH($A170,_ENGINE_Initiatives!$BW$5:$BW$76,0))="3-6 months",EDATE('Company Profile'!$B$6,3),IF(INDEX(_ENGINE_Initiatives!$BX$5:$BX$76,MATCH($A170,_ENGINE_Initiatives!$BW$5:$BW$76,0))="6-12 months",EDATE('Company Profile'!$B$6,6),EDATE('Company Profile'!$B$6,12)))),P$162&lt;=IF(INDEX(_ENGINE_Initiatives!$BX$5:$BX$76,MATCH($A170,_ENGINE_Initiatives!$BW$5:$BW$76,0))="0-90 days",'Company Profile'!$B$6,IF(INDEX(_ENGINE_Initiatives!$BX$5:$BX$76,MATCH($A170,_ENGINE_Initiatives!$BW$5:$BW$76,0))="3-6 months",EDATE('Company Profile'!$B$6,3),IF(INDEX(_ENGINE_Initiatives!$BX$5:$BX$76,MATCH($A170,_ENGINE_Initiatives!$BW$5:$BW$76,0))="6-12 months",EDATE('Company Profile'!$B$6,6),EDATE('Company Profile'!$B$6,12))))+(IF(INDEX(_ENGINE_Initiatives!$AB$5:$AB$76,MATCH($A170,_ENGINE_Initiatives!$BW$5:$BW$76,0))&lt;=2,6,IF(INDEX(_ENGINE_Initiatives!$AB$5:$AB$76,MATCH($A170,_ENGINE_Initiatives!$BW$5:$BW$76,0))=3,10,IF(INDEX(_ENGINE_Initiatives!$AB$5:$AB$76,MATCH($A170,_ENGINE_Initiatives!$BW$5:$BW$76,0))=4,16,24)))*7)),1,""),"")</f>
      </c>
      <c r="Q170" s="55">
        <f>IFERROR(IF(AND(Q$162&gt;=IF(INDEX(_ENGINE_Initiatives!$BX$5:$BX$76,MATCH($A170,_ENGINE_Initiatives!$BW$5:$BW$76,0))="0-90 days",'Company Profile'!$B$6,IF(INDEX(_ENGINE_Initiatives!$BX$5:$BX$76,MATCH($A170,_ENGINE_Initiatives!$BW$5:$BW$76,0))="3-6 months",EDATE('Company Profile'!$B$6,3),IF(INDEX(_ENGINE_Initiatives!$BX$5:$BX$76,MATCH($A170,_ENGINE_Initiatives!$BW$5:$BW$76,0))="6-12 months",EDATE('Company Profile'!$B$6,6),EDATE('Company Profile'!$B$6,12)))),Q$162&lt;=IF(INDEX(_ENGINE_Initiatives!$BX$5:$BX$76,MATCH($A170,_ENGINE_Initiatives!$BW$5:$BW$76,0))="0-90 days",'Company Profile'!$B$6,IF(INDEX(_ENGINE_Initiatives!$BX$5:$BX$76,MATCH($A170,_ENGINE_Initiatives!$BW$5:$BW$76,0))="3-6 months",EDATE('Company Profile'!$B$6,3),IF(INDEX(_ENGINE_Initiatives!$BX$5:$BX$76,MATCH($A170,_ENGINE_Initiatives!$BW$5:$BW$76,0))="6-12 months",EDATE('Company Profile'!$B$6,6),EDATE('Company Profile'!$B$6,12))))+(IF(INDEX(_ENGINE_Initiatives!$AB$5:$AB$76,MATCH($A170,_ENGINE_Initiatives!$BW$5:$BW$76,0))&lt;=2,6,IF(INDEX(_ENGINE_Initiatives!$AB$5:$AB$76,MATCH($A170,_ENGINE_Initiatives!$BW$5:$BW$76,0))=3,10,IF(INDEX(_ENGINE_Initiatives!$AB$5:$AB$76,MATCH($A170,_ENGINE_Initiatives!$BW$5:$BW$76,0))=4,16,24)))*7)),1,""),"")</f>
      </c>
      <c r="R170" s="55">
        <f>IFERROR(IF(AND(R$162&gt;=IF(INDEX(_ENGINE_Initiatives!$BX$5:$BX$76,MATCH($A170,_ENGINE_Initiatives!$BW$5:$BW$76,0))="0-90 days",'Company Profile'!$B$6,IF(INDEX(_ENGINE_Initiatives!$BX$5:$BX$76,MATCH($A170,_ENGINE_Initiatives!$BW$5:$BW$76,0))="3-6 months",EDATE('Company Profile'!$B$6,3),IF(INDEX(_ENGINE_Initiatives!$BX$5:$BX$76,MATCH($A170,_ENGINE_Initiatives!$BW$5:$BW$76,0))="6-12 months",EDATE('Company Profile'!$B$6,6),EDATE('Company Profile'!$B$6,12)))),R$162&lt;=IF(INDEX(_ENGINE_Initiatives!$BX$5:$BX$76,MATCH($A170,_ENGINE_Initiatives!$BW$5:$BW$76,0))="0-90 days",'Company Profile'!$B$6,IF(INDEX(_ENGINE_Initiatives!$BX$5:$BX$76,MATCH($A170,_ENGINE_Initiatives!$BW$5:$BW$76,0))="3-6 months",EDATE('Company Profile'!$B$6,3),IF(INDEX(_ENGINE_Initiatives!$BX$5:$BX$76,MATCH($A170,_ENGINE_Initiatives!$BW$5:$BW$76,0))="6-12 months",EDATE('Company Profile'!$B$6,6),EDATE('Company Profile'!$B$6,12))))+(IF(INDEX(_ENGINE_Initiatives!$AB$5:$AB$76,MATCH($A170,_ENGINE_Initiatives!$BW$5:$BW$76,0))&lt;=2,6,IF(INDEX(_ENGINE_Initiatives!$AB$5:$AB$76,MATCH($A170,_ENGINE_Initiatives!$BW$5:$BW$76,0))=3,10,IF(INDEX(_ENGINE_Initiatives!$AB$5:$AB$76,MATCH($A170,_ENGINE_Initiatives!$BW$5:$BW$76,0))=4,16,24)))*7)),1,""),"")</f>
      </c>
      <c r="S170" s="55">
        <f>IFERROR(IF(AND(S$162&gt;=IF(INDEX(_ENGINE_Initiatives!$BX$5:$BX$76,MATCH($A170,_ENGINE_Initiatives!$BW$5:$BW$76,0))="0-90 days",'Company Profile'!$B$6,IF(INDEX(_ENGINE_Initiatives!$BX$5:$BX$76,MATCH($A170,_ENGINE_Initiatives!$BW$5:$BW$76,0))="3-6 months",EDATE('Company Profile'!$B$6,3),IF(INDEX(_ENGINE_Initiatives!$BX$5:$BX$76,MATCH($A170,_ENGINE_Initiatives!$BW$5:$BW$76,0))="6-12 months",EDATE('Company Profile'!$B$6,6),EDATE('Company Profile'!$B$6,12)))),S$162&lt;=IF(INDEX(_ENGINE_Initiatives!$BX$5:$BX$76,MATCH($A170,_ENGINE_Initiatives!$BW$5:$BW$76,0))="0-90 days",'Company Profile'!$B$6,IF(INDEX(_ENGINE_Initiatives!$BX$5:$BX$76,MATCH($A170,_ENGINE_Initiatives!$BW$5:$BW$76,0))="3-6 months",EDATE('Company Profile'!$B$6,3),IF(INDEX(_ENGINE_Initiatives!$BX$5:$BX$76,MATCH($A170,_ENGINE_Initiatives!$BW$5:$BW$76,0))="6-12 months",EDATE('Company Profile'!$B$6,6),EDATE('Company Profile'!$B$6,12))))+(IF(INDEX(_ENGINE_Initiatives!$AB$5:$AB$76,MATCH($A170,_ENGINE_Initiatives!$BW$5:$BW$76,0))&lt;=2,6,IF(INDEX(_ENGINE_Initiatives!$AB$5:$AB$76,MATCH($A170,_ENGINE_Initiatives!$BW$5:$BW$76,0))=3,10,IF(INDEX(_ENGINE_Initiatives!$AB$5:$AB$76,MATCH($A170,_ENGINE_Initiatives!$BW$5:$BW$76,0))=4,16,24)))*7)),1,""),"")</f>
      </c>
      <c r="T170" s="55">
        <f>IFERROR(IF(AND(T$162&gt;=IF(INDEX(_ENGINE_Initiatives!$BX$5:$BX$76,MATCH($A170,_ENGINE_Initiatives!$BW$5:$BW$76,0))="0-90 days",'Company Profile'!$B$6,IF(INDEX(_ENGINE_Initiatives!$BX$5:$BX$76,MATCH($A170,_ENGINE_Initiatives!$BW$5:$BW$76,0))="3-6 months",EDATE('Company Profile'!$B$6,3),IF(INDEX(_ENGINE_Initiatives!$BX$5:$BX$76,MATCH($A170,_ENGINE_Initiatives!$BW$5:$BW$76,0))="6-12 months",EDATE('Company Profile'!$B$6,6),EDATE('Company Profile'!$B$6,12)))),T$162&lt;=IF(INDEX(_ENGINE_Initiatives!$BX$5:$BX$76,MATCH($A170,_ENGINE_Initiatives!$BW$5:$BW$76,0))="0-90 days",'Company Profile'!$B$6,IF(INDEX(_ENGINE_Initiatives!$BX$5:$BX$76,MATCH($A170,_ENGINE_Initiatives!$BW$5:$BW$76,0))="3-6 months",EDATE('Company Profile'!$B$6,3),IF(INDEX(_ENGINE_Initiatives!$BX$5:$BX$76,MATCH($A170,_ENGINE_Initiatives!$BW$5:$BW$76,0))="6-12 months",EDATE('Company Profile'!$B$6,6),EDATE('Company Profile'!$B$6,12))))+(IF(INDEX(_ENGINE_Initiatives!$AB$5:$AB$76,MATCH($A170,_ENGINE_Initiatives!$BW$5:$BW$76,0))&lt;=2,6,IF(INDEX(_ENGINE_Initiatives!$AB$5:$AB$76,MATCH($A170,_ENGINE_Initiatives!$BW$5:$BW$76,0))=3,10,IF(INDEX(_ENGINE_Initiatives!$AB$5:$AB$76,MATCH($A170,_ENGINE_Initiatives!$BW$5:$BW$76,0))=4,16,24)))*7)),1,""),"")</f>
      </c>
      <c r="U170" s="30" t="n"/>
      <c r="V170" s="30" t="n"/>
    </row>
    <row r="171" ht="15" customHeight="1" s="209">
      <c r="A171" s="51" t="inlineStr">
        <is>
          <t>9</t>
        </is>
      </c>
      <c r="B171" s="51">
        <f>IFERROR(INDEX(_ENGINE_Initiatives!$F$5:$F$76,MATCH($A171,_ENGINE_Initiatives!$BW$5:$BW$76,0)),"")</f>
      </c>
      <c r="C171" s="55">
        <f>IFERROR(IF(AND(C$162&gt;=IF(INDEX(_ENGINE_Initiatives!$BX$5:$BX$76,MATCH($A171,_ENGINE_Initiatives!$BW$5:$BW$76,0))="0-90 days",'Company Profile'!$B$6,IF(INDEX(_ENGINE_Initiatives!$BX$5:$BX$76,MATCH($A171,_ENGINE_Initiatives!$BW$5:$BW$76,0))="3-6 months",EDATE('Company Profile'!$B$6,3),IF(INDEX(_ENGINE_Initiatives!$BX$5:$BX$76,MATCH($A171,_ENGINE_Initiatives!$BW$5:$BW$76,0))="6-12 months",EDATE('Company Profile'!$B$6,6),EDATE('Company Profile'!$B$6,12)))),C$162&lt;=IF(INDEX(_ENGINE_Initiatives!$BX$5:$BX$76,MATCH($A171,_ENGINE_Initiatives!$BW$5:$BW$76,0))="0-90 days",'Company Profile'!$B$6,IF(INDEX(_ENGINE_Initiatives!$BX$5:$BX$76,MATCH($A171,_ENGINE_Initiatives!$BW$5:$BW$76,0))="3-6 months",EDATE('Company Profile'!$B$6,3),IF(INDEX(_ENGINE_Initiatives!$BX$5:$BX$76,MATCH($A171,_ENGINE_Initiatives!$BW$5:$BW$76,0))="6-12 months",EDATE('Company Profile'!$B$6,6),EDATE('Company Profile'!$B$6,12))))+(IF(INDEX(_ENGINE_Initiatives!$AB$5:$AB$76,MATCH($A171,_ENGINE_Initiatives!$BW$5:$BW$76,0))&lt;=2,6,IF(INDEX(_ENGINE_Initiatives!$AB$5:$AB$76,MATCH($A171,_ENGINE_Initiatives!$BW$5:$BW$76,0))=3,10,IF(INDEX(_ENGINE_Initiatives!$AB$5:$AB$76,MATCH($A171,_ENGINE_Initiatives!$BW$5:$BW$76,0))=4,16,24)))*7)),1,""),"")</f>
      </c>
      <c r="D171" s="55">
        <f>IFERROR(IF(AND(D$162&gt;=IF(INDEX(_ENGINE_Initiatives!$BX$5:$BX$76,MATCH($A171,_ENGINE_Initiatives!$BW$5:$BW$76,0))="0-90 days",'Company Profile'!$B$6,IF(INDEX(_ENGINE_Initiatives!$BX$5:$BX$76,MATCH($A171,_ENGINE_Initiatives!$BW$5:$BW$76,0))="3-6 months",EDATE('Company Profile'!$B$6,3),IF(INDEX(_ENGINE_Initiatives!$BX$5:$BX$76,MATCH($A171,_ENGINE_Initiatives!$BW$5:$BW$76,0))="6-12 months",EDATE('Company Profile'!$B$6,6),EDATE('Company Profile'!$B$6,12)))),D$162&lt;=IF(INDEX(_ENGINE_Initiatives!$BX$5:$BX$76,MATCH($A171,_ENGINE_Initiatives!$BW$5:$BW$76,0))="0-90 days",'Company Profile'!$B$6,IF(INDEX(_ENGINE_Initiatives!$BX$5:$BX$76,MATCH($A171,_ENGINE_Initiatives!$BW$5:$BW$76,0))="3-6 months",EDATE('Company Profile'!$B$6,3),IF(INDEX(_ENGINE_Initiatives!$BX$5:$BX$76,MATCH($A171,_ENGINE_Initiatives!$BW$5:$BW$76,0))="6-12 months",EDATE('Company Profile'!$B$6,6),EDATE('Company Profile'!$B$6,12))))+(IF(INDEX(_ENGINE_Initiatives!$AB$5:$AB$76,MATCH($A171,_ENGINE_Initiatives!$BW$5:$BW$76,0))&lt;=2,6,IF(INDEX(_ENGINE_Initiatives!$AB$5:$AB$76,MATCH($A171,_ENGINE_Initiatives!$BW$5:$BW$76,0))=3,10,IF(INDEX(_ENGINE_Initiatives!$AB$5:$AB$76,MATCH($A171,_ENGINE_Initiatives!$BW$5:$BW$76,0))=4,16,24)))*7)),1,""),"")</f>
      </c>
      <c r="E171" s="55">
        <f>IFERROR(IF(AND(E$162&gt;=IF(INDEX(_ENGINE_Initiatives!$BX$5:$BX$76,MATCH($A171,_ENGINE_Initiatives!$BW$5:$BW$76,0))="0-90 days",'Company Profile'!$B$6,IF(INDEX(_ENGINE_Initiatives!$BX$5:$BX$76,MATCH($A171,_ENGINE_Initiatives!$BW$5:$BW$76,0))="3-6 months",EDATE('Company Profile'!$B$6,3),IF(INDEX(_ENGINE_Initiatives!$BX$5:$BX$76,MATCH($A171,_ENGINE_Initiatives!$BW$5:$BW$76,0))="6-12 months",EDATE('Company Profile'!$B$6,6),EDATE('Company Profile'!$B$6,12)))),E$162&lt;=IF(INDEX(_ENGINE_Initiatives!$BX$5:$BX$76,MATCH($A171,_ENGINE_Initiatives!$BW$5:$BW$76,0))="0-90 days",'Company Profile'!$B$6,IF(INDEX(_ENGINE_Initiatives!$BX$5:$BX$76,MATCH($A171,_ENGINE_Initiatives!$BW$5:$BW$76,0))="3-6 months",EDATE('Company Profile'!$B$6,3),IF(INDEX(_ENGINE_Initiatives!$BX$5:$BX$76,MATCH($A171,_ENGINE_Initiatives!$BW$5:$BW$76,0))="6-12 months",EDATE('Company Profile'!$B$6,6),EDATE('Company Profile'!$B$6,12))))+(IF(INDEX(_ENGINE_Initiatives!$AB$5:$AB$76,MATCH($A171,_ENGINE_Initiatives!$BW$5:$BW$76,0))&lt;=2,6,IF(INDEX(_ENGINE_Initiatives!$AB$5:$AB$76,MATCH($A171,_ENGINE_Initiatives!$BW$5:$BW$76,0))=3,10,IF(INDEX(_ENGINE_Initiatives!$AB$5:$AB$76,MATCH($A171,_ENGINE_Initiatives!$BW$5:$BW$76,0))=4,16,24)))*7)),1,""),"")</f>
      </c>
      <c r="F171" s="55">
        <f>IFERROR(IF(AND(F$162&gt;=IF(INDEX(_ENGINE_Initiatives!$BX$5:$BX$76,MATCH($A171,_ENGINE_Initiatives!$BW$5:$BW$76,0))="0-90 days",'Company Profile'!$B$6,IF(INDEX(_ENGINE_Initiatives!$BX$5:$BX$76,MATCH($A171,_ENGINE_Initiatives!$BW$5:$BW$76,0))="3-6 months",EDATE('Company Profile'!$B$6,3),IF(INDEX(_ENGINE_Initiatives!$BX$5:$BX$76,MATCH($A171,_ENGINE_Initiatives!$BW$5:$BW$76,0))="6-12 months",EDATE('Company Profile'!$B$6,6),EDATE('Company Profile'!$B$6,12)))),F$162&lt;=IF(INDEX(_ENGINE_Initiatives!$BX$5:$BX$76,MATCH($A171,_ENGINE_Initiatives!$BW$5:$BW$76,0))="0-90 days",'Company Profile'!$B$6,IF(INDEX(_ENGINE_Initiatives!$BX$5:$BX$76,MATCH($A171,_ENGINE_Initiatives!$BW$5:$BW$76,0))="3-6 months",EDATE('Company Profile'!$B$6,3),IF(INDEX(_ENGINE_Initiatives!$BX$5:$BX$76,MATCH($A171,_ENGINE_Initiatives!$BW$5:$BW$76,0))="6-12 months",EDATE('Company Profile'!$B$6,6),EDATE('Company Profile'!$B$6,12))))+(IF(INDEX(_ENGINE_Initiatives!$AB$5:$AB$76,MATCH($A171,_ENGINE_Initiatives!$BW$5:$BW$76,0))&lt;=2,6,IF(INDEX(_ENGINE_Initiatives!$AB$5:$AB$76,MATCH($A171,_ENGINE_Initiatives!$BW$5:$BW$76,0))=3,10,IF(INDEX(_ENGINE_Initiatives!$AB$5:$AB$76,MATCH($A171,_ENGINE_Initiatives!$BW$5:$BW$76,0))=4,16,24)))*7)),1,""),"")</f>
      </c>
      <c r="G171" s="55">
        <f>IFERROR(IF(AND(G$162&gt;=IF(INDEX(_ENGINE_Initiatives!$BX$5:$BX$76,MATCH($A171,_ENGINE_Initiatives!$BW$5:$BW$76,0))="0-90 days",'Company Profile'!$B$6,IF(INDEX(_ENGINE_Initiatives!$BX$5:$BX$76,MATCH($A171,_ENGINE_Initiatives!$BW$5:$BW$76,0))="3-6 months",EDATE('Company Profile'!$B$6,3),IF(INDEX(_ENGINE_Initiatives!$BX$5:$BX$76,MATCH($A171,_ENGINE_Initiatives!$BW$5:$BW$76,0))="6-12 months",EDATE('Company Profile'!$B$6,6),EDATE('Company Profile'!$B$6,12)))),G$162&lt;=IF(INDEX(_ENGINE_Initiatives!$BX$5:$BX$76,MATCH($A171,_ENGINE_Initiatives!$BW$5:$BW$76,0))="0-90 days",'Company Profile'!$B$6,IF(INDEX(_ENGINE_Initiatives!$BX$5:$BX$76,MATCH($A171,_ENGINE_Initiatives!$BW$5:$BW$76,0))="3-6 months",EDATE('Company Profile'!$B$6,3),IF(INDEX(_ENGINE_Initiatives!$BX$5:$BX$76,MATCH($A171,_ENGINE_Initiatives!$BW$5:$BW$76,0))="6-12 months",EDATE('Company Profile'!$B$6,6),EDATE('Company Profile'!$B$6,12))))+(IF(INDEX(_ENGINE_Initiatives!$AB$5:$AB$76,MATCH($A171,_ENGINE_Initiatives!$BW$5:$BW$76,0))&lt;=2,6,IF(INDEX(_ENGINE_Initiatives!$AB$5:$AB$76,MATCH($A171,_ENGINE_Initiatives!$BW$5:$BW$76,0))=3,10,IF(INDEX(_ENGINE_Initiatives!$AB$5:$AB$76,MATCH($A171,_ENGINE_Initiatives!$BW$5:$BW$76,0))=4,16,24)))*7)),1,""),"")</f>
      </c>
      <c r="H171" s="55">
        <f>IFERROR(IF(AND(H$162&gt;=IF(INDEX(_ENGINE_Initiatives!$BX$5:$BX$76,MATCH($A171,_ENGINE_Initiatives!$BW$5:$BW$76,0))="0-90 days",'Company Profile'!$B$6,IF(INDEX(_ENGINE_Initiatives!$BX$5:$BX$76,MATCH($A171,_ENGINE_Initiatives!$BW$5:$BW$76,0))="3-6 months",EDATE('Company Profile'!$B$6,3),IF(INDEX(_ENGINE_Initiatives!$BX$5:$BX$76,MATCH($A171,_ENGINE_Initiatives!$BW$5:$BW$76,0))="6-12 months",EDATE('Company Profile'!$B$6,6),EDATE('Company Profile'!$B$6,12)))),H$162&lt;=IF(INDEX(_ENGINE_Initiatives!$BX$5:$BX$76,MATCH($A171,_ENGINE_Initiatives!$BW$5:$BW$76,0))="0-90 days",'Company Profile'!$B$6,IF(INDEX(_ENGINE_Initiatives!$BX$5:$BX$76,MATCH($A171,_ENGINE_Initiatives!$BW$5:$BW$76,0))="3-6 months",EDATE('Company Profile'!$B$6,3),IF(INDEX(_ENGINE_Initiatives!$BX$5:$BX$76,MATCH($A171,_ENGINE_Initiatives!$BW$5:$BW$76,0))="6-12 months",EDATE('Company Profile'!$B$6,6),EDATE('Company Profile'!$B$6,12))))+(IF(INDEX(_ENGINE_Initiatives!$AB$5:$AB$76,MATCH($A171,_ENGINE_Initiatives!$BW$5:$BW$76,0))&lt;=2,6,IF(INDEX(_ENGINE_Initiatives!$AB$5:$AB$76,MATCH($A171,_ENGINE_Initiatives!$BW$5:$BW$76,0))=3,10,IF(INDEX(_ENGINE_Initiatives!$AB$5:$AB$76,MATCH($A171,_ENGINE_Initiatives!$BW$5:$BW$76,0))=4,16,24)))*7)),1,""),"")</f>
      </c>
      <c r="I171" s="55">
        <f>IFERROR(IF(AND(I$162&gt;=IF(INDEX(_ENGINE_Initiatives!$BX$5:$BX$76,MATCH($A171,_ENGINE_Initiatives!$BW$5:$BW$76,0))="0-90 days",'Company Profile'!$B$6,IF(INDEX(_ENGINE_Initiatives!$BX$5:$BX$76,MATCH($A171,_ENGINE_Initiatives!$BW$5:$BW$76,0))="3-6 months",EDATE('Company Profile'!$B$6,3),IF(INDEX(_ENGINE_Initiatives!$BX$5:$BX$76,MATCH($A171,_ENGINE_Initiatives!$BW$5:$BW$76,0))="6-12 months",EDATE('Company Profile'!$B$6,6),EDATE('Company Profile'!$B$6,12)))),I$162&lt;=IF(INDEX(_ENGINE_Initiatives!$BX$5:$BX$76,MATCH($A171,_ENGINE_Initiatives!$BW$5:$BW$76,0))="0-90 days",'Company Profile'!$B$6,IF(INDEX(_ENGINE_Initiatives!$BX$5:$BX$76,MATCH($A171,_ENGINE_Initiatives!$BW$5:$BW$76,0))="3-6 months",EDATE('Company Profile'!$B$6,3),IF(INDEX(_ENGINE_Initiatives!$BX$5:$BX$76,MATCH($A171,_ENGINE_Initiatives!$BW$5:$BW$76,0))="6-12 months",EDATE('Company Profile'!$B$6,6),EDATE('Company Profile'!$B$6,12))))+(IF(INDEX(_ENGINE_Initiatives!$AB$5:$AB$76,MATCH($A171,_ENGINE_Initiatives!$BW$5:$BW$76,0))&lt;=2,6,IF(INDEX(_ENGINE_Initiatives!$AB$5:$AB$76,MATCH($A171,_ENGINE_Initiatives!$BW$5:$BW$76,0))=3,10,IF(INDEX(_ENGINE_Initiatives!$AB$5:$AB$76,MATCH($A171,_ENGINE_Initiatives!$BW$5:$BW$76,0))=4,16,24)))*7)),1,""),"")</f>
      </c>
      <c r="J171" s="55">
        <f>IFERROR(IF(AND(J$162&gt;=IF(INDEX(_ENGINE_Initiatives!$BX$5:$BX$76,MATCH($A171,_ENGINE_Initiatives!$BW$5:$BW$76,0))="0-90 days",'Company Profile'!$B$6,IF(INDEX(_ENGINE_Initiatives!$BX$5:$BX$76,MATCH($A171,_ENGINE_Initiatives!$BW$5:$BW$76,0))="3-6 months",EDATE('Company Profile'!$B$6,3),IF(INDEX(_ENGINE_Initiatives!$BX$5:$BX$76,MATCH($A171,_ENGINE_Initiatives!$BW$5:$BW$76,0))="6-12 months",EDATE('Company Profile'!$B$6,6),EDATE('Company Profile'!$B$6,12)))),J$162&lt;=IF(INDEX(_ENGINE_Initiatives!$BX$5:$BX$76,MATCH($A171,_ENGINE_Initiatives!$BW$5:$BW$76,0))="0-90 days",'Company Profile'!$B$6,IF(INDEX(_ENGINE_Initiatives!$BX$5:$BX$76,MATCH($A171,_ENGINE_Initiatives!$BW$5:$BW$76,0))="3-6 months",EDATE('Company Profile'!$B$6,3),IF(INDEX(_ENGINE_Initiatives!$BX$5:$BX$76,MATCH($A171,_ENGINE_Initiatives!$BW$5:$BW$76,0))="6-12 months",EDATE('Company Profile'!$B$6,6),EDATE('Company Profile'!$B$6,12))))+(IF(INDEX(_ENGINE_Initiatives!$AB$5:$AB$76,MATCH($A171,_ENGINE_Initiatives!$BW$5:$BW$76,0))&lt;=2,6,IF(INDEX(_ENGINE_Initiatives!$AB$5:$AB$76,MATCH($A171,_ENGINE_Initiatives!$BW$5:$BW$76,0))=3,10,IF(INDEX(_ENGINE_Initiatives!$AB$5:$AB$76,MATCH($A171,_ENGINE_Initiatives!$BW$5:$BW$76,0))=4,16,24)))*7)),1,""),"")</f>
      </c>
      <c r="K171" s="55">
        <f>IFERROR(IF(AND(K$162&gt;=IF(INDEX(_ENGINE_Initiatives!$BX$5:$BX$76,MATCH($A171,_ENGINE_Initiatives!$BW$5:$BW$76,0))="0-90 days",'Company Profile'!$B$6,IF(INDEX(_ENGINE_Initiatives!$BX$5:$BX$76,MATCH($A171,_ENGINE_Initiatives!$BW$5:$BW$76,0))="3-6 months",EDATE('Company Profile'!$B$6,3),IF(INDEX(_ENGINE_Initiatives!$BX$5:$BX$76,MATCH($A171,_ENGINE_Initiatives!$BW$5:$BW$76,0))="6-12 months",EDATE('Company Profile'!$B$6,6),EDATE('Company Profile'!$B$6,12)))),K$162&lt;=IF(INDEX(_ENGINE_Initiatives!$BX$5:$BX$76,MATCH($A171,_ENGINE_Initiatives!$BW$5:$BW$76,0))="0-90 days",'Company Profile'!$B$6,IF(INDEX(_ENGINE_Initiatives!$BX$5:$BX$76,MATCH($A171,_ENGINE_Initiatives!$BW$5:$BW$76,0))="3-6 months",EDATE('Company Profile'!$B$6,3),IF(INDEX(_ENGINE_Initiatives!$BX$5:$BX$76,MATCH($A171,_ENGINE_Initiatives!$BW$5:$BW$76,0))="6-12 months",EDATE('Company Profile'!$B$6,6),EDATE('Company Profile'!$B$6,12))))+(IF(INDEX(_ENGINE_Initiatives!$AB$5:$AB$76,MATCH($A171,_ENGINE_Initiatives!$BW$5:$BW$76,0))&lt;=2,6,IF(INDEX(_ENGINE_Initiatives!$AB$5:$AB$76,MATCH($A171,_ENGINE_Initiatives!$BW$5:$BW$76,0))=3,10,IF(INDEX(_ENGINE_Initiatives!$AB$5:$AB$76,MATCH($A171,_ENGINE_Initiatives!$BW$5:$BW$76,0))=4,16,24)))*7)),1,""),"")</f>
      </c>
      <c r="L171" s="55">
        <f>IFERROR(IF(AND(L$162&gt;=IF(INDEX(_ENGINE_Initiatives!$BX$5:$BX$76,MATCH($A171,_ENGINE_Initiatives!$BW$5:$BW$76,0))="0-90 days",'Company Profile'!$B$6,IF(INDEX(_ENGINE_Initiatives!$BX$5:$BX$76,MATCH($A171,_ENGINE_Initiatives!$BW$5:$BW$76,0))="3-6 months",EDATE('Company Profile'!$B$6,3),IF(INDEX(_ENGINE_Initiatives!$BX$5:$BX$76,MATCH($A171,_ENGINE_Initiatives!$BW$5:$BW$76,0))="6-12 months",EDATE('Company Profile'!$B$6,6),EDATE('Company Profile'!$B$6,12)))),L$162&lt;=IF(INDEX(_ENGINE_Initiatives!$BX$5:$BX$76,MATCH($A171,_ENGINE_Initiatives!$BW$5:$BW$76,0))="0-90 days",'Company Profile'!$B$6,IF(INDEX(_ENGINE_Initiatives!$BX$5:$BX$76,MATCH($A171,_ENGINE_Initiatives!$BW$5:$BW$76,0))="3-6 months",EDATE('Company Profile'!$B$6,3),IF(INDEX(_ENGINE_Initiatives!$BX$5:$BX$76,MATCH($A171,_ENGINE_Initiatives!$BW$5:$BW$76,0))="6-12 months",EDATE('Company Profile'!$B$6,6),EDATE('Company Profile'!$B$6,12))))+(IF(INDEX(_ENGINE_Initiatives!$AB$5:$AB$76,MATCH($A171,_ENGINE_Initiatives!$BW$5:$BW$76,0))&lt;=2,6,IF(INDEX(_ENGINE_Initiatives!$AB$5:$AB$76,MATCH($A171,_ENGINE_Initiatives!$BW$5:$BW$76,0))=3,10,IF(INDEX(_ENGINE_Initiatives!$AB$5:$AB$76,MATCH($A171,_ENGINE_Initiatives!$BW$5:$BW$76,0))=4,16,24)))*7)),1,""),"")</f>
      </c>
      <c r="M171" s="55">
        <f>IFERROR(IF(AND(M$162&gt;=IF(INDEX(_ENGINE_Initiatives!$BX$5:$BX$76,MATCH($A171,_ENGINE_Initiatives!$BW$5:$BW$76,0))="0-90 days",'Company Profile'!$B$6,IF(INDEX(_ENGINE_Initiatives!$BX$5:$BX$76,MATCH($A171,_ENGINE_Initiatives!$BW$5:$BW$76,0))="3-6 months",EDATE('Company Profile'!$B$6,3),IF(INDEX(_ENGINE_Initiatives!$BX$5:$BX$76,MATCH($A171,_ENGINE_Initiatives!$BW$5:$BW$76,0))="6-12 months",EDATE('Company Profile'!$B$6,6),EDATE('Company Profile'!$B$6,12)))),M$162&lt;=IF(INDEX(_ENGINE_Initiatives!$BX$5:$BX$76,MATCH($A171,_ENGINE_Initiatives!$BW$5:$BW$76,0))="0-90 days",'Company Profile'!$B$6,IF(INDEX(_ENGINE_Initiatives!$BX$5:$BX$76,MATCH($A171,_ENGINE_Initiatives!$BW$5:$BW$76,0))="3-6 months",EDATE('Company Profile'!$B$6,3),IF(INDEX(_ENGINE_Initiatives!$BX$5:$BX$76,MATCH($A171,_ENGINE_Initiatives!$BW$5:$BW$76,0))="6-12 months",EDATE('Company Profile'!$B$6,6),EDATE('Company Profile'!$B$6,12))))+(IF(INDEX(_ENGINE_Initiatives!$AB$5:$AB$76,MATCH($A171,_ENGINE_Initiatives!$BW$5:$BW$76,0))&lt;=2,6,IF(INDEX(_ENGINE_Initiatives!$AB$5:$AB$76,MATCH($A171,_ENGINE_Initiatives!$BW$5:$BW$76,0))=3,10,IF(INDEX(_ENGINE_Initiatives!$AB$5:$AB$76,MATCH($A171,_ENGINE_Initiatives!$BW$5:$BW$76,0))=4,16,24)))*7)),1,""),"")</f>
      </c>
      <c r="N171" s="55">
        <f>IFERROR(IF(AND(N$162&gt;=IF(INDEX(_ENGINE_Initiatives!$BX$5:$BX$76,MATCH($A171,_ENGINE_Initiatives!$BW$5:$BW$76,0))="0-90 days",'Company Profile'!$B$6,IF(INDEX(_ENGINE_Initiatives!$BX$5:$BX$76,MATCH($A171,_ENGINE_Initiatives!$BW$5:$BW$76,0))="3-6 months",EDATE('Company Profile'!$B$6,3),IF(INDEX(_ENGINE_Initiatives!$BX$5:$BX$76,MATCH($A171,_ENGINE_Initiatives!$BW$5:$BW$76,0))="6-12 months",EDATE('Company Profile'!$B$6,6),EDATE('Company Profile'!$B$6,12)))),N$162&lt;=IF(INDEX(_ENGINE_Initiatives!$BX$5:$BX$76,MATCH($A171,_ENGINE_Initiatives!$BW$5:$BW$76,0))="0-90 days",'Company Profile'!$B$6,IF(INDEX(_ENGINE_Initiatives!$BX$5:$BX$76,MATCH($A171,_ENGINE_Initiatives!$BW$5:$BW$76,0))="3-6 months",EDATE('Company Profile'!$B$6,3),IF(INDEX(_ENGINE_Initiatives!$BX$5:$BX$76,MATCH($A171,_ENGINE_Initiatives!$BW$5:$BW$76,0))="6-12 months",EDATE('Company Profile'!$B$6,6),EDATE('Company Profile'!$B$6,12))))+(IF(INDEX(_ENGINE_Initiatives!$AB$5:$AB$76,MATCH($A171,_ENGINE_Initiatives!$BW$5:$BW$76,0))&lt;=2,6,IF(INDEX(_ENGINE_Initiatives!$AB$5:$AB$76,MATCH($A171,_ENGINE_Initiatives!$BW$5:$BW$76,0))=3,10,IF(INDEX(_ENGINE_Initiatives!$AB$5:$AB$76,MATCH($A171,_ENGINE_Initiatives!$BW$5:$BW$76,0))=4,16,24)))*7)),1,""),"")</f>
      </c>
      <c r="O171" s="55">
        <f>IFERROR(IF(AND(O$162&gt;=IF(INDEX(_ENGINE_Initiatives!$BX$5:$BX$76,MATCH($A171,_ENGINE_Initiatives!$BW$5:$BW$76,0))="0-90 days",'Company Profile'!$B$6,IF(INDEX(_ENGINE_Initiatives!$BX$5:$BX$76,MATCH($A171,_ENGINE_Initiatives!$BW$5:$BW$76,0))="3-6 months",EDATE('Company Profile'!$B$6,3),IF(INDEX(_ENGINE_Initiatives!$BX$5:$BX$76,MATCH($A171,_ENGINE_Initiatives!$BW$5:$BW$76,0))="6-12 months",EDATE('Company Profile'!$B$6,6),EDATE('Company Profile'!$B$6,12)))),O$162&lt;=IF(INDEX(_ENGINE_Initiatives!$BX$5:$BX$76,MATCH($A171,_ENGINE_Initiatives!$BW$5:$BW$76,0))="0-90 days",'Company Profile'!$B$6,IF(INDEX(_ENGINE_Initiatives!$BX$5:$BX$76,MATCH($A171,_ENGINE_Initiatives!$BW$5:$BW$76,0))="3-6 months",EDATE('Company Profile'!$B$6,3),IF(INDEX(_ENGINE_Initiatives!$BX$5:$BX$76,MATCH($A171,_ENGINE_Initiatives!$BW$5:$BW$76,0))="6-12 months",EDATE('Company Profile'!$B$6,6),EDATE('Company Profile'!$B$6,12))))+(IF(INDEX(_ENGINE_Initiatives!$AB$5:$AB$76,MATCH($A171,_ENGINE_Initiatives!$BW$5:$BW$76,0))&lt;=2,6,IF(INDEX(_ENGINE_Initiatives!$AB$5:$AB$76,MATCH($A171,_ENGINE_Initiatives!$BW$5:$BW$76,0))=3,10,IF(INDEX(_ENGINE_Initiatives!$AB$5:$AB$76,MATCH($A171,_ENGINE_Initiatives!$BW$5:$BW$76,0))=4,16,24)))*7)),1,""),"")</f>
      </c>
      <c r="P171" s="55">
        <f>IFERROR(IF(AND(P$162&gt;=IF(INDEX(_ENGINE_Initiatives!$BX$5:$BX$76,MATCH($A171,_ENGINE_Initiatives!$BW$5:$BW$76,0))="0-90 days",'Company Profile'!$B$6,IF(INDEX(_ENGINE_Initiatives!$BX$5:$BX$76,MATCH($A171,_ENGINE_Initiatives!$BW$5:$BW$76,0))="3-6 months",EDATE('Company Profile'!$B$6,3),IF(INDEX(_ENGINE_Initiatives!$BX$5:$BX$76,MATCH($A171,_ENGINE_Initiatives!$BW$5:$BW$76,0))="6-12 months",EDATE('Company Profile'!$B$6,6),EDATE('Company Profile'!$B$6,12)))),P$162&lt;=IF(INDEX(_ENGINE_Initiatives!$BX$5:$BX$76,MATCH($A171,_ENGINE_Initiatives!$BW$5:$BW$76,0))="0-90 days",'Company Profile'!$B$6,IF(INDEX(_ENGINE_Initiatives!$BX$5:$BX$76,MATCH($A171,_ENGINE_Initiatives!$BW$5:$BW$76,0))="3-6 months",EDATE('Company Profile'!$B$6,3),IF(INDEX(_ENGINE_Initiatives!$BX$5:$BX$76,MATCH($A171,_ENGINE_Initiatives!$BW$5:$BW$76,0))="6-12 months",EDATE('Company Profile'!$B$6,6),EDATE('Company Profile'!$B$6,12))))+(IF(INDEX(_ENGINE_Initiatives!$AB$5:$AB$76,MATCH($A171,_ENGINE_Initiatives!$BW$5:$BW$76,0))&lt;=2,6,IF(INDEX(_ENGINE_Initiatives!$AB$5:$AB$76,MATCH($A171,_ENGINE_Initiatives!$BW$5:$BW$76,0))=3,10,IF(INDEX(_ENGINE_Initiatives!$AB$5:$AB$76,MATCH($A171,_ENGINE_Initiatives!$BW$5:$BW$76,0))=4,16,24)))*7)),1,""),"")</f>
      </c>
      <c r="Q171" s="55">
        <f>IFERROR(IF(AND(Q$162&gt;=IF(INDEX(_ENGINE_Initiatives!$BX$5:$BX$76,MATCH($A171,_ENGINE_Initiatives!$BW$5:$BW$76,0))="0-90 days",'Company Profile'!$B$6,IF(INDEX(_ENGINE_Initiatives!$BX$5:$BX$76,MATCH($A171,_ENGINE_Initiatives!$BW$5:$BW$76,0))="3-6 months",EDATE('Company Profile'!$B$6,3),IF(INDEX(_ENGINE_Initiatives!$BX$5:$BX$76,MATCH($A171,_ENGINE_Initiatives!$BW$5:$BW$76,0))="6-12 months",EDATE('Company Profile'!$B$6,6),EDATE('Company Profile'!$B$6,12)))),Q$162&lt;=IF(INDEX(_ENGINE_Initiatives!$BX$5:$BX$76,MATCH($A171,_ENGINE_Initiatives!$BW$5:$BW$76,0))="0-90 days",'Company Profile'!$B$6,IF(INDEX(_ENGINE_Initiatives!$BX$5:$BX$76,MATCH($A171,_ENGINE_Initiatives!$BW$5:$BW$76,0))="3-6 months",EDATE('Company Profile'!$B$6,3),IF(INDEX(_ENGINE_Initiatives!$BX$5:$BX$76,MATCH($A171,_ENGINE_Initiatives!$BW$5:$BW$76,0))="6-12 months",EDATE('Company Profile'!$B$6,6),EDATE('Company Profile'!$B$6,12))))+(IF(INDEX(_ENGINE_Initiatives!$AB$5:$AB$76,MATCH($A171,_ENGINE_Initiatives!$BW$5:$BW$76,0))&lt;=2,6,IF(INDEX(_ENGINE_Initiatives!$AB$5:$AB$76,MATCH($A171,_ENGINE_Initiatives!$BW$5:$BW$76,0))=3,10,IF(INDEX(_ENGINE_Initiatives!$AB$5:$AB$76,MATCH($A171,_ENGINE_Initiatives!$BW$5:$BW$76,0))=4,16,24)))*7)),1,""),"")</f>
      </c>
      <c r="R171" s="55">
        <f>IFERROR(IF(AND(R$162&gt;=IF(INDEX(_ENGINE_Initiatives!$BX$5:$BX$76,MATCH($A171,_ENGINE_Initiatives!$BW$5:$BW$76,0))="0-90 days",'Company Profile'!$B$6,IF(INDEX(_ENGINE_Initiatives!$BX$5:$BX$76,MATCH($A171,_ENGINE_Initiatives!$BW$5:$BW$76,0))="3-6 months",EDATE('Company Profile'!$B$6,3),IF(INDEX(_ENGINE_Initiatives!$BX$5:$BX$76,MATCH($A171,_ENGINE_Initiatives!$BW$5:$BW$76,0))="6-12 months",EDATE('Company Profile'!$B$6,6),EDATE('Company Profile'!$B$6,12)))),R$162&lt;=IF(INDEX(_ENGINE_Initiatives!$BX$5:$BX$76,MATCH($A171,_ENGINE_Initiatives!$BW$5:$BW$76,0))="0-90 days",'Company Profile'!$B$6,IF(INDEX(_ENGINE_Initiatives!$BX$5:$BX$76,MATCH($A171,_ENGINE_Initiatives!$BW$5:$BW$76,0))="3-6 months",EDATE('Company Profile'!$B$6,3),IF(INDEX(_ENGINE_Initiatives!$BX$5:$BX$76,MATCH($A171,_ENGINE_Initiatives!$BW$5:$BW$76,0))="6-12 months",EDATE('Company Profile'!$B$6,6),EDATE('Company Profile'!$B$6,12))))+(IF(INDEX(_ENGINE_Initiatives!$AB$5:$AB$76,MATCH($A171,_ENGINE_Initiatives!$BW$5:$BW$76,0))&lt;=2,6,IF(INDEX(_ENGINE_Initiatives!$AB$5:$AB$76,MATCH($A171,_ENGINE_Initiatives!$BW$5:$BW$76,0))=3,10,IF(INDEX(_ENGINE_Initiatives!$AB$5:$AB$76,MATCH($A171,_ENGINE_Initiatives!$BW$5:$BW$76,0))=4,16,24)))*7)),1,""),"")</f>
      </c>
      <c r="S171" s="55">
        <f>IFERROR(IF(AND(S$162&gt;=IF(INDEX(_ENGINE_Initiatives!$BX$5:$BX$76,MATCH($A171,_ENGINE_Initiatives!$BW$5:$BW$76,0))="0-90 days",'Company Profile'!$B$6,IF(INDEX(_ENGINE_Initiatives!$BX$5:$BX$76,MATCH($A171,_ENGINE_Initiatives!$BW$5:$BW$76,0))="3-6 months",EDATE('Company Profile'!$B$6,3),IF(INDEX(_ENGINE_Initiatives!$BX$5:$BX$76,MATCH($A171,_ENGINE_Initiatives!$BW$5:$BW$76,0))="6-12 months",EDATE('Company Profile'!$B$6,6),EDATE('Company Profile'!$B$6,12)))),S$162&lt;=IF(INDEX(_ENGINE_Initiatives!$BX$5:$BX$76,MATCH($A171,_ENGINE_Initiatives!$BW$5:$BW$76,0))="0-90 days",'Company Profile'!$B$6,IF(INDEX(_ENGINE_Initiatives!$BX$5:$BX$76,MATCH($A171,_ENGINE_Initiatives!$BW$5:$BW$76,0))="3-6 months",EDATE('Company Profile'!$B$6,3),IF(INDEX(_ENGINE_Initiatives!$BX$5:$BX$76,MATCH($A171,_ENGINE_Initiatives!$BW$5:$BW$76,0))="6-12 months",EDATE('Company Profile'!$B$6,6),EDATE('Company Profile'!$B$6,12))))+(IF(INDEX(_ENGINE_Initiatives!$AB$5:$AB$76,MATCH($A171,_ENGINE_Initiatives!$BW$5:$BW$76,0))&lt;=2,6,IF(INDEX(_ENGINE_Initiatives!$AB$5:$AB$76,MATCH($A171,_ENGINE_Initiatives!$BW$5:$BW$76,0))=3,10,IF(INDEX(_ENGINE_Initiatives!$AB$5:$AB$76,MATCH($A171,_ENGINE_Initiatives!$BW$5:$BW$76,0))=4,16,24)))*7)),1,""),"")</f>
      </c>
      <c r="T171" s="55">
        <f>IFERROR(IF(AND(T$162&gt;=IF(INDEX(_ENGINE_Initiatives!$BX$5:$BX$76,MATCH($A171,_ENGINE_Initiatives!$BW$5:$BW$76,0))="0-90 days",'Company Profile'!$B$6,IF(INDEX(_ENGINE_Initiatives!$BX$5:$BX$76,MATCH($A171,_ENGINE_Initiatives!$BW$5:$BW$76,0))="3-6 months",EDATE('Company Profile'!$B$6,3),IF(INDEX(_ENGINE_Initiatives!$BX$5:$BX$76,MATCH($A171,_ENGINE_Initiatives!$BW$5:$BW$76,0))="6-12 months",EDATE('Company Profile'!$B$6,6),EDATE('Company Profile'!$B$6,12)))),T$162&lt;=IF(INDEX(_ENGINE_Initiatives!$BX$5:$BX$76,MATCH($A171,_ENGINE_Initiatives!$BW$5:$BW$76,0))="0-90 days",'Company Profile'!$B$6,IF(INDEX(_ENGINE_Initiatives!$BX$5:$BX$76,MATCH($A171,_ENGINE_Initiatives!$BW$5:$BW$76,0))="3-6 months",EDATE('Company Profile'!$B$6,3),IF(INDEX(_ENGINE_Initiatives!$BX$5:$BX$76,MATCH($A171,_ENGINE_Initiatives!$BW$5:$BW$76,0))="6-12 months",EDATE('Company Profile'!$B$6,6),EDATE('Company Profile'!$B$6,12))))+(IF(INDEX(_ENGINE_Initiatives!$AB$5:$AB$76,MATCH($A171,_ENGINE_Initiatives!$BW$5:$BW$76,0))&lt;=2,6,IF(INDEX(_ENGINE_Initiatives!$AB$5:$AB$76,MATCH($A171,_ENGINE_Initiatives!$BW$5:$BW$76,0))=3,10,IF(INDEX(_ENGINE_Initiatives!$AB$5:$AB$76,MATCH($A171,_ENGINE_Initiatives!$BW$5:$BW$76,0))=4,16,24)))*7)),1,""),"")</f>
      </c>
      <c r="U171" s="30" t="n"/>
      <c r="V171" s="30" t="n"/>
    </row>
    <row r="172" ht="15" customHeight="1" s="209">
      <c r="A172" s="51" t="inlineStr">
        <is>
          <t>10</t>
        </is>
      </c>
      <c r="B172" s="51">
        <f>IFERROR(INDEX(_ENGINE_Initiatives!$F$5:$F$76,MATCH($A172,_ENGINE_Initiatives!$BW$5:$BW$76,0)),"")</f>
      </c>
      <c r="C172" s="55">
        <f>IFERROR(IF(AND(C$162&gt;=IF(INDEX(_ENGINE_Initiatives!$BX$5:$BX$76,MATCH($A172,_ENGINE_Initiatives!$BW$5:$BW$76,0))="0-90 days",'Company Profile'!$B$6,IF(INDEX(_ENGINE_Initiatives!$BX$5:$BX$76,MATCH($A172,_ENGINE_Initiatives!$BW$5:$BW$76,0))="3-6 months",EDATE('Company Profile'!$B$6,3),IF(INDEX(_ENGINE_Initiatives!$BX$5:$BX$76,MATCH($A172,_ENGINE_Initiatives!$BW$5:$BW$76,0))="6-12 months",EDATE('Company Profile'!$B$6,6),EDATE('Company Profile'!$B$6,12)))),C$162&lt;=IF(INDEX(_ENGINE_Initiatives!$BX$5:$BX$76,MATCH($A172,_ENGINE_Initiatives!$BW$5:$BW$76,0))="0-90 days",'Company Profile'!$B$6,IF(INDEX(_ENGINE_Initiatives!$BX$5:$BX$76,MATCH($A172,_ENGINE_Initiatives!$BW$5:$BW$76,0))="3-6 months",EDATE('Company Profile'!$B$6,3),IF(INDEX(_ENGINE_Initiatives!$BX$5:$BX$76,MATCH($A172,_ENGINE_Initiatives!$BW$5:$BW$76,0))="6-12 months",EDATE('Company Profile'!$B$6,6),EDATE('Company Profile'!$B$6,12))))+(IF(INDEX(_ENGINE_Initiatives!$AB$5:$AB$76,MATCH($A172,_ENGINE_Initiatives!$BW$5:$BW$76,0))&lt;=2,6,IF(INDEX(_ENGINE_Initiatives!$AB$5:$AB$76,MATCH($A172,_ENGINE_Initiatives!$BW$5:$BW$76,0))=3,10,IF(INDEX(_ENGINE_Initiatives!$AB$5:$AB$76,MATCH($A172,_ENGINE_Initiatives!$BW$5:$BW$76,0))=4,16,24)))*7)),1,""),"")</f>
      </c>
      <c r="D172" s="55">
        <f>IFERROR(IF(AND(D$162&gt;=IF(INDEX(_ENGINE_Initiatives!$BX$5:$BX$76,MATCH($A172,_ENGINE_Initiatives!$BW$5:$BW$76,0))="0-90 days",'Company Profile'!$B$6,IF(INDEX(_ENGINE_Initiatives!$BX$5:$BX$76,MATCH($A172,_ENGINE_Initiatives!$BW$5:$BW$76,0))="3-6 months",EDATE('Company Profile'!$B$6,3),IF(INDEX(_ENGINE_Initiatives!$BX$5:$BX$76,MATCH($A172,_ENGINE_Initiatives!$BW$5:$BW$76,0))="6-12 months",EDATE('Company Profile'!$B$6,6),EDATE('Company Profile'!$B$6,12)))),D$162&lt;=IF(INDEX(_ENGINE_Initiatives!$BX$5:$BX$76,MATCH($A172,_ENGINE_Initiatives!$BW$5:$BW$76,0))="0-90 days",'Company Profile'!$B$6,IF(INDEX(_ENGINE_Initiatives!$BX$5:$BX$76,MATCH($A172,_ENGINE_Initiatives!$BW$5:$BW$76,0))="3-6 months",EDATE('Company Profile'!$B$6,3),IF(INDEX(_ENGINE_Initiatives!$BX$5:$BX$76,MATCH($A172,_ENGINE_Initiatives!$BW$5:$BW$76,0))="6-12 months",EDATE('Company Profile'!$B$6,6),EDATE('Company Profile'!$B$6,12))))+(IF(INDEX(_ENGINE_Initiatives!$AB$5:$AB$76,MATCH($A172,_ENGINE_Initiatives!$BW$5:$BW$76,0))&lt;=2,6,IF(INDEX(_ENGINE_Initiatives!$AB$5:$AB$76,MATCH($A172,_ENGINE_Initiatives!$BW$5:$BW$76,0))=3,10,IF(INDEX(_ENGINE_Initiatives!$AB$5:$AB$76,MATCH($A172,_ENGINE_Initiatives!$BW$5:$BW$76,0))=4,16,24)))*7)),1,""),"")</f>
      </c>
      <c r="E172" s="55">
        <f>IFERROR(IF(AND(E$162&gt;=IF(INDEX(_ENGINE_Initiatives!$BX$5:$BX$76,MATCH($A172,_ENGINE_Initiatives!$BW$5:$BW$76,0))="0-90 days",'Company Profile'!$B$6,IF(INDEX(_ENGINE_Initiatives!$BX$5:$BX$76,MATCH($A172,_ENGINE_Initiatives!$BW$5:$BW$76,0))="3-6 months",EDATE('Company Profile'!$B$6,3),IF(INDEX(_ENGINE_Initiatives!$BX$5:$BX$76,MATCH($A172,_ENGINE_Initiatives!$BW$5:$BW$76,0))="6-12 months",EDATE('Company Profile'!$B$6,6),EDATE('Company Profile'!$B$6,12)))),E$162&lt;=IF(INDEX(_ENGINE_Initiatives!$BX$5:$BX$76,MATCH($A172,_ENGINE_Initiatives!$BW$5:$BW$76,0))="0-90 days",'Company Profile'!$B$6,IF(INDEX(_ENGINE_Initiatives!$BX$5:$BX$76,MATCH($A172,_ENGINE_Initiatives!$BW$5:$BW$76,0))="3-6 months",EDATE('Company Profile'!$B$6,3),IF(INDEX(_ENGINE_Initiatives!$BX$5:$BX$76,MATCH($A172,_ENGINE_Initiatives!$BW$5:$BW$76,0))="6-12 months",EDATE('Company Profile'!$B$6,6),EDATE('Company Profile'!$B$6,12))))+(IF(INDEX(_ENGINE_Initiatives!$AB$5:$AB$76,MATCH($A172,_ENGINE_Initiatives!$BW$5:$BW$76,0))&lt;=2,6,IF(INDEX(_ENGINE_Initiatives!$AB$5:$AB$76,MATCH($A172,_ENGINE_Initiatives!$BW$5:$BW$76,0))=3,10,IF(INDEX(_ENGINE_Initiatives!$AB$5:$AB$76,MATCH($A172,_ENGINE_Initiatives!$BW$5:$BW$76,0))=4,16,24)))*7)),1,""),"")</f>
      </c>
      <c r="F172" s="55">
        <f>IFERROR(IF(AND(F$162&gt;=IF(INDEX(_ENGINE_Initiatives!$BX$5:$BX$76,MATCH($A172,_ENGINE_Initiatives!$BW$5:$BW$76,0))="0-90 days",'Company Profile'!$B$6,IF(INDEX(_ENGINE_Initiatives!$BX$5:$BX$76,MATCH($A172,_ENGINE_Initiatives!$BW$5:$BW$76,0))="3-6 months",EDATE('Company Profile'!$B$6,3),IF(INDEX(_ENGINE_Initiatives!$BX$5:$BX$76,MATCH($A172,_ENGINE_Initiatives!$BW$5:$BW$76,0))="6-12 months",EDATE('Company Profile'!$B$6,6),EDATE('Company Profile'!$B$6,12)))),F$162&lt;=IF(INDEX(_ENGINE_Initiatives!$BX$5:$BX$76,MATCH($A172,_ENGINE_Initiatives!$BW$5:$BW$76,0))="0-90 days",'Company Profile'!$B$6,IF(INDEX(_ENGINE_Initiatives!$BX$5:$BX$76,MATCH($A172,_ENGINE_Initiatives!$BW$5:$BW$76,0))="3-6 months",EDATE('Company Profile'!$B$6,3),IF(INDEX(_ENGINE_Initiatives!$BX$5:$BX$76,MATCH($A172,_ENGINE_Initiatives!$BW$5:$BW$76,0))="6-12 months",EDATE('Company Profile'!$B$6,6),EDATE('Company Profile'!$B$6,12))))+(IF(INDEX(_ENGINE_Initiatives!$AB$5:$AB$76,MATCH($A172,_ENGINE_Initiatives!$BW$5:$BW$76,0))&lt;=2,6,IF(INDEX(_ENGINE_Initiatives!$AB$5:$AB$76,MATCH($A172,_ENGINE_Initiatives!$BW$5:$BW$76,0))=3,10,IF(INDEX(_ENGINE_Initiatives!$AB$5:$AB$76,MATCH($A172,_ENGINE_Initiatives!$BW$5:$BW$76,0))=4,16,24)))*7)),1,""),"")</f>
      </c>
      <c r="G172" s="55">
        <f>IFERROR(IF(AND(G$162&gt;=IF(INDEX(_ENGINE_Initiatives!$BX$5:$BX$76,MATCH($A172,_ENGINE_Initiatives!$BW$5:$BW$76,0))="0-90 days",'Company Profile'!$B$6,IF(INDEX(_ENGINE_Initiatives!$BX$5:$BX$76,MATCH($A172,_ENGINE_Initiatives!$BW$5:$BW$76,0))="3-6 months",EDATE('Company Profile'!$B$6,3),IF(INDEX(_ENGINE_Initiatives!$BX$5:$BX$76,MATCH($A172,_ENGINE_Initiatives!$BW$5:$BW$76,0))="6-12 months",EDATE('Company Profile'!$B$6,6),EDATE('Company Profile'!$B$6,12)))),G$162&lt;=IF(INDEX(_ENGINE_Initiatives!$BX$5:$BX$76,MATCH($A172,_ENGINE_Initiatives!$BW$5:$BW$76,0))="0-90 days",'Company Profile'!$B$6,IF(INDEX(_ENGINE_Initiatives!$BX$5:$BX$76,MATCH($A172,_ENGINE_Initiatives!$BW$5:$BW$76,0))="3-6 months",EDATE('Company Profile'!$B$6,3),IF(INDEX(_ENGINE_Initiatives!$BX$5:$BX$76,MATCH($A172,_ENGINE_Initiatives!$BW$5:$BW$76,0))="6-12 months",EDATE('Company Profile'!$B$6,6),EDATE('Company Profile'!$B$6,12))))+(IF(INDEX(_ENGINE_Initiatives!$AB$5:$AB$76,MATCH($A172,_ENGINE_Initiatives!$BW$5:$BW$76,0))&lt;=2,6,IF(INDEX(_ENGINE_Initiatives!$AB$5:$AB$76,MATCH($A172,_ENGINE_Initiatives!$BW$5:$BW$76,0))=3,10,IF(INDEX(_ENGINE_Initiatives!$AB$5:$AB$76,MATCH($A172,_ENGINE_Initiatives!$BW$5:$BW$76,0))=4,16,24)))*7)),1,""),"")</f>
      </c>
      <c r="H172" s="55">
        <f>IFERROR(IF(AND(H$162&gt;=IF(INDEX(_ENGINE_Initiatives!$BX$5:$BX$76,MATCH($A172,_ENGINE_Initiatives!$BW$5:$BW$76,0))="0-90 days",'Company Profile'!$B$6,IF(INDEX(_ENGINE_Initiatives!$BX$5:$BX$76,MATCH($A172,_ENGINE_Initiatives!$BW$5:$BW$76,0))="3-6 months",EDATE('Company Profile'!$B$6,3),IF(INDEX(_ENGINE_Initiatives!$BX$5:$BX$76,MATCH($A172,_ENGINE_Initiatives!$BW$5:$BW$76,0))="6-12 months",EDATE('Company Profile'!$B$6,6),EDATE('Company Profile'!$B$6,12)))),H$162&lt;=IF(INDEX(_ENGINE_Initiatives!$BX$5:$BX$76,MATCH($A172,_ENGINE_Initiatives!$BW$5:$BW$76,0))="0-90 days",'Company Profile'!$B$6,IF(INDEX(_ENGINE_Initiatives!$BX$5:$BX$76,MATCH($A172,_ENGINE_Initiatives!$BW$5:$BW$76,0))="3-6 months",EDATE('Company Profile'!$B$6,3),IF(INDEX(_ENGINE_Initiatives!$BX$5:$BX$76,MATCH($A172,_ENGINE_Initiatives!$BW$5:$BW$76,0))="6-12 months",EDATE('Company Profile'!$B$6,6),EDATE('Company Profile'!$B$6,12))))+(IF(INDEX(_ENGINE_Initiatives!$AB$5:$AB$76,MATCH($A172,_ENGINE_Initiatives!$BW$5:$BW$76,0))&lt;=2,6,IF(INDEX(_ENGINE_Initiatives!$AB$5:$AB$76,MATCH($A172,_ENGINE_Initiatives!$BW$5:$BW$76,0))=3,10,IF(INDEX(_ENGINE_Initiatives!$AB$5:$AB$76,MATCH($A172,_ENGINE_Initiatives!$BW$5:$BW$76,0))=4,16,24)))*7)),1,""),"")</f>
      </c>
      <c r="I172" s="55">
        <f>IFERROR(IF(AND(I$162&gt;=IF(INDEX(_ENGINE_Initiatives!$BX$5:$BX$76,MATCH($A172,_ENGINE_Initiatives!$BW$5:$BW$76,0))="0-90 days",'Company Profile'!$B$6,IF(INDEX(_ENGINE_Initiatives!$BX$5:$BX$76,MATCH($A172,_ENGINE_Initiatives!$BW$5:$BW$76,0))="3-6 months",EDATE('Company Profile'!$B$6,3),IF(INDEX(_ENGINE_Initiatives!$BX$5:$BX$76,MATCH($A172,_ENGINE_Initiatives!$BW$5:$BW$76,0))="6-12 months",EDATE('Company Profile'!$B$6,6),EDATE('Company Profile'!$B$6,12)))),I$162&lt;=IF(INDEX(_ENGINE_Initiatives!$BX$5:$BX$76,MATCH($A172,_ENGINE_Initiatives!$BW$5:$BW$76,0))="0-90 days",'Company Profile'!$B$6,IF(INDEX(_ENGINE_Initiatives!$BX$5:$BX$76,MATCH($A172,_ENGINE_Initiatives!$BW$5:$BW$76,0))="3-6 months",EDATE('Company Profile'!$B$6,3),IF(INDEX(_ENGINE_Initiatives!$BX$5:$BX$76,MATCH($A172,_ENGINE_Initiatives!$BW$5:$BW$76,0))="6-12 months",EDATE('Company Profile'!$B$6,6),EDATE('Company Profile'!$B$6,12))))+(IF(INDEX(_ENGINE_Initiatives!$AB$5:$AB$76,MATCH($A172,_ENGINE_Initiatives!$BW$5:$BW$76,0))&lt;=2,6,IF(INDEX(_ENGINE_Initiatives!$AB$5:$AB$76,MATCH($A172,_ENGINE_Initiatives!$BW$5:$BW$76,0))=3,10,IF(INDEX(_ENGINE_Initiatives!$AB$5:$AB$76,MATCH($A172,_ENGINE_Initiatives!$BW$5:$BW$76,0))=4,16,24)))*7)),1,""),"")</f>
      </c>
      <c r="J172" s="55">
        <f>IFERROR(IF(AND(J$162&gt;=IF(INDEX(_ENGINE_Initiatives!$BX$5:$BX$76,MATCH($A172,_ENGINE_Initiatives!$BW$5:$BW$76,0))="0-90 days",'Company Profile'!$B$6,IF(INDEX(_ENGINE_Initiatives!$BX$5:$BX$76,MATCH($A172,_ENGINE_Initiatives!$BW$5:$BW$76,0))="3-6 months",EDATE('Company Profile'!$B$6,3),IF(INDEX(_ENGINE_Initiatives!$BX$5:$BX$76,MATCH($A172,_ENGINE_Initiatives!$BW$5:$BW$76,0))="6-12 months",EDATE('Company Profile'!$B$6,6),EDATE('Company Profile'!$B$6,12)))),J$162&lt;=IF(INDEX(_ENGINE_Initiatives!$BX$5:$BX$76,MATCH($A172,_ENGINE_Initiatives!$BW$5:$BW$76,0))="0-90 days",'Company Profile'!$B$6,IF(INDEX(_ENGINE_Initiatives!$BX$5:$BX$76,MATCH($A172,_ENGINE_Initiatives!$BW$5:$BW$76,0))="3-6 months",EDATE('Company Profile'!$B$6,3),IF(INDEX(_ENGINE_Initiatives!$BX$5:$BX$76,MATCH($A172,_ENGINE_Initiatives!$BW$5:$BW$76,0))="6-12 months",EDATE('Company Profile'!$B$6,6),EDATE('Company Profile'!$B$6,12))))+(IF(INDEX(_ENGINE_Initiatives!$AB$5:$AB$76,MATCH($A172,_ENGINE_Initiatives!$BW$5:$BW$76,0))&lt;=2,6,IF(INDEX(_ENGINE_Initiatives!$AB$5:$AB$76,MATCH($A172,_ENGINE_Initiatives!$BW$5:$BW$76,0))=3,10,IF(INDEX(_ENGINE_Initiatives!$AB$5:$AB$76,MATCH($A172,_ENGINE_Initiatives!$BW$5:$BW$76,0))=4,16,24)))*7)),1,""),"")</f>
      </c>
      <c r="K172" s="55">
        <f>IFERROR(IF(AND(K$162&gt;=IF(INDEX(_ENGINE_Initiatives!$BX$5:$BX$76,MATCH($A172,_ENGINE_Initiatives!$BW$5:$BW$76,0))="0-90 days",'Company Profile'!$B$6,IF(INDEX(_ENGINE_Initiatives!$BX$5:$BX$76,MATCH($A172,_ENGINE_Initiatives!$BW$5:$BW$76,0))="3-6 months",EDATE('Company Profile'!$B$6,3),IF(INDEX(_ENGINE_Initiatives!$BX$5:$BX$76,MATCH($A172,_ENGINE_Initiatives!$BW$5:$BW$76,0))="6-12 months",EDATE('Company Profile'!$B$6,6),EDATE('Company Profile'!$B$6,12)))),K$162&lt;=IF(INDEX(_ENGINE_Initiatives!$BX$5:$BX$76,MATCH($A172,_ENGINE_Initiatives!$BW$5:$BW$76,0))="0-90 days",'Company Profile'!$B$6,IF(INDEX(_ENGINE_Initiatives!$BX$5:$BX$76,MATCH($A172,_ENGINE_Initiatives!$BW$5:$BW$76,0))="3-6 months",EDATE('Company Profile'!$B$6,3),IF(INDEX(_ENGINE_Initiatives!$BX$5:$BX$76,MATCH($A172,_ENGINE_Initiatives!$BW$5:$BW$76,0))="6-12 months",EDATE('Company Profile'!$B$6,6),EDATE('Company Profile'!$B$6,12))))+(IF(INDEX(_ENGINE_Initiatives!$AB$5:$AB$76,MATCH($A172,_ENGINE_Initiatives!$BW$5:$BW$76,0))&lt;=2,6,IF(INDEX(_ENGINE_Initiatives!$AB$5:$AB$76,MATCH($A172,_ENGINE_Initiatives!$BW$5:$BW$76,0))=3,10,IF(INDEX(_ENGINE_Initiatives!$AB$5:$AB$76,MATCH($A172,_ENGINE_Initiatives!$BW$5:$BW$76,0))=4,16,24)))*7)),1,""),"")</f>
      </c>
      <c r="L172" s="55">
        <f>IFERROR(IF(AND(L$162&gt;=IF(INDEX(_ENGINE_Initiatives!$BX$5:$BX$76,MATCH($A172,_ENGINE_Initiatives!$BW$5:$BW$76,0))="0-90 days",'Company Profile'!$B$6,IF(INDEX(_ENGINE_Initiatives!$BX$5:$BX$76,MATCH($A172,_ENGINE_Initiatives!$BW$5:$BW$76,0))="3-6 months",EDATE('Company Profile'!$B$6,3),IF(INDEX(_ENGINE_Initiatives!$BX$5:$BX$76,MATCH($A172,_ENGINE_Initiatives!$BW$5:$BW$76,0))="6-12 months",EDATE('Company Profile'!$B$6,6),EDATE('Company Profile'!$B$6,12)))),L$162&lt;=IF(INDEX(_ENGINE_Initiatives!$BX$5:$BX$76,MATCH($A172,_ENGINE_Initiatives!$BW$5:$BW$76,0))="0-90 days",'Company Profile'!$B$6,IF(INDEX(_ENGINE_Initiatives!$BX$5:$BX$76,MATCH($A172,_ENGINE_Initiatives!$BW$5:$BW$76,0))="3-6 months",EDATE('Company Profile'!$B$6,3),IF(INDEX(_ENGINE_Initiatives!$BX$5:$BX$76,MATCH($A172,_ENGINE_Initiatives!$BW$5:$BW$76,0))="6-12 months",EDATE('Company Profile'!$B$6,6),EDATE('Company Profile'!$B$6,12))))+(IF(INDEX(_ENGINE_Initiatives!$AB$5:$AB$76,MATCH($A172,_ENGINE_Initiatives!$BW$5:$BW$76,0))&lt;=2,6,IF(INDEX(_ENGINE_Initiatives!$AB$5:$AB$76,MATCH($A172,_ENGINE_Initiatives!$BW$5:$BW$76,0))=3,10,IF(INDEX(_ENGINE_Initiatives!$AB$5:$AB$76,MATCH($A172,_ENGINE_Initiatives!$BW$5:$BW$76,0))=4,16,24)))*7)),1,""),"")</f>
      </c>
      <c r="M172" s="55">
        <f>IFERROR(IF(AND(M$162&gt;=IF(INDEX(_ENGINE_Initiatives!$BX$5:$BX$76,MATCH($A172,_ENGINE_Initiatives!$BW$5:$BW$76,0))="0-90 days",'Company Profile'!$B$6,IF(INDEX(_ENGINE_Initiatives!$BX$5:$BX$76,MATCH($A172,_ENGINE_Initiatives!$BW$5:$BW$76,0))="3-6 months",EDATE('Company Profile'!$B$6,3),IF(INDEX(_ENGINE_Initiatives!$BX$5:$BX$76,MATCH($A172,_ENGINE_Initiatives!$BW$5:$BW$76,0))="6-12 months",EDATE('Company Profile'!$B$6,6),EDATE('Company Profile'!$B$6,12)))),M$162&lt;=IF(INDEX(_ENGINE_Initiatives!$BX$5:$BX$76,MATCH($A172,_ENGINE_Initiatives!$BW$5:$BW$76,0))="0-90 days",'Company Profile'!$B$6,IF(INDEX(_ENGINE_Initiatives!$BX$5:$BX$76,MATCH($A172,_ENGINE_Initiatives!$BW$5:$BW$76,0))="3-6 months",EDATE('Company Profile'!$B$6,3),IF(INDEX(_ENGINE_Initiatives!$BX$5:$BX$76,MATCH($A172,_ENGINE_Initiatives!$BW$5:$BW$76,0))="6-12 months",EDATE('Company Profile'!$B$6,6),EDATE('Company Profile'!$B$6,12))))+(IF(INDEX(_ENGINE_Initiatives!$AB$5:$AB$76,MATCH($A172,_ENGINE_Initiatives!$BW$5:$BW$76,0))&lt;=2,6,IF(INDEX(_ENGINE_Initiatives!$AB$5:$AB$76,MATCH($A172,_ENGINE_Initiatives!$BW$5:$BW$76,0))=3,10,IF(INDEX(_ENGINE_Initiatives!$AB$5:$AB$76,MATCH($A172,_ENGINE_Initiatives!$BW$5:$BW$76,0))=4,16,24)))*7)),1,""),"")</f>
      </c>
      <c r="N172" s="55">
        <f>IFERROR(IF(AND(N$162&gt;=IF(INDEX(_ENGINE_Initiatives!$BX$5:$BX$76,MATCH($A172,_ENGINE_Initiatives!$BW$5:$BW$76,0))="0-90 days",'Company Profile'!$B$6,IF(INDEX(_ENGINE_Initiatives!$BX$5:$BX$76,MATCH($A172,_ENGINE_Initiatives!$BW$5:$BW$76,0))="3-6 months",EDATE('Company Profile'!$B$6,3),IF(INDEX(_ENGINE_Initiatives!$BX$5:$BX$76,MATCH($A172,_ENGINE_Initiatives!$BW$5:$BW$76,0))="6-12 months",EDATE('Company Profile'!$B$6,6),EDATE('Company Profile'!$B$6,12)))),N$162&lt;=IF(INDEX(_ENGINE_Initiatives!$BX$5:$BX$76,MATCH($A172,_ENGINE_Initiatives!$BW$5:$BW$76,0))="0-90 days",'Company Profile'!$B$6,IF(INDEX(_ENGINE_Initiatives!$BX$5:$BX$76,MATCH($A172,_ENGINE_Initiatives!$BW$5:$BW$76,0))="3-6 months",EDATE('Company Profile'!$B$6,3),IF(INDEX(_ENGINE_Initiatives!$BX$5:$BX$76,MATCH($A172,_ENGINE_Initiatives!$BW$5:$BW$76,0))="6-12 months",EDATE('Company Profile'!$B$6,6),EDATE('Company Profile'!$B$6,12))))+(IF(INDEX(_ENGINE_Initiatives!$AB$5:$AB$76,MATCH($A172,_ENGINE_Initiatives!$BW$5:$BW$76,0))&lt;=2,6,IF(INDEX(_ENGINE_Initiatives!$AB$5:$AB$76,MATCH($A172,_ENGINE_Initiatives!$BW$5:$BW$76,0))=3,10,IF(INDEX(_ENGINE_Initiatives!$AB$5:$AB$76,MATCH($A172,_ENGINE_Initiatives!$BW$5:$BW$76,0))=4,16,24)))*7)),1,""),"")</f>
      </c>
      <c r="O172" s="55">
        <f>IFERROR(IF(AND(O$162&gt;=IF(INDEX(_ENGINE_Initiatives!$BX$5:$BX$76,MATCH($A172,_ENGINE_Initiatives!$BW$5:$BW$76,0))="0-90 days",'Company Profile'!$B$6,IF(INDEX(_ENGINE_Initiatives!$BX$5:$BX$76,MATCH($A172,_ENGINE_Initiatives!$BW$5:$BW$76,0))="3-6 months",EDATE('Company Profile'!$B$6,3),IF(INDEX(_ENGINE_Initiatives!$BX$5:$BX$76,MATCH($A172,_ENGINE_Initiatives!$BW$5:$BW$76,0))="6-12 months",EDATE('Company Profile'!$B$6,6),EDATE('Company Profile'!$B$6,12)))),O$162&lt;=IF(INDEX(_ENGINE_Initiatives!$BX$5:$BX$76,MATCH($A172,_ENGINE_Initiatives!$BW$5:$BW$76,0))="0-90 days",'Company Profile'!$B$6,IF(INDEX(_ENGINE_Initiatives!$BX$5:$BX$76,MATCH($A172,_ENGINE_Initiatives!$BW$5:$BW$76,0))="3-6 months",EDATE('Company Profile'!$B$6,3),IF(INDEX(_ENGINE_Initiatives!$BX$5:$BX$76,MATCH($A172,_ENGINE_Initiatives!$BW$5:$BW$76,0))="6-12 months",EDATE('Company Profile'!$B$6,6),EDATE('Company Profile'!$B$6,12))))+(IF(INDEX(_ENGINE_Initiatives!$AB$5:$AB$76,MATCH($A172,_ENGINE_Initiatives!$BW$5:$BW$76,0))&lt;=2,6,IF(INDEX(_ENGINE_Initiatives!$AB$5:$AB$76,MATCH($A172,_ENGINE_Initiatives!$BW$5:$BW$76,0))=3,10,IF(INDEX(_ENGINE_Initiatives!$AB$5:$AB$76,MATCH($A172,_ENGINE_Initiatives!$BW$5:$BW$76,0))=4,16,24)))*7)),1,""),"")</f>
      </c>
      <c r="P172" s="55">
        <f>IFERROR(IF(AND(P$162&gt;=IF(INDEX(_ENGINE_Initiatives!$BX$5:$BX$76,MATCH($A172,_ENGINE_Initiatives!$BW$5:$BW$76,0))="0-90 days",'Company Profile'!$B$6,IF(INDEX(_ENGINE_Initiatives!$BX$5:$BX$76,MATCH($A172,_ENGINE_Initiatives!$BW$5:$BW$76,0))="3-6 months",EDATE('Company Profile'!$B$6,3),IF(INDEX(_ENGINE_Initiatives!$BX$5:$BX$76,MATCH($A172,_ENGINE_Initiatives!$BW$5:$BW$76,0))="6-12 months",EDATE('Company Profile'!$B$6,6),EDATE('Company Profile'!$B$6,12)))),P$162&lt;=IF(INDEX(_ENGINE_Initiatives!$BX$5:$BX$76,MATCH($A172,_ENGINE_Initiatives!$BW$5:$BW$76,0))="0-90 days",'Company Profile'!$B$6,IF(INDEX(_ENGINE_Initiatives!$BX$5:$BX$76,MATCH($A172,_ENGINE_Initiatives!$BW$5:$BW$76,0))="3-6 months",EDATE('Company Profile'!$B$6,3),IF(INDEX(_ENGINE_Initiatives!$BX$5:$BX$76,MATCH($A172,_ENGINE_Initiatives!$BW$5:$BW$76,0))="6-12 months",EDATE('Company Profile'!$B$6,6),EDATE('Company Profile'!$B$6,12))))+(IF(INDEX(_ENGINE_Initiatives!$AB$5:$AB$76,MATCH($A172,_ENGINE_Initiatives!$BW$5:$BW$76,0))&lt;=2,6,IF(INDEX(_ENGINE_Initiatives!$AB$5:$AB$76,MATCH($A172,_ENGINE_Initiatives!$BW$5:$BW$76,0))=3,10,IF(INDEX(_ENGINE_Initiatives!$AB$5:$AB$76,MATCH($A172,_ENGINE_Initiatives!$BW$5:$BW$76,0))=4,16,24)))*7)),1,""),"")</f>
      </c>
      <c r="Q172" s="55">
        <f>IFERROR(IF(AND(Q$162&gt;=IF(INDEX(_ENGINE_Initiatives!$BX$5:$BX$76,MATCH($A172,_ENGINE_Initiatives!$BW$5:$BW$76,0))="0-90 days",'Company Profile'!$B$6,IF(INDEX(_ENGINE_Initiatives!$BX$5:$BX$76,MATCH($A172,_ENGINE_Initiatives!$BW$5:$BW$76,0))="3-6 months",EDATE('Company Profile'!$B$6,3),IF(INDEX(_ENGINE_Initiatives!$BX$5:$BX$76,MATCH($A172,_ENGINE_Initiatives!$BW$5:$BW$76,0))="6-12 months",EDATE('Company Profile'!$B$6,6),EDATE('Company Profile'!$B$6,12)))),Q$162&lt;=IF(INDEX(_ENGINE_Initiatives!$BX$5:$BX$76,MATCH($A172,_ENGINE_Initiatives!$BW$5:$BW$76,0))="0-90 days",'Company Profile'!$B$6,IF(INDEX(_ENGINE_Initiatives!$BX$5:$BX$76,MATCH($A172,_ENGINE_Initiatives!$BW$5:$BW$76,0))="3-6 months",EDATE('Company Profile'!$B$6,3),IF(INDEX(_ENGINE_Initiatives!$BX$5:$BX$76,MATCH($A172,_ENGINE_Initiatives!$BW$5:$BW$76,0))="6-12 months",EDATE('Company Profile'!$B$6,6),EDATE('Company Profile'!$B$6,12))))+(IF(INDEX(_ENGINE_Initiatives!$AB$5:$AB$76,MATCH($A172,_ENGINE_Initiatives!$BW$5:$BW$76,0))&lt;=2,6,IF(INDEX(_ENGINE_Initiatives!$AB$5:$AB$76,MATCH($A172,_ENGINE_Initiatives!$BW$5:$BW$76,0))=3,10,IF(INDEX(_ENGINE_Initiatives!$AB$5:$AB$76,MATCH($A172,_ENGINE_Initiatives!$BW$5:$BW$76,0))=4,16,24)))*7)),1,""),"")</f>
      </c>
      <c r="R172" s="55">
        <f>IFERROR(IF(AND(R$162&gt;=IF(INDEX(_ENGINE_Initiatives!$BX$5:$BX$76,MATCH($A172,_ENGINE_Initiatives!$BW$5:$BW$76,0))="0-90 days",'Company Profile'!$B$6,IF(INDEX(_ENGINE_Initiatives!$BX$5:$BX$76,MATCH($A172,_ENGINE_Initiatives!$BW$5:$BW$76,0))="3-6 months",EDATE('Company Profile'!$B$6,3),IF(INDEX(_ENGINE_Initiatives!$BX$5:$BX$76,MATCH($A172,_ENGINE_Initiatives!$BW$5:$BW$76,0))="6-12 months",EDATE('Company Profile'!$B$6,6),EDATE('Company Profile'!$B$6,12)))),R$162&lt;=IF(INDEX(_ENGINE_Initiatives!$BX$5:$BX$76,MATCH($A172,_ENGINE_Initiatives!$BW$5:$BW$76,0))="0-90 days",'Company Profile'!$B$6,IF(INDEX(_ENGINE_Initiatives!$BX$5:$BX$76,MATCH($A172,_ENGINE_Initiatives!$BW$5:$BW$76,0))="3-6 months",EDATE('Company Profile'!$B$6,3),IF(INDEX(_ENGINE_Initiatives!$BX$5:$BX$76,MATCH($A172,_ENGINE_Initiatives!$BW$5:$BW$76,0))="6-12 months",EDATE('Company Profile'!$B$6,6),EDATE('Company Profile'!$B$6,12))))+(IF(INDEX(_ENGINE_Initiatives!$AB$5:$AB$76,MATCH($A172,_ENGINE_Initiatives!$BW$5:$BW$76,0))&lt;=2,6,IF(INDEX(_ENGINE_Initiatives!$AB$5:$AB$76,MATCH($A172,_ENGINE_Initiatives!$BW$5:$BW$76,0))=3,10,IF(INDEX(_ENGINE_Initiatives!$AB$5:$AB$76,MATCH($A172,_ENGINE_Initiatives!$BW$5:$BW$76,0))=4,16,24)))*7)),1,""),"")</f>
      </c>
      <c r="S172" s="55">
        <f>IFERROR(IF(AND(S$162&gt;=IF(INDEX(_ENGINE_Initiatives!$BX$5:$BX$76,MATCH($A172,_ENGINE_Initiatives!$BW$5:$BW$76,0))="0-90 days",'Company Profile'!$B$6,IF(INDEX(_ENGINE_Initiatives!$BX$5:$BX$76,MATCH($A172,_ENGINE_Initiatives!$BW$5:$BW$76,0))="3-6 months",EDATE('Company Profile'!$B$6,3),IF(INDEX(_ENGINE_Initiatives!$BX$5:$BX$76,MATCH($A172,_ENGINE_Initiatives!$BW$5:$BW$76,0))="6-12 months",EDATE('Company Profile'!$B$6,6),EDATE('Company Profile'!$B$6,12)))),S$162&lt;=IF(INDEX(_ENGINE_Initiatives!$BX$5:$BX$76,MATCH($A172,_ENGINE_Initiatives!$BW$5:$BW$76,0))="0-90 days",'Company Profile'!$B$6,IF(INDEX(_ENGINE_Initiatives!$BX$5:$BX$76,MATCH($A172,_ENGINE_Initiatives!$BW$5:$BW$76,0))="3-6 months",EDATE('Company Profile'!$B$6,3),IF(INDEX(_ENGINE_Initiatives!$BX$5:$BX$76,MATCH($A172,_ENGINE_Initiatives!$BW$5:$BW$76,0))="6-12 months",EDATE('Company Profile'!$B$6,6),EDATE('Company Profile'!$B$6,12))))+(IF(INDEX(_ENGINE_Initiatives!$AB$5:$AB$76,MATCH($A172,_ENGINE_Initiatives!$BW$5:$BW$76,0))&lt;=2,6,IF(INDEX(_ENGINE_Initiatives!$AB$5:$AB$76,MATCH($A172,_ENGINE_Initiatives!$BW$5:$BW$76,0))=3,10,IF(INDEX(_ENGINE_Initiatives!$AB$5:$AB$76,MATCH($A172,_ENGINE_Initiatives!$BW$5:$BW$76,0))=4,16,24)))*7)),1,""),"")</f>
      </c>
      <c r="T172" s="55">
        <f>IFERROR(IF(AND(T$162&gt;=IF(INDEX(_ENGINE_Initiatives!$BX$5:$BX$76,MATCH($A172,_ENGINE_Initiatives!$BW$5:$BW$76,0))="0-90 days",'Company Profile'!$B$6,IF(INDEX(_ENGINE_Initiatives!$BX$5:$BX$76,MATCH($A172,_ENGINE_Initiatives!$BW$5:$BW$76,0))="3-6 months",EDATE('Company Profile'!$B$6,3),IF(INDEX(_ENGINE_Initiatives!$BX$5:$BX$76,MATCH($A172,_ENGINE_Initiatives!$BW$5:$BW$76,0))="6-12 months",EDATE('Company Profile'!$B$6,6),EDATE('Company Profile'!$B$6,12)))),T$162&lt;=IF(INDEX(_ENGINE_Initiatives!$BX$5:$BX$76,MATCH($A172,_ENGINE_Initiatives!$BW$5:$BW$76,0))="0-90 days",'Company Profile'!$B$6,IF(INDEX(_ENGINE_Initiatives!$BX$5:$BX$76,MATCH($A172,_ENGINE_Initiatives!$BW$5:$BW$76,0))="3-6 months",EDATE('Company Profile'!$B$6,3),IF(INDEX(_ENGINE_Initiatives!$BX$5:$BX$76,MATCH($A172,_ENGINE_Initiatives!$BW$5:$BW$76,0))="6-12 months",EDATE('Company Profile'!$B$6,6),EDATE('Company Profile'!$B$6,12))))+(IF(INDEX(_ENGINE_Initiatives!$AB$5:$AB$76,MATCH($A172,_ENGINE_Initiatives!$BW$5:$BW$76,0))&lt;=2,6,IF(INDEX(_ENGINE_Initiatives!$AB$5:$AB$76,MATCH($A172,_ENGINE_Initiatives!$BW$5:$BW$76,0))=3,10,IF(INDEX(_ENGINE_Initiatives!$AB$5:$AB$76,MATCH($A172,_ENGINE_Initiatives!$BW$5:$BW$76,0))=4,16,24)))*7)),1,""),"")</f>
      </c>
      <c r="U172" s="30" t="n"/>
      <c r="V172" s="30" t="n"/>
    </row>
    <row r="173" ht="15" customHeight="1" s="209">
      <c r="A173" s="51" t="inlineStr">
        <is>
          <t>11</t>
        </is>
      </c>
      <c r="B173" s="51">
        <f>IFERROR(INDEX(_ENGINE_Initiatives!$F$5:$F$76,MATCH($A173,_ENGINE_Initiatives!$BW$5:$BW$76,0)),"")</f>
      </c>
      <c r="C173" s="55">
        <f>IFERROR(IF(AND(C$162&gt;=IF(INDEX(_ENGINE_Initiatives!$BX$5:$BX$76,MATCH($A173,_ENGINE_Initiatives!$BW$5:$BW$76,0))="0-90 days",'Company Profile'!$B$6,IF(INDEX(_ENGINE_Initiatives!$BX$5:$BX$76,MATCH($A173,_ENGINE_Initiatives!$BW$5:$BW$76,0))="3-6 months",EDATE('Company Profile'!$B$6,3),IF(INDEX(_ENGINE_Initiatives!$BX$5:$BX$76,MATCH($A173,_ENGINE_Initiatives!$BW$5:$BW$76,0))="6-12 months",EDATE('Company Profile'!$B$6,6),EDATE('Company Profile'!$B$6,12)))),C$162&lt;=IF(INDEX(_ENGINE_Initiatives!$BX$5:$BX$76,MATCH($A173,_ENGINE_Initiatives!$BW$5:$BW$76,0))="0-90 days",'Company Profile'!$B$6,IF(INDEX(_ENGINE_Initiatives!$BX$5:$BX$76,MATCH($A173,_ENGINE_Initiatives!$BW$5:$BW$76,0))="3-6 months",EDATE('Company Profile'!$B$6,3),IF(INDEX(_ENGINE_Initiatives!$BX$5:$BX$76,MATCH($A173,_ENGINE_Initiatives!$BW$5:$BW$76,0))="6-12 months",EDATE('Company Profile'!$B$6,6),EDATE('Company Profile'!$B$6,12))))+(IF(INDEX(_ENGINE_Initiatives!$AB$5:$AB$76,MATCH($A173,_ENGINE_Initiatives!$BW$5:$BW$76,0))&lt;=2,6,IF(INDEX(_ENGINE_Initiatives!$AB$5:$AB$76,MATCH($A173,_ENGINE_Initiatives!$BW$5:$BW$76,0))=3,10,IF(INDEX(_ENGINE_Initiatives!$AB$5:$AB$76,MATCH($A173,_ENGINE_Initiatives!$BW$5:$BW$76,0))=4,16,24)))*7)),1,""),"")</f>
      </c>
      <c r="D173" s="55">
        <f>IFERROR(IF(AND(D$162&gt;=IF(INDEX(_ENGINE_Initiatives!$BX$5:$BX$76,MATCH($A173,_ENGINE_Initiatives!$BW$5:$BW$76,0))="0-90 days",'Company Profile'!$B$6,IF(INDEX(_ENGINE_Initiatives!$BX$5:$BX$76,MATCH($A173,_ENGINE_Initiatives!$BW$5:$BW$76,0))="3-6 months",EDATE('Company Profile'!$B$6,3),IF(INDEX(_ENGINE_Initiatives!$BX$5:$BX$76,MATCH($A173,_ENGINE_Initiatives!$BW$5:$BW$76,0))="6-12 months",EDATE('Company Profile'!$B$6,6),EDATE('Company Profile'!$B$6,12)))),D$162&lt;=IF(INDEX(_ENGINE_Initiatives!$BX$5:$BX$76,MATCH($A173,_ENGINE_Initiatives!$BW$5:$BW$76,0))="0-90 days",'Company Profile'!$B$6,IF(INDEX(_ENGINE_Initiatives!$BX$5:$BX$76,MATCH($A173,_ENGINE_Initiatives!$BW$5:$BW$76,0))="3-6 months",EDATE('Company Profile'!$B$6,3),IF(INDEX(_ENGINE_Initiatives!$BX$5:$BX$76,MATCH($A173,_ENGINE_Initiatives!$BW$5:$BW$76,0))="6-12 months",EDATE('Company Profile'!$B$6,6),EDATE('Company Profile'!$B$6,12))))+(IF(INDEX(_ENGINE_Initiatives!$AB$5:$AB$76,MATCH($A173,_ENGINE_Initiatives!$BW$5:$BW$76,0))&lt;=2,6,IF(INDEX(_ENGINE_Initiatives!$AB$5:$AB$76,MATCH($A173,_ENGINE_Initiatives!$BW$5:$BW$76,0))=3,10,IF(INDEX(_ENGINE_Initiatives!$AB$5:$AB$76,MATCH($A173,_ENGINE_Initiatives!$BW$5:$BW$76,0))=4,16,24)))*7)),1,""),"")</f>
      </c>
      <c r="E173" s="55">
        <f>IFERROR(IF(AND(E$162&gt;=IF(INDEX(_ENGINE_Initiatives!$BX$5:$BX$76,MATCH($A173,_ENGINE_Initiatives!$BW$5:$BW$76,0))="0-90 days",'Company Profile'!$B$6,IF(INDEX(_ENGINE_Initiatives!$BX$5:$BX$76,MATCH($A173,_ENGINE_Initiatives!$BW$5:$BW$76,0))="3-6 months",EDATE('Company Profile'!$B$6,3),IF(INDEX(_ENGINE_Initiatives!$BX$5:$BX$76,MATCH($A173,_ENGINE_Initiatives!$BW$5:$BW$76,0))="6-12 months",EDATE('Company Profile'!$B$6,6),EDATE('Company Profile'!$B$6,12)))),E$162&lt;=IF(INDEX(_ENGINE_Initiatives!$BX$5:$BX$76,MATCH($A173,_ENGINE_Initiatives!$BW$5:$BW$76,0))="0-90 days",'Company Profile'!$B$6,IF(INDEX(_ENGINE_Initiatives!$BX$5:$BX$76,MATCH($A173,_ENGINE_Initiatives!$BW$5:$BW$76,0))="3-6 months",EDATE('Company Profile'!$B$6,3),IF(INDEX(_ENGINE_Initiatives!$BX$5:$BX$76,MATCH($A173,_ENGINE_Initiatives!$BW$5:$BW$76,0))="6-12 months",EDATE('Company Profile'!$B$6,6),EDATE('Company Profile'!$B$6,12))))+(IF(INDEX(_ENGINE_Initiatives!$AB$5:$AB$76,MATCH($A173,_ENGINE_Initiatives!$BW$5:$BW$76,0))&lt;=2,6,IF(INDEX(_ENGINE_Initiatives!$AB$5:$AB$76,MATCH($A173,_ENGINE_Initiatives!$BW$5:$BW$76,0))=3,10,IF(INDEX(_ENGINE_Initiatives!$AB$5:$AB$76,MATCH($A173,_ENGINE_Initiatives!$BW$5:$BW$76,0))=4,16,24)))*7)),1,""),"")</f>
      </c>
      <c r="F173" s="55">
        <f>IFERROR(IF(AND(F$162&gt;=IF(INDEX(_ENGINE_Initiatives!$BX$5:$BX$76,MATCH($A173,_ENGINE_Initiatives!$BW$5:$BW$76,0))="0-90 days",'Company Profile'!$B$6,IF(INDEX(_ENGINE_Initiatives!$BX$5:$BX$76,MATCH($A173,_ENGINE_Initiatives!$BW$5:$BW$76,0))="3-6 months",EDATE('Company Profile'!$B$6,3),IF(INDEX(_ENGINE_Initiatives!$BX$5:$BX$76,MATCH($A173,_ENGINE_Initiatives!$BW$5:$BW$76,0))="6-12 months",EDATE('Company Profile'!$B$6,6),EDATE('Company Profile'!$B$6,12)))),F$162&lt;=IF(INDEX(_ENGINE_Initiatives!$BX$5:$BX$76,MATCH($A173,_ENGINE_Initiatives!$BW$5:$BW$76,0))="0-90 days",'Company Profile'!$B$6,IF(INDEX(_ENGINE_Initiatives!$BX$5:$BX$76,MATCH($A173,_ENGINE_Initiatives!$BW$5:$BW$76,0))="3-6 months",EDATE('Company Profile'!$B$6,3),IF(INDEX(_ENGINE_Initiatives!$BX$5:$BX$76,MATCH($A173,_ENGINE_Initiatives!$BW$5:$BW$76,0))="6-12 months",EDATE('Company Profile'!$B$6,6),EDATE('Company Profile'!$B$6,12))))+(IF(INDEX(_ENGINE_Initiatives!$AB$5:$AB$76,MATCH($A173,_ENGINE_Initiatives!$BW$5:$BW$76,0))&lt;=2,6,IF(INDEX(_ENGINE_Initiatives!$AB$5:$AB$76,MATCH($A173,_ENGINE_Initiatives!$BW$5:$BW$76,0))=3,10,IF(INDEX(_ENGINE_Initiatives!$AB$5:$AB$76,MATCH($A173,_ENGINE_Initiatives!$BW$5:$BW$76,0))=4,16,24)))*7)),1,""),"")</f>
      </c>
      <c r="G173" s="55">
        <f>IFERROR(IF(AND(G$162&gt;=IF(INDEX(_ENGINE_Initiatives!$BX$5:$BX$76,MATCH($A173,_ENGINE_Initiatives!$BW$5:$BW$76,0))="0-90 days",'Company Profile'!$B$6,IF(INDEX(_ENGINE_Initiatives!$BX$5:$BX$76,MATCH($A173,_ENGINE_Initiatives!$BW$5:$BW$76,0))="3-6 months",EDATE('Company Profile'!$B$6,3),IF(INDEX(_ENGINE_Initiatives!$BX$5:$BX$76,MATCH($A173,_ENGINE_Initiatives!$BW$5:$BW$76,0))="6-12 months",EDATE('Company Profile'!$B$6,6),EDATE('Company Profile'!$B$6,12)))),G$162&lt;=IF(INDEX(_ENGINE_Initiatives!$BX$5:$BX$76,MATCH($A173,_ENGINE_Initiatives!$BW$5:$BW$76,0))="0-90 days",'Company Profile'!$B$6,IF(INDEX(_ENGINE_Initiatives!$BX$5:$BX$76,MATCH($A173,_ENGINE_Initiatives!$BW$5:$BW$76,0))="3-6 months",EDATE('Company Profile'!$B$6,3),IF(INDEX(_ENGINE_Initiatives!$BX$5:$BX$76,MATCH($A173,_ENGINE_Initiatives!$BW$5:$BW$76,0))="6-12 months",EDATE('Company Profile'!$B$6,6),EDATE('Company Profile'!$B$6,12))))+(IF(INDEX(_ENGINE_Initiatives!$AB$5:$AB$76,MATCH($A173,_ENGINE_Initiatives!$BW$5:$BW$76,0))&lt;=2,6,IF(INDEX(_ENGINE_Initiatives!$AB$5:$AB$76,MATCH($A173,_ENGINE_Initiatives!$BW$5:$BW$76,0))=3,10,IF(INDEX(_ENGINE_Initiatives!$AB$5:$AB$76,MATCH($A173,_ENGINE_Initiatives!$BW$5:$BW$76,0))=4,16,24)))*7)),1,""),"")</f>
      </c>
      <c r="H173" s="55">
        <f>IFERROR(IF(AND(H$162&gt;=IF(INDEX(_ENGINE_Initiatives!$BX$5:$BX$76,MATCH($A173,_ENGINE_Initiatives!$BW$5:$BW$76,0))="0-90 days",'Company Profile'!$B$6,IF(INDEX(_ENGINE_Initiatives!$BX$5:$BX$76,MATCH($A173,_ENGINE_Initiatives!$BW$5:$BW$76,0))="3-6 months",EDATE('Company Profile'!$B$6,3),IF(INDEX(_ENGINE_Initiatives!$BX$5:$BX$76,MATCH($A173,_ENGINE_Initiatives!$BW$5:$BW$76,0))="6-12 months",EDATE('Company Profile'!$B$6,6),EDATE('Company Profile'!$B$6,12)))),H$162&lt;=IF(INDEX(_ENGINE_Initiatives!$BX$5:$BX$76,MATCH($A173,_ENGINE_Initiatives!$BW$5:$BW$76,0))="0-90 days",'Company Profile'!$B$6,IF(INDEX(_ENGINE_Initiatives!$BX$5:$BX$76,MATCH($A173,_ENGINE_Initiatives!$BW$5:$BW$76,0))="3-6 months",EDATE('Company Profile'!$B$6,3),IF(INDEX(_ENGINE_Initiatives!$BX$5:$BX$76,MATCH($A173,_ENGINE_Initiatives!$BW$5:$BW$76,0))="6-12 months",EDATE('Company Profile'!$B$6,6),EDATE('Company Profile'!$B$6,12))))+(IF(INDEX(_ENGINE_Initiatives!$AB$5:$AB$76,MATCH($A173,_ENGINE_Initiatives!$BW$5:$BW$76,0))&lt;=2,6,IF(INDEX(_ENGINE_Initiatives!$AB$5:$AB$76,MATCH($A173,_ENGINE_Initiatives!$BW$5:$BW$76,0))=3,10,IF(INDEX(_ENGINE_Initiatives!$AB$5:$AB$76,MATCH($A173,_ENGINE_Initiatives!$BW$5:$BW$76,0))=4,16,24)))*7)),1,""),"")</f>
      </c>
      <c r="I173" s="55">
        <f>IFERROR(IF(AND(I$162&gt;=IF(INDEX(_ENGINE_Initiatives!$BX$5:$BX$76,MATCH($A173,_ENGINE_Initiatives!$BW$5:$BW$76,0))="0-90 days",'Company Profile'!$B$6,IF(INDEX(_ENGINE_Initiatives!$BX$5:$BX$76,MATCH($A173,_ENGINE_Initiatives!$BW$5:$BW$76,0))="3-6 months",EDATE('Company Profile'!$B$6,3),IF(INDEX(_ENGINE_Initiatives!$BX$5:$BX$76,MATCH($A173,_ENGINE_Initiatives!$BW$5:$BW$76,0))="6-12 months",EDATE('Company Profile'!$B$6,6),EDATE('Company Profile'!$B$6,12)))),I$162&lt;=IF(INDEX(_ENGINE_Initiatives!$BX$5:$BX$76,MATCH($A173,_ENGINE_Initiatives!$BW$5:$BW$76,0))="0-90 days",'Company Profile'!$B$6,IF(INDEX(_ENGINE_Initiatives!$BX$5:$BX$76,MATCH($A173,_ENGINE_Initiatives!$BW$5:$BW$76,0))="3-6 months",EDATE('Company Profile'!$B$6,3),IF(INDEX(_ENGINE_Initiatives!$BX$5:$BX$76,MATCH($A173,_ENGINE_Initiatives!$BW$5:$BW$76,0))="6-12 months",EDATE('Company Profile'!$B$6,6),EDATE('Company Profile'!$B$6,12))))+(IF(INDEX(_ENGINE_Initiatives!$AB$5:$AB$76,MATCH($A173,_ENGINE_Initiatives!$BW$5:$BW$76,0))&lt;=2,6,IF(INDEX(_ENGINE_Initiatives!$AB$5:$AB$76,MATCH($A173,_ENGINE_Initiatives!$BW$5:$BW$76,0))=3,10,IF(INDEX(_ENGINE_Initiatives!$AB$5:$AB$76,MATCH($A173,_ENGINE_Initiatives!$BW$5:$BW$76,0))=4,16,24)))*7)),1,""),"")</f>
      </c>
      <c r="J173" s="55">
        <f>IFERROR(IF(AND(J$162&gt;=IF(INDEX(_ENGINE_Initiatives!$BX$5:$BX$76,MATCH($A173,_ENGINE_Initiatives!$BW$5:$BW$76,0))="0-90 days",'Company Profile'!$B$6,IF(INDEX(_ENGINE_Initiatives!$BX$5:$BX$76,MATCH($A173,_ENGINE_Initiatives!$BW$5:$BW$76,0))="3-6 months",EDATE('Company Profile'!$B$6,3),IF(INDEX(_ENGINE_Initiatives!$BX$5:$BX$76,MATCH($A173,_ENGINE_Initiatives!$BW$5:$BW$76,0))="6-12 months",EDATE('Company Profile'!$B$6,6),EDATE('Company Profile'!$B$6,12)))),J$162&lt;=IF(INDEX(_ENGINE_Initiatives!$BX$5:$BX$76,MATCH($A173,_ENGINE_Initiatives!$BW$5:$BW$76,0))="0-90 days",'Company Profile'!$B$6,IF(INDEX(_ENGINE_Initiatives!$BX$5:$BX$76,MATCH($A173,_ENGINE_Initiatives!$BW$5:$BW$76,0))="3-6 months",EDATE('Company Profile'!$B$6,3),IF(INDEX(_ENGINE_Initiatives!$BX$5:$BX$76,MATCH($A173,_ENGINE_Initiatives!$BW$5:$BW$76,0))="6-12 months",EDATE('Company Profile'!$B$6,6),EDATE('Company Profile'!$B$6,12))))+(IF(INDEX(_ENGINE_Initiatives!$AB$5:$AB$76,MATCH($A173,_ENGINE_Initiatives!$BW$5:$BW$76,0))&lt;=2,6,IF(INDEX(_ENGINE_Initiatives!$AB$5:$AB$76,MATCH($A173,_ENGINE_Initiatives!$BW$5:$BW$76,0))=3,10,IF(INDEX(_ENGINE_Initiatives!$AB$5:$AB$76,MATCH($A173,_ENGINE_Initiatives!$BW$5:$BW$76,0))=4,16,24)))*7)),1,""),"")</f>
      </c>
      <c r="K173" s="55">
        <f>IFERROR(IF(AND(K$162&gt;=IF(INDEX(_ENGINE_Initiatives!$BX$5:$BX$76,MATCH($A173,_ENGINE_Initiatives!$BW$5:$BW$76,0))="0-90 days",'Company Profile'!$B$6,IF(INDEX(_ENGINE_Initiatives!$BX$5:$BX$76,MATCH($A173,_ENGINE_Initiatives!$BW$5:$BW$76,0))="3-6 months",EDATE('Company Profile'!$B$6,3),IF(INDEX(_ENGINE_Initiatives!$BX$5:$BX$76,MATCH($A173,_ENGINE_Initiatives!$BW$5:$BW$76,0))="6-12 months",EDATE('Company Profile'!$B$6,6),EDATE('Company Profile'!$B$6,12)))),K$162&lt;=IF(INDEX(_ENGINE_Initiatives!$BX$5:$BX$76,MATCH($A173,_ENGINE_Initiatives!$BW$5:$BW$76,0))="0-90 days",'Company Profile'!$B$6,IF(INDEX(_ENGINE_Initiatives!$BX$5:$BX$76,MATCH($A173,_ENGINE_Initiatives!$BW$5:$BW$76,0))="3-6 months",EDATE('Company Profile'!$B$6,3),IF(INDEX(_ENGINE_Initiatives!$BX$5:$BX$76,MATCH($A173,_ENGINE_Initiatives!$BW$5:$BW$76,0))="6-12 months",EDATE('Company Profile'!$B$6,6),EDATE('Company Profile'!$B$6,12))))+(IF(INDEX(_ENGINE_Initiatives!$AB$5:$AB$76,MATCH($A173,_ENGINE_Initiatives!$BW$5:$BW$76,0))&lt;=2,6,IF(INDEX(_ENGINE_Initiatives!$AB$5:$AB$76,MATCH($A173,_ENGINE_Initiatives!$BW$5:$BW$76,0))=3,10,IF(INDEX(_ENGINE_Initiatives!$AB$5:$AB$76,MATCH($A173,_ENGINE_Initiatives!$BW$5:$BW$76,0))=4,16,24)))*7)),1,""),"")</f>
      </c>
      <c r="L173" s="55">
        <f>IFERROR(IF(AND(L$162&gt;=IF(INDEX(_ENGINE_Initiatives!$BX$5:$BX$76,MATCH($A173,_ENGINE_Initiatives!$BW$5:$BW$76,0))="0-90 days",'Company Profile'!$B$6,IF(INDEX(_ENGINE_Initiatives!$BX$5:$BX$76,MATCH($A173,_ENGINE_Initiatives!$BW$5:$BW$76,0))="3-6 months",EDATE('Company Profile'!$B$6,3),IF(INDEX(_ENGINE_Initiatives!$BX$5:$BX$76,MATCH($A173,_ENGINE_Initiatives!$BW$5:$BW$76,0))="6-12 months",EDATE('Company Profile'!$B$6,6),EDATE('Company Profile'!$B$6,12)))),L$162&lt;=IF(INDEX(_ENGINE_Initiatives!$BX$5:$BX$76,MATCH($A173,_ENGINE_Initiatives!$BW$5:$BW$76,0))="0-90 days",'Company Profile'!$B$6,IF(INDEX(_ENGINE_Initiatives!$BX$5:$BX$76,MATCH($A173,_ENGINE_Initiatives!$BW$5:$BW$76,0))="3-6 months",EDATE('Company Profile'!$B$6,3),IF(INDEX(_ENGINE_Initiatives!$BX$5:$BX$76,MATCH($A173,_ENGINE_Initiatives!$BW$5:$BW$76,0))="6-12 months",EDATE('Company Profile'!$B$6,6),EDATE('Company Profile'!$B$6,12))))+(IF(INDEX(_ENGINE_Initiatives!$AB$5:$AB$76,MATCH($A173,_ENGINE_Initiatives!$BW$5:$BW$76,0))&lt;=2,6,IF(INDEX(_ENGINE_Initiatives!$AB$5:$AB$76,MATCH($A173,_ENGINE_Initiatives!$BW$5:$BW$76,0))=3,10,IF(INDEX(_ENGINE_Initiatives!$AB$5:$AB$76,MATCH($A173,_ENGINE_Initiatives!$BW$5:$BW$76,0))=4,16,24)))*7)),1,""),"")</f>
      </c>
      <c r="M173" s="55">
        <f>IFERROR(IF(AND(M$162&gt;=IF(INDEX(_ENGINE_Initiatives!$BX$5:$BX$76,MATCH($A173,_ENGINE_Initiatives!$BW$5:$BW$76,0))="0-90 days",'Company Profile'!$B$6,IF(INDEX(_ENGINE_Initiatives!$BX$5:$BX$76,MATCH($A173,_ENGINE_Initiatives!$BW$5:$BW$76,0))="3-6 months",EDATE('Company Profile'!$B$6,3),IF(INDEX(_ENGINE_Initiatives!$BX$5:$BX$76,MATCH($A173,_ENGINE_Initiatives!$BW$5:$BW$76,0))="6-12 months",EDATE('Company Profile'!$B$6,6),EDATE('Company Profile'!$B$6,12)))),M$162&lt;=IF(INDEX(_ENGINE_Initiatives!$BX$5:$BX$76,MATCH($A173,_ENGINE_Initiatives!$BW$5:$BW$76,0))="0-90 days",'Company Profile'!$B$6,IF(INDEX(_ENGINE_Initiatives!$BX$5:$BX$76,MATCH($A173,_ENGINE_Initiatives!$BW$5:$BW$76,0))="3-6 months",EDATE('Company Profile'!$B$6,3),IF(INDEX(_ENGINE_Initiatives!$BX$5:$BX$76,MATCH($A173,_ENGINE_Initiatives!$BW$5:$BW$76,0))="6-12 months",EDATE('Company Profile'!$B$6,6),EDATE('Company Profile'!$B$6,12))))+(IF(INDEX(_ENGINE_Initiatives!$AB$5:$AB$76,MATCH($A173,_ENGINE_Initiatives!$BW$5:$BW$76,0))&lt;=2,6,IF(INDEX(_ENGINE_Initiatives!$AB$5:$AB$76,MATCH($A173,_ENGINE_Initiatives!$BW$5:$BW$76,0))=3,10,IF(INDEX(_ENGINE_Initiatives!$AB$5:$AB$76,MATCH($A173,_ENGINE_Initiatives!$BW$5:$BW$76,0))=4,16,24)))*7)),1,""),"")</f>
      </c>
      <c r="N173" s="55">
        <f>IFERROR(IF(AND(N$162&gt;=IF(INDEX(_ENGINE_Initiatives!$BX$5:$BX$76,MATCH($A173,_ENGINE_Initiatives!$BW$5:$BW$76,0))="0-90 days",'Company Profile'!$B$6,IF(INDEX(_ENGINE_Initiatives!$BX$5:$BX$76,MATCH($A173,_ENGINE_Initiatives!$BW$5:$BW$76,0))="3-6 months",EDATE('Company Profile'!$B$6,3),IF(INDEX(_ENGINE_Initiatives!$BX$5:$BX$76,MATCH($A173,_ENGINE_Initiatives!$BW$5:$BW$76,0))="6-12 months",EDATE('Company Profile'!$B$6,6),EDATE('Company Profile'!$B$6,12)))),N$162&lt;=IF(INDEX(_ENGINE_Initiatives!$BX$5:$BX$76,MATCH($A173,_ENGINE_Initiatives!$BW$5:$BW$76,0))="0-90 days",'Company Profile'!$B$6,IF(INDEX(_ENGINE_Initiatives!$BX$5:$BX$76,MATCH($A173,_ENGINE_Initiatives!$BW$5:$BW$76,0))="3-6 months",EDATE('Company Profile'!$B$6,3),IF(INDEX(_ENGINE_Initiatives!$BX$5:$BX$76,MATCH($A173,_ENGINE_Initiatives!$BW$5:$BW$76,0))="6-12 months",EDATE('Company Profile'!$B$6,6),EDATE('Company Profile'!$B$6,12))))+(IF(INDEX(_ENGINE_Initiatives!$AB$5:$AB$76,MATCH($A173,_ENGINE_Initiatives!$BW$5:$BW$76,0))&lt;=2,6,IF(INDEX(_ENGINE_Initiatives!$AB$5:$AB$76,MATCH($A173,_ENGINE_Initiatives!$BW$5:$BW$76,0))=3,10,IF(INDEX(_ENGINE_Initiatives!$AB$5:$AB$76,MATCH($A173,_ENGINE_Initiatives!$BW$5:$BW$76,0))=4,16,24)))*7)),1,""),"")</f>
      </c>
      <c r="O173" s="55">
        <f>IFERROR(IF(AND(O$162&gt;=IF(INDEX(_ENGINE_Initiatives!$BX$5:$BX$76,MATCH($A173,_ENGINE_Initiatives!$BW$5:$BW$76,0))="0-90 days",'Company Profile'!$B$6,IF(INDEX(_ENGINE_Initiatives!$BX$5:$BX$76,MATCH($A173,_ENGINE_Initiatives!$BW$5:$BW$76,0))="3-6 months",EDATE('Company Profile'!$B$6,3),IF(INDEX(_ENGINE_Initiatives!$BX$5:$BX$76,MATCH($A173,_ENGINE_Initiatives!$BW$5:$BW$76,0))="6-12 months",EDATE('Company Profile'!$B$6,6),EDATE('Company Profile'!$B$6,12)))),O$162&lt;=IF(INDEX(_ENGINE_Initiatives!$BX$5:$BX$76,MATCH($A173,_ENGINE_Initiatives!$BW$5:$BW$76,0))="0-90 days",'Company Profile'!$B$6,IF(INDEX(_ENGINE_Initiatives!$BX$5:$BX$76,MATCH($A173,_ENGINE_Initiatives!$BW$5:$BW$76,0))="3-6 months",EDATE('Company Profile'!$B$6,3),IF(INDEX(_ENGINE_Initiatives!$BX$5:$BX$76,MATCH($A173,_ENGINE_Initiatives!$BW$5:$BW$76,0))="6-12 months",EDATE('Company Profile'!$B$6,6),EDATE('Company Profile'!$B$6,12))))+(IF(INDEX(_ENGINE_Initiatives!$AB$5:$AB$76,MATCH($A173,_ENGINE_Initiatives!$BW$5:$BW$76,0))&lt;=2,6,IF(INDEX(_ENGINE_Initiatives!$AB$5:$AB$76,MATCH($A173,_ENGINE_Initiatives!$BW$5:$BW$76,0))=3,10,IF(INDEX(_ENGINE_Initiatives!$AB$5:$AB$76,MATCH($A173,_ENGINE_Initiatives!$BW$5:$BW$76,0))=4,16,24)))*7)),1,""),"")</f>
      </c>
      <c r="P173" s="55">
        <f>IFERROR(IF(AND(P$162&gt;=IF(INDEX(_ENGINE_Initiatives!$BX$5:$BX$76,MATCH($A173,_ENGINE_Initiatives!$BW$5:$BW$76,0))="0-90 days",'Company Profile'!$B$6,IF(INDEX(_ENGINE_Initiatives!$BX$5:$BX$76,MATCH($A173,_ENGINE_Initiatives!$BW$5:$BW$76,0))="3-6 months",EDATE('Company Profile'!$B$6,3),IF(INDEX(_ENGINE_Initiatives!$BX$5:$BX$76,MATCH($A173,_ENGINE_Initiatives!$BW$5:$BW$76,0))="6-12 months",EDATE('Company Profile'!$B$6,6),EDATE('Company Profile'!$B$6,12)))),P$162&lt;=IF(INDEX(_ENGINE_Initiatives!$BX$5:$BX$76,MATCH($A173,_ENGINE_Initiatives!$BW$5:$BW$76,0))="0-90 days",'Company Profile'!$B$6,IF(INDEX(_ENGINE_Initiatives!$BX$5:$BX$76,MATCH($A173,_ENGINE_Initiatives!$BW$5:$BW$76,0))="3-6 months",EDATE('Company Profile'!$B$6,3),IF(INDEX(_ENGINE_Initiatives!$BX$5:$BX$76,MATCH($A173,_ENGINE_Initiatives!$BW$5:$BW$76,0))="6-12 months",EDATE('Company Profile'!$B$6,6),EDATE('Company Profile'!$B$6,12))))+(IF(INDEX(_ENGINE_Initiatives!$AB$5:$AB$76,MATCH($A173,_ENGINE_Initiatives!$BW$5:$BW$76,0))&lt;=2,6,IF(INDEX(_ENGINE_Initiatives!$AB$5:$AB$76,MATCH($A173,_ENGINE_Initiatives!$BW$5:$BW$76,0))=3,10,IF(INDEX(_ENGINE_Initiatives!$AB$5:$AB$76,MATCH($A173,_ENGINE_Initiatives!$BW$5:$BW$76,0))=4,16,24)))*7)),1,""),"")</f>
      </c>
      <c r="Q173" s="55">
        <f>IFERROR(IF(AND(Q$162&gt;=IF(INDEX(_ENGINE_Initiatives!$BX$5:$BX$76,MATCH($A173,_ENGINE_Initiatives!$BW$5:$BW$76,0))="0-90 days",'Company Profile'!$B$6,IF(INDEX(_ENGINE_Initiatives!$BX$5:$BX$76,MATCH($A173,_ENGINE_Initiatives!$BW$5:$BW$76,0))="3-6 months",EDATE('Company Profile'!$B$6,3),IF(INDEX(_ENGINE_Initiatives!$BX$5:$BX$76,MATCH($A173,_ENGINE_Initiatives!$BW$5:$BW$76,0))="6-12 months",EDATE('Company Profile'!$B$6,6),EDATE('Company Profile'!$B$6,12)))),Q$162&lt;=IF(INDEX(_ENGINE_Initiatives!$BX$5:$BX$76,MATCH($A173,_ENGINE_Initiatives!$BW$5:$BW$76,0))="0-90 days",'Company Profile'!$B$6,IF(INDEX(_ENGINE_Initiatives!$BX$5:$BX$76,MATCH($A173,_ENGINE_Initiatives!$BW$5:$BW$76,0))="3-6 months",EDATE('Company Profile'!$B$6,3),IF(INDEX(_ENGINE_Initiatives!$BX$5:$BX$76,MATCH($A173,_ENGINE_Initiatives!$BW$5:$BW$76,0))="6-12 months",EDATE('Company Profile'!$B$6,6),EDATE('Company Profile'!$B$6,12))))+(IF(INDEX(_ENGINE_Initiatives!$AB$5:$AB$76,MATCH($A173,_ENGINE_Initiatives!$BW$5:$BW$76,0))&lt;=2,6,IF(INDEX(_ENGINE_Initiatives!$AB$5:$AB$76,MATCH($A173,_ENGINE_Initiatives!$BW$5:$BW$76,0))=3,10,IF(INDEX(_ENGINE_Initiatives!$AB$5:$AB$76,MATCH($A173,_ENGINE_Initiatives!$BW$5:$BW$76,0))=4,16,24)))*7)),1,""),"")</f>
      </c>
      <c r="R173" s="55">
        <f>IFERROR(IF(AND(R$162&gt;=IF(INDEX(_ENGINE_Initiatives!$BX$5:$BX$76,MATCH($A173,_ENGINE_Initiatives!$BW$5:$BW$76,0))="0-90 days",'Company Profile'!$B$6,IF(INDEX(_ENGINE_Initiatives!$BX$5:$BX$76,MATCH($A173,_ENGINE_Initiatives!$BW$5:$BW$76,0))="3-6 months",EDATE('Company Profile'!$B$6,3),IF(INDEX(_ENGINE_Initiatives!$BX$5:$BX$76,MATCH($A173,_ENGINE_Initiatives!$BW$5:$BW$76,0))="6-12 months",EDATE('Company Profile'!$B$6,6),EDATE('Company Profile'!$B$6,12)))),R$162&lt;=IF(INDEX(_ENGINE_Initiatives!$BX$5:$BX$76,MATCH($A173,_ENGINE_Initiatives!$BW$5:$BW$76,0))="0-90 days",'Company Profile'!$B$6,IF(INDEX(_ENGINE_Initiatives!$BX$5:$BX$76,MATCH($A173,_ENGINE_Initiatives!$BW$5:$BW$76,0))="3-6 months",EDATE('Company Profile'!$B$6,3),IF(INDEX(_ENGINE_Initiatives!$BX$5:$BX$76,MATCH($A173,_ENGINE_Initiatives!$BW$5:$BW$76,0))="6-12 months",EDATE('Company Profile'!$B$6,6),EDATE('Company Profile'!$B$6,12))))+(IF(INDEX(_ENGINE_Initiatives!$AB$5:$AB$76,MATCH($A173,_ENGINE_Initiatives!$BW$5:$BW$76,0))&lt;=2,6,IF(INDEX(_ENGINE_Initiatives!$AB$5:$AB$76,MATCH($A173,_ENGINE_Initiatives!$BW$5:$BW$76,0))=3,10,IF(INDEX(_ENGINE_Initiatives!$AB$5:$AB$76,MATCH($A173,_ENGINE_Initiatives!$BW$5:$BW$76,0))=4,16,24)))*7)),1,""),"")</f>
      </c>
      <c r="S173" s="55">
        <f>IFERROR(IF(AND(S$162&gt;=IF(INDEX(_ENGINE_Initiatives!$BX$5:$BX$76,MATCH($A173,_ENGINE_Initiatives!$BW$5:$BW$76,0))="0-90 days",'Company Profile'!$B$6,IF(INDEX(_ENGINE_Initiatives!$BX$5:$BX$76,MATCH($A173,_ENGINE_Initiatives!$BW$5:$BW$76,0))="3-6 months",EDATE('Company Profile'!$B$6,3),IF(INDEX(_ENGINE_Initiatives!$BX$5:$BX$76,MATCH($A173,_ENGINE_Initiatives!$BW$5:$BW$76,0))="6-12 months",EDATE('Company Profile'!$B$6,6),EDATE('Company Profile'!$B$6,12)))),S$162&lt;=IF(INDEX(_ENGINE_Initiatives!$BX$5:$BX$76,MATCH($A173,_ENGINE_Initiatives!$BW$5:$BW$76,0))="0-90 days",'Company Profile'!$B$6,IF(INDEX(_ENGINE_Initiatives!$BX$5:$BX$76,MATCH($A173,_ENGINE_Initiatives!$BW$5:$BW$76,0))="3-6 months",EDATE('Company Profile'!$B$6,3),IF(INDEX(_ENGINE_Initiatives!$BX$5:$BX$76,MATCH($A173,_ENGINE_Initiatives!$BW$5:$BW$76,0))="6-12 months",EDATE('Company Profile'!$B$6,6),EDATE('Company Profile'!$B$6,12))))+(IF(INDEX(_ENGINE_Initiatives!$AB$5:$AB$76,MATCH($A173,_ENGINE_Initiatives!$BW$5:$BW$76,0))&lt;=2,6,IF(INDEX(_ENGINE_Initiatives!$AB$5:$AB$76,MATCH($A173,_ENGINE_Initiatives!$BW$5:$BW$76,0))=3,10,IF(INDEX(_ENGINE_Initiatives!$AB$5:$AB$76,MATCH($A173,_ENGINE_Initiatives!$BW$5:$BW$76,0))=4,16,24)))*7)),1,""),"")</f>
      </c>
      <c r="T173" s="55">
        <f>IFERROR(IF(AND(T$162&gt;=IF(INDEX(_ENGINE_Initiatives!$BX$5:$BX$76,MATCH($A173,_ENGINE_Initiatives!$BW$5:$BW$76,0))="0-90 days",'Company Profile'!$B$6,IF(INDEX(_ENGINE_Initiatives!$BX$5:$BX$76,MATCH($A173,_ENGINE_Initiatives!$BW$5:$BW$76,0))="3-6 months",EDATE('Company Profile'!$B$6,3),IF(INDEX(_ENGINE_Initiatives!$BX$5:$BX$76,MATCH($A173,_ENGINE_Initiatives!$BW$5:$BW$76,0))="6-12 months",EDATE('Company Profile'!$B$6,6),EDATE('Company Profile'!$B$6,12)))),T$162&lt;=IF(INDEX(_ENGINE_Initiatives!$BX$5:$BX$76,MATCH($A173,_ENGINE_Initiatives!$BW$5:$BW$76,0))="0-90 days",'Company Profile'!$B$6,IF(INDEX(_ENGINE_Initiatives!$BX$5:$BX$76,MATCH($A173,_ENGINE_Initiatives!$BW$5:$BW$76,0))="3-6 months",EDATE('Company Profile'!$B$6,3),IF(INDEX(_ENGINE_Initiatives!$BX$5:$BX$76,MATCH($A173,_ENGINE_Initiatives!$BW$5:$BW$76,0))="6-12 months",EDATE('Company Profile'!$B$6,6),EDATE('Company Profile'!$B$6,12))))+(IF(INDEX(_ENGINE_Initiatives!$AB$5:$AB$76,MATCH($A173,_ENGINE_Initiatives!$BW$5:$BW$76,0))&lt;=2,6,IF(INDEX(_ENGINE_Initiatives!$AB$5:$AB$76,MATCH($A173,_ENGINE_Initiatives!$BW$5:$BW$76,0))=3,10,IF(INDEX(_ENGINE_Initiatives!$AB$5:$AB$76,MATCH($A173,_ENGINE_Initiatives!$BW$5:$BW$76,0))=4,16,24)))*7)),1,""),"")</f>
      </c>
      <c r="U173" s="30" t="n"/>
      <c r="V173" s="30" t="n"/>
    </row>
    <row r="174" ht="15" customHeight="1" s="209">
      <c r="A174" s="51" t="inlineStr">
        <is>
          <t>12</t>
        </is>
      </c>
      <c r="B174" s="51">
        <f>IFERROR(INDEX(_ENGINE_Initiatives!$F$5:$F$76,MATCH($A174,_ENGINE_Initiatives!$BW$5:$BW$76,0)),"")</f>
      </c>
      <c r="C174" s="55">
        <f>IFERROR(IF(AND(C$162&gt;=IF(INDEX(_ENGINE_Initiatives!$BX$5:$BX$76,MATCH($A174,_ENGINE_Initiatives!$BW$5:$BW$76,0))="0-90 days",'Company Profile'!$B$6,IF(INDEX(_ENGINE_Initiatives!$BX$5:$BX$76,MATCH($A174,_ENGINE_Initiatives!$BW$5:$BW$76,0))="3-6 months",EDATE('Company Profile'!$B$6,3),IF(INDEX(_ENGINE_Initiatives!$BX$5:$BX$76,MATCH($A174,_ENGINE_Initiatives!$BW$5:$BW$76,0))="6-12 months",EDATE('Company Profile'!$B$6,6),EDATE('Company Profile'!$B$6,12)))),C$162&lt;=IF(INDEX(_ENGINE_Initiatives!$BX$5:$BX$76,MATCH($A174,_ENGINE_Initiatives!$BW$5:$BW$76,0))="0-90 days",'Company Profile'!$B$6,IF(INDEX(_ENGINE_Initiatives!$BX$5:$BX$76,MATCH($A174,_ENGINE_Initiatives!$BW$5:$BW$76,0))="3-6 months",EDATE('Company Profile'!$B$6,3),IF(INDEX(_ENGINE_Initiatives!$BX$5:$BX$76,MATCH($A174,_ENGINE_Initiatives!$BW$5:$BW$76,0))="6-12 months",EDATE('Company Profile'!$B$6,6),EDATE('Company Profile'!$B$6,12))))+(IF(INDEX(_ENGINE_Initiatives!$AB$5:$AB$76,MATCH($A174,_ENGINE_Initiatives!$BW$5:$BW$76,0))&lt;=2,6,IF(INDEX(_ENGINE_Initiatives!$AB$5:$AB$76,MATCH($A174,_ENGINE_Initiatives!$BW$5:$BW$76,0))=3,10,IF(INDEX(_ENGINE_Initiatives!$AB$5:$AB$76,MATCH($A174,_ENGINE_Initiatives!$BW$5:$BW$76,0))=4,16,24)))*7)),1,""),"")</f>
      </c>
      <c r="D174" s="55">
        <f>IFERROR(IF(AND(D$162&gt;=IF(INDEX(_ENGINE_Initiatives!$BX$5:$BX$76,MATCH($A174,_ENGINE_Initiatives!$BW$5:$BW$76,0))="0-90 days",'Company Profile'!$B$6,IF(INDEX(_ENGINE_Initiatives!$BX$5:$BX$76,MATCH($A174,_ENGINE_Initiatives!$BW$5:$BW$76,0))="3-6 months",EDATE('Company Profile'!$B$6,3),IF(INDEX(_ENGINE_Initiatives!$BX$5:$BX$76,MATCH($A174,_ENGINE_Initiatives!$BW$5:$BW$76,0))="6-12 months",EDATE('Company Profile'!$B$6,6),EDATE('Company Profile'!$B$6,12)))),D$162&lt;=IF(INDEX(_ENGINE_Initiatives!$BX$5:$BX$76,MATCH($A174,_ENGINE_Initiatives!$BW$5:$BW$76,0))="0-90 days",'Company Profile'!$B$6,IF(INDEX(_ENGINE_Initiatives!$BX$5:$BX$76,MATCH($A174,_ENGINE_Initiatives!$BW$5:$BW$76,0))="3-6 months",EDATE('Company Profile'!$B$6,3),IF(INDEX(_ENGINE_Initiatives!$BX$5:$BX$76,MATCH($A174,_ENGINE_Initiatives!$BW$5:$BW$76,0))="6-12 months",EDATE('Company Profile'!$B$6,6),EDATE('Company Profile'!$B$6,12))))+(IF(INDEX(_ENGINE_Initiatives!$AB$5:$AB$76,MATCH($A174,_ENGINE_Initiatives!$BW$5:$BW$76,0))&lt;=2,6,IF(INDEX(_ENGINE_Initiatives!$AB$5:$AB$76,MATCH($A174,_ENGINE_Initiatives!$BW$5:$BW$76,0))=3,10,IF(INDEX(_ENGINE_Initiatives!$AB$5:$AB$76,MATCH($A174,_ENGINE_Initiatives!$BW$5:$BW$76,0))=4,16,24)))*7)),1,""),"")</f>
      </c>
      <c r="E174" s="55">
        <f>IFERROR(IF(AND(E$162&gt;=IF(INDEX(_ENGINE_Initiatives!$BX$5:$BX$76,MATCH($A174,_ENGINE_Initiatives!$BW$5:$BW$76,0))="0-90 days",'Company Profile'!$B$6,IF(INDEX(_ENGINE_Initiatives!$BX$5:$BX$76,MATCH($A174,_ENGINE_Initiatives!$BW$5:$BW$76,0))="3-6 months",EDATE('Company Profile'!$B$6,3),IF(INDEX(_ENGINE_Initiatives!$BX$5:$BX$76,MATCH($A174,_ENGINE_Initiatives!$BW$5:$BW$76,0))="6-12 months",EDATE('Company Profile'!$B$6,6),EDATE('Company Profile'!$B$6,12)))),E$162&lt;=IF(INDEX(_ENGINE_Initiatives!$BX$5:$BX$76,MATCH($A174,_ENGINE_Initiatives!$BW$5:$BW$76,0))="0-90 days",'Company Profile'!$B$6,IF(INDEX(_ENGINE_Initiatives!$BX$5:$BX$76,MATCH($A174,_ENGINE_Initiatives!$BW$5:$BW$76,0))="3-6 months",EDATE('Company Profile'!$B$6,3),IF(INDEX(_ENGINE_Initiatives!$BX$5:$BX$76,MATCH($A174,_ENGINE_Initiatives!$BW$5:$BW$76,0))="6-12 months",EDATE('Company Profile'!$B$6,6),EDATE('Company Profile'!$B$6,12))))+(IF(INDEX(_ENGINE_Initiatives!$AB$5:$AB$76,MATCH($A174,_ENGINE_Initiatives!$BW$5:$BW$76,0))&lt;=2,6,IF(INDEX(_ENGINE_Initiatives!$AB$5:$AB$76,MATCH($A174,_ENGINE_Initiatives!$BW$5:$BW$76,0))=3,10,IF(INDEX(_ENGINE_Initiatives!$AB$5:$AB$76,MATCH($A174,_ENGINE_Initiatives!$BW$5:$BW$76,0))=4,16,24)))*7)),1,""),"")</f>
      </c>
      <c r="F174" s="55">
        <f>IFERROR(IF(AND(F$162&gt;=IF(INDEX(_ENGINE_Initiatives!$BX$5:$BX$76,MATCH($A174,_ENGINE_Initiatives!$BW$5:$BW$76,0))="0-90 days",'Company Profile'!$B$6,IF(INDEX(_ENGINE_Initiatives!$BX$5:$BX$76,MATCH($A174,_ENGINE_Initiatives!$BW$5:$BW$76,0))="3-6 months",EDATE('Company Profile'!$B$6,3),IF(INDEX(_ENGINE_Initiatives!$BX$5:$BX$76,MATCH($A174,_ENGINE_Initiatives!$BW$5:$BW$76,0))="6-12 months",EDATE('Company Profile'!$B$6,6),EDATE('Company Profile'!$B$6,12)))),F$162&lt;=IF(INDEX(_ENGINE_Initiatives!$BX$5:$BX$76,MATCH($A174,_ENGINE_Initiatives!$BW$5:$BW$76,0))="0-90 days",'Company Profile'!$B$6,IF(INDEX(_ENGINE_Initiatives!$BX$5:$BX$76,MATCH($A174,_ENGINE_Initiatives!$BW$5:$BW$76,0))="3-6 months",EDATE('Company Profile'!$B$6,3),IF(INDEX(_ENGINE_Initiatives!$BX$5:$BX$76,MATCH($A174,_ENGINE_Initiatives!$BW$5:$BW$76,0))="6-12 months",EDATE('Company Profile'!$B$6,6),EDATE('Company Profile'!$B$6,12))))+(IF(INDEX(_ENGINE_Initiatives!$AB$5:$AB$76,MATCH($A174,_ENGINE_Initiatives!$BW$5:$BW$76,0))&lt;=2,6,IF(INDEX(_ENGINE_Initiatives!$AB$5:$AB$76,MATCH($A174,_ENGINE_Initiatives!$BW$5:$BW$76,0))=3,10,IF(INDEX(_ENGINE_Initiatives!$AB$5:$AB$76,MATCH($A174,_ENGINE_Initiatives!$BW$5:$BW$76,0))=4,16,24)))*7)),1,""),"")</f>
      </c>
      <c r="G174" s="55">
        <f>IFERROR(IF(AND(G$162&gt;=IF(INDEX(_ENGINE_Initiatives!$BX$5:$BX$76,MATCH($A174,_ENGINE_Initiatives!$BW$5:$BW$76,0))="0-90 days",'Company Profile'!$B$6,IF(INDEX(_ENGINE_Initiatives!$BX$5:$BX$76,MATCH($A174,_ENGINE_Initiatives!$BW$5:$BW$76,0))="3-6 months",EDATE('Company Profile'!$B$6,3),IF(INDEX(_ENGINE_Initiatives!$BX$5:$BX$76,MATCH($A174,_ENGINE_Initiatives!$BW$5:$BW$76,0))="6-12 months",EDATE('Company Profile'!$B$6,6),EDATE('Company Profile'!$B$6,12)))),G$162&lt;=IF(INDEX(_ENGINE_Initiatives!$BX$5:$BX$76,MATCH($A174,_ENGINE_Initiatives!$BW$5:$BW$76,0))="0-90 days",'Company Profile'!$B$6,IF(INDEX(_ENGINE_Initiatives!$BX$5:$BX$76,MATCH($A174,_ENGINE_Initiatives!$BW$5:$BW$76,0))="3-6 months",EDATE('Company Profile'!$B$6,3),IF(INDEX(_ENGINE_Initiatives!$BX$5:$BX$76,MATCH($A174,_ENGINE_Initiatives!$BW$5:$BW$76,0))="6-12 months",EDATE('Company Profile'!$B$6,6),EDATE('Company Profile'!$B$6,12))))+(IF(INDEX(_ENGINE_Initiatives!$AB$5:$AB$76,MATCH($A174,_ENGINE_Initiatives!$BW$5:$BW$76,0))&lt;=2,6,IF(INDEX(_ENGINE_Initiatives!$AB$5:$AB$76,MATCH($A174,_ENGINE_Initiatives!$BW$5:$BW$76,0))=3,10,IF(INDEX(_ENGINE_Initiatives!$AB$5:$AB$76,MATCH($A174,_ENGINE_Initiatives!$BW$5:$BW$76,0))=4,16,24)))*7)),1,""),"")</f>
      </c>
      <c r="H174" s="55">
        <f>IFERROR(IF(AND(H$162&gt;=IF(INDEX(_ENGINE_Initiatives!$BX$5:$BX$76,MATCH($A174,_ENGINE_Initiatives!$BW$5:$BW$76,0))="0-90 days",'Company Profile'!$B$6,IF(INDEX(_ENGINE_Initiatives!$BX$5:$BX$76,MATCH($A174,_ENGINE_Initiatives!$BW$5:$BW$76,0))="3-6 months",EDATE('Company Profile'!$B$6,3),IF(INDEX(_ENGINE_Initiatives!$BX$5:$BX$76,MATCH($A174,_ENGINE_Initiatives!$BW$5:$BW$76,0))="6-12 months",EDATE('Company Profile'!$B$6,6),EDATE('Company Profile'!$B$6,12)))),H$162&lt;=IF(INDEX(_ENGINE_Initiatives!$BX$5:$BX$76,MATCH($A174,_ENGINE_Initiatives!$BW$5:$BW$76,0))="0-90 days",'Company Profile'!$B$6,IF(INDEX(_ENGINE_Initiatives!$BX$5:$BX$76,MATCH($A174,_ENGINE_Initiatives!$BW$5:$BW$76,0))="3-6 months",EDATE('Company Profile'!$B$6,3),IF(INDEX(_ENGINE_Initiatives!$BX$5:$BX$76,MATCH($A174,_ENGINE_Initiatives!$BW$5:$BW$76,0))="6-12 months",EDATE('Company Profile'!$B$6,6),EDATE('Company Profile'!$B$6,12))))+(IF(INDEX(_ENGINE_Initiatives!$AB$5:$AB$76,MATCH($A174,_ENGINE_Initiatives!$BW$5:$BW$76,0))&lt;=2,6,IF(INDEX(_ENGINE_Initiatives!$AB$5:$AB$76,MATCH($A174,_ENGINE_Initiatives!$BW$5:$BW$76,0))=3,10,IF(INDEX(_ENGINE_Initiatives!$AB$5:$AB$76,MATCH($A174,_ENGINE_Initiatives!$BW$5:$BW$76,0))=4,16,24)))*7)),1,""),"")</f>
      </c>
      <c r="I174" s="55">
        <f>IFERROR(IF(AND(I$162&gt;=IF(INDEX(_ENGINE_Initiatives!$BX$5:$BX$76,MATCH($A174,_ENGINE_Initiatives!$BW$5:$BW$76,0))="0-90 days",'Company Profile'!$B$6,IF(INDEX(_ENGINE_Initiatives!$BX$5:$BX$76,MATCH($A174,_ENGINE_Initiatives!$BW$5:$BW$76,0))="3-6 months",EDATE('Company Profile'!$B$6,3),IF(INDEX(_ENGINE_Initiatives!$BX$5:$BX$76,MATCH($A174,_ENGINE_Initiatives!$BW$5:$BW$76,0))="6-12 months",EDATE('Company Profile'!$B$6,6),EDATE('Company Profile'!$B$6,12)))),I$162&lt;=IF(INDEX(_ENGINE_Initiatives!$BX$5:$BX$76,MATCH($A174,_ENGINE_Initiatives!$BW$5:$BW$76,0))="0-90 days",'Company Profile'!$B$6,IF(INDEX(_ENGINE_Initiatives!$BX$5:$BX$76,MATCH($A174,_ENGINE_Initiatives!$BW$5:$BW$76,0))="3-6 months",EDATE('Company Profile'!$B$6,3),IF(INDEX(_ENGINE_Initiatives!$BX$5:$BX$76,MATCH($A174,_ENGINE_Initiatives!$BW$5:$BW$76,0))="6-12 months",EDATE('Company Profile'!$B$6,6),EDATE('Company Profile'!$B$6,12))))+(IF(INDEX(_ENGINE_Initiatives!$AB$5:$AB$76,MATCH($A174,_ENGINE_Initiatives!$BW$5:$BW$76,0))&lt;=2,6,IF(INDEX(_ENGINE_Initiatives!$AB$5:$AB$76,MATCH($A174,_ENGINE_Initiatives!$BW$5:$BW$76,0))=3,10,IF(INDEX(_ENGINE_Initiatives!$AB$5:$AB$76,MATCH($A174,_ENGINE_Initiatives!$BW$5:$BW$76,0))=4,16,24)))*7)),1,""),"")</f>
      </c>
      <c r="J174" s="55">
        <f>IFERROR(IF(AND(J$162&gt;=IF(INDEX(_ENGINE_Initiatives!$BX$5:$BX$76,MATCH($A174,_ENGINE_Initiatives!$BW$5:$BW$76,0))="0-90 days",'Company Profile'!$B$6,IF(INDEX(_ENGINE_Initiatives!$BX$5:$BX$76,MATCH($A174,_ENGINE_Initiatives!$BW$5:$BW$76,0))="3-6 months",EDATE('Company Profile'!$B$6,3),IF(INDEX(_ENGINE_Initiatives!$BX$5:$BX$76,MATCH($A174,_ENGINE_Initiatives!$BW$5:$BW$76,0))="6-12 months",EDATE('Company Profile'!$B$6,6),EDATE('Company Profile'!$B$6,12)))),J$162&lt;=IF(INDEX(_ENGINE_Initiatives!$BX$5:$BX$76,MATCH($A174,_ENGINE_Initiatives!$BW$5:$BW$76,0))="0-90 days",'Company Profile'!$B$6,IF(INDEX(_ENGINE_Initiatives!$BX$5:$BX$76,MATCH($A174,_ENGINE_Initiatives!$BW$5:$BW$76,0))="3-6 months",EDATE('Company Profile'!$B$6,3),IF(INDEX(_ENGINE_Initiatives!$BX$5:$BX$76,MATCH($A174,_ENGINE_Initiatives!$BW$5:$BW$76,0))="6-12 months",EDATE('Company Profile'!$B$6,6),EDATE('Company Profile'!$B$6,12))))+(IF(INDEX(_ENGINE_Initiatives!$AB$5:$AB$76,MATCH($A174,_ENGINE_Initiatives!$BW$5:$BW$76,0))&lt;=2,6,IF(INDEX(_ENGINE_Initiatives!$AB$5:$AB$76,MATCH($A174,_ENGINE_Initiatives!$BW$5:$BW$76,0))=3,10,IF(INDEX(_ENGINE_Initiatives!$AB$5:$AB$76,MATCH($A174,_ENGINE_Initiatives!$BW$5:$BW$76,0))=4,16,24)))*7)),1,""),"")</f>
      </c>
      <c r="K174" s="55">
        <f>IFERROR(IF(AND(K$162&gt;=IF(INDEX(_ENGINE_Initiatives!$BX$5:$BX$76,MATCH($A174,_ENGINE_Initiatives!$BW$5:$BW$76,0))="0-90 days",'Company Profile'!$B$6,IF(INDEX(_ENGINE_Initiatives!$BX$5:$BX$76,MATCH($A174,_ENGINE_Initiatives!$BW$5:$BW$76,0))="3-6 months",EDATE('Company Profile'!$B$6,3),IF(INDEX(_ENGINE_Initiatives!$BX$5:$BX$76,MATCH($A174,_ENGINE_Initiatives!$BW$5:$BW$76,0))="6-12 months",EDATE('Company Profile'!$B$6,6),EDATE('Company Profile'!$B$6,12)))),K$162&lt;=IF(INDEX(_ENGINE_Initiatives!$BX$5:$BX$76,MATCH($A174,_ENGINE_Initiatives!$BW$5:$BW$76,0))="0-90 days",'Company Profile'!$B$6,IF(INDEX(_ENGINE_Initiatives!$BX$5:$BX$76,MATCH($A174,_ENGINE_Initiatives!$BW$5:$BW$76,0))="3-6 months",EDATE('Company Profile'!$B$6,3),IF(INDEX(_ENGINE_Initiatives!$BX$5:$BX$76,MATCH($A174,_ENGINE_Initiatives!$BW$5:$BW$76,0))="6-12 months",EDATE('Company Profile'!$B$6,6),EDATE('Company Profile'!$B$6,12))))+(IF(INDEX(_ENGINE_Initiatives!$AB$5:$AB$76,MATCH($A174,_ENGINE_Initiatives!$BW$5:$BW$76,0))&lt;=2,6,IF(INDEX(_ENGINE_Initiatives!$AB$5:$AB$76,MATCH($A174,_ENGINE_Initiatives!$BW$5:$BW$76,0))=3,10,IF(INDEX(_ENGINE_Initiatives!$AB$5:$AB$76,MATCH($A174,_ENGINE_Initiatives!$BW$5:$BW$76,0))=4,16,24)))*7)),1,""),"")</f>
      </c>
      <c r="L174" s="55">
        <f>IFERROR(IF(AND(L$162&gt;=IF(INDEX(_ENGINE_Initiatives!$BX$5:$BX$76,MATCH($A174,_ENGINE_Initiatives!$BW$5:$BW$76,0))="0-90 days",'Company Profile'!$B$6,IF(INDEX(_ENGINE_Initiatives!$BX$5:$BX$76,MATCH($A174,_ENGINE_Initiatives!$BW$5:$BW$76,0))="3-6 months",EDATE('Company Profile'!$B$6,3),IF(INDEX(_ENGINE_Initiatives!$BX$5:$BX$76,MATCH($A174,_ENGINE_Initiatives!$BW$5:$BW$76,0))="6-12 months",EDATE('Company Profile'!$B$6,6),EDATE('Company Profile'!$B$6,12)))),L$162&lt;=IF(INDEX(_ENGINE_Initiatives!$BX$5:$BX$76,MATCH($A174,_ENGINE_Initiatives!$BW$5:$BW$76,0))="0-90 days",'Company Profile'!$B$6,IF(INDEX(_ENGINE_Initiatives!$BX$5:$BX$76,MATCH($A174,_ENGINE_Initiatives!$BW$5:$BW$76,0))="3-6 months",EDATE('Company Profile'!$B$6,3),IF(INDEX(_ENGINE_Initiatives!$BX$5:$BX$76,MATCH($A174,_ENGINE_Initiatives!$BW$5:$BW$76,0))="6-12 months",EDATE('Company Profile'!$B$6,6),EDATE('Company Profile'!$B$6,12))))+(IF(INDEX(_ENGINE_Initiatives!$AB$5:$AB$76,MATCH($A174,_ENGINE_Initiatives!$BW$5:$BW$76,0))&lt;=2,6,IF(INDEX(_ENGINE_Initiatives!$AB$5:$AB$76,MATCH($A174,_ENGINE_Initiatives!$BW$5:$BW$76,0))=3,10,IF(INDEX(_ENGINE_Initiatives!$AB$5:$AB$76,MATCH($A174,_ENGINE_Initiatives!$BW$5:$BW$76,0))=4,16,24)))*7)),1,""),"")</f>
      </c>
      <c r="M174" s="55">
        <f>IFERROR(IF(AND(M$162&gt;=IF(INDEX(_ENGINE_Initiatives!$BX$5:$BX$76,MATCH($A174,_ENGINE_Initiatives!$BW$5:$BW$76,0))="0-90 days",'Company Profile'!$B$6,IF(INDEX(_ENGINE_Initiatives!$BX$5:$BX$76,MATCH($A174,_ENGINE_Initiatives!$BW$5:$BW$76,0))="3-6 months",EDATE('Company Profile'!$B$6,3),IF(INDEX(_ENGINE_Initiatives!$BX$5:$BX$76,MATCH($A174,_ENGINE_Initiatives!$BW$5:$BW$76,0))="6-12 months",EDATE('Company Profile'!$B$6,6),EDATE('Company Profile'!$B$6,12)))),M$162&lt;=IF(INDEX(_ENGINE_Initiatives!$BX$5:$BX$76,MATCH($A174,_ENGINE_Initiatives!$BW$5:$BW$76,0))="0-90 days",'Company Profile'!$B$6,IF(INDEX(_ENGINE_Initiatives!$BX$5:$BX$76,MATCH($A174,_ENGINE_Initiatives!$BW$5:$BW$76,0))="3-6 months",EDATE('Company Profile'!$B$6,3),IF(INDEX(_ENGINE_Initiatives!$BX$5:$BX$76,MATCH($A174,_ENGINE_Initiatives!$BW$5:$BW$76,0))="6-12 months",EDATE('Company Profile'!$B$6,6),EDATE('Company Profile'!$B$6,12))))+(IF(INDEX(_ENGINE_Initiatives!$AB$5:$AB$76,MATCH($A174,_ENGINE_Initiatives!$BW$5:$BW$76,0))&lt;=2,6,IF(INDEX(_ENGINE_Initiatives!$AB$5:$AB$76,MATCH($A174,_ENGINE_Initiatives!$BW$5:$BW$76,0))=3,10,IF(INDEX(_ENGINE_Initiatives!$AB$5:$AB$76,MATCH($A174,_ENGINE_Initiatives!$BW$5:$BW$76,0))=4,16,24)))*7)),1,""),"")</f>
      </c>
      <c r="N174" s="55">
        <f>IFERROR(IF(AND(N$162&gt;=IF(INDEX(_ENGINE_Initiatives!$BX$5:$BX$76,MATCH($A174,_ENGINE_Initiatives!$BW$5:$BW$76,0))="0-90 days",'Company Profile'!$B$6,IF(INDEX(_ENGINE_Initiatives!$BX$5:$BX$76,MATCH($A174,_ENGINE_Initiatives!$BW$5:$BW$76,0))="3-6 months",EDATE('Company Profile'!$B$6,3),IF(INDEX(_ENGINE_Initiatives!$BX$5:$BX$76,MATCH($A174,_ENGINE_Initiatives!$BW$5:$BW$76,0))="6-12 months",EDATE('Company Profile'!$B$6,6),EDATE('Company Profile'!$B$6,12)))),N$162&lt;=IF(INDEX(_ENGINE_Initiatives!$BX$5:$BX$76,MATCH($A174,_ENGINE_Initiatives!$BW$5:$BW$76,0))="0-90 days",'Company Profile'!$B$6,IF(INDEX(_ENGINE_Initiatives!$BX$5:$BX$76,MATCH($A174,_ENGINE_Initiatives!$BW$5:$BW$76,0))="3-6 months",EDATE('Company Profile'!$B$6,3),IF(INDEX(_ENGINE_Initiatives!$BX$5:$BX$76,MATCH($A174,_ENGINE_Initiatives!$BW$5:$BW$76,0))="6-12 months",EDATE('Company Profile'!$B$6,6),EDATE('Company Profile'!$B$6,12))))+(IF(INDEX(_ENGINE_Initiatives!$AB$5:$AB$76,MATCH($A174,_ENGINE_Initiatives!$BW$5:$BW$76,0))&lt;=2,6,IF(INDEX(_ENGINE_Initiatives!$AB$5:$AB$76,MATCH($A174,_ENGINE_Initiatives!$BW$5:$BW$76,0))=3,10,IF(INDEX(_ENGINE_Initiatives!$AB$5:$AB$76,MATCH($A174,_ENGINE_Initiatives!$BW$5:$BW$76,0))=4,16,24)))*7)),1,""),"")</f>
      </c>
      <c r="O174" s="55">
        <f>IFERROR(IF(AND(O$162&gt;=IF(INDEX(_ENGINE_Initiatives!$BX$5:$BX$76,MATCH($A174,_ENGINE_Initiatives!$BW$5:$BW$76,0))="0-90 days",'Company Profile'!$B$6,IF(INDEX(_ENGINE_Initiatives!$BX$5:$BX$76,MATCH($A174,_ENGINE_Initiatives!$BW$5:$BW$76,0))="3-6 months",EDATE('Company Profile'!$B$6,3),IF(INDEX(_ENGINE_Initiatives!$BX$5:$BX$76,MATCH($A174,_ENGINE_Initiatives!$BW$5:$BW$76,0))="6-12 months",EDATE('Company Profile'!$B$6,6),EDATE('Company Profile'!$B$6,12)))),O$162&lt;=IF(INDEX(_ENGINE_Initiatives!$BX$5:$BX$76,MATCH($A174,_ENGINE_Initiatives!$BW$5:$BW$76,0))="0-90 days",'Company Profile'!$B$6,IF(INDEX(_ENGINE_Initiatives!$BX$5:$BX$76,MATCH($A174,_ENGINE_Initiatives!$BW$5:$BW$76,0))="3-6 months",EDATE('Company Profile'!$B$6,3),IF(INDEX(_ENGINE_Initiatives!$BX$5:$BX$76,MATCH($A174,_ENGINE_Initiatives!$BW$5:$BW$76,0))="6-12 months",EDATE('Company Profile'!$B$6,6),EDATE('Company Profile'!$B$6,12))))+(IF(INDEX(_ENGINE_Initiatives!$AB$5:$AB$76,MATCH($A174,_ENGINE_Initiatives!$BW$5:$BW$76,0))&lt;=2,6,IF(INDEX(_ENGINE_Initiatives!$AB$5:$AB$76,MATCH($A174,_ENGINE_Initiatives!$BW$5:$BW$76,0))=3,10,IF(INDEX(_ENGINE_Initiatives!$AB$5:$AB$76,MATCH($A174,_ENGINE_Initiatives!$BW$5:$BW$76,0))=4,16,24)))*7)),1,""),"")</f>
      </c>
      <c r="P174" s="55">
        <f>IFERROR(IF(AND(P$162&gt;=IF(INDEX(_ENGINE_Initiatives!$BX$5:$BX$76,MATCH($A174,_ENGINE_Initiatives!$BW$5:$BW$76,0))="0-90 days",'Company Profile'!$B$6,IF(INDEX(_ENGINE_Initiatives!$BX$5:$BX$76,MATCH($A174,_ENGINE_Initiatives!$BW$5:$BW$76,0))="3-6 months",EDATE('Company Profile'!$B$6,3),IF(INDEX(_ENGINE_Initiatives!$BX$5:$BX$76,MATCH($A174,_ENGINE_Initiatives!$BW$5:$BW$76,0))="6-12 months",EDATE('Company Profile'!$B$6,6),EDATE('Company Profile'!$B$6,12)))),P$162&lt;=IF(INDEX(_ENGINE_Initiatives!$BX$5:$BX$76,MATCH($A174,_ENGINE_Initiatives!$BW$5:$BW$76,0))="0-90 days",'Company Profile'!$B$6,IF(INDEX(_ENGINE_Initiatives!$BX$5:$BX$76,MATCH($A174,_ENGINE_Initiatives!$BW$5:$BW$76,0))="3-6 months",EDATE('Company Profile'!$B$6,3),IF(INDEX(_ENGINE_Initiatives!$BX$5:$BX$76,MATCH($A174,_ENGINE_Initiatives!$BW$5:$BW$76,0))="6-12 months",EDATE('Company Profile'!$B$6,6),EDATE('Company Profile'!$B$6,12))))+(IF(INDEX(_ENGINE_Initiatives!$AB$5:$AB$76,MATCH($A174,_ENGINE_Initiatives!$BW$5:$BW$76,0))&lt;=2,6,IF(INDEX(_ENGINE_Initiatives!$AB$5:$AB$76,MATCH($A174,_ENGINE_Initiatives!$BW$5:$BW$76,0))=3,10,IF(INDEX(_ENGINE_Initiatives!$AB$5:$AB$76,MATCH($A174,_ENGINE_Initiatives!$BW$5:$BW$76,0))=4,16,24)))*7)),1,""),"")</f>
      </c>
      <c r="Q174" s="55">
        <f>IFERROR(IF(AND(Q$162&gt;=IF(INDEX(_ENGINE_Initiatives!$BX$5:$BX$76,MATCH($A174,_ENGINE_Initiatives!$BW$5:$BW$76,0))="0-90 days",'Company Profile'!$B$6,IF(INDEX(_ENGINE_Initiatives!$BX$5:$BX$76,MATCH($A174,_ENGINE_Initiatives!$BW$5:$BW$76,0))="3-6 months",EDATE('Company Profile'!$B$6,3),IF(INDEX(_ENGINE_Initiatives!$BX$5:$BX$76,MATCH($A174,_ENGINE_Initiatives!$BW$5:$BW$76,0))="6-12 months",EDATE('Company Profile'!$B$6,6),EDATE('Company Profile'!$B$6,12)))),Q$162&lt;=IF(INDEX(_ENGINE_Initiatives!$BX$5:$BX$76,MATCH($A174,_ENGINE_Initiatives!$BW$5:$BW$76,0))="0-90 days",'Company Profile'!$B$6,IF(INDEX(_ENGINE_Initiatives!$BX$5:$BX$76,MATCH($A174,_ENGINE_Initiatives!$BW$5:$BW$76,0))="3-6 months",EDATE('Company Profile'!$B$6,3),IF(INDEX(_ENGINE_Initiatives!$BX$5:$BX$76,MATCH($A174,_ENGINE_Initiatives!$BW$5:$BW$76,0))="6-12 months",EDATE('Company Profile'!$B$6,6),EDATE('Company Profile'!$B$6,12))))+(IF(INDEX(_ENGINE_Initiatives!$AB$5:$AB$76,MATCH($A174,_ENGINE_Initiatives!$BW$5:$BW$76,0))&lt;=2,6,IF(INDEX(_ENGINE_Initiatives!$AB$5:$AB$76,MATCH($A174,_ENGINE_Initiatives!$BW$5:$BW$76,0))=3,10,IF(INDEX(_ENGINE_Initiatives!$AB$5:$AB$76,MATCH($A174,_ENGINE_Initiatives!$BW$5:$BW$76,0))=4,16,24)))*7)),1,""),"")</f>
      </c>
      <c r="R174" s="55">
        <f>IFERROR(IF(AND(R$162&gt;=IF(INDEX(_ENGINE_Initiatives!$BX$5:$BX$76,MATCH($A174,_ENGINE_Initiatives!$BW$5:$BW$76,0))="0-90 days",'Company Profile'!$B$6,IF(INDEX(_ENGINE_Initiatives!$BX$5:$BX$76,MATCH($A174,_ENGINE_Initiatives!$BW$5:$BW$76,0))="3-6 months",EDATE('Company Profile'!$B$6,3),IF(INDEX(_ENGINE_Initiatives!$BX$5:$BX$76,MATCH($A174,_ENGINE_Initiatives!$BW$5:$BW$76,0))="6-12 months",EDATE('Company Profile'!$B$6,6),EDATE('Company Profile'!$B$6,12)))),R$162&lt;=IF(INDEX(_ENGINE_Initiatives!$BX$5:$BX$76,MATCH($A174,_ENGINE_Initiatives!$BW$5:$BW$76,0))="0-90 days",'Company Profile'!$B$6,IF(INDEX(_ENGINE_Initiatives!$BX$5:$BX$76,MATCH($A174,_ENGINE_Initiatives!$BW$5:$BW$76,0))="3-6 months",EDATE('Company Profile'!$B$6,3),IF(INDEX(_ENGINE_Initiatives!$BX$5:$BX$76,MATCH($A174,_ENGINE_Initiatives!$BW$5:$BW$76,0))="6-12 months",EDATE('Company Profile'!$B$6,6),EDATE('Company Profile'!$B$6,12))))+(IF(INDEX(_ENGINE_Initiatives!$AB$5:$AB$76,MATCH($A174,_ENGINE_Initiatives!$BW$5:$BW$76,0))&lt;=2,6,IF(INDEX(_ENGINE_Initiatives!$AB$5:$AB$76,MATCH($A174,_ENGINE_Initiatives!$BW$5:$BW$76,0))=3,10,IF(INDEX(_ENGINE_Initiatives!$AB$5:$AB$76,MATCH($A174,_ENGINE_Initiatives!$BW$5:$BW$76,0))=4,16,24)))*7)),1,""),"")</f>
      </c>
      <c r="S174" s="55">
        <f>IFERROR(IF(AND(S$162&gt;=IF(INDEX(_ENGINE_Initiatives!$BX$5:$BX$76,MATCH($A174,_ENGINE_Initiatives!$BW$5:$BW$76,0))="0-90 days",'Company Profile'!$B$6,IF(INDEX(_ENGINE_Initiatives!$BX$5:$BX$76,MATCH($A174,_ENGINE_Initiatives!$BW$5:$BW$76,0))="3-6 months",EDATE('Company Profile'!$B$6,3),IF(INDEX(_ENGINE_Initiatives!$BX$5:$BX$76,MATCH($A174,_ENGINE_Initiatives!$BW$5:$BW$76,0))="6-12 months",EDATE('Company Profile'!$B$6,6),EDATE('Company Profile'!$B$6,12)))),S$162&lt;=IF(INDEX(_ENGINE_Initiatives!$BX$5:$BX$76,MATCH($A174,_ENGINE_Initiatives!$BW$5:$BW$76,0))="0-90 days",'Company Profile'!$B$6,IF(INDEX(_ENGINE_Initiatives!$BX$5:$BX$76,MATCH($A174,_ENGINE_Initiatives!$BW$5:$BW$76,0))="3-6 months",EDATE('Company Profile'!$B$6,3),IF(INDEX(_ENGINE_Initiatives!$BX$5:$BX$76,MATCH($A174,_ENGINE_Initiatives!$BW$5:$BW$76,0))="6-12 months",EDATE('Company Profile'!$B$6,6),EDATE('Company Profile'!$B$6,12))))+(IF(INDEX(_ENGINE_Initiatives!$AB$5:$AB$76,MATCH($A174,_ENGINE_Initiatives!$BW$5:$BW$76,0))&lt;=2,6,IF(INDEX(_ENGINE_Initiatives!$AB$5:$AB$76,MATCH($A174,_ENGINE_Initiatives!$BW$5:$BW$76,0))=3,10,IF(INDEX(_ENGINE_Initiatives!$AB$5:$AB$76,MATCH($A174,_ENGINE_Initiatives!$BW$5:$BW$76,0))=4,16,24)))*7)),1,""),"")</f>
      </c>
      <c r="T174" s="55">
        <f>IFERROR(IF(AND(T$162&gt;=IF(INDEX(_ENGINE_Initiatives!$BX$5:$BX$76,MATCH($A174,_ENGINE_Initiatives!$BW$5:$BW$76,0))="0-90 days",'Company Profile'!$B$6,IF(INDEX(_ENGINE_Initiatives!$BX$5:$BX$76,MATCH($A174,_ENGINE_Initiatives!$BW$5:$BW$76,0))="3-6 months",EDATE('Company Profile'!$B$6,3),IF(INDEX(_ENGINE_Initiatives!$BX$5:$BX$76,MATCH($A174,_ENGINE_Initiatives!$BW$5:$BW$76,0))="6-12 months",EDATE('Company Profile'!$B$6,6),EDATE('Company Profile'!$B$6,12)))),T$162&lt;=IF(INDEX(_ENGINE_Initiatives!$BX$5:$BX$76,MATCH($A174,_ENGINE_Initiatives!$BW$5:$BW$76,0))="0-90 days",'Company Profile'!$B$6,IF(INDEX(_ENGINE_Initiatives!$BX$5:$BX$76,MATCH($A174,_ENGINE_Initiatives!$BW$5:$BW$76,0))="3-6 months",EDATE('Company Profile'!$B$6,3),IF(INDEX(_ENGINE_Initiatives!$BX$5:$BX$76,MATCH($A174,_ENGINE_Initiatives!$BW$5:$BW$76,0))="6-12 months",EDATE('Company Profile'!$B$6,6),EDATE('Company Profile'!$B$6,12))))+(IF(INDEX(_ENGINE_Initiatives!$AB$5:$AB$76,MATCH($A174,_ENGINE_Initiatives!$BW$5:$BW$76,0))&lt;=2,6,IF(INDEX(_ENGINE_Initiatives!$AB$5:$AB$76,MATCH($A174,_ENGINE_Initiatives!$BW$5:$BW$76,0))=3,10,IF(INDEX(_ENGINE_Initiatives!$AB$5:$AB$76,MATCH($A174,_ENGINE_Initiatives!$BW$5:$BW$76,0))=4,16,24)))*7)),1,""),"")</f>
      </c>
      <c r="U174" s="30" t="n"/>
      <c r="V174" s="30" t="n"/>
    </row>
    <row r="175" ht="15" customHeight="1" s="209">
      <c r="A175" s="51" t="inlineStr">
        <is>
          <t>13</t>
        </is>
      </c>
      <c r="B175" s="51">
        <f>IFERROR(INDEX(_ENGINE_Initiatives!$F$5:$F$76,MATCH($A175,_ENGINE_Initiatives!$BW$5:$BW$76,0)),"")</f>
      </c>
      <c r="C175" s="55">
        <f>IFERROR(IF(AND(C$162&gt;=IF(INDEX(_ENGINE_Initiatives!$BX$5:$BX$76,MATCH($A175,_ENGINE_Initiatives!$BW$5:$BW$76,0))="0-90 days",'Company Profile'!$B$6,IF(INDEX(_ENGINE_Initiatives!$BX$5:$BX$76,MATCH($A175,_ENGINE_Initiatives!$BW$5:$BW$76,0))="3-6 months",EDATE('Company Profile'!$B$6,3),IF(INDEX(_ENGINE_Initiatives!$BX$5:$BX$76,MATCH($A175,_ENGINE_Initiatives!$BW$5:$BW$76,0))="6-12 months",EDATE('Company Profile'!$B$6,6),EDATE('Company Profile'!$B$6,12)))),C$162&lt;=IF(INDEX(_ENGINE_Initiatives!$BX$5:$BX$76,MATCH($A175,_ENGINE_Initiatives!$BW$5:$BW$76,0))="0-90 days",'Company Profile'!$B$6,IF(INDEX(_ENGINE_Initiatives!$BX$5:$BX$76,MATCH($A175,_ENGINE_Initiatives!$BW$5:$BW$76,0))="3-6 months",EDATE('Company Profile'!$B$6,3),IF(INDEX(_ENGINE_Initiatives!$BX$5:$BX$76,MATCH($A175,_ENGINE_Initiatives!$BW$5:$BW$76,0))="6-12 months",EDATE('Company Profile'!$B$6,6),EDATE('Company Profile'!$B$6,12))))+(IF(INDEX(_ENGINE_Initiatives!$AB$5:$AB$76,MATCH($A175,_ENGINE_Initiatives!$BW$5:$BW$76,0))&lt;=2,6,IF(INDEX(_ENGINE_Initiatives!$AB$5:$AB$76,MATCH($A175,_ENGINE_Initiatives!$BW$5:$BW$76,0))=3,10,IF(INDEX(_ENGINE_Initiatives!$AB$5:$AB$76,MATCH($A175,_ENGINE_Initiatives!$BW$5:$BW$76,0))=4,16,24)))*7)),1,""),"")</f>
      </c>
      <c r="D175" s="55">
        <f>IFERROR(IF(AND(D$162&gt;=IF(INDEX(_ENGINE_Initiatives!$BX$5:$BX$76,MATCH($A175,_ENGINE_Initiatives!$BW$5:$BW$76,0))="0-90 days",'Company Profile'!$B$6,IF(INDEX(_ENGINE_Initiatives!$BX$5:$BX$76,MATCH($A175,_ENGINE_Initiatives!$BW$5:$BW$76,0))="3-6 months",EDATE('Company Profile'!$B$6,3),IF(INDEX(_ENGINE_Initiatives!$BX$5:$BX$76,MATCH($A175,_ENGINE_Initiatives!$BW$5:$BW$76,0))="6-12 months",EDATE('Company Profile'!$B$6,6),EDATE('Company Profile'!$B$6,12)))),D$162&lt;=IF(INDEX(_ENGINE_Initiatives!$BX$5:$BX$76,MATCH($A175,_ENGINE_Initiatives!$BW$5:$BW$76,0))="0-90 days",'Company Profile'!$B$6,IF(INDEX(_ENGINE_Initiatives!$BX$5:$BX$76,MATCH($A175,_ENGINE_Initiatives!$BW$5:$BW$76,0))="3-6 months",EDATE('Company Profile'!$B$6,3),IF(INDEX(_ENGINE_Initiatives!$BX$5:$BX$76,MATCH($A175,_ENGINE_Initiatives!$BW$5:$BW$76,0))="6-12 months",EDATE('Company Profile'!$B$6,6),EDATE('Company Profile'!$B$6,12))))+(IF(INDEX(_ENGINE_Initiatives!$AB$5:$AB$76,MATCH($A175,_ENGINE_Initiatives!$BW$5:$BW$76,0))&lt;=2,6,IF(INDEX(_ENGINE_Initiatives!$AB$5:$AB$76,MATCH($A175,_ENGINE_Initiatives!$BW$5:$BW$76,0))=3,10,IF(INDEX(_ENGINE_Initiatives!$AB$5:$AB$76,MATCH($A175,_ENGINE_Initiatives!$BW$5:$BW$76,0))=4,16,24)))*7)),1,""),"")</f>
      </c>
      <c r="E175" s="55">
        <f>IFERROR(IF(AND(E$162&gt;=IF(INDEX(_ENGINE_Initiatives!$BX$5:$BX$76,MATCH($A175,_ENGINE_Initiatives!$BW$5:$BW$76,0))="0-90 days",'Company Profile'!$B$6,IF(INDEX(_ENGINE_Initiatives!$BX$5:$BX$76,MATCH($A175,_ENGINE_Initiatives!$BW$5:$BW$76,0))="3-6 months",EDATE('Company Profile'!$B$6,3),IF(INDEX(_ENGINE_Initiatives!$BX$5:$BX$76,MATCH($A175,_ENGINE_Initiatives!$BW$5:$BW$76,0))="6-12 months",EDATE('Company Profile'!$B$6,6),EDATE('Company Profile'!$B$6,12)))),E$162&lt;=IF(INDEX(_ENGINE_Initiatives!$BX$5:$BX$76,MATCH($A175,_ENGINE_Initiatives!$BW$5:$BW$76,0))="0-90 days",'Company Profile'!$B$6,IF(INDEX(_ENGINE_Initiatives!$BX$5:$BX$76,MATCH($A175,_ENGINE_Initiatives!$BW$5:$BW$76,0))="3-6 months",EDATE('Company Profile'!$B$6,3),IF(INDEX(_ENGINE_Initiatives!$BX$5:$BX$76,MATCH($A175,_ENGINE_Initiatives!$BW$5:$BW$76,0))="6-12 months",EDATE('Company Profile'!$B$6,6),EDATE('Company Profile'!$B$6,12))))+(IF(INDEX(_ENGINE_Initiatives!$AB$5:$AB$76,MATCH($A175,_ENGINE_Initiatives!$BW$5:$BW$76,0))&lt;=2,6,IF(INDEX(_ENGINE_Initiatives!$AB$5:$AB$76,MATCH($A175,_ENGINE_Initiatives!$BW$5:$BW$76,0))=3,10,IF(INDEX(_ENGINE_Initiatives!$AB$5:$AB$76,MATCH($A175,_ENGINE_Initiatives!$BW$5:$BW$76,0))=4,16,24)))*7)),1,""),"")</f>
      </c>
      <c r="F175" s="55">
        <f>IFERROR(IF(AND(F$162&gt;=IF(INDEX(_ENGINE_Initiatives!$BX$5:$BX$76,MATCH($A175,_ENGINE_Initiatives!$BW$5:$BW$76,0))="0-90 days",'Company Profile'!$B$6,IF(INDEX(_ENGINE_Initiatives!$BX$5:$BX$76,MATCH($A175,_ENGINE_Initiatives!$BW$5:$BW$76,0))="3-6 months",EDATE('Company Profile'!$B$6,3),IF(INDEX(_ENGINE_Initiatives!$BX$5:$BX$76,MATCH($A175,_ENGINE_Initiatives!$BW$5:$BW$76,0))="6-12 months",EDATE('Company Profile'!$B$6,6),EDATE('Company Profile'!$B$6,12)))),F$162&lt;=IF(INDEX(_ENGINE_Initiatives!$BX$5:$BX$76,MATCH($A175,_ENGINE_Initiatives!$BW$5:$BW$76,0))="0-90 days",'Company Profile'!$B$6,IF(INDEX(_ENGINE_Initiatives!$BX$5:$BX$76,MATCH($A175,_ENGINE_Initiatives!$BW$5:$BW$76,0))="3-6 months",EDATE('Company Profile'!$B$6,3),IF(INDEX(_ENGINE_Initiatives!$BX$5:$BX$76,MATCH($A175,_ENGINE_Initiatives!$BW$5:$BW$76,0))="6-12 months",EDATE('Company Profile'!$B$6,6),EDATE('Company Profile'!$B$6,12))))+(IF(INDEX(_ENGINE_Initiatives!$AB$5:$AB$76,MATCH($A175,_ENGINE_Initiatives!$BW$5:$BW$76,0))&lt;=2,6,IF(INDEX(_ENGINE_Initiatives!$AB$5:$AB$76,MATCH($A175,_ENGINE_Initiatives!$BW$5:$BW$76,0))=3,10,IF(INDEX(_ENGINE_Initiatives!$AB$5:$AB$76,MATCH($A175,_ENGINE_Initiatives!$BW$5:$BW$76,0))=4,16,24)))*7)),1,""),"")</f>
      </c>
      <c r="G175" s="55">
        <f>IFERROR(IF(AND(G$162&gt;=IF(INDEX(_ENGINE_Initiatives!$BX$5:$BX$76,MATCH($A175,_ENGINE_Initiatives!$BW$5:$BW$76,0))="0-90 days",'Company Profile'!$B$6,IF(INDEX(_ENGINE_Initiatives!$BX$5:$BX$76,MATCH($A175,_ENGINE_Initiatives!$BW$5:$BW$76,0))="3-6 months",EDATE('Company Profile'!$B$6,3),IF(INDEX(_ENGINE_Initiatives!$BX$5:$BX$76,MATCH($A175,_ENGINE_Initiatives!$BW$5:$BW$76,0))="6-12 months",EDATE('Company Profile'!$B$6,6),EDATE('Company Profile'!$B$6,12)))),G$162&lt;=IF(INDEX(_ENGINE_Initiatives!$BX$5:$BX$76,MATCH($A175,_ENGINE_Initiatives!$BW$5:$BW$76,0))="0-90 days",'Company Profile'!$B$6,IF(INDEX(_ENGINE_Initiatives!$BX$5:$BX$76,MATCH($A175,_ENGINE_Initiatives!$BW$5:$BW$76,0))="3-6 months",EDATE('Company Profile'!$B$6,3),IF(INDEX(_ENGINE_Initiatives!$BX$5:$BX$76,MATCH($A175,_ENGINE_Initiatives!$BW$5:$BW$76,0))="6-12 months",EDATE('Company Profile'!$B$6,6),EDATE('Company Profile'!$B$6,12))))+(IF(INDEX(_ENGINE_Initiatives!$AB$5:$AB$76,MATCH($A175,_ENGINE_Initiatives!$BW$5:$BW$76,0))&lt;=2,6,IF(INDEX(_ENGINE_Initiatives!$AB$5:$AB$76,MATCH($A175,_ENGINE_Initiatives!$BW$5:$BW$76,0))=3,10,IF(INDEX(_ENGINE_Initiatives!$AB$5:$AB$76,MATCH($A175,_ENGINE_Initiatives!$BW$5:$BW$76,0))=4,16,24)))*7)),1,""),"")</f>
      </c>
      <c r="H175" s="55">
        <f>IFERROR(IF(AND(H$162&gt;=IF(INDEX(_ENGINE_Initiatives!$BX$5:$BX$76,MATCH($A175,_ENGINE_Initiatives!$BW$5:$BW$76,0))="0-90 days",'Company Profile'!$B$6,IF(INDEX(_ENGINE_Initiatives!$BX$5:$BX$76,MATCH($A175,_ENGINE_Initiatives!$BW$5:$BW$76,0))="3-6 months",EDATE('Company Profile'!$B$6,3),IF(INDEX(_ENGINE_Initiatives!$BX$5:$BX$76,MATCH($A175,_ENGINE_Initiatives!$BW$5:$BW$76,0))="6-12 months",EDATE('Company Profile'!$B$6,6),EDATE('Company Profile'!$B$6,12)))),H$162&lt;=IF(INDEX(_ENGINE_Initiatives!$BX$5:$BX$76,MATCH($A175,_ENGINE_Initiatives!$BW$5:$BW$76,0))="0-90 days",'Company Profile'!$B$6,IF(INDEX(_ENGINE_Initiatives!$BX$5:$BX$76,MATCH($A175,_ENGINE_Initiatives!$BW$5:$BW$76,0))="3-6 months",EDATE('Company Profile'!$B$6,3),IF(INDEX(_ENGINE_Initiatives!$BX$5:$BX$76,MATCH($A175,_ENGINE_Initiatives!$BW$5:$BW$76,0))="6-12 months",EDATE('Company Profile'!$B$6,6),EDATE('Company Profile'!$B$6,12))))+(IF(INDEX(_ENGINE_Initiatives!$AB$5:$AB$76,MATCH($A175,_ENGINE_Initiatives!$BW$5:$BW$76,0))&lt;=2,6,IF(INDEX(_ENGINE_Initiatives!$AB$5:$AB$76,MATCH($A175,_ENGINE_Initiatives!$BW$5:$BW$76,0))=3,10,IF(INDEX(_ENGINE_Initiatives!$AB$5:$AB$76,MATCH($A175,_ENGINE_Initiatives!$BW$5:$BW$76,0))=4,16,24)))*7)),1,""),"")</f>
      </c>
      <c r="I175" s="55">
        <f>IFERROR(IF(AND(I$162&gt;=IF(INDEX(_ENGINE_Initiatives!$BX$5:$BX$76,MATCH($A175,_ENGINE_Initiatives!$BW$5:$BW$76,0))="0-90 days",'Company Profile'!$B$6,IF(INDEX(_ENGINE_Initiatives!$BX$5:$BX$76,MATCH($A175,_ENGINE_Initiatives!$BW$5:$BW$76,0))="3-6 months",EDATE('Company Profile'!$B$6,3),IF(INDEX(_ENGINE_Initiatives!$BX$5:$BX$76,MATCH($A175,_ENGINE_Initiatives!$BW$5:$BW$76,0))="6-12 months",EDATE('Company Profile'!$B$6,6),EDATE('Company Profile'!$B$6,12)))),I$162&lt;=IF(INDEX(_ENGINE_Initiatives!$BX$5:$BX$76,MATCH($A175,_ENGINE_Initiatives!$BW$5:$BW$76,0))="0-90 days",'Company Profile'!$B$6,IF(INDEX(_ENGINE_Initiatives!$BX$5:$BX$76,MATCH($A175,_ENGINE_Initiatives!$BW$5:$BW$76,0))="3-6 months",EDATE('Company Profile'!$B$6,3),IF(INDEX(_ENGINE_Initiatives!$BX$5:$BX$76,MATCH($A175,_ENGINE_Initiatives!$BW$5:$BW$76,0))="6-12 months",EDATE('Company Profile'!$B$6,6),EDATE('Company Profile'!$B$6,12))))+(IF(INDEX(_ENGINE_Initiatives!$AB$5:$AB$76,MATCH($A175,_ENGINE_Initiatives!$BW$5:$BW$76,0))&lt;=2,6,IF(INDEX(_ENGINE_Initiatives!$AB$5:$AB$76,MATCH($A175,_ENGINE_Initiatives!$BW$5:$BW$76,0))=3,10,IF(INDEX(_ENGINE_Initiatives!$AB$5:$AB$76,MATCH($A175,_ENGINE_Initiatives!$BW$5:$BW$76,0))=4,16,24)))*7)),1,""),"")</f>
      </c>
      <c r="J175" s="55">
        <f>IFERROR(IF(AND(J$162&gt;=IF(INDEX(_ENGINE_Initiatives!$BX$5:$BX$76,MATCH($A175,_ENGINE_Initiatives!$BW$5:$BW$76,0))="0-90 days",'Company Profile'!$B$6,IF(INDEX(_ENGINE_Initiatives!$BX$5:$BX$76,MATCH($A175,_ENGINE_Initiatives!$BW$5:$BW$76,0))="3-6 months",EDATE('Company Profile'!$B$6,3),IF(INDEX(_ENGINE_Initiatives!$BX$5:$BX$76,MATCH($A175,_ENGINE_Initiatives!$BW$5:$BW$76,0))="6-12 months",EDATE('Company Profile'!$B$6,6),EDATE('Company Profile'!$B$6,12)))),J$162&lt;=IF(INDEX(_ENGINE_Initiatives!$BX$5:$BX$76,MATCH($A175,_ENGINE_Initiatives!$BW$5:$BW$76,0))="0-90 days",'Company Profile'!$B$6,IF(INDEX(_ENGINE_Initiatives!$BX$5:$BX$76,MATCH($A175,_ENGINE_Initiatives!$BW$5:$BW$76,0))="3-6 months",EDATE('Company Profile'!$B$6,3),IF(INDEX(_ENGINE_Initiatives!$BX$5:$BX$76,MATCH($A175,_ENGINE_Initiatives!$BW$5:$BW$76,0))="6-12 months",EDATE('Company Profile'!$B$6,6),EDATE('Company Profile'!$B$6,12))))+(IF(INDEX(_ENGINE_Initiatives!$AB$5:$AB$76,MATCH($A175,_ENGINE_Initiatives!$BW$5:$BW$76,0))&lt;=2,6,IF(INDEX(_ENGINE_Initiatives!$AB$5:$AB$76,MATCH($A175,_ENGINE_Initiatives!$BW$5:$BW$76,0))=3,10,IF(INDEX(_ENGINE_Initiatives!$AB$5:$AB$76,MATCH($A175,_ENGINE_Initiatives!$BW$5:$BW$76,0))=4,16,24)))*7)),1,""),"")</f>
      </c>
      <c r="K175" s="55">
        <f>IFERROR(IF(AND(K$162&gt;=IF(INDEX(_ENGINE_Initiatives!$BX$5:$BX$76,MATCH($A175,_ENGINE_Initiatives!$BW$5:$BW$76,0))="0-90 days",'Company Profile'!$B$6,IF(INDEX(_ENGINE_Initiatives!$BX$5:$BX$76,MATCH($A175,_ENGINE_Initiatives!$BW$5:$BW$76,0))="3-6 months",EDATE('Company Profile'!$B$6,3),IF(INDEX(_ENGINE_Initiatives!$BX$5:$BX$76,MATCH($A175,_ENGINE_Initiatives!$BW$5:$BW$76,0))="6-12 months",EDATE('Company Profile'!$B$6,6),EDATE('Company Profile'!$B$6,12)))),K$162&lt;=IF(INDEX(_ENGINE_Initiatives!$BX$5:$BX$76,MATCH($A175,_ENGINE_Initiatives!$BW$5:$BW$76,0))="0-90 days",'Company Profile'!$B$6,IF(INDEX(_ENGINE_Initiatives!$BX$5:$BX$76,MATCH($A175,_ENGINE_Initiatives!$BW$5:$BW$76,0))="3-6 months",EDATE('Company Profile'!$B$6,3),IF(INDEX(_ENGINE_Initiatives!$BX$5:$BX$76,MATCH($A175,_ENGINE_Initiatives!$BW$5:$BW$76,0))="6-12 months",EDATE('Company Profile'!$B$6,6),EDATE('Company Profile'!$B$6,12))))+(IF(INDEX(_ENGINE_Initiatives!$AB$5:$AB$76,MATCH($A175,_ENGINE_Initiatives!$BW$5:$BW$76,0))&lt;=2,6,IF(INDEX(_ENGINE_Initiatives!$AB$5:$AB$76,MATCH($A175,_ENGINE_Initiatives!$BW$5:$BW$76,0))=3,10,IF(INDEX(_ENGINE_Initiatives!$AB$5:$AB$76,MATCH($A175,_ENGINE_Initiatives!$BW$5:$BW$76,0))=4,16,24)))*7)),1,""),"")</f>
      </c>
      <c r="L175" s="55">
        <f>IFERROR(IF(AND(L$162&gt;=IF(INDEX(_ENGINE_Initiatives!$BX$5:$BX$76,MATCH($A175,_ENGINE_Initiatives!$BW$5:$BW$76,0))="0-90 days",'Company Profile'!$B$6,IF(INDEX(_ENGINE_Initiatives!$BX$5:$BX$76,MATCH($A175,_ENGINE_Initiatives!$BW$5:$BW$76,0))="3-6 months",EDATE('Company Profile'!$B$6,3),IF(INDEX(_ENGINE_Initiatives!$BX$5:$BX$76,MATCH($A175,_ENGINE_Initiatives!$BW$5:$BW$76,0))="6-12 months",EDATE('Company Profile'!$B$6,6),EDATE('Company Profile'!$B$6,12)))),L$162&lt;=IF(INDEX(_ENGINE_Initiatives!$BX$5:$BX$76,MATCH($A175,_ENGINE_Initiatives!$BW$5:$BW$76,0))="0-90 days",'Company Profile'!$B$6,IF(INDEX(_ENGINE_Initiatives!$BX$5:$BX$76,MATCH($A175,_ENGINE_Initiatives!$BW$5:$BW$76,0))="3-6 months",EDATE('Company Profile'!$B$6,3),IF(INDEX(_ENGINE_Initiatives!$BX$5:$BX$76,MATCH($A175,_ENGINE_Initiatives!$BW$5:$BW$76,0))="6-12 months",EDATE('Company Profile'!$B$6,6),EDATE('Company Profile'!$B$6,12))))+(IF(INDEX(_ENGINE_Initiatives!$AB$5:$AB$76,MATCH($A175,_ENGINE_Initiatives!$BW$5:$BW$76,0))&lt;=2,6,IF(INDEX(_ENGINE_Initiatives!$AB$5:$AB$76,MATCH($A175,_ENGINE_Initiatives!$BW$5:$BW$76,0))=3,10,IF(INDEX(_ENGINE_Initiatives!$AB$5:$AB$76,MATCH($A175,_ENGINE_Initiatives!$BW$5:$BW$76,0))=4,16,24)))*7)),1,""),"")</f>
      </c>
      <c r="M175" s="55">
        <f>IFERROR(IF(AND(M$162&gt;=IF(INDEX(_ENGINE_Initiatives!$BX$5:$BX$76,MATCH($A175,_ENGINE_Initiatives!$BW$5:$BW$76,0))="0-90 days",'Company Profile'!$B$6,IF(INDEX(_ENGINE_Initiatives!$BX$5:$BX$76,MATCH($A175,_ENGINE_Initiatives!$BW$5:$BW$76,0))="3-6 months",EDATE('Company Profile'!$B$6,3),IF(INDEX(_ENGINE_Initiatives!$BX$5:$BX$76,MATCH($A175,_ENGINE_Initiatives!$BW$5:$BW$76,0))="6-12 months",EDATE('Company Profile'!$B$6,6),EDATE('Company Profile'!$B$6,12)))),M$162&lt;=IF(INDEX(_ENGINE_Initiatives!$BX$5:$BX$76,MATCH($A175,_ENGINE_Initiatives!$BW$5:$BW$76,0))="0-90 days",'Company Profile'!$B$6,IF(INDEX(_ENGINE_Initiatives!$BX$5:$BX$76,MATCH($A175,_ENGINE_Initiatives!$BW$5:$BW$76,0))="3-6 months",EDATE('Company Profile'!$B$6,3),IF(INDEX(_ENGINE_Initiatives!$BX$5:$BX$76,MATCH($A175,_ENGINE_Initiatives!$BW$5:$BW$76,0))="6-12 months",EDATE('Company Profile'!$B$6,6),EDATE('Company Profile'!$B$6,12))))+(IF(INDEX(_ENGINE_Initiatives!$AB$5:$AB$76,MATCH($A175,_ENGINE_Initiatives!$BW$5:$BW$76,0))&lt;=2,6,IF(INDEX(_ENGINE_Initiatives!$AB$5:$AB$76,MATCH($A175,_ENGINE_Initiatives!$BW$5:$BW$76,0))=3,10,IF(INDEX(_ENGINE_Initiatives!$AB$5:$AB$76,MATCH($A175,_ENGINE_Initiatives!$BW$5:$BW$76,0))=4,16,24)))*7)),1,""),"")</f>
      </c>
      <c r="N175" s="55">
        <f>IFERROR(IF(AND(N$162&gt;=IF(INDEX(_ENGINE_Initiatives!$BX$5:$BX$76,MATCH($A175,_ENGINE_Initiatives!$BW$5:$BW$76,0))="0-90 days",'Company Profile'!$B$6,IF(INDEX(_ENGINE_Initiatives!$BX$5:$BX$76,MATCH($A175,_ENGINE_Initiatives!$BW$5:$BW$76,0))="3-6 months",EDATE('Company Profile'!$B$6,3),IF(INDEX(_ENGINE_Initiatives!$BX$5:$BX$76,MATCH($A175,_ENGINE_Initiatives!$BW$5:$BW$76,0))="6-12 months",EDATE('Company Profile'!$B$6,6),EDATE('Company Profile'!$B$6,12)))),N$162&lt;=IF(INDEX(_ENGINE_Initiatives!$BX$5:$BX$76,MATCH($A175,_ENGINE_Initiatives!$BW$5:$BW$76,0))="0-90 days",'Company Profile'!$B$6,IF(INDEX(_ENGINE_Initiatives!$BX$5:$BX$76,MATCH($A175,_ENGINE_Initiatives!$BW$5:$BW$76,0))="3-6 months",EDATE('Company Profile'!$B$6,3),IF(INDEX(_ENGINE_Initiatives!$BX$5:$BX$76,MATCH($A175,_ENGINE_Initiatives!$BW$5:$BW$76,0))="6-12 months",EDATE('Company Profile'!$B$6,6),EDATE('Company Profile'!$B$6,12))))+(IF(INDEX(_ENGINE_Initiatives!$AB$5:$AB$76,MATCH($A175,_ENGINE_Initiatives!$BW$5:$BW$76,0))&lt;=2,6,IF(INDEX(_ENGINE_Initiatives!$AB$5:$AB$76,MATCH($A175,_ENGINE_Initiatives!$BW$5:$BW$76,0))=3,10,IF(INDEX(_ENGINE_Initiatives!$AB$5:$AB$76,MATCH($A175,_ENGINE_Initiatives!$BW$5:$BW$76,0))=4,16,24)))*7)),1,""),"")</f>
      </c>
      <c r="O175" s="55">
        <f>IFERROR(IF(AND(O$162&gt;=IF(INDEX(_ENGINE_Initiatives!$BX$5:$BX$76,MATCH($A175,_ENGINE_Initiatives!$BW$5:$BW$76,0))="0-90 days",'Company Profile'!$B$6,IF(INDEX(_ENGINE_Initiatives!$BX$5:$BX$76,MATCH($A175,_ENGINE_Initiatives!$BW$5:$BW$76,0))="3-6 months",EDATE('Company Profile'!$B$6,3),IF(INDEX(_ENGINE_Initiatives!$BX$5:$BX$76,MATCH($A175,_ENGINE_Initiatives!$BW$5:$BW$76,0))="6-12 months",EDATE('Company Profile'!$B$6,6),EDATE('Company Profile'!$B$6,12)))),O$162&lt;=IF(INDEX(_ENGINE_Initiatives!$BX$5:$BX$76,MATCH($A175,_ENGINE_Initiatives!$BW$5:$BW$76,0))="0-90 days",'Company Profile'!$B$6,IF(INDEX(_ENGINE_Initiatives!$BX$5:$BX$76,MATCH($A175,_ENGINE_Initiatives!$BW$5:$BW$76,0))="3-6 months",EDATE('Company Profile'!$B$6,3),IF(INDEX(_ENGINE_Initiatives!$BX$5:$BX$76,MATCH($A175,_ENGINE_Initiatives!$BW$5:$BW$76,0))="6-12 months",EDATE('Company Profile'!$B$6,6),EDATE('Company Profile'!$B$6,12))))+(IF(INDEX(_ENGINE_Initiatives!$AB$5:$AB$76,MATCH($A175,_ENGINE_Initiatives!$BW$5:$BW$76,0))&lt;=2,6,IF(INDEX(_ENGINE_Initiatives!$AB$5:$AB$76,MATCH($A175,_ENGINE_Initiatives!$BW$5:$BW$76,0))=3,10,IF(INDEX(_ENGINE_Initiatives!$AB$5:$AB$76,MATCH($A175,_ENGINE_Initiatives!$BW$5:$BW$76,0))=4,16,24)))*7)),1,""),"")</f>
      </c>
      <c r="P175" s="55">
        <f>IFERROR(IF(AND(P$162&gt;=IF(INDEX(_ENGINE_Initiatives!$BX$5:$BX$76,MATCH($A175,_ENGINE_Initiatives!$BW$5:$BW$76,0))="0-90 days",'Company Profile'!$B$6,IF(INDEX(_ENGINE_Initiatives!$BX$5:$BX$76,MATCH($A175,_ENGINE_Initiatives!$BW$5:$BW$76,0))="3-6 months",EDATE('Company Profile'!$B$6,3),IF(INDEX(_ENGINE_Initiatives!$BX$5:$BX$76,MATCH($A175,_ENGINE_Initiatives!$BW$5:$BW$76,0))="6-12 months",EDATE('Company Profile'!$B$6,6),EDATE('Company Profile'!$B$6,12)))),P$162&lt;=IF(INDEX(_ENGINE_Initiatives!$BX$5:$BX$76,MATCH($A175,_ENGINE_Initiatives!$BW$5:$BW$76,0))="0-90 days",'Company Profile'!$B$6,IF(INDEX(_ENGINE_Initiatives!$BX$5:$BX$76,MATCH($A175,_ENGINE_Initiatives!$BW$5:$BW$76,0))="3-6 months",EDATE('Company Profile'!$B$6,3),IF(INDEX(_ENGINE_Initiatives!$BX$5:$BX$76,MATCH($A175,_ENGINE_Initiatives!$BW$5:$BW$76,0))="6-12 months",EDATE('Company Profile'!$B$6,6),EDATE('Company Profile'!$B$6,12))))+(IF(INDEX(_ENGINE_Initiatives!$AB$5:$AB$76,MATCH($A175,_ENGINE_Initiatives!$BW$5:$BW$76,0))&lt;=2,6,IF(INDEX(_ENGINE_Initiatives!$AB$5:$AB$76,MATCH($A175,_ENGINE_Initiatives!$BW$5:$BW$76,0))=3,10,IF(INDEX(_ENGINE_Initiatives!$AB$5:$AB$76,MATCH($A175,_ENGINE_Initiatives!$BW$5:$BW$76,0))=4,16,24)))*7)),1,""),"")</f>
      </c>
      <c r="Q175" s="55">
        <f>IFERROR(IF(AND(Q$162&gt;=IF(INDEX(_ENGINE_Initiatives!$BX$5:$BX$76,MATCH($A175,_ENGINE_Initiatives!$BW$5:$BW$76,0))="0-90 days",'Company Profile'!$B$6,IF(INDEX(_ENGINE_Initiatives!$BX$5:$BX$76,MATCH($A175,_ENGINE_Initiatives!$BW$5:$BW$76,0))="3-6 months",EDATE('Company Profile'!$B$6,3),IF(INDEX(_ENGINE_Initiatives!$BX$5:$BX$76,MATCH($A175,_ENGINE_Initiatives!$BW$5:$BW$76,0))="6-12 months",EDATE('Company Profile'!$B$6,6),EDATE('Company Profile'!$B$6,12)))),Q$162&lt;=IF(INDEX(_ENGINE_Initiatives!$BX$5:$BX$76,MATCH($A175,_ENGINE_Initiatives!$BW$5:$BW$76,0))="0-90 days",'Company Profile'!$B$6,IF(INDEX(_ENGINE_Initiatives!$BX$5:$BX$76,MATCH($A175,_ENGINE_Initiatives!$BW$5:$BW$76,0))="3-6 months",EDATE('Company Profile'!$B$6,3),IF(INDEX(_ENGINE_Initiatives!$BX$5:$BX$76,MATCH($A175,_ENGINE_Initiatives!$BW$5:$BW$76,0))="6-12 months",EDATE('Company Profile'!$B$6,6),EDATE('Company Profile'!$B$6,12))))+(IF(INDEX(_ENGINE_Initiatives!$AB$5:$AB$76,MATCH($A175,_ENGINE_Initiatives!$BW$5:$BW$76,0))&lt;=2,6,IF(INDEX(_ENGINE_Initiatives!$AB$5:$AB$76,MATCH($A175,_ENGINE_Initiatives!$BW$5:$BW$76,0))=3,10,IF(INDEX(_ENGINE_Initiatives!$AB$5:$AB$76,MATCH($A175,_ENGINE_Initiatives!$BW$5:$BW$76,0))=4,16,24)))*7)),1,""),"")</f>
      </c>
      <c r="R175" s="55">
        <f>IFERROR(IF(AND(R$162&gt;=IF(INDEX(_ENGINE_Initiatives!$BX$5:$BX$76,MATCH($A175,_ENGINE_Initiatives!$BW$5:$BW$76,0))="0-90 days",'Company Profile'!$B$6,IF(INDEX(_ENGINE_Initiatives!$BX$5:$BX$76,MATCH($A175,_ENGINE_Initiatives!$BW$5:$BW$76,0))="3-6 months",EDATE('Company Profile'!$B$6,3),IF(INDEX(_ENGINE_Initiatives!$BX$5:$BX$76,MATCH($A175,_ENGINE_Initiatives!$BW$5:$BW$76,0))="6-12 months",EDATE('Company Profile'!$B$6,6),EDATE('Company Profile'!$B$6,12)))),R$162&lt;=IF(INDEX(_ENGINE_Initiatives!$BX$5:$BX$76,MATCH($A175,_ENGINE_Initiatives!$BW$5:$BW$76,0))="0-90 days",'Company Profile'!$B$6,IF(INDEX(_ENGINE_Initiatives!$BX$5:$BX$76,MATCH($A175,_ENGINE_Initiatives!$BW$5:$BW$76,0))="3-6 months",EDATE('Company Profile'!$B$6,3),IF(INDEX(_ENGINE_Initiatives!$BX$5:$BX$76,MATCH($A175,_ENGINE_Initiatives!$BW$5:$BW$76,0))="6-12 months",EDATE('Company Profile'!$B$6,6),EDATE('Company Profile'!$B$6,12))))+(IF(INDEX(_ENGINE_Initiatives!$AB$5:$AB$76,MATCH($A175,_ENGINE_Initiatives!$BW$5:$BW$76,0))&lt;=2,6,IF(INDEX(_ENGINE_Initiatives!$AB$5:$AB$76,MATCH($A175,_ENGINE_Initiatives!$BW$5:$BW$76,0))=3,10,IF(INDEX(_ENGINE_Initiatives!$AB$5:$AB$76,MATCH($A175,_ENGINE_Initiatives!$BW$5:$BW$76,0))=4,16,24)))*7)),1,""),"")</f>
      </c>
      <c r="S175" s="55">
        <f>IFERROR(IF(AND(S$162&gt;=IF(INDEX(_ENGINE_Initiatives!$BX$5:$BX$76,MATCH($A175,_ENGINE_Initiatives!$BW$5:$BW$76,0))="0-90 days",'Company Profile'!$B$6,IF(INDEX(_ENGINE_Initiatives!$BX$5:$BX$76,MATCH($A175,_ENGINE_Initiatives!$BW$5:$BW$76,0))="3-6 months",EDATE('Company Profile'!$B$6,3),IF(INDEX(_ENGINE_Initiatives!$BX$5:$BX$76,MATCH($A175,_ENGINE_Initiatives!$BW$5:$BW$76,0))="6-12 months",EDATE('Company Profile'!$B$6,6),EDATE('Company Profile'!$B$6,12)))),S$162&lt;=IF(INDEX(_ENGINE_Initiatives!$BX$5:$BX$76,MATCH($A175,_ENGINE_Initiatives!$BW$5:$BW$76,0))="0-90 days",'Company Profile'!$B$6,IF(INDEX(_ENGINE_Initiatives!$BX$5:$BX$76,MATCH($A175,_ENGINE_Initiatives!$BW$5:$BW$76,0))="3-6 months",EDATE('Company Profile'!$B$6,3),IF(INDEX(_ENGINE_Initiatives!$BX$5:$BX$76,MATCH($A175,_ENGINE_Initiatives!$BW$5:$BW$76,0))="6-12 months",EDATE('Company Profile'!$B$6,6),EDATE('Company Profile'!$B$6,12))))+(IF(INDEX(_ENGINE_Initiatives!$AB$5:$AB$76,MATCH($A175,_ENGINE_Initiatives!$BW$5:$BW$76,0))&lt;=2,6,IF(INDEX(_ENGINE_Initiatives!$AB$5:$AB$76,MATCH($A175,_ENGINE_Initiatives!$BW$5:$BW$76,0))=3,10,IF(INDEX(_ENGINE_Initiatives!$AB$5:$AB$76,MATCH($A175,_ENGINE_Initiatives!$BW$5:$BW$76,0))=4,16,24)))*7)),1,""),"")</f>
      </c>
      <c r="T175" s="55">
        <f>IFERROR(IF(AND(T$162&gt;=IF(INDEX(_ENGINE_Initiatives!$BX$5:$BX$76,MATCH($A175,_ENGINE_Initiatives!$BW$5:$BW$76,0))="0-90 days",'Company Profile'!$B$6,IF(INDEX(_ENGINE_Initiatives!$BX$5:$BX$76,MATCH($A175,_ENGINE_Initiatives!$BW$5:$BW$76,0))="3-6 months",EDATE('Company Profile'!$B$6,3),IF(INDEX(_ENGINE_Initiatives!$BX$5:$BX$76,MATCH($A175,_ENGINE_Initiatives!$BW$5:$BW$76,0))="6-12 months",EDATE('Company Profile'!$B$6,6),EDATE('Company Profile'!$B$6,12)))),T$162&lt;=IF(INDEX(_ENGINE_Initiatives!$BX$5:$BX$76,MATCH($A175,_ENGINE_Initiatives!$BW$5:$BW$76,0))="0-90 days",'Company Profile'!$B$6,IF(INDEX(_ENGINE_Initiatives!$BX$5:$BX$76,MATCH($A175,_ENGINE_Initiatives!$BW$5:$BW$76,0))="3-6 months",EDATE('Company Profile'!$B$6,3),IF(INDEX(_ENGINE_Initiatives!$BX$5:$BX$76,MATCH($A175,_ENGINE_Initiatives!$BW$5:$BW$76,0))="6-12 months",EDATE('Company Profile'!$B$6,6),EDATE('Company Profile'!$B$6,12))))+(IF(INDEX(_ENGINE_Initiatives!$AB$5:$AB$76,MATCH($A175,_ENGINE_Initiatives!$BW$5:$BW$76,0))&lt;=2,6,IF(INDEX(_ENGINE_Initiatives!$AB$5:$AB$76,MATCH($A175,_ENGINE_Initiatives!$BW$5:$BW$76,0))=3,10,IF(INDEX(_ENGINE_Initiatives!$AB$5:$AB$76,MATCH($A175,_ENGINE_Initiatives!$BW$5:$BW$76,0))=4,16,24)))*7)),1,""),"")</f>
      </c>
      <c r="U175" s="30" t="n"/>
      <c r="V175" s="30" t="n"/>
    </row>
    <row r="176" ht="15" customHeight="1" s="209">
      <c r="A176" s="51" t="inlineStr">
        <is>
          <t>14</t>
        </is>
      </c>
      <c r="B176" s="51">
        <f>IFERROR(INDEX(_ENGINE_Initiatives!$F$5:$F$76,MATCH($A176,_ENGINE_Initiatives!$BW$5:$BW$76,0)),"")</f>
      </c>
      <c r="C176" s="55">
        <f>IFERROR(IF(AND(C$162&gt;=IF(INDEX(_ENGINE_Initiatives!$BX$5:$BX$76,MATCH($A176,_ENGINE_Initiatives!$BW$5:$BW$76,0))="0-90 days",'Company Profile'!$B$6,IF(INDEX(_ENGINE_Initiatives!$BX$5:$BX$76,MATCH($A176,_ENGINE_Initiatives!$BW$5:$BW$76,0))="3-6 months",EDATE('Company Profile'!$B$6,3),IF(INDEX(_ENGINE_Initiatives!$BX$5:$BX$76,MATCH($A176,_ENGINE_Initiatives!$BW$5:$BW$76,0))="6-12 months",EDATE('Company Profile'!$B$6,6),EDATE('Company Profile'!$B$6,12)))),C$162&lt;=IF(INDEX(_ENGINE_Initiatives!$BX$5:$BX$76,MATCH($A176,_ENGINE_Initiatives!$BW$5:$BW$76,0))="0-90 days",'Company Profile'!$B$6,IF(INDEX(_ENGINE_Initiatives!$BX$5:$BX$76,MATCH($A176,_ENGINE_Initiatives!$BW$5:$BW$76,0))="3-6 months",EDATE('Company Profile'!$B$6,3),IF(INDEX(_ENGINE_Initiatives!$BX$5:$BX$76,MATCH($A176,_ENGINE_Initiatives!$BW$5:$BW$76,0))="6-12 months",EDATE('Company Profile'!$B$6,6),EDATE('Company Profile'!$B$6,12))))+(IF(INDEX(_ENGINE_Initiatives!$AB$5:$AB$76,MATCH($A176,_ENGINE_Initiatives!$BW$5:$BW$76,0))&lt;=2,6,IF(INDEX(_ENGINE_Initiatives!$AB$5:$AB$76,MATCH($A176,_ENGINE_Initiatives!$BW$5:$BW$76,0))=3,10,IF(INDEX(_ENGINE_Initiatives!$AB$5:$AB$76,MATCH($A176,_ENGINE_Initiatives!$BW$5:$BW$76,0))=4,16,24)))*7)),1,""),"")</f>
      </c>
      <c r="D176" s="55">
        <f>IFERROR(IF(AND(D$162&gt;=IF(INDEX(_ENGINE_Initiatives!$BX$5:$BX$76,MATCH($A176,_ENGINE_Initiatives!$BW$5:$BW$76,0))="0-90 days",'Company Profile'!$B$6,IF(INDEX(_ENGINE_Initiatives!$BX$5:$BX$76,MATCH($A176,_ENGINE_Initiatives!$BW$5:$BW$76,0))="3-6 months",EDATE('Company Profile'!$B$6,3),IF(INDEX(_ENGINE_Initiatives!$BX$5:$BX$76,MATCH($A176,_ENGINE_Initiatives!$BW$5:$BW$76,0))="6-12 months",EDATE('Company Profile'!$B$6,6),EDATE('Company Profile'!$B$6,12)))),D$162&lt;=IF(INDEX(_ENGINE_Initiatives!$BX$5:$BX$76,MATCH($A176,_ENGINE_Initiatives!$BW$5:$BW$76,0))="0-90 days",'Company Profile'!$B$6,IF(INDEX(_ENGINE_Initiatives!$BX$5:$BX$76,MATCH($A176,_ENGINE_Initiatives!$BW$5:$BW$76,0))="3-6 months",EDATE('Company Profile'!$B$6,3),IF(INDEX(_ENGINE_Initiatives!$BX$5:$BX$76,MATCH($A176,_ENGINE_Initiatives!$BW$5:$BW$76,0))="6-12 months",EDATE('Company Profile'!$B$6,6),EDATE('Company Profile'!$B$6,12))))+(IF(INDEX(_ENGINE_Initiatives!$AB$5:$AB$76,MATCH($A176,_ENGINE_Initiatives!$BW$5:$BW$76,0))&lt;=2,6,IF(INDEX(_ENGINE_Initiatives!$AB$5:$AB$76,MATCH($A176,_ENGINE_Initiatives!$BW$5:$BW$76,0))=3,10,IF(INDEX(_ENGINE_Initiatives!$AB$5:$AB$76,MATCH($A176,_ENGINE_Initiatives!$BW$5:$BW$76,0))=4,16,24)))*7)),1,""),"")</f>
      </c>
      <c r="E176" s="55">
        <f>IFERROR(IF(AND(E$162&gt;=IF(INDEX(_ENGINE_Initiatives!$BX$5:$BX$76,MATCH($A176,_ENGINE_Initiatives!$BW$5:$BW$76,0))="0-90 days",'Company Profile'!$B$6,IF(INDEX(_ENGINE_Initiatives!$BX$5:$BX$76,MATCH($A176,_ENGINE_Initiatives!$BW$5:$BW$76,0))="3-6 months",EDATE('Company Profile'!$B$6,3),IF(INDEX(_ENGINE_Initiatives!$BX$5:$BX$76,MATCH($A176,_ENGINE_Initiatives!$BW$5:$BW$76,0))="6-12 months",EDATE('Company Profile'!$B$6,6),EDATE('Company Profile'!$B$6,12)))),E$162&lt;=IF(INDEX(_ENGINE_Initiatives!$BX$5:$BX$76,MATCH($A176,_ENGINE_Initiatives!$BW$5:$BW$76,0))="0-90 days",'Company Profile'!$B$6,IF(INDEX(_ENGINE_Initiatives!$BX$5:$BX$76,MATCH($A176,_ENGINE_Initiatives!$BW$5:$BW$76,0))="3-6 months",EDATE('Company Profile'!$B$6,3),IF(INDEX(_ENGINE_Initiatives!$BX$5:$BX$76,MATCH($A176,_ENGINE_Initiatives!$BW$5:$BW$76,0))="6-12 months",EDATE('Company Profile'!$B$6,6),EDATE('Company Profile'!$B$6,12))))+(IF(INDEX(_ENGINE_Initiatives!$AB$5:$AB$76,MATCH($A176,_ENGINE_Initiatives!$BW$5:$BW$76,0))&lt;=2,6,IF(INDEX(_ENGINE_Initiatives!$AB$5:$AB$76,MATCH($A176,_ENGINE_Initiatives!$BW$5:$BW$76,0))=3,10,IF(INDEX(_ENGINE_Initiatives!$AB$5:$AB$76,MATCH($A176,_ENGINE_Initiatives!$BW$5:$BW$76,0))=4,16,24)))*7)),1,""),"")</f>
      </c>
      <c r="F176" s="55">
        <f>IFERROR(IF(AND(F$162&gt;=IF(INDEX(_ENGINE_Initiatives!$BX$5:$BX$76,MATCH($A176,_ENGINE_Initiatives!$BW$5:$BW$76,0))="0-90 days",'Company Profile'!$B$6,IF(INDEX(_ENGINE_Initiatives!$BX$5:$BX$76,MATCH($A176,_ENGINE_Initiatives!$BW$5:$BW$76,0))="3-6 months",EDATE('Company Profile'!$B$6,3),IF(INDEX(_ENGINE_Initiatives!$BX$5:$BX$76,MATCH($A176,_ENGINE_Initiatives!$BW$5:$BW$76,0))="6-12 months",EDATE('Company Profile'!$B$6,6),EDATE('Company Profile'!$B$6,12)))),F$162&lt;=IF(INDEX(_ENGINE_Initiatives!$BX$5:$BX$76,MATCH($A176,_ENGINE_Initiatives!$BW$5:$BW$76,0))="0-90 days",'Company Profile'!$B$6,IF(INDEX(_ENGINE_Initiatives!$BX$5:$BX$76,MATCH($A176,_ENGINE_Initiatives!$BW$5:$BW$76,0))="3-6 months",EDATE('Company Profile'!$B$6,3),IF(INDEX(_ENGINE_Initiatives!$BX$5:$BX$76,MATCH($A176,_ENGINE_Initiatives!$BW$5:$BW$76,0))="6-12 months",EDATE('Company Profile'!$B$6,6),EDATE('Company Profile'!$B$6,12))))+(IF(INDEX(_ENGINE_Initiatives!$AB$5:$AB$76,MATCH($A176,_ENGINE_Initiatives!$BW$5:$BW$76,0))&lt;=2,6,IF(INDEX(_ENGINE_Initiatives!$AB$5:$AB$76,MATCH($A176,_ENGINE_Initiatives!$BW$5:$BW$76,0))=3,10,IF(INDEX(_ENGINE_Initiatives!$AB$5:$AB$76,MATCH($A176,_ENGINE_Initiatives!$BW$5:$BW$76,0))=4,16,24)))*7)),1,""),"")</f>
      </c>
      <c r="G176" s="55">
        <f>IFERROR(IF(AND(G$162&gt;=IF(INDEX(_ENGINE_Initiatives!$BX$5:$BX$76,MATCH($A176,_ENGINE_Initiatives!$BW$5:$BW$76,0))="0-90 days",'Company Profile'!$B$6,IF(INDEX(_ENGINE_Initiatives!$BX$5:$BX$76,MATCH($A176,_ENGINE_Initiatives!$BW$5:$BW$76,0))="3-6 months",EDATE('Company Profile'!$B$6,3),IF(INDEX(_ENGINE_Initiatives!$BX$5:$BX$76,MATCH($A176,_ENGINE_Initiatives!$BW$5:$BW$76,0))="6-12 months",EDATE('Company Profile'!$B$6,6),EDATE('Company Profile'!$B$6,12)))),G$162&lt;=IF(INDEX(_ENGINE_Initiatives!$BX$5:$BX$76,MATCH($A176,_ENGINE_Initiatives!$BW$5:$BW$76,0))="0-90 days",'Company Profile'!$B$6,IF(INDEX(_ENGINE_Initiatives!$BX$5:$BX$76,MATCH($A176,_ENGINE_Initiatives!$BW$5:$BW$76,0))="3-6 months",EDATE('Company Profile'!$B$6,3),IF(INDEX(_ENGINE_Initiatives!$BX$5:$BX$76,MATCH($A176,_ENGINE_Initiatives!$BW$5:$BW$76,0))="6-12 months",EDATE('Company Profile'!$B$6,6),EDATE('Company Profile'!$B$6,12))))+(IF(INDEX(_ENGINE_Initiatives!$AB$5:$AB$76,MATCH($A176,_ENGINE_Initiatives!$BW$5:$BW$76,0))&lt;=2,6,IF(INDEX(_ENGINE_Initiatives!$AB$5:$AB$76,MATCH($A176,_ENGINE_Initiatives!$BW$5:$BW$76,0))=3,10,IF(INDEX(_ENGINE_Initiatives!$AB$5:$AB$76,MATCH($A176,_ENGINE_Initiatives!$BW$5:$BW$76,0))=4,16,24)))*7)),1,""),"")</f>
      </c>
      <c r="H176" s="55">
        <f>IFERROR(IF(AND(H$162&gt;=IF(INDEX(_ENGINE_Initiatives!$BX$5:$BX$76,MATCH($A176,_ENGINE_Initiatives!$BW$5:$BW$76,0))="0-90 days",'Company Profile'!$B$6,IF(INDEX(_ENGINE_Initiatives!$BX$5:$BX$76,MATCH($A176,_ENGINE_Initiatives!$BW$5:$BW$76,0))="3-6 months",EDATE('Company Profile'!$B$6,3),IF(INDEX(_ENGINE_Initiatives!$BX$5:$BX$76,MATCH($A176,_ENGINE_Initiatives!$BW$5:$BW$76,0))="6-12 months",EDATE('Company Profile'!$B$6,6),EDATE('Company Profile'!$B$6,12)))),H$162&lt;=IF(INDEX(_ENGINE_Initiatives!$BX$5:$BX$76,MATCH($A176,_ENGINE_Initiatives!$BW$5:$BW$76,0))="0-90 days",'Company Profile'!$B$6,IF(INDEX(_ENGINE_Initiatives!$BX$5:$BX$76,MATCH($A176,_ENGINE_Initiatives!$BW$5:$BW$76,0))="3-6 months",EDATE('Company Profile'!$B$6,3),IF(INDEX(_ENGINE_Initiatives!$BX$5:$BX$76,MATCH($A176,_ENGINE_Initiatives!$BW$5:$BW$76,0))="6-12 months",EDATE('Company Profile'!$B$6,6),EDATE('Company Profile'!$B$6,12))))+(IF(INDEX(_ENGINE_Initiatives!$AB$5:$AB$76,MATCH($A176,_ENGINE_Initiatives!$BW$5:$BW$76,0))&lt;=2,6,IF(INDEX(_ENGINE_Initiatives!$AB$5:$AB$76,MATCH($A176,_ENGINE_Initiatives!$BW$5:$BW$76,0))=3,10,IF(INDEX(_ENGINE_Initiatives!$AB$5:$AB$76,MATCH($A176,_ENGINE_Initiatives!$BW$5:$BW$76,0))=4,16,24)))*7)),1,""),"")</f>
      </c>
      <c r="I176" s="55">
        <f>IFERROR(IF(AND(I$162&gt;=IF(INDEX(_ENGINE_Initiatives!$BX$5:$BX$76,MATCH($A176,_ENGINE_Initiatives!$BW$5:$BW$76,0))="0-90 days",'Company Profile'!$B$6,IF(INDEX(_ENGINE_Initiatives!$BX$5:$BX$76,MATCH($A176,_ENGINE_Initiatives!$BW$5:$BW$76,0))="3-6 months",EDATE('Company Profile'!$B$6,3),IF(INDEX(_ENGINE_Initiatives!$BX$5:$BX$76,MATCH($A176,_ENGINE_Initiatives!$BW$5:$BW$76,0))="6-12 months",EDATE('Company Profile'!$B$6,6),EDATE('Company Profile'!$B$6,12)))),I$162&lt;=IF(INDEX(_ENGINE_Initiatives!$BX$5:$BX$76,MATCH($A176,_ENGINE_Initiatives!$BW$5:$BW$76,0))="0-90 days",'Company Profile'!$B$6,IF(INDEX(_ENGINE_Initiatives!$BX$5:$BX$76,MATCH($A176,_ENGINE_Initiatives!$BW$5:$BW$76,0))="3-6 months",EDATE('Company Profile'!$B$6,3),IF(INDEX(_ENGINE_Initiatives!$BX$5:$BX$76,MATCH($A176,_ENGINE_Initiatives!$BW$5:$BW$76,0))="6-12 months",EDATE('Company Profile'!$B$6,6),EDATE('Company Profile'!$B$6,12))))+(IF(INDEX(_ENGINE_Initiatives!$AB$5:$AB$76,MATCH($A176,_ENGINE_Initiatives!$BW$5:$BW$76,0))&lt;=2,6,IF(INDEX(_ENGINE_Initiatives!$AB$5:$AB$76,MATCH($A176,_ENGINE_Initiatives!$BW$5:$BW$76,0))=3,10,IF(INDEX(_ENGINE_Initiatives!$AB$5:$AB$76,MATCH($A176,_ENGINE_Initiatives!$BW$5:$BW$76,0))=4,16,24)))*7)),1,""),"")</f>
      </c>
      <c r="J176" s="55">
        <f>IFERROR(IF(AND(J$162&gt;=IF(INDEX(_ENGINE_Initiatives!$BX$5:$BX$76,MATCH($A176,_ENGINE_Initiatives!$BW$5:$BW$76,0))="0-90 days",'Company Profile'!$B$6,IF(INDEX(_ENGINE_Initiatives!$BX$5:$BX$76,MATCH($A176,_ENGINE_Initiatives!$BW$5:$BW$76,0))="3-6 months",EDATE('Company Profile'!$B$6,3),IF(INDEX(_ENGINE_Initiatives!$BX$5:$BX$76,MATCH($A176,_ENGINE_Initiatives!$BW$5:$BW$76,0))="6-12 months",EDATE('Company Profile'!$B$6,6),EDATE('Company Profile'!$B$6,12)))),J$162&lt;=IF(INDEX(_ENGINE_Initiatives!$BX$5:$BX$76,MATCH($A176,_ENGINE_Initiatives!$BW$5:$BW$76,0))="0-90 days",'Company Profile'!$B$6,IF(INDEX(_ENGINE_Initiatives!$BX$5:$BX$76,MATCH($A176,_ENGINE_Initiatives!$BW$5:$BW$76,0))="3-6 months",EDATE('Company Profile'!$B$6,3),IF(INDEX(_ENGINE_Initiatives!$BX$5:$BX$76,MATCH($A176,_ENGINE_Initiatives!$BW$5:$BW$76,0))="6-12 months",EDATE('Company Profile'!$B$6,6),EDATE('Company Profile'!$B$6,12))))+(IF(INDEX(_ENGINE_Initiatives!$AB$5:$AB$76,MATCH($A176,_ENGINE_Initiatives!$BW$5:$BW$76,0))&lt;=2,6,IF(INDEX(_ENGINE_Initiatives!$AB$5:$AB$76,MATCH($A176,_ENGINE_Initiatives!$BW$5:$BW$76,0))=3,10,IF(INDEX(_ENGINE_Initiatives!$AB$5:$AB$76,MATCH($A176,_ENGINE_Initiatives!$BW$5:$BW$76,0))=4,16,24)))*7)),1,""),"")</f>
      </c>
      <c r="K176" s="55">
        <f>IFERROR(IF(AND(K$162&gt;=IF(INDEX(_ENGINE_Initiatives!$BX$5:$BX$76,MATCH($A176,_ENGINE_Initiatives!$BW$5:$BW$76,0))="0-90 days",'Company Profile'!$B$6,IF(INDEX(_ENGINE_Initiatives!$BX$5:$BX$76,MATCH($A176,_ENGINE_Initiatives!$BW$5:$BW$76,0))="3-6 months",EDATE('Company Profile'!$B$6,3),IF(INDEX(_ENGINE_Initiatives!$BX$5:$BX$76,MATCH($A176,_ENGINE_Initiatives!$BW$5:$BW$76,0))="6-12 months",EDATE('Company Profile'!$B$6,6),EDATE('Company Profile'!$B$6,12)))),K$162&lt;=IF(INDEX(_ENGINE_Initiatives!$BX$5:$BX$76,MATCH($A176,_ENGINE_Initiatives!$BW$5:$BW$76,0))="0-90 days",'Company Profile'!$B$6,IF(INDEX(_ENGINE_Initiatives!$BX$5:$BX$76,MATCH($A176,_ENGINE_Initiatives!$BW$5:$BW$76,0))="3-6 months",EDATE('Company Profile'!$B$6,3),IF(INDEX(_ENGINE_Initiatives!$BX$5:$BX$76,MATCH($A176,_ENGINE_Initiatives!$BW$5:$BW$76,0))="6-12 months",EDATE('Company Profile'!$B$6,6),EDATE('Company Profile'!$B$6,12))))+(IF(INDEX(_ENGINE_Initiatives!$AB$5:$AB$76,MATCH($A176,_ENGINE_Initiatives!$BW$5:$BW$76,0))&lt;=2,6,IF(INDEX(_ENGINE_Initiatives!$AB$5:$AB$76,MATCH($A176,_ENGINE_Initiatives!$BW$5:$BW$76,0))=3,10,IF(INDEX(_ENGINE_Initiatives!$AB$5:$AB$76,MATCH($A176,_ENGINE_Initiatives!$BW$5:$BW$76,0))=4,16,24)))*7)),1,""),"")</f>
      </c>
      <c r="L176" s="55">
        <f>IFERROR(IF(AND(L$162&gt;=IF(INDEX(_ENGINE_Initiatives!$BX$5:$BX$76,MATCH($A176,_ENGINE_Initiatives!$BW$5:$BW$76,0))="0-90 days",'Company Profile'!$B$6,IF(INDEX(_ENGINE_Initiatives!$BX$5:$BX$76,MATCH($A176,_ENGINE_Initiatives!$BW$5:$BW$76,0))="3-6 months",EDATE('Company Profile'!$B$6,3),IF(INDEX(_ENGINE_Initiatives!$BX$5:$BX$76,MATCH($A176,_ENGINE_Initiatives!$BW$5:$BW$76,0))="6-12 months",EDATE('Company Profile'!$B$6,6),EDATE('Company Profile'!$B$6,12)))),L$162&lt;=IF(INDEX(_ENGINE_Initiatives!$BX$5:$BX$76,MATCH($A176,_ENGINE_Initiatives!$BW$5:$BW$76,0))="0-90 days",'Company Profile'!$B$6,IF(INDEX(_ENGINE_Initiatives!$BX$5:$BX$76,MATCH($A176,_ENGINE_Initiatives!$BW$5:$BW$76,0))="3-6 months",EDATE('Company Profile'!$B$6,3),IF(INDEX(_ENGINE_Initiatives!$BX$5:$BX$76,MATCH($A176,_ENGINE_Initiatives!$BW$5:$BW$76,0))="6-12 months",EDATE('Company Profile'!$B$6,6),EDATE('Company Profile'!$B$6,12))))+(IF(INDEX(_ENGINE_Initiatives!$AB$5:$AB$76,MATCH($A176,_ENGINE_Initiatives!$BW$5:$BW$76,0))&lt;=2,6,IF(INDEX(_ENGINE_Initiatives!$AB$5:$AB$76,MATCH($A176,_ENGINE_Initiatives!$BW$5:$BW$76,0))=3,10,IF(INDEX(_ENGINE_Initiatives!$AB$5:$AB$76,MATCH($A176,_ENGINE_Initiatives!$BW$5:$BW$76,0))=4,16,24)))*7)),1,""),"")</f>
      </c>
      <c r="M176" s="55">
        <f>IFERROR(IF(AND(M$162&gt;=IF(INDEX(_ENGINE_Initiatives!$BX$5:$BX$76,MATCH($A176,_ENGINE_Initiatives!$BW$5:$BW$76,0))="0-90 days",'Company Profile'!$B$6,IF(INDEX(_ENGINE_Initiatives!$BX$5:$BX$76,MATCH($A176,_ENGINE_Initiatives!$BW$5:$BW$76,0))="3-6 months",EDATE('Company Profile'!$B$6,3),IF(INDEX(_ENGINE_Initiatives!$BX$5:$BX$76,MATCH($A176,_ENGINE_Initiatives!$BW$5:$BW$76,0))="6-12 months",EDATE('Company Profile'!$B$6,6),EDATE('Company Profile'!$B$6,12)))),M$162&lt;=IF(INDEX(_ENGINE_Initiatives!$BX$5:$BX$76,MATCH($A176,_ENGINE_Initiatives!$BW$5:$BW$76,0))="0-90 days",'Company Profile'!$B$6,IF(INDEX(_ENGINE_Initiatives!$BX$5:$BX$76,MATCH($A176,_ENGINE_Initiatives!$BW$5:$BW$76,0))="3-6 months",EDATE('Company Profile'!$B$6,3),IF(INDEX(_ENGINE_Initiatives!$BX$5:$BX$76,MATCH($A176,_ENGINE_Initiatives!$BW$5:$BW$76,0))="6-12 months",EDATE('Company Profile'!$B$6,6),EDATE('Company Profile'!$B$6,12))))+(IF(INDEX(_ENGINE_Initiatives!$AB$5:$AB$76,MATCH($A176,_ENGINE_Initiatives!$BW$5:$BW$76,0))&lt;=2,6,IF(INDEX(_ENGINE_Initiatives!$AB$5:$AB$76,MATCH($A176,_ENGINE_Initiatives!$BW$5:$BW$76,0))=3,10,IF(INDEX(_ENGINE_Initiatives!$AB$5:$AB$76,MATCH($A176,_ENGINE_Initiatives!$BW$5:$BW$76,0))=4,16,24)))*7)),1,""),"")</f>
      </c>
      <c r="N176" s="55">
        <f>IFERROR(IF(AND(N$162&gt;=IF(INDEX(_ENGINE_Initiatives!$BX$5:$BX$76,MATCH($A176,_ENGINE_Initiatives!$BW$5:$BW$76,0))="0-90 days",'Company Profile'!$B$6,IF(INDEX(_ENGINE_Initiatives!$BX$5:$BX$76,MATCH($A176,_ENGINE_Initiatives!$BW$5:$BW$76,0))="3-6 months",EDATE('Company Profile'!$B$6,3),IF(INDEX(_ENGINE_Initiatives!$BX$5:$BX$76,MATCH($A176,_ENGINE_Initiatives!$BW$5:$BW$76,0))="6-12 months",EDATE('Company Profile'!$B$6,6),EDATE('Company Profile'!$B$6,12)))),N$162&lt;=IF(INDEX(_ENGINE_Initiatives!$BX$5:$BX$76,MATCH($A176,_ENGINE_Initiatives!$BW$5:$BW$76,0))="0-90 days",'Company Profile'!$B$6,IF(INDEX(_ENGINE_Initiatives!$BX$5:$BX$76,MATCH($A176,_ENGINE_Initiatives!$BW$5:$BW$76,0))="3-6 months",EDATE('Company Profile'!$B$6,3),IF(INDEX(_ENGINE_Initiatives!$BX$5:$BX$76,MATCH($A176,_ENGINE_Initiatives!$BW$5:$BW$76,0))="6-12 months",EDATE('Company Profile'!$B$6,6),EDATE('Company Profile'!$B$6,12))))+(IF(INDEX(_ENGINE_Initiatives!$AB$5:$AB$76,MATCH($A176,_ENGINE_Initiatives!$BW$5:$BW$76,0))&lt;=2,6,IF(INDEX(_ENGINE_Initiatives!$AB$5:$AB$76,MATCH($A176,_ENGINE_Initiatives!$BW$5:$BW$76,0))=3,10,IF(INDEX(_ENGINE_Initiatives!$AB$5:$AB$76,MATCH($A176,_ENGINE_Initiatives!$BW$5:$BW$76,0))=4,16,24)))*7)),1,""),"")</f>
      </c>
      <c r="O176" s="55">
        <f>IFERROR(IF(AND(O$162&gt;=IF(INDEX(_ENGINE_Initiatives!$BX$5:$BX$76,MATCH($A176,_ENGINE_Initiatives!$BW$5:$BW$76,0))="0-90 days",'Company Profile'!$B$6,IF(INDEX(_ENGINE_Initiatives!$BX$5:$BX$76,MATCH($A176,_ENGINE_Initiatives!$BW$5:$BW$76,0))="3-6 months",EDATE('Company Profile'!$B$6,3),IF(INDEX(_ENGINE_Initiatives!$BX$5:$BX$76,MATCH($A176,_ENGINE_Initiatives!$BW$5:$BW$76,0))="6-12 months",EDATE('Company Profile'!$B$6,6),EDATE('Company Profile'!$B$6,12)))),O$162&lt;=IF(INDEX(_ENGINE_Initiatives!$BX$5:$BX$76,MATCH($A176,_ENGINE_Initiatives!$BW$5:$BW$76,0))="0-90 days",'Company Profile'!$B$6,IF(INDEX(_ENGINE_Initiatives!$BX$5:$BX$76,MATCH($A176,_ENGINE_Initiatives!$BW$5:$BW$76,0))="3-6 months",EDATE('Company Profile'!$B$6,3),IF(INDEX(_ENGINE_Initiatives!$BX$5:$BX$76,MATCH($A176,_ENGINE_Initiatives!$BW$5:$BW$76,0))="6-12 months",EDATE('Company Profile'!$B$6,6),EDATE('Company Profile'!$B$6,12))))+(IF(INDEX(_ENGINE_Initiatives!$AB$5:$AB$76,MATCH($A176,_ENGINE_Initiatives!$BW$5:$BW$76,0))&lt;=2,6,IF(INDEX(_ENGINE_Initiatives!$AB$5:$AB$76,MATCH($A176,_ENGINE_Initiatives!$BW$5:$BW$76,0))=3,10,IF(INDEX(_ENGINE_Initiatives!$AB$5:$AB$76,MATCH($A176,_ENGINE_Initiatives!$BW$5:$BW$76,0))=4,16,24)))*7)),1,""),"")</f>
      </c>
      <c r="P176" s="55">
        <f>IFERROR(IF(AND(P$162&gt;=IF(INDEX(_ENGINE_Initiatives!$BX$5:$BX$76,MATCH($A176,_ENGINE_Initiatives!$BW$5:$BW$76,0))="0-90 days",'Company Profile'!$B$6,IF(INDEX(_ENGINE_Initiatives!$BX$5:$BX$76,MATCH($A176,_ENGINE_Initiatives!$BW$5:$BW$76,0))="3-6 months",EDATE('Company Profile'!$B$6,3),IF(INDEX(_ENGINE_Initiatives!$BX$5:$BX$76,MATCH($A176,_ENGINE_Initiatives!$BW$5:$BW$76,0))="6-12 months",EDATE('Company Profile'!$B$6,6),EDATE('Company Profile'!$B$6,12)))),P$162&lt;=IF(INDEX(_ENGINE_Initiatives!$BX$5:$BX$76,MATCH($A176,_ENGINE_Initiatives!$BW$5:$BW$76,0))="0-90 days",'Company Profile'!$B$6,IF(INDEX(_ENGINE_Initiatives!$BX$5:$BX$76,MATCH($A176,_ENGINE_Initiatives!$BW$5:$BW$76,0))="3-6 months",EDATE('Company Profile'!$B$6,3),IF(INDEX(_ENGINE_Initiatives!$BX$5:$BX$76,MATCH($A176,_ENGINE_Initiatives!$BW$5:$BW$76,0))="6-12 months",EDATE('Company Profile'!$B$6,6),EDATE('Company Profile'!$B$6,12))))+(IF(INDEX(_ENGINE_Initiatives!$AB$5:$AB$76,MATCH($A176,_ENGINE_Initiatives!$BW$5:$BW$76,0))&lt;=2,6,IF(INDEX(_ENGINE_Initiatives!$AB$5:$AB$76,MATCH($A176,_ENGINE_Initiatives!$BW$5:$BW$76,0))=3,10,IF(INDEX(_ENGINE_Initiatives!$AB$5:$AB$76,MATCH($A176,_ENGINE_Initiatives!$BW$5:$BW$76,0))=4,16,24)))*7)),1,""),"")</f>
      </c>
      <c r="Q176" s="55">
        <f>IFERROR(IF(AND(Q$162&gt;=IF(INDEX(_ENGINE_Initiatives!$BX$5:$BX$76,MATCH($A176,_ENGINE_Initiatives!$BW$5:$BW$76,0))="0-90 days",'Company Profile'!$B$6,IF(INDEX(_ENGINE_Initiatives!$BX$5:$BX$76,MATCH($A176,_ENGINE_Initiatives!$BW$5:$BW$76,0))="3-6 months",EDATE('Company Profile'!$B$6,3),IF(INDEX(_ENGINE_Initiatives!$BX$5:$BX$76,MATCH($A176,_ENGINE_Initiatives!$BW$5:$BW$76,0))="6-12 months",EDATE('Company Profile'!$B$6,6),EDATE('Company Profile'!$B$6,12)))),Q$162&lt;=IF(INDEX(_ENGINE_Initiatives!$BX$5:$BX$76,MATCH($A176,_ENGINE_Initiatives!$BW$5:$BW$76,0))="0-90 days",'Company Profile'!$B$6,IF(INDEX(_ENGINE_Initiatives!$BX$5:$BX$76,MATCH($A176,_ENGINE_Initiatives!$BW$5:$BW$76,0))="3-6 months",EDATE('Company Profile'!$B$6,3),IF(INDEX(_ENGINE_Initiatives!$BX$5:$BX$76,MATCH($A176,_ENGINE_Initiatives!$BW$5:$BW$76,0))="6-12 months",EDATE('Company Profile'!$B$6,6),EDATE('Company Profile'!$B$6,12))))+(IF(INDEX(_ENGINE_Initiatives!$AB$5:$AB$76,MATCH($A176,_ENGINE_Initiatives!$BW$5:$BW$76,0))&lt;=2,6,IF(INDEX(_ENGINE_Initiatives!$AB$5:$AB$76,MATCH($A176,_ENGINE_Initiatives!$BW$5:$BW$76,0))=3,10,IF(INDEX(_ENGINE_Initiatives!$AB$5:$AB$76,MATCH($A176,_ENGINE_Initiatives!$BW$5:$BW$76,0))=4,16,24)))*7)),1,""),"")</f>
      </c>
      <c r="R176" s="55">
        <f>IFERROR(IF(AND(R$162&gt;=IF(INDEX(_ENGINE_Initiatives!$BX$5:$BX$76,MATCH($A176,_ENGINE_Initiatives!$BW$5:$BW$76,0))="0-90 days",'Company Profile'!$B$6,IF(INDEX(_ENGINE_Initiatives!$BX$5:$BX$76,MATCH($A176,_ENGINE_Initiatives!$BW$5:$BW$76,0))="3-6 months",EDATE('Company Profile'!$B$6,3),IF(INDEX(_ENGINE_Initiatives!$BX$5:$BX$76,MATCH($A176,_ENGINE_Initiatives!$BW$5:$BW$76,0))="6-12 months",EDATE('Company Profile'!$B$6,6),EDATE('Company Profile'!$B$6,12)))),R$162&lt;=IF(INDEX(_ENGINE_Initiatives!$BX$5:$BX$76,MATCH($A176,_ENGINE_Initiatives!$BW$5:$BW$76,0))="0-90 days",'Company Profile'!$B$6,IF(INDEX(_ENGINE_Initiatives!$BX$5:$BX$76,MATCH($A176,_ENGINE_Initiatives!$BW$5:$BW$76,0))="3-6 months",EDATE('Company Profile'!$B$6,3),IF(INDEX(_ENGINE_Initiatives!$BX$5:$BX$76,MATCH($A176,_ENGINE_Initiatives!$BW$5:$BW$76,0))="6-12 months",EDATE('Company Profile'!$B$6,6),EDATE('Company Profile'!$B$6,12))))+(IF(INDEX(_ENGINE_Initiatives!$AB$5:$AB$76,MATCH($A176,_ENGINE_Initiatives!$BW$5:$BW$76,0))&lt;=2,6,IF(INDEX(_ENGINE_Initiatives!$AB$5:$AB$76,MATCH($A176,_ENGINE_Initiatives!$BW$5:$BW$76,0))=3,10,IF(INDEX(_ENGINE_Initiatives!$AB$5:$AB$76,MATCH($A176,_ENGINE_Initiatives!$BW$5:$BW$76,0))=4,16,24)))*7)),1,""),"")</f>
      </c>
      <c r="S176" s="55">
        <f>IFERROR(IF(AND(S$162&gt;=IF(INDEX(_ENGINE_Initiatives!$BX$5:$BX$76,MATCH($A176,_ENGINE_Initiatives!$BW$5:$BW$76,0))="0-90 days",'Company Profile'!$B$6,IF(INDEX(_ENGINE_Initiatives!$BX$5:$BX$76,MATCH($A176,_ENGINE_Initiatives!$BW$5:$BW$76,0))="3-6 months",EDATE('Company Profile'!$B$6,3),IF(INDEX(_ENGINE_Initiatives!$BX$5:$BX$76,MATCH($A176,_ENGINE_Initiatives!$BW$5:$BW$76,0))="6-12 months",EDATE('Company Profile'!$B$6,6),EDATE('Company Profile'!$B$6,12)))),S$162&lt;=IF(INDEX(_ENGINE_Initiatives!$BX$5:$BX$76,MATCH($A176,_ENGINE_Initiatives!$BW$5:$BW$76,0))="0-90 days",'Company Profile'!$B$6,IF(INDEX(_ENGINE_Initiatives!$BX$5:$BX$76,MATCH($A176,_ENGINE_Initiatives!$BW$5:$BW$76,0))="3-6 months",EDATE('Company Profile'!$B$6,3),IF(INDEX(_ENGINE_Initiatives!$BX$5:$BX$76,MATCH($A176,_ENGINE_Initiatives!$BW$5:$BW$76,0))="6-12 months",EDATE('Company Profile'!$B$6,6),EDATE('Company Profile'!$B$6,12))))+(IF(INDEX(_ENGINE_Initiatives!$AB$5:$AB$76,MATCH($A176,_ENGINE_Initiatives!$BW$5:$BW$76,0))&lt;=2,6,IF(INDEX(_ENGINE_Initiatives!$AB$5:$AB$76,MATCH($A176,_ENGINE_Initiatives!$BW$5:$BW$76,0))=3,10,IF(INDEX(_ENGINE_Initiatives!$AB$5:$AB$76,MATCH($A176,_ENGINE_Initiatives!$BW$5:$BW$76,0))=4,16,24)))*7)),1,""),"")</f>
      </c>
      <c r="T176" s="55">
        <f>IFERROR(IF(AND(T$162&gt;=IF(INDEX(_ENGINE_Initiatives!$BX$5:$BX$76,MATCH($A176,_ENGINE_Initiatives!$BW$5:$BW$76,0))="0-90 days",'Company Profile'!$B$6,IF(INDEX(_ENGINE_Initiatives!$BX$5:$BX$76,MATCH($A176,_ENGINE_Initiatives!$BW$5:$BW$76,0))="3-6 months",EDATE('Company Profile'!$B$6,3),IF(INDEX(_ENGINE_Initiatives!$BX$5:$BX$76,MATCH($A176,_ENGINE_Initiatives!$BW$5:$BW$76,0))="6-12 months",EDATE('Company Profile'!$B$6,6),EDATE('Company Profile'!$B$6,12)))),T$162&lt;=IF(INDEX(_ENGINE_Initiatives!$BX$5:$BX$76,MATCH($A176,_ENGINE_Initiatives!$BW$5:$BW$76,0))="0-90 days",'Company Profile'!$B$6,IF(INDEX(_ENGINE_Initiatives!$BX$5:$BX$76,MATCH($A176,_ENGINE_Initiatives!$BW$5:$BW$76,0))="3-6 months",EDATE('Company Profile'!$B$6,3),IF(INDEX(_ENGINE_Initiatives!$BX$5:$BX$76,MATCH($A176,_ENGINE_Initiatives!$BW$5:$BW$76,0))="6-12 months",EDATE('Company Profile'!$B$6,6),EDATE('Company Profile'!$B$6,12))))+(IF(INDEX(_ENGINE_Initiatives!$AB$5:$AB$76,MATCH($A176,_ENGINE_Initiatives!$BW$5:$BW$76,0))&lt;=2,6,IF(INDEX(_ENGINE_Initiatives!$AB$5:$AB$76,MATCH($A176,_ENGINE_Initiatives!$BW$5:$BW$76,0))=3,10,IF(INDEX(_ENGINE_Initiatives!$AB$5:$AB$76,MATCH($A176,_ENGINE_Initiatives!$BW$5:$BW$76,0))=4,16,24)))*7)),1,""),"")</f>
      </c>
      <c r="U176" s="30" t="n"/>
      <c r="V176" s="30" t="n"/>
    </row>
    <row r="177" ht="15" customHeight="1" s="209">
      <c r="A177" s="51" t="inlineStr">
        <is>
          <t>15</t>
        </is>
      </c>
      <c r="B177" s="51">
        <f>IFERROR(INDEX(_ENGINE_Initiatives!$F$5:$F$76,MATCH($A177,_ENGINE_Initiatives!$BW$5:$BW$76,0)),"")</f>
      </c>
      <c r="C177" s="55">
        <f>IFERROR(IF(AND(C$162&gt;=IF(INDEX(_ENGINE_Initiatives!$BX$5:$BX$76,MATCH($A177,_ENGINE_Initiatives!$BW$5:$BW$76,0))="0-90 days",'Company Profile'!$B$6,IF(INDEX(_ENGINE_Initiatives!$BX$5:$BX$76,MATCH($A177,_ENGINE_Initiatives!$BW$5:$BW$76,0))="3-6 months",EDATE('Company Profile'!$B$6,3),IF(INDEX(_ENGINE_Initiatives!$BX$5:$BX$76,MATCH($A177,_ENGINE_Initiatives!$BW$5:$BW$76,0))="6-12 months",EDATE('Company Profile'!$B$6,6),EDATE('Company Profile'!$B$6,12)))),C$162&lt;=IF(INDEX(_ENGINE_Initiatives!$BX$5:$BX$76,MATCH($A177,_ENGINE_Initiatives!$BW$5:$BW$76,0))="0-90 days",'Company Profile'!$B$6,IF(INDEX(_ENGINE_Initiatives!$BX$5:$BX$76,MATCH($A177,_ENGINE_Initiatives!$BW$5:$BW$76,0))="3-6 months",EDATE('Company Profile'!$B$6,3),IF(INDEX(_ENGINE_Initiatives!$BX$5:$BX$76,MATCH($A177,_ENGINE_Initiatives!$BW$5:$BW$76,0))="6-12 months",EDATE('Company Profile'!$B$6,6),EDATE('Company Profile'!$B$6,12))))+(IF(INDEX(_ENGINE_Initiatives!$AB$5:$AB$76,MATCH($A177,_ENGINE_Initiatives!$BW$5:$BW$76,0))&lt;=2,6,IF(INDEX(_ENGINE_Initiatives!$AB$5:$AB$76,MATCH($A177,_ENGINE_Initiatives!$BW$5:$BW$76,0))=3,10,IF(INDEX(_ENGINE_Initiatives!$AB$5:$AB$76,MATCH($A177,_ENGINE_Initiatives!$BW$5:$BW$76,0))=4,16,24)))*7)),1,""),"")</f>
      </c>
      <c r="D177" s="55">
        <f>IFERROR(IF(AND(D$162&gt;=IF(INDEX(_ENGINE_Initiatives!$BX$5:$BX$76,MATCH($A177,_ENGINE_Initiatives!$BW$5:$BW$76,0))="0-90 days",'Company Profile'!$B$6,IF(INDEX(_ENGINE_Initiatives!$BX$5:$BX$76,MATCH($A177,_ENGINE_Initiatives!$BW$5:$BW$76,0))="3-6 months",EDATE('Company Profile'!$B$6,3),IF(INDEX(_ENGINE_Initiatives!$BX$5:$BX$76,MATCH($A177,_ENGINE_Initiatives!$BW$5:$BW$76,0))="6-12 months",EDATE('Company Profile'!$B$6,6),EDATE('Company Profile'!$B$6,12)))),D$162&lt;=IF(INDEX(_ENGINE_Initiatives!$BX$5:$BX$76,MATCH($A177,_ENGINE_Initiatives!$BW$5:$BW$76,0))="0-90 days",'Company Profile'!$B$6,IF(INDEX(_ENGINE_Initiatives!$BX$5:$BX$76,MATCH($A177,_ENGINE_Initiatives!$BW$5:$BW$76,0))="3-6 months",EDATE('Company Profile'!$B$6,3),IF(INDEX(_ENGINE_Initiatives!$BX$5:$BX$76,MATCH($A177,_ENGINE_Initiatives!$BW$5:$BW$76,0))="6-12 months",EDATE('Company Profile'!$B$6,6),EDATE('Company Profile'!$B$6,12))))+(IF(INDEX(_ENGINE_Initiatives!$AB$5:$AB$76,MATCH($A177,_ENGINE_Initiatives!$BW$5:$BW$76,0))&lt;=2,6,IF(INDEX(_ENGINE_Initiatives!$AB$5:$AB$76,MATCH($A177,_ENGINE_Initiatives!$BW$5:$BW$76,0))=3,10,IF(INDEX(_ENGINE_Initiatives!$AB$5:$AB$76,MATCH($A177,_ENGINE_Initiatives!$BW$5:$BW$76,0))=4,16,24)))*7)),1,""),"")</f>
      </c>
      <c r="E177" s="55">
        <f>IFERROR(IF(AND(E$162&gt;=IF(INDEX(_ENGINE_Initiatives!$BX$5:$BX$76,MATCH($A177,_ENGINE_Initiatives!$BW$5:$BW$76,0))="0-90 days",'Company Profile'!$B$6,IF(INDEX(_ENGINE_Initiatives!$BX$5:$BX$76,MATCH($A177,_ENGINE_Initiatives!$BW$5:$BW$76,0))="3-6 months",EDATE('Company Profile'!$B$6,3),IF(INDEX(_ENGINE_Initiatives!$BX$5:$BX$76,MATCH($A177,_ENGINE_Initiatives!$BW$5:$BW$76,0))="6-12 months",EDATE('Company Profile'!$B$6,6),EDATE('Company Profile'!$B$6,12)))),E$162&lt;=IF(INDEX(_ENGINE_Initiatives!$BX$5:$BX$76,MATCH($A177,_ENGINE_Initiatives!$BW$5:$BW$76,0))="0-90 days",'Company Profile'!$B$6,IF(INDEX(_ENGINE_Initiatives!$BX$5:$BX$76,MATCH($A177,_ENGINE_Initiatives!$BW$5:$BW$76,0))="3-6 months",EDATE('Company Profile'!$B$6,3),IF(INDEX(_ENGINE_Initiatives!$BX$5:$BX$76,MATCH($A177,_ENGINE_Initiatives!$BW$5:$BW$76,0))="6-12 months",EDATE('Company Profile'!$B$6,6),EDATE('Company Profile'!$B$6,12))))+(IF(INDEX(_ENGINE_Initiatives!$AB$5:$AB$76,MATCH($A177,_ENGINE_Initiatives!$BW$5:$BW$76,0))&lt;=2,6,IF(INDEX(_ENGINE_Initiatives!$AB$5:$AB$76,MATCH($A177,_ENGINE_Initiatives!$BW$5:$BW$76,0))=3,10,IF(INDEX(_ENGINE_Initiatives!$AB$5:$AB$76,MATCH($A177,_ENGINE_Initiatives!$BW$5:$BW$76,0))=4,16,24)))*7)),1,""),"")</f>
      </c>
      <c r="F177" s="55">
        <f>IFERROR(IF(AND(F$162&gt;=IF(INDEX(_ENGINE_Initiatives!$BX$5:$BX$76,MATCH($A177,_ENGINE_Initiatives!$BW$5:$BW$76,0))="0-90 days",'Company Profile'!$B$6,IF(INDEX(_ENGINE_Initiatives!$BX$5:$BX$76,MATCH($A177,_ENGINE_Initiatives!$BW$5:$BW$76,0))="3-6 months",EDATE('Company Profile'!$B$6,3),IF(INDEX(_ENGINE_Initiatives!$BX$5:$BX$76,MATCH($A177,_ENGINE_Initiatives!$BW$5:$BW$76,0))="6-12 months",EDATE('Company Profile'!$B$6,6),EDATE('Company Profile'!$B$6,12)))),F$162&lt;=IF(INDEX(_ENGINE_Initiatives!$BX$5:$BX$76,MATCH($A177,_ENGINE_Initiatives!$BW$5:$BW$76,0))="0-90 days",'Company Profile'!$B$6,IF(INDEX(_ENGINE_Initiatives!$BX$5:$BX$76,MATCH($A177,_ENGINE_Initiatives!$BW$5:$BW$76,0))="3-6 months",EDATE('Company Profile'!$B$6,3),IF(INDEX(_ENGINE_Initiatives!$BX$5:$BX$76,MATCH($A177,_ENGINE_Initiatives!$BW$5:$BW$76,0))="6-12 months",EDATE('Company Profile'!$B$6,6),EDATE('Company Profile'!$B$6,12))))+(IF(INDEX(_ENGINE_Initiatives!$AB$5:$AB$76,MATCH($A177,_ENGINE_Initiatives!$BW$5:$BW$76,0))&lt;=2,6,IF(INDEX(_ENGINE_Initiatives!$AB$5:$AB$76,MATCH($A177,_ENGINE_Initiatives!$BW$5:$BW$76,0))=3,10,IF(INDEX(_ENGINE_Initiatives!$AB$5:$AB$76,MATCH($A177,_ENGINE_Initiatives!$BW$5:$BW$76,0))=4,16,24)))*7)),1,""),"")</f>
      </c>
      <c r="G177" s="55">
        <f>IFERROR(IF(AND(G$162&gt;=IF(INDEX(_ENGINE_Initiatives!$BX$5:$BX$76,MATCH($A177,_ENGINE_Initiatives!$BW$5:$BW$76,0))="0-90 days",'Company Profile'!$B$6,IF(INDEX(_ENGINE_Initiatives!$BX$5:$BX$76,MATCH($A177,_ENGINE_Initiatives!$BW$5:$BW$76,0))="3-6 months",EDATE('Company Profile'!$B$6,3),IF(INDEX(_ENGINE_Initiatives!$BX$5:$BX$76,MATCH($A177,_ENGINE_Initiatives!$BW$5:$BW$76,0))="6-12 months",EDATE('Company Profile'!$B$6,6),EDATE('Company Profile'!$B$6,12)))),G$162&lt;=IF(INDEX(_ENGINE_Initiatives!$BX$5:$BX$76,MATCH($A177,_ENGINE_Initiatives!$BW$5:$BW$76,0))="0-90 days",'Company Profile'!$B$6,IF(INDEX(_ENGINE_Initiatives!$BX$5:$BX$76,MATCH($A177,_ENGINE_Initiatives!$BW$5:$BW$76,0))="3-6 months",EDATE('Company Profile'!$B$6,3),IF(INDEX(_ENGINE_Initiatives!$BX$5:$BX$76,MATCH($A177,_ENGINE_Initiatives!$BW$5:$BW$76,0))="6-12 months",EDATE('Company Profile'!$B$6,6),EDATE('Company Profile'!$B$6,12))))+(IF(INDEX(_ENGINE_Initiatives!$AB$5:$AB$76,MATCH($A177,_ENGINE_Initiatives!$BW$5:$BW$76,0))&lt;=2,6,IF(INDEX(_ENGINE_Initiatives!$AB$5:$AB$76,MATCH($A177,_ENGINE_Initiatives!$BW$5:$BW$76,0))=3,10,IF(INDEX(_ENGINE_Initiatives!$AB$5:$AB$76,MATCH($A177,_ENGINE_Initiatives!$BW$5:$BW$76,0))=4,16,24)))*7)),1,""),"")</f>
      </c>
      <c r="H177" s="55">
        <f>IFERROR(IF(AND(H$162&gt;=IF(INDEX(_ENGINE_Initiatives!$BX$5:$BX$76,MATCH($A177,_ENGINE_Initiatives!$BW$5:$BW$76,0))="0-90 days",'Company Profile'!$B$6,IF(INDEX(_ENGINE_Initiatives!$BX$5:$BX$76,MATCH($A177,_ENGINE_Initiatives!$BW$5:$BW$76,0))="3-6 months",EDATE('Company Profile'!$B$6,3),IF(INDEX(_ENGINE_Initiatives!$BX$5:$BX$76,MATCH($A177,_ENGINE_Initiatives!$BW$5:$BW$76,0))="6-12 months",EDATE('Company Profile'!$B$6,6),EDATE('Company Profile'!$B$6,12)))),H$162&lt;=IF(INDEX(_ENGINE_Initiatives!$BX$5:$BX$76,MATCH($A177,_ENGINE_Initiatives!$BW$5:$BW$76,0))="0-90 days",'Company Profile'!$B$6,IF(INDEX(_ENGINE_Initiatives!$BX$5:$BX$76,MATCH($A177,_ENGINE_Initiatives!$BW$5:$BW$76,0))="3-6 months",EDATE('Company Profile'!$B$6,3),IF(INDEX(_ENGINE_Initiatives!$BX$5:$BX$76,MATCH($A177,_ENGINE_Initiatives!$BW$5:$BW$76,0))="6-12 months",EDATE('Company Profile'!$B$6,6),EDATE('Company Profile'!$B$6,12))))+(IF(INDEX(_ENGINE_Initiatives!$AB$5:$AB$76,MATCH($A177,_ENGINE_Initiatives!$BW$5:$BW$76,0))&lt;=2,6,IF(INDEX(_ENGINE_Initiatives!$AB$5:$AB$76,MATCH($A177,_ENGINE_Initiatives!$BW$5:$BW$76,0))=3,10,IF(INDEX(_ENGINE_Initiatives!$AB$5:$AB$76,MATCH($A177,_ENGINE_Initiatives!$BW$5:$BW$76,0))=4,16,24)))*7)),1,""),"")</f>
      </c>
      <c r="I177" s="55">
        <f>IFERROR(IF(AND(I$162&gt;=IF(INDEX(_ENGINE_Initiatives!$BX$5:$BX$76,MATCH($A177,_ENGINE_Initiatives!$BW$5:$BW$76,0))="0-90 days",'Company Profile'!$B$6,IF(INDEX(_ENGINE_Initiatives!$BX$5:$BX$76,MATCH($A177,_ENGINE_Initiatives!$BW$5:$BW$76,0))="3-6 months",EDATE('Company Profile'!$B$6,3),IF(INDEX(_ENGINE_Initiatives!$BX$5:$BX$76,MATCH($A177,_ENGINE_Initiatives!$BW$5:$BW$76,0))="6-12 months",EDATE('Company Profile'!$B$6,6),EDATE('Company Profile'!$B$6,12)))),I$162&lt;=IF(INDEX(_ENGINE_Initiatives!$BX$5:$BX$76,MATCH($A177,_ENGINE_Initiatives!$BW$5:$BW$76,0))="0-90 days",'Company Profile'!$B$6,IF(INDEX(_ENGINE_Initiatives!$BX$5:$BX$76,MATCH($A177,_ENGINE_Initiatives!$BW$5:$BW$76,0))="3-6 months",EDATE('Company Profile'!$B$6,3),IF(INDEX(_ENGINE_Initiatives!$BX$5:$BX$76,MATCH($A177,_ENGINE_Initiatives!$BW$5:$BW$76,0))="6-12 months",EDATE('Company Profile'!$B$6,6),EDATE('Company Profile'!$B$6,12))))+(IF(INDEX(_ENGINE_Initiatives!$AB$5:$AB$76,MATCH($A177,_ENGINE_Initiatives!$BW$5:$BW$76,0))&lt;=2,6,IF(INDEX(_ENGINE_Initiatives!$AB$5:$AB$76,MATCH($A177,_ENGINE_Initiatives!$BW$5:$BW$76,0))=3,10,IF(INDEX(_ENGINE_Initiatives!$AB$5:$AB$76,MATCH($A177,_ENGINE_Initiatives!$BW$5:$BW$76,0))=4,16,24)))*7)),1,""),"")</f>
      </c>
      <c r="J177" s="55">
        <f>IFERROR(IF(AND(J$162&gt;=IF(INDEX(_ENGINE_Initiatives!$BX$5:$BX$76,MATCH($A177,_ENGINE_Initiatives!$BW$5:$BW$76,0))="0-90 days",'Company Profile'!$B$6,IF(INDEX(_ENGINE_Initiatives!$BX$5:$BX$76,MATCH($A177,_ENGINE_Initiatives!$BW$5:$BW$76,0))="3-6 months",EDATE('Company Profile'!$B$6,3),IF(INDEX(_ENGINE_Initiatives!$BX$5:$BX$76,MATCH($A177,_ENGINE_Initiatives!$BW$5:$BW$76,0))="6-12 months",EDATE('Company Profile'!$B$6,6),EDATE('Company Profile'!$B$6,12)))),J$162&lt;=IF(INDEX(_ENGINE_Initiatives!$BX$5:$BX$76,MATCH($A177,_ENGINE_Initiatives!$BW$5:$BW$76,0))="0-90 days",'Company Profile'!$B$6,IF(INDEX(_ENGINE_Initiatives!$BX$5:$BX$76,MATCH($A177,_ENGINE_Initiatives!$BW$5:$BW$76,0))="3-6 months",EDATE('Company Profile'!$B$6,3),IF(INDEX(_ENGINE_Initiatives!$BX$5:$BX$76,MATCH($A177,_ENGINE_Initiatives!$BW$5:$BW$76,0))="6-12 months",EDATE('Company Profile'!$B$6,6),EDATE('Company Profile'!$B$6,12))))+(IF(INDEX(_ENGINE_Initiatives!$AB$5:$AB$76,MATCH($A177,_ENGINE_Initiatives!$BW$5:$BW$76,0))&lt;=2,6,IF(INDEX(_ENGINE_Initiatives!$AB$5:$AB$76,MATCH($A177,_ENGINE_Initiatives!$BW$5:$BW$76,0))=3,10,IF(INDEX(_ENGINE_Initiatives!$AB$5:$AB$76,MATCH($A177,_ENGINE_Initiatives!$BW$5:$BW$76,0))=4,16,24)))*7)),1,""),"")</f>
      </c>
      <c r="K177" s="55">
        <f>IFERROR(IF(AND(K$162&gt;=IF(INDEX(_ENGINE_Initiatives!$BX$5:$BX$76,MATCH($A177,_ENGINE_Initiatives!$BW$5:$BW$76,0))="0-90 days",'Company Profile'!$B$6,IF(INDEX(_ENGINE_Initiatives!$BX$5:$BX$76,MATCH($A177,_ENGINE_Initiatives!$BW$5:$BW$76,0))="3-6 months",EDATE('Company Profile'!$B$6,3),IF(INDEX(_ENGINE_Initiatives!$BX$5:$BX$76,MATCH($A177,_ENGINE_Initiatives!$BW$5:$BW$76,0))="6-12 months",EDATE('Company Profile'!$B$6,6),EDATE('Company Profile'!$B$6,12)))),K$162&lt;=IF(INDEX(_ENGINE_Initiatives!$BX$5:$BX$76,MATCH($A177,_ENGINE_Initiatives!$BW$5:$BW$76,0))="0-90 days",'Company Profile'!$B$6,IF(INDEX(_ENGINE_Initiatives!$BX$5:$BX$76,MATCH($A177,_ENGINE_Initiatives!$BW$5:$BW$76,0))="3-6 months",EDATE('Company Profile'!$B$6,3),IF(INDEX(_ENGINE_Initiatives!$BX$5:$BX$76,MATCH($A177,_ENGINE_Initiatives!$BW$5:$BW$76,0))="6-12 months",EDATE('Company Profile'!$B$6,6),EDATE('Company Profile'!$B$6,12))))+(IF(INDEX(_ENGINE_Initiatives!$AB$5:$AB$76,MATCH($A177,_ENGINE_Initiatives!$BW$5:$BW$76,0))&lt;=2,6,IF(INDEX(_ENGINE_Initiatives!$AB$5:$AB$76,MATCH($A177,_ENGINE_Initiatives!$BW$5:$BW$76,0))=3,10,IF(INDEX(_ENGINE_Initiatives!$AB$5:$AB$76,MATCH($A177,_ENGINE_Initiatives!$BW$5:$BW$76,0))=4,16,24)))*7)),1,""),"")</f>
      </c>
      <c r="L177" s="55">
        <f>IFERROR(IF(AND(L$162&gt;=IF(INDEX(_ENGINE_Initiatives!$BX$5:$BX$76,MATCH($A177,_ENGINE_Initiatives!$BW$5:$BW$76,0))="0-90 days",'Company Profile'!$B$6,IF(INDEX(_ENGINE_Initiatives!$BX$5:$BX$76,MATCH($A177,_ENGINE_Initiatives!$BW$5:$BW$76,0))="3-6 months",EDATE('Company Profile'!$B$6,3),IF(INDEX(_ENGINE_Initiatives!$BX$5:$BX$76,MATCH($A177,_ENGINE_Initiatives!$BW$5:$BW$76,0))="6-12 months",EDATE('Company Profile'!$B$6,6),EDATE('Company Profile'!$B$6,12)))),L$162&lt;=IF(INDEX(_ENGINE_Initiatives!$BX$5:$BX$76,MATCH($A177,_ENGINE_Initiatives!$BW$5:$BW$76,0))="0-90 days",'Company Profile'!$B$6,IF(INDEX(_ENGINE_Initiatives!$BX$5:$BX$76,MATCH($A177,_ENGINE_Initiatives!$BW$5:$BW$76,0))="3-6 months",EDATE('Company Profile'!$B$6,3),IF(INDEX(_ENGINE_Initiatives!$BX$5:$BX$76,MATCH($A177,_ENGINE_Initiatives!$BW$5:$BW$76,0))="6-12 months",EDATE('Company Profile'!$B$6,6),EDATE('Company Profile'!$B$6,12))))+(IF(INDEX(_ENGINE_Initiatives!$AB$5:$AB$76,MATCH($A177,_ENGINE_Initiatives!$BW$5:$BW$76,0))&lt;=2,6,IF(INDEX(_ENGINE_Initiatives!$AB$5:$AB$76,MATCH($A177,_ENGINE_Initiatives!$BW$5:$BW$76,0))=3,10,IF(INDEX(_ENGINE_Initiatives!$AB$5:$AB$76,MATCH($A177,_ENGINE_Initiatives!$BW$5:$BW$76,0))=4,16,24)))*7)),1,""),"")</f>
      </c>
      <c r="M177" s="55">
        <f>IFERROR(IF(AND(M$162&gt;=IF(INDEX(_ENGINE_Initiatives!$BX$5:$BX$76,MATCH($A177,_ENGINE_Initiatives!$BW$5:$BW$76,0))="0-90 days",'Company Profile'!$B$6,IF(INDEX(_ENGINE_Initiatives!$BX$5:$BX$76,MATCH($A177,_ENGINE_Initiatives!$BW$5:$BW$76,0))="3-6 months",EDATE('Company Profile'!$B$6,3),IF(INDEX(_ENGINE_Initiatives!$BX$5:$BX$76,MATCH($A177,_ENGINE_Initiatives!$BW$5:$BW$76,0))="6-12 months",EDATE('Company Profile'!$B$6,6),EDATE('Company Profile'!$B$6,12)))),M$162&lt;=IF(INDEX(_ENGINE_Initiatives!$BX$5:$BX$76,MATCH($A177,_ENGINE_Initiatives!$BW$5:$BW$76,0))="0-90 days",'Company Profile'!$B$6,IF(INDEX(_ENGINE_Initiatives!$BX$5:$BX$76,MATCH($A177,_ENGINE_Initiatives!$BW$5:$BW$76,0))="3-6 months",EDATE('Company Profile'!$B$6,3),IF(INDEX(_ENGINE_Initiatives!$BX$5:$BX$76,MATCH($A177,_ENGINE_Initiatives!$BW$5:$BW$76,0))="6-12 months",EDATE('Company Profile'!$B$6,6),EDATE('Company Profile'!$B$6,12))))+(IF(INDEX(_ENGINE_Initiatives!$AB$5:$AB$76,MATCH($A177,_ENGINE_Initiatives!$BW$5:$BW$76,0))&lt;=2,6,IF(INDEX(_ENGINE_Initiatives!$AB$5:$AB$76,MATCH($A177,_ENGINE_Initiatives!$BW$5:$BW$76,0))=3,10,IF(INDEX(_ENGINE_Initiatives!$AB$5:$AB$76,MATCH($A177,_ENGINE_Initiatives!$BW$5:$BW$76,0))=4,16,24)))*7)),1,""),"")</f>
      </c>
      <c r="N177" s="55">
        <f>IFERROR(IF(AND(N$162&gt;=IF(INDEX(_ENGINE_Initiatives!$BX$5:$BX$76,MATCH($A177,_ENGINE_Initiatives!$BW$5:$BW$76,0))="0-90 days",'Company Profile'!$B$6,IF(INDEX(_ENGINE_Initiatives!$BX$5:$BX$76,MATCH($A177,_ENGINE_Initiatives!$BW$5:$BW$76,0))="3-6 months",EDATE('Company Profile'!$B$6,3),IF(INDEX(_ENGINE_Initiatives!$BX$5:$BX$76,MATCH($A177,_ENGINE_Initiatives!$BW$5:$BW$76,0))="6-12 months",EDATE('Company Profile'!$B$6,6),EDATE('Company Profile'!$B$6,12)))),N$162&lt;=IF(INDEX(_ENGINE_Initiatives!$BX$5:$BX$76,MATCH($A177,_ENGINE_Initiatives!$BW$5:$BW$76,0))="0-90 days",'Company Profile'!$B$6,IF(INDEX(_ENGINE_Initiatives!$BX$5:$BX$76,MATCH($A177,_ENGINE_Initiatives!$BW$5:$BW$76,0))="3-6 months",EDATE('Company Profile'!$B$6,3),IF(INDEX(_ENGINE_Initiatives!$BX$5:$BX$76,MATCH($A177,_ENGINE_Initiatives!$BW$5:$BW$76,0))="6-12 months",EDATE('Company Profile'!$B$6,6),EDATE('Company Profile'!$B$6,12))))+(IF(INDEX(_ENGINE_Initiatives!$AB$5:$AB$76,MATCH($A177,_ENGINE_Initiatives!$BW$5:$BW$76,0))&lt;=2,6,IF(INDEX(_ENGINE_Initiatives!$AB$5:$AB$76,MATCH($A177,_ENGINE_Initiatives!$BW$5:$BW$76,0))=3,10,IF(INDEX(_ENGINE_Initiatives!$AB$5:$AB$76,MATCH($A177,_ENGINE_Initiatives!$BW$5:$BW$76,0))=4,16,24)))*7)),1,""),"")</f>
      </c>
      <c r="O177" s="55">
        <f>IFERROR(IF(AND(O$162&gt;=IF(INDEX(_ENGINE_Initiatives!$BX$5:$BX$76,MATCH($A177,_ENGINE_Initiatives!$BW$5:$BW$76,0))="0-90 days",'Company Profile'!$B$6,IF(INDEX(_ENGINE_Initiatives!$BX$5:$BX$76,MATCH($A177,_ENGINE_Initiatives!$BW$5:$BW$76,0))="3-6 months",EDATE('Company Profile'!$B$6,3),IF(INDEX(_ENGINE_Initiatives!$BX$5:$BX$76,MATCH($A177,_ENGINE_Initiatives!$BW$5:$BW$76,0))="6-12 months",EDATE('Company Profile'!$B$6,6),EDATE('Company Profile'!$B$6,12)))),O$162&lt;=IF(INDEX(_ENGINE_Initiatives!$BX$5:$BX$76,MATCH($A177,_ENGINE_Initiatives!$BW$5:$BW$76,0))="0-90 days",'Company Profile'!$B$6,IF(INDEX(_ENGINE_Initiatives!$BX$5:$BX$76,MATCH($A177,_ENGINE_Initiatives!$BW$5:$BW$76,0))="3-6 months",EDATE('Company Profile'!$B$6,3),IF(INDEX(_ENGINE_Initiatives!$BX$5:$BX$76,MATCH($A177,_ENGINE_Initiatives!$BW$5:$BW$76,0))="6-12 months",EDATE('Company Profile'!$B$6,6),EDATE('Company Profile'!$B$6,12))))+(IF(INDEX(_ENGINE_Initiatives!$AB$5:$AB$76,MATCH($A177,_ENGINE_Initiatives!$BW$5:$BW$76,0))&lt;=2,6,IF(INDEX(_ENGINE_Initiatives!$AB$5:$AB$76,MATCH($A177,_ENGINE_Initiatives!$BW$5:$BW$76,0))=3,10,IF(INDEX(_ENGINE_Initiatives!$AB$5:$AB$76,MATCH($A177,_ENGINE_Initiatives!$BW$5:$BW$76,0))=4,16,24)))*7)),1,""),"")</f>
      </c>
      <c r="P177" s="55">
        <f>IFERROR(IF(AND(P$162&gt;=IF(INDEX(_ENGINE_Initiatives!$BX$5:$BX$76,MATCH($A177,_ENGINE_Initiatives!$BW$5:$BW$76,0))="0-90 days",'Company Profile'!$B$6,IF(INDEX(_ENGINE_Initiatives!$BX$5:$BX$76,MATCH($A177,_ENGINE_Initiatives!$BW$5:$BW$76,0))="3-6 months",EDATE('Company Profile'!$B$6,3),IF(INDEX(_ENGINE_Initiatives!$BX$5:$BX$76,MATCH($A177,_ENGINE_Initiatives!$BW$5:$BW$76,0))="6-12 months",EDATE('Company Profile'!$B$6,6),EDATE('Company Profile'!$B$6,12)))),P$162&lt;=IF(INDEX(_ENGINE_Initiatives!$BX$5:$BX$76,MATCH($A177,_ENGINE_Initiatives!$BW$5:$BW$76,0))="0-90 days",'Company Profile'!$B$6,IF(INDEX(_ENGINE_Initiatives!$BX$5:$BX$76,MATCH($A177,_ENGINE_Initiatives!$BW$5:$BW$76,0))="3-6 months",EDATE('Company Profile'!$B$6,3),IF(INDEX(_ENGINE_Initiatives!$BX$5:$BX$76,MATCH($A177,_ENGINE_Initiatives!$BW$5:$BW$76,0))="6-12 months",EDATE('Company Profile'!$B$6,6),EDATE('Company Profile'!$B$6,12))))+(IF(INDEX(_ENGINE_Initiatives!$AB$5:$AB$76,MATCH($A177,_ENGINE_Initiatives!$BW$5:$BW$76,0))&lt;=2,6,IF(INDEX(_ENGINE_Initiatives!$AB$5:$AB$76,MATCH($A177,_ENGINE_Initiatives!$BW$5:$BW$76,0))=3,10,IF(INDEX(_ENGINE_Initiatives!$AB$5:$AB$76,MATCH($A177,_ENGINE_Initiatives!$BW$5:$BW$76,0))=4,16,24)))*7)),1,""),"")</f>
      </c>
      <c r="Q177" s="55">
        <f>IFERROR(IF(AND(Q$162&gt;=IF(INDEX(_ENGINE_Initiatives!$BX$5:$BX$76,MATCH($A177,_ENGINE_Initiatives!$BW$5:$BW$76,0))="0-90 days",'Company Profile'!$B$6,IF(INDEX(_ENGINE_Initiatives!$BX$5:$BX$76,MATCH($A177,_ENGINE_Initiatives!$BW$5:$BW$76,0))="3-6 months",EDATE('Company Profile'!$B$6,3),IF(INDEX(_ENGINE_Initiatives!$BX$5:$BX$76,MATCH($A177,_ENGINE_Initiatives!$BW$5:$BW$76,0))="6-12 months",EDATE('Company Profile'!$B$6,6),EDATE('Company Profile'!$B$6,12)))),Q$162&lt;=IF(INDEX(_ENGINE_Initiatives!$BX$5:$BX$76,MATCH($A177,_ENGINE_Initiatives!$BW$5:$BW$76,0))="0-90 days",'Company Profile'!$B$6,IF(INDEX(_ENGINE_Initiatives!$BX$5:$BX$76,MATCH($A177,_ENGINE_Initiatives!$BW$5:$BW$76,0))="3-6 months",EDATE('Company Profile'!$B$6,3),IF(INDEX(_ENGINE_Initiatives!$BX$5:$BX$76,MATCH($A177,_ENGINE_Initiatives!$BW$5:$BW$76,0))="6-12 months",EDATE('Company Profile'!$B$6,6),EDATE('Company Profile'!$B$6,12))))+(IF(INDEX(_ENGINE_Initiatives!$AB$5:$AB$76,MATCH($A177,_ENGINE_Initiatives!$BW$5:$BW$76,0))&lt;=2,6,IF(INDEX(_ENGINE_Initiatives!$AB$5:$AB$76,MATCH($A177,_ENGINE_Initiatives!$BW$5:$BW$76,0))=3,10,IF(INDEX(_ENGINE_Initiatives!$AB$5:$AB$76,MATCH($A177,_ENGINE_Initiatives!$BW$5:$BW$76,0))=4,16,24)))*7)),1,""),"")</f>
      </c>
      <c r="R177" s="55">
        <f>IFERROR(IF(AND(R$162&gt;=IF(INDEX(_ENGINE_Initiatives!$BX$5:$BX$76,MATCH($A177,_ENGINE_Initiatives!$BW$5:$BW$76,0))="0-90 days",'Company Profile'!$B$6,IF(INDEX(_ENGINE_Initiatives!$BX$5:$BX$76,MATCH($A177,_ENGINE_Initiatives!$BW$5:$BW$76,0))="3-6 months",EDATE('Company Profile'!$B$6,3),IF(INDEX(_ENGINE_Initiatives!$BX$5:$BX$76,MATCH($A177,_ENGINE_Initiatives!$BW$5:$BW$76,0))="6-12 months",EDATE('Company Profile'!$B$6,6),EDATE('Company Profile'!$B$6,12)))),R$162&lt;=IF(INDEX(_ENGINE_Initiatives!$BX$5:$BX$76,MATCH($A177,_ENGINE_Initiatives!$BW$5:$BW$76,0))="0-90 days",'Company Profile'!$B$6,IF(INDEX(_ENGINE_Initiatives!$BX$5:$BX$76,MATCH($A177,_ENGINE_Initiatives!$BW$5:$BW$76,0))="3-6 months",EDATE('Company Profile'!$B$6,3),IF(INDEX(_ENGINE_Initiatives!$BX$5:$BX$76,MATCH($A177,_ENGINE_Initiatives!$BW$5:$BW$76,0))="6-12 months",EDATE('Company Profile'!$B$6,6),EDATE('Company Profile'!$B$6,12))))+(IF(INDEX(_ENGINE_Initiatives!$AB$5:$AB$76,MATCH($A177,_ENGINE_Initiatives!$BW$5:$BW$76,0))&lt;=2,6,IF(INDEX(_ENGINE_Initiatives!$AB$5:$AB$76,MATCH($A177,_ENGINE_Initiatives!$BW$5:$BW$76,0))=3,10,IF(INDEX(_ENGINE_Initiatives!$AB$5:$AB$76,MATCH($A177,_ENGINE_Initiatives!$BW$5:$BW$76,0))=4,16,24)))*7)),1,""),"")</f>
      </c>
      <c r="S177" s="55">
        <f>IFERROR(IF(AND(S$162&gt;=IF(INDEX(_ENGINE_Initiatives!$BX$5:$BX$76,MATCH($A177,_ENGINE_Initiatives!$BW$5:$BW$76,0))="0-90 days",'Company Profile'!$B$6,IF(INDEX(_ENGINE_Initiatives!$BX$5:$BX$76,MATCH($A177,_ENGINE_Initiatives!$BW$5:$BW$76,0))="3-6 months",EDATE('Company Profile'!$B$6,3),IF(INDEX(_ENGINE_Initiatives!$BX$5:$BX$76,MATCH($A177,_ENGINE_Initiatives!$BW$5:$BW$76,0))="6-12 months",EDATE('Company Profile'!$B$6,6),EDATE('Company Profile'!$B$6,12)))),S$162&lt;=IF(INDEX(_ENGINE_Initiatives!$BX$5:$BX$76,MATCH($A177,_ENGINE_Initiatives!$BW$5:$BW$76,0))="0-90 days",'Company Profile'!$B$6,IF(INDEX(_ENGINE_Initiatives!$BX$5:$BX$76,MATCH($A177,_ENGINE_Initiatives!$BW$5:$BW$76,0))="3-6 months",EDATE('Company Profile'!$B$6,3),IF(INDEX(_ENGINE_Initiatives!$BX$5:$BX$76,MATCH($A177,_ENGINE_Initiatives!$BW$5:$BW$76,0))="6-12 months",EDATE('Company Profile'!$B$6,6),EDATE('Company Profile'!$B$6,12))))+(IF(INDEX(_ENGINE_Initiatives!$AB$5:$AB$76,MATCH($A177,_ENGINE_Initiatives!$BW$5:$BW$76,0))&lt;=2,6,IF(INDEX(_ENGINE_Initiatives!$AB$5:$AB$76,MATCH($A177,_ENGINE_Initiatives!$BW$5:$BW$76,0))=3,10,IF(INDEX(_ENGINE_Initiatives!$AB$5:$AB$76,MATCH($A177,_ENGINE_Initiatives!$BW$5:$BW$76,0))=4,16,24)))*7)),1,""),"")</f>
      </c>
      <c r="T177" s="55">
        <f>IFERROR(IF(AND(T$162&gt;=IF(INDEX(_ENGINE_Initiatives!$BX$5:$BX$76,MATCH($A177,_ENGINE_Initiatives!$BW$5:$BW$76,0))="0-90 days",'Company Profile'!$B$6,IF(INDEX(_ENGINE_Initiatives!$BX$5:$BX$76,MATCH($A177,_ENGINE_Initiatives!$BW$5:$BW$76,0))="3-6 months",EDATE('Company Profile'!$B$6,3),IF(INDEX(_ENGINE_Initiatives!$BX$5:$BX$76,MATCH($A177,_ENGINE_Initiatives!$BW$5:$BW$76,0))="6-12 months",EDATE('Company Profile'!$B$6,6),EDATE('Company Profile'!$B$6,12)))),T$162&lt;=IF(INDEX(_ENGINE_Initiatives!$BX$5:$BX$76,MATCH($A177,_ENGINE_Initiatives!$BW$5:$BW$76,0))="0-90 days",'Company Profile'!$B$6,IF(INDEX(_ENGINE_Initiatives!$BX$5:$BX$76,MATCH($A177,_ENGINE_Initiatives!$BW$5:$BW$76,0))="3-6 months",EDATE('Company Profile'!$B$6,3),IF(INDEX(_ENGINE_Initiatives!$BX$5:$BX$76,MATCH($A177,_ENGINE_Initiatives!$BW$5:$BW$76,0))="6-12 months",EDATE('Company Profile'!$B$6,6),EDATE('Company Profile'!$B$6,12))))+(IF(INDEX(_ENGINE_Initiatives!$AB$5:$AB$76,MATCH($A177,_ENGINE_Initiatives!$BW$5:$BW$76,0))&lt;=2,6,IF(INDEX(_ENGINE_Initiatives!$AB$5:$AB$76,MATCH($A177,_ENGINE_Initiatives!$BW$5:$BW$76,0))=3,10,IF(INDEX(_ENGINE_Initiatives!$AB$5:$AB$76,MATCH($A177,_ENGINE_Initiatives!$BW$5:$BW$76,0))=4,16,24)))*7)),1,""),"")</f>
      </c>
      <c r="U177" s="30" t="n"/>
      <c r="V177" s="30" t="n"/>
    </row>
    <row r="178" ht="15" customHeight="1" s="209">
      <c r="A178" s="51" t="inlineStr">
        <is>
          <t>16</t>
        </is>
      </c>
      <c r="B178" s="51">
        <f>IFERROR(INDEX(_ENGINE_Initiatives!$F$5:$F$76,MATCH($A178,_ENGINE_Initiatives!$BW$5:$BW$76,0)),"")</f>
      </c>
      <c r="C178" s="55">
        <f>IFERROR(IF(AND(C$162&gt;=IF(INDEX(_ENGINE_Initiatives!$BX$5:$BX$76,MATCH($A178,_ENGINE_Initiatives!$BW$5:$BW$76,0))="0-90 days",'Company Profile'!$B$6,IF(INDEX(_ENGINE_Initiatives!$BX$5:$BX$76,MATCH($A178,_ENGINE_Initiatives!$BW$5:$BW$76,0))="3-6 months",EDATE('Company Profile'!$B$6,3),IF(INDEX(_ENGINE_Initiatives!$BX$5:$BX$76,MATCH($A178,_ENGINE_Initiatives!$BW$5:$BW$76,0))="6-12 months",EDATE('Company Profile'!$B$6,6),EDATE('Company Profile'!$B$6,12)))),C$162&lt;=IF(INDEX(_ENGINE_Initiatives!$BX$5:$BX$76,MATCH($A178,_ENGINE_Initiatives!$BW$5:$BW$76,0))="0-90 days",'Company Profile'!$B$6,IF(INDEX(_ENGINE_Initiatives!$BX$5:$BX$76,MATCH($A178,_ENGINE_Initiatives!$BW$5:$BW$76,0))="3-6 months",EDATE('Company Profile'!$B$6,3),IF(INDEX(_ENGINE_Initiatives!$BX$5:$BX$76,MATCH($A178,_ENGINE_Initiatives!$BW$5:$BW$76,0))="6-12 months",EDATE('Company Profile'!$B$6,6),EDATE('Company Profile'!$B$6,12))))+(IF(INDEX(_ENGINE_Initiatives!$AB$5:$AB$76,MATCH($A178,_ENGINE_Initiatives!$BW$5:$BW$76,0))&lt;=2,6,IF(INDEX(_ENGINE_Initiatives!$AB$5:$AB$76,MATCH($A178,_ENGINE_Initiatives!$BW$5:$BW$76,0))=3,10,IF(INDEX(_ENGINE_Initiatives!$AB$5:$AB$76,MATCH($A178,_ENGINE_Initiatives!$BW$5:$BW$76,0))=4,16,24)))*7)),1,""),"")</f>
      </c>
      <c r="D178" s="55">
        <f>IFERROR(IF(AND(D$162&gt;=IF(INDEX(_ENGINE_Initiatives!$BX$5:$BX$76,MATCH($A178,_ENGINE_Initiatives!$BW$5:$BW$76,0))="0-90 days",'Company Profile'!$B$6,IF(INDEX(_ENGINE_Initiatives!$BX$5:$BX$76,MATCH($A178,_ENGINE_Initiatives!$BW$5:$BW$76,0))="3-6 months",EDATE('Company Profile'!$B$6,3),IF(INDEX(_ENGINE_Initiatives!$BX$5:$BX$76,MATCH($A178,_ENGINE_Initiatives!$BW$5:$BW$76,0))="6-12 months",EDATE('Company Profile'!$B$6,6),EDATE('Company Profile'!$B$6,12)))),D$162&lt;=IF(INDEX(_ENGINE_Initiatives!$BX$5:$BX$76,MATCH($A178,_ENGINE_Initiatives!$BW$5:$BW$76,0))="0-90 days",'Company Profile'!$B$6,IF(INDEX(_ENGINE_Initiatives!$BX$5:$BX$76,MATCH($A178,_ENGINE_Initiatives!$BW$5:$BW$76,0))="3-6 months",EDATE('Company Profile'!$B$6,3),IF(INDEX(_ENGINE_Initiatives!$BX$5:$BX$76,MATCH($A178,_ENGINE_Initiatives!$BW$5:$BW$76,0))="6-12 months",EDATE('Company Profile'!$B$6,6),EDATE('Company Profile'!$B$6,12))))+(IF(INDEX(_ENGINE_Initiatives!$AB$5:$AB$76,MATCH($A178,_ENGINE_Initiatives!$BW$5:$BW$76,0))&lt;=2,6,IF(INDEX(_ENGINE_Initiatives!$AB$5:$AB$76,MATCH($A178,_ENGINE_Initiatives!$BW$5:$BW$76,0))=3,10,IF(INDEX(_ENGINE_Initiatives!$AB$5:$AB$76,MATCH($A178,_ENGINE_Initiatives!$BW$5:$BW$76,0))=4,16,24)))*7)),1,""),"")</f>
      </c>
      <c r="E178" s="55">
        <f>IFERROR(IF(AND(E$162&gt;=IF(INDEX(_ENGINE_Initiatives!$BX$5:$BX$76,MATCH($A178,_ENGINE_Initiatives!$BW$5:$BW$76,0))="0-90 days",'Company Profile'!$B$6,IF(INDEX(_ENGINE_Initiatives!$BX$5:$BX$76,MATCH($A178,_ENGINE_Initiatives!$BW$5:$BW$76,0))="3-6 months",EDATE('Company Profile'!$B$6,3),IF(INDEX(_ENGINE_Initiatives!$BX$5:$BX$76,MATCH($A178,_ENGINE_Initiatives!$BW$5:$BW$76,0))="6-12 months",EDATE('Company Profile'!$B$6,6),EDATE('Company Profile'!$B$6,12)))),E$162&lt;=IF(INDEX(_ENGINE_Initiatives!$BX$5:$BX$76,MATCH($A178,_ENGINE_Initiatives!$BW$5:$BW$76,0))="0-90 days",'Company Profile'!$B$6,IF(INDEX(_ENGINE_Initiatives!$BX$5:$BX$76,MATCH($A178,_ENGINE_Initiatives!$BW$5:$BW$76,0))="3-6 months",EDATE('Company Profile'!$B$6,3),IF(INDEX(_ENGINE_Initiatives!$BX$5:$BX$76,MATCH($A178,_ENGINE_Initiatives!$BW$5:$BW$76,0))="6-12 months",EDATE('Company Profile'!$B$6,6),EDATE('Company Profile'!$B$6,12))))+(IF(INDEX(_ENGINE_Initiatives!$AB$5:$AB$76,MATCH($A178,_ENGINE_Initiatives!$BW$5:$BW$76,0))&lt;=2,6,IF(INDEX(_ENGINE_Initiatives!$AB$5:$AB$76,MATCH($A178,_ENGINE_Initiatives!$BW$5:$BW$76,0))=3,10,IF(INDEX(_ENGINE_Initiatives!$AB$5:$AB$76,MATCH($A178,_ENGINE_Initiatives!$BW$5:$BW$76,0))=4,16,24)))*7)),1,""),"")</f>
      </c>
      <c r="F178" s="55">
        <f>IFERROR(IF(AND(F$162&gt;=IF(INDEX(_ENGINE_Initiatives!$BX$5:$BX$76,MATCH($A178,_ENGINE_Initiatives!$BW$5:$BW$76,0))="0-90 days",'Company Profile'!$B$6,IF(INDEX(_ENGINE_Initiatives!$BX$5:$BX$76,MATCH($A178,_ENGINE_Initiatives!$BW$5:$BW$76,0))="3-6 months",EDATE('Company Profile'!$B$6,3),IF(INDEX(_ENGINE_Initiatives!$BX$5:$BX$76,MATCH($A178,_ENGINE_Initiatives!$BW$5:$BW$76,0))="6-12 months",EDATE('Company Profile'!$B$6,6),EDATE('Company Profile'!$B$6,12)))),F$162&lt;=IF(INDEX(_ENGINE_Initiatives!$BX$5:$BX$76,MATCH($A178,_ENGINE_Initiatives!$BW$5:$BW$76,0))="0-90 days",'Company Profile'!$B$6,IF(INDEX(_ENGINE_Initiatives!$BX$5:$BX$76,MATCH($A178,_ENGINE_Initiatives!$BW$5:$BW$76,0))="3-6 months",EDATE('Company Profile'!$B$6,3),IF(INDEX(_ENGINE_Initiatives!$BX$5:$BX$76,MATCH($A178,_ENGINE_Initiatives!$BW$5:$BW$76,0))="6-12 months",EDATE('Company Profile'!$B$6,6),EDATE('Company Profile'!$B$6,12))))+(IF(INDEX(_ENGINE_Initiatives!$AB$5:$AB$76,MATCH($A178,_ENGINE_Initiatives!$BW$5:$BW$76,0))&lt;=2,6,IF(INDEX(_ENGINE_Initiatives!$AB$5:$AB$76,MATCH($A178,_ENGINE_Initiatives!$BW$5:$BW$76,0))=3,10,IF(INDEX(_ENGINE_Initiatives!$AB$5:$AB$76,MATCH($A178,_ENGINE_Initiatives!$BW$5:$BW$76,0))=4,16,24)))*7)),1,""),"")</f>
      </c>
      <c r="G178" s="55">
        <f>IFERROR(IF(AND(G$162&gt;=IF(INDEX(_ENGINE_Initiatives!$BX$5:$BX$76,MATCH($A178,_ENGINE_Initiatives!$BW$5:$BW$76,0))="0-90 days",'Company Profile'!$B$6,IF(INDEX(_ENGINE_Initiatives!$BX$5:$BX$76,MATCH($A178,_ENGINE_Initiatives!$BW$5:$BW$76,0))="3-6 months",EDATE('Company Profile'!$B$6,3),IF(INDEX(_ENGINE_Initiatives!$BX$5:$BX$76,MATCH($A178,_ENGINE_Initiatives!$BW$5:$BW$76,0))="6-12 months",EDATE('Company Profile'!$B$6,6),EDATE('Company Profile'!$B$6,12)))),G$162&lt;=IF(INDEX(_ENGINE_Initiatives!$BX$5:$BX$76,MATCH($A178,_ENGINE_Initiatives!$BW$5:$BW$76,0))="0-90 days",'Company Profile'!$B$6,IF(INDEX(_ENGINE_Initiatives!$BX$5:$BX$76,MATCH($A178,_ENGINE_Initiatives!$BW$5:$BW$76,0))="3-6 months",EDATE('Company Profile'!$B$6,3),IF(INDEX(_ENGINE_Initiatives!$BX$5:$BX$76,MATCH($A178,_ENGINE_Initiatives!$BW$5:$BW$76,0))="6-12 months",EDATE('Company Profile'!$B$6,6),EDATE('Company Profile'!$B$6,12))))+(IF(INDEX(_ENGINE_Initiatives!$AB$5:$AB$76,MATCH($A178,_ENGINE_Initiatives!$BW$5:$BW$76,0))&lt;=2,6,IF(INDEX(_ENGINE_Initiatives!$AB$5:$AB$76,MATCH($A178,_ENGINE_Initiatives!$BW$5:$BW$76,0))=3,10,IF(INDEX(_ENGINE_Initiatives!$AB$5:$AB$76,MATCH($A178,_ENGINE_Initiatives!$BW$5:$BW$76,0))=4,16,24)))*7)),1,""),"")</f>
      </c>
      <c r="H178" s="55">
        <f>IFERROR(IF(AND(H$162&gt;=IF(INDEX(_ENGINE_Initiatives!$BX$5:$BX$76,MATCH($A178,_ENGINE_Initiatives!$BW$5:$BW$76,0))="0-90 days",'Company Profile'!$B$6,IF(INDEX(_ENGINE_Initiatives!$BX$5:$BX$76,MATCH($A178,_ENGINE_Initiatives!$BW$5:$BW$76,0))="3-6 months",EDATE('Company Profile'!$B$6,3),IF(INDEX(_ENGINE_Initiatives!$BX$5:$BX$76,MATCH($A178,_ENGINE_Initiatives!$BW$5:$BW$76,0))="6-12 months",EDATE('Company Profile'!$B$6,6),EDATE('Company Profile'!$B$6,12)))),H$162&lt;=IF(INDEX(_ENGINE_Initiatives!$BX$5:$BX$76,MATCH($A178,_ENGINE_Initiatives!$BW$5:$BW$76,0))="0-90 days",'Company Profile'!$B$6,IF(INDEX(_ENGINE_Initiatives!$BX$5:$BX$76,MATCH($A178,_ENGINE_Initiatives!$BW$5:$BW$76,0))="3-6 months",EDATE('Company Profile'!$B$6,3),IF(INDEX(_ENGINE_Initiatives!$BX$5:$BX$76,MATCH($A178,_ENGINE_Initiatives!$BW$5:$BW$76,0))="6-12 months",EDATE('Company Profile'!$B$6,6),EDATE('Company Profile'!$B$6,12))))+(IF(INDEX(_ENGINE_Initiatives!$AB$5:$AB$76,MATCH($A178,_ENGINE_Initiatives!$BW$5:$BW$76,0))&lt;=2,6,IF(INDEX(_ENGINE_Initiatives!$AB$5:$AB$76,MATCH($A178,_ENGINE_Initiatives!$BW$5:$BW$76,0))=3,10,IF(INDEX(_ENGINE_Initiatives!$AB$5:$AB$76,MATCH($A178,_ENGINE_Initiatives!$BW$5:$BW$76,0))=4,16,24)))*7)),1,""),"")</f>
      </c>
      <c r="I178" s="55">
        <f>IFERROR(IF(AND(I$162&gt;=IF(INDEX(_ENGINE_Initiatives!$BX$5:$BX$76,MATCH($A178,_ENGINE_Initiatives!$BW$5:$BW$76,0))="0-90 days",'Company Profile'!$B$6,IF(INDEX(_ENGINE_Initiatives!$BX$5:$BX$76,MATCH($A178,_ENGINE_Initiatives!$BW$5:$BW$76,0))="3-6 months",EDATE('Company Profile'!$B$6,3),IF(INDEX(_ENGINE_Initiatives!$BX$5:$BX$76,MATCH($A178,_ENGINE_Initiatives!$BW$5:$BW$76,0))="6-12 months",EDATE('Company Profile'!$B$6,6),EDATE('Company Profile'!$B$6,12)))),I$162&lt;=IF(INDEX(_ENGINE_Initiatives!$BX$5:$BX$76,MATCH($A178,_ENGINE_Initiatives!$BW$5:$BW$76,0))="0-90 days",'Company Profile'!$B$6,IF(INDEX(_ENGINE_Initiatives!$BX$5:$BX$76,MATCH($A178,_ENGINE_Initiatives!$BW$5:$BW$76,0))="3-6 months",EDATE('Company Profile'!$B$6,3),IF(INDEX(_ENGINE_Initiatives!$BX$5:$BX$76,MATCH($A178,_ENGINE_Initiatives!$BW$5:$BW$76,0))="6-12 months",EDATE('Company Profile'!$B$6,6),EDATE('Company Profile'!$B$6,12))))+(IF(INDEX(_ENGINE_Initiatives!$AB$5:$AB$76,MATCH($A178,_ENGINE_Initiatives!$BW$5:$BW$76,0))&lt;=2,6,IF(INDEX(_ENGINE_Initiatives!$AB$5:$AB$76,MATCH($A178,_ENGINE_Initiatives!$BW$5:$BW$76,0))=3,10,IF(INDEX(_ENGINE_Initiatives!$AB$5:$AB$76,MATCH($A178,_ENGINE_Initiatives!$BW$5:$BW$76,0))=4,16,24)))*7)),1,""),"")</f>
      </c>
      <c r="J178" s="55">
        <f>IFERROR(IF(AND(J$162&gt;=IF(INDEX(_ENGINE_Initiatives!$BX$5:$BX$76,MATCH($A178,_ENGINE_Initiatives!$BW$5:$BW$76,0))="0-90 days",'Company Profile'!$B$6,IF(INDEX(_ENGINE_Initiatives!$BX$5:$BX$76,MATCH($A178,_ENGINE_Initiatives!$BW$5:$BW$76,0))="3-6 months",EDATE('Company Profile'!$B$6,3),IF(INDEX(_ENGINE_Initiatives!$BX$5:$BX$76,MATCH($A178,_ENGINE_Initiatives!$BW$5:$BW$76,0))="6-12 months",EDATE('Company Profile'!$B$6,6),EDATE('Company Profile'!$B$6,12)))),J$162&lt;=IF(INDEX(_ENGINE_Initiatives!$BX$5:$BX$76,MATCH($A178,_ENGINE_Initiatives!$BW$5:$BW$76,0))="0-90 days",'Company Profile'!$B$6,IF(INDEX(_ENGINE_Initiatives!$BX$5:$BX$76,MATCH($A178,_ENGINE_Initiatives!$BW$5:$BW$76,0))="3-6 months",EDATE('Company Profile'!$B$6,3),IF(INDEX(_ENGINE_Initiatives!$BX$5:$BX$76,MATCH($A178,_ENGINE_Initiatives!$BW$5:$BW$76,0))="6-12 months",EDATE('Company Profile'!$B$6,6),EDATE('Company Profile'!$B$6,12))))+(IF(INDEX(_ENGINE_Initiatives!$AB$5:$AB$76,MATCH($A178,_ENGINE_Initiatives!$BW$5:$BW$76,0))&lt;=2,6,IF(INDEX(_ENGINE_Initiatives!$AB$5:$AB$76,MATCH($A178,_ENGINE_Initiatives!$BW$5:$BW$76,0))=3,10,IF(INDEX(_ENGINE_Initiatives!$AB$5:$AB$76,MATCH($A178,_ENGINE_Initiatives!$BW$5:$BW$76,0))=4,16,24)))*7)),1,""),"")</f>
      </c>
      <c r="K178" s="55">
        <f>IFERROR(IF(AND(K$162&gt;=IF(INDEX(_ENGINE_Initiatives!$BX$5:$BX$76,MATCH($A178,_ENGINE_Initiatives!$BW$5:$BW$76,0))="0-90 days",'Company Profile'!$B$6,IF(INDEX(_ENGINE_Initiatives!$BX$5:$BX$76,MATCH($A178,_ENGINE_Initiatives!$BW$5:$BW$76,0))="3-6 months",EDATE('Company Profile'!$B$6,3),IF(INDEX(_ENGINE_Initiatives!$BX$5:$BX$76,MATCH($A178,_ENGINE_Initiatives!$BW$5:$BW$76,0))="6-12 months",EDATE('Company Profile'!$B$6,6),EDATE('Company Profile'!$B$6,12)))),K$162&lt;=IF(INDEX(_ENGINE_Initiatives!$BX$5:$BX$76,MATCH($A178,_ENGINE_Initiatives!$BW$5:$BW$76,0))="0-90 days",'Company Profile'!$B$6,IF(INDEX(_ENGINE_Initiatives!$BX$5:$BX$76,MATCH($A178,_ENGINE_Initiatives!$BW$5:$BW$76,0))="3-6 months",EDATE('Company Profile'!$B$6,3),IF(INDEX(_ENGINE_Initiatives!$BX$5:$BX$76,MATCH($A178,_ENGINE_Initiatives!$BW$5:$BW$76,0))="6-12 months",EDATE('Company Profile'!$B$6,6),EDATE('Company Profile'!$B$6,12))))+(IF(INDEX(_ENGINE_Initiatives!$AB$5:$AB$76,MATCH($A178,_ENGINE_Initiatives!$BW$5:$BW$76,0))&lt;=2,6,IF(INDEX(_ENGINE_Initiatives!$AB$5:$AB$76,MATCH($A178,_ENGINE_Initiatives!$BW$5:$BW$76,0))=3,10,IF(INDEX(_ENGINE_Initiatives!$AB$5:$AB$76,MATCH($A178,_ENGINE_Initiatives!$BW$5:$BW$76,0))=4,16,24)))*7)),1,""),"")</f>
      </c>
      <c r="L178" s="55">
        <f>IFERROR(IF(AND(L$162&gt;=IF(INDEX(_ENGINE_Initiatives!$BX$5:$BX$76,MATCH($A178,_ENGINE_Initiatives!$BW$5:$BW$76,0))="0-90 days",'Company Profile'!$B$6,IF(INDEX(_ENGINE_Initiatives!$BX$5:$BX$76,MATCH($A178,_ENGINE_Initiatives!$BW$5:$BW$76,0))="3-6 months",EDATE('Company Profile'!$B$6,3),IF(INDEX(_ENGINE_Initiatives!$BX$5:$BX$76,MATCH($A178,_ENGINE_Initiatives!$BW$5:$BW$76,0))="6-12 months",EDATE('Company Profile'!$B$6,6),EDATE('Company Profile'!$B$6,12)))),L$162&lt;=IF(INDEX(_ENGINE_Initiatives!$BX$5:$BX$76,MATCH($A178,_ENGINE_Initiatives!$BW$5:$BW$76,0))="0-90 days",'Company Profile'!$B$6,IF(INDEX(_ENGINE_Initiatives!$BX$5:$BX$76,MATCH($A178,_ENGINE_Initiatives!$BW$5:$BW$76,0))="3-6 months",EDATE('Company Profile'!$B$6,3),IF(INDEX(_ENGINE_Initiatives!$BX$5:$BX$76,MATCH($A178,_ENGINE_Initiatives!$BW$5:$BW$76,0))="6-12 months",EDATE('Company Profile'!$B$6,6),EDATE('Company Profile'!$B$6,12))))+(IF(INDEX(_ENGINE_Initiatives!$AB$5:$AB$76,MATCH($A178,_ENGINE_Initiatives!$BW$5:$BW$76,0))&lt;=2,6,IF(INDEX(_ENGINE_Initiatives!$AB$5:$AB$76,MATCH($A178,_ENGINE_Initiatives!$BW$5:$BW$76,0))=3,10,IF(INDEX(_ENGINE_Initiatives!$AB$5:$AB$76,MATCH($A178,_ENGINE_Initiatives!$BW$5:$BW$76,0))=4,16,24)))*7)),1,""),"")</f>
      </c>
      <c r="M178" s="55">
        <f>IFERROR(IF(AND(M$162&gt;=IF(INDEX(_ENGINE_Initiatives!$BX$5:$BX$76,MATCH($A178,_ENGINE_Initiatives!$BW$5:$BW$76,0))="0-90 days",'Company Profile'!$B$6,IF(INDEX(_ENGINE_Initiatives!$BX$5:$BX$76,MATCH($A178,_ENGINE_Initiatives!$BW$5:$BW$76,0))="3-6 months",EDATE('Company Profile'!$B$6,3),IF(INDEX(_ENGINE_Initiatives!$BX$5:$BX$76,MATCH($A178,_ENGINE_Initiatives!$BW$5:$BW$76,0))="6-12 months",EDATE('Company Profile'!$B$6,6),EDATE('Company Profile'!$B$6,12)))),M$162&lt;=IF(INDEX(_ENGINE_Initiatives!$BX$5:$BX$76,MATCH($A178,_ENGINE_Initiatives!$BW$5:$BW$76,0))="0-90 days",'Company Profile'!$B$6,IF(INDEX(_ENGINE_Initiatives!$BX$5:$BX$76,MATCH($A178,_ENGINE_Initiatives!$BW$5:$BW$76,0))="3-6 months",EDATE('Company Profile'!$B$6,3),IF(INDEX(_ENGINE_Initiatives!$BX$5:$BX$76,MATCH($A178,_ENGINE_Initiatives!$BW$5:$BW$76,0))="6-12 months",EDATE('Company Profile'!$B$6,6),EDATE('Company Profile'!$B$6,12))))+(IF(INDEX(_ENGINE_Initiatives!$AB$5:$AB$76,MATCH($A178,_ENGINE_Initiatives!$BW$5:$BW$76,0))&lt;=2,6,IF(INDEX(_ENGINE_Initiatives!$AB$5:$AB$76,MATCH($A178,_ENGINE_Initiatives!$BW$5:$BW$76,0))=3,10,IF(INDEX(_ENGINE_Initiatives!$AB$5:$AB$76,MATCH($A178,_ENGINE_Initiatives!$BW$5:$BW$76,0))=4,16,24)))*7)),1,""),"")</f>
      </c>
      <c r="N178" s="55">
        <f>IFERROR(IF(AND(N$162&gt;=IF(INDEX(_ENGINE_Initiatives!$BX$5:$BX$76,MATCH($A178,_ENGINE_Initiatives!$BW$5:$BW$76,0))="0-90 days",'Company Profile'!$B$6,IF(INDEX(_ENGINE_Initiatives!$BX$5:$BX$76,MATCH($A178,_ENGINE_Initiatives!$BW$5:$BW$76,0))="3-6 months",EDATE('Company Profile'!$B$6,3),IF(INDEX(_ENGINE_Initiatives!$BX$5:$BX$76,MATCH($A178,_ENGINE_Initiatives!$BW$5:$BW$76,0))="6-12 months",EDATE('Company Profile'!$B$6,6),EDATE('Company Profile'!$B$6,12)))),N$162&lt;=IF(INDEX(_ENGINE_Initiatives!$BX$5:$BX$76,MATCH($A178,_ENGINE_Initiatives!$BW$5:$BW$76,0))="0-90 days",'Company Profile'!$B$6,IF(INDEX(_ENGINE_Initiatives!$BX$5:$BX$76,MATCH($A178,_ENGINE_Initiatives!$BW$5:$BW$76,0))="3-6 months",EDATE('Company Profile'!$B$6,3),IF(INDEX(_ENGINE_Initiatives!$BX$5:$BX$76,MATCH($A178,_ENGINE_Initiatives!$BW$5:$BW$76,0))="6-12 months",EDATE('Company Profile'!$B$6,6),EDATE('Company Profile'!$B$6,12))))+(IF(INDEX(_ENGINE_Initiatives!$AB$5:$AB$76,MATCH($A178,_ENGINE_Initiatives!$BW$5:$BW$76,0))&lt;=2,6,IF(INDEX(_ENGINE_Initiatives!$AB$5:$AB$76,MATCH($A178,_ENGINE_Initiatives!$BW$5:$BW$76,0))=3,10,IF(INDEX(_ENGINE_Initiatives!$AB$5:$AB$76,MATCH($A178,_ENGINE_Initiatives!$BW$5:$BW$76,0))=4,16,24)))*7)),1,""),"")</f>
      </c>
      <c r="O178" s="55">
        <f>IFERROR(IF(AND(O$162&gt;=IF(INDEX(_ENGINE_Initiatives!$BX$5:$BX$76,MATCH($A178,_ENGINE_Initiatives!$BW$5:$BW$76,0))="0-90 days",'Company Profile'!$B$6,IF(INDEX(_ENGINE_Initiatives!$BX$5:$BX$76,MATCH($A178,_ENGINE_Initiatives!$BW$5:$BW$76,0))="3-6 months",EDATE('Company Profile'!$B$6,3),IF(INDEX(_ENGINE_Initiatives!$BX$5:$BX$76,MATCH($A178,_ENGINE_Initiatives!$BW$5:$BW$76,0))="6-12 months",EDATE('Company Profile'!$B$6,6),EDATE('Company Profile'!$B$6,12)))),O$162&lt;=IF(INDEX(_ENGINE_Initiatives!$BX$5:$BX$76,MATCH($A178,_ENGINE_Initiatives!$BW$5:$BW$76,0))="0-90 days",'Company Profile'!$B$6,IF(INDEX(_ENGINE_Initiatives!$BX$5:$BX$76,MATCH($A178,_ENGINE_Initiatives!$BW$5:$BW$76,0))="3-6 months",EDATE('Company Profile'!$B$6,3),IF(INDEX(_ENGINE_Initiatives!$BX$5:$BX$76,MATCH($A178,_ENGINE_Initiatives!$BW$5:$BW$76,0))="6-12 months",EDATE('Company Profile'!$B$6,6),EDATE('Company Profile'!$B$6,12))))+(IF(INDEX(_ENGINE_Initiatives!$AB$5:$AB$76,MATCH($A178,_ENGINE_Initiatives!$BW$5:$BW$76,0))&lt;=2,6,IF(INDEX(_ENGINE_Initiatives!$AB$5:$AB$76,MATCH($A178,_ENGINE_Initiatives!$BW$5:$BW$76,0))=3,10,IF(INDEX(_ENGINE_Initiatives!$AB$5:$AB$76,MATCH($A178,_ENGINE_Initiatives!$BW$5:$BW$76,0))=4,16,24)))*7)),1,""),"")</f>
      </c>
      <c r="P178" s="55">
        <f>IFERROR(IF(AND(P$162&gt;=IF(INDEX(_ENGINE_Initiatives!$BX$5:$BX$76,MATCH($A178,_ENGINE_Initiatives!$BW$5:$BW$76,0))="0-90 days",'Company Profile'!$B$6,IF(INDEX(_ENGINE_Initiatives!$BX$5:$BX$76,MATCH($A178,_ENGINE_Initiatives!$BW$5:$BW$76,0))="3-6 months",EDATE('Company Profile'!$B$6,3),IF(INDEX(_ENGINE_Initiatives!$BX$5:$BX$76,MATCH($A178,_ENGINE_Initiatives!$BW$5:$BW$76,0))="6-12 months",EDATE('Company Profile'!$B$6,6),EDATE('Company Profile'!$B$6,12)))),P$162&lt;=IF(INDEX(_ENGINE_Initiatives!$BX$5:$BX$76,MATCH($A178,_ENGINE_Initiatives!$BW$5:$BW$76,0))="0-90 days",'Company Profile'!$B$6,IF(INDEX(_ENGINE_Initiatives!$BX$5:$BX$76,MATCH($A178,_ENGINE_Initiatives!$BW$5:$BW$76,0))="3-6 months",EDATE('Company Profile'!$B$6,3),IF(INDEX(_ENGINE_Initiatives!$BX$5:$BX$76,MATCH($A178,_ENGINE_Initiatives!$BW$5:$BW$76,0))="6-12 months",EDATE('Company Profile'!$B$6,6),EDATE('Company Profile'!$B$6,12))))+(IF(INDEX(_ENGINE_Initiatives!$AB$5:$AB$76,MATCH($A178,_ENGINE_Initiatives!$BW$5:$BW$76,0))&lt;=2,6,IF(INDEX(_ENGINE_Initiatives!$AB$5:$AB$76,MATCH($A178,_ENGINE_Initiatives!$BW$5:$BW$76,0))=3,10,IF(INDEX(_ENGINE_Initiatives!$AB$5:$AB$76,MATCH($A178,_ENGINE_Initiatives!$BW$5:$BW$76,0))=4,16,24)))*7)),1,""),"")</f>
      </c>
      <c r="Q178" s="55">
        <f>IFERROR(IF(AND(Q$162&gt;=IF(INDEX(_ENGINE_Initiatives!$BX$5:$BX$76,MATCH($A178,_ENGINE_Initiatives!$BW$5:$BW$76,0))="0-90 days",'Company Profile'!$B$6,IF(INDEX(_ENGINE_Initiatives!$BX$5:$BX$76,MATCH($A178,_ENGINE_Initiatives!$BW$5:$BW$76,0))="3-6 months",EDATE('Company Profile'!$B$6,3),IF(INDEX(_ENGINE_Initiatives!$BX$5:$BX$76,MATCH($A178,_ENGINE_Initiatives!$BW$5:$BW$76,0))="6-12 months",EDATE('Company Profile'!$B$6,6),EDATE('Company Profile'!$B$6,12)))),Q$162&lt;=IF(INDEX(_ENGINE_Initiatives!$BX$5:$BX$76,MATCH($A178,_ENGINE_Initiatives!$BW$5:$BW$76,0))="0-90 days",'Company Profile'!$B$6,IF(INDEX(_ENGINE_Initiatives!$BX$5:$BX$76,MATCH($A178,_ENGINE_Initiatives!$BW$5:$BW$76,0))="3-6 months",EDATE('Company Profile'!$B$6,3),IF(INDEX(_ENGINE_Initiatives!$BX$5:$BX$76,MATCH($A178,_ENGINE_Initiatives!$BW$5:$BW$76,0))="6-12 months",EDATE('Company Profile'!$B$6,6),EDATE('Company Profile'!$B$6,12))))+(IF(INDEX(_ENGINE_Initiatives!$AB$5:$AB$76,MATCH($A178,_ENGINE_Initiatives!$BW$5:$BW$76,0))&lt;=2,6,IF(INDEX(_ENGINE_Initiatives!$AB$5:$AB$76,MATCH($A178,_ENGINE_Initiatives!$BW$5:$BW$76,0))=3,10,IF(INDEX(_ENGINE_Initiatives!$AB$5:$AB$76,MATCH($A178,_ENGINE_Initiatives!$BW$5:$BW$76,0))=4,16,24)))*7)),1,""),"")</f>
      </c>
      <c r="R178" s="55">
        <f>IFERROR(IF(AND(R$162&gt;=IF(INDEX(_ENGINE_Initiatives!$BX$5:$BX$76,MATCH($A178,_ENGINE_Initiatives!$BW$5:$BW$76,0))="0-90 days",'Company Profile'!$B$6,IF(INDEX(_ENGINE_Initiatives!$BX$5:$BX$76,MATCH($A178,_ENGINE_Initiatives!$BW$5:$BW$76,0))="3-6 months",EDATE('Company Profile'!$B$6,3),IF(INDEX(_ENGINE_Initiatives!$BX$5:$BX$76,MATCH($A178,_ENGINE_Initiatives!$BW$5:$BW$76,0))="6-12 months",EDATE('Company Profile'!$B$6,6),EDATE('Company Profile'!$B$6,12)))),R$162&lt;=IF(INDEX(_ENGINE_Initiatives!$BX$5:$BX$76,MATCH($A178,_ENGINE_Initiatives!$BW$5:$BW$76,0))="0-90 days",'Company Profile'!$B$6,IF(INDEX(_ENGINE_Initiatives!$BX$5:$BX$76,MATCH($A178,_ENGINE_Initiatives!$BW$5:$BW$76,0))="3-6 months",EDATE('Company Profile'!$B$6,3),IF(INDEX(_ENGINE_Initiatives!$BX$5:$BX$76,MATCH($A178,_ENGINE_Initiatives!$BW$5:$BW$76,0))="6-12 months",EDATE('Company Profile'!$B$6,6),EDATE('Company Profile'!$B$6,12))))+(IF(INDEX(_ENGINE_Initiatives!$AB$5:$AB$76,MATCH($A178,_ENGINE_Initiatives!$BW$5:$BW$76,0))&lt;=2,6,IF(INDEX(_ENGINE_Initiatives!$AB$5:$AB$76,MATCH($A178,_ENGINE_Initiatives!$BW$5:$BW$76,0))=3,10,IF(INDEX(_ENGINE_Initiatives!$AB$5:$AB$76,MATCH($A178,_ENGINE_Initiatives!$BW$5:$BW$76,0))=4,16,24)))*7)),1,""),"")</f>
      </c>
      <c r="S178" s="55">
        <f>IFERROR(IF(AND(S$162&gt;=IF(INDEX(_ENGINE_Initiatives!$BX$5:$BX$76,MATCH($A178,_ENGINE_Initiatives!$BW$5:$BW$76,0))="0-90 days",'Company Profile'!$B$6,IF(INDEX(_ENGINE_Initiatives!$BX$5:$BX$76,MATCH($A178,_ENGINE_Initiatives!$BW$5:$BW$76,0))="3-6 months",EDATE('Company Profile'!$B$6,3),IF(INDEX(_ENGINE_Initiatives!$BX$5:$BX$76,MATCH($A178,_ENGINE_Initiatives!$BW$5:$BW$76,0))="6-12 months",EDATE('Company Profile'!$B$6,6),EDATE('Company Profile'!$B$6,12)))),S$162&lt;=IF(INDEX(_ENGINE_Initiatives!$BX$5:$BX$76,MATCH($A178,_ENGINE_Initiatives!$BW$5:$BW$76,0))="0-90 days",'Company Profile'!$B$6,IF(INDEX(_ENGINE_Initiatives!$BX$5:$BX$76,MATCH($A178,_ENGINE_Initiatives!$BW$5:$BW$76,0))="3-6 months",EDATE('Company Profile'!$B$6,3),IF(INDEX(_ENGINE_Initiatives!$BX$5:$BX$76,MATCH($A178,_ENGINE_Initiatives!$BW$5:$BW$76,0))="6-12 months",EDATE('Company Profile'!$B$6,6),EDATE('Company Profile'!$B$6,12))))+(IF(INDEX(_ENGINE_Initiatives!$AB$5:$AB$76,MATCH($A178,_ENGINE_Initiatives!$BW$5:$BW$76,0))&lt;=2,6,IF(INDEX(_ENGINE_Initiatives!$AB$5:$AB$76,MATCH($A178,_ENGINE_Initiatives!$BW$5:$BW$76,0))=3,10,IF(INDEX(_ENGINE_Initiatives!$AB$5:$AB$76,MATCH($A178,_ENGINE_Initiatives!$BW$5:$BW$76,0))=4,16,24)))*7)),1,""),"")</f>
      </c>
      <c r="T178" s="55">
        <f>IFERROR(IF(AND(T$162&gt;=IF(INDEX(_ENGINE_Initiatives!$BX$5:$BX$76,MATCH($A178,_ENGINE_Initiatives!$BW$5:$BW$76,0))="0-90 days",'Company Profile'!$B$6,IF(INDEX(_ENGINE_Initiatives!$BX$5:$BX$76,MATCH($A178,_ENGINE_Initiatives!$BW$5:$BW$76,0))="3-6 months",EDATE('Company Profile'!$B$6,3),IF(INDEX(_ENGINE_Initiatives!$BX$5:$BX$76,MATCH($A178,_ENGINE_Initiatives!$BW$5:$BW$76,0))="6-12 months",EDATE('Company Profile'!$B$6,6),EDATE('Company Profile'!$B$6,12)))),T$162&lt;=IF(INDEX(_ENGINE_Initiatives!$BX$5:$BX$76,MATCH($A178,_ENGINE_Initiatives!$BW$5:$BW$76,0))="0-90 days",'Company Profile'!$B$6,IF(INDEX(_ENGINE_Initiatives!$BX$5:$BX$76,MATCH($A178,_ENGINE_Initiatives!$BW$5:$BW$76,0))="3-6 months",EDATE('Company Profile'!$B$6,3),IF(INDEX(_ENGINE_Initiatives!$BX$5:$BX$76,MATCH($A178,_ENGINE_Initiatives!$BW$5:$BW$76,0))="6-12 months",EDATE('Company Profile'!$B$6,6),EDATE('Company Profile'!$B$6,12))))+(IF(INDEX(_ENGINE_Initiatives!$AB$5:$AB$76,MATCH($A178,_ENGINE_Initiatives!$BW$5:$BW$76,0))&lt;=2,6,IF(INDEX(_ENGINE_Initiatives!$AB$5:$AB$76,MATCH($A178,_ENGINE_Initiatives!$BW$5:$BW$76,0))=3,10,IF(INDEX(_ENGINE_Initiatives!$AB$5:$AB$76,MATCH($A178,_ENGINE_Initiatives!$BW$5:$BW$76,0))=4,16,24)))*7)),1,""),"")</f>
      </c>
      <c r="U178" s="30" t="n"/>
      <c r="V178" s="30" t="n"/>
    </row>
    <row r="179" ht="15" customHeight="1" s="209">
      <c r="A179" s="51" t="inlineStr">
        <is>
          <t>17</t>
        </is>
      </c>
      <c r="B179" s="51">
        <f>IFERROR(INDEX(_ENGINE_Initiatives!$F$5:$F$76,MATCH($A179,_ENGINE_Initiatives!$BW$5:$BW$76,0)),"")</f>
      </c>
      <c r="C179" s="55">
        <f>IFERROR(IF(AND(C$162&gt;=IF(INDEX(_ENGINE_Initiatives!$BX$5:$BX$76,MATCH($A179,_ENGINE_Initiatives!$BW$5:$BW$76,0))="0-90 days",'Company Profile'!$B$6,IF(INDEX(_ENGINE_Initiatives!$BX$5:$BX$76,MATCH($A179,_ENGINE_Initiatives!$BW$5:$BW$76,0))="3-6 months",EDATE('Company Profile'!$B$6,3),IF(INDEX(_ENGINE_Initiatives!$BX$5:$BX$76,MATCH($A179,_ENGINE_Initiatives!$BW$5:$BW$76,0))="6-12 months",EDATE('Company Profile'!$B$6,6),EDATE('Company Profile'!$B$6,12)))),C$162&lt;=IF(INDEX(_ENGINE_Initiatives!$BX$5:$BX$76,MATCH($A179,_ENGINE_Initiatives!$BW$5:$BW$76,0))="0-90 days",'Company Profile'!$B$6,IF(INDEX(_ENGINE_Initiatives!$BX$5:$BX$76,MATCH($A179,_ENGINE_Initiatives!$BW$5:$BW$76,0))="3-6 months",EDATE('Company Profile'!$B$6,3),IF(INDEX(_ENGINE_Initiatives!$BX$5:$BX$76,MATCH($A179,_ENGINE_Initiatives!$BW$5:$BW$76,0))="6-12 months",EDATE('Company Profile'!$B$6,6),EDATE('Company Profile'!$B$6,12))))+(IF(INDEX(_ENGINE_Initiatives!$AB$5:$AB$76,MATCH($A179,_ENGINE_Initiatives!$BW$5:$BW$76,0))&lt;=2,6,IF(INDEX(_ENGINE_Initiatives!$AB$5:$AB$76,MATCH($A179,_ENGINE_Initiatives!$BW$5:$BW$76,0))=3,10,IF(INDEX(_ENGINE_Initiatives!$AB$5:$AB$76,MATCH($A179,_ENGINE_Initiatives!$BW$5:$BW$76,0))=4,16,24)))*7)),1,""),"")</f>
      </c>
      <c r="D179" s="55">
        <f>IFERROR(IF(AND(D$162&gt;=IF(INDEX(_ENGINE_Initiatives!$BX$5:$BX$76,MATCH($A179,_ENGINE_Initiatives!$BW$5:$BW$76,0))="0-90 days",'Company Profile'!$B$6,IF(INDEX(_ENGINE_Initiatives!$BX$5:$BX$76,MATCH($A179,_ENGINE_Initiatives!$BW$5:$BW$76,0))="3-6 months",EDATE('Company Profile'!$B$6,3),IF(INDEX(_ENGINE_Initiatives!$BX$5:$BX$76,MATCH($A179,_ENGINE_Initiatives!$BW$5:$BW$76,0))="6-12 months",EDATE('Company Profile'!$B$6,6),EDATE('Company Profile'!$B$6,12)))),D$162&lt;=IF(INDEX(_ENGINE_Initiatives!$BX$5:$BX$76,MATCH($A179,_ENGINE_Initiatives!$BW$5:$BW$76,0))="0-90 days",'Company Profile'!$B$6,IF(INDEX(_ENGINE_Initiatives!$BX$5:$BX$76,MATCH($A179,_ENGINE_Initiatives!$BW$5:$BW$76,0))="3-6 months",EDATE('Company Profile'!$B$6,3),IF(INDEX(_ENGINE_Initiatives!$BX$5:$BX$76,MATCH($A179,_ENGINE_Initiatives!$BW$5:$BW$76,0))="6-12 months",EDATE('Company Profile'!$B$6,6),EDATE('Company Profile'!$B$6,12))))+(IF(INDEX(_ENGINE_Initiatives!$AB$5:$AB$76,MATCH($A179,_ENGINE_Initiatives!$BW$5:$BW$76,0))&lt;=2,6,IF(INDEX(_ENGINE_Initiatives!$AB$5:$AB$76,MATCH($A179,_ENGINE_Initiatives!$BW$5:$BW$76,0))=3,10,IF(INDEX(_ENGINE_Initiatives!$AB$5:$AB$76,MATCH($A179,_ENGINE_Initiatives!$BW$5:$BW$76,0))=4,16,24)))*7)),1,""),"")</f>
      </c>
      <c r="E179" s="55">
        <f>IFERROR(IF(AND(E$162&gt;=IF(INDEX(_ENGINE_Initiatives!$BX$5:$BX$76,MATCH($A179,_ENGINE_Initiatives!$BW$5:$BW$76,0))="0-90 days",'Company Profile'!$B$6,IF(INDEX(_ENGINE_Initiatives!$BX$5:$BX$76,MATCH($A179,_ENGINE_Initiatives!$BW$5:$BW$76,0))="3-6 months",EDATE('Company Profile'!$B$6,3),IF(INDEX(_ENGINE_Initiatives!$BX$5:$BX$76,MATCH($A179,_ENGINE_Initiatives!$BW$5:$BW$76,0))="6-12 months",EDATE('Company Profile'!$B$6,6),EDATE('Company Profile'!$B$6,12)))),E$162&lt;=IF(INDEX(_ENGINE_Initiatives!$BX$5:$BX$76,MATCH($A179,_ENGINE_Initiatives!$BW$5:$BW$76,0))="0-90 days",'Company Profile'!$B$6,IF(INDEX(_ENGINE_Initiatives!$BX$5:$BX$76,MATCH($A179,_ENGINE_Initiatives!$BW$5:$BW$76,0))="3-6 months",EDATE('Company Profile'!$B$6,3),IF(INDEX(_ENGINE_Initiatives!$BX$5:$BX$76,MATCH($A179,_ENGINE_Initiatives!$BW$5:$BW$76,0))="6-12 months",EDATE('Company Profile'!$B$6,6),EDATE('Company Profile'!$B$6,12))))+(IF(INDEX(_ENGINE_Initiatives!$AB$5:$AB$76,MATCH($A179,_ENGINE_Initiatives!$BW$5:$BW$76,0))&lt;=2,6,IF(INDEX(_ENGINE_Initiatives!$AB$5:$AB$76,MATCH($A179,_ENGINE_Initiatives!$BW$5:$BW$76,0))=3,10,IF(INDEX(_ENGINE_Initiatives!$AB$5:$AB$76,MATCH($A179,_ENGINE_Initiatives!$BW$5:$BW$76,0))=4,16,24)))*7)),1,""),"")</f>
      </c>
      <c r="F179" s="55">
        <f>IFERROR(IF(AND(F$162&gt;=IF(INDEX(_ENGINE_Initiatives!$BX$5:$BX$76,MATCH($A179,_ENGINE_Initiatives!$BW$5:$BW$76,0))="0-90 days",'Company Profile'!$B$6,IF(INDEX(_ENGINE_Initiatives!$BX$5:$BX$76,MATCH($A179,_ENGINE_Initiatives!$BW$5:$BW$76,0))="3-6 months",EDATE('Company Profile'!$B$6,3),IF(INDEX(_ENGINE_Initiatives!$BX$5:$BX$76,MATCH($A179,_ENGINE_Initiatives!$BW$5:$BW$76,0))="6-12 months",EDATE('Company Profile'!$B$6,6),EDATE('Company Profile'!$B$6,12)))),F$162&lt;=IF(INDEX(_ENGINE_Initiatives!$BX$5:$BX$76,MATCH($A179,_ENGINE_Initiatives!$BW$5:$BW$76,0))="0-90 days",'Company Profile'!$B$6,IF(INDEX(_ENGINE_Initiatives!$BX$5:$BX$76,MATCH($A179,_ENGINE_Initiatives!$BW$5:$BW$76,0))="3-6 months",EDATE('Company Profile'!$B$6,3),IF(INDEX(_ENGINE_Initiatives!$BX$5:$BX$76,MATCH($A179,_ENGINE_Initiatives!$BW$5:$BW$76,0))="6-12 months",EDATE('Company Profile'!$B$6,6),EDATE('Company Profile'!$B$6,12))))+(IF(INDEX(_ENGINE_Initiatives!$AB$5:$AB$76,MATCH($A179,_ENGINE_Initiatives!$BW$5:$BW$76,0))&lt;=2,6,IF(INDEX(_ENGINE_Initiatives!$AB$5:$AB$76,MATCH($A179,_ENGINE_Initiatives!$BW$5:$BW$76,0))=3,10,IF(INDEX(_ENGINE_Initiatives!$AB$5:$AB$76,MATCH($A179,_ENGINE_Initiatives!$BW$5:$BW$76,0))=4,16,24)))*7)),1,""),"")</f>
      </c>
      <c r="G179" s="55">
        <f>IFERROR(IF(AND(G$162&gt;=IF(INDEX(_ENGINE_Initiatives!$BX$5:$BX$76,MATCH($A179,_ENGINE_Initiatives!$BW$5:$BW$76,0))="0-90 days",'Company Profile'!$B$6,IF(INDEX(_ENGINE_Initiatives!$BX$5:$BX$76,MATCH($A179,_ENGINE_Initiatives!$BW$5:$BW$76,0))="3-6 months",EDATE('Company Profile'!$B$6,3),IF(INDEX(_ENGINE_Initiatives!$BX$5:$BX$76,MATCH($A179,_ENGINE_Initiatives!$BW$5:$BW$76,0))="6-12 months",EDATE('Company Profile'!$B$6,6),EDATE('Company Profile'!$B$6,12)))),G$162&lt;=IF(INDEX(_ENGINE_Initiatives!$BX$5:$BX$76,MATCH($A179,_ENGINE_Initiatives!$BW$5:$BW$76,0))="0-90 days",'Company Profile'!$B$6,IF(INDEX(_ENGINE_Initiatives!$BX$5:$BX$76,MATCH($A179,_ENGINE_Initiatives!$BW$5:$BW$76,0))="3-6 months",EDATE('Company Profile'!$B$6,3),IF(INDEX(_ENGINE_Initiatives!$BX$5:$BX$76,MATCH($A179,_ENGINE_Initiatives!$BW$5:$BW$76,0))="6-12 months",EDATE('Company Profile'!$B$6,6),EDATE('Company Profile'!$B$6,12))))+(IF(INDEX(_ENGINE_Initiatives!$AB$5:$AB$76,MATCH($A179,_ENGINE_Initiatives!$BW$5:$BW$76,0))&lt;=2,6,IF(INDEX(_ENGINE_Initiatives!$AB$5:$AB$76,MATCH($A179,_ENGINE_Initiatives!$BW$5:$BW$76,0))=3,10,IF(INDEX(_ENGINE_Initiatives!$AB$5:$AB$76,MATCH($A179,_ENGINE_Initiatives!$BW$5:$BW$76,0))=4,16,24)))*7)),1,""),"")</f>
      </c>
      <c r="H179" s="55">
        <f>IFERROR(IF(AND(H$162&gt;=IF(INDEX(_ENGINE_Initiatives!$BX$5:$BX$76,MATCH($A179,_ENGINE_Initiatives!$BW$5:$BW$76,0))="0-90 days",'Company Profile'!$B$6,IF(INDEX(_ENGINE_Initiatives!$BX$5:$BX$76,MATCH($A179,_ENGINE_Initiatives!$BW$5:$BW$76,0))="3-6 months",EDATE('Company Profile'!$B$6,3),IF(INDEX(_ENGINE_Initiatives!$BX$5:$BX$76,MATCH($A179,_ENGINE_Initiatives!$BW$5:$BW$76,0))="6-12 months",EDATE('Company Profile'!$B$6,6),EDATE('Company Profile'!$B$6,12)))),H$162&lt;=IF(INDEX(_ENGINE_Initiatives!$BX$5:$BX$76,MATCH($A179,_ENGINE_Initiatives!$BW$5:$BW$76,0))="0-90 days",'Company Profile'!$B$6,IF(INDEX(_ENGINE_Initiatives!$BX$5:$BX$76,MATCH($A179,_ENGINE_Initiatives!$BW$5:$BW$76,0))="3-6 months",EDATE('Company Profile'!$B$6,3),IF(INDEX(_ENGINE_Initiatives!$BX$5:$BX$76,MATCH($A179,_ENGINE_Initiatives!$BW$5:$BW$76,0))="6-12 months",EDATE('Company Profile'!$B$6,6),EDATE('Company Profile'!$B$6,12))))+(IF(INDEX(_ENGINE_Initiatives!$AB$5:$AB$76,MATCH($A179,_ENGINE_Initiatives!$BW$5:$BW$76,0))&lt;=2,6,IF(INDEX(_ENGINE_Initiatives!$AB$5:$AB$76,MATCH($A179,_ENGINE_Initiatives!$BW$5:$BW$76,0))=3,10,IF(INDEX(_ENGINE_Initiatives!$AB$5:$AB$76,MATCH($A179,_ENGINE_Initiatives!$BW$5:$BW$76,0))=4,16,24)))*7)),1,""),"")</f>
      </c>
      <c r="I179" s="55">
        <f>IFERROR(IF(AND(I$162&gt;=IF(INDEX(_ENGINE_Initiatives!$BX$5:$BX$76,MATCH($A179,_ENGINE_Initiatives!$BW$5:$BW$76,0))="0-90 days",'Company Profile'!$B$6,IF(INDEX(_ENGINE_Initiatives!$BX$5:$BX$76,MATCH($A179,_ENGINE_Initiatives!$BW$5:$BW$76,0))="3-6 months",EDATE('Company Profile'!$B$6,3),IF(INDEX(_ENGINE_Initiatives!$BX$5:$BX$76,MATCH($A179,_ENGINE_Initiatives!$BW$5:$BW$76,0))="6-12 months",EDATE('Company Profile'!$B$6,6),EDATE('Company Profile'!$B$6,12)))),I$162&lt;=IF(INDEX(_ENGINE_Initiatives!$BX$5:$BX$76,MATCH($A179,_ENGINE_Initiatives!$BW$5:$BW$76,0))="0-90 days",'Company Profile'!$B$6,IF(INDEX(_ENGINE_Initiatives!$BX$5:$BX$76,MATCH($A179,_ENGINE_Initiatives!$BW$5:$BW$76,0))="3-6 months",EDATE('Company Profile'!$B$6,3),IF(INDEX(_ENGINE_Initiatives!$BX$5:$BX$76,MATCH($A179,_ENGINE_Initiatives!$BW$5:$BW$76,0))="6-12 months",EDATE('Company Profile'!$B$6,6),EDATE('Company Profile'!$B$6,12))))+(IF(INDEX(_ENGINE_Initiatives!$AB$5:$AB$76,MATCH($A179,_ENGINE_Initiatives!$BW$5:$BW$76,0))&lt;=2,6,IF(INDEX(_ENGINE_Initiatives!$AB$5:$AB$76,MATCH($A179,_ENGINE_Initiatives!$BW$5:$BW$76,0))=3,10,IF(INDEX(_ENGINE_Initiatives!$AB$5:$AB$76,MATCH($A179,_ENGINE_Initiatives!$BW$5:$BW$76,0))=4,16,24)))*7)),1,""),"")</f>
      </c>
      <c r="J179" s="55">
        <f>IFERROR(IF(AND(J$162&gt;=IF(INDEX(_ENGINE_Initiatives!$BX$5:$BX$76,MATCH($A179,_ENGINE_Initiatives!$BW$5:$BW$76,0))="0-90 days",'Company Profile'!$B$6,IF(INDEX(_ENGINE_Initiatives!$BX$5:$BX$76,MATCH($A179,_ENGINE_Initiatives!$BW$5:$BW$76,0))="3-6 months",EDATE('Company Profile'!$B$6,3),IF(INDEX(_ENGINE_Initiatives!$BX$5:$BX$76,MATCH($A179,_ENGINE_Initiatives!$BW$5:$BW$76,0))="6-12 months",EDATE('Company Profile'!$B$6,6),EDATE('Company Profile'!$B$6,12)))),J$162&lt;=IF(INDEX(_ENGINE_Initiatives!$BX$5:$BX$76,MATCH($A179,_ENGINE_Initiatives!$BW$5:$BW$76,0))="0-90 days",'Company Profile'!$B$6,IF(INDEX(_ENGINE_Initiatives!$BX$5:$BX$76,MATCH($A179,_ENGINE_Initiatives!$BW$5:$BW$76,0))="3-6 months",EDATE('Company Profile'!$B$6,3),IF(INDEX(_ENGINE_Initiatives!$BX$5:$BX$76,MATCH($A179,_ENGINE_Initiatives!$BW$5:$BW$76,0))="6-12 months",EDATE('Company Profile'!$B$6,6),EDATE('Company Profile'!$B$6,12))))+(IF(INDEX(_ENGINE_Initiatives!$AB$5:$AB$76,MATCH($A179,_ENGINE_Initiatives!$BW$5:$BW$76,0))&lt;=2,6,IF(INDEX(_ENGINE_Initiatives!$AB$5:$AB$76,MATCH($A179,_ENGINE_Initiatives!$BW$5:$BW$76,0))=3,10,IF(INDEX(_ENGINE_Initiatives!$AB$5:$AB$76,MATCH($A179,_ENGINE_Initiatives!$BW$5:$BW$76,0))=4,16,24)))*7)),1,""),"")</f>
      </c>
      <c r="K179" s="55">
        <f>IFERROR(IF(AND(K$162&gt;=IF(INDEX(_ENGINE_Initiatives!$BX$5:$BX$76,MATCH($A179,_ENGINE_Initiatives!$BW$5:$BW$76,0))="0-90 days",'Company Profile'!$B$6,IF(INDEX(_ENGINE_Initiatives!$BX$5:$BX$76,MATCH($A179,_ENGINE_Initiatives!$BW$5:$BW$76,0))="3-6 months",EDATE('Company Profile'!$B$6,3),IF(INDEX(_ENGINE_Initiatives!$BX$5:$BX$76,MATCH($A179,_ENGINE_Initiatives!$BW$5:$BW$76,0))="6-12 months",EDATE('Company Profile'!$B$6,6),EDATE('Company Profile'!$B$6,12)))),K$162&lt;=IF(INDEX(_ENGINE_Initiatives!$BX$5:$BX$76,MATCH($A179,_ENGINE_Initiatives!$BW$5:$BW$76,0))="0-90 days",'Company Profile'!$B$6,IF(INDEX(_ENGINE_Initiatives!$BX$5:$BX$76,MATCH($A179,_ENGINE_Initiatives!$BW$5:$BW$76,0))="3-6 months",EDATE('Company Profile'!$B$6,3),IF(INDEX(_ENGINE_Initiatives!$BX$5:$BX$76,MATCH($A179,_ENGINE_Initiatives!$BW$5:$BW$76,0))="6-12 months",EDATE('Company Profile'!$B$6,6),EDATE('Company Profile'!$B$6,12))))+(IF(INDEX(_ENGINE_Initiatives!$AB$5:$AB$76,MATCH($A179,_ENGINE_Initiatives!$BW$5:$BW$76,0))&lt;=2,6,IF(INDEX(_ENGINE_Initiatives!$AB$5:$AB$76,MATCH($A179,_ENGINE_Initiatives!$BW$5:$BW$76,0))=3,10,IF(INDEX(_ENGINE_Initiatives!$AB$5:$AB$76,MATCH($A179,_ENGINE_Initiatives!$BW$5:$BW$76,0))=4,16,24)))*7)),1,""),"")</f>
      </c>
      <c r="L179" s="55">
        <f>IFERROR(IF(AND(L$162&gt;=IF(INDEX(_ENGINE_Initiatives!$BX$5:$BX$76,MATCH($A179,_ENGINE_Initiatives!$BW$5:$BW$76,0))="0-90 days",'Company Profile'!$B$6,IF(INDEX(_ENGINE_Initiatives!$BX$5:$BX$76,MATCH($A179,_ENGINE_Initiatives!$BW$5:$BW$76,0))="3-6 months",EDATE('Company Profile'!$B$6,3),IF(INDEX(_ENGINE_Initiatives!$BX$5:$BX$76,MATCH($A179,_ENGINE_Initiatives!$BW$5:$BW$76,0))="6-12 months",EDATE('Company Profile'!$B$6,6),EDATE('Company Profile'!$B$6,12)))),L$162&lt;=IF(INDEX(_ENGINE_Initiatives!$BX$5:$BX$76,MATCH($A179,_ENGINE_Initiatives!$BW$5:$BW$76,0))="0-90 days",'Company Profile'!$B$6,IF(INDEX(_ENGINE_Initiatives!$BX$5:$BX$76,MATCH($A179,_ENGINE_Initiatives!$BW$5:$BW$76,0))="3-6 months",EDATE('Company Profile'!$B$6,3),IF(INDEX(_ENGINE_Initiatives!$BX$5:$BX$76,MATCH($A179,_ENGINE_Initiatives!$BW$5:$BW$76,0))="6-12 months",EDATE('Company Profile'!$B$6,6),EDATE('Company Profile'!$B$6,12))))+(IF(INDEX(_ENGINE_Initiatives!$AB$5:$AB$76,MATCH($A179,_ENGINE_Initiatives!$BW$5:$BW$76,0))&lt;=2,6,IF(INDEX(_ENGINE_Initiatives!$AB$5:$AB$76,MATCH($A179,_ENGINE_Initiatives!$BW$5:$BW$76,0))=3,10,IF(INDEX(_ENGINE_Initiatives!$AB$5:$AB$76,MATCH($A179,_ENGINE_Initiatives!$BW$5:$BW$76,0))=4,16,24)))*7)),1,""),"")</f>
      </c>
      <c r="M179" s="55">
        <f>IFERROR(IF(AND(M$162&gt;=IF(INDEX(_ENGINE_Initiatives!$BX$5:$BX$76,MATCH($A179,_ENGINE_Initiatives!$BW$5:$BW$76,0))="0-90 days",'Company Profile'!$B$6,IF(INDEX(_ENGINE_Initiatives!$BX$5:$BX$76,MATCH($A179,_ENGINE_Initiatives!$BW$5:$BW$76,0))="3-6 months",EDATE('Company Profile'!$B$6,3),IF(INDEX(_ENGINE_Initiatives!$BX$5:$BX$76,MATCH($A179,_ENGINE_Initiatives!$BW$5:$BW$76,0))="6-12 months",EDATE('Company Profile'!$B$6,6),EDATE('Company Profile'!$B$6,12)))),M$162&lt;=IF(INDEX(_ENGINE_Initiatives!$BX$5:$BX$76,MATCH($A179,_ENGINE_Initiatives!$BW$5:$BW$76,0))="0-90 days",'Company Profile'!$B$6,IF(INDEX(_ENGINE_Initiatives!$BX$5:$BX$76,MATCH($A179,_ENGINE_Initiatives!$BW$5:$BW$76,0))="3-6 months",EDATE('Company Profile'!$B$6,3),IF(INDEX(_ENGINE_Initiatives!$BX$5:$BX$76,MATCH($A179,_ENGINE_Initiatives!$BW$5:$BW$76,0))="6-12 months",EDATE('Company Profile'!$B$6,6),EDATE('Company Profile'!$B$6,12))))+(IF(INDEX(_ENGINE_Initiatives!$AB$5:$AB$76,MATCH($A179,_ENGINE_Initiatives!$BW$5:$BW$76,0))&lt;=2,6,IF(INDEX(_ENGINE_Initiatives!$AB$5:$AB$76,MATCH($A179,_ENGINE_Initiatives!$BW$5:$BW$76,0))=3,10,IF(INDEX(_ENGINE_Initiatives!$AB$5:$AB$76,MATCH($A179,_ENGINE_Initiatives!$BW$5:$BW$76,0))=4,16,24)))*7)),1,""),"")</f>
      </c>
      <c r="N179" s="55">
        <f>IFERROR(IF(AND(N$162&gt;=IF(INDEX(_ENGINE_Initiatives!$BX$5:$BX$76,MATCH($A179,_ENGINE_Initiatives!$BW$5:$BW$76,0))="0-90 days",'Company Profile'!$B$6,IF(INDEX(_ENGINE_Initiatives!$BX$5:$BX$76,MATCH($A179,_ENGINE_Initiatives!$BW$5:$BW$76,0))="3-6 months",EDATE('Company Profile'!$B$6,3),IF(INDEX(_ENGINE_Initiatives!$BX$5:$BX$76,MATCH($A179,_ENGINE_Initiatives!$BW$5:$BW$76,0))="6-12 months",EDATE('Company Profile'!$B$6,6),EDATE('Company Profile'!$B$6,12)))),N$162&lt;=IF(INDEX(_ENGINE_Initiatives!$BX$5:$BX$76,MATCH($A179,_ENGINE_Initiatives!$BW$5:$BW$76,0))="0-90 days",'Company Profile'!$B$6,IF(INDEX(_ENGINE_Initiatives!$BX$5:$BX$76,MATCH($A179,_ENGINE_Initiatives!$BW$5:$BW$76,0))="3-6 months",EDATE('Company Profile'!$B$6,3),IF(INDEX(_ENGINE_Initiatives!$BX$5:$BX$76,MATCH($A179,_ENGINE_Initiatives!$BW$5:$BW$76,0))="6-12 months",EDATE('Company Profile'!$B$6,6),EDATE('Company Profile'!$B$6,12))))+(IF(INDEX(_ENGINE_Initiatives!$AB$5:$AB$76,MATCH($A179,_ENGINE_Initiatives!$BW$5:$BW$76,0))&lt;=2,6,IF(INDEX(_ENGINE_Initiatives!$AB$5:$AB$76,MATCH($A179,_ENGINE_Initiatives!$BW$5:$BW$76,0))=3,10,IF(INDEX(_ENGINE_Initiatives!$AB$5:$AB$76,MATCH($A179,_ENGINE_Initiatives!$BW$5:$BW$76,0))=4,16,24)))*7)),1,""),"")</f>
      </c>
      <c r="O179" s="55">
        <f>IFERROR(IF(AND(O$162&gt;=IF(INDEX(_ENGINE_Initiatives!$BX$5:$BX$76,MATCH($A179,_ENGINE_Initiatives!$BW$5:$BW$76,0))="0-90 days",'Company Profile'!$B$6,IF(INDEX(_ENGINE_Initiatives!$BX$5:$BX$76,MATCH($A179,_ENGINE_Initiatives!$BW$5:$BW$76,0))="3-6 months",EDATE('Company Profile'!$B$6,3),IF(INDEX(_ENGINE_Initiatives!$BX$5:$BX$76,MATCH($A179,_ENGINE_Initiatives!$BW$5:$BW$76,0))="6-12 months",EDATE('Company Profile'!$B$6,6),EDATE('Company Profile'!$B$6,12)))),O$162&lt;=IF(INDEX(_ENGINE_Initiatives!$BX$5:$BX$76,MATCH($A179,_ENGINE_Initiatives!$BW$5:$BW$76,0))="0-90 days",'Company Profile'!$B$6,IF(INDEX(_ENGINE_Initiatives!$BX$5:$BX$76,MATCH($A179,_ENGINE_Initiatives!$BW$5:$BW$76,0))="3-6 months",EDATE('Company Profile'!$B$6,3),IF(INDEX(_ENGINE_Initiatives!$BX$5:$BX$76,MATCH($A179,_ENGINE_Initiatives!$BW$5:$BW$76,0))="6-12 months",EDATE('Company Profile'!$B$6,6),EDATE('Company Profile'!$B$6,12))))+(IF(INDEX(_ENGINE_Initiatives!$AB$5:$AB$76,MATCH($A179,_ENGINE_Initiatives!$BW$5:$BW$76,0))&lt;=2,6,IF(INDEX(_ENGINE_Initiatives!$AB$5:$AB$76,MATCH($A179,_ENGINE_Initiatives!$BW$5:$BW$76,0))=3,10,IF(INDEX(_ENGINE_Initiatives!$AB$5:$AB$76,MATCH($A179,_ENGINE_Initiatives!$BW$5:$BW$76,0))=4,16,24)))*7)),1,""),"")</f>
      </c>
      <c r="P179" s="55">
        <f>IFERROR(IF(AND(P$162&gt;=IF(INDEX(_ENGINE_Initiatives!$BX$5:$BX$76,MATCH($A179,_ENGINE_Initiatives!$BW$5:$BW$76,0))="0-90 days",'Company Profile'!$B$6,IF(INDEX(_ENGINE_Initiatives!$BX$5:$BX$76,MATCH($A179,_ENGINE_Initiatives!$BW$5:$BW$76,0))="3-6 months",EDATE('Company Profile'!$B$6,3),IF(INDEX(_ENGINE_Initiatives!$BX$5:$BX$76,MATCH($A179,_ENGINE_Initiatives!$BW$5:$BW$76,0))="6-12 months",EDATE('Company Profile'!$B$6,6),EDATE('Company Profile'!$B$6,12)))),P$162&lt;=IF(INDEX(_ENGINE_Initiatives!$BX$5:$BX$76,MATCH($A179,_ENGINE_Initiatives!$BW$5:$BW$76,0))="0-90 days",'Company Profile'!$B$6,IF(INDEX(_ENGINE_Initiatives!$BX$5:$BX$76,MATCH($A179,_ENGINE_Initiatives!$BW$5:$BW$76,0))="3-6 months",EDATE('Company Profile'!$B$6,3),IF(INDEX(_ENGINE_Initiatives!$BX$5:$BX$76,MATCH($A179,_ENGINE_Initiatives!$BW$5:$BW$76,0))="6-12 months",EDATE('Company Profile'!$B$6,6),EDATE('Company Profile'!$B$6,12))))+(IF(INDEX(_ENGINE_Initiatives!$AB$5:$AB$76,MATCH($A179,_ENGINE_Initiatives!$BW$5:$BW$76,0))&lt;=2,6,IF(INDEX(_ENGINE_Initiatives!$AB$5:$AB$76,MATCH($A179,_ENGINE_Initiatives!$BW$5:$BW$76,0))=3,10,IF(INDEX(_ENGINE_Initiatives!$AB$5:$AB$76,MATCH($A179,_ENGINE_Initiatives!$BW$5:$BW$76,0))=4,16,24)))*7)),1,""),"")</f>
      </c>
      <c r="Q179" s="55">
        <f>IFERROR(IF(AND(Q$162&gt;=IF(INDEX(_ENGINE_Initiatives!$BX$5:$BX$76,MATCH($A179,_ENGINE_Initiatives!$BW$5:$BW$76,0))="0-90 days",'Company Profile'!$B$6,IF(INDEX(_ENGINE_Initiatives!$BX$5:$BX$76,MATCH($A179,_ENGINE_Initiatives!$BW$5:$BW$76,0))="3-6 months",EDATE('Company Profile'!$B$6,3),IF(INDEX(_ENGINE_Initiatives!$BX$5:$BX$76,MATCH($A179,_ENGINE_Initiatives!$BW$5:$BW$76,0))="6-12 months",EDATE('Company Profile'!$B$6,6),EDATE('Company Profile'!$B$6,12)))),Q$162&lt;=IF(INDEX(_ENGINE_Initiatives!$BX$5:$BX$76,MATCH($A179,_ENGINE_Initiatives!$BW$5:$BW$76,0))="0-90 days",'Company Profile'!$B$6,IF(INDEX(_ENGINE_Initiatives!$BX$5:$BX$76,MATCH($A179,_ENGINE_Initiatives!$BW$5:$BW$76,0))="3-6 months",EDATE('Company Profile'!$B$6,3),IF(INDEX(_ENGINE_Initiatives!$BX$5:$BX$76,MATCH($A179,_ENGINE_Initiatives!$BW$5:$BW$76,0))="6-12 months",EDATE('Company Profile'!$B$6,6),EDATE('Company Profile'!$B$6,12))))+(IF(INDEX(_ENGINE_Initiatives!$AB$5:$AB$76,MATCH($A179,_ENGINE_Initiatives!$BW$5:$BW$76,0))&lt;=2,6,IF(INDEX(_ENGINE_Initiatives!$AB$5:$AB$76,MATCH($A179,_ENGINE_Initiatives!$BW$5:$BW$76,0))=3,10,IF(INDEX(_ENGINE_Initiatives!$AB$5:$AB$76,MATCH($A179,_ENGINE_Initiatives!$BW$5:$BW$76,0))=4,16,24)))*7)),1,""),"")</f>
      </c>
      <c r="R179" s="55">
        <f>IFERROR(IF(AND(R$162&gt;=IF(INDEX(_ENGINE_Initiatives!$BX$5:$BX$76,MATCH($A179,_ENGINE_Initiatives!$BW$5:$BW$76,0))="0-90 days",'Company Profile'!$B$6,IF(INDEX(_ENGINE_Initiatives!$BX$5:$BX$76,MATCH($A179,_ENGINE_Initiatives!$BW$5:$BW$76,0))="3-6 months",EDATE('Company Profile'!$B$6,3),IF(INDEX(_ENGINE_Initiatives!$BX$5:$BX$76,MATCH($A179,_ENGINE_Initiatives!$BW$5:$BW$76,0))="6-12 months",EDATE('Company Profile'!$B$6,6),EDATE('Company Profile'!$B$6,12)))),R$162&lt;=IF(INDEX(_ENGINE_Initiatives!$BX$5:$BX$76,MATCH($A179,_ENGINE_Initiatives!$BW$5:$BW$76,0))="0-90 days",'Company Profile'!$B$6,IF(INDEX(_ENGINE_Initiatives!$BX$5:$BX$76,MATCH($A179,_ENGINE_Initiatives!$BW$5:$BW$76,0))="3-6 months",EDATE('Company Profile'!$B$6,3),IF(INDEX(_ENGINE_Initiatives!$BX$5:$BX$76,MATCH($A179,_ENGINE_Initiatives!$BW$5:$BW$76,0))="6-12 months",EDATE('Company Profile'!$B$6,6),EDATE('Company Profile'!$B$6,12))))+(IF(INDEX(_ENGINE_Initiatives!$AB$5:$AB$76,MATCH($A179,_ENGINE_Initiatives!$BW$5:$BW$76,0))&lt;=2,6,IF(INDEX(_ENGINE_Initiatives!$AB$5:$AB$76,MATCH($A179,_ENGINE_Initiatives!$BW$5:$BW$76,0))=3,10,IF(INDEX(_ENGINE_Initiatives!$AB$5:$AB$76,MATCH($A179,_ENGINE_Initiatives!$BW$5:$BW$76,0))=4,16,24)))*7)),1,""),"")</f>
      </c>
      <c r="S179" s="55">
        <f>IFERROR(IF(AND(S$162&gt;=IF(INDEX(_ENGINE_Initiatives!$BX$5:$BX$76,MATCH($A179,_ENGINE_Initiatives!$BW$5:$BW$76,0))="0-90 days",'Company Profile'!$B$6,IF(INDEX(_ENGINE_Initiatives!$BX$5:$BX$76,MATCH($A179,_ENGINE_Initiatives!$BW$5:$BW$76,0))="3-6 months",EDATE('Company Profile'!$B$6,3),IF(INDEX(_ENGINE_Initiatives!$BX$5:$BX$76,MATCH($A179,_ENGINE_Initiatives!$BW$5:$BW$76,0))="6-12 months",EDATE('Company Profile'!$B$6,6),EDATE('Company Profile'!$B$6,12)))),S$162&lt;=IF(INDEX(_ENGINE_Initiatives!$BX$5:$BX$76,MATCH($A179,_ENGINE_Initiatives!$BW$5:$BW$76,0))="0-90 days",'Company Profile'!$B$6,IF(INDEX(_ENGINE_Initiatives!$BX$5:$BX$76,MATCH($A179,_ENGINE_Initiatives!$BW$5:$BW$76,0))="3-6 months",EDATE('Company Profile'!$B$6,3),IF(INDEX(_ENGINE_Initiatives!$BX$5:$BX$76,MATCH($A179,_ENGINE_Initiatives!$BW$5:$BW$76,0))="6-12 months",EDATE('Company Profile'!$B$6,6),EDATE('Company Profile'!$B$6,12))))+(IF(INDEX(_ENGINE_Initiatives!$AB$5:$AB$76,MATCH($A179,_ENGINE_Initiatives!$BW$5:$BW$76,0))&lt;=2,6,IF(INDEX(_ENGINE_Initiatives!$AB$5:$AB$76,MATCH($A179,_ENGINE_Initiatives!$BW$5:$BW$76,0))=3,10,IF(INDEX(_ENGINE_Initiatives!$AB$5:$AB$76,MATCH($A179,_ENGINE_Initiatives!$BW$5:$BW$76,0))=4,16,24)))*7)),1,""),"")</f>
      </c>
      <c r="T179" s="55">
        <f>IFERROR(IF(AND(T$162&gt;=IF(INDEX(_ENGINE_Initiatives!$BX$5:$BX$76,MATCH($A179,_ENGINE_Initiatives!$BW$5:$BW$76,0))="0-90 days",'Company Profile'!$B$6,IF(INDEX(_ENGINE_Initiatives!$BX$5:$BX$76,MATCH($A179,_ENGINE_Initiatives!$BW$5:$BW$76,0))="3-6 months",EDATE('Company Profile'!$B$6,3),IF(INDEX(_ENGINE_Initiatives!$BX$5:$BX$76,MATCH($A179,_ENGINE_Initiatives!$BW$5:$BW$76,0))="6-12 months",EDATE('Company Profile'!$B$6,6),EDATE('Company Profile'!$B$6,12)))),T$162&lt;=IF(INDEX(_ENGINE_Initiatives!$BX$5:$BX$76,MATCH($A179,_ENGINE_Initiatives!$BW$5:$BW$76,0))="0-90 days",'Company Profile'!$B$6,IF(INDEX(_ENGINE_Initiatives!$BX$5:$BX$76,MATCH($A179,_ENGINE_Initiatives!$BW$5:$BW$76,0))="3-6 months",EDATE('Company Profile'!$B$6,3),IF(INDEX(_ENGINE_Initiatives!$BX$5:$BX$76,MATCH($A179,_ENGINE_Initiatives!$BW$5:$BW$76,0))="6-12 months",EDATE('Company Profile'!$B$6,6),EDATE('Company Profile'!$B$6,12))))+(IF(INDEX(_ENGINE_Initiatives!$AB$5:$AB$76,MATCH($A179,_ENGINE_Initiatives!$BW$5:$BW$76,0))&lt;=2,6,IF(INDEX(_ENGINE_Initiatives!$AB$5:$AB$76,MATCH($A179,_ENGINE_Initiatives!$BW$5:$BW$76,0))=3,10,IF(INDEX(_ENGINE_Initiatives!$AB$5:$AB$76,MATCH($A179,_ENGINE_Initiatives!$BW$5:$BW$76,0))=4,16,24)))*7)),1,""),"")</f>
      </c>
      <c r="U179" s="30" t="n"/>
      <c r="V179" s="30" t="n"/>
    </row>
    <row r="180" ht="15" customHeight="1" s="209">
      <c r="A180" s="51" t="inlineStr">
        <is>
          <t>18</t>
        </is>
      </c>
      <c r="B180" s="51">
        <f>IFERROR(INDEX(_ENGINE_Initiatives!$F$5:$F$76,MATCH($A180,_ENGINE_Initiatives!$BW$5:$BW$76,0)),"")</f>
      </c>
      <c r="C180" s="55">
        <f>IFERROR(IF(AND(C$162&gt;=IF(INDEX(_ENGINE_Initiatives!$BX$5:$BX$76,MATCH($A180,_ENGINE_Initiatives!$BW$5:$BW$76,0))="0-90 days",'Company Profile'!$B$6,IF(INDEX(_ENGINE_Initiatives!$BX$5:$BX$76,MATCH($A180,_ENGINE_Initiatives!$BW$5:$BW$76,0))="3-6 months",EDATE('Company Profile'!$B$6,3),IF(INDEX(_ENGINE_Initiatives!$BX$5:$BX$76,MATCH($A180,_ENGINE_Initiatives!$BW$5:$BW$76,0))="6-12 months",EDATE('Company Profile'!$B$6,6),EDATE('Company Profile'!$B$6,12)))),C$162&lt;=IF(INDEX(_ENGINE_Initiatives!$BX$5:$BX$76,MATCH($A180,_ENGINE_Initiatives!$BW$5:$BW$76,0))="0-90 days",'Company Profile'!$B$6,IF(INDEX(_ENGINE_Initiatives!$BX$5:$BX$76,MATCH($A180,_ENGINE_Initiatives!$BW$5:$BW$76,0))="3-6 months",EDATE('Company Profile'!$B$6,3),IF(INDEX(_ENGINE_Initiatives!$BX$5:$BX$76,MATCH($A180,_ENGINE_Initiatives!$BW$5:$BW$76,0))="6-12 months",EDATE('Company Profile'!$B$6,6),EDATE('Company Profile'!$B$6,12))))+(IF(INDEX(_ENGINE_Initiatives!$AB$5:$AB$76,MATCH($A180,_ENGINE_Initiatives!$BW$5:$BW$76,0))&lt;=2,6,IF(INDEX(_ENGINE_Initiatives!$AB$5:$AB$76,MATCH($A180,_ENGINE_Initiatives!$BW$5:$BW$76,0))=3,10,IF(INDEX(_ENGINE_Initiatives!$AB$5:$AB$76,MATCH($A180,_ENGINE_Initiatives!$BW$5:$BW$76,0))=4,16,24)))*7)),1,""),"")</f>
      </c>
      <c r="D180" s="55">
        <f>IFERROR(IF(AND(D$162&gt;=IF(INDEX(_ENGINE_Initiatives!$BX$5:$BX$76,MATCH($A180,_ENGINE_Initiatives!$BW$5:$BW$76,0))="0-90 days",'Company Profile'!$B$6,IF(INDEX(_ENGINE_Initiatives!$BX$5:$BX$76,MATCH($A180,_ENGINE_Initiatives!$BW$5:$BW$76,0))="3-6 months",EDATE('Company Profile'!$B$6,3),IF(INDEX(_ENGINE_Initiatives!$BX$5:$BX$76,MATCH($A180,_ENGINE_Initiatives!$BW$5:$BW$76,0))="6-12 months",EDATE('Company Profile'!$B$6,6),EDATE('Company Profile'!$B$6,12)))),D$162&lt;=IF(INDEX(_ENGINE_Initiatives!$BX$5:$BX$76,MATCH($A180,_ENGINE_Initiatives!$BW$5:$BW$76,0))="0-90 days",'Company Profile'!$B$6,IF(INDEX(_ENGINE_Initiatives!$BX$5:$BX$76,MATCH($A180,_ENGINE_Initiatives!$BW$5:$BW$76,0))="3-6 months",EDATE('Company Profile'!$B$6,3),IF(INDEX(_ENGINE_Initiatives!$BX$5:$BX$76,MATCH($A180,_ENGINE_Initiatives!$BW$5:$BW$76,0))="6-12 months",EDATE('Company Profile'!$B$6,6),EDATE('Company Profile'!$B$6,12))))+(IF(INDEX(_ENGINE_Initiatives!$AB$5:$AB$76,MATCH($A180,_ENGINE_Initiatives!$BW$5:$BW$76,0))&lt;=2,6,IF(INDEX(_ENGINE_Initiatives!$AB$5:$AB$76,MATCH($A180,_ENGINE_Initiatives!$BW$5:$BW$76,0))=3,10,IF(INDEX(_ENGINE_Initiatives!$AB$5:$AB$76,MATCH($A180,_ENGINE_Initiatives!$BW$5:$BW$76,0))=4,16,24)))*7)),1,""),"")</f>
      </c>
      <c r="E180" s="55">
        <f>IFERROR(IF(AND(E$162&gt;=IF(INDEX(_ENGINE_Initiatives!$BX$5:$BX$76,MATCH($A180,_ENGINE_Initiatives!$BW$5:$BW$76,0))="0-90 days",'Company Profile'!$B$6,IF(INDEX(_ENGINE_Initiatives!$BX$5:$BX$76,MATCH($A180,_ENGINE_Initiatives!$BW$5:$BW$76,0))="3-6 months",EDATE('Company Profile'!$B$6,3),IF(INDEX(_ENGINE_Initiatives!$BX$5:$BX$76,MATCH($A180,_ENGINE_Initiatives!$BW$5:$BW$76,0))="6-12 months",EDATE('Company Profile'!$B$6,6),EDATE('Company Profile'!$B$6,12)))),E$162&lt;=IF(INDEX(_ENGINE_Initiatives!$BX$5:$BX$76,MATCH($A180,_ENGINE_Initiatives!$BW$5:$BW$76,0))="0-90 days",'Company Profile'!$B$6,IF(INDEX(_ENGINE_Initiatives!$BX$5:$BX$76,MATCH($A180,_ENGINE_Initiatives!$BW$5:$BW$76,0))="3-6 months",EDATE('Company Profile'!$B$6,3),IF(INDEX(_ENGINE_Initiatives!$BX$5:$BX$76,MATCH($A180,_ENGINE_Initiatives!$BW$5:$BW$76,0))="6-12 months",EDATE('Company Profile'!$B$6,6),EDATE('Company Profile'!$B$6,12))))+(IF(INDEX(_ENGINE_Initiatives!$AB$5:$AB$76,MATCH($A180,_ENGINE_Initiatives!$BW$5:$BW$76,0))&lt;=2,6,IF(INDEX(_ENGINE_Initiatives!$AB$5:$AB$76,MATCH($A180,_ENGINE_Initiatives!$BW$5:$BW$76,0))=3,10,IF(INDEX(_ENGINE_Initiatives!$AB$5:$AB$76,MATCH($A180,_ENGINE_Initiatives!$BW$5:$BW$76,0))=4,16,24)))*7)),1,""),"")</f>
      </c>
      <c r="F180" s="55">
        <f>IFERROR(IF(AND(F$162&gt;=IF(INDEX(_ENGINE_Initiatives!$BX$5:$BX$76,MATCH($A180,_ENGINE_Initiatives!$BW$5:$BW$76,0))="0-90 days",'Company Profile'!$B$6,IF(INDEX(_ENGINE_Initiatives!$BX$5:$BX$76,MATCH($A180,_ENGINE_Initiatives!$BW$5:$BW$76,0))="3-6 months",EDATE('Company Profile'!$B$6,3),IF(INDEX(_ENGINE_Initiatives!$BX$5:$BX$76,MATCH($A180,_ENGINE_Initiatives!$BW$5:$BW$76,0))="6-12 months",EDATE('Company Profile'!$B$6,6),EDATE('Company Profile'!$B$6,12)))),F$162&lt;=IF(INDEX(_ENGINE_Initiatives!$BX$5:$BX$76,MATCH($A180,_ENGINE_Initiatives!$BW$5:$BW$76,0))="0-90 days",'Company Profile'!$B$6,IF(INDEX(_ENGINE_Initiatives!$BX$5:$BX$76,MATCH($A180,_ENGINE_Initiatives!$BW$5:$BW$76,0))="3-6 months",EDATE('Company Profile'!$B$6,3),IF(INDEX(_ENGINE_Initiatives!$BX$5:$BX$76,MATCH($A180,_ENGINE_Initiatives!$BW$5:$BW$76,0))="6-12 months",EDATE('Company Profile'!$B$6,6),EDATE('Company Profile'!$B$6,12))))+(IF(INDEX(_ENGINE_Initiatives!$AB$5:$AB$76,MATCH($A180,_ENGINE_Initiatives!$BW$5:$BW$76,0))&lt;=2,6,IF(INDEX(_ENGINE_Initiatives!$AB$5:$AB$76,MATCH($A180,_ENGINE_Initiatives!$BW$5:$BW$76,0))=3,10,IF(INDEX(_ENGINE_Initiatives!$AB$5:$AB$76,MATCH($A180,_ENGINE_Initiatives!$BW$5:$BW$76,0))=4,16,24)))*7)),1,""),"")</f>
      </c>
      <c r="G180" s="55">
        <f>IFERROR(IF(AND(G$162&gt;=IF(INDEX(_ENGINE_Initiatives!$BX$5:$BX$76,MATCH($A180,_ENGINE_Initiatives!$BW$5:$BW$76,0))="0-90 days",'Company Profile'!$B$6,IF(INDEX(_ENGINE_Initiatives!$BX$5:$BX$76,MATCH($A180,_ENGINE_Initiatives!$BW$5:$BW$76,0))="3-6 months",EDATE('Company Profile'!$B$6,3),IF(INDEX(_ENGINE_Initiatives!$BX$5:$BX$76,MATCH($A180,_ENGINE_Initiatives!$BW$5:$BW$76,0))="6-12 months",EDATE('Company Profile'!$B$6,6),EDATE('Company Profile'!$B$6,12)))),G$162&lt;=IF(INDEX(_ENGINE_Initiatives!$BX$5:$BX$76,MATCH($A180,_ENGINE_Initiatives!$BW$5:$BW$76,0))="0-90 days",'Company Profile'!$B$6,IF(INDEX(_ENGINE_Initiatives!$BX$5:$BX$76,MATCH($A180,_ENGINE_Initiatives!$BW$5:$BW$76,0))="3-6 months",EDATE('Company Profile'!$B$6,3),IF(INDEX(_ENGINE_Initiatives!$BX$5:$BX$76,MATCH($A180,_ENGINE_Initiatives!$BW$5:$BW$76,0))="6-12 months",EDATE('Company Profile'!$B$6,6),EDATE('Company Profile'!$B$6,12))))+(IF(INDEX(_ENGINE_Initiatives!$AB$5:$AB$76,MATCH($A180,_ENGINE_Initiatives!$BW$5:$BW$76,0))&lt;=2,6,IF(INDEX(_ENGINE_Initiatives!$AB$5:$AB$76,MATCH($A180,_ENGINE_Initiatives!$BW$5:$BW$76,0))=3,10,IF(INDEX(_ENGINE_Initiatives!$AB$5:$AB$76,MATCH($A180,_ENGINE_Initiatives!$BW$5:$BW$76,0))=4,16,24)))*7)),1,""),"")</f>
      </c>
      <c r="H180" s="55">
        <f>IFERROR(IF(AND(H$162&gt;=IF(INDEX(_ENGINE_Initiatives!$BX$5:$BX$76,MATCH($A180,_ENGINE_Initiatives!$BW$5:$BW$76,0))="0-90 days",'Company Profile'!$B$6,IF(INDEX(_ENGINE_Initiatives!$BX$5:$BX$76,MATCH($A180,_ENGINE_Initiatives!$BW$5:$BW$76,0))="3-6 months",EDATE('Company Profile'!$B$6,3),IF(INDEX(_ENGINE_Initiatives!$BX$5:$BX$76,MATCH($A180,_ENGINE_Initiatives!$BW$5:$BW$76,0))="6-12 months",EDATE('Company Profile'!$B$6,6),EDATE('Company Profile'!$B$6,12)))),H$162&lt;=IF(INDEX(_ENGINE_Initiatives!$BX$5:$BX$76,MATCH($A180,_ENGINE_Initiatives!$BW$5:$BW$76,0))="0-90 days",'Company Profile'!$B$6,IF(INDEX(_ENGINE_Initiatives!$BX$5:$BX$76,MATCH($A180,_ENGINE_Initiatives!$BW$5:$BW$76,0))="3-6 months",EDATE('Company Profile'!$B$6,3),IF(INDEX(_ENGINE_Initiatives!$BX$5:$BX$76,MATCH($A180,_ENGINE_Initiatives!$BW$5:$BW$76,0))="6-12 months",EDATE('Company Profile'!$B$6,6),EDATE('Company Profile'!$B$6,12))))+(IF(INDEX(_ENGINE_Initiatives!$AB$5:$AB$76,MATCH($A180,_ENGINE_Initiatives!$BW$5:$BW$76,0))&lt;=2,6,IF(INDEX(_ENGINE_Initiatives!$AB$5:$AB$76,MATCH($A180,_ENGINE_Initiatives!$BW$5:$BW$76,0))=3,10,IF(INDEX(_ENGINE_Initiatives!$AB$5:$AB$76,MATCH($A180,_ENGINE_Initiatives!$BW$5:$BW$76,0))=4,16,24)))*7)),1,""),"")</f>
      </c>
      <c r="I180" s="55">
        <f>IFERROR(IF(AND(I$162&gt;=IF(INDEX(_ENGINE_Initiatives!$BX$5:$BX$76,MATCH($A180,_ENGINE_Initiatives!$BW$5:$BW$76,0))="0-90 days",'Company Profile'!$B$6,IF(INDEX(_ENGINE_Initiatives!$BX$5:$BX$76,MATCH($A180,_ENGINE_Initiatives!$BW$5:$BW$76,0))="3-6 months",EDATE('Company Profile'!$B$6,3),IF(INDEX(_ENGINE_Initiatives!$BX$5:$BX$76,MATCH($A180,_ENGINE_Initiatives!$BW$5:$BW$76,0))="6-12 months",EDATE('Company Profile'!$B$6,6),EDATE('Company Profile'!$B$6,12)))),I$162&lt;=IF(INDEX(_ENGINE_Initiatives!$BX$5:$BX$76,MATCH($A180,_ENGINE_Initiatives!$BW$5:$BW$76,0))="0-90 days",'Company Profile'!$B$6,IF(INDEX(_ENGINE_Initiatives!$BX$5:$BX$76,MATCH($A180,_ENGINE_Initiatives!$BW$5:$BW$76,0))="3-6 months",EDATE('Company Profile'!$B$6,3),IF(INDEX(_ENGINE_Initiatives!$BX$5:$BX$76,MATCH($A180,_ENGINE_Initiatives!$BW$5:$BW$76,0))="6-12 months",EDATE('Company Profile'!$B$6,6),EDATE('Company Profile'!$B$6,12))))+(IF(INDEX(_ENGINE_Initiatives!$AB$5:$AB$76,MATCH($A180,_ENGINE_Initiatives!$BW$5:$BW$76,0))&lt;=2,6,IF(INDEX(_ENGINE_Initiatives!$AB$5:$AB$76,MATCH($A180,_ENGINE_Initiatives!$BW$5:$BW$76,0))=3,10,IF(INDEX(_ENGINE_Initiatives!$AB$5:$AB$76,MATCH($A180,_ENGINE_Initiatives!$BW$5:$BW$76,0))=4,16,24)))*7)),1,""),"")</f>
      </c>
      <c r="J180" s="55">
        <f>IFERROR(IF(AND(J$162&gt;=IF(INDEX(_ENGINE_Initiatives!$BX$5:$BX$76,MATCH($A180,_ENGINE_Initiatives!$BW$5:$BW$76,0))="0-90 days",'Company Profile'!$B$6,IF(INDEX(_ENGINE_Initiatives!$BX$5:$BX$76,MATCH($A180,_ENGINE_Initiatives!$BW$5:$BW$76,0))="3-6 months",EDATE('Company Profile'!$B$6,3),IF(INDEX(_ENGINE_Initiatives!$BX$5:$BX$76,MATCH($A180,_ENGINE_Initiatives!$BW$5:$BW$76,0))="6-12 months",EDATE('Company Profile'!$B$6,6),EDATE('Company Profile'!$B$6,12)))),J$162&lt;=IF(INDEX(_ENGINE_Initiatives!$BX$5:$BX$76,MATCH($A180,_ENGINE_Initiatives!$BW$5:$BW$76,0))="0-90 days",'Company Profile'!$B$6,IF(INDEX(_ENGINE_Initiatives!$BX$5:$BX$76,MATCH($A180,_ENGINE_Initiatives!$BW$5:$BW$76,0))="3-6 months",EDATE('Company Profile'!$B$6,3),IF(INDEX(_ENGINE_Initiatives!$BX$5:$BX$76,MATCH($A180,_ENGINE_Initiatives!$BW$5:$BW$76,0))="6-12 months",EDATE('Company Profile'!$B$6,6),EDATE('Company Profile'!$B$6,12))))+(IF(INDEX(_ENGINE_Initiatives!$AB$5:$AB$76,MATCH($A180,_ENGINE_Initiatives!$BW$5:$BW$76,0))&lt;=2,6,IF(INDEX(_ENGINE_Initiatives!$AB$5:$AB$76,MATCH($A180,_ENGINE_Initiatives!$BW$5:$BW$76,0))=3,10,IF(INDEX(_ENGINE_Initiatives!$AB$5:$AB$76,MATCH($A180,_ENGINE_Initiatives!$BW$5:$BW$76,0))=4,16,24)))*7)),1,""),"")</f>
      </c>
      <c r="K180" s="55">
        <f>IFERROR(IF(AND(K$162&gt;=IF(INDEX(_ENGINE_Initiatives!$BX$5:$BX$76,MATCH($A180,_ENGINE_Initiatives!$BW$5:$BW$76,0))="0-90 days",'Company Profile'!$B$6,IF(INDEX(_ENGINE_Initiatives!$BX$5:$BX$76,MATCH($A180,_ENGINE_Initiatives!$BW$5:$BW$76,0))="3-6 months",EDATE('Company Profile'!$B$6,3),IF(INDEX(_ENGINE_Initiatives!$BX$5:$BX$76,MATCH($A180,_ENGINE_Initiatives!$BW$5:$BW$76,0))="6-12 months",EDATE('Company Profile'!$B$6,6),EDATE('Company Profile'!$B$6,12)))),K$162&lt;=IF(INDEX(_ENGINE_Initiatives!$BX$5:$BX$76,MATCH($A180,_ENGINE_Initiatives!$BW$5:$BW$76,0))="0-90 days",'Company Profile'!$B$6,IF(INDEX(_ENGINE_Initiatives!$BX$5:$BX$76,MATCH($A180,_ENGINE_Initiatives!$BW$5:$BW$76,0))="3-6 months",EDATE('Company Profile'!$B$6,3),IF(INDEX(_ENGINE_Initiatives!$BX$5:$BX$76,MATCH($A180,_ENGINE_Initiatives!$BW$5:$BW$76,0))="6-12 months",EDATE('Company Profile'!$B$6,6),EDATE('Company Profile'!$B$6,12))))+(IF(INDEX(_ENGINE_Initiatives!$AB$5:$AB$76,MATCH($A180,_ENGINE_Initiatives!$BW$5:$BW$76,0))&lt;=2,6,IF(INDEX(_ENGINE_Initiatives!$AB$5:$AB$76,MATCH($A180,_ENGINE_Initiatives!$BW$5:$BW$76,0))=3,10,IF(INDEX(_ENGINE_Initiatives!$AB$5:$AB$76,MATCH($A180,_ENGINE_Initiatives!$BW$5:$BW$76,0))=4,16,24)))*7)),1,""),"")</f>
      </c>
      <c r="L180" s="55">
        <f>IFERROR(IF(AND(L$162&gt;=IF(INDEX(_ENGINE_Initiatives!$BX$5:$BX$76,MATCH($A180,_ENGINE_Initiatives!$BW$5:$BW$76,0))="0-90 days",'Company Profile'!$B$6,IF(INDEX(_ENGINE_Initiatives!$BX$5:$BX$76,MATCH($A180,_ENGINE_Initiatives!$BW$5:$BW$76,0))="3-6 months",EDATE('Company Profile'!$B$6,3),IF(INDEX(_ENGINE_Initiatives!$BX$5:$BX$76,MATCH($A180,_ENGINE_Initiatives!$BW$5:$BW$76,0))="6-12 months",EDATE('Company Profile'!$B$6,6),EDATE('Company Profile'!$B$6,12)))),L$162&lt;=IF(INDEX(_ENGINE_Initiatives!$BX$5:$BX$76,MATCH($A180,_ENGINE_Initiatives!$BW$5:$BW$76,0))="0-90 days",'Company Profile'!$B$6,IF(INDEX(_ENGINE_Initiatives!$BX$5:$BX$76,MATCH($A180,_ENGINE_Initiatives!$BW$5:$BW$76,0))="3-6 months",EDATE('Company Profile'!$B$6,3),IF(INDEX(_ENGINE_Initiatives!$BX$5:$BX$76,MATCH($A180,_ENGINE_Initiatives!$BW$5:$BW$76,0))="6-12 months",EDATE('Company Profile'!$B$6,6),EDATE('Company Profile'!$B$6,12))))+(IF(INDEX(_ENGINE_Initiatives!$AB$5:$AB$76,MATCH($A180,_ENGINE_Initiatives!$BW$5:$BW$76,0))&lt;=2,6,IF(INDEX(_ENGINE_Initiatives!$AB$5:$AB$76,MATCH($A180,_ENGINE_Initiatives!$BW$5:$BW$76,0))=3,10,IF(INDEX(_ENGINE_Initiatives!$AB$5:$AB$76,MATCH($A180,_ENGINE_Initiatives!$BW$5:$BW$76,0))=4,16,24)))*7)),1,""),"")</f>
      </c>
      <c r="M180" s="55">
        <f>IFERROR(IF(AND(M$162&gt;=IF(INDEX(_ENGINE_Initiatives!$BX$5:$BX$76,MATCH($A180,_ENGINE_Initiatives!$BW$5:$BW$76,0))="0-90 days",'Company Profile'!$B$6,IF(INDEX(_ENGINE_Initiatives!$BX$5:$BX$76,MATCH($A180,_ENGINE_Initiatives!$BW$5:$BW$76,0))="3-6 months",EDATE('Company Profile'!$B$6,3),IF(INDEX(_ENGINE_Initiatives!$BX$5:$BX$76,MATCH($A180,_ENGINE_Initiatives!$BW$5:$BW$76,0))="6-12 months",EDATE('Company Profile'!$B$6,6),EDATE('Company Profile'!$B$6,12)))),M$162&lt;=IF(INDEX(_ENGINE_Initiatives!$BX$5:$BX$76,MATCH($A180,_ENGINE_Initiatives!$BW$5:$BW$76,0))="0-90 days",'Company Profile'!$B$6,IF(INDEX(_ENGINE_Initiatives!$BX$5:$BX$76,MATCH($A180,_ENGINE_Initiatives!$BW$5:$BW$76,0))="3-6 months",EDATE('Company Profile'!$B$6,3),IF(INDEX(_ENGINE_Initiatives!$BX$5:$BX$76,MATCH($A180,_ENGINE_Initiatives!$BW$5:$BW$76,0))="6-12 months",EDATE('Company Profile'!$B$6,6),EDATE('Company Profile'!$B$6,12))))+(IF(INDEX(_ENGINE_Initiatives!$AB$5:$AB$76,MATCH($A180,_ENGINE_Initiatives!$BW$5:$BW$76,0))&lt;=2,6,IF(INDEX(_ENGINE_Initiatives!$AB$5:$AB$76,MATCH($A180,_ENGINE_Initiatives!$BW$5:$BW$76,0))=3,10,IF(INDEX(_ENGINE_Initiatives!$AB$5:$AB$76,MATCH($A180,_ENGINE_Initiatives!$BW$5:$BW$76,0))=4,16,24)))*7)),1,""),"")</f>
      </c>
      <c r="N180" s="55">
        <f>IFERROR(IF(AND(N$162&gt;=IF(INDEX(_ENGINE_Initiatives!$BX$5:$BX$76,MATCH($A180,_ENGINE_Initiatives!$BW$5:$BW$76,0))="0-90 days",'Company Profile'!$B$6,IF(INDEX(_ENGINE_Initiatives!$BX$5:$BX$76,MATCH($A180,_ENGINE_Initiatives!$BW$5:$BW$76,0))="3-6 months",EDATE('Company Profile'!$B$6,3),IF(INDEX(_ENGINE_Initiatives!$BX$5:$BX$76,MATCH($A180,_ENGINE_Initiatives!$BW$5:$BW$76,0))="6-12 months",EDATE('Company Profile'!$B$6,6),EDATE('Company Profile'!$B$6,12)))),N$162&lt;=IF(INDEX(_ENGINE_Initiatives!$BX$5:$BX$76,MATCH($A180,_ENGINE_Initiatives!$BW$5:$BW$76,0))="0-90 days",'Company Profile'!$B$6,IF(INDEX(_ENGINE_Initiatives!$BX$5:$BX$76,MATCH($A180,_ENGINE_Initiatives!$BW$5:$BW$76,0))="3-6 months",EDATE('Company Profile'!$B$6,3),IF(INDEX(_ENGINE_Initiatives!$BX$5:$BX$76,MATCH($A180,_ENGINE_Initiatives!$BW$5:$BW$76,0))="6-12 months",EDATE('Company Profile'!$B$6,6),EDATE('Company Profile'!$B$6,12))))+(IF(INDEX(_ENGINE_Initiatives!$AB$5:$AB$76,MATCH($A180,_ENGINE_Initiatives!$BW$5:$BW$76,0))&lt;=2,6,IF(INDEX(_ENGINE_Initiatives!$AB$5:$AB$76,MATCH($A180,_ENGINE_Initiatives!$BW$5:$BW$76,0))=3,10,IF(INDEX(_ENGINE_Initiatives!$AB$5:$AB$76,MATCH($A180,_ENGINE_Initiatives!$BW$5:$BW$76,0))=4,16,24)))*7)),1,""),"")</f>
      </c>
      <c r="O180" s="55">
        <f>IFERROR(IF(AND(O$162&gt;=IF(INDEX(_ENGINE_Initiatives!$BX$5:$BX$76,MATCH($A180,_ENGINE_Initiatives!$BW$5:$BW$76,0))="0-90 days",'Company Profile'!$B$6,IF(INDEX(_ENGINE_Initiatives!$BX$5:$BX$76,MATCH($A180,_ENGINE_Initiatives!$BW$5:$BW$76,0))="3-6 months",EDATE('Company Profile'!$B$6,3),IF(INDEX(_ENGINE_Initiatives!$BX$5:$BX$76,MATCH($A180,_ENGINE_Initiatives!$BW$5:$BW$76,0))="6-12 months",EDATE('Company Profile'!$B$6,6),EDATE('Company Profile'!$B$6,12)))),O$162&lt;=IF(INDEX(_ENGINE_Initiatives!$BX$5:$BX$76,MATCH($A180,_ENGINE_Initiatives!$BW$5:$BW$76,0))="0-90 days",'Company Profile'!$B$6,IF(INDEX(_ENGINE_Initiatives!$BX$5:$BX$76,MATCH($A180,_ENGINE_Initiatives!$BW$5:$BW$76,0))="3-6 months",EDATE('Company Profile'!$B$6,3),IF(INDEX(_ENGINE_Initiatives!$BX$5:$BX$76,MATCH($A180,_ENGINE_Initiatives!$BW$5:$BW$76,0))="6-12 months",EDATE('Company Profile'!$B$6,6),EDATE('Company Profile'!$B$6,12))))+(IF(INDEX(_ENGINE_Initiatives!$AB$5:$AB$76,MATCH($A180,_ENGINE_Initiatives!$BW$5:$BW$76,0))&lt;=2,6,IF(INDEX(_ENGINE_Initiatives!$AB$5:$AB$76,MATCH($A180,_ENGINE_Initiatives!$BW$5:$BW$76,0))=3,10,IF(INDEX(_ENGINE_Initiatives!$AB$5:$AB$76,MATCH($A180,_ENGINE_Initiatives!$BW$5:$BW$76,0))=4,16,24)))*7)),1,""),"")</f>
      </c>
      <c r="P180" s="55">
        <f>IFERROR(IF(AND(P$162&gt;=IF(INDEX(_ENGINE_Initiatives!$BX$5:$BX$76,MATCH($A180,_ENGINE_Initiatives!$BW$5:$BW$76,0))="0-90 days",'Company Profile'!$B$6,IF(INDEX(_ENGINE_Initiatives!$BX$5:$BX$76,MATCH($A180,_ENGINE_Initiatives!$BW$5:$BW$76,0))="3-6 months",EDATE('Company Profile'!$B$6,3),IF(INDEX(_ENGINE_Initiatives!$BX$5:$BX$76,MATCH($A180,_ENGINE_Initiatives!$BW$5:$BW$76,0))="6-12 months",EDATE('Company Profile'!$B$6,6),EDATE('Company Profile'!$B$6,12)))),P$162&lt;=IF(INDEX(_ENGINE_Initiatives!$BX$5:$BX$76,MATCH($A180,_ENGINE_Initiatives!$BW$5:$BW$76,0))="0-90 days",'Company Profile'!$B$6,IF(INDEX(_ENGINE_Initiatives!$BX$5:$BX$76,MATCH($A180,_ENGINE_Initiatives!$BW$5:$BW$76,0))="3-6 months",EDATE('Company Profile'!$B$6,3),IF(INDEX(_ENGINE_Initiatives!$BX$5:$BX$76,MATCH($A180,_ENGINE_Initiatives!$BW$5:$BW$76,0))="6-12 months",EDATE('Company Profile'!$B$6,6),EDATE('Company Profile'!$B$6,12))))+(IF(INDEX(_ENGINE_Initiatives!$AB$5:$AB$76,MATCH($A180,_ENGINE_Initiatives!$BW$5:$BW$76,0))&lt;=2,6,IF(INDEX(_ENGINE_Initiatives!$AB$5:$AB$76,MATCH($A180,_ENGINE_Initiatives!$BW$5:$BW$76,0))=3,10,IF(INDEX(_ENGINE_Initiatives!$AB$5:$AB$76,MATCH($A180,_ENGINE_Initiatives!$BW$5:$BW$76,0))=4,16,24)))*7)),1,""),"")</f>
      </c>
      <c r="Q180" s="55">
        <f>IFERROR(IF(AND(Q$162&gt;=IF(INDEX(_ENGINE_Initiatives!$BX$5:$BX$76,MATCH($A180,_ENGINE_Initiatives!$BW$5:$BW$76,0))="0-90 days",'Company Profile'!$B$6,IF(INDEX(_ENGINE_Initiatives!$BX$5:$BX$76,MATCH($A180,_ENGINE_Initiatives!$BW$5:$BW$76,0))="3-6 months",EDATE('Company Profile'!$B$6,3),IF(INDEX(_ENGINE_Initiatives!$BX$5:$BX$76,MATCH($A180,_ENGINE_Initiatives!$BW$5:$BW$76,0))="6-12 months",EDATE('Company Profile'!$B$6,6),EDATE('Company Profile'!$B$6,12)))),Q$162&lt;=IF(INDEX(_ENGINE_Initiatives!$BX$5:$BX$76,MATCH($A180,_ENGINE_Initiatives!$BW$5:$BW$76,0))="0-90 days",'Company Profile'!$B$6,IF(INDEX(_ENGINE_Initiatives!$BX$5:$BX$76,MATCH($A180,_ENGINE_Initiatives!$BW$5:$BW$76,0))="3-6 months",EDATE('Company Profile'!$B$6,3),IF(INDEX(_ENGINE_Initiatives!$BX$5:$BX$76,MATCH($A180,_ENGINE_Initiatives!$BW$5:$BW$76,0))="6-12 months",EDATE('Company Profile'!$B$6,6),EDATE('Company Profile'!$B$6,12))))+(IF(INDEX(_ENGINE_Initiatives!$AB$5:$AB$76,MATCH($A180,_ENGINE_Initiatives!$BW$5:$BW$76,0))&lt;=2,6,IF(INDEX(_ENGINE_Initiatives!$AB$5:$AB$76,MATCH($A180,_ENGINE_Initiatives!$BW$5:$BW$76,0))=3,10,IF(INDEX(_ENGINE_Initiatives!$AB$5:$AB$76,MATCH($A180,_ENGINE_Initiatives!$BW$5:$BW$76,0))=4,16,24)))*7)),1,""),"")</f>
      </c>
      <c r="R180" s="55">
        <f>IFERROR(IF(AND(R$162&gt;=IF(INDEX(_ENGINE_Initiatives!$BX$5:$BX$76,MATCH($A180,_ENGINE_Initiatives!$BW$5:$BW$76,0))="0-90 days",'Company Profile'!$B$6,IF(INDEX(_ENGINE_Initiatives!$BX$5:$BX$76,MATCH($A180,_ENGINE_Initiatives!$BW$5:$BW$76,0))="3-6 months",EDATE('Company Profile'!$B$6,3),IF(INDEX(_ENGINE_Initiatives!$BX$5:$BX$76,MATCH($A180,_ENGINE_Initiatives!$BW$5:$BW$76,0))="6-12 months",EDATE('Company Profile'!$B$6,6),EDATE('Company Profile'!$B$6,12)))),R$162&lt;=IF(INDEX(_ENGINE_Initiatives!$BX$5:$BX$76,MATCH($A180,_ENGINE_Initiatives!$BW$5:$BW$76,0))="0-90 days",'Company Profile'!$B$6,IF(INDEX(_ENGINE_Initiatives!$BX$5:$BX$76,MATCH($A180,_ENGINE_Initiatives!$BW$5:$BW$76,0))="3-6 months",EDATE('Company Profile'!$B$6,3),IF(INDEX(_ENGINE_Initiatives!$BX$5:$BX$76,MATCH($A180,_ENGINE_Initiatives!$BW$5:$BW$76,0))="6-12 months",EDATE('Company Profile'!$B$6,6),EDATE('Company Profile'!$B$6,12))))+(IF(INDEX(_ENGINE_Initiatives!$AB$5:$AB$76,MATCH($A180,_ENGINE_Initiatives!$BW$5:$BW$76,0))&lt;=2,6,IF(INDEX(_ENGINE_Initiatives!$AB$5:$AB$76,MATCH($A180,_ENGINE_Initiatives!$BW$5:$BW$76,0))=3,10,IF(INDEX(_ENGINE_Initiatives!$AB$5:$AB$76,MATCH($A180,_ENGINE_Initiatives!$BW$5:$BW$76,0))=4,16,24)))*7)),1,""),"")</f>
      </c>
      <c r="S180" s="55">
        <f>IFERROR(IF(AND(S$162&gt;=IF(INDEX(_ENGINE_Initiatives!$BX$5:$BX$76,MATCH($A180,_ENGINE_Initiatives!$BW$5:$BW$76,0))="0-90 days",'Company Profile'!$B$6,IF(INDEX(_ENGINE_Initiatives!$BX$5:$BX$76,MATCH($A180,_ENGINE_Initiatives!$BW$5:$BW$76,0))="3-6 months",EDATE('Company Profile'!$B$6,3),IF(INDEX(_ENGINE_Initiatives!$BX$5:$BX$76,MATCH($A180,_ENGINE_Initiatives!$BW$5:$BW$76,0))="6-12 months",EDATE('Company Profile'!$B$6,6),EDATE('Company Profile'!$B$6,12)))),S$162&lt;=IF(INDEX(_ENGINE_Initiatives!$BX$5:$BX$76,MATCH($A180,_ENGINE_Initiatives!$BW$5:$BW$76,0))="0-90 days",'Company Profile'!$B$6,IF(INDEX(_ENGINE_Initiatives!$BX$5:$BX$76,MATCH($A180,_ENGINE_Initiatives!$BW$5:$BW$76,0))="3-6 months",EDATE('Company Profile'!$B$6,3),IF(INDEX(_ENGINE_Initiatives!$BX$5:$BX$76,MATCH($A180,_ENGINE_Initiatives!$BW$5:$BW$76,0))="6-12 months",EDATE('Company Profile'!$B$6,6),EDATE('Company Profile'!$B$6,12))))+(IF(INDEX(_ENGINE_Initiatives!$AB$5:$AB$76,MATCH($A180,_ENGINE_Initiatives!$BW$5:$BW$76,0))&lt;=2,6,IF(INDEX(_ENGINE_Initiatives!$AB$5:$AB$76,MATCH($A180,_ENGINE_Initiatives!$BW$5:$BW$76,0))=3,10,IF(INDEX(_ENGINE_Initiatives!$AB$5:$AB$76,MATCH($A180,_ENGINE_Initiatives!$BW$5:$BW$76,0))=4,16,24)))*7)),1,""),"")</f>
      </c>
      <c r="T180" s="55">
        <f>IFERROR(IF(AND(T$162&gt;=IF(INDEX(_ENGINE_Initiatives!$BX$5:$BX$76,MATCH($A180,_ENGINE_Initiatives!$BW$5:$BW$76,0))="0-90 days",'Company Profile'!$B$6,IF(INDEX(_ENGINE_Initiatives!$BX$5:$BX$76,MATCH($A180,_ENGINE_Initiatives!$BW$5:$BW$76,0))="3-6 months",EDATE('Company Profile'!$B$6,3),IF(INDEX(_ENGINE_Initiatives!$BX$5:$BX$76,MATCH($A180,_ENGINE_Initiatives!$BW$5:$BW$76,0))="6-12 months",EDATE('Company Profile'!$B$6,6),EDATE('Company Profile'!$B$6,12)))),T$162&lt;=IF(INDEX(_ENGINE_Initiatives!$BX$5:$BX$76,MATCH($A180,_ENGINE_Initiatives!$BW$5:$BW$76,0))="0-90 days",'Company Profile'!$B$6,IF(INDEX(_ENGINE_Initiatives!$BX$5:$BX$76,MATCH($A180,_ENGINE_Initiatives!$BW$5:$BW$76,0))="3-6 months",EDATE('Company Profile'!$B$6,3),IF(INDEX(_ENGINE_Initiatives!$BX$5:$BX$76,MATCH($A180,_ENGINE_Initiatives!$BW$5:$BW$76,0))="6-12 months",EDATE('Company Profile'!$B$6,6),EDATE('Company Profile'!$B$6,12))))+(IF(INDEX(_ENGINE_Initiatives!$AB$5:$AB$76,MATCH($A180,_ENGINE_Initiatives!$BW$5:$BW$76,0))&lt;=2,6,IF(INDEX(_ENGINE_Initiatives!$AB$5:$AB$76,MATCH($A180,_ENGINE_Initiatives!$BW$5:$BW$76,0))=3,10,IF(INDEX(_ENGINE_Initiatives!$AB$5:$AB$76,MATCH($A180,_ENGINE_Initiatives!$BW$5:$BW$76,0))=4,16,24)))*7)),1,""),"")</f>
      </c>
      <c r="U180" s="30" t="n"/>
      <c r="V180" s="30" t="n"/>
    </row>
    <row r="181" ht="15" customHeight="1" s="209">
      <c r="A181" s="51" t="inlineStr">
        <is>
          <t>19</t>
        </is>
      </c>
      <c r="B181" s="51">
        <f>IFERROR(INDEX(_ENGINE_Initiatives!$F$5:$F$76,MATCH($A181,_ENGINE_Initiatives!$BW$5:$BW$76,0)),"")</f>
      </c>
      <c r="C181" s="55">
        <f>IFERROR(IF(AND(C$162&gt;=IF(INDEX(_ENGINE_Initiatives!$BX$5:$BX$76,MATCH($A181,_ENGINE_Initiatives!$BW$5:$BW$76,0))="0-90 days",'Company Profile'!$B$6,IF(INDEX(_ENGINE_Initiatives!$BX$5:$BX$76,MATCH($A181,_ENGINE_Initiatives!$BW$5:$BW$76,0))="3-6 months",EDATE('Company Profile'!$B$6,3),IF(INDEX(_ENGINE_Initiatives!$BX$5:$BX$76,MATCH($A181,_ENGINE_Initiatives!$BW$5:$BW$76,0))="6-12 months",EDATE('Company Profile'!$B$6,6),EDATE('Company Profile'!$B$6,12)))),C$162&lt;=IF(INDEX(_ENGINE_Initiatives!$BX$5:$BX$76,MATCH($A181,_ENGINE_Initiatives!$BW$5:$BW$76,0))="0-90 days",'Company Profile'!$B$6,IF(INDEX(_ENGINE_Initiatives!$BX$5:$BX$76,MATCH($A181,_ENGINE_Initiatives!$BW$5:$BW$76,0))="3-6 months",EDATE('Company Profile'!$B$6,3),IF(INDEX(_ENGINE_Initiatives!$BX$5:$BX$76,MATCH($A181,_ENGINE_Initiatives!$BW$5:$BW$76,0))="6-12 months",EDATE('Company Profile'!$B$6,6),EDATE('Company Profile'!$B$6,12))))+(IF(INDEX(_ENGINE_Initiatives!$AB$5:$AB$76,MATCH($A181,_ENGINE_Initiatives!$BW$5:$BW$76,0))&lt;=2,6,IF(INDEX(_ENGINE_Initiatives!$AB$5:$AB$76,MATCH($A181,_ENGINE_Initiatives!$BW$5:$BW$76,0))=3,10,IF(INDEX(_ENGINE_Initiatives!$AB$5:$AB$76,MATCH($A181,_ENGINE_Initiatives!$BW$5:$BW$76,0))=4,16,24)))*7)),1,""),"")</f>
      </c>
      <c r="D181" s="55">
        <f>IFERROR(IF(AND(D$162&gt;=IF(INDEX(_ENGINE_Initiatives!$BX$5:$BX$76,MATCH($A181,_ENGINE_Initiatives!$BW$5:$BW$76,0))="0-90 days",'Company Profile'!$B$6,IF(INDEX(_ENGINE_Initiatives!$BX$5:$BX$76,MATCH($A181,_ENGINE_Initiatives!$BW$5:$BW$76,0))="3-6 months",EDATE('Company Profile'!$B$6,3),IF(INDEX(_ENGINE_Initiatives!$BX$5:$BX$76,MATCH($A181,_ENGINE_Initiatives!$BW$5:$BW$76,0))="6-12 months",EDATE('Company Profile'!$B$6,6),EDATE('Company Profile'!$B$6,12)))),D$162&lt;=IF(INDEX(_ENGINE_Initiatives!$BX$5:$BX$76,MATCH($A181,_ENGINE_Initiatives!$BW$5:$BW$76,0))="0-90 days",'Company Profile'!$B$6,IF(INDEX(_ENGINE_Initiatives!$BX$5:$BX$76,MATCH($A181,_ENGINE_Initiatives!$BW$5:$BW$76,0))="3-6 months",EDATE('Company Profile'!$B$6,3),IF(INDEX(_ENGINE_Initiatives!$BX$5:$BX$76,MATCH($A181,_ENGINE_Initiatives!$BW$5:$BW$76,0))="6-12 months",EDATE('Company Profile'!$B$6,6),EDATE('Company Profile'!$B$6,12))))+(IF(INDEX(_ENGINE_Initiatives!$AB$5:$AB$76,MATCH($A181,_ENGINE_Initiatives!$BW$5:$BW$76,0))&lt;=2,6,IF(INDEX(_ENGINE_Initiatives!$AB$5:$AB$76,MATCH($A181,_ENGINE_Initiatives!$BW$5:$BW$76,0))=3,10,IF(INDEX(_ENGINE_Initiatives!$AB$5:$AB$76,MATCH($A181,_ENGINE_Initiatives!$BW$5:$BW$76,0))=4,16,24)))*7)),1,""),"")</f>
      </c>
      <c r="E181" s="55">
        <f>IFERROR(IF(AND(E$162&gt;=IF(INDEX(_ENGINE_Initiatives!$BX$5:$BX$76,MATCH($A181,_ENGINE_Initiatives!$BW$5:$BW$76,0))="0-90 days",'Company Profile'!$B$6,IF(INDEX(_ENGINE_Initiatives!$BX$5:$BX$76,MATCH($A181,_ENGINE_Initiatives!$BW$5:$BW$76,0))="3-6 months",EDATE('Company Profile'!$B$6,3),IF(INDEX(_ENGINE_Initiatives!$BX$5:$BX$76,MATCH($A181,_ENGINE_Initiatives!$BW$5:$BW$76,0))="6-12 months",EDATE('Company Profile'!$B$6,6),EDATE('Company Profile'!$B$6,12)))),E$162&lt;=IF(INDEX(_ENGINE_Initiatives!$BX$5:$BX$76,MATCH($A181,_ENGINE_Initiatives!$BW$5:$BW$76,0))="0-90 days",'Company Profile'!$B$6,IF(INDEX(_ENGINE_Initiatives!$BX$5:$BX$76,MATCH($A181,_ENGINE_Initiatives!$BW$5:$BW$76,0))="3-6 months",EDATE('Company Profile'!$B$6,3),IF(INDEX(_ENGINE_Initiatives!$BX$5:$BX$76,MATCH($A181,_ENGINE_Initiatives!$BW$5:$BW$76,0))="6-12 months",EDATE('Company Profile'!$B$6,6),EDATE('Company Profile'!$B$6,12))))+(IF(INDEX(_ENGINE_Initiatives!$AB$5:$AB$76,MATCH($A181,_ENGINE_Initiatives!$BW$5:$BW$76,0))&lt;=2,6,IF(INDEX(_ENGINE_Initiatives!$AB$5:$AB$76,MATCH($A181,_ENGINE_Initiatives!$BW$5:$BW$76,0))=3,10,IF(INDEX(_ENGINE_Initiatives!$AB$5:$AB$76,MATCH($A181,_ENGINE_Initiatives!$BW$5:$BW$76,0))=4,16,24)))*7)),1,""),"")</f>
      </c>
      <c r="F181" s="55">
        <f>IFERROR(IF(AND(F$162&gt;=IF(INDEX(_ENGINE_Initiatives!$BX$5:$BX$76,MATCH($A181,_ENGINE_Initiatives!$BW$5:$BW$76,0))="0-90 days",'Company Profile'!$B$6,IF(INDEX(_ENGINE_Initiatives!$BX$5:$BX$76,MATCH($A181,_ENGINE_Initiatives!$BW$5:$BW$76,0))="3-6 months",EDATE('Company Profile'!$B$6,3),IF(INDEX(_ENGINE_Initiatives!$BX$5:$BX$76,MATCH($A181,_ENGINE_Initiatives!$BW$5:$BW$76,0))="6-12 months",EDATE('Company Profile'!$B$6,6),EDATE('Company Profile'!$B$6,12)))),F$162&lt;=IF(INDEX(_ENGINE_Initiatives!$BX$5:$BX$76,MATCH($A181,_ENGINE_Initiatives!$BW$5:$BW$76,0))="0-90 days",'Company Profile'!$B$6,IF(INDEX(_ENGINE_Initiatives!$BX$5:$BX$76,MATCH($A181,_ENGINE_Initiatives!$BW$5:$BW$76,0))="3-6 months",EDATE('Company Profile'!$B$6,3),IF(INDEX(_ENGINE_Initiatives!$BX$5:$BX$76,MATCH($A181,_ENGINE_Initiatives!$BW$5:$BW$76,0))="6-12 months",EDATE('Company Profile'!$B$6,6),EDATE('Company Profile'!$B$6,12))))+(IF(INDEX(_ENGINE_Initiatives!$AB$5:$AB$76,MATCH($A181,_ENGINE_Initiatives!$BW$5:$BW$76,0))&lt;=2,6,IF(INDEX(_ENGINE_Initiatives!$AB$5:$AB$76,MATCH($A181,_ENGINE_Initiatives!$BW$5:$BW$76,0))=3,10,IF(INDEX(_ENGINE_Initiatives!$AB$5:$AB$76,MATCH($A181,_ENGINE_Initiatives!$BW$5:$BW$76,0))=4,16,24)))*7)),1,""),"")</f>
      </c>
      <c r="G181" s="55">
        <f>IFERROR(IF(AND(G$162&gt;=IF(INDEX(_ENGINE_Initiatives!$BX$5:$BX$76,MATCH($A181,_ENGINE_Initiatives!$BW$5:$BW$76,0))="0-90 days",'Company Profile'!$B$6,IF(INDEX(_ENGINE_Initiatives!$BX$5:$BX$76,MATCH($A181,_ENGINE_Initiatives!$BW$5:$BW$76,0))="3-6 months",EDATE('Company Profile'!$B$6,3),IF(INDEX(_ENGINE_Initiatives!$BX$5:$BX$76,MATCH($A181,_ENGINE_Initiatives!$BW$5:$BW$76,0))="6-12 months",EDATE('Company Profile'!$B$6,6),EDATE('Company Profile'!$B$6,12)))),G$162&lt;=IF(INDEX(_ENGINE_Initiatives!$BX$5:$BX$76,MATCH($A181,_ENGINE_Initiatives!$BW$5:$BW$76,0))="0-90 days",'Company Profile'!$B$6,IF(INDEX(_ENGINE_Initiatives!$BX$5:$BX$76,MATCH($A181,_ENGINE_Initiatives!$BW$5:$BW$76,0))="3-6 months",EDATE('Company Profile'!$B$6,3),IF(INDEX(_ENGINE_Initiatives!$BX$5:$BX$76,MATCH($A181,_ENGINE_Initiatives!$BW$5:$BW$76,0))="6-12 months",EDATE('Company Profile'!$B$6,6),EDATE('Company Profile'!$B$6,12))))+(IF(INDEX(_ENGINE_Initiatives!$AB$5:$AB$76,MATCH($A181,_ENGINE_Initiatives!$BW$5:$BW$76,0))&lt;=2,6,IF(INDEX(_ENGINE_Initiatives!$AB$5:$AB$76,MATCH($A181,_ENGINE_Initiatives!$BW$5:$BW$76,0))=3,10,IF(INDEX(_ENGINE_Initiatives!$AB$5:$AB$76,MATCH($A181,_ENGINE_Initiatives!$BW$5:$BW$76,0))=4,16,24)))*7)),1,""),"")</f>
      </c>
      <c r="H181" s="55">
        <f>IFERROR(IF(AND(H$162&gt;=IF(INDEX(_ENGINE_Initiatives!$BX$5:$BX$76,MATCH($A181,_ENGINE_Initiatives!$BW$5:$BW$76,0))="0-90 days",'Company Profile'!$B$6,IF(INDEX(_ENGINE_Initiatives!$BX$5:$BX$76,MATCH($A181,_ENGINE_Initiatives!$BW$5:$BW$76,0))="3-6 months",EDATE('Company Profile'!$B$6,3),IF(INDEX(_ENGINE_Initiatives!$BX$5:$BX$76,MATCH($A181,_ENGINE_Initiatives!$BW$5:$BW$76,0))="6-12 months",EDATE('Company Profile'!$B$6,6),EDATE('Company Profile'!$B$6,12)))),H$162&lt;=IF(INDEX(_ENGINE_Initiatives!$BX$5:$BX$76,MATCH($A181,_ENGINE_Initiatives!$BW$5:$BW$76,0))="0-90 days",'Company Profile'!$B$6,IF(INDEX(_ENGINE_Initiatives!$BX$5:$BX$76,MATCH($A181,_ENGINE_Initiatives!$BW$5:$BW$76,0))="3-6 months",EDATE('Company Profile'!$B$6,3),IF(INDEX(_ENGINE_Initiatives!$BX$5:$BX$76,MATCH($A181,_ENGINE_Initiatives!$BW$5:$BW$76,0))="6-12 months",EDATE('Company Profile'!$B$6,6),EDATE('Company Profile'!$B$6,12))))+(IF(INDEX(_ENGINE_Initiatives!$AB$5:$AB$76,MATCH($A181,_ENGINE_Initiatives!$BW$5:$BW$76,0))&lt;=2,6,IF(INDEX(_ENGINE_Initiatives!$AB$5:$AB$76,MATCH($A181,_ENGINE_Initiatives!$BW$5:$BW$76,0))=3,10,IF(INDEX(_ENGINE_Initiatives!$AB$5:$AB$76,MATCH($A181,_ENGINE_Initiatives!$BW$5:$BW$76,0))=4,16,24)))*7)),1,""),"")</f>
      </c>
      <c r="I181" s="55">
        <f>IFERROR(IF(AND(I$162&gt;=IF(INDEX(_ENGINE_Initiatives!$BX$5:$BX$76,MATCH($A181,_ENGINE_Initiatives!$BW$5:$BW$76,0))="0-90 days",'Company Profile'!$B$6,IF(INDEX(_ENGINE_Initiatives!$BX$5:$BX$76,MATCH($A181,_ENGINE_Initiatives!$BW$5:$BW$76,0))="3-6 months",EDATE('Company Profile'!$B$6,3),IF(INDEX(_ENGINE_Initiatives!$BX$5:$BX$76,MATCH($A181,_ENGINE_Initiatives!$BW$5:$BW$76,0))="6-12 months",EDATE('Company Profile'!$B$6,6),EDATE('Company Profile'!$B$6,12)))),I$162&lt;=IF(INDEX(_ENGINE_Initiatives!$BX$5:$BX$76,MATCH($A181,_ENGINE_Initiatives!$BW$5:$BW$76,0))="0-90 days",'Company Profile'!$B$6,IF(INDEX(_ENGINE_Initiatives!$BX$5:$BX$76,MATCH($A181,_ENGINE_Initiatives!$BW$5:$BW$76,0))="3-6 months",EDATE('Company Profile'!$B$6,3),IF(INDEX(_ENGINE_Initiatives!$BX$5:$BX$76,MATCH($A181,_ENGINE_Initiatives!$BW$5:$BW$76,0))="6-12 months",EDATE('Company Profile'!$B$6,6),EDATE('Company Profile'!$B$6,12))))+(IF(INDEX(_ENGINE_Initiatives!$AB$5:$AB$76,MATCH($A181,_ENGINE_Initiatives!$BW$5:$BW$76,0))&lt;=2,6,IF(INDEX(_ENGINE_Initiatives!$AB$5:$AB$76,MATCH($A181,_ENGINE_Initiatives!$BW$5:$BW$76,0))=3,10,IF(INDEX(_ENGINE_Initiatives!$AB$5:$AB$76,MATCH($A181,_ENGINE_Initiatives!$BW$5:$BW$76,0))=4,16,24)))*7)),1,""),"")</f>
      </c>
      <c r="J181" s="55">
        <f>IFERROR(IF(AND(J$162&gt;=IF(INDEX(_ENGINE_Initiatives!$BX$5:$BX$76,MATCH($A181,_ENGINE_Initiatives!$BW$5:$BW$76,0))="0-90 days",'Company Profile'!$B$6,IF(INDEX(_ENGINE_Initiatives!$BX$5:$BX$76,MATCH($A181,_ENGINE_Initiatives!$BW$5:$BW$76,0))="3-6 months",EDATE('Company Profile'!$B$6,3),IF(INDEX(_ENGINE_Initiatives!$BX$5:$BX$76,MATCH($A181,_ENGINE_Initiatives!$BW$5:$BW$76,0))="6-12 months",EDATE('Company Profile'!$B$6,6),EDATE('Company Profile'!$B$6,12)))),J$162&lt;=IF(INDEX(_ENGINE_Initiatives!$BX$5:$BX$76,MATCH($A181,_ENGINE_Initiatives!$BW$5:$BW$76,0))="0-90 days",'Company Profile'!$B$6,IF(INDEX(_ENGINE_Initiatives!$BX$5:$BX$76,MATCH($A181,_ENGINE_Initiatives!$BW$5:$BW$76,0))="3-6 months",EDATE('Company Profile'!$B$6,3),IF(INDEX(_ENGINE_Initiatives!$BX$5:$BX$76,MATCH($A181,_ENGINE_Initiatives!$BW$5:$BW$76,0))="6-12 months",EDATE('Company Profile'!$B$6,6),EDATE('Company Profile'!$B$6,12))))+(IF(INDEX(_ENGINE_Initiatives!$AB$5:$AB$76,MATCH($A181,_ENGINE_Initiatives!$BW$5:$BW$76,0))&lt;=2,6,IF(INDEX(_ENGINE_Initiatives!$AB$5:$AB$76,MATCH($A181,_ENGINE_Initiatives!$BW$5:$BW$76,0))=3,10,IF(INDEX(_ENGINE_Initiatives!$AB$5:$AB$76,MATCH($A181,_ENGINE_Initiatives!$BW$5:$BW$76,0))=4,16,24)))*7)),1,""),"")</f>
      </c>
      <c r="K181" s="55">
        <f>IFERROR(IF(AND(K$162&gt;=IF(INDEX(_ENGINE_Initiatives!$BX$5:$BX$76,MATCH($A181,_ENGINE_Initiatives!$BW$5:$BW$76,0))="0-90 days",'Company Profile'!$B$6,IF(INDEX(_ENGINE_Initiatives!$BX$5:$BX$76,MATCH($A181,_ENGINE_Initiatives!$BW$5:$BW$76,0))="3-6 months",EDATE('Company Profile'!$B$6,3),IF(INDEX(_ENGINE_Initiatives!$BX$5:$BX$76,MATCH($A181,_ENGINE_Initiatives!$BW$5:$BW$76,0))="6-12 months",EDATE('Company Profile'!$B$6,6),EDATE('Company Profile'!$B$6,12)))),K$162&lt;=IF(INDEX(_ENGINE_Initiatives!$BX$5:$BX$76,MATCH($A181,_ENGINE_Initiatives!$BW$5:$BW$76,0))="0-90 days",'Company Profile'!$B$6,IF(INDEX(_ENGINE_Initiatives!$BX$5:$BX$76,MATCH($A181,_ENGINE_Initiatives!$BW$5:$BW$76,0))="3-6 months",EDATE('Company Profile'!$B$6,3),IF(INDEX(_ENGINE_Initiatives!$BX$5:$BX$76,MATCH($A181,_ENGINE_Initiatives!$BW$5:$BW$76,0))="6-12 months",EDATE('Company Profile'!$B$6,6),EDATE('Company Profile'!$B$6,12))))+(IF(INDEX(_ENGINE_Initiatives!$AB$5:$AB$76,MATCH($A181,_ENGINE_Initiatives!$BW$5:$BW$76,0))&lt;=2,6,IF(INDEX(_ENGINE_Initiatives!$AB$5:$AB$76,MATCH($A181,_ENGINE_Initiatives!$BW$5:$BW$76,0))=3,10,IF(INDEX(_ENGINE_Initiatives!$AB$5:$AB$76,MATCH($A181,_ENGINE_Initiatives!$BW$5:$BW$76,0))=4,16,24)))*7)),1,""),"")</f>
      </c>
      <c r="L181" s="55">
        <f>IFERROR(IF(AND(L$162&gt;=IF(INDEX(_ENGINE_Initiatives!$BX$5:$BX$76,MATCH($A181,_ENGINE_Initiatives!$BW$5:$BW$76,0))="0-90 days",'Company Profile'!$B$6,IF(INDEX(_ENGINE_Initiatives!$BX$5:$BX$76,MATCH($A181,_ENGINE_Initiatives!$BW$5:$BW$76,0))="3-6 months",EDATE('Company Profile'!$B$6,3),IF(INDEX(_ENGINE_Initiatives!$BX$5:$BX$76,MATCH($A181,_ENGINE_Initiatives!$BW$5:$BW$76,0))="6-12 months",EDATE('Company Profile'!$B$6,6),EDATE('Company Profile'!$B$6,12)))),L$162&lt;=IF(INDEX(_ENGINE_Initiatives!$BX$5:$BX$76,MATCH($A181,_ENGINE_Initiatives!$BW$5:$BW$76,0))="0-90 days",'Company Profile'!$B$6,IF(INDEX(_ENGINE_Initiatives!$BX$5:$BX$76,MATCH($A181,_ENGINE_Initiatives!$BW$5:$BW$76,0))="3-6 months",EDATE('Company Profile'!$B$6,3),IF(INDEX(_ENGINE_Initiatives!$BX$5:$BX$76,MATCH($A181,_ENGINE_Initiatives!$BW$5:$BW$76,0))="6-12 months",EDATE('Company Profile'!$B$6,6),EDATE('Company Profile'!$B$6,12))))+(IF(INDEX(_ENGINE_Initiatives!$AB$5:$AB$76,MATCH($A181,_ENGINE_Initiatives!$BW$5:$BW$76,0))&lt;=2,6,IF(INDEX(_ENGINE_Initiatives!$AB$5:$AB$76,MATCH($A181,_ENGINE_Initiatives!$BW$5:$BW$76,0))=3,10,IF(INDEX(_ENGINE_Initiatives!$AB$5:$AB$76,MATCH($A181,_ENGINE_Initiatives!$BW$5:$BW$76,0))=4,16,24)))*7)),1,""),"")</f>
      </c>
      <c r="M181" s="55">
        <f>IFERROR(IF(AND(M$162&gt;=IF(INDEX(_ENGINE_Initiatives!$BX$5:$BX$76,MATCH($A181,_ENGINE_Initiatives!$BW$5:$BW$76,0))="0-90 days",'Company Profile'!$B$6,IF(INDEX(_ENGINE_Initiatives!$BX$5:$BX$76,MATCH($A181,_ENGINE_Initiatives!$BW$5:$BW$76,0))="3-6 months",EDATE('Company Profile'!$B$6,3),IF(INDEX(_ENGINE_Initiatives!$BX$5:$BX$76,MATCH($A181,_ENGINE_Initiatives!$BW$5:$BW$76,0))="6-12 months",EDATE('Company Profile'!$B$6,6),EDATE('Company Profile'!$B$6,12)))),M$162&lt;=IF(INDEX(_ENGINE_Initiatives!$BX$5:$BX$76,MATCH($A181,_ENGINE_Initiatives!$BW$5:$BW$76,0))="0-90 days",'Company Profile'!$B$6,IF(INDEX(_ENGINE_Initiatives!$BX$5:$BX$76,MATCH($A181,_ENGINE_Initiatives!$BW$5:$BW$76,0))="3-6 months",EDATE('Company Profile'!$B$6,3),IF(INDEX(_ENGINE_Initiatives!$BX$5:$BX$76,MATCH($A181,_ENGINE_Initiatives!$BW$5:$BW$76,0))="6-12 months",EDATE('Company Profile'!$B$6,6),EDATE('Company Profile'!$B$6,12))))+(IF(INDEX(_ENGINE_Initiatives!$AB$5:$AB$76,MATCH($A181,_ENGINE_Initiatives!$BW$5:$BW$76,0))&lt;=2,6,IF(INDEX(_ENGINE_Initiatives!$AB$5:$AB$76,MATCH($A181,_ENGINE_Initiatives!$BW$5:$BW$76,0))=3,10,IF(INDEX(_ENGINE_Initiatives!$AB$5:$AB$76,MATCH($A181,_ENGINE_Initiatives!$BW$5:$BW$76,0))=4,16,24)))*7)),1,""),"")</f>
      </c>
      <c r="N181" s="55">
        <f>IFERROR(IF(AND(N$162&gt;=IF(INDEX(_ENGINE_Initiatives!$BX$5:$BX$76,MATCH($A181,_ENGINE_Initiatives!$BW$5:$BW$76,0))="0-90 days",'Company Profile'!$B$6,IF(INDEX(_ENGINE_Initiatives!$BX$5:$BX$76,MATCH($A181,_ENGINE_Initiatives!$BW$5:$BW$76,0))="3-6 months",EDATE('Company Profile'!$B$6,3),IF(INDEX(_ENGINE_Initiatives!$BX$5:$BX$76,MATCH($A181,_ENGINE_Initiatives!$BW$5:$BW$76,0))="6-12 months",EDATE('Company Profile'!$B$6,6),EDATE('Company Profile'!$B$6,12)))),N$162&lt;=IF(INDEX(_ENGINE_Initiatives!$BX$5:$BX$76,MATCH($A181,_ENGINE_Initiatives!$BW$5:$BW$76,0))="0-90 days",'Company Profile'!$B$6,IF(INDEX(_ENGINE_Initiatives!$BX$5:$BX$76,MATCH($A181,_ENGINE_Initiatives!$BW$5:$BW$76,0))="3-6 months",EDATE('Company Profile'!$B$6,3),IF(INDEX(_ENGINE_Initiatives!$BX$5:$BX$76,MATCH($A181,_ENGINE_Initiatives!$BW$5:$BW$76,0))="6-12 months",EDATE('Company Profile'!$B$6,6),EDATE('Company Profile'!$B$6,12))))+(IF(INDEX(_ENGINE_Initiatives!$AB$5:$AB$76,MATCH($A181,_ENGINE_Initiatives!$BW$5:$BW$76,0))&lt;=2,6,IF(INDEX(_ENGINE_Initiatives!$AB$5:$AB$76,MATCH($A181,_ENGINE_Initiatives!$BW$5:$BW$76,0))=3,10,IF(INDEX(_ENGINE_Initiatives!$AB$5:$AB$76,MATCH($A181,_ENGINE_Initiatives!$BW$5:$BW$76,0))=4,16,24)))*7)),1,""),"")</f>
      </c>
      <c r="O181" s="55">
        <f>IFERROR(IF(AND(O$162&gt;=IF(INDEX(_ENGINE_Initiatives!$BX$5:$BX$76,MATCH($A181,_ENGINE_Initiatives!$BW$5:$BW$76,0))="0-90 days",'Company Profile'!$B$6,IF(INDEX(_ENGINE_Initiatives!$BX$5:$BX$76,MATCH($A181,_ENGINE_Initiatives!$BW$5:$BW$76,0))="3-6 months",EDATE('Company Profile'!$B$6,3),IF(INDEX(_ENGINE_Initiatives!$BX$5:$BX$76,MATCH($A181,_ENGINE_Initiatives!$BW$5:$BW$76,0))="6-12 months",EDATE('Company Profile'!$B$6,6),EDATE('Company Profile'!$B$6,12)))),O$162&lt;=IF(INDEX(_ENGINE_Initiatives!$BX$5:$BX$76,MATCH($A181,_ENGINE_Initiatives!$BW$5:$BW$76,0))="0-90 days",'Company Profile'!$B$6,IF(INDEX(_ENGINE_Initiatives!$BX$5:$BX$76,MATCH($A181,_ENGINE_Initiatives!$BW$5:$BW$76,0))="3-6 months",EDATE('Company Profile'!$B$6,3),IF(INDEX(_ENGINE_Initiatives!$BX$5:$BX$76,MATCH($A181,_ENGINE_Initiatives!$BW$5:$BW$76,0))="6-12 months",EDATE('Company Profile'!$B$6,6),EDATE('Company Profile'!$B$6,12))))+(IF(INDEX(_ENGINE_Initiatives!$AB$5:$AB$76,MATCH($A181,_ENGINE_Initiatives!$BW$5:$BW$76,0))&lt;=2,6,IF(INDEX(_ENGINE_Initiatives!$AB$5:$AB$76,MATCH($A181,_ENGINE_Initiatives!$BW$5:$BW$76,0))=3,10,IF(INDEX(_ENGINE_Initiatives!$AB$5:$AB$76,MATCH($A181,_ENGINE_Initiatives!$BW$5:$BW$76,0))=4,16,24)))*7)),1,""),"")</f>
      </c>
      <c r="P181" s="55">
        <f>IFERROR(IF(AND(P$162&gt;=IF(INDEX(_ENGINE_Initiatives!$BX$5:$BX$76,MATCH($A181,_ENGINE_Initiatives!$BW$5:$BW$76,0))="0-90 days",'Company Profile'!$B$6,IF(INDEX(_ENGINE_Initiatives!$BX$5:$BX$76,MATCH($A181,_ENGINE_Initiatives!$BW$5:$BW$76,0))="3-6 months",EDATE('Company Profile'!$B$6,3),IF(INDEX(_ENGINE_Initiatives!$BX$5:$BX$76,MATCH($A181,_ENGINE_Initiatives!$BW$5:$BW$76,0))="6-12 months",EDATE('Company Profile'!$B$6,6),EDATE('Company Profile'!$B$6,12)))),P$162&lt;=IF(INDEX(_ENGINE_Initiatives!$BX$5:$BX$76,MATCH($A181,_ENGINE_Initiatives!$BW$5:$BW$76,0))="0-90 days",'Company Profile'!$B$6,IF(INDEX(_ENGINE_Initiatives!$BX$5:$BX$76,MATCH($A181,_ENGINE_Initiatives!$BW$5:$BW$76,0))="3-6 months",EDATE('Company Profile'!$B$6,3),IF(INDEX(_ENGINE_Initiatives!$BX$5:$BX$76,MATCH($A181,_ENGINE_Initiatives!$BW$5:$BW$76,0))="6-12 months",EDATE('Company Profile'!$B$6,6),EDATE('Company Profile'!$B$6,12))))+(IF(INDEX(_ENGINE_Initiatives!$AB$5:$AB$76,MATCH($A181,_ENGINE_Initiatives!$BW$5:$BW$76,0))&lt;=2,6,IF(INDEX(_ENGINE_Initiatives!$AB$5:$AB$76,MATCH($A181,_ENGINE_Initiatives!$BW$5:$BW$76,0))=3,10,IF(INDEX(_ENGINE_Initiatives!$AB$5:$AB$76,MATCH($A181,_ENGINE_Initiatives!$BW$5:$BW$76,0))=4,16,24)))*7)),1,""),"")</f>
      </c>
      <c r="Q181" s="55">
        <f>IFERROR(IF(AND(Q$162&gt;=IF(INDEX(_ENGINE_Initiatives!$BX$5:$BX$76,MATCH($A181,_ENGINE_Initiatives!$BW$5:$BW$76,0))="0-90 days",'Company Profile'!$B$6,IF(INDEX(_ENGINE_Initiatives!$BX$5:$BX$76,MATCH($A181,_ENGINE_Initiatives!$BW$5:$BW$76,0))="3-6 months",EDATE('Company Profile'!$B$6,3),IF(INDEX(_ENGINE_Initiatives!$BX$5:$BX$76,MATCH($A181,_ENGINE_Initiatives!$BW$5:$BW$76,0))="6-12 months",EDATE('Company Profile'!$B$6,6),EDATE('Company Profile'!$B$6,12)))),Q$162&lt;=IF(INDEX(_ENGINE_Initiatives!$BX$5:$BX$76,MATCH($A181,_ENGINE_Initiatives!$BW$5:$BW$76,0))="0-90 days",'Company Profile'!$B$6,IF(INDEX(_ENGINE_Initiatives!$BX$5:$BX$76,MATCH($A181,_ENGINE_Initiatives!$BW$5:$BW$76,0))="3-6 months",EDATE('Company Profile'!$B$6,3),IF(INDEX(_ENGINE_Initiatives!$BX$5:$BX$76,MATCH($A181,_ENGINE_Initiatives!$BW$5:$BW$76,0))="6-12 months",EDATE('Company Profile'!$B$6,6),EDATE('Company Profile'!$B$6,12))))+(IF(INDEX(_ENGINE_Initiatives!$AB$5:$AB$76,MATCH($A181,_ENGINE_Initiatives!$BW$5:$BW$76,0))&lt;=2,6,IF(INDEX(_ENGINE_Initiatives!$AB$5:$AB$76,MATCH($A181,_ENGINE_Initiatives!$BW$5:$BW$76,0))=3,10,IF(INDEX(_ENGINE_Initiatives!$AB$5:$AB$76,MATCH($A181,_ENGINE_Initiatives!$BW$5:$BW$76,0))=4,16,24)))*7)),1,""),"")</f>
      </c>
      <c r="R181" s="55">
        <f>IFERROR(IF(AND(R$162&gt;=IF(INDEX(_ENGINE_Initiatives!$BX$5:$BX$76,MATCH($A181,_ENGINE_Initiatives!$BW$5:$BW$76,0))="0-90 days",'Company Profile'!$B$6,IF(INDEX(_ENGINE_Initiatives!$BX$5:$BX$76,MATCH($A181,_ENGINE_Initiatives!$BW$5:$BW$76,0))="3-6 months",EDATE('Company Profile'!$B$6,3),IF(INDEX(_ENGINE_Initiatives!$BX$5:$BX$76,MATCH($A181,_ENGINE_Initiatives!$BW$5:$BW$76,0))="6-12 months",EDATE('Company Profile'!$B$6,6),EDATE('Company Profile'!$B$6,12)))),R$162&lt;=IF(INDEX(_ENGINE_Initiatives!$BX$5:$BX$76,MATCH($A181,_ENGINE_Initiatives!$BW$5:$BW$76,0))="0-90 days",'Company Profile'!$B$6,IF(INDEX(_ENGINE_Initiatives!$BX$5:$BX$76,MATCH($A181,_ENGINE_Initiatives!$BW$5:$BW$76,0))="3-6 months",EDATE('Company Profile'!$B$6,3),IF(INDEX(_ENGINE_Initiatives!$BX$5:$BX$76,MATCH($A181,_ENGINE_Initiatives!$BW$5:$BW$76,0))="6-12 months",EDATE('Company Profile'!$B$6,6),EDATE('Company Profile'!$B$6,12))))+(IF(INDEX(_ENGINE_Initiatives!$AB$5:$AB$76,MATCH($A181,_ENGINE_Initiatives!$BW$5:$BW$76,0))&lt;=2,6,IF(INDEX(_ENGINE_Initiatives!$AB$5:$AB$76,MATCH($A181,_ENGINE_Initiatives!$BW$5:$BW$76,0))=3,10,IF(INDEX(_ENGINE_Initiatives!$AB$5:$AB$76,MATCH($A181,_ENGINE_Initiatives!$BW$5:$BW$76,0))=4,16,24)))*7)),1,""),"")</f>
      </c>
      <c r="S181" s="55">
        <f>IFERROR(IF(AND(S$162&gt;=IF(INDEX(_ENGINE_Initiatives!$BX$5:$BX$76,MATCH($A181,_ENGINE_Initiatives!$BW$5:$BW$76,0))="0-90 days",'Company Profile'!$B$6,IF(INDEX(_ENGINE_Initiatives!$BX$5:$BX$76,MATCH($A181,_ENGINE_Initiatives!$BW$5:$BW$76,0))="3-6 months",EDATE('Company Profile'!$B$6,3),IF(INDEX(_ENGINE_Initiatives!$BX$5:$BX$76,MATCH($A181,_ENGINE_Initiatives!$BW$5:$BW$76,0))="6-12 months",EDATE('Company Profile'!$B$6,6),EDATE('Company Profile'!$B$6,12)))),S$162&lt;=IF(INDEX(_ENGINE_Initiatives!$BX$5:$BX$76,MATCH($A181,_ENGINE_Initiatives!$BW$5:$BW$76,0))="0-90 days",'Company Profile'!$B$6,IF(INDEX(_ENGINE_Initiatives!$BX$5:$BX$76,MATCH($A181,_ENGINE_Initiatives!$BW$5:$BW$76,0))="3-6 months",EDATE('Company Profile'!$B$6,3),IF(INDEX(_ENGINE_Initiatives!$BX$5:$BX$76,MATCH($A181,_ENGINE_Initiatives!$BW$5:$BW$76,0))="6-12 months",EDATE('Company Profile'!$B$6,6),EDATE('Company Profile'!$B$6,12))))+(IF(INDEX(_ENGINE_Initiatives!$AB$5:$AB$76,MATCH($A181,_ENGINE_Initiatives!$BW$5:$BW$76,0))&lt;=2,6,IF(INDEX(_ENGINE_Initiatives!$AB$5:$AB$76,MATCH($A181,_ENGINE_Initiatives!$BW$5:$BW$76,0))=3,10,IF(INDEX(_ENGINE_Initiatives!$AB$5:$AB$76,MATCH($A181,_ENGINE_Initiatives!$BW$5:$BW$76,0))=4,16,24)))*7)),1,""),"")</f>
      </c>
      <c r="T181" s="55">
        <f>IFERROR(IF(AND(T$162&gt;=IF(INDEX(_ENGINE_Initiatives!$BX$5:$BX$76,MATCH($A181,_ENGINE_Initiatives!$BW$5:$BW$76,0))="0-90 days",'Company Profile'!$B$6,IF(INDEX(_ENGINE_Initiatives!$BX$5:$BX$76,MATCH($A181,_ENGINE_Initiatives!$BW$5:$BW$76,0))="3-6 months",EDATE('Company Profile'!$B$6,3),IF(INDEX(_ENGINE_Initiatives!$BX$5:$BX$76,MATCH($A181,_ENGINE_Initiatives!$BW$5:$BW$76,0))="6-12 months",EDATE('Company Profile'!$B$6,6),EDATE('Company Profile'!$B$6,12)))),T$162&lt;=IF(INDEX(_ENGINE_Initiatives!$BX$5:$BX$76,MATCH($A181,_ENGINE_Initiatives!$BW$5:$BW$76,0))="0-90 days",'Company Profile'!$B$6,IF(INDEX(_ENGINE_Initiatives!$BX$5:$BX$76,MATCH($A181,_ENGINE_Initiatives!$BW$5:$BW$76,0))="3-6 months",EDATE('Company Profile'!$B$6,3),IF(INDEX(_ENGINE_Initiatives!$BX$5:$BX$76,MATCH($A181,_ENGINE_Initiatives!$BW$5:$BW$76,0))="6-12 months",EDATE('Company Profile'!$B$6,6),EDATE('Company Profile'!$B$6,12))))+(IF(INDEX(_ENGINE_Initiatives!$AB$5:$AB$76,MATCH($A181,_ENGINE_Initiatives!$BW$5:$BW$76,0))&lt;=2,6,IF(INDEX(_ENGINE_Initiatives!$AB$5:$AB$76,MATCH($A181,_ENGINE_Initiatives!$BW$5:$BW$76,0))=3,10,IF(INDEX(_ENGINE_Initiatives!$AB$5:$AB$76,MATCH($A181,_ENGINE_Initiatives!$BW$5:$BW$76,0))=4,16,24)))*7)),1,""),"")</f>
      </c>
      <c r="U181" s="30" t="n"/>
      <c r="V181" s="30" t="n"/>
    </row>
    <row r="182" ht="15" customHeight="1" s="209">
      <c r="A182" s="51" t="inlineStr">
        <is>
          <t>20</t>
        </is>
      </c>
      <c r="B182" s="51">
        <f>IFERROR(INDEX(_ENGINE_Initiatives!$F$5:$F$76,MATCH($A182,_ENGINE_Initiatives!$BW$5:$BW$76,0)),"")</f>
      </c>
      <c r="C182" s="55">
        <f>IFERROR(IF(AND(C$162&gt;=IF(INDEX(_ENGINE_Initiatives!$BX$5:$BX$76,MATCH($A182,_ENGINE_Initiatives!$BW$5:$BW$76,0))="0-90 days",'Company Profile'!$B$6,IF(INDEX(_ENGINE_Initiatives!$BX$5:$BX$76,MATCH($A182,_ENGINE_Initiatives!$BW$5:$BW$76,0))="3-6 months",EDATE('Company Profile'!$B$6,3),IF(INDEX(_ENGINE_Initiatives!$BX$5:$BX$76,MATCH($A182,_ENGINE_Initiatives!$BW$5:$BW$76,0))="6-12 months",EDATE('Company Profile'!$B$6,6),EDATE('Company Profile'!$B$6,12)))),C$162&lt;=IF(INDEX(_ENGINE_Initiatives!$BX$5:$BX$76,MATCH($A182,_ENGINE_Initiatives!$BW$5:$BW$76,0))="0-90 days",'Company Profile'!$B$6,IF(INDEX(_ENGINE_Initiatives!$BX$5:$BX$76,MATCH($A182,_ENGINE_Initiatives!$BW$5:$BW$76,0))="3-6 months",EDATE('Company Profile'!$B$6,3),IF(INDEX(_ENGINE_Initiatives!$BX$5:$BX$76,MATCH($A182,_ENGINE_Initiatives!$BW$5:$BW$76,0))="6-12 months",EDATE('Company Profile'!$B$6,6),EDATE('Company Profile'!$B$6,12))))+(IF(INDEX(_ENGINE_Initiatives!$AB$5:$AB$76,MATCH($A182,_ENGINE_Initiatives!$BW$5:$BW$76,0))&lt;=2,6,IF(INDEX(_ENGINE_Initiatives!$AB$5:$AB$76,MATCH($A182,_ENGINE_Initiatives!$BW$5:$BW$76,0))=3,10,IF(INDEX(_ENGINE_Initiatives!$AB$5:$AB$76,MATCH($A182,_ENGINE_Initiatives!$BW$5:$BW$76,0))=4,16,24)))*7)),1,""),"")</f>
      </c>
      <c r="D182" s="55">
        <f>IFERROR(IF(AND(D$162&gt;=IF(INDEX(_ENGINE_Initiatives!$BX$5:$BX$76,MATCH($A182,_ENGINE_Initiatives!$BW$5:$BW$76,0))="0-90 days",'Company Profile'!$B$6,IF(INDEX(_ENGINE_Initiatives!$BX$5:$BX$76,MATCH($A182,_ENGINE_Initiatives!$BW$5:$BW$76,0))="3-6 months",EDATE('Company Profile'!$B$6,3),IF(INDEX(_ENGINE_Initiatives!$BX$5:$BX$76,MATCH($A182,_ENGINE_Initiatives!$BW$5:$BW$76,0))="6-12 months",EDATE('Company Profile'!$B$6,6),EDATE('Company Profile'!$B$6,12)))),D$162&lt;=IF(INDEX(_ENGINE_Initiatives!$BX$5:$BX$76,MATCH($A182,_ENGINE_Initiatives!$BW$5:$BW$76,0))="0-90 days",'Company Profile'!$B$6,IF(INDEX(_ENGINE_Initiatives!$BX$5:$BX$76,MATCH($A182,_ENGINE_Initiatives!$BW$5:$BW$76,0))="3-6 months",EDATE('Company Profile'!$B$6,3),IF(INDEX(_ENGINE_Initiatives!$BX$5:$BX$76,MATCH($A182,_ENGINE_Initiatives!$BW$5:$BW$76,0))="6-12 months",EDATE('Company Profile'!$B$6,6),EDATE('Company Profile'!$B$6,12))))+(IF(INDEX(_ENGINE_Initiatives!$AB$5:$AB$76,MATCH($A182,_ENGINE_Initiatives!$BW$5:$BW$76,0))&lt;=2,6,IF(INDEX(_ENGINE_Initiatives!$AB$5:$AB$76,MATCH($A182,_ENGINE_Initiatives!$BW$5:$BW$76,0))=3,10,IF(INDEX(_ENGINE_Initiatives!$AB$5:$AB$76,MATCH($A182,_ENGINE_Initiatives!$BW$5:$BW$76,0))=4,16,24)))*7)),1,""),"")</f>
      </c>
      <c r="E182" s="55">
        <f>IFERROR(IF(AND(E$162&gt;=IF(INDEX(_ENGINE_Initiatives!$BX$5:$BX$76,MATCH($A182,_ENGINE_Initiatives!$BW$5:$BW$76,0))="0-90 days",'Company Profile'!$B$6,IF(INDEX(_ENGINE_Initiatives!$BX$5:$BX$76,MATCH($A182,_ENGINE_Initiatives!$BW$5:$BW$76,0))="3-6 months",EDATE('Company Profile'!$B$6,3),IF(INDEX(_ENGINE_Initiatives!$BX$5:$BX$76,MATCH($A182,_ENGINE_Initiatives!$BW$5:$BW$76,0))="6-12 months",EDATE('Company Profile'!$B$6,6),EDATE('Company Profile'!$B$6,12)))),E$162&lt;=IF(INDEX(_ENGINE_Initiatives!$BX$5:$BX$76,MATCH($A182,_ENGINE_Initiatives!$BW$5:$BW$76,0))="0-90 days",'Company Profile'!$B$6,IF(INDEX(_ENGINE_Initiatives!$BX$5:$BX$76,MATCH($A182,_ENGINE_Initiatives!$BW$5:$BW$76,0))="3-6 months",EDATE('Company Profile'!$B$6,3),IF(INDEX(_ENGINE_Initiatives!$BX$5:$BX$76,MATCH($A182,_ENGINE_Initiatives!$BW$5:$BW$76,0))="6-12 months",EDATE('Company Profile'!$B$6,6),EDATE('Company Profile'!$B$6,12))))+(IF(INDEX(_ENGINE_Initiatives!$AB$5:$AB$76,MATCH($A182,_ENGINE_Initiatives!$BW$5:$BW$76,0))&lt;=2,6,IF(INDEX(_ENGINE_Initiatives!$AB$5:$AB$76,MATCH($A182,_ENGINE_Initiatives!$BW$5:$BW$76,0))=3,10,IF(INDEX(_ENGINE_Initiatives!$AB$5:$AB$76,MATCH($A182,_ENGINE_Initiatives!$BW$5:$BW$76,0))=4,16,24)))*7)),1,""),"")</f>
      </c>
      <c r="F182" s="55">
        <f>IFERROR(IF(AND(F$162&gt;=IF(INDEX(_ENGINE_Initiatives!$BX$5:$BX$76,MATCH($A182,_ENGINE_Initiatives!$BW$5:$BW$76,0))="0-90 days",'Company Profile'!$B$6,IF(INDEX(_ENGINE_Initiatives!$BX$5:$BX$76,MATCH($A182,_ENGINE_Initiatives!$BW$5:$BW$76,0))="3-6 months",EDATE('Company Profile'!$B$6,3),IF(INDEX(_ENGINE_Initiatives!$BX$5:$BX$76,MATCH($A182,_ENGINE_Initiatives!$BW$5:$BW$76,0))="6-12 months",EDATE('Company Profile'!$B$6,6),EDATE('Company Profile'!$B$6,12)))),F$162&lt;=IF(INDEX(_ENGINE_Initiatives!$BX$5:$BX$76,MATCH($A182,_ENGINE_Initiatives!$BW$5:$BW$76,0))="0-90 days",'Company Profile'!$B$6,IF(INDEX(_ENGINE_Initiatives!$BX$5:$BX$76,MATCH($A182,_ENGINE_Initiatives!$BW$5:$BW$76,0))="3-6 months",EDATE('Company Profile'!$B$6,3),IF(INDEX(_ENGINE_Initiatives!$BX$5:$BX$76,MATCH($A182,_ENGINE_Initiatives!$BW$5:$BW$76,0))="6-12 months",EDATE('Company Profile'!$B$6,6),EDATE('Company Profile'!$B$6,12))))+(IF(INDEX(_ENGINE_Initiatives!$AB$5:$AB$76,MATCH($A182,_ENGINE_Initiatives!$BW$5:$BW$76,0))&lt;=2,6,IF(INDEX(_ENGINE_Initiatives!$AB$5:$AB$76,MATCH($A182,_ENGINE_Initiatives!$BW$5:$BW$76,0))=3,10,IF(INDEX(_ENGINE_Initiatives!$AB$5:$AB$76,MATCH($A182,_ENGINE_Initiatives!$BW$5:$BW$76,0))=4,16,24)))*7)),1,""),"")</f>
      </c>
      <c r="G182" s="55">
        <f>IFERROR(IF(AND(G$162&gt;=IF(INDEX(_ENGINE_Initiatives!$BX$5:$BX$76,MATCH($A182,_ENGINE_Initiatives!$BW$5:$BW$76,0))="0-90 days",'Company Profile'!$B$6,IF(INDEX(_ENGINE_Initiatives!$BX$5:$BX$76,MATCH($A182,_ENGINE_Initiatives!$BW$5:$BW$76,0))="3-6 months",EDATE('Company Profile'!$B$6,3),IF(INDEX(_ENGINE_Initiatives!$BX$5:$BX$76,MATCH($A182,_ENGINE_Initiatives!$BW$5:$BW$76,0))="6-12 months",EDATE('Company Profile'!$B$6,6),EDATE('Company Profile'!$B$6,12)))),G$162&lt;=IF(INDEX(_ENGINE_Initiatives!$BX$5:$BX$76,MATCH($A182,_ENGINE_Initiatives!$BW$5:$BW$76,0))="0-90 days",'Company Profile'!$B$6,IF(INDEX(_ENGINE_Initiatives!$BX$5:$BX$76,MATCH($A182,_ENGINE_Initiatives!$BW$5:$BW$76,0))="3-6 months",EDATE('Company Profile'!$B$6,3),IF(INDEX(_ENGINE_Initiatives!$BX$5:$BX$76,MATCH($A182,_ENGINE_Initiatives!$BW$5:$BW$76,0))="6-12 months",EDATE('Company Profile'!$B$6,6),EDATE('Company Profile'!$B$6,12))))+(IF(INDEX(_ENGINE_Initiatives!$AB$5:$AB$76,MATCH($A182,_ENGINE_Initiatives!$BW$5:$BW$76,0))&lt;=2,6,IF(INDEX(_ENGINE_Initiatives!$AB$5:$AB$76,MATCH($A182,_ENGINE_Initiatives!$BW$5:$BW$76,0))=3,10,IF(INDEX(_ENGINE_Initiatives!$AB$5:$AB$76,MATCH($A182,_ENGINE_Initiatives!$BW$5:$BW$76,0))=4,16,24)))*7)),1,""),"")</f>
      </c>
      <c r="H182" s="55">
        <f>IFERROR(IF(AND(H$162&gt;=IF(INDEX(_ENGINE_Initiatives!$BX$5:$BX$76,MATCH($A182,_ENGINE_Initiatives!$BW$5:$BW$76,0))="0-90 days",'Company Profile'!$B$6,IF(INDEX(_ENGINE_Initiatives!$BX$5:$BX$76,MATCH($A182,_ENGINE_Initiatives!$BW$5:$BW$76,0))="3-6 months",EDATE('Company Profile'!$B$6,3),IF(INDEX(_ENGINE_Initiatives!$BX$5:$BX$76,MATCH($A182,_ENGINE_Initiatives!$BW$5:$BW$76,0))="6-12 months",EDATE('Company Profile'!$B$6,6),EDATE('Company Profile'!$B$6,12)))),H$162&lt;=IF(INDEX(_ENGINE_Initiatives!$BX$5:$BX$76,MATCH($A182,_ENGINE_Initiatives!$BW$5:$BW$76,0))="0-90 days",'Company Profile'!$B$6,IF(INDEX(_ENGINE_Initiatives!$BX$5:$BX$76,MATCH($A182,_ENGINE_Initiatives!$BW$5:$BW$76,0))="3-6 months",EDATE('Company Profile'!$B$6,3),IF(INDEX(_ENGINE_Initiatives!$BX$5:$BX$76,MATCH($A182,_ENGINE_Initiatives!$BW$5:$BW$76,0))="6-12 months",EDATE('Company Profile'!$B$6,6),EDATE('Company Profile'!$B$6,12))))+(IF(INDEX(_ENGINE_Initiatives!$AB$5:$AB$76,MATCH($A182,_ENGINE_Initiatives!$BW$5:$BW$76,0))&lt;=2,6,IF(INDEX(_ENGINE_Initiatives!$AB$5:$AB$76,MATCH($A182,_ENGINE_Initiatives!$BW$5:$BW$76,0))=3,10,IF(INDEX(_ENGINE_Initiatives!$AB$5:$AB$76,MATCH($A182,_ENGINE_Initiatives!$BW$5:$BW$76,0))=4,16,24)))*7)),1,""),"")</f>
      </c>
      <c r="I182" s="55">
        <f>IFERROR(IF(AND(I$162&gt;=IF(INDEX(_ENGINE_Initiatives!$BX$5:$BX$76,MATCH($A182,_ENGINE_Initiatives!$BW$5:$BW$76,0))="0-90 days",'Company Profile'!$B$6,IF(INDEX(_ENGINE_Initiatives!$BX$5:$BX$76,MATCH($A182,_ENGINE_Initiatives!$BW$5:$BW$76,0))="3-6 months",EDATE('Company Profile'!$B$6,3),IF(INDEX(_ENGINE_Initiatives!$BX$5:$BX$76,MATCH($A182,_ENGINE_Initiatives!$BW$5:$BW$76,0))="6-12 months",EDATE('Company Profile'!$B$6,6),EDATE('Company Profile'!$B$6,12)))),I$162&lt;=IF(INDEX(_ENGINE_Initiatives!$BX$5:$BX$76,MATCH($A182,_ENGINE_Initiatives!$BW$5:$BW$76,0))="0-90 days",'Company Profile'!$B$6,IF(INDEX(_ENGINE_Initiatives!$BX$5:$BX$76,MATCH($A182,_ENGINE_Initiatives!$BW$5:$BW$76,0))="3-6 months",EDATE('Company Profile'!$B$6,3),IF(INDEX(_ENGINE_Initiatives!$BX$5:$BX$76,MATCH($A182,_ENGINE_Initiatives!$BW$5:$BW$76,0))="6-12 months",EDATE('Company Profile'!$B$6,6),EDATE('Company Profile'!$B$6,12))))+(IF(INDEX(_ENGINE_Initiatives!$AB$5:$AB$76,MATCH($A182,_ENGINE_Initiatives!$BW$5:$BW$76,0))&lt;=2,6,IF(INDEX(_ENGINE_Initiatives!$AB$5:$AB$76,MATCH($A182,_ENGINE_Initiatives!$BW$5:$BW$76,0))=3,10,IF(INDEX(_ENGINE_Initiatives!$AB$5:$AB$76,MATCH($A182,_ENGINE_Initiatives!$BW$5:$BW$76,0))=4,16,24)))*7)),1,""),"")</f>
      </c>
      <c r="J182" s="55">
        <f>IFERROR(IF(AND(J$162&gt;=IF(INDEX(_ENGINE_Initiatives!$BX$5:$BX$76,MATCH($A182,_ENGINE_Initiatives!$BW$5:$BW$76,0))="0-90 days",'Company Profile'!$B$6,IF(INDEX(_ENGINE_Initiatives!$BX$5:$BX$76,MATCH($A182,_ENGINE_Initiatives!$BW$5:$BW$76,0))="3-6 months",EDATE('Company Profile'!$B$6,3),IF(INDEX(_ENGINE_Initiatives!$BX$5:$BX$76,MATCH($A182,_ENGINE_Initiatives!$BW$5:$BW$76,0))="6-12 months",EDATE('Company Profile'!$B$6,6),EDATE('Company Profile'!$B$6,12)))),J$162&lt;=IF(INDEX(_ENGINE_Initiatives!$BX$5:$BX$76,MATCH($A182,_ENGINE_Initiatives!$BW$5:$BW$76,0))="0-90 days",'Company Profile'!$B$6,IF(INDEX(_ENGINE_Initiatives!$BX$5:$BX$76,MATCH($A182,_ENGINE_Initiatives!$BW$5:$BW$76,0))="3-6 months",EDATE('Company Profile'!$B$6,3),IF(INDEX(_ENGINE_Initiatives!$BX$5:$BX$76,MATCH($A182,_ENGINE_Initiatives!$BW$5:$BW$76,0))="6-12 months",EDATE('Company Profile'!$B$6,6),EDATE('Company Profile'!$B$6,12))))+(IF(INDEX(_ENGINE_Initiatives!$AB$5:$AB$76,MATCH($A182,_ENGINE_Initiatives!$BW$5:$BW$76,0))&lt;=2,6,IF(INDEX(_ENGINE_Initiatives!$AB$5:$AB$76,MATCH($A182,_ENGINE_Initiatives!$BW$5:$BW$76,0))=3,10,IF(INDEX(_ENGINE_Initiatives!$AB$5:$AB$76,MATCH($A182,_ENGINE_Initiatives!$BW$5:$BW$76,0))=4,16,24)))*7)),1,""),"")</f>
      </c>
      <c r="K182" s="55">
        <f>IFERROR(IF(AND(K$162&gt;=IF(INDEX(_ENGINE_Initiatives!$BX$5:$BX$76,MATCH($A182,_ENGINE_Initiatives!$BW$5:$BW$76,0))="0-90 days",'Company Profile'!$B$6,IF(INDEX(_ENGINE_Initiatives!$BX$5:$BX$76,MATCH($A182,_ENGINE_Initiatives!$BW$5:$BW$76,0))="3-6 months",EDATE('Company Profile'!$B$6,3),IF(INDEX(_ENGINE_Initiatives!$BX$5:$BX$76,MATCH($A182,_ENGINE_Initiatives!$BW$5:$BW$76,0))="6-12 months",EDATE('Company Profile'!$B$6,6),EDATE('Company Profile'!$B$6,12)))),K$162&lt;=IF(INDEX(_ENGINE_Initiatives!$BX$5:$BX$76,MATCH($A182,_ENGINE_Initiatives!$BW$5:$BW$76,0))="0-90 days",'Company Profile'!$B$6,IF(INDEX(_ENGINE_Initiatives!$BX$5:$BX$76,MATCH($A182,_ENGINE_Initiatives!$BW$5:$BW$76,0))="3-6 months",EDATE('Company Profile'!$B$6,3),IF(INDEX(_ENGINE_Initiatives!$BX$5:$BX$76,MATCH($A182,_ENGINE_Initiatives!$BW$5:$BW$76,0))="6-12 months",EDATE('Company Profile'!$B$6,6),EDATE('Company Profile'!$B$6,12))))+(IF(INDEX(_ENGINE_Initiatives!$AB$5:$AB$76,MATCH($A182,_ENGINE_Initiatives!$BW$5:$BW$76,0))&lt;=2,6,IF(INDEX(_ENGINE_Initiatives!$AB$5:$AB$76,MATCH($A182,_ENGINE_Initiatives!$BW$5:$BW$76,0))=3,10,IF(INDEX(_ENGINE_Initiatives!$AB$5:$AB$76,MATCH($A182,_ENGINE_Initiatives!$BW$5:$BW$76,0))=4,16,24)))*7)),1,""),"")</f>
      </c>
      <c r="L182" s="55">
        <f>IFERROR(IF(AND(L$162&gt;=IF(INDEX(_ENGINE_Initiatives!$BX$5:$BX$76,MATCH($A182,_ENGINE_Initiatives!$BW$5:$BW$76,0))="0-90 days",'Company Profile'!$B$6,IF(INDEX(_ENGINE_Initiatives!$BX$5:$BX$76,MATCH($A182,_ENGINE_Initiatives!$BW$5:$BW$76,0))="3-6 months",EDATE('Company Profile'!$B$6,3),IF(INDEX(_ENGINE_Initiatives!$BX$5:$BX$76,MATCH($A182,_ENGINE_Initiatives!$BW$5:$BW$76,0))="6-12 months",EDATE('Company Profile'!$B$6,6),EDATE('Company Profile'!$B$6,12)))),L$162&lt;=IF(INDEX(_ENGINE_Initiatives!$BX$5:$BX$76,MATCH($A182,_ENGINE_Initiatives!$BW$5:$BW$76,0))="0-90 days",'Company Profile'!$B$6,IF(INDEX(_ENGINE_Initiatives!$BX$5:$BX$76,MATCH($A182,_ENGINE_Initiatives!$BW$5:$BW$76,0))="3-6 months",EDATE('Company Profile'!$B$6,3),IF(INDEX(_ENGINE_Initiatives!$BX$5:$BX$76,MATCH($A182,_ENGINE_Initiatives!$BW$5:$BW$76,0))="6-12 months",EDATE('Company Profile'!$B$6,6),EDATE('Company Profile'!$B$6,12))))+(IF(INDEX(_ENGINE_Initiatives!$AB$5:$AB$76,MATCH($A182,_ENGINE_Initiatives!$BW$5:$BW$76,0))&lt;=2,6,IF(INDEX(_ENGINE_Initiatives!$AB$5:$AB$76,MATCH($A182,_ENGINE_Initiatives!$BW$5:$BW$76,0))=3,10,IF(INDEX(_ENGINE_Initiatives!$AB$5:$AB$76,MATCH($A182,_ENGINE_Initiatives!$BW$5:$BW$76,0))=4,16,24)))*7)),1,""),"")</f>
      </c>
      <c r="M182" s="55">
        <f>IFERROR(IF(AND(M$162&gt;=IF(INDEX(_ENGINE_Initiatives!$BX$5:$BX$76,MATCH($A182,_ENGINE_Initiatives!$BW$5:$BW$76,0))="0-90 days",'Company Profile'!$B$6,IF(INDEX(_ENGINE_Initiatives!$BX$5:$BX$76,MATCH($A182,_ENGINE_Initiatives!$BW$5:$BW$76,0))="3-6 months",EDATE('Company Profile'!$B$6,3),IF(INDEX(_ENGINE_Initiatives!$BX$5:$BX$76,MATCH($A182,_ENGINE_Initiatives!$BW$5:$BW$76,0))="6-12 months",EDATE('Company Profile'!$B$6,6),EDATE('Company Profile'!$B$6,12)))),M$162&lt;=IF(INDEX(_ENGINE_Initiatives!$BX$5:$BX$76,MATCH($A182,_ENGINE_Initiatives!$BW$5:$BW$76,0))="0-90 days",'Company Profile'!$B$6,IF(INDEX(_ENGINE_Initiatives!$BX$5:$BX$76,MATCH($A182,_ENGINE_Initiatives!$BW$5:$BW$76,0))="3-6 months",EDATE('Company Profile'!$B$6,3),IF(INDEX(_ENGINE_Initiatives!$BX$5:$BX$76,MATCH($A182,_ENGINE_Initiatives!$BW$5:$BW$76,0))="6-12 months",EDATE('Company Profile'!$B$6,6),EDATE('Company Profile'!$B$6,12))))+(IF(INDEX(_ENGINE_Initiatives!$AB$5:$AB$76,MATCH($A182,_ENGINE_Initiatives!$BW$5:$BW$76,0))&lt;=2,6,IF(INDEX(_ENGINE_Initiatives!$AB$5:$AB$76,MATCH($A182,_ENGINE_Initiatives!$BW$5:$BW$76,0))=3,10,IF(INDEX(_ENGINE_Initiatives!$AB$5:$AB$76,MATCH($A182,_ENGINE_Initiatives!$BW$5:$BW$76,0))=4,16,24)))*7)),1,""),"")</f>
      </c>
      <c r="N182" s="55">
        <f>IFERROR(IF(AND(N$162&gt;=IF(INDEX(_ENGINE_Initiatives!$BX$5:$BX$76,MATCH($A182,_ENGINE_Initiatives!$BW$5:$BW$76,0))="0-90 days",'Company Profile'!$B$6,IF(INDEX(_ENGINE_Initiatives!$BX$5:$BX$76,MATCH($A182,_ENGINE_Initiatives!$BW$5:$BW$76,0))="3-6 months",EDATE('Company Profile'!$B$6,3),IF(INDEX(_ENGINE_Initiatives!$BX$5:$BX$76,MATCH($A182,_ENGINE_Initiatives!$BW$5:$BW$76,0))="6-12 months",EDATE('Company Profile'!$B$6,6),EDATE('Company Profile'!$B$6,12)))),N$162&lt;=IF(INDEX(_ENGINE_Initiatives!$BX$5:$BX$76,MATCH($A182,_ENGINE_Initiatives!$BW$5:$BW$76,0))="0-90 days",'Company Profile'!$B$6,IF(INDEX(_ENGINE_Initiatives!$BX$5:$BX$76,MATCH($A182,_ENGINE_Initiatives!$BW$5:$BW$76,0))="3-6 months",EDATE('Company Profile'!$B$6,3),IF(INDEX(_ENGINE_Initiatives!$BX$5:$BX$76,MATCH($A182,_ENGINE_Initiatives!$BW$5:$BW$76,0))="6-12 months",EDATE('Company Profile'!$B$6,6),EDATE('Company Profile'!$B$6,12))))+(IF(INDEX(_ENGINE_Initiatives!$AB$5:$AB$76,MATCH($A182,_ENGINE_Initiatives!$BW$5:$BW$76,0))&lt;=2,6,IF(INDEX(_ENGINE_Initiatives!$AB$5:$AB$76,MATCH($A182,_ENGINE_Initiatives!$BW$5:$BW$76,0))=3,10,IF(INDEX(_ENGINE_Initiatives!$AB$5:$AB$76,MATCH($A182,_ENGINE_Initiatives!$BW$5:$BW$76,0))=4,16,24)))*7)),1,""),"")</f>
      </c>
      <c r="O182" s="55">
        <f>IFERROR(IF(AND(O$162&gt;=IF(INDEX(_ENGINE_Initiatives!$BX$5:$BX$76,MATCH($A182,_ENGINE_Initiatives!$BW$5:$BW$76,0))="0-90 days",'Company Profile'!$B$6,IF(INDEX(_ENGINE_Initiatives!$BX$5:$BX$76,MATCH($A182,_ENGINE_Initiatives!$BW$5:$BW$76,0))="3-6 months",EDATE('Company Profile'!$B$6,3),IF(INDEX(_ENGINE_Initiatives!$BX$5:$BX$76,MATCH($A182,_ENGINE_Initiatives!$BW$5:$BW$76,0))="6-12 months",EDATE('Company Profile'!$B$6,6),EDATE('Company Profile'!$B$6,12)))),O$162&lt;=IF(INDEX(_ENGINE_Initiatives!$BX$5:$BX$76,MATCH($A182,_ENGINE_Initiatives!$BW$5:$BW$76,0))="0-90 days",'Company Profile'!$B$6,IF(INDEX(_ENGINE_Initiatives!$BX$5:$BX$76,MATCH($A182,_ENGINE_Initiatives!$BW$5:$BW$76,0))="3-6 months",EDATE('Company Profile'!$B$6,3),IF(INDEX(_ENGINE_Initiatives!$BX$5:$BX$76,MATCH($A182,_ENGINE_Initiatives!$BW$5:$BW$76,0))="6-12 months",EDATE('Company Profile'!$B$6,6),EDATE('Company Profile'!$B$6,12))))+(IF(INDEX(_ENGINE_Initiatives!$AB$5:$AB$76,MATCH($A182,_ENGINE_Initiatives!$BW$5:$BW$76,0))&lt;=2,6,IF(INDEX(_ENGINE_Initiatives!$AB$5:$AB$76,MATCH($A182,_ENGINE_Initiatives!$BW$5:$BW$76,0))=3,10,IF(INDEX(_ENGINE_Initiatives!$AB$5:$AB$76,MATCH($A182,_ENGINE_Initiatives!$BW$5:$BW$76,0))=4,16,24)))*7)),1,""),"")</f>
      </c>
      <c r="P182" s="55">
        <f>IFERROR(IF(AND(P$162&gt;=IF(INDEX(_ENGINE_Initiatives!$BX$5:$BX$76,MATCH($A182,_ENGINE_Initiatives!$BW$5:$BW$76,0))="0-90 days",'Company Profile'!$B$6,IF(INDEX(_ENGINE_Initiatives!$BX$5:$BX$76,MATCH($A182,_ENGINE_Initiatives!$BW$5:$BW$76,0))="3-6 months",EDATE('Company Profile'!$B$6,3),IF(INDEX(_ENGINE_Initiatives!$BX$5:$BX$76,MATCH($A182,_ENGINE_Initiatives!$BW$5:$BW$76,0))="6-12 months",EDATE('Company Profile'!$B$6,6),EDATE('Company Profile'!$B$6,12)))),P$162&lt;=IF(INDEX(_ENGINE_Initiatives!$BX$5:$BX$76,MATCH($A182,_ENGINE_Initiatives!$BW$5:$BW$76,0))="0-90 days",'Company Profile'!$B$6,IF(INDEX(_ENGINE_Initiatives!$BX$5:$BX$76,MATCH($A182,_ENGINE_Initiatives!$BW$5:$BW$76,0))="3-6 months",EDATE('Company Profile'!$B$6,3),IF(INDEX(_ENGINE_Initiatives!$BX$5:$BX$76,MATCH($A182,_ENGINE_Initiatives!$BW$5:$BW$76,0))="6-12 months",EDATE('Company Profile'!$B$6,6),EDATE('Company Profile'!$B$6,12))))+(IF(INDEX(_ENGINE_Initiatives!$AB$5:$AB$76,MATCH($A182,_ENGINE_Initiatives!$BW$5:$BW$76,0))&lt;=2,6,IF(INDEX(_ENGINE_Initiatives!$AB$5:$AB$76,MATCH($A182,_ENGINE_Initiatives!$BW$5:$BW$76,0))=3,10,IF(INDEX(_ENGINE_Initiatives!$AB$5:$AB$76,MATCH($A182,_ENGINE_Initiatives!$BW$5:$BW$76,0))=4,16,24)))*7)),1,""),"")</f>
      </c>
      <c r="Q182" s="55">
        <f>IFERROR(IF(AND(Q$162&gt;=IF(INDEX(_ENGINE_Initiatives!$BX$5:$BX$76,MATCH($A182,_ENGINE_Initiatives!$BW$5:$BW$76,0))="0-90 days",'Company Profile'!$B$6,IF(INDEX(_ENGINE_Initiatives!$BX$5:$BX$76,MATCH($A182,_ENGINE_Initiatives!$BW$5:$BW$76,0))="3-6 months",EDATE('Company Profile'!$B$6,3),IF(INDEX(_ENGINE_Initiatives!$BX$5:$BX$76,MATCH($A182,_ENGINE_Initiatives!$BW$5:$BW$76,0))="6-12 months",EDATE('Company Profile'!$B$6,6),EDATE('Company Profile'!$B$6,12)))),Q$162&lt;=IF(INDEX(_ENGINE_Initiatives!$BX$5:$BX$76,MATCH($A182,_ENGINE_Initiatives!$BW$5:$BW$76,0))="0-90 days",'Company Profile'!$B$6,IF(INDEX(_ENGINE_Initiatives!$BX$5:$BX$76,MATCH($A182,_ENGINE_Initiatives!$BW$5:$BW$76,0))="3-6 months",EDATE('Company Profile'!$B$6,3),IF(INDEX(_ENGINE_Initiatives!$BX$5:$BX$76,MATCH($A182,_ENGINE_Initiatives!$BW$5:$BW$76,0))="6-12 months",EDATE('Company Profile'!$B$6,6),EDATE('Company Profile'!$B$6,12))))+(IF(INDEX(_ENGINE_Initiatives!$AB$5:$AB$76,MATCH($A182,_ENGINE_Initiatives!$BW$5:$BW$76,0))&lt;=2,6,IF(INDEX(_ENGINE_Initiatives!$AB$5:$AB$76,MATCH($A182,_ENGINE_Initiatives!$BW$5:$BW$76,0))=3,10,IF(INDEX(_ENGINE_Initiatives!$AB$5:$AB$76,MATCH($A182,_ENGINE_Initiatives!$BW$5:$BW$76,0))=4,16,24)))*7)),1,""),"")</f>
      </c>
      <c r="R182" s="55">
        <f>IFERROR(IF(AND(R$162&gt;=IF(INDEX(_ENGINE_Initiatives!$BX$5:$BX$76,MATCH($A182,_ENGINE_Initiatives!$BW$5:$BW$76,0))="0-90 days",'Company Profile'!$B$6,IF(INDEX(_ENGINE_Initiatives!$BX$5:$BX$76,MATCH($A182,_ENGINE_Initiatives!$BW$5:$BW$76,0))="3-6 months",EDATE('Company Profile'!$B$6,3),IF(INDEX(_ENGINE_Initiatives!$BX$5:$BX$76,MATCH($A182,_ENGINE_Initiatives!$BW$5:$BW$76,0))="6-12 months",EDATE('Company Profile'!$B$6,6),EDATE('Company Profile'!$B$6,12)))),R$162&lt;=IF(INDEX(_ENGINE_Initiatives!$BX$5:$BX$76,MATCH($A182,_ENGINE_Initiatives!$BW$5:$BW$76,0))="0-90 days",'Company Profile'!$B$6,IF(INDEX(_ENGINE_Initiatives!$BX$5:$BX$76,MATCH($A182,_ENGINE_Initiatives!$BW$5:$BW$76,0))="3-6 months",EDATE('Company Profile'!$B$6,3),IF(INDEX(_ENGINE_Initiatives!$BX$5:$BX$76,MATCH($A182,_ENGINE_Initiatives!$BW$5:$BW$76,0))="6-12 months",EDATE('Company Profile'!$B$6,6),EDATE('Company Profile'!$B$6,12))))+(IF(INDEX(_ENGINE_Initiatives!$AB$5:$AB$76,MATCH($A182,_ENGINE_Initiatives!$BW$5:$BW$76,0))&lt;=2,6,IF(INDEX(_ENGINE_Initiatives!$AB$5:$AB$76,MATCH($A182,_ENGINE_Initiatives!$BW$5:$BW$76,0))=3,10,IF(INDEX(_ENGINE_Initiatives!$AB$5:$AB$76,MATCH($A182,_ENGINE_Initiatives!$BW$5:$BW$76,0))=4,16,24)))*7)),1,""),"")</f>
      </c>
      <c r="S182" s="55">
        <f>IFERROR(IF(AND(S$162&gt;=IF(INDEX(_ENGINE_Initiatives!$BX$5:$BX$76,MATCH($A182,_ENGINE_Initiatives!$BW$5:$BW$76,0))="0-90 days",'Company Profile'!$B$6,IF(INDEX(_ENGINE_Initiatives!$BX$5:$BX$76,MATCH($A182,_ENGINE_Initiatives!$BW$5:$BW$76,0))="3-6 months",EDATE('Company Profile'!$B$6,3),IF(INDEX(_ENGINE_Initiatives!$BX$5:$BX$76,MATCH($A182,_ENGINE_Initiatives!$BW$5:$BW$76,0))="6-12 months",EDATE('Company Profile'!$B$6,6),EDATE('Company Profile'!$B$6,12)))),S$162&lt;=IF(INDEX(_ENGINE_Initiatives!$BX$5:$BX$76,MATCH($A182,_ENGINE_Initiatives!$BW$5:$BW$76,0))="0-90 days",'Company Profile'!$B$6,IF(INDEX(_ENGINE_Initiatives!$BX$5:$BX$76,MATCH($A182,_ENGINE_Initiatives!$BW$5:$BW$76,0))="3-6 months",EDATE('Company Profile'!$B$6,3),IF(INDEX(_ENGINE_Initiatives!$BX$5:$BX$76,MATCH($A182,_ENGINE_Initiatives!$BW$5:$BW$76,0))="6-12 months",EDATE('Company Profile'!$B$6,6),EDATE('Company Profile'!$B$6,12))))+(IF(INDEX(_ENGINE_Initiatives!$AB$5:$AB$76,MATCH($A182,_ENGINE_Initiatives!$BW$5:$BW$76,0))&lt;=2,6,IF(INDEX(_ENGINE_Initiatives!$AB$5:$AB$76,MATCH($A182,_ENGINE_Initiatives!$BW$5:$BW$76,0))=3,10,IF(INDEX(_ENGINE_Initiatives!$AB$5:$AB$76,MATCH($A182,_ENGINE_Initiatives!$BW$5:$BW$76,0))=4,16,24)))*7)),1,""),"")</f>
      </c>
      <c r="T182" s="55">
        <f>IFERROR(IF(AND(T$162&gt;=IF(INDEX(_ENGINE_Initiatives!$BX$5:$BX$76,MATCH($A182,_ENGINE_Initiatives!$BW$5:$BW$76,0))="0-90 days",'Company Profile'!$B$6,IF(INDEX(_ENGINE_Initiatives!$BX$5:$BX$76,MATCH($A182,_ENGINE_Initiatives!$BW$5:$BW$76,0))="3-6 months",EDATE('Company Profile'!$B$6,3),IF(INDEX(_ENGINE_Initiatives!$BX$5:$BX$76,MATCH($A182,_ENGINE_Initiatives!$BW$5:$BW$76,0))="6-12 months",EDATE('Company Profile'!$B$6,6),EDATE('Company Profile'!$B$6,12)))),T$162&lt;=IF(INDEX(_ENGINE_Initiatives!$BX$5:$BX$76,MATCH($A182,_ENGINE_Initiatives!$BW$5:$BW$76,0))="0-90 days",'Company Profile'!$B$6,IF(INDEX(_ENGINE_Initiatives!$BX$5:$BX$76,MATCH($A182,_ENGINE_Initiatives!$BW$5:$BW$76,0))="3-6 months",EDATE('Company Profile'!$B$6,3),IF(INDEX(_ENGINE_Initiatives!$BX$5:$BX$76,MATCH($A182,_ENGINE_Initiatives!$BW$5:$BW$76,0))="6-12 months",EDATE('Company Profile'!$B$6,6),EDATE('Company Profile'!$B$6,12))))+(IF(INDEX(_ENGINE_Initiatives!$AB$5:$AB$76,MATCH($A182,_ENGINE_Initiatives!$BW$5:$BW$76,0))&lt;=2,6,IF(INDEX(_ENGINE_Initiatives!$AB$5:$AB$76,MATCH($A182,_ENGINE_Initiatives!$BW$5:$BW$76,0))=3,10,IF(INDEX(_ENGINE_Initiatives!$AB$5:$AB$76,MATCH($A182,_ENGINE_Initiatives!$BW$5:$BW$76,0))=4,16,24)))*7)),1,""),"")</f>
      </c>
      <c r="U182" s="30" t="n"/>
      <c r="V182" s="30" t="n"/>
    </row>
    <row r="183">
      <c r="A183" s="30" t="n"/>
      <c r="B183" s="30" t="n"/>
      <c r="C183" s="30" t="n"/>
      <c r="D183" s="30" t="n"/>
      <c r="E183" s="30" t="n"/>
      <c r="F183" s="30" t="n"/>
      <c r="G183" s="30" t="n"/>
      <c r="H183" s="30" t="n"/>
      <c r="I183" s="30" t="n"/>
      <c r="J183" s="30" t="n"/>
      <c r="K183" s="30" t="n"/>
      <c r="L183" s="30" t="n"/>
      <c r="M183" s="30" t="n"/>
      <c r="N183" s="30" t="n"/>
      <c r="O183" s="30" t="n"/>
      <c r="P183" s="30" t="n"/>
      <c r="Q183" s="30" t="n"/>
      <c r="R183" s="30" t="n"/>
      <c r="S183" s="30" t="n"/>
      <c r="T183" s="30" t="n"/>
      <c r="U183" s="30" t="n"/>
      <c r="V183" s="30" t="n"/>
    </row>
    <row r="184">
      <c r="A184" s="30" t="n"/>
      <c r="B184" s="30" t="n"/>
      <c r="C184" s="30" t="n"/>
      <c r="D184" s="30" t="n"/>
      <c r="E184" s="30" t="n"/>
      <c r="F184" s="30" t="n"/>
      <c r="G184" s="30" t="n"/>
      <c r="H184" s="30" t="n"/>
      <c r="I184" s="30" t="n"/>
      <c r="J184" s="30" t="n"/>
      <c r="K184" s="30" t="n"/>
      <c r="L184" s="30" t="n"/>
      <c r="M184" s="30" t="n"/>
      <c r="N184" s="30" t="n"/>
      <c r="O184" s="30" t="n"/>
      <c r="P184" s="30" t="n"/>
      <c r="Q184" s="30" t="n"/>
      <c r="R184" s="30" t="n"/>
      <c r="S184" s="30" t="n"/>
      <c r="T184" s="30" t="n"/>
      <c r="U184" s="30" t="n"/>
      <c r="V184" s="30" t="n"/>
    </row>
    <row r="185">
      <c r="A185" s="30" t="n"/>
      <c r="B185" s="30" t="n"/>
      <c r="C185" s="30" t="n"/>
      <c r="D185" s="30" t="n"/>
      <c r="E185" s="30" t="n"/>
      <c r="F185" s="30" t="n"/>
      <c r="G185" s="30" t="n"/>
      <c r="H185" s="30" t="n"/>
      <c r="I185" s="30" t="n"/>
      <c r="J185" s="30" t="n"/>
      <c r="K185" s="30" t="n"/>
      <c r="L185" s="30" t="n"/>
      <c r="M185" s="30" t="n"/>
      <c r="N185" s="30" t="n"/>
      <c r="O185" s="30" t="n"/>
      <c r="P185" s="30" t="n"/>
      <c r="Q185" s="30" t="n"/>
      <c r="R185" s="30" t="n"/>
      <c r="S185" s="30" t="n"/>
      <c r="T185" s="30" t="n"/>
      <c r="U185" s="30" t="n"/>
      <c r="V185" s="30" t="n"/>
    </row>
    <row r="186" ht="15" customHeight="1" s="209">
      <c r="A186" s="226" t="inlineStr">
        <is>
          <t>Heatmap 4. Monthly capacity load and overload signal</t>
        </is>
      </c>
      <c r="B186" s="227" t="n"/>
      <c r="C186" s="227" t="n"/>
      <c r="D186" s="227" t="n"/>
      <c r="E186" s="227" t="n"/>
      <c r="F186" s="227" t="n"/>
      <c r="G186" s="227" t="n"/>
      <c r="H186" s="227" t="n"/>
      <c r="I186" s="227" t="n"/>
      <c r="J186" s="227" t="n"/>
      <c r="K186" s="227" t="n"/>
      <c r="L186" s="227" t="n"/>
      <c r="M186" s="227" t="n"/>
      <c r="N186" s="227" t="n"/>
      <c r="O186" s="227" t="n"/>
      <c r="P186" s="227" t="n"/>
      <c r="Q186" s="227" t="n"/>
      <c r="R186" s="227" t="n"/>
      <c r="S186" s="228" t="n"/>
      <c r="T186" s="30" t="n"/>
      <c r="U186" s="30" t="n"/>
      <c r="V186" s="30" t="n"/>
    </row>
    <row r="187" ht="44.1" customHeight="1" s="209">
      <c r="A187" s="23" t="inlineStr">
        <is>
          <t>Metric</t>
        </is>
      </c>
      <c r="B187" s="54">
        <f>C$162</f>
      </c>
      <c r="C187" s="54">
        <f>D$162</f>
      </c>
      <c r="D187" s="54">
        <f>E$162</f>
      </c>
      <c r="E187" s="54">
        <f>F$162</f>
      </c>
      <c r="F187" s="54">
        <f>G$162</f>
      </c>
      <c r="G187" s="54">
        <f>H$162</f>
      </c>
      <c r="H187" s="54">
        <f>I$162</f>
      </c>
      <c r="I187" s="54">
        <f>J$162</f>
      </c>
      <c r="J187" s="54">
        <f>K$162</f>
      </c>
      <c r="K187" s="54">
        <f>L$162</f>
      </c>
      <c r="L187" s="54">
        <f>M$162</f>
      </c>
      <c r="M187" s="54">
        <f>N$162</f>
      </c>
      <c r="N187" s="54">
        <f>O$162</f>
      </c>
      <c r="O187" s="54">
        <f>P$162</f>
      </c>
      <c r="P187" s="54">
        <f>Q$162</f>
      </c>
      <c r="Q187" s="54">
        <f>R$162</f>
      </c>
      <c r="R187" s="54">
        <f>S$162</f>
      </c>
      <c r="S187" s="54">
        <f>T$162</f>
      </c>
      <c r="T187" s="50" t="n"/>
      <c r="U187" s="50" t="n"/>
      <c r="V187" s="50" t="n"/>
    </row>
    <row r="188" ht="15" customHeight="1" s="209">
      <c r="A188" s="51" t="inlineStr">
        <is>
          <t>Capacity load</t>
        </is>
      </c>
      <c r="B188" s="55">
        <f>SUM(C$163:C$182)</f>
      </c>
      <c r="C188" s="55">
        <f>SUM(D$163:D$182)</f>
      </c>
      <c r="D188" s="55">
        <f>SUM(E$163:E$182)</f>
      </c>
      <c r="E188" s="55">
        <f>SUM(F$163:F$182)</f>
      </c>
      <c r="F188" s="55">
        <f>SUM(G$163:G$182)</f>
      </c>
      <c r="G188" s="55">
        <f>SUM(H$163:H$182)</f>
      </c>
      <c r="H188" s="55">
        <f>SUM(I$163:I$182)</f>
      </c>
      <c r="I188" s="55">
        <f>SUM(J$163:J$182)</f>
      </c>
      <c r="J188" s="55">
        <f>SUM(K$163:K$182)</f>
      </c>
      <c r="K188" s="55">
        <f>SUM(L$163:L$182)</f>
      </c>
      <c r="L188" s="55">
        <f>SUM(M$163:M$182)</f>
      </c>
      <c r="M188" s="55">
        <f>SUM(N$163:N$182)</f>
      </c>
      <c r="N188" s="55">
        <f>SUM(O$163:O$182)</f>
      </c>
      <c r="O188" s="55">
        <f>SUM(P$163:P$182)</f>
      </c>
      <c r="P188" s="55">
        <f>SUM(Q$163:Q$182)</f>
      </c>
      <c r="Q188" s="55">
        <f>SUM(R$163:R$182)</f>
      </c>
      <c r="R188" s="55">
        <f>SUM(S$163:S$182)</f>
      </c>
      <c r="S188" s="55">
        <f>SUM(T$163:T$182)</f>
      </c>
      <c r="T188" s="30" t="n"/>
      <c r="U188" s="30" t="n"/>
      <c r="V188" s="30" t="n"/>
    </row>
    <row r="189" ht="15" customHeight="1" s="209">
      <c r="A189" s="51" t="inlineStr">
        <is>
          <t>Active initiatives</t>
        </is>
      </c>
      <c r="B189" s="55">
        <f>COUNT(C$163:C$182)</f>
      </c>
      <c r="C189" s="55">
        <f>COUNT(D$163:D$182)</f>
      </c>
      <c r="D189" s="55">
        <f>COUNT(E$163:E$182)</f>
      </c>
      <c r="E189" s="55">
        <f>COUNT(F$163:F$182)</f>
      </c>
      <c r="F189" s="55">
        <f>COUNT(G$163:G$182)</f>
      </c>
      <c r="G189" s="55">
        <f>COUNT(H$163:H$182)</f>
      </c>
      <c r="H189" s="55">
        <f>COUNT(I$163:I$182)</f>
      </c>
      <c r="I189" s="55">
        <f>COUNT(J$163:J$182)</f>
      </c>
      <c r="J189" s="55">
        <f>COUNT(K$163:K$182)</f>
      </c>
      <c r="K189" s="55">
        <f>COUNT(L$163:L$182)</f>
      </c>
      <c r="L189" s="55">
        <f>COUNT(M$163:M$182)</f>
      </c>
      <c r="M189" s="55">
        <f>COUNT(N$163:N$182)</f>
      </c>
      <c r="N189" s="55">
        <f>COUNT(O$163:O$182)</f>
      </c>
      <c r="O189" s="55">
        <f>COUNT(P$163:P$182)</f>
      </c>
      <c r="P189" s="55">
        <f>COUNT(Q$163:Q$182)</f>
      </c>
      <c r="Q189" s="55">
        <f>COUNT(R$163:R$182)</f>
      </c>
      <c r="R189" s="55">
        <f>COUNT(S$163:S$182)</f>
      </c>
      <c r="S189" s="55">
        <f>COUNT(T$163:T$182)</f>
      </c>
      <c r="T189" s="30" t="n"/>
      <c r="U189" s="30" t="n"/>
      <c r="V189" s="30" t="n"/>
    </row>
    <row r="190" ht="15" customHeight="1" s="209">
      <c r="A190" s="51" t="inlineStr">
        <is>
          <t>Overload flag</t>
        </is>
      </c>
      <c r="B190" s="56">
        <f>IF(B$188&gt;IF('Company Profile'!$B$102="",18,'Company Profile'!$B$102),"Overloaded","OK")</f>
      </c>
      <c r="C190" s="56">
        <f>IF(C$188&gt;IF('Company Profile'!$B$102="",18,'Company Profile'!$B$102),"Overloaded","OK")</f>
      </c>
      <c r="D190" s="56">
        <f>IF(D$188&gt;IF('Company Profile'!$B$102="",18,'Company Profile'!$B$102),"Overloaded","OK")</f>
      </c>
      <c r="E190" s="56">
        <f>IF(E$188&gt;IF('Company Profile'!$B$102="",18,'Company Profile'!$B$102),"Overloaded","OK")</f>
      </c>
      <c r="F190" s="56">
        <f>IF(F$188&gt;IF('Company Profile'!$B$102="",18,'Company Profile'!$B$102),"Overloaded","OK")</f>
      </c>
      <c r="G190" s="56">
        <f>IF(G$188&gt;IF('Company Profile'!$B$102="",18,'Company Profile'!$B$102),"Overloaded","OK")</f>
      </c>
      <c r="H190" s="56">
        <f>IF(H$188&gt;IF('Company Profile'!$B$102="",18,'Company Profile'!$B$102),"Overloaded","OK")</f>
      </c>
      <c r="I190" s="56">
        <f>IF(I$188&gt;IF('Company Profile'!$B$102="",18,'Company Profile'!$B$102),"Overloaded","OK")</f>
      </c>
      <c r="J190" s="56">
        <f>IF(J$188&gt;IF('Company Profile'!$B$102="",18,'Company Profile'!$B$102),"Overloaded","OK")</f>
      </c>
      <c r="K190" s="56">
        <f>IF(K$188&gt;IF('Company Profile'!$B$102="",18,'Company Profile'!$B$102),"Overloaded","OK")</f>
      </c>
      <c r="L190" s="56">
        <f>IF(L$188&gt;IF('Company Profile'!$B$102="",18,'Company Profile'!$B$102),"Overloaded","OK")</f>
      </c>
      <c r="M190" s="56">
        <f>IF(M$188&gt;IF('Company Profile'!$B$102="",18,'Company Profile'!$B$102),"Overloaded","OK")</f>
      </c>
      <c r="N190" s="56">
        <f>IF(N$188&gt;IF('Company Profile'!$B$102="",18,'Company Profile'!$B$102),"Overloaded","OK")</f>
      </c>
      <c r="O190" s="56">
        <f>IF(O$188&gt;IF('Company Profile'!$B$102="",18,'Company Profile'!$B$102),"Overloaded","OK")</f>
      </c>
      <c r="P190" s="56">
        <f>IF(P$188&gt;IF('Company Profile'!$B$102="",18,'Company Profile'!$B$102),"Overloaded","OK")</f>
      </c>
      <c r="Q190" s="56">
        <f>IF(Q$188&gt;IF('Company Profile'!$B$102="",18,'Company Profile'!$B$102),"Overloaded","OK")</f>
      </c>
      <c r="R190" s="56">
        <f>IF(R$188&gt;IF('Company Profile'!$B$102="",18,'Company Profile'!$B$102),"Overloaded","OK")</f>
      </c>
      <c r="S190" s="56">
        <f>IF(S$188&gt;IF('Company Profile'!$B$102="",18,'Company Profile'!$B$102),"Overloaded","OK")</f>
      </c>
      <c r="T190" s="30" t="n"/>
      <c r="U190" s="30" t="n"/>
      <c r="V190" s="30" t="n"/>
    </row>
    <row r="210">
      <c r="A210" s="202" t="inlineStr">
        <is>
          <t>Benchmark View - peers and optimal targets (seed v1)</t>
        </is>
      </c>
      <c r="B210" s="202" t="n"/>
      <c r="C210" s="202" t="n"/>
      <c r="D210" s="202" t="n"/>
      <c r="E210" s="202" t="n"/>
      <c r="F210" s="202" t="n"/>
      <c r="G210" s="202" t="n"/>
      <c r="H210" s="202" t="n"/>
      <c r="I210" s="202" t="n"/>
      <c r="J210" s="202" t="n"/>
      <c r="K210" s="202" t="n"/>
    </row>
    <row r="211">
      <c r="A211" s="202" t="inlineStr">
        <is>
          <t>Compares your confidence-adjusted maturity with an estimated peer corridor (P25/P50/P75) for your industry criticality and company size, and with an OPTIMAL target (not the maximum). Peer values are expert seed estimates calibrated to public studies - treat percentiles as indicative (+/-15 pp). Edit seeds and parameters in _REF_Model_Content; replace with measured data as assessments accumulate.</t>
        </is>
      </c>
      <c r="B211" s="202" t="n"/>
      <c r="C211" s="202" t="n"/>
      <c r="D211" s="202" t="n"/>
      <c r="E211" s="202" t="n"/>
      <c r="F211" s="202" t="n"/>
      <c r="G211" s="202" t="n"/>
      <c r="H211" s="202" t="n"/>
      <c r="I211" s="202" t="n"/>
      <c r="J211" s="202" t="n"/>
      <c r="K211" s="202" t="n"/>
    </row>
    <row r="212">
      <c r="A212" s="202" t="n"/>
      <c r="B212" s="202" t="n"/>
      <c r="C212" s="202" t="n"/>
      <c r="D212" s="202" t="n"/>
      <c r="E212" s="202" t="n"/>
      <c r="F212" s="202" t="n"/>
      <c r="G212" s="202" t="n"/>
      <c r="H212" s="202" t="n"/>
      <c r="I212" s="202" t="n"/>
      <c r="J212" s="202" t="n"/>
      <c r="K212" s="202" t="n"/>
    </row>
    <row r="213">
      <c r="A213" s="202" t="inlineStr">
        <is>
          <t>Company size band</t>
        </is>
      </c>
      <c r="B213" s="202">
        <f>'Company Profile'!$B$105</f>
        <v/>
      </c>
      <c r="C213" s="202" t="inlineStr">
        <is>
          <t>Industry</t>
        </is>
      </c>
      <c r="D213" s="202">
        <f>'Company Profile'!$B$9</f>
        <v/>
      </c>
      <c r="E213" s="202" t="inlineStr">
        <is>
          <t>Risk appetite</t>
        </is>
      </c>
      <c r="F213" s="202">
        <f>'Company Profile'!$B$35</f>
        <v/>
      </c>
      <c r="G213" s="202" t="n"/>
      <c r="H213" s="202" t="n"/>
      <c r="I213" s="202" t="n"/>
      <c r="J213" s="202" t="n"/>
      <c r="K213" s="202" t="n"/>
    </row>
    <row r="214">
      <c r="A214" s="202" t="n"/>
      <c r="B214" s="202" t="n"/>
      <c r="C214" s="202" t="n"/>
      <c r="D214" s="202" t="n"/>
      <c r="E214" s="202" t="n"/>
      <c r="F214" s="202" t="n"/>
      <c r="G214" s="202" t="n"/>
      <c r="H214" s="202" t="n"/>
      <c r="I214" s="202" t="n"/>
      <c r="J214" s="202" t="n"/>
      <c r="K214" s="202" t="n"/>
    </row>
    <row r="215">
      <c r="A215" s="202" t="n"/>
      <c r="B215" s="202" t="n"/>
      <c r="C215" s="202" t="n"/>
      <c r="D215" s="202" t="n"/>
      <c r="E215" s="202" t="n"/>
      <c r="F215" s="202" t="n"/>
      <c r="G215" s="202" t="n"/>
      <c r="H215" s="202" t="n"/>
      <c r="I215" s="202" t="n"/>
      <c r="J215" s="202" t="n"/>
      <c r="K215" s="202" t="n"/>
    </row>
    <row r="216">
      <c r="A216" s="202" t="inlineStr">
        <is>
          <t>Domain</t>
        </is>
      </c>
      <c r="B216" s="202" t="inlineStr">
        <is>
          <t>Your maturity (conf-adj)</t>
        </is>
      </c>
      <c r="C216" s="202" t="inlineStr">
        <is>
          <t>Peer P25</t>
        </is>
      </c>
      <c r="D216" s="202" t="inlineStr">
        <is>
          <t>Peer P50</t>
        </is>
      </c>
      <c r="E216" s="202" t="inlineStr">
        <is>
          <t>Peer P75</t>
        </is>
      </c>
      <c r="F216" s="202" t="inlineStr">
        <is>
          <t>Est. percentile</t>
        </is>
      </c>
      <c r="G216" s="202" t="inlineStr">
        <is>
          <t>Position vs peers</t>
        </is>
      </c>
      <c r="H216" s="202" t="inlineStr">
        <is>
          <t>Industry target</t>
        </is>
      </c>
      <c r="I216" s="202" t="inlineStr">
        <is>
          <t>Optimal target</t>
        </is>
      </c>
      <c r="J216" s="202" t="inlineStr">
        <is>
          <t>Gap to optimal</t>
        </is>
      </c>
      <c r="K216" s="202" t="inlineStr">
        <is>
          <t>Status</t>
        </is>
      </c>
    </row>
    <row r="217">
      <c r="A217" s="202">
        <f>'_DATA_Dashboard_Facts'!$A$300</f>
        <v/>
      </c>
      <c r="B217" s="202">
        <f>IFERROR(IF('_DATA_Dashboard_Facts'!$C$300="",'_DATA_Dashboard_Facts'!$B$300,'_DATA_Dashboard_Facts'!$C$300),"")</f>
        <v/>
      </c>
      <c r="C217" s="202">
        <f>ROUND(MAX(0.2,$D8-_REF_Model_Content!$B$32),2)</f>
        <v/>
      </c>
      <c r="D217" s="202">
        <f>ROUND(MIN(4.5,MAX(0.5,INDEX(_REF_Model_Content!$B$5:$B$21,MATCH($A8,_REF_Model_Content!$A$5:$A$21,0))+_xlfn.IFNA(VLOOKUP('Company Profile'!$B$105,_REF_Model_Content!$A$24:$B$28,2,0),0)+_REF_Model_Content!$B$31*(IFERROR('_DATA_Dashboard_Facts'!$H$300,1)-1))),2)</f>
        <v/>
      </c>
      <c r="E217" s="202">
        <f>ROUND(MIN(4.8,$D8+_REF_Model_Content!$B$32),2)</f>
        <v/>
      </c>
      <c r="F217" s="202">
        <f>IF($B8="","",ROUND(IF($B8&lt;=$C8,25*$B8/MAX($C8,0.1),IF($B8&lt;=$D8,25+25*($B8-$C8)/MAX($D8-$C8,0.1),IF($B8&lt;=$E8,50+25*($B8-$D8)/MAX($E8-$D8,0.1),MIN(99,75+25*($B8-$E8)/MAX(5-$E8,0.1))))),0))</f>
        <v/>
      </c>
      <c r="G217" s="202">
        <f>IF($B8="","",IF($B8&lt;$C8,"Bottom quartile",IF($B8&lt;$D8,"Below median",IF($B8&lt;=$E8,"Above median","Top quartile"))))</f>
        <v/>
      </c>
      <c r="H217" s="202">
        <f>IFERROR('_DATA_Dashboard_Facts'!$F$300,"")</f>
        <v/>
      </c>
      <c r="I217" s="202">
        <f>ROUND(MAX(0,MIN(5,MIN(MIN(5,$E8+0.5),MAX(IFERROR('_DATA_Dashboard_Facts'!$R$300,2),$D8+_REF_Model_Content!$B$33+_REF_Model_Content!$B$34*(IFERROR('_DATA_Dashboard_Facts'!$H$300,1)-1)))+_xlfn.IFNA(VLOOKUP('Company Profile'!$B$35,_CONFIG_Model_Settings!$A$11:$B$13,2,0),0))),2)</f>
        <v/>
      </c>
      <c r="J217" s="202">
        <f>IF($B8="","",MAX(0,ROUND($I8-$B8,2)))</f>
        <v/>
      </c>
      <c r="K217" s="202">
        <f>IF($B8="","",IF($B8&lt;$C8,"Under-invested vs peers",IF($B8&gt;$I8+_REF_Model_Content!$B$35,IF(IFERROR('_DATA_Dashboard_Facts'!$H$300,1)&lt;cfg_AboveOptimumRatio,"Above optimum - check cost","Strength"),IF($B8&lt;$I8,"Below optimum","On target"))))</f>
        <v/>
      </c>
    </row>
    <row r="218">
      <c r="A218" s="202">
        <f>'_DATA_Dashboard_Facts'!$A$301</f>
        <v/>
      </c>
      <c r="B218" s="202">
        <f>IFERROR(IF('_DATA_Dashboard_Facts'!$C$301="",'_DATA_Dashboard_Facts'!$B$301,'_DATA_Dashboard_Facts'!$C$301),"")</f>
        <v/>
      </c>
      <c r="C218" s="202">
        <f>ROUND(MAX(0.2,$D9-_REF_Model_Content!$B$32),2)</f>
        <v/>
      </c>
      <c r="D218" s="202">
        <f>ROUND(MIN(4.5,MAX(0.5,INDEX(_REF_Model_Content!$B$5:$B$21,MATCH($A9,_REF_Model_Content!$A$5:$A$21,0))+_xlfn.IFNA(VLOOKUP('Company Profile'!$B$105,_REF_Model_Content!$A$24:$B$28,2,0),0)+_REF_Model_Content!$B$31*(IFERROR('_DATA_Dashboard_Facts'!$H$301,1)-1))),2)</f>
        <v/>
      </c>
      <c r="E218" s="202">
        <f>ROUND(MIN(4.8,$D9+_REF_Model_Content!$B$32),2)</f>
        <v/>
      </c>
      <c r="F218" s="202">
        <f>IF($B9="","",ROUND(IF($B9&lt;=$C9,25*$B9/MAX($C9,0.1),IF($B9&lt;=$D9,25+25*($B9-$C9)/MAX($D9-$C9,0.1),IF($B9&lt;=$E9,50+25*($B9-$D9)/MAX($E9-$D9,0.1),MIN(99,75+25*($B9-$E9)/MAX(5-$E9,0.1))))),0))</f>
        <v/>
      </c>
      <c r="G218" s="202">
        <f>IF($B9="","",IF($B9&lt;$C9,"Bottom quartile",IF($B9&lt;$D9,"Below median",IF($B9&lt;=$E9,"Above median","Top quartile"))))</f>
        <v/>
      </c>
      <c r="H218" s="202">
        <f>IFERROR('_DATA_Dashboard_Facts'!$F$301,"")</f>
        <v/>
      </c>
      <c r="I218" s="202">
        <f>ROUND(MAX(0,MIN(5,MIN(MIN(5,$E9+0.5),MAX(IFERROR('_DATA_Dashboard_Facts'!$R$301,2),$D9+_REF_Model_Content!$B$33+_REF_Model_Content!$B$34*(IFERROR('_DATA_Dashboard_Facts'!$H$301,1)-1)))+_xlfn.IFNA(VLOOKUP('Company Profile'!$B$35,_CONFIG_Model_Settings!$A$11:$B$13,2,0),0))),2)</f>
        <v/>
      </c>
      <c r="J218" s="202">
        <f>IF($B9="","",MAX(0,ROUND($I9-$B9,2)))</f>
        <v/>
      </c>
      <c r="K218" s="202">
        <f>IF($B9="","",IF($B9&lt;$C9,"Under-invested vs peers",IF($B9&gt;$I9+_REF_Model_Content!$B$35,IF(IFERROR('_DATA_Dashboard_Facts'!$H$301,1)&lt;cfg_AboveOptimumRatio,"Above optimum - check cost","Strength"),IF($B9&lt;$I9,"Below optimum","On target"))))</f>
        <v/>
      </c>
    </row>
    <row r="219">
      <c r="A219" s="202">
        <f>'_DATA_Dashboard_Facts'!$A$302</f>
        <v/>
      </c>
      <c r="B219" s="202">
        <f>IFERROR(IF('_DATA_Dashboard_Facts'!$C$302="",'_DATA_Dashboard_Facts'!$B$302,'_DATA_Dashboard_Facts'!$C$302),"")</f>
        <v/>
      </c>
      <c r="C219" s="202">
        <f>ROUND(MAX(0.2,$D10-_REF_Model_Content!$B$32),2)</f>
        <v/>
      </c>
      <c r="D219" s="202">
        <f>ROUND(MIN(4.5,MAX(0.5,INDEX(_REF_Model_Content!$B$5:$B$21,MATCH($A10,_REF_Model_Content!$A$5:$A$21,0))+_xlfn.IFNA(VLOOKUP('Company Profile'!$B$105,_REF_Model_Content!$A$24:$B$28,2,0),0)+_REF_Model_Content!$B$31*(IFERROR('_DATA_Dashboard_Facts'!$H$302,1)-1))),2)</f>
        <v/>
      </c>
      <c r="E219" s="202">
        <f>ROUND(MIN(4.8,$D10+_REF_Model_Content!$B$32),2)</f>
        <v/>
      </c>
      <c r="F219" s="202">
        <f>IF($B10="","",ROUND(IF($B10&lt;=$C10,25*$B10/MAX($C10,0.1),IF($B10&lt;=$D10,25+25*($B10-$C10)/MAX($D10-$C10,0.1),IF($B10&lt;=$E10,50+25*($B10-$D10)/MAX($E10-$D10,0.1),MIN(99,75+25*($B10-$E10)/MAX(5-$E10,0.1))))),0))</f>
        <v/>
      </c>
      <c r="G219" s="202">
        <f>IF($B10="","",IF($B10&lt;$C10,"Bottom quartile",IF($B10&lt;$D10,"Below median",IF($B10&lt;=$E10,"Above median","Top quartile"))))</f>
        <v/>
      </c>
      <c r="H219" s="202">
        <f>IFERROR('_DATA_Dashboard_Facts'!$F$302,"")</f>
        <v/>
      </c>
      <c r="I219" s="202">
        <f>ROUND(MAX(0,MIN(5,MIN(MIN(5,$E10+0.5),MAX(IFERROR('_DATA_Dashboard_Facts'!$R$302,2),$D10+_REF_Model_Content!$B$33+_REF_Model_Content!$B$34*(IFERROR('_DATA_Dashboard_Facts'!$H$302,1)-1)))+_xlfn.IFNA(VLOOKUP('Company Profile'!$B$35,_CONFIG_Model_Settings!$A$11:$B$13,2,0),0))),2)</f>
        <v/>
      </c>
      <c r="J219" s="202">
        <f>IF($B10="","",MAX(0,ROUND($I10-$B10,2)))</f>
        <v/>
      </c>
      <c r="K219" s="202">
        <f>IF($B10="","",IF($B10&lt;$C10,"Under-invested vs peers",IF($B10&gt;$I10+_REF_Model_Content!$B$35,IF(IFERROR('_DATA_Dashboard_Facts'!$H$302,1)&lt;cfg_AboveOptimumRatio,"Above optimum - check cost","Strength"),IF($B10&lt;$I10,"Below optimum","On target"))))</f>
        <v/>
      </c>
    </row>
    <row r="220">
      <c r="A220" s="202">
        <f>'_DATA_Dashboard_Facts'!$A$303</f>
        <v/>
      </c>
      <c r="B220" s="202">
        <f>IFERROR(IF('_DATA_Dashboard_Facts'!$C$303="",'_DATA_Dashboard_Facts'!$B$303,'_DATA_Dashboard_Facts'!$C$303),"")</f>
        <v/>
      </c>
      <c r="C220" s="202">
        <f>ROUND(MAX(0.2,$D11-_REF_Model_Content!$B$32),2)</f>
        <v/>
      </c>
      <c r="D220" s="202">
        <f>ROUND(MIN(4.5,MAX(0.5,INDEX(_REF_Model_Content!$B$5:$B$21,MATCH($A11,_REF_Model_Content!$A$5:$A$21,0))+_xlfn.IFNA(VLOOKUP('Company Profile'!$B$105,_REF_Model_Content!$A$24:$B$28,2,0),0)+_REF_Model_Content!$B$31*(IFERROR('_DATA_Dashboard_Facts'!$H$303,1)-1))),2)</f>
        <v/>
      </c>
      <c r="E220" s="202">
        <f>ROUND(MIN(4.8,$D11+_REF_Model_Content!$B$32),2)</f>
        <v/>
      </c>
      <c r="F220" s="202">
        <f>IF($B11="","",ROUND(IF($B11&lt;=$C11,25*$B11/MAX($C11,0.1),IF($B11&lt;=$D11,25+25*($B11-$C11)/MAX($D11-$C11,0.1),IF($B11&lt;=$E11,50+25*($B11-$D11)/MAX($E11-$D11,0.1),MIN(99,75+25*($B11-$E11)/MAX(5-$E11,0.1))))),0))</f>
        <v/>
      </c>
      <c r="G220" s="202">
        <f>IF($B11="","",IF($B11&lt;$C11,"Bottom quartile",IF($B11&lt;$D11,"Below median",IF($B11&lt;=$E11,"Above median","Top quartile"))))</f>
        <v/>
      </c>
      <c r="H220" s="202">
        <f>IFERROR('_DATA_Dashboard_Facts'!$F$303,"")</f>
        <v/>
      </c>
      <c r="I220" s="202">
        <f>ROUND(MAX(0,MIN(5,MIN(MIN(5,$E11+0.5),MAX(IFERROR('_DATA_Dashboard_Facts'!$R$303,2),$D11+_REF_Model_Content!$B$33+_REF_Model_Content!$B$34*(IFERROR('_DATA_Dashboard_Facts'!$H$303,1)-1)))+_xlfn.IFNA(VLOOKUP('Company Profile'!$B$35,_CONFIG_Model_Settings!$A$11:$B$13,2,0),0))),2)</f>
        <v/>
      </c>
      <c r="J220" s="202">
        <f>IF($B11="","",MAX(0,ROUND($I11-$B11,2)))</f>
        <v/>
      </c>
      <c r="K220" s="202">
        <f>IF($B11="","",IF($B11&lt;$C11,"Under-invested vs peers",IF($B11&gt;$I11+_REF_Model_Content!$B$35,IF(IFERROR('_DATA_Dashboard_Facts'!$H$303,1)&lt;cfg_AboveOptimumRatio,"Above optimum - check cost","Strength"),IF($B11&lt;$I11,"Below optimum","On target"))))</f>
        <v/>
      </c>
    </row>
    <row r="221">
      <c r="A221" s="202">
        <f>'_DATA_Dashboard_Facts'!$A$304</f>
        <v/>
      </c>
      <c r="B221" s="202">
        <f>IFERROR(IF('_DATA_Dashboard_Facts'!$C$304="",'_DATA_Dashboard_Facts'!$B$304,'_DATA_Dashboard_Facts'!$C$304),"")</f>
        <v/>
      </c>
      <c r="C221" s="202">
        <f>ROUND(MAX(0.2,$D12-_REF_Model_Content!$B$32),2)</f>
        <v/>
      </c>
      <c r="D221" s="202">
        <f>ROUND(MIN(4.5,MAX(0.5,INDEX(_REF_Model_Content!$B$5:$B$21,MATCH($A12,_REF_Model_Content!$A$5:$A$21,0))+_xlfn.IFNA(VLOOKUP('Company Profile'!$B$105,_REF_Model_Content!$A$24:$B$28,2,0),0)+_REF_Model_Content!$B$31*(IFERROR('_DATA_Dashboard_Facts'!$H$304,1)-1))),2)</f>
        <v/>
      </c>
      <c r="E221" s="202">
        <f>ROUND(MIN(4.8,$D12+_REF_Model_Content!$B$32),2)</f>
        <v/>
      </c>
      <c r="F221" s="202">
        <f>IF($B12="","",ROUND(IF($B12&lt;=$C12,25*$B12/MAX($C12,0.1),IF($B12&lt;=$D12,25+25*($B12-$C12)/MAX($D12-$C12,0.1),IF($B12&lt;=$E12,50+25*($B12-$D12)/MAX($E12-$D12,0.1),MIN(99,75+25*($B12-$E12)/MAX(5-$E12,0.1))))),0))</f>
        <v/>
      </c>
      <c r="G221" s="202">
        <f>IF($B12="","",IF($B12&lt;$C12,"Bottom quartile",IF($B12&lt;$D12,"Below median",IF($B12&lt;=$E12,"Above median","Top quartile"))))</f>
        <v/>
      </c>
      <c r="H221" s="202">
        <f>IFERROR('_DATA_Dashboard_Facts'!$F$304,"")</f>
        <v/>
      </c>
      <c r="I221" s="202">
        <f>ROUND(MAX(0,MIN(5,MIN(MIN(5,$E12+0.5),MAX(IFERROR('_DATA_Dashboard_Facts'!$R$304,2),$D12+_REF_Model_Content!$B$33+_REF_Model_Content!$B$34*(IFERROR('_DATA_Dashboard_Facts'!$H$304,1)-1)))+_xlfn.IFNA(VLOOKUP('Company Profile'!$B$35,_CONFIG_Model_Settings!$A$11:$B$13,2,0),0))),2)</f>
        <v/>
      </c>
      <c r="J221" s="202">
        <f>IF($B12="","",MAX(0,ROUND($I12-$B12,2)))</f>
        <v/>
      </c>
      <c r="K221" s="202">
        <f>IF($B12="","",IF($B12&lt;$C12,"Under-invested vs peers",IF($B12&gt;$I12+_REF_Model_Content!$B$35,IF(IFERROR('_DATA_Dashboard_Facts'!$H$304,1)&lt;cfg_AboveOptimumRatio,"Above optimum - check cost","Strength"),IF($B12&lt;$I12,"Below optimum","On target"))))</f>
        <v/>
      </c>
    </row>
    <row r="222">
      <c r="A222" s="202">
        <f>'_DATA_Dashboard_Facts'!$A$305</f>
        <v/>
      </c>
      <c r="B222" s="202">
        <f>IFERROR(IF('_DATA_Dashboard_Facts'!$C$305="",'_DATA_Dashboard_Facts'!$B$305,'_DATA_Dashboard_Facts'!$C$305),"")</f>
        <v/>
      </c>
      <c r="C222" s="202">
        <f>ROUND(MAX(0.2,$D13-_REF_Model_Content!$B$32),2)</f>
        <v/>
      </c>
      <c r="D222" s="202">
        <f>ROUND(MIN(4.5,MAX(0.5,INDEX(_REF_Model_Content!$B$5:$B$21,MATCH($A13,_REF_Model_Content!$A$5:$A$21,0))+_xlfn.IFNA(VLOOKUP('Company Profile'!$B$105,_REF_Model_Content!$A$24:$B$28,2,0),0)+_REF_Model_Content!$B$31*(IFERROR('_DATA_Dashboard_Facts'!$H$305,1)-1))),2)</f>
        <v/>
      </c>
      <c r="E222" s="202">
        <f>ROUND(MIN(4.8,$D13+_REF_Model_Content!$B$32),2)</f>
        <v/>
      </c>
      <c r="F222" s="202">
        <f>IF($B13="","",ROUND(IF($B13&lt;=$C13,25*$B13/MAX($C13,0.1),IF($B13&lt;=$D13,25+25*($B13-$C13)/MAX($D13-$C13,0.1),IF($B13&lt;=$E13,50+25*($B13-$D13)/MAX($E13-$D13,0.1),MIN(99,75+25*($B13-$E13)/MAX(5-$E13,0.1))))),0))</f>
        <v/>
      </c>
      <c r="G222" s="202">
        <f>IF($B13="","",IF($B13&lt;$C13,"Bottom quartile",IF($B13&lt;$D13,"Below median",IF($B13&lt;=$E13,"Above median","Top quartile"))))</f>
        <v/>
      </c>
      <c r="H222" s="202">
        <f>IFERROR('_DATA_Dashboard_Facts'!$F$305,"")</f>
        <v/>
      </c>
      <c r="I222" s="202">
        <f>ROUND(MAX(0,MIN(5,MIN(MIN(5,$E13+0.5),MAX(IFERROR('_DATA_Dashboard_Facts'!$R$305,2),$D13+_REF_Model_Content!$B$33+_REF_Model_Content!$B$34*(IFERROR('_DATA_Dashboard_Facts'!$H$305,1)-1)))+_xlfn.IFNA(VLOOKUP('Company Profile'!$B$35,_CONFIG_Model_Settings!$A$11:$B$13,2,0),0))),2)</f>
        <v/>
      </c>
      <c r="J222" s="202">
        <f>IF($B13="","",MAX(0,ROUND($I13-$B13,2)))</f>
        <v/>
      </c>
      <c r="K222" s="202">
        <f>IF($B13="","",IF($B13&lt;$C13,"Under-invested vs peers",IF($B13&gt;$I13+_REF_Model_Content!$B$35,IF(IFERROR('_DATA_Dashboard_Facts'!$H$305,1)&lt;cfg_AboveOptimumRatio,"Above optimum - check cost","Strength"),IF($B13&lt;$I13,"Below optimum","On target"))))</f>
        <v/>
      </c>
    </row>
    <row r="223">
      <c r="A223" s="202">
        <f>'_DATA_Dashboard_Facts'!$A$306</f>
        <v/>
      </c>
      <c r="B223" s="202">
        <f>IFERROR(IF('_DATA_Dashboard_Facts'!$C$306="",'_DATA_Dashboard_Facts'!$B$306,'_DATA_Dashboard_Facts'!$C$306),"")</f>
        <v/>
      </c>
      <c r="C223" s="202">
        <f>ROUND(MAX(0.2,$D14-_REF_Model_Content!$B$32),2)</f>
        <v/>
      </c>
      <c r="D223" s="202">
        <f>ROUND(MIN(4.5,MAX(0.5,INDEX(_REF_Model_Content!$B$5:$B$21,MATCH($A14,_REF_Model_Content!$A$5:$A$21,0))+_xlfn.IFNA(VLOOKUP('Company Profile'!$B$105,_REF_Model_Content!$A$24:$B$28,2,0),0)+_REF_Model_Content!$B$31*(IFERROR('_DATA_Dashboard_Facts'!$H$306,1)-1))),2)</f>
        <v/>
      </c>
      <c r="E223" s="202">
        <f>ROUND(MIN(4.8,$D14+_REF_Model_Content!$B$32),2)</f>
        <v/>
      </c>
      <c r="F223" s="202">
        <f>IF($B14="","",ROUND(IF($B14&lt;=$C14,25*$B14/MAX($C14,0.1),IF($B14&lt;=$D14,25+25*($B14-$C14)/MAX($D14-$C14,0.1),IF($B14&lt;=$E14,50+25*($B14-$D14)/MAX($E14-$D14,0.1),MIN(99,75+25*($B14-$E14)/MAX(5-$E14,0.1))))),0))</f>
        <v/>
      </c>
      <c r="G223" s="202">
        <f>IF($B14="","",IF($B14&lt;$C14,"Bottom quartile",IF($B14&lt;$D14,"Below median",IF($B14&lt;=$E14,"Above median","Top quartile"))))</f>
        <v/>
      </c>
      <c r="H223" s="202">
        <f>IFERROR('_DATA_Dashboard_Facts'!$F$306,"")</f>
        <v/>
      </c>
      <c r="I223" s="202">
        <f>ROUND(MAX(0,MIN(5,MIN(MIN(5,$E14+0.5),MAX(IFERROR('_DATA_Dashboard_Facts'!$R$306,2),$D14+_REF_Model_Content!$B$33+_REF_Model_Content!$B$34*(IFERROR('_DATA_Dashboard_Facts'!$H$306,1)-1)))+_xlfn.IFNA(VLOOKUP('Company Profile'!$B$35,_CONFIG_Model_Settings!$A$11:$B$13,2,0),0))),2)</f>
        <v/>
      </c>
      <c r="J223" s="202">
        <f>IF($B14="","",MAX(0,ROUND($I14-$B14,2)))</f>
        <v/>
      </c>
      <c r="K223" s="202">
        <f>IF($B14="","",IF($B14&lt;$C14,"Under-invested vs peers",IF($B14&gt;$I14+_REF_Model_Content!$B$35,IF(IFERROR('_DATA_Dashboard_Facts'!$H$306,1)&lt;cfg_AboveOptimumRatio,"Above optimum - check cost","Strength"),IF($B14&lt;$I14,"Below optimum","On target"))))</f>
        <v/>
      </c>
    </row>
    <row r="224">
      <c r="A224" s="202">
        <f>'_DATA_Dashboard_Facts'!$A$307</f>
        <v/>
      </c>
      <c r="B224" s="202">
        <f>IFERROR(IF('_DATA_Dashboard_Facts'!$C$307="",'_DATA_Dashboard_Facts'!$B$307,'_DATA_Dashboard_Facts'!$C$307),"")</f>
        <v/>
      </c>
      <c r="C224" s="202">
        <f>ROUND(MAX(0.2,$D15-_REF_Model_Content!$B$32),2)</f>
        <v/>
      </c>
      <c r="D224" s="202">
        <f>ROUND(MIN(4.5,MAX(0.5,INDEX(_REF_Model_Content!$B$5:$B$21,MATCH($A15,_REF_Model_Content!$A$5:$A$21,0))+_xlfn.IFNA(VLOOKUP('Company Profile'!$B$105,_REF_Model_Content!$A$24:$B$28,2,0),0)+_REF_Model_Content!$B$31*(IFERROR('_DATA_Dashboard_Facts'!$H$307,1)-1))),2)</f>
        <v/>
      </c>
      <c r="E224" s="202">
        <f>ROUND(MIN(4.8,$D15+_REF_Model_Content!$B$32),2)</f>
        <v/>
      </c>
      <c r="F224" s="202">
        <f>IF($B15="","",ROUND(IF($B15&lt;=$C15,25*$B15/MAX($C15,0.1),IF($B15&lt;=$D15,25+25*($B15-$C15)/MAX($D15-$C15,0.1),IF($B15&lt;=$E15,50+25*($B15-$D15)/MAX($E15-$D15,0.1),MIN(99,75+25*($B15-$E15)/MAX(5-$E15,0.1))))),0))</f>
        <v/>
      </c>
      <c r="G224" s="202">
        <f>IF($B15="","",IF($B15&lt;$C15,"Bottom quartile",IF($B15&lt;$D15,"Below median",IF($B15&lt;=$E15,"Above median","Top quartile"))))</f>
        <v/>
      </c>
      <c r="H224" s="202">
        <f>IFERROR('_DATA_Dashboard_Facts'!$F$307,"")</f>
        <v/>
      </c>
      <c r="I224" s="202">
        <f>ROUND(MAX(0,MIN(5,MIN(MIN(5,$E15+0.5),MAX(IFERROR('_DATA_Dashboard_Facts'!$R$307,2),$D15+_REF_Model_Content!$B$33+_REF_Model_Content!$B$34*(IFERROR('_DATA_Dashboard_Facts'!$H$307,1)-1)))+_xlfn.IFNA(VLOOKUP('Company Profile'!$B$35,_CONFIG_Model_Settings!$A$11:$B$13,2,0),0))),2)</f>
        <v/>
      </c>
      <c r="J224" s="202">
        <f>IF($B15="","",MAX(0,ROUND($I15-$B15,2)))</f>
        <v/>
      </c>
      <c r="K224" s="202">
        <f>IF($B15="","",IF($B15&lt;$C15,"Under-invested vs peers",IF($B15&gt;$I15+_REF_Model_Content!$B$35,IF(IFERROR('_DATA_Dashboard_Facts'!$H$307,1)&lt;cfg_AboveOptimumRatio,"Above optimum - check cost","Strength"),IF($B15&lt;$I15,"Below optimum","On target"))))</f>
        <v/>
      </c>
    </row>
    <row r="225">
      <c r="A225" s="202">
        <f>'_DATA_Dashboard_Facts'!$A$308</f>
        <v/>
      </c>
      <c r="B225" s="202">
        <f>IFERROR(IF('_DATA_Dashboard_Facts'!$C$308="",'_DATA_Dashboard_Facts'!$B$308,'_DATA_Dashboard_Facts'!$C$308),"")</f>
        <v/>
      </c>
      <c r="C225" s="202">
        <f>ROUND(MAX(0.2,$D16-_REF_Model_Content!$B$32),2)</f>
        <v/>
      </c>
      <c r="D225" s="202">
        <f>ROUND(MIN(4.5,MAX(0.5,INDEX(_REF_Model_Content!$B$5:$B$21,MATCH($A16,_REF_Model_Content!$A$5:$A$21,0))+_xlfn.IFNA(VLOOKUP('Company Profile'!$B$105,_REF_Model_Content!$A$24:$B$28,2,0),0)+_REF_Model_Content!$B$31*(IFERROR('_DATA_Dashboard_Facts'!$H$308,1)-1))),2)</f>
        <v/>
      </c>
      <c r="E225" s="202">
        <f>ROUND(MIN(4.8,$D16+_REF_Model_Content!$B$32),2)</f>
        <v/>
      </c>
      <c r="F225" s="202">
        <f>IF($B16="","",ROUND(IF($B16&lt;=$C16,25*$B16/MAX($C16,0.1),IF($B16&lt;=$D16,25+25*($B16-$C16)/MAX($D16-$C16,0.1),IF($B16&lt;=$E16,50+25*($B16-$D16)/MAX($E16-$D16,0.1),MIN(99,75+25*($B16-$E16)/MAX(5-$E16,0.1))))),0))</f>
        <v/>
      </c>
      <c r="G225" s="202">
        <f>IF($B16="","",IF($B16&lt;$C16,"Bottom quartile",IF($B16&lt;$D16,"Below median",IF($B16&lt;=$E16,"Above median","Top quartile"))))</f>
        <v/>
      </c>
      <c r="H225" s="202">
        <f>IFERROR('_DATA_Dashboard_Facts'!$F$308,"")</f>
        <v/>
      </c>
      <c r="I225" s="202">
        <f>ROUND(MAX(0,MIN(5,MIN(MIN(5,$E16+0.5),MAX(IFERROR('_DATA_Dashboard_Facts'!$R$308,2),$D16+_REF_Model_Content!$B$33+_REF_Model_Content!$B$34*(IFERROR('_DATA_Dashboard_Facts'!$H$308,1)-1)))+_xlfn.IFNA(VLOOKUP('Company Profile'!$B$35,_CONFIG_Model_Settings!$A$11:$B$13,2,0),0))),2)</f>
        <v/>
      </c>
      <c r="J225" s="202">
        <f>IF($B16="","",MAX(0,ROUND($I16-$B16,2)))</f>
        <v/>
      </c>
      <c r="K225" s="202">
        <f>IF($B16="","",IF($B16&lt;$C16,"Under-invested vs peers",IF($B16&gt;$I16+_REF_Model_Content!$B$35,IF(IFERROR('_DATA_Dashboard_Facts'!$H$308,1)&lt;cfg_AboveOptimumRatio,"Above optimum - check cost","Strength"),IF($B16&lt;$I16,"Below optimum","On target"))))</f>
        <v/>
      </c>
    </row>
    <row r="226">
      <c r="A226" s="202">
        <f>'_DATA_Dashboard_Facts'!$A$309</f>
        <v/>
      </c>
      <c r="B226" s="202">
        <f>IFERROR(IF('_DATA_Dashboard_Facts'!$C$309="",'_DATA_Dashboard_Facts'!$B$309,'_DATA_Dashboard_Facts'!$C$309),"")</f>
        <v/>
      </c>
      <c r="C226" s="202">
        <f>ROUND(MAX(0.2,$D17-_REF_Model_Content!$B$32),2)</f>
        <v/>
      </c>
      <c r="D226" s="202">
        <f>ROUND(MIN(4.5,MAX(0.5,INDEX(_REF_Model_Content!$B$5:$B$21,MATCH($A17,_REF_Model_Content!$A$5:$A$21,0))+_xlfn.IFNA(VLOOKUP('Company Profile'!$B$105,_REF_Model_Content!$A$24:$B$28,2,0),0)+_REF_Model_Content!$B$31*(IFERROR('_DATA_Dashboard_Facts'!$H$309,1)-1))),2)</f>
        <v/>
      </c>
      <c r="E226" s="202">
        <f>ROUND(MIN(4.8,$D17+_REF_Model_Content!$B$32),2)</f>
        <v/>
      </c>
      <c r="F226" s="202">
        <f>IF($B17="","",ROUND(IF($B17&lt;=$C17,25*$B17/MAX($C17,0.1),IF($B17&lt;=$D17,25+25*($B17-$C17)/MAX($D17-$C17,0.1),IF($B17&lt;=$E17,50+25*($B17-$D17)/MAX($E17-$D17,0.1),MIN(99,75+25*($B17-$E17)/MAX(5-$E17,0.1))))),0))</f>
        <v/>
      </c>
      <c r="G226" s="202">
        <f>IF($B17="","",IF($B17&lt;$C17,"Bottom quartile",IF($B17&lt;$D17,"Below median",IF($B17&lt;=$E17,"Above median","Top quartile"))))</f>
        <v/>
      </c>
      <c r="H226" s="202">
        <f>IFERROR('_DATA_Dashboard_Facts'!$F$309,"")</f>
        <v/>
      </c>
      <c r="I226" s="202">
        <f>ROUND(MAX(0,MIN(5,MIN(MIN(5,$E17+0.5),MAX(IFERROR('_DATA_Dashboard_Facts'!$R$309,2),$D17+_REF_Model_Content!$B$33+_REF_Model_Content!$B$34*(IFERROR('_DATA_Dashboard_Facts'!$H$309,1)-1)))+_xlfn.IFNA(VLOOKUP('Company Profile'!$B$35,_CONFIG_Model_Settings!$A$11:$B$13,2,0),0))),2)</f>
        <v/>
      </c>
      <c r="J226" s="202">
        <f>IF($B17="","",MAX(0,ROUND($I17-$B17,2)))</f>
        <v/>
      </c>
      <c r="K226" s="202">
        <f>IF($B17="","",IF($B17&lt;$C17,"Under-invested vs peers",IF($B17&gt;$I17+_REF_Model_Content!$B$35,IF(IFERROR('_DATA_Dashboard_Facts'!$H$309,1)&lt;cfg_AboveOptimumRatio,"Above optimum - check cost","Strength"),IF($B17&lt;$I17,"Below optimum","On target"))))</f>
        <v/>
      </c>
    </row>
    <row r="227">
      <c r="A227" s="202">
        <f>'_DATA_Dashboard_Facts'!$A$310</f>
        <v/>
      </c>
      <c r="B227" s="202">
        <f>IFERROR(IF('_DATA_Dashboard_Facts'!$C$310="",'_DATA_Dashboard_Facts'!$B$310,'_DATA_Dashboard_Facts'!$C$310),"")</f>
        <v/>
      </c>
      <c r="C227" s="202">
        <f>ROUND(MAX(0.2,$D18-_REF_Model_Content!$B$32),2)</f>
        <v/>
      </c>
      <c r="D227" s="202">
        <f>ROUND(MIN(4.5,MAX(0.5,INDEX(_REF_Model_Content!$B$5:$B$21,MATCH($A18,_REF_Model_Content!$A$5:$A$21,0))+_xlfn.IFNA(VLOOKUP('Company Profile'!$B$105,_REF_Model_Content!$A$24:$B$28,2,0),0)+_REF_Model_Content!$B$31*(IFERROR('_DATA_Dashboard_Facts'!$H$310,1)-1))),2)</f>
        <v/>
      </c>
      <c r="E227" s="202">
        <f>ROUND(MIN(4.8,$D18+_REF_Model_Content!$B$32),2)</f>
        <v/>
      </c>
      <c r="F227" s="202">
        <f>IF($B18="","",ROUND(IF($B18&lt;=$C18,25*$B18/MAX($C18,0.1),IF($B18&lt;=$D18,25+25*($B18-$C18)/MAX($D18-$C18,0.1),IF($B18&lt;=$E18,50+25*($B18-$D18)/MAX($E18-$D18,0.1),MIN(99,75+25*($B18-$E18)/MAX(5-$E18,0.1))))),0))</f>
        <v/>
      </c>
      <c r="G227" s="202">
        <f>IF($B18="","",IF($B18&lt;$C18,"Bottom quartile",IF($B18&lt;$D18,"Below median",IF($B18&lt;=$E18,"Above median","Top quartile"))))</f>
        <v/>
      </c>
      <c r="H227" s="202">
        <f>IFERROR('_DATA_Dashboard_Facts'!$F$310,"")</f>
        <v/>
      </c>
      <c r="I227" s="202">
        <f>ROUND(MAX(0,MIN(5,MIN(MIN(5,$E18+0.5),MAX(IFERROR('_DATA_Dashboard_Facts'!$R$310,2),$D18+_REF_Model_Content!$B$33+_REF_Model_Content!$B$34*(IFERROR('_DATA_Dashboard_Facts'!$H$310,1)-1)))+_xlfn.IFNA(VLOOKUP('Company Profile'!$B$35,_CONFIG_Model_Settings!$A$11:$B$13,2,0),0))),2)</f>
        <v/>
      </c>
      <c r="J227" s="202">
        <f>IF($B18="","",MAX(0,ROUND($I18-$B18,2)))</f>
        <v/>
      </c>
      <c r="K227" s="202">
        <f>IF($B18="","",IF($B18&lt;$C18,"Under-invested vs peers",IF($B18&gt;$I18+_REF_Model_Content!$B$35,IF(IFERROR('_DATA_Dashboard_Facts'!$H$310,1)&lt;cfg_AboveOptimumRatio,"Above optimum - check cost","Strength"),IF($B18&lt;$I18,"Below optimum","On target"))))</f>
        <v/>
      </c>
    </row>
    <row r="228">
      <c r="A228" s="202">
        <f>'_DATA_Dashboard_Facts'!$A$311</f>
        <v/>
      </c>
      <c r="B228" s="202">
        <f>IFERROR(IF('_DATA_Dashboard_Facts'!$C$311="",'_DATA_Dashboard_Facts'!$B$311,'_DATA_Dashboard_Facts'!$C$311),"")</f>
        <v/>
      </c>
      <c r="C228" s="202">
        <f>ROUND(MAX(0.2,$D19-_REF_Model_Content!$B$32),2)</f>
        <v/>
      </c>
      <c r="D228" s="202">
        <f>ROUND(MIN(4.5,MAX(0.5,INDEX(_REF_Model_Content!$B$5:$B$21,MATCH($A19,_REF_Model_Content!$A$5:$A$21,0))+_xlfn.IFNA(VLOOKUP('Company Profile'!$B$105,_REF_Model_Content!$A$24:$B$28,2,0),0)+_REF_Model_Content!$B$31*(IFERROR('_DATA_Dashboard_Facts'!$H$311,1)-1))),2)</f>
        <v/>
      </c>
      <c r="E228" s="202">
        <f>ROUND(MIN(4.8,$D19+_REF_Model_Content!$B$32),2)</f>
        <v/>
      </c>
      <c r="F228" s="202">
        <f>IF($B19="","",ROUND(IF($B19&lt;=$C19,25*$B19/MAX($C19,0.1),IF($B19&lt;=$D19,25+25*($B19-$C19)/MAX($D19-$C19,0.1),IF($B19&lt;=$E19,50+25*($B19-$D19)/MAX($E19-$D19,0.1),MIN(99,75+25*($B19-$E19)/MAX(5-$E19,0.1))))),0))</f>
        <v/>
      </c>
      <c r="G228" s="202">
        <f>IF($B19="","",IF($B19&lt;$C19,"Bottom quartile",IF($B19&lt;$D19,"Below median",IF($B19&lt;=$E19,"Above median","Top quartile"))))</f>
        <v/>
      </c>
      <c r="H228" s="202">
        <f>IFERROR('_DATA_Dashboard_Facts'!$F$311,"")</f>
        <v/>
      </c>
      <c r="I228" s="202">
        <f>ROUND(MAX(0,MIN(5,MIN(MIN(5,$E19+0.5),MAX(IFERROR('_DATA_Dashboard_Facts'!$R$311,2),$D19+_REF_Model_Content!$B$33+_REF_Model_Content!$B$34*(IFERROR('_DATA_Dashboard_Facts'!$H$311,1)-1)))+_xlfn.IFNA(VLOOKUP('Company Profile'!$B$35,_CONFIG_Model_Settings!$A$11:$B$13,2,0),0))),2)</f>
        <v/>
      </c>
      <c r="J228" s="202">
        <f>IF($B19="","",MAX(0,ROUND($I19-$B19,2)))</f>
        <v/>
      </c>
      <c r="K228" s="202">
        <f>IF($B19="","",IF($B19&lt;$C19,"Under-invested vs peers",IF($B19&gt;$I19+_REF_Model_Content!$B$35,IF(IFERROR('_DATA_Dashboard_Facts'!$H$311,1)&lt;cfg_AboveOptimumRatio,"Above optimum - check cost","Strength"),IF($B19&lt;$I19,"Below optimum","On target"))))</f>
        <v/>
      </c>
    </row>
    <row r="229">
      <c r="A229" s="202">
        <f>'_DATA_Dashboard_Facts'!$A$312</f>
        <v/>
      </c>
      <c r="B229" s="202">
        <f>IFERROR(IF('_DATA_Dashboard_Facts'!$C$312="",'_DATA_Dashboard_Facts'!$B$312,'_DATA_Dashboard_Facts'!$C$312),"")</f>
        <v/>
      </c>
      <c r="C229" s="202">
        <f>ROUND(MAX(0.2,$D20-_REF_Model_Content!$B$32),2)</f>
        <v/>
      </c>
      <c r="D229" s="202">
        <f>ROUND(MIN(4.5,MAX(0.5,INDEX(_REF_Model_Content!$B$5:$B$21,MATCH($A20,_REF_Model_Content!$A$5:$A$21,0))+_xlfn.IFNA(VLOOKUP('Company Profile'!$B$105,_REF_Model_Content!$A$24:$B$28,2,0),0)+_REF_Model_Content!$B$31*(IFERROR('_DATA_Dashboard_Facts'!$H$312,1)-1))),2)</f>
        <v/>
      </c>
      <c r="E229" s="202">
        <f>ROUND(MIN(4.8,$D20+_REF_Model_Content!$B$32),2)</f>
        <v/>
      </c>
      <c r="F229" s="202">
        <f>IF($B20="","",ROUND(IF($B20&lt;=$C20,25*$B20/MAX($C20,0.1),IF($B20&lt;=$D20,25+25*($B20-$C20)/MAX($D20-$C20,0.1),IF($B20&lt;=$E20,50+25*($B20-$D20)/MAX($E20-$D20,0.1),MIN(99,75+25*($B20-$E20)/MAX(5-$E20,0.1))))),0))</f>
        <v/>
      </c>
      <c r="G229" s="202">
        <f>IF($B20="","",IF($B20&lt;$C20,"Bottom quartile",IF($B20&lt;$D20,"Below median",IF($B20&lt;=$E20,"Above median","Top quartile"))))</f>
        <v/>
      </c>
      <c r="H229" s="202">
        <f>IFERROR('_DATA_Dashboard_Facts'!$F$312,"")</f>
        <v/>
      </c>
      <c r="I229" s="202">
        <f>ROUND(MAX(0,MIN(5,MIN(MIN(5,$E20+0.5),MAX(IFERROR('_DATA_Dashboard_Facts'!$R$312,2),$D20+_REF_Model_Content!$B$33+_REF_Model_Content!$B$34*(IFERROR('_DATA_Dashboard_Facts'!$H$312,1)-1)))+_xlfn.IFNA(VLOOKUP('Company Profile'!$B$35,_CONFIG_Model_Settings!$A$11:$B$13,2,0),0))),2)</f>
        <v/>
      </c>
      <c r="J229" s="202">
        <f>IF($B20="","",MAX(0,ROUND($I20-$B20,2)))</f>
        <v/>
      </c>
      <c r="K229" s="202">
        <f>IF($B20="","",IF($B20&lt;$C20,"Under-invested vs peers",IF($B20&gt;$I20+_REF_Model_Content!$B$35,IF(IFERROR('_DATA_Dashboard_Facts'!$H$312,1)&lt;cfg_AboveOptimumRatio,"Above optimum - check cost","Strength"),IF($B20&lt;$I20,"Below optimum","On target"))))</f>
        <v/>
      </c>
    </row>
    <row r="230">
      <c r="A230" s="202">
        <f>'_DATA_Dashboard_Facts'!$A$313</f>
        <v/>
      </c>
      <c r="B230" s="202">
        <f>IFERROR(IF('_DATA_Dashboard_Facts'!$C$313="",'_DATA_Dashboard_Facts'!$B$313,'_DATA_Dashboard_Facts'!$C$313),"")</f>
        <v/>
      </c>
      <c r="C230" s="202">
        <f>ROUND(MAX(0.2,$D21-_REF_Model_Content!$B$32),2)</f>
        <v/>
      </c>
      <c r="D230" s="202">
        <f>ROUND(MIN(4.5,MAX(0.5,INDEX(_REF_Model_Content!$B$5:$B$21,MATCH($A21,_REF_Model_Content!$A$5:$A$21,0))+_xlfn.IFNA(VLOOKUP('Company Profile'!$B$105,_REF_Model_Content!$A$24:$B$28,2,0),0)+_REF_Model_Content!$B$31*(IFERROR('_DATA_Dashboard_Facts'!$H$313,1)-1))),2)</f>
        <v/>
      </c>
      <c r="E230" s="202">
        <f>ROUND(MIN(4.8,$D21+_REF_Model_Content!$B$32),2)</f>
        <v/>
      </c>
      <c r="F230" s="202">
        <f>IF($B21="","",ROUND(IF($B21&lt;=$C21,25*$B21/MAX($C21,0.1),IF($B21&lt;=$D21,25+25*($B21-$C21)/MAX($D21-$C21,0.1),IF($B21&lt;=$E21,50+25*($B21-$D21)/MAX($E21-$D21,0.1),MIN(99,75+25*($B21-$E21)/MAX(5-$E21,0.1))))),0))</f>
        <v/>
      </c>
      <c r="G230" s="202">
        <f>IF($B21="","",IF($B21&lt;$C21,"Bottom quartile",IF($B21&lt;$D21,"Below median",IF($B21&lt;=$E21,"Above median","Top quartile"))))</f>
        <v/>
      </c>
      <c r="H230" s="202">
        <f>IFERROR('_DATA_Dashboard_Facts'!$F$313,"")</f>
        <v/>
      </c>
      <c r="I230" s="202">
        <f>ROUND(MAX(0,MIN(5,MIN(MIN(5,$E21+0.5),MAX(IFERROR('_DATA_Dashboard_Facts'!$R$313,2),$D21+_REF_Model_Content!$B$33+_REF_Model_Content!$B$34*(IFERROR('_DATA_Dashboard_Facts'!$H$313,1)-1)))+_xlfn.IFNA(VLOOKUP('Company Profile'!$B$35,_CONFIG_Model_Settings!$A$11:$B$13,2,0),0))),2)</f>
        <v/>
      </c>
      <c r="J230" s="202">
        <f>IF($B21="","",MAX(0,ROUND($I21-$B21,2)))</f>
        <v/>
      </c>
      <c r="K230" s="202">
        <f>IF($B21="","",IF($B21&lt;$C21,"Under-invested vs peers",IF($B21&gt;$I21+_REF_Model_Content!$B$35,IF(IFERROR('_DATA_Dashboard_Facts'!$H$313,1)&lt;cfg_AboveOptimumRatio,"Above optimum - check cost","Strength"),IF($B21&lt;$I21,"Below optimum","On target"))))</f>
        <v/>
      </c>
    </row>
    <row r="231">
      <c r="A231" s="202">
        <f>'_DATA_Dashboard_Facts'!$A$314</f>
        <v/>
      </c>
      <c r="B231" s="202">
        <f>IFERROR(IF('_DATA_Dashboard_Facts'!$C$314="",'_DATA_Dashboard_Facts'!$B$314,'_DATA_Dashboard_Facts'!$C$314),"")</f>
        <v/>
      </c>
      <c r="C231" s="202">
        <f>ROUND(MAX(0.2,$D22-_REF_Model_Content!$B$32),2)</f>
        <v/>
      </c>
      <c r="D231" s="202">
        <f>_xlfn.IFNA(ROUND(MIN(4.5,MAX(0.5,INDEX(_REF_Model_Content!$B$5:$B$21,MATCH($A22,_REF_Model_Content!$A$5:$A$21,0))+_xlfn.IFNA(VLOOKUP('Company Profile'!$B$105,_REF_Model_Content!$A$24:$B$28,2,0),0)+_REF_Model_Content!$B$31*(IFERROR('_DATA_Dashboard_Facts'!$H$314,1)-1))),2),"")</f>
        <v/>
      </c>
      <c r="E231" s="202">
        <f>ROUND(MIN(4.8,$D22+_REF_Model_Content!$B$32),2)</f>
        <v/>
      </c>
      <c r="F231" s="202">
        <f>IF($B22="","",ROUND(IF($B22&lt;=$C22,25*$B22/MAX($C22,0.1),IF($B22&lt;=$D22,25+25*($B22-$C22)/MAX($D22-$C22,0.1),IF($B22&lt;=$E22,50+25*($B22-$D22)/MAX($E22-$D22,0.1),MIN(99,75+25*($B22-$E22)/MAX(5-$E22,0.1))))),0))</f>
        <v/>
      </c>
      <c r="G231" s="202">
        <f>IF($B22="","",IF($B22&lt;$C22,"Bottom quartile",IF($B22&lt;$D22,"Below median",IF($B22&lt;=$E22,"Above median","Top quartile"))))</f>
        <v/>
      </c>
      <c r="H231" s="202">
        <f>IFERROR('_DATA_Dashboard_Facts'!$F$314,"")</f>
        <v/>
      </c>
      <c r="I231" s="202">
        <f>ROUND(MAX(0,MIN(5,MIN(MIN(5,$E22+0.5),MAX(IFERROR('_DATA_Dashboard_Facts'!$R$314,2),$D22+_REF_Model_Content!$B$33+_REF_Model_Content!$B$34*(IFERROR('_DATA_Dashboard_Facts'!$H$314,1)-1)))+_xlfn.IFNA(VLOOKUP('Company Profile'!$B$35,_CONFIG_Model_Settings!$A$11:$B$13,2,0),0))),2)</f>
        <v/>
      </c>
      <c r="J231" s="202">
        <f>IF($B22="","",MAX(0,ROUND($I22-$B22,2)))</f>
        <v/>
      </c>
      <c r="K231" s="202">
        <f>IF($B22="","",IF($B22&lt;$C22,"Under-invested vs peers",IF($B22&gt;$I22+_REF_Model_Content!$B$35,IF(IFERROR('_DATA_Dashboard_Facts'!$H$314,1)&lt;cfg_AboveOptimumRatio,"Above optimum - check cost","Strength"),IF($B22&lt;$I22,"Below optimum","On target"))))</f>
        <v/>
      </c>
    </row>
    <row r="232">
      <c r="A232" s="202">
        <f>'_DATA_Dashboard_Facts'!$A$315</f>
        <v/>
      </c>
      <c r="B232" s="202">
        <f>IFERROR(IF('_DATA_Dashboard_Facts'!$C$315="",'_DATA_Dashboard_Facts'!$B$315,'_DATA_Dashboard_Facts'!$C$315),"")</f>
        <v/>
      </c>
      <c r="C232" s="202">
        <f>ROUND(MAX(0.2,$D23-_REF_Model_Content!$B$32),2)</f>
        <v/>
      </c>
      <c r="D232" s="202">
        <f>_xlfn.IFNA(ROUND(MIN(4.5,MAX(0.5,INDEX(_REF_Model_Content!$B$5:$B$21,MATCH($A23,_REF_Model_Content!$A$5:$A$21,0))+_xlfn.IFNA(VLOOKUP('Company Profile'!$B$105,_REF_Model_Content!$A$24:$B$28,2,0),0)+_REF_Model_Content!$B$31*(IFERROR('_DATA_Dashboard_Facts'!$H$315,1)-1))),2),"")</f>
        <v/>
      </c>
      <c r="E232" s="202">
        <f>ROUND(MIN(4.8,$D23+_REF_Model_Content!$B$32),2)</f>
        <v/>
      </c>
      <c r="F232" s="202">
        <f>IF($B23="","",ROUND(IF($B23&lt;=$C23,25*$B23/MAX($C23,0.1),IF($B23&lt;=$D23,25+25*($B23-$C23)/MAX($D23-$C23,0.1),IF($B23&lt;=$E23,50+25*($B23-$D23)/MAX($E23-$D23,0.1),MIN(99,75+25*($B23-$E23)/MAX(5-$E23,0.1))))),0))</f>
        <v/>
      </c>
      <c r="G232" s="202">
        <f>IF($B23="","",IF($B23&lt;$C23,"Bottom quartile",IF($B23&lt;$D23,"Below median",IF($B23&lt;=$E23,"Above median","Top quartile"))))</f>
        <v/>
      </c>
      <c r="H232" s="202">
        <f>IFERROR('_DATA_Dashboard_Facts'!$F$315,"")</f>
        <v/>
      </c>
      <c r="I232" s="202">
        <f>ROUND(MAX(0,MIN(5,MIN(MIN(5,$E23+0.5),MAX(IFERROR('_DATA_Dashboard_Facts'!$R$315,2),$D23+_REF_Model_Content!$B$33+_REF_Model_Content!$B$34*(IFERROR('_DATA_Dashboard_Facts'!$H$315,1)-1)))+_xlfn.IFNA(VLOOKUP('Company Profile'!$B$35,_CONFIG_Model_Settings!$A$11:$B$13,2,0),0))),2)</f>
        <v/>
      </c>
      <c r="J232" s="202">
        <f>IF($B23="","",MAX(0,ROUND($I23-$B23,2)))</f>
        <v/>
      </c>
      <c r="K232" s="202">
        <f>IF($B23="","",IF($B23&lt;$C23,"Under-invested vs peers",IF($B23&gt;$I23+_REF_Model_Content!$B$35,IF(IFERROR('_DATA_Dashboard_Facts'!$H$315,1)&lt;cfg_AboveOptimumRatio,"Above optimum - check cost","Strength"),IF($B23&lt;$I23,"Below optimum","On target"))))</f>
        <v/>
      </c>
    </row>
    <row r="233">
      <c r="A233" s="202">
        <f>'_DATA_Dashboard_Facts'!$A$316</f>
        <v/>
      </c>
      <c r="B233" s="202">
        <f>IFERROR(IF('_DATA_Dashboard_Facts'!$C$316="",'_DATA_Dashboard_Facts'!$B$316,'_DATA_Dashboard_Facts'!$C$316),"")</f>
        <v/>
      </c>
      <c r="C233" s="202">
        <f>ROUND(MAX(0.2,$D24-_REF_Model_Content!$B$32),2)</f>
        <v/>
      </c>
      <c r="D233" s="202">
        <f>_xlfn.IFNA(ROUND(MIN(4.5,MAX(0.5,INDEX(_REF_Model_Content!$B$5:$B$21,MATCH($A24,_REF_Model_Content!$A$5:$A$21,0))+_xlfn.IFNA(VLOOKUP('Company Profile'!$B$105,_REF_Model_Content!$A$24:$B$28,2,0),0)+_REF_Model_Content!$B$31*(IFERROR('_DATA_Dashboard_Facts'!$H$316,1)-1))),2),"")</f>
        <v/>
      </c>
      <c r="E233" s="202">
        <f>ROUND(MIN(4.8,$D24+_REF_Model_Content!$B$32),2)</f>
        <v/>
      </c>
      <c r="F233" s="202">
        <f>IF($B24="","",ROUND(IF($B24&lt;=$C24,25*$B24/MAX($C24,0.1),IF($B24&lt;=$D24,25+25*($B24-$C24)/MAX($D24-$C24,0.1),IF($B24&lt;=$E24,50+25*($B24-$D24)/MAX($E24-$D24,0.1),MIN(99,75+25*($B24-$E24)/MAX(5-$E24,0.1))))),0))</f>
        <v/>
      </c>
      <c r="G233" s="202">
        <f>IF($B24="","",IF($B24&lt;$C24,"Bottom quartile",IF($B24&lt;$D24,"Below median",IF($B24&lt;=$E24,"Above median","Top quartile"))))</f>
        <v/>
      </c>
      <c r="H233" s="202">
        <f>IFERROR('_DATA_Dashboard_Facts'!$F$316,"")</f>
        <v/>
      </c>
      <c r="I233" s="202">
        <f>ROUND(MAX(0,MIN(5,MIN(MIN(5,$E24+0.5),MAX(IFERROR('_DATA_Dashboard_Facts'!$R$316,2),$D24+_REF_Model_Content!$B$33+_REF_Model_Content!$B$34*(IFERROR('_DATA_Dashboard_Facts'!$H$316,1)-1)))+_xlfn.IFNA(VLOOKUP('Company Profile'!$B$35,_CONFIG_Model_Settings!$A$11:$B$13,2,0),0))),2)</f>
        <v/>
      </c>
      <c r="J233" s="202">
        <f>IF($B24="","",MAX(0,ROUND($I24-$B24,2)))</f>
        <v/>
      </c>
      <c r="K233" s="202">
        <f>IF($B24="","",IF($B24&lt;$C24,"Under-invested vs peers",IF($B24&gt;$I24+_REF_Model_Content!$B$35,IF(IFERROR('_DATA_Dashboard_Facts'!$H$316,1)&lt;cfg_AboveOptimumRatio,"Above optimum - check cost","Strength"),IF($B24&lt;$I24,"Below optimum","On target"))))</f>
        <v/>
      </c>
    </row>
    <row r="234">
      <c r="A234" s="202" t="n"/>
      <c r="B234" s="202" t="n"/>
      <c r="C234" s="202" t="n"/>
      <c r="D234" s="202" t="n"/>
      <c r="E234" s="202" t="n"/>
      <c r="F234" s="202" t="n"/>
      <c r="G234" s="202" t="n"/>
      <c r="H234" s="202" t="n"/>
      <c r="I234" s="202" t="n"/>
      <c r="J234" s="202" t="n"/>
      <c r="K234" s="202" t="n"/>
    </row>
    <row r="235">
      <c r="A235" s="202" t="n"/>
      <c r="B235" s="202" t="n"/>
      <c r="C235" s="202" t="n"/>
      <c r="D235" s="202" t="n"/>
      <c r="E235" s="202" t="n"/>
      <c r="F235" s="202" t="n"/>
      <c r="G235" s="202" t="n"/>
      <c r="H235" s="202" t="n"/>
      <c r="I235" s="202" t="n"/>
      <c r="J235" s="202" t="n"/>
      <c r="K235" s="202" t="n"/>
    </row>
    <row r="236">
      <c r="A236" s="202" t="inlineStr">
        <is>
          <t>Summary</t>
        </is>
      </c>
      <c r="B236" s="202" t="n"/>
      <c r="C236" s="202" t="n"/>
      <c r="D236" s="202" t="n"/>
      <c r="E236" s="202" t="n"/>
      <c r="F236" s="202" t="n"/>
      <c r="G236" s="202" t="n"/>
      <c r="H236" s="202" t="n"/>
      <c r="I236" s="202" t="n"/>
      <c r="J236" s="202" t="n"/>
      <c r="K236" s="202" t="n"/>
    </row>
    <row r="237">
      <c r="A237" s="202" t="inlineStr">
        <is>
          <t>Domains under-invested vs peers</t>
        </is>
      </c>
      <c r="B237" s="202">
        <f>COUNTIF($K$8:$K$24,"Under-invested vs peers")</f>
        <v/>
      </c>
      <c r="C237" s="202" t="n"/>
      <c r="D237" s="202" t="n"/>
      <c r="E237" s="202" t="n"/>
      <c r="F237" s="202" t="n"/>
      <c r="G237" s="202" t="n"/>
      <c r="H237" s="202" t="n"/>
      <c r="I237" s="202" t="n"/>
      <c r="J237" s="202" t="n"/>
      <c r="K237" s="202" t="n"/>
    </row>
    <row r="238">
      <c r="A238" s="202" t="inlineStr">
        <is>
          <t>Domains below optimum</t>
        </is>
      </c>
      <c r="B238" s="202">
        <f>COUNTIF($K$8:$K$24,"Below optimum")+COUNTIF($K$8:$K$24,"Under-invested vs peers")</f>
        <v/>
      </c>
      <c r="C238" s="202" t="n"/>
      <c r="D238" s="202" t="n"/>
      <c r="E238" s="202" t="n"/>
      <c r="F238" s="202" t="n"/>
      <c r="G238" s="202" t="n"/>
      <c r="H238" s="202" t="n"/>
      <c r="I238" s="202" t="n"/>
      <c r="J238" s="202" t="n"/>
      <c r="K238" s="202" t="n"/>
    </row>
    <row r="239">
      <c r="A239" s="202" t="inlineStr">
        <is>
          <t>Domains above optimum (check cost)</t>
        </is>
      </c>
      <c r="B239" s="202">
        <f>COUNTIF($K$8:$K$24,"Above optimum - check cost")</f>
        <v/>
      </c>
      <c r="C239" s="202" t="n"/>
      <c r="D239" s="202" t="n"/>
      <c r="E239" s="202" t="n"/>
      <c r="F239" s="202" t="n"/>
      <c r="G239" s="202" t="n"/>
      <c r="H239" s="202" t="n"/>
      <c r="I239" s="202" t="n"/>
      <c r="J239" s="202" t="n"/>
      <c r="K239" s="202" t="n"/>
    </row>
    <row r="240">
      <c r="A240" s="202" t="inlineStr">
        <is>
          <t>Average percentile vs peers</t>
        </is>
      </c>
      <c r="B240" s="202">
        <f>IFERROR(ROUND(AVERAGE($F$8:$F$24),0),"")</f>
        <v/>
      </c>
      <c r="C240" s="202" t="n"/>
      <c r="D240" s="202" t="n"/>
      <c r="E240" s="202" t="n"/>
      <c r="F240" s="202" t="n"/>
      <c r="G240" s="202" t="n"/>
      <c r="H240" s="202" t="n"/>
      <c r="I240" s="202" t="n"/>
      <c r="J240" s="202" t="n"/>
      <c r="K240" s="202" t="n"/>
    </row>
    <row r="241">
      <c r="A241" s="202" t="n"/>
      <c r="B241" s="202" t="n"/>
      <c r="C241" s="202" t="n"/>
      <c r="D241" s="202" t="n"/>
      <c r="E241" s="202" t="n"/>
      <c r="F241" s="202" t="n"/>
      <c r="G241" s="202" t="n"/>
      <c r="H241" s="202" t="n"/>
      <c r="I241" s="202" t="n"/>
      <c r="J241" s="202" t="n"/>
      <c r="K241" s="202" t="n"/>
    </row>
    <row r="242">
      <c r="A242" s="202" t="inlineStr">
        <is>
          <t>Principle: optimum, not maximum</t>
        </is>
      </c>
      <c r="B242" s="202" t="n"/>
      <c r="C242" s="202" t="n"/>
      <c r="D242" s="202" t="n"/>
      <c r="E242" s="202" t="n"/>
      <c r="F242" s="202" t="n"/>
      <c r="G242" s="202" t="n"/>
      <c r="H242" s="202" t="n"/>
      <c r="I242" s="202" t="n"/>
      <c r="J242" s="202" t="n"/>
      <c r="K242" s="202" t="n"/>
    </row>
    <row r="243">
      <c r="A243" s="202" t="inlineStr">
        <is>
          <t>Not every domain should reach 5. The optimal target balances industry red-lines, criticality and the peer corridor. Pushing a low-criticality domain far above the optimum consumes change capacity and budget that critical gaps need - the "Above optimum - check cost" flag highlights this.</t>
        </is>
      </c>
      <c r="B243" s="202" t="n"/>
      <c r="C243" s="202" t="n"/>
      <c r="D243" s="202" t="n"/>
      <c r="E243" s="202" t="n"/>
      <c r="F243" s="202" t="n"/>
      <c r="G243" s="202" t="n"/>
      <c r="H243" s="202" t="n"/>
      <c r="I243" s="202" t="n"/>
      <c r="J243" s="202" t="n"/>
      <c r="K243" s="202" t="n"/>
    </row>
    <row r="244">
      <c r="A244" s="202" t="n"/>
      <c r="B244" s="202" t="n"/>
      <c r="C244" s="202" t="n"/>
      <c r="D244" s="202" t="n"/>
      <c r="E244" s="202" t="n"/>
      <c r="F244" s="202" t="n"/>
      <c r="G244" s="202" t="n"/>
      <c r="H244" s="202" t="n"/>
      <c r="I244" s="202" t="n"/>
      <c r="J244" s="202" t="n"/>
      <c r="K244" s="202" t="n"/>
    </row>
    <row r="245">
      <c r="A245" s="202" t="inlineStr">
        <is>
          <t>v1.5 benchmark governance note</t>
        </is>
      </c>
      <c r="B245" s="202" t="n"/>
      <c r="C245" s="202" t="n"/>
      <c r="D245" s="202" t="n"/>
      <c r="E245" s="202" t="n"/>
      <c r="F245" s="202" t="n"/>
      <c r="G245" s="202" t="n"/>
      <c r="H245" s="202" t="n"/>
      <c r="I245" s="202" t="n"/>
      <c r="J245" s="202" t="n"/>
      <c r="K245" s="202" t="n"/>
    </row>
    <row r="246">
      <c r="A246" s="202" t="inlineStr">
        <is>
          <t>Benchmark confidence: Seed / Low. P25/P50/P75 and percentile values are expert seed corridors, not measured market percentiles. Replace with measured peer data as the assessment base grows; keep source and sample-size notes in _REF_Model_Content.</t>
        </is>
      </c>
      <c r="B246" s="202" t="n"/>
      <c r="C246" s="202" t="n"/>
      <c r="D246" s="202" t="n"/>
      <c r="E246" s="202" t="n"/>
      <c r="F246" s="202" t="n"/>
      <c r="G246" s="202" t="n"/>
      <c r="H246" s="202" t="n"/>
      <c r="I246" s="202" t="n"/>
      <c r="J246" s="202" t="n"/>
      <c r="K246" s="202" t="n"/>
    </row>
    <row r="270" ht="34.8" customHeight="1" s="209">
      <c r="A270" s="213" t="inlineStr">
        <is>
          <t>Spider Dashboards - Crisis Management Assessment</t>
        </is>
      </c>
      <c r="B270" s="202" t="n"/>
      <c r="C270" s="202" t="n"/>
      <c r="D270" s="202" t="n"/>
      <c r="E270" s="202" t="n"/>
      <c r="F270" s="202" t="n"/>
      <c r="G270" s="202" t="n"/>
      <c r="H270" s="202" t="n"/>
      <c r="I270" s="202" t="n"/>
      <c r="J270" s="202" t="n"/>
      <c r="K270" s="202" t="n"/>
      <c r="L270" s="202" t="n"/>
      <c r="M270" s="202" t="n"/>
      <c r="N270" s="202" t="n"/>
      <c r="O270" s="202" t="n"/>
      <c r="P270" s="202" t="n"/>
      <c r="Q270" s="202" t="n"/>
      <c r="R270" s="202" t="n"/>
    </row>
    <row r="271" ht="82.8" customHeight="1" s="209">
      <c r="A271" s="225" t="inlineStr">
        <is>
          <t>Radar charts are driven by scores entered in each domain tab. Blank or N/A scores are excluded from weighted averages. Horizontal metrics use relevance weights added to each questionnaire row.</t>
        </is>
      </c>
      <c r="B271" s="202" t="n"/>
      <c r="C271" s="202" t="n"/>
      <c r="D271" s="202" t="n"/>
      <c r="E271" s="202" t="n"/>
      <c r="F271" s="202" t="n"/>
      <c r="G271" s="202" t="n"/>
      <c r="H271" s="202" t="n"/>
      <c r="I271" s="202" t="n"/>
      <c r="J271" s="202" t="n"/>
      <c r="K271" s="202" t="n"/>
      <c r="L271" s="202" t="n"/>
      <c r="M271" s="202" t="n"/>
      <c r="N271" s="202" t="n"/>
      <c r="O271" s="202" t="n"/>
      <c r="P271" s="202" t="n"/>
      <c r="Q271" s="202" t="n"/>
      <c r="R271" s="202" t="n"/>
    </row>
    <row r="272">
      <c r="A272" s="202" t="n"/>
      <c r="B272" s="202" t="n"/>
      <c r="C272" s="202" t="n"/>
      <c r="D272" s="202" t="n"/>
      <c r="E272" s="202" t="n"/>
      <c r="F272" s="202" t="n"/>
      <c r="G272" s="202" t="n"/>
      <c r="H272" s="202" t="n"/>
      <c r="I272" s="202" t="n"/>
      <c r="J272" s="202" t="n"/>
      <c r="K272" s="202" t="n"/>
      <c r="L272" s="202" t="n"/>
      <c r="M272" s="202" t="n"/>
      <c r="N272" s="202" t="n"/>
      <c r="O272" s="202" t="n"/>
      <c r="P272" s="202" t="n"/>
      <c r="Q272" s="202" t="n"/>
      <c r="R272" s="202" t="n"/>
    </row>
    <row r="273" ht="33.9" customHeight="1" s="209">
      <c r="A273" s="111" t="inlineStr">
        <is>
          <t>Domain</t>
        </is>
      </c>
      <c r="B273" s="111" t="inlineStr">
        <is>
          <t>Maturity 0-5</t>
        </is>
      </c>
      <c r="C273" s="111" t="inlineStr">
        <is>
          <t>Maturity %</t>
        </is>
      </c>
      <c r="D273" s="111" t="inlineStr">
        <is>
          <t>Completion %</t>
        </is>
      </c>
      <c r="E273" s="111" t="inlineStr">
        <is>
          <t>Critical + High</t>
        </is>
      </c>
      <c r="F273" s="202" t="n"/>
      <c r="G273" s="111" t="inlineStr">
        <is>
          <t>Horizontal metric</t>
        </is>
      </c>
      <c r="H273" s="111" t="inlineStr">
        <is>
          <t>Overall score 0-5</t>
        </is>
      </c>
      <c r="I273" s="111" t="inlineStr">
        <is>
          <t>Maturity %</t>
        </is>
      </c>
      <c r="J273" s="111" t="inlineStr">
        <is>
          <t>Definition</t>
        </is>
      </c>
      <c r="K273" s="202" t="n"/>
      <c r="L273" s="111" t="inlineStr">
        <is>
          <t>Domain</t>
        </is>
      </c>
      <c r="M273" s="111" t="inlineStr">
        <is>
          <t>Digitalization score</t>
        </is>
      </c>
      <c r="N273" s="111" t="inlineStr">
        <is>
          <t>Digitalization weight</t>
        </is>
      </c>
      <c r="O273" s="111" t="inlineStr">
        <is>
          <t>Resilience score</t>
        </is>
      </c>
      <c r="P273" s="111" t="inlineStr">
        <is>
          <t>Resilience weight</t>
        </is>
      </c>
      <c r="Q273" s="111" t="inlineStr">
        <is>
          <t>Process score</t>
        </is>
      </c>
      <c r="R273" s="111" t="inlineStr">
        <is>
          <t>Process weight</t>
        </is>
      </c>
    </row>
    <row r="274" ht="42.75" customHeight="1" s="209">
      <c r="A274" s="112" t="inlineStr">
        <is>
          <t>Company Geography</t>
        </is>
      </c>
      <c r="B274" s="113">
        <f>_DATA_Dashboard_Facts!$H$5</f>
        <v/>
      </c>
      <c r="C274" s="114">
        <f>_DATA_Dashboard_Facts!$G$5</f>
        <v/>
      </c>
      <c r="D274" s="114">
        <f>_DATA_Dashboard_Facts!$D$5</f>
        <v/>
      </c>
      <c r="E274" s="115">
        <f>_DATA_Dashboard_Facts!$J$5+_DATA_Dashboard_Facts!$K$5</f>
        <v/>
      </c>
      <c r="F274" s="112" t="n"/>
      <c r="G274" s="116" t="inlineStr">
        <is>
          <t>Digitalization</t>
        </is>
      </c>
      <c r="H274" s="117">
        <f>IFERROR(SUMPRODUCT($M$5:$M$21,$N$5:$N$21)/SUM($N$5:$N$21),0)</f>
        <v/>
      </c>
      <c r="I274" s="118">
        <f>H5/5</f>
        <v/>
      </c>
      <c r="J274" s="116" t="inlineStr">
        <is>
          <t>Level of implementation and dependency on digital technologies, systems, data, automation, cloud and platforms.</t>
        </is>
      </c>
      <c r="K274" s="112" t="n"/>
      <c r="L274" s="112" t="inlineStr">
        <is>
          <t>Company Geography</t>
        </is>
      </c>
      <c r="M274" s="119">
        <f>IFERROR(SUMPRODUCT((_DATA_Assessment_Model!$H$5:$H$23&lt;&gt;"")*(_DATA_Assessment_Model!$H$5:$H$23&lt;&gt;"N/A"),IFERROR(VALUE(_DATA_Assessment_Model!$H$5:$H$23),0),_DATA_Assessment_Model!$G$5:$G$23,_DATA_Assessment_Model!$W$5:$W$23)/SUMPRODUCT((_DATA_Assessment_Model!$H$5:$H$23&lt;&gt;"")*(_DATA_Assessment_Model!$H$5:$H$23&lt;&gt;"N/A"),_DATA_Assessment_Model!$G$5:$G$23,_DATA_Assessment_Model!$W$5:$W$23),0)</f>
        <v/>
      </c>
      <c r="N274" s="119">
        <f>SUMPRODUCT((_DATA_Assessment_Model!$H$5:$H$23&lt;&gt;"")*(_DATA_Assessment_Model!$H$5:$H$23&lt;&gt;"N/A"),_DATA_Assessment_Model!$G$5:$G$23,_DATA_Assessment_Model!$W$5:$W$23)</f>
        <v/>
      </c>
      <c r="O274" s="119">
        <f>IFERROR(SUMPRODUCT((_DATA_Assessment_Model!$H$5:$H$23&lt;&gt;"")*(_DATA_Assessment_Model!$H$5:$H$23&lt;&gt;"N/A"),IFERROR(VALUE(_DATA_Assessment_Model!$H$5:$H$23),0),_DATA_Assessment_Model!$G$5:$G$23,_DATA_Assessment_Model!$X$5:$X$23)/SUMPRODUCT((_DATA_Assessment_Model!$H$5:$H$23&lt;&gt;"")*(_DATA_Assessment_Model!$H$5:$H$23&lt;&gt;"N/A"),_DATA_Assessment_Model!$G$5:$G$23,_DATA_Assessment_Model!$X$5:$X$23),0)</f>
        <v/>
      </c>
      <c r="P274" s="119">
        <f>SUMPRODUCT((_DATA_Assessment_Model!$H$5:$H$23&lt;&gt;"")*(_DATA_Assessment_Model!$H$5:$H$23&lt;&gt;"N/A"),_DATA_Assessment_Model!$G$5:$G$23,_DATA_Assessment_Model!$X$5:$X$23)</f>
        <v/>
      </c>
      <c r="Q274" s="119">
        <f>IFERROR(SUMPRODUCT((_DATA_Assessment_Model!$H$5:$H$23&lt;&gt;"")*(_DATA_Assessment_Model!$H$5:$H$23&lt;&gt;"N/A"),IFERROR(VALUE(_DATA_Assessment_Model!$H$5:$H$23),0),_DATA_Assessment_Model!$G$5:$G$23,_DATA_Assessment_Model!$Y$5:$Y$23)/SUMPRODUCT((_DATA_Assessment_Model!$H$5:$H$23&lt;&gt;"")*(_DATA_Assessment_Model!$H$5:$H$23&lt;&gt;"N/A"),_DATA_Assessment_Model!$G$5:$G$23,_DATA_Assessment_Model!$Y$5:$Y$23),0)</f>
        <v/>
      </c>
      <c r="R274" s="119">
        <f>SUMPRODUCT((_DATA_Assessment_Model!$H$5:$H$23&lt;&gt;"")*(_DATA_Assessment_Model!$H$5:$H$23&lt;&gt;"N/A"),_DATA_Assessment_Model!$G$5:$G$23,_DATA_Assessment_Model!$Y$5:$Y$23)</f>
        <v/>
      </c>
    </row>
    <row r="275" ht="28.5" customHeight="1" s="209">
      <c r="A275" s="112" t="inlineStr">
        <is>
          <t>Strategy GTM</t>
        </is>
      </c>
      <c r="B275" s="113">
        <f>_DATA_Dashboard_Facts!$H$6</f>
        <v/>
      </c>
      <c r="C275" s="114">
        <f>_DATA_Dashboard_Facts!$G$6</f>
        <v/>
      </c>
      <c r="D275" s="114">
        <f>_DATA_Dashboard_Facts!$D$6</f>
        <v/>
      </c>
      <c r="E275" s="115">
        <f>_DATA_Dashboard_Facts!$J$6+_DATA_Dashboard_Facts!$K$6</f>
        <v/>
      </c>
      <c r="F275" s="112" t="n"/>
      <c r="G275" s="116" t="inlineStr">
        <is>
          <t>Resilience</t>
        </is>
      </c>
      <c r="H275" s="117">
        <f>IFERROR(SUMPRODUCT($O$5:$O$21,$P$5:$P$21)/SUM($P$5:$P$21),0)</f>
        <v/>
      </c>
      <c r="I275" s="118">
        <f>H6/5</f>
        <v/>
      </c>
      <c r="J275" s="116" t="inlineStr">
        <is>
          <t>Ability to withstand and recover from crisis scenarios, disruptions, outages, site loss and people/supplier risks.</t>
        </is>
      </c>
      <c r="K275" s="112" t="n"/>
      <c r="L275" s="112" t="inlineStr">
        <is>
          <t>Strategy GTM</t>
        </is>
      </c>
      <c r="M275" s="119">
        <f>IFERROR(SUMPRODUCT((_DATA_Assessment_Model!$H$24:$H$49&lt;&gt;"")*(_DATA_Assessment_Model!$H$24:$H$49&lt;&gt;"N/A"),IFERROR(VALUE(_DATA_Assessment_Model!$H$24:$H$49),0),_DATA_Assessment_Model!$G$24:$G$49,_DATA_Assessment_Model!$W$24:$W$49)/SUMPRODUCT((_DATA_Assessment_Model!$H$24:$H$49&lt;&gt;"")*(_DATA_Assessment_Model!$H$24:$H$49&lt;&gt;"N/A"),_DATA_Assessment_Model!$G$24:$G$49,_DATA_Assessment_Model!$W$24:$W$49),0)</f>
        <v/>
      </c>
      <c r="N275" s="119">
        <f>SUMPRODUCT((_DATA_Assessment_Model!$H$24:$H$49&lt;&gt;"")*(_DATA_Assessment_Model!$H$24:$H$49&lt;&gt;"N/A"),_DATA_Assessment_Model!$G$24:$G$49,_DATA_Assessment_Model!$W$24:$W$49)</f>
        <v/>
      </c>
      <c r="O275" s="119">
        <f>IFERROR(SUMPRODUCT((_DATA_Assessment_Model!$H$24:$H$49&lt;&gt;"")*(_DATA_Assessment_Model!$H$24:$H$49&lt;&gt;"N/A"),IFERROR(VALUE(_DATA_Assessment_Model!$H$24:$H$49),0),_DATA_Assessment_Model!$G$24:$G$49,_DATA_Assessment_Model!$X$24:$X$49)/SUMPRODUCT((_DATA_Assessment_Model!$H$24:$H$49&lt;&gt;"")*(_DATA_Assessment_Model!$H$24:$H$49&lt;&gt;"N/A"),_DATA_Assessment_Model!$G$24:$G$49,_DATA_Assessment_Model!$X$24:$X$49),0)</f>
        <v/>
      </c>
      <c r="P275" s="119">
        <f>SUMPRODUCT((_DATA_Assessment_Model!$H$24:$H$49&lt;&gt;"")*(_DATA_Assessment_Model!$H$24:$H$49&lt;&gt;"N/A"),_DATA_Assessment_Model!$G$24:$G$49,_DATA_Assessment_Model!$X$24:$X$49)</f>
        <v/>
      </c>
      <c r="Q275" s="119">
        <f>IFERROR(SUMPRODUCT((_DATA_Assessment_Model!$H$24:$H$49&lt;&gt;"")*(_DATA_Assessment_Model!$H$24:$H$49&lt;&gt;"N/A"),IFERROR(VALUE(_DATA_Assessment_Model!$H$24:$H$49),0),_DATA_Assessment_Model!$G$24:$G$49,_DATA_Assessment_Model!$Y$24:$Y$49)/SUMPRODUCT((_DATA_Assessment_Model!$H$24:$H$49&lt;&gt;"")*(_DATA_Assessment_Model!$H$24:$H$49&lt;&gt;"N/A"),_DATA_Assessment_Model!$G$24:$G$49,_DATA_Assessment_Model!$Y$24:$Y$49),0)</f>
        <v/>
      </c>
      <c r="R275" s="119">
        <f>SUMPRODUCT((_DATA_Assessment_Model!$H$24:$H$49&lt;&gt;"")*(_DATA_Assessment_Model!$H$24:$H$49&lt;&gt;"N/A"),_DATA_Assessment_Model!$G$24:$G$49,_DATA_Assessment_Model!$Y$24:$Y$49)</f>
        <v/>
      </c>
    </row>
    <row r="276" ht="28.5" customHeight="1" s="209">
      <c r="A276" s="112" t="inlineStr">
        <is>
          <t>Governance Crisis</t>
        </is>
      </c>
      <c r="B276" s="113">
        <f>_DATA_Dashboard_Facts!$H$7</f>
        <v/>
      </c>
      <c r="C276" s="114">
        <f>_DATA_Dashboard_Facts!$G$7</f>
        <v/>
      </c>
      <c r="D276" s="114">
        <f>_DATA_Dashboard_Facts!$D$7</f>
        <v/>
      </c>
      <c r="E276" s="115">
        <f>_DATA_Dashboard_Facts!$J$7+_DATA_Dashboard_Facts!$K$7</f>
        <v/>
      </c>
      <c r="F276" s="112" t="n"/>
      <c r="G276" s="116" t="inlineStr">
        <is>
          <t>Process Maturity</t>
        </is>
      </c>
      <c r="H276" s="117">
        <f>IFERROR(SUMPRODUCT($Q$5:$Q$21,$R$5:$R$21)/SUM($R$5:$R$21),0)</f>
        <v/>
      </c>
      <c r="I276" s="118">
        <f>H7/5</f>
        <v/>
      </c>
      <c r="J276" s="116" t="inlineStr">
        <is>
          <t>Level of documented, owned, measured, repeatable and continuously improved processes.</t>
        </is>
      </c>
      <c r="K276" s="112" t="n"/>
      <c r="L276" s="112" t="inlineStr">
        <is>
          <t>Governance Crisis</t>
        </is>
      </c>
      <c r="M276" s="119">
        <f>IFERROR(SUMPRODUCT((_DATA_Assessment_Model!$H$50:$H$71&lt;&gt;"")*(_DATA_Assessment_Model!$H$50:$H$71&lt;&gt;"N/A"),IFERROR(VALUE(_DATA_Assessment_Model!$H$50:$H$71),0),_DATA_Assessment_Model!$G$50:$G$71,_DATA_Assessment_Model!$W$50:$W$71)/SUMPRODUCT((_DATA_Assessment_Model!$H$50:$H$71&lt;&gt;"")*(_DATA_Assessment_Model!$H$50:$H$71&lt;&gt;"N/A"),_DATA_Assessment_Model!$G$50:$G$71,_DATA_Assessment_Model!$W$50:$W$71),0)</f>
        <v/>
      </c>
      <c r="N276" s="119">
        <f>SUMPRODUCT((_DATA_Assessment_Model!$H$50:$H$71&lt;&gt;"")*(_DATA_Assessment_Model!$H$50:$H$71&lt;&gt;"N/A"),_DATA_Assessment_Model!$G$50:$G$71,_DATA_Assessment_Model!$W$50:$W$71)</f>
        <v/>
      </c>
      <c r="O276" s="119">
        <f>IFERROR(SUMPRODUCT((_DATA_Assessment_Model!$H$50:$H$71&lt;&gt;"")*(_DATA_Assessment_Model!$H$50:$H$71&lt;&gt;"N/A"),IFERROR(VALUE(_DATA_Assessment_Model!$H$50:$H$71),0),_DATA_Assessment_Model!$G$50:$G$71,_DATA_Assessment_Model!$X$50:$X$71)/SUMPRODUCT((_DATA_Assessment_Model!$H$50:$H$71&lt;&gt;"")*(_DATA_Assessment_Model!$H$50:$H$71&lt;&gt;"N/A"),_DATA_Assessment_Model!$G$50:$G$71,_DATA_Assessment_Model!$X$50:$X$71),0)</f>
        <v/>
      </c>
      <c r="P276" s="119">
        <f>SUMPRODUCT((_DATA_Assessment_Model!$H$50:$H$71&lt;&gt;"")*(_DATA_Assessment_Model!$H$50:$H$71&lt;&gt;"N/A"),_DATA_Assessment_Model!$G$50:$G$71,_DATA_Assessment_Model!$X$50:$X$71)</f>
        <v/>
      </c>
      <c r="Q276" s="119">
        <f>IFERROR(SUMPRODUCT((_DATA_Assessment_Model!$H$50:$H$71&lt;&gt;"")*(_DATA_Assessment_Model!$H$50:$H$71&lt;&gt;"N/A"),IFERROR(VALUE(_DATA_Assessment_Model!$H$50:$H$71),0),_DATA_Assessment_Model!$G$50:$G$71,_DATA_Assessment_Model!$Y$50:$Y$71)/SUMPRODUCT((_DATA_Assessment_Model!$H$50:$H$71&lt;&gt;"")*(_DATA_Assessment_Model!$H$50:$H$71&lt;&gt;"N/A"),_DATA_Assessment_Model!$G$50:$G$71,_DATA_Assessment_Model!$Y$50:$Y$71),0)</f>
        <v/>
      </c>
      <c r="R276" s="119">
        <f>SUMPRODUCT((_DATA_Assessment_Model!$H$50:$H$71&lt;&gt;"")*(_DATA_Assessment_Model!$H$50:$H$71&lt;&gt;"N/A"),_DATA_Assessment_Model!$G$50:$G$71,_DATA_Assessment_Model!$Y$50:$Y$71)</f>
        <v/>
      </c>
    </row>
    <row r="277">
      <c r="A277" s="112" t="inlineStr">
        <is>
          <t>HR Workforce</t>
        </is>
      </c>
      <c r="B277" s="113">
        <f>_DATA_Dashboard_Facts!$H$8</f>
        <v/>
      </c>
      <c r="C277" s="114">
        <f>_DATA_Dashboard_Facts!$G$8</f>
        <v/>
      </c>
      <c r="D277" s="114">
        <f>_DATA_Dashboard_Facts!$D$8</f>
        <v/>
      </c>
      <c r="E277" s="115">
        <f>_DATA_Dashboard_Facts!$J$8+_DATA_Dashboard_Facts!$K$8</f>
        <v/>
      </c>
      <c r="F277" s="112" t="n"/>
      <c r="G277" s="112" t="n"/>
      <c r="H277" s="112" t="n"/>
      <c r="I277" s="112" t="n"/>
      <c r="J277" s="112" t="n"/>
      <c r="K277" s="112" t="n"/>
      <c r="L277" s="112" t="inlineStr">
        <is>
          <t>HR Workforce</t>
        </is>
      </c>
      <c r="M277" s="119">
        <f>IFERROR(SUMPRODUCT((_DATA_Assessment_Model!$H$72:$H$97&lt;&gt;"")*(_DATA_Assessment_Model!$H$72:$H$97&lt;&gt;"N/A"),IFERROR(VALUE(_DATA_Assessment_Model!$H$72:$H$97),0),_DATA_Assessment_Model!$G$72:$G$97,_DATA_Assessment_Model!$W$72:$W$97)/SUMPRODUCT((_DATA_Assessment_Model!$H$72:$H$97&lt;&gt;"")*(_DATA_Assessment_Model!$H$72:$H$97&lt;&gt;"N/A"),_DATA_Assessment_Model!$G$72:$G$97,_DATA_Assessment_Model!$W$72:$W$97),0)</f>
        <v/>
      </c>
      <c r="N277" s="119">
        <f>SUMPRODUCT((_DATA_Assessment_Model!$H$72:$H$97&lt;&gt;"")*(_DATA_Assessment_Model!$H$72:$H$97&lt;&gt;"N/A"),_DATA_Assessment_Model!$G$72:$G$97,_DATA_Assessment_Model!$W$72:$W$97)</f>
        <v/>
      </c>
      <c r="O277" s="119">
        <f>IFERROR(SUMPRODUCT((_DATA_Assessment_Model!$H$72:$H$97&lt;&gt;"")*(_DATA_Assessment_Model!$H$72:$H$97&lt;&gt;"N/A"),IFERROR(VALUE(_DATA_Assessment_Model!$H$72:$H$97),0),_DATA_Assessment_Model!$G$72:$G$97,_DATA_Assessment_Model!$X$72:$X$97)/SUMPRODUCT((_DATA_Assessment_Model!$H$72:$H$97&lt;&gt;"")*(_DATA_Assessment_Model!$H$72:$H$97&lt;&gt;"N/A"),_DATA_Assessment_Model!$G$72:$G$97,_DATA_Assessment_Model!$X$72:$X$97),0)</f>
        <v/>
      </c>
      <c r="P277" s="119">
        <f>SUMPRODUCT((_DATA_Assessment_Model!$H$72:$H$97&lt;&gt;"")*(_DATA_Assessment_Model!$H$72:$H$97&lt;&gt;"N/A"),_DATA_Assessment_Model!$G$72:$G$97,_DATA_Assessment_Model!$X$72:$X$97)</f>
        <v/>
      </c>
      <c r="Q277" s="119">
        <f>IFERROR(SUMPRODUCT((_DATA_Assessment_Model!$H$72:$H$97&lt;&gt;"")*(_DATA_Assessment_Model!$H$72:$H$97&lt;&gt;"N/A"),IFERROR(VALUE(_DATA_Assessment_Model!$H$72:$H$97),0),_DATA_Assessment_Model!$G$72:$G$97,_DATA_Assessment_Model!$Y$72:$Y$97)/SUMPRODUCT((_DATA_Assessment_Model!$H$72:$H$97&lt;&gt;"")*(_DATA_Assessment_Model!$H$72:$H$97&lt;&gt;"N/A"),_DATA_Assessment_Model!$G$72:$G$97,_DATA_Assessment_Model!$Y$72:$Y$97),0)</f>
        <v/>
      </c>
      <c r="R277" s="119">
        <f>SUMPRODUCT((_DATA_Assessment_Model!$H$72:$H$97&lt;&gt;"")*(_DATA_Assessment_Model!$H$72:$H$97&lt;&gt;"N/A"),_DATA_Assessment_Model!$G$72:$G$97,_DATA_Assessment_Model!$Y$72:$Y$97)</f>
        <v/>
      </c>
    </row>
    <row r="278">
      <c r="A278" s="112" t="inlineStr">
        <is>
          <t>Finance Procurement</t>
        </is>
      </c>
      <c r="B278" s="113">
        <f>_DATA_Dashboard_Facts!$H$9</f>
        <v/>
      </c>
      <c r="C278" s="114">
        <f>_DATA_Dashboard_Facts!$G$9</f>
        <v/>
      </c>
      <c r="D278" s="114">
        <f>_DATA_Dashboard_Facts!$D$9</f>
        <v/>
      </c>
      <c r="E278" s="115">
        <f>_DATA_Dashboard_Facts!$J$9+_DATA_Dashboard_Facts!$K$9</f>
        <v/>
      </c>
      <c r="F278" s="112" t="n"/>
      <c r="G278" s="112" t="n"/>
      <c r="H278" s="112" t="n"/>
      <c r="I278" s="112" t="n"/>
      <c r="J278" s="112" t="n"/>
      <c r="K278" s="112" t="n"/>
      <c r="L278" s="112" t="inlineStr">
        <is>
          <t>Finance Procurement</t>
        </is>
      </c>
      <c r="M278" s="119">
        <f>IFERROR(SUMPRODUCT((_DATA_Assessment_Model!$H$98:$H$123&lt;&gt;"")*(_DATA_Assessment_Model!$H$98:$H$123&lt;&gt;"N/A"),IFERROR(VALUE(_DATA_Assessment_Model!$H$98:$H$123),0),_DATA_Assessment_Model!$G$98:$G$123,_DATA_Assessment_Model!$W$98:$W$123)/SUMPRODUCT((_DATA_Assessment_Model!$H$98:$H$123&lt;&gt;"")*(_DATA_Assessment_Model!$H$98:$H$123&lt;&gt;"N/A"),_DATA_Assessment_Model!$G$98:$G$123,_DATA_Assessment_Model!$W$98:$W$123),0)</f>
        <v/>
      </c>
      <c r="N278" s="119">
        <f>SUMPRODUCT((_DATA_Assessment_Model!$H$98:$H$123&lt;&gt;"")*(_DATA_Assessment_Model!$H$98:$H$123&lt;&gt;"N/A"),_DATA_Assessment_Model!$G$98:$G$123,_DATA_Assessment_Model!$W$98:$W$123)</f>
        <v/>
      </c>
      <c r="O278" s="119">
        <f>IFERROR(SUMPRODUCT((_DATA_Assessment_Model!$H$98:$H$123&lt;&gt;"")*(_DATA_Assessment_Model!$H$98:$H$123&lt;&gt;"N/A"),IFERROR(VALUE(_DATA_Assessment_Model!$H$98:$H$123),0),_DATA_Assessment_Model!$G$98:$G$123,_DATA_Assessment_Model!$X$98:$X$123)/SUMPRODUCT((_DATA_Assessment_Model!$H$98:$H$123&lt;&gt;"")*(_DATA_Assessment_Model!$H$98:$H$123&lt;&gt;"N/A"),_DATA_Assessment_Model!$G$98:$G$123,_DATA_Assessment_Model!$X$98:$X$123),0)</f>
        <v/>
      </c>
      <c r="P278" s="119">
        <f>SUMPRODUCT((_DATA_Assessment_Model!$H$98:$H$123&lt;&gt;"")*(_DATA_Assessment_Model!$H$98:$H$123&lt;&gt;"N/A"),_DATA_Assessment_Model!$G$98:$G$123,_DATA_Assessment_Model!$X$98:$X$123)</f>
        <v/>
      </c>
      <c r="Q278" s="119">
        <f>IFERROR(SUMPRODUCT((_DATA_Assessment_Model!$H$98:$H$123&lt;&gt;"")*(_DATA_Assessment_Model!$H$98:$H$123&lt;&gt;"N/A"),IFERROR(VALUE(_DATA_Assessment_Model!$H$98:$H$123),0),_DATA_Assessment_Model!$G$98:$G$123,_DATA_Assessment_Model!$Y$98:$Y$123)/SUMPRODUCT((_DATA_Assessment_Model!$H$98:$H$123&lt;&gt;"")*(_DATA_Assessment_Model!$H$98:$H$123&lt;&gt;"N/A"),_DATA_Assessment_Model!$G$98:$G$123,_DATA_Assessment_Model!$Y$98:$Y$123),0)</f>
        <v/>
      </c>
      <c r="R278" s="119">
        <f>SUMPRODUCT((_DATA_Assessment_Model!$H$98:$H$123&lt;&gt;"")*(_DATA_Assessment_Model!$H$98:$H$123&lt;&gt;"N/A"),_DATA_Assessment_Model!$G$98:$G$123,_DATA_Assessment_Model!$Y$98:$Y$123)</f>
        <v/>
      </c>
    </row>
    <row r="279">
      <c r="A279" s="112" t="inlineStr">
        <is>
          <t>Legal Risk</t>
        </is>
      </c>
      <c r="B279" s="113">
        <f>_DATA_Dashboard_Facts!$H$10</f>
        <v/>
      </c>
      <c r="C279" s="114">
        <f>_DATA_Dashboard_Facts!$G$10</f>
        <v/>
      </c>
      <c r="D279" s="114">
        <f>_DATA_Dashboard_Facts!$D$10</f>
        <v/>
      </c>
      <c r="E279" s="115">
        <f>_DATA_Dashboard_Facts!$J$10+_DATA_Dashboard_Facts!$K$10</f>
        <v/>
      </c>
      <c r="F279" s="112" t="n"/>
      <c r="G279" s="112" t="n"/>
      <c r="H279" s="112" t="n"/>
      <c r="I279" s="112" t="n"/>
      <c r="J279" s="112" t="n"/>
      <c r="K279" s="112" t="n"/>
      <c r="L279" s="112" t="inlineStr">
        <is>
          <t>Legal Risk</t>
        </is>
      </c>
      <c r="M279" s="119">
        <f>IFERROR(SUMPRODUCT((_DATA_Assessment_Model!$H$124:$H$144&lt;&gt;"")*(_DATA_Assessment_Model!$H$124:$H$144&lt;&gt;"N/A"),IFERROR(VALUE(_DATA_Assessment_Model!$H$124:$H$144),0),_DATA_Assessment_Model!$G$124:$G$144,_DATA_Assessment_Model!$W$124:$W$144)/SUMPRODUCT((_DATA_Assessment_Model!$H$124:$H$144&lt;&gt;"")*(_DATA_Assessment_Model!$H$124:$H$144&lt;&gt;"N/A"),_DATA_Assessment_Model!$G$124:$G$144,_DATA_Assessment_Model!$W$124:$W$144),0)</f>
        <v/>
      </c>
      <c r="N279" s="119">
        <f>SUMPRODUCT((_DATA_Assessment_Model!$H$124:$H$144&lt;&gt;"")*(_DATA_Assessment_Model!$H$124:$H$144&lt;&gt;"N/A"),_DATA_Assessment_Model!$G$124:$G$144,_DATA_Assessment_Model!$W$124:$W$144)</f>
        <v/>
      </c>
      <c r="O279" s="119">
        <f>IFERROR(SUMPRODUCT((_DATA_Assessment_Model!$H$124:$H$144&lt;&gt;"")*(_DATA_Assessment_Model!$H$124:$H$144&lt;&gt;"N/A"),IFERROR(VALUE(_DATA_Assessment_Model!$H$124:$H$144),0),_DATA_Assessment_Model!$G$124:$G$144,_DATA_Assessment_Model!$X$124:$X$144)/SUMPRODUCT((_DATA_Assessment_Model!$H$124:$H$144&lt;&gt;"")*(_DATA_Assessment_Model!$H$124:$H$144&lt;&gt;"N/A"),_DATA_Assessment_Model!$G$124:$G$144,_DATA_Assessment_Model!$X$124:$X$144),0)</f>
        <v/>
      </c>
      <c r="P279" s="119">
        <f>SUMPRODUCT((_DATA_Assessment_Model!$H$124:$H$144&lt;&gt;"")*(_DATA_Assessment_Model!$H$124:$H$144&lt;&gt;"N/A"),_DATA_Assessment_Model!$G$124:$G$144,_DATA_Assessment_Model!$X$124:$X$144)</f>
        <v/>
      </c>
      <c r="Q279" s="119">
        <f>IFERROR(SUMPRODUCT((_DATA_Assessment_Model!$H$124:$H$144&lt;&gt;"")*(_DATA_Assessment_Model!$H$124:$H$144&lt;&gt;"N/A"),IFERROR(VALUE(_DATA_Assessment_Model!$H$124:$H$144),0),_DATA_Assessment_Model!$G$124:$G$144,_DATA_Assessment_Model!$Y$124:$Y$144)/SUMPRODUCT((_DATA_Assessment_Model!$H$124:$H$144&lt;&gt;"")*(_DATA_Assessment_Model!$H$124:$H$144&lt;&gt;"N/A"),_DATA_Assessment_Model!$G$124:$G$144,_DATA_Assessment_Model!$Y$124:$Y$144),0)</f>
        <v/>
      </c>
      <c r="R279" s="119">
        <f>SUMPRODUCT((_DATA_Assessment_Model!$H$124:$H$144&lt;&gt;"")*(_DATA_Assessment_Model!$H$124:$H$144&lt;&gt;"N/A"),_DATA_Assessment_Model!$G$124:$G$144,_DATA_Assessment_Model!$Y$124:$Y$144)</f>
        <v/>
      </c>
    </row>
    <row r="280">
      <c r="A280" s="112" t="inlineStr">
        <is>
          <t>Physical Safety</t>
        </is>
      </c>
      <c r="B280" s="113">
        <f>_DATA_Dashboard_Facts!$H$11</f>
        <v/>
      </c>
      <c r="C280" s="114">
        <f>_DATA_Dashboard_Facts!$G$11</f>
        <v/>
      </c>
      <c r="D280" s="114">
        <f>_DATA_Dashboard_Facts!$D$11</f>
        <v/>
      </c>
      <c r="E280" s="115">
        <f>_DATA_Dashboard_Facts!$J$11+_DATA_Dashboard_Facts!$K$11</f>
        <v/>
      </c>
      <c r="F280" s="112" t="n"/>
      <c r="G280" s="112" t="n"/>
      <c r="H280" s="112" t="n"/>
      <c r="I280" s="112" t="n"/>
      <c r="J280" s="112" t="n"/>
      <c r="K280" s="112" t="n"/>
      <c r="L280" s="112" t="inlineStr">
        <is>
          <t>Physical Safety</t>
        </is>
      </c>
      <c r="M280" s="119">
        <f>IFERROR(SUMPRODUCT((_DATA_Assessment_Model!$H$145:$H$175&lt;&gt;"")*(_DATA_Assessment_Model!$H$145:$H$175&lt;&gt;"N/A"),IFERROR(VALUE(_DATA_Assessment_Model!$H$145:$H$175),0),_DATA_Assessment_Model!$G$145:$G$175,_DATA_Assessment_Model!$W$145:$W$175)/SUMPRODUCT((_DATA_Assessment_Model!$H$145:$H$175&lt;&gt;"")*(_DATA_Assessment_Model!$H$145:$H$175&lt;&gt;"N/A"),_DATA_Assessment_Model!$G$145:$G$175,_DATA_Assessment_Model!$W$145:$W$175),0)</f>
        <v/>
      </c>
      <c r="N280" s="119">
        <f>SUMPRODUCT((_DATA_Assessment_Model!$H$145:$H$175&lt;&gt;"")*(_DATA_Assessment_Model!$H$145:$H$175&lt;&gt;"N/A"),_DATA_Assessment_Model!$G$145:$G$175,_DATA_Assessment_Model!$W$145:$W$175)</f>
        <v/>
      </c>
      <c r="O280" s="119">
        <f>IFERROR(SUMPRODUCT((_DATA_Assessment_Model!$H$145:$H$175&lt;&gt;"")*(_DATA_Assessment_Model!$H$145:$H$175&lt;&gt;"N/A"),IFERROR(VALUE(_DATA_Assessment_Model!$H$145:$H$175),0),_DATA_Assessment_Model!$G$145:$G$175,_DATA_Assessment_Model!$X$145:$X$175)/SUMPRODUCT((_DATA_Assessment_Model!$H$145:$H$175&lt;&gt;"")*(_DATA_Assessment_Model!$H$145:$H$175&lt;&gt;"N/A"),_DATA_Assessment_Model!$G$145:$G$175,_DATA_Assessment_Model!$X$145:$X$175),0)</f>
        <v/>
      </c>
      <c r="P280" s="119">
        <f>SUMPRODUCT((_DATA_Assessment_Model!$H$145:$H$175&lt;&gt;"")*(_DATA_Assessment_Model!$H$145:$H$175&lt;&gt;"N/A"),_DATA_Assessment_Model!$G$145:$G$175,_DATA_Assessment_Model!$X$145:$X$175)</f>
        <v/>
      </c>
      <c r="Q280" s="119">
        <f>IFERROR(SUMPRODUCT((_DATA_Assessment_Model!$H$145:$H$175&lt;&gt;"")*(_DATA_Assessment_Model!$H$145:$H$175&lt;&gt;"N/A"),IFERROR(VALUE(_DATA_Assessment_Model!$H$145:$H$175),0),_DATA_Assessment_Model!$G$145:$G$175,_DATA_Assessment_Model!$Y$145:$Y$175)/SUMPRODUCT((_DATA_Assessment_Model!$H$145:$H$175&lt;&gt;"")*(_DATA_Assessment_Model!$H$145:$H$175&lt;&gt;"N/A"),_DATA_Assessment_Model!$G$145:$G$175,_DATA_Assessment_Model!$Y$145:$Y$175),0)</f>
        <v/>
      </c>
      <c r="R280" s="119">
        <f>SUMPRODUCT((_DATA_Assessment_Model!$H$145:$H$175&lt;&gt;"")*(_DATA_Assessment_Model!$H$145:$H$175&lt;&gt;"N/A"),_DATA_Assessment_Model!$G$145:$G$175,_DATA_Assessment_Model!$Y$145:$Y$175)</f>
        <v/>
      </c>
    </row>
    <row r="281">
      <c r="A281" s="112" t="inlineStr">
        <is>
          <t>Delivery Ops</t>
        </is>
      </c>
      <c r="B281" s="113">
        <f>_DATA_Dashboard_Facts!$H$12</f>
        <v/>
      </c>
      <c r="C281" s="114">
        <f>_DATA_Dashboard_Facts!$G$12</f>
        <v/>
      </c>
      <c r="D281" s="114">
        <f>_DATA_Dashboard_Facts!$D$12</f>
        <v/>
      </c>
      <c r="E281" s="115">
        <f>_DATA_Dashboard_Facts!$J$12+_DATA_Dashboard_Facts!$K$12</f>
        <v/>
      </c>
      <c r="F281" s="112" t="n"/>
      <c r="G281" s="112" t="n"/>
      <c r="H281" s="112" t="n"/>
      <c r="I281" s="112" t="n"/>
      <c r="J281" s="112" t="n"/>
      <c r="K281" s="112" t="n"/>
      <c r="L281" s="112" t="inlineStr">
        <is>
          <t>Delivery Ops</t>
        </is>
      </c>
      <c r="M281" s="119">
        <f>IFERROR(SUMPRODUCT((_DATA_Assessment_Model!$H$176:$H$199&lt;&gt;"")*(_DATA_Assessment_Model!$H$176:$H$199&lt;&gt;"N/A"),IFERROR(VALUE(_DATA_Assessment_Model!$H$176:$H$199),0),_DATA_Assessment_Model!$G$176:$G$199,_DATA_Assessment_Model!$W$176:$W$199)/SUMPRODUCT((_DATA_Assessment_Model!$H$176:$H$199&lt;&gt;"")*(_DATA_Assessment_Model!$H$176:$H$199&lt;&gt;"N/A"),_DATA_Assessment_Model!$G$176:$G$199,_DATA_Assessment_Model!$W$176:$W$199),0)</f>
        <v/>
      </c>
      <c r="N281" s="119">
        <f>SUMPRODUCT((_DATA_Assessment_Model!$H$176:$H$199&lt;&gt;"")*(_DATA_Assessment_Model!$H$176:$H$199&lt;&gt;"N/A"),_DATA_Assessment_Model!$G$176:$G$199,_DATA_Assessment_Model!$W$176:$W$199)</f>
        <v/>
      </c>
      <c r="O281" s="119">
        <f>IFERROR(SUMPRODUCT((_DATA_Assessment_Model!$H$176:$H$199&lt;&gt;"")*(_DATA_Assessment_Model!$H$176:$H$199&lt;&gt;"N/A"),IFERROR(VALUE(_DATA_Assessment_Model!$H$176:$H$199),0),_DATA_Assessment_Model!$G$176:$G$199,_DATA_Assessment_Model!$X$176:$X$199)/SUMPRODUCT((_DATA_Assessment_Model!$H$176:$H$199&lt;&gt;"")*(_DATA_Assessment_Model!$H$176:$H$199&lt;&gt;"N/A"),_DATA_Assessment_Model!$G$176:$G$199,_DATA_Assessment_Model!$X$176:$X$199),0)</f>
        <v/>
      </c>
      <c r="P281" s="119">
        <f>SUMPRODUCT((_DATA_Assessment_Model!$H$176:$H$199&lt;&gt;"")*(_DATA_Assessment_Model!$H$176:$H$199&lt;&gt;"N/A"),_DATA_Assessment_Model!$G$176:$G$199,_DATA_Assessment_Model!$X$176:$X$199)</f>
        <v/>
      </c>
      <c r="Q281" s="119">
        <f>IFERROR(SUMPRODUCT((_DATA_Assessment_Model!$H$176:$H$199&lt;&gt;"")*(_DATA_Assessment_Model!$H$176:$H$199&lt;&gt;"N/A"),IFERROR(VALUE(_DATA_Assessment_Model!$H$176:$H$199),0),_DATA_Assessment_Model!$G$176:$G$199,_DATA_Assessment_Model!$Y$176:$Y$199)/SUMPRODUCT((_DATA_Assessment_Model!$H$176:$H$199&lt;&gt;"")*(_DATA_Assessment_Model!$H$176:$H$199&lt;&gt;"N/A"),_DATA_Assessment_Model!$G$176:$G$199,_DATA_Assessment_Model!$Y$176:$Y$199),0)</f>
        <v/>
      </c>
      <c r="R281" s="119">
        <f>SUMPRODUCT((_DATA_Assessment_Model!$H$176:$H$199&lt;&gt;"")*(_DATA_Assessment_Model!$H$176:$H$199&lt;&gt;"N/A"),_DATA_Assessment_Model!$G$176:$G$199,_DATA_Assessment_Model!$Y$176:$Y$199)</f>
        <v/>
      </c>
    </row>
    <row r="282">
      <c r="A282" s="112" t="inlineStr">
        <is>
          <t>Supply Chain</t>
        </is>
      </c>
      <c r="B282" s="113">
        <f>_DATA_Dashboard_Facts!$H$13</f>
        <v/>
      </c>
      <c r="C282" s="114">
        <f>_DATA_Dashboard_Facts!$G$13</f>
        <v/>
      </c>
      <c r="D282" s="114">
        <f>_DATA_Dashboard_Facts!$D$13</f>
        <v/>
      </c>
      <c r="E282" s="115">
        <f>_DATA_Dashboard_Facts!$J$13+_DATA_Dashboard_Facts!$K$13</f>
        <v/>
      </c>
      <c r="F282" s="112" t="n"/>
      <c r="G282" s="112" t="n"/>
      <c r="H282" s="112" t="n"/>
      <c r="I282" s="112" t="n"/>
      <c r="J282" s="112" t="n"/>
      <c r="K282" s="112" t="n"/>
      <c r="L282" s="112" t="inlineStr">
        <is>
          <t>Supply Chain</t>
        </is>
      </c>
      <c r="M282" s="119">
        <f>IFERROR(SUMPRODUCT((_DATA_Assessment_Model!$H$200:$H$228&lt;&gt;"")*(_DATA_Assessment_Model!$H$200:$H$228&lt;&gt;"N/A"),IFERROR(VALUE(_DATA_Assessment_Model!$H$200:$H$228),0),_DATA_Assessment_Model!$G$200:$G$228,_DATA_Assessment_Model!$W$200:$W$228)/SUMPRODUCT((_DATA_Assessment_Model!$H$200:$H$228&lt;&gt;"")*(_DATA_Assessment_Model!$H$200:$H$228&lt;&gt;"N/A"),_DATA_Assessment_Model!$G$200:$G$228,_DATA_Assessment_Model!$W$200:$W$228),0)</f>
        <v/>
      </c>
      <c r="N282" s="119">
        <f>SUMPRODUCT((_DATA_Assessment_Model!$H$200:$H$228&lt;&gt;"")*(_DATA_Assessment_Model!$H$200:$H$228&lt;&gt;"N/A"),_DATA_Assessment_Model!$G$200:$G$228,_DATA_Assessment_Model!$W$200:$W$228)</f>
        <v/>
      </c>
      <c r="O282" s="119">
        <f>IFERROR(SUMPRODUCT((_DATA_Assessment_Model!$H$200:$H$228&lt;&gt;"")*(_DATA_Assessment_Model!$H$200:$H$228&lt;&gt;"N/A"),IFERROR(VALUE(_DATA_Assessment_Model!$H$200:$H$228),0),_DATA_Assessment_Model!$G$200:$G$228,_DATA_Assessment_Model!$X$200:$X$228)/SUMPRODUCT((_DATA_Assessment_Model!$H$200:$H$228&lt;&gt;"")*(_DATA_Assessment_Model!$H$200:$H$228&lt;&gt;"N/A"),_DATA_Assessment_Model!$G$200:$G$228,_DATA_Assessment_Model!$X$200:$X$228),0)</f>
        <v/>
      </c>
      <c r="P282" s="119">
        <f>SUMPRODUCT((_DATA_Assessment_Model!$H$200:$H$228&lt;&gt;"")*(_DATA_Assessment_Model!$H$200:$H$228&lt;&gt;"N/A"),_DATA_Assessment_Model!$G$200:$G$228,_DATA_Assessment_Model!$X$200:$X$228)</f>
        <v/>
      </c>
      <c r="Q282" s="119">
        <f>IFERROR(SUMPRODUCT((_DATA_Assessment_Model!$H$200:$H$228&lt;&gt;"")*(_DATA_Assessment_Model!$H$200:$H$228&lt;&gt;"N/A"),IFERROR(VALUE(_DATA_Assessment_Model!$H$200:$H$228),0),_DATA_Assessment_Model!$G$200:$G$228,_DATA_Assessment_Model!$Y$200:$Y$228)/SUMPRODUCT((_DATA_Assessment_Model!$H$200:$H$228&lt;&gt;"")*(_DATA_Assessment_Model!$H$200:$H$228&lt;&gt;"N/A"),_DATA_Assessment_Model!$G$200:$G$228,_DATA_Assessment_Model!$Y$200:$Y$228),0)</f>
        <v/>
      </c>
      <c r="R282" s="119">
        <f>SUMPRODUCT((_DATA_Assessment_Model!$H$200:$H$228&lt;&gt;"")*(_DATA_Assessment_Model!$H$200:$H$228&lt;&gt;"N/A"),_DATA_Assessment_Model!$G$200:$G$228,_DATA_Assessment_Model!$Y$200:$Y$228)</f>
        <v/>
      </c>
    </row>
    <row r="283">
      <c r="A283" s="112" t="inlineStr">
        <is>
          <t>Manufacturing MES</t>
        </is>
      </c>
      <c r="B283" s="113">
        <f>_DATA_Dashboard_Facts!$H$14</f>
        <v/>
      </c>
      <c r="C283" s="114">
        <f>_DATA_Dashboard_Facts!$G$14</f>
        <v/>
      </c>
      <c r="D283" s="114">
        <f>_DATA_Dashboard_Facts!$D$14</f>
        <v/>
      </c>
      <c r="E283" s="115">
        <f>_DATA_Dashboard_Facts!$J$14+_DATA_Dashboard_Facts!$K$14</f>
        <v/>
      </c>
      <c r="F283" s="112" t="n"/>
      <c r="G283" s="112" t="n"/>
      <c r="H283" s="112" t="n"/>
      <c r="I283" s="112" t="n"/>
      <c r="J283" s="112" t="n"/>
      <c r="K283" s="112" t="n"/>
      <c r="L283" s="112" t="inlineStr">
        <is>
          <t>Manufacturing MES</t>
        </is>
      </c>
      <c r="M283" s="119">
        <f>IFERROR(SUMPRODUCT((_DATA_Assessment_Model!$H$229:$H$256&lt;&gt;"")*(_DATA_Assessment_Model!$H$229:$H$256&lt;&gt;"N/A"),IFERROR(VALUE(_DATA_Assessment_Model!$H$229:$H$256),0),_DATA_Assessment_Model!$G$229:$G$256,_DATA_Assessment_Model!$W$229:$W$256)/SUMPRODUCT((_DATA_Assessment_Model!$H$229:$H$256&lt;&gt;"")*(_DATA_Assessment_Model!$H$229:$H$256&lt;&gt;"N/A"),_DATA_Assessment_Model!$G$229:$G$256,_DATA_Assessment_Model!$W$229:$W$256),0)</f>
        <v/>
      </c>
      <c r="N283" s="119">
        <f>SUMPRODUCT((_DATA_Assessment_Model!$H$229:$H$256&lt;&gt;"")*(_DATA_Assessment_Model!$H$229:$H$256&lt;&gt;"N/A"),_DATA_Assessment_Model!$G$229:$G$256,_DATA_Assessment_Model!$W$229:$W$256)</f>
        <v/>
      </c>
      <c r="O283" s="119">
        <f>IFERROR(SUMPRODUCT((_DATA_Assessment_Model!$H$229:$H$256&lt;&gt;"")*(_DATA_Assessment_Model!$H$229:$H$256&lt;&gt;"N/A"),IFERROR(VALUE(_DATA_Assessment_Model!$H$229:$H$256),0),_DATA_Assessment_Model!$G$229:$G$256,_DATA_Assessment_Model!$X$229:$X$256)/SUMPRODUCT((_DATA_Assessment_Model!$H$229:$H$256&lt;&gt;"")*(_DATA_Assessment_Model!$H$229:$H$256&lt;&gt;"N/A"),_DATA_Assessment_Model!$G$229:$G$256,_DATA_Assessment_Model!$X$229:$X$256),0)</f>
        <v/>
      </c>
      <c r="P283" s="119">
        <f>SUMPRODUCT((_DATA_Assessment_Model!$H$229:$H$256&lt;&gt;"")*(_DATA_Assessment_Model!$H$229:$H$256&lt;&gt;"N/A"),_DATA_Assessment_Model!$G$229:$G$256,_DATA_Assessment_Model!$X$229:$X$256)</f>
        <v/>
      </c>
      <c r="Q283" s="119">
        <f>IFERROR(SUMPRODUCT((_DATA_Assessment_Model!$H$229:$H$256&lt;&gt;"")*(_DATA_Assessment_Model!$H$229:$H$256&lt;&gt;"N/A"),IFERROR(VALUE(_DATA_Assessment_Model!$H$229:$H$256),0),_DATA_Assessment_Model!$G$229:$G$256,_DATA_Assessment_Model!$Y$229:$Y$256)/SUMPRODUCT((_DATA_Assessment_Model!$H$229:$H$256&lt;&gt;"")*(_DATA_Assessment_Model!$H$229:$H$256&lt;&gt;"N/A"),_DATA_Assessment_Model!$G$229:$G$256,_DATA_Assessment_Model!$Y$229:$Y$256),0)</f>
        <v/>
      </c>
      <c r="R283" s="119">
        <f>SUMPRODUCT((_DATA_Assessment_Model!$H$229:$H$256&lt;&gt;"")*(_DATA_Assessment_Model!$H$229:$H$256&lt;&gt;"N/A"),_DATA_Assessment_Model!$G$229:$G$256,_DATA_Assessment_Model!$Y$229:$Y$256)</f>
        <v/>
      </c>
    </row>
    <row r="284">
      <c r="A284" s="112" t="inlineStr">
        <is>
          <t>Sales CRM</t>
        </is>
      </c>
      <c r="B284" s="113">
        <f>_DATA_Dashboard_Facts!$H$15</f>
        <v/>
      </c>
      <c r="C284" s="114">
        <f>_DATA_Dashboard_Facts!$G$15</f>
        <v/>
      </c>
      <c r="D284" s="114">
        <f>_DATA_Dashboard_Facts!$D$15</f>
        <v/>
      </c>
      <c r="E284" s="115">
        <f>_DATA_Dashboard_Facts!$J$15+_DATA_Dashboard_Facts!$K$15</f>
        <v/>
      </c>
      <c r="F284" s="112" t="n"/>
      <c r="G284" s="112" t="n"/>
      <c r="H284" s="112" t="n"/>
      <c r="I284" s="112" t="n"/>
      <c r="J284" s="112" t="n"/>
      <c r="K284" s="112" t="n"/>
      <c r="L284" s="112" t="inlineStr">
        <is>
          <t>Sales CRM</t>
        </is>
      </c>
      <c r="M284" s="119">
        <f>IFERROR(SUMPRODUCT((_DATA_Assessment_Model!$H$257:$H$280&lt;&gt;"")*(_DATA_Assessment_Model!$H$257:$H$280&lt;&gt;"N/A"),IFERROR(VALUE(_DATA_Assessment_Model!$H$257:$H$280),0),_DATA_Assessment_Model!$G$257:$G$280,_DATA_Assessment_Model!$W$257:$W$280)/SUMPRODUCT((_DATA_Assessment_Model!$H$257:$H$280&lt;&gt;"")*(_DATA_Assessment_Model!$H$257:$H$280&lt;&gt;"N/A"),_DATA_Assessment_Model!$G$257:$G$280,_DATA_Assessment_Model!$W$257:$W$280),0)</f>
        <v/>
      </c>
      <c r="N284" s="119">
        <f>SUMPRODUCT((_DATA_Assessment_Model!$H$257:$H$280&lt;&gt;"")*(_DATA_Assessment_Model!$H$257:$H$280&lt;&gt;"N/A"),_DATA_Assessment_Model!$G$257:$G$280,_DATA_Assessment_Model!$W$257:$W$280)</f>
        <v/>
      </c>
      <c r="O284" s="119">
        <f>IFERROR(SUMPRODUCT((_DATA_Assessment_Model!$H$257:$H$280&lt;&gt;"")*(_DATA_Assessment_Model!$H$257:$H$280&lt;&gt;"N/A"),IFERROR(VALUE(_DATA_Assessment_Model!$H$257:$H$280),0),_DATA_Assessment_Model!$G$257:$G$280,_DATA_Assessment_Model!$X$257:$X$280)/SUMPRODUCT((_DATA_Assessment_Model!$H$257:$H$280&lt;&gt;"")*(_DATA_Assessment_Model!$H$257:$H$280&lt;&gt;"N/A"),_DATA_Assessment_Model!$G$257:$G$280,_DATA_Assessment_Model!$X$257:$X$280),0)</f>
        <v/>
      </c>
      <c r="P284" s="119">
        <f>SUMPRODUCT((_DATA_Assessment_Model!$H$257:$H$280&lt;&gt;"")*(_DATA_Assessment_Model!$H$257:$H$280&lt;&gt;"N/A"),_DATA_Assessment_Model!$G$257:$G$280,_DATA_Assessment_Model!$X$257:$X$280)</f>
        <v/>
      </c>
      <c r="Q284" s="119">
        <f>IFERROR(SUMPRODUCT((_DATA_Assessment_Model!$H$257:$H$280&lt;&gt;"")*(_DATA_Assessment_Model!$H$257:$H$280&lt;&gt;"N/A"),IFERROR(VALUE(_DATA_Assessment_Model!$H$257:$H$280),0),_DATA_Assessment_Model!$G$257:$G$280,_DATA_Assessment_Model!$Y$257:$Y$280)/SUMPRODUCT((_DATA_Assessment_Model!$H$257:$H$280&lt;&gt;"")*(_DATA_Assessment_Model!$H$257:$H$280&lt;&gt;"N/A"),_DATA_Assessment_Model!$G$257:$G$280,_DATA_Assessment_Model!$Y$257:$Y$280),0)</f>
        <v/>
      </c>
      <c r="R284" s="119">
        <f>SUMPRODUCT((_DATA_Assessment_Model!$H$257:$H$280&lt;&gt;"")*(_DATA_Assessment_Model!$H$257:$H$280&lt;&gt;"N/A"),_DATA_Assessment_Model!$G$257:$G$280,_DATA_Assessment_Model!$Y$257:$Y$280)</f>
        <v/>
      </c>
    </row>
    <row r="285">
      <c r="A285" s="112" t="inlineStr">
        <is>
          <t>Marketing Comms</t>
        </is>
      </c>
      <c r="B285" s="113">
        <f>_DATA_Dashboard_Facts!$H$16</f>
        <v/>
      </c>
      <c r="C285" s="114">
        <f>_DATA_Dashboard_Facts!$G$16</f>
        <v/>
      </c>
      <c r="D285" s="114">
        <f>_DATA_Dashboard_Facts!$D$16</f>
        <v/>
      </c>
      <c r="E285" s="115">
        <f>_DATA_Dashboard_Facts!$J$16+_DATA_Dashboard_Facts!$K$16</f>
        <v/>
      </c>
      <c r="F285" s="112" t="n"/>
      <c r="G285" s="112" t="n"/>
      <c r="H285" s="112" t="n"/>
      <c r="I285" s="112" t="n"/>
      <c r="J285" s="112" t="n"/>
      <c r="K285" s="112" t="n"/>
      <c r="L285" s="112" t="inlineStr">
        <is>
          <t>Marketing Comms</t>
        </is>
      </c>
      <c r="M285" s="119">
        <f>IFERROR(SUMPRODUCT((_DATA_Assessment_Model!$H$281:$H$296&lt;&gt;"")*(_DATA_Assessment_Model!$H$281:$H$296&lt;&gt;"N/A"),IFERROR(VALUE(_DATA_Assessment_Model!$H$281:$H$296),0),_DATA_Assessment_Model!$G$281:$G$296,_DATA_Assessment_Model!$W$281:$W$296)/SUMPRODUCT((_DATA_Assessment_Model!$H$281:$H$296&lt;&gt;"")*(_DATA_Assessment_Model!$H$281:$H$296&lt;&gt;"N/A"),_DATA_Assessment_Model!$G$281:$G$296,_DATA_Assessment_Model!$W$281:$W$296),0)</f>
        <v/>
      </c>
      <c r="N285" s="119">
        <f>SUMPRODUCT((_DATA_Assessment_Model!$H$281:$H$296&lt;&gt;"")*(_DATA_Assessment_Model!$H$281:$H$296&lt;&gt;"N/A"),_DATA_Assessment_Model!$G$281:$G$296,_DATA_Assessment_Model!$W$281:$W$296)</f>
        <v/>
      </c>
      <c r="O285" s="119">
        <f>IFERROR(SUMPRODUCT((_DATA_Assessment_Model!$H$281:$H$296&lt;&gt;"")*(_DATA_Assessment_Model!$H$281:$H$296&lt;&gt;"N/A"),IFERROR(VALUE(_DATA_Assessment_Model!$H$281:$H$296),0),_DATA_Assessment_Model!$G$281:$G$296,_DATA_Assessment_Model!$X$281:$X$296)/SUMPRODUCT((_DATA_Assessment_Model!$H$281:$H$296&lt;&gt;"")*(_DATA_Assessment_Model!$H$281:$H$296&lt;&gt;"N/A"),_DATA_Assessment_Model!$G$281:$G$296,_DATA_Assessment_Model!$X$281:$X$296),0)</f>
        <v/>
      </c>
      <c r="P285" s="119">
        <f>SUMPRODUCT((_DATA_Assessment_Model!$H$281:$H$296&lt;&gt;"")*(_DATA_Assessment_Model!$H$281:$H$296&lt;&gt;"N/A"),_DATA_Assessment_Model!$G$281:$G$296,_DATA_Assessment_Model!$X$281:$X$296)</f>
        <v/>
      </c>
      <c r="Q285" s="119">
        <f>IFERROR(SUMPRODUCT((_DATA_Assessment_Model!$H$281:$H$296&lt;&gt;"")*(_DATA_Assessment_Model!$H$281:$H$296&lt;&gt;"N/A"),IFERROR(VALUE(_DATA_Assessment_Model!$H$281:$H$296),0),_DATA_Assessment_Model!$G$281:$G$296,_DATA_Assessment_Model!$Y$281:$Y$296)/SUMPRODUCT((_DATA_Assessment_Model!$H$281:$H$296&lt;&gt;"")*(_DATA_Assessment_Model!$H$281:$H$296&lt;&gt;"N/A"),_DATA_Assessment_Model!$G$281:$G$296,_DATA_Assessment_Model!$Y$281:$Y$296),0)</f>
        <v/>
      </c>
      <c r="R285" s="119">
        <f>SUMPRODUCT((_DATA_Assessment_Model!$H$281:$H$296&lt;&gt;"")*(_DATA_Assessment_Model!$H$281:$H$296&lt;&gt;"N/A"),_DATA_Assessment_Model!$G$281:$G$296,_DATA_Assessment_Model!$Y$281:$Y$296)</f>
        <v/>
      </c>
    </row>
    <row r="286">
      <c r="A286" s="112" t="inlineStr">
        <is>
          <t>IT Cloud DR</t>
        </is>
      </c>
      <c r="B286" s="113">
        <f>_DATA_Dashboard_Facts!$H$17</f>
        <v/>
      </c>
      <c r="C286" s="114">
        <f>_DATA_Dashboard_Facts!$G$17</f>
        <v/>
      </c>
      <c r="D286" s="114">
        <f>_DATA_Dashboard_Facts!$D$17</f>
        <v/>
      </c>
      <c r="E286" s="115">
        <f>_DATA_Dashboard_Facts!$J$17+_DATA_Dashboard_Facts!$K$17</f>
        <v/>
      </c>
      <c r="F286" s="112" t="n"/>
      <c r="G286" s="112" t="n"/>
      <c r="H286" s="112" t="n"/>
      <c r="I286" s="112" t="n"/>
      <c r="J286" s="112" t="n"/>
      <c r="K286" s="112" t="n"/>
      <c r="L286" s="112" t="inlineStr">
        <is>
          <t>IT Cloud DR</t>
        </is>
      </c>
      <c r="M286" s="119">
        <f>IFERROR(SUMPRODUCT((_DATA_Assessment_Model!$H$297:$H$324&lt;&gt;"")*(_DATA_Assessment_Model!$H$297:$H$324&lt;&gt;"N/A"),IFERROR(VALUE(_DATA_Assessment_Model!$H$297:$H$324),0),_DATA_Assessment_Model!$G$297:$G$324,_DATA_Assessment_Model!$W$297:$W$324)/SUMPRODUCT((_DATA_Assessment_Model!$H$297:$H$324&lt;&gt;"")*(_DATA_Assessment_Model!$H$297:$H$324&lt;&gt;"N/A"),_DATA_Assessment_Model!$G$297:$G$324,_DATA_Assessment_Model!$W$297:$W$324),0)</f>
        <v/>
      </c>
      <c r="N286" s="119">
        <f>SUMPRODUCT((_DATA_Assessment_Model!$H$297:$H$324&lt;&gt;"")*(_DATA_Assessment_Model!$H$297:$H$324&lt;&gt;"N/A"),_DATA_Assessment_Model!$G$297:$G$324,_DATA_Assessment_Model!$W$297:$W$324)</f>
        <v/>
      </c>
      <c r="O286" s="119">
        <f>IFERROR(SUMPRODUCT((_DATA_Assessment_Model!$H$297:$H$324&lt;&gt;"")*(_DATA_Assessment_Model!$H$297:$H$324&lt;&gt;"N/A"),IFERROR(VALUE(_DATA_Assessment_Model!$H$297:$H$324),0),_DATA_Assessment_Model!$G$297:$G$324,_DATA_Assessment_Model!$X$297:$X$324)/SUMPRODUCT((_DATA_Assessment_Model!$H$297:$H$324&lt;&gt;"")*(_DATA_Assessment_Model!$H$297:$H$324&lt;&gt;"N/A"),_DATA_Assessment_Model!$G$297:$G$324,_DATA_Assessment_Model!$X$297:$X$324),0)</f>
        <v/>
      </c>
      <c r="P286" s="119">
        <f>SUMPRODUCT((_DATA_Assessment_Model!$H$297:$H$324&lt;&gt;"")*(_DATA_Assessment_Model!$H$297:$H$324&lt;&gt;"N/A"),_DATA_Assessment_Model!$G$297:$G$324,_DATA_Assessment_Model!$X$297:$X$324)</f>
        <v/>
      </c>
      <c r="Q286" s="119">
        <f>IFERROR(SUMPRODUCT((_DATA_Assessment_Model!$H$297:$H$324&lt;&gt;"")*(_DATA_Assessment_Model!$H$297:$H$324&lt;&gt;"N/A"),IFERROR(VALUE(_DATA_Assessment_Model!$H$297:$H$324),0),_DATA_Assessment_Model!$G$297:$G$324,_DATA_Assessment_Model!$Y$297:$Y$324)/SUMPRODUCT((_DATA_Assessment_Model!$H$297:$H$324&lt;&gt;"")*(_DATA_Assessment_Model!$H$297:$H$324&lt;&gt;"N/A"),_DATA_Assessment_Model!$G$297:$G$324,_DATA_Assessment_Model!$Y$297:$Y$324),0)</f>
        <v/>
      </c>
      <c r="R286" s="119">
        <f>SUMPRODUCT((_DATA_Assessment_Model!$H$297:$H$324&lt;&gt;"")*(_DATA_Assessment_Model!$H$297:$H$324&lt;&gt;"N/A"),_DATA_Assessment_Model!$G$297:$G$324,_DATA_Assessment_Model!$Y$297:$Y$324)</f>
        <v/>
      </c>
    </row>
    <row r="287">
      <c r="A287" s="112" t="inlineStr">
        <is>
          <t>Business Systems</t>
        </is>
      </c>
      <c r="B287" s="113">
        <f>_DATA_Dashboard_Facts!$H$18</f>
        <v/>
      </c>
      <c r="C287" s="114">
        <f>_DATA_Dashboard_Facts!$G$18</f>
        <v/>
      </c>
      <c r="D287" s="114">
        <f>_DATA_Dashboard_Facts!$D$18</f>
        <v/>
      </c>
      <c r="E287" s="115">
        <f>_DATA_Dashboard_Facts!$J$18+_DATA_Dashboard_Facts!$K$18</f>
        <v/>
      </c>
      <c r="F287" s="112" t="n"/>
      <c r="G287" s="112" t="n"/>
      <c r="H287" s="112" t="n"/>
      <c r="I287" s="112" t="n"/>
      <c r="J287" s="112" t="n"/>
      <c r="K287" s="112" t="n"/>
      <c r="L287" s="112" t="inlineStr">
        <is>
          <t>Business Systems</t>
        </is>
      </c>
      <c r="M287" s="119">
        <f>IFERROR(SUMPRODUCT((_DATA_Assessment_Model!$H$325:$H$345&lt;&gt;"")*(_DATA_Assessment_Model!$H$325:$H$345&lt;&gt;"N/A"),IFERROR(VALUE(_DATA_Assessment_Model!$H$325:$H$345),0),_DATA_Assessment_Model!$G$325:$G$345,_DATA_Assessment_Model!$W$325:$W$345)/SUMPRODUCT((_DATA_Assessment_Model!$H$325:$H$345&lt;&gt;"")*(_DATA_Assessment_Model!$H$325:$H$345&lt;&gt;"N/A"),_DATA_Assessment_Model!$G$325:$G$345,_DATA_Assessment_Model!$W$325:$W$345),0)</f>
        <v/>
      </c>
      <c r="N287" s="119">
        <f>SUMPRODUCT((_DATA_Assessment_Model!$H$325:$H$345&lt;&gt;"")*(_DATA_Assessment_Model!$H$325:$H$345&lt;&gt;"N/A"),_DATA_Assessment_Model!$G$325:$G$345,_DATA_Assessment_Model!$W$325:$W$345)</f>
        <v/>
      </c>
      <c r="O287" s="119">
        <f>IFERROR(SUMPRODUCT((_DATA_Assessment_Model!$H$325:$H$345&lt;&gt;"")*(_DATA_Assessment_Model!$H$325:$H$345&lt;&gt;"N/A"),IFERROR(VALUE(_DATA_Assessment_Model!$H$325:$H$345),0),_DATA_Assessment_Model!$G$325:$G$345,_DATA_Assessment_Model!$X$325:$X$345)/SUMPRODUCT((_DATA_Assessment_Model!$H$325:$H$345&lt;&gt;"")*(_DATA_Assessment_Model!$H$325:$H$345&lt;&gt;"N/A"),_DATA_Assessment_Model!$G$325:$G$345,_DATA_Assessment_Model!$X$325:$X$345),0)</f>
        <v/>
      </c>
      <c r="P287" s="119">
        <f>SUMPRODUCT((_DATA_Assessment_Model!$H$325:$H$345&lt;&gt;"")*(_DATA_Assessment_Model!$H$325:$H$345&lt;&gt;"N/A"),_DATA_Assessment_Model!$G$325:$G$345,_DATA_Assessment_Model!$X$325:$X$345)</f>
        <v/>
      </c>
      <c r="Q287" s="119">
        <f>IFERROR(SUMPRODUCT((_DATA_Assessment_Model!$H$325:$H$345&lt;&gt;"")*(_DATA_Assessment_Model!$H$325:$H$345&lt;&gt;"N/A"),IFERROR(VALUE(_DATA_Assessment_Model!$H$325:$H$345),0),_DATA_Assessment_Model!$G$325:$G$345,_DATA_Assessment_Model!$Y$325:$Y$345)/SUMPRODUCT((_DATA_Assessment_Model!$H$325:$H$345&lt;&gt;"")*(_DATA_Assessment_Model!$H$325:$H$345&lt;&gt;"N/A"),_DATA_Assessment_Model!$G$325:$G$345,_DATA_Assessment_Model!$Y$325:$Y$345),0)</f>
        <v/>
      </c>
      <c r="R287" s="119">
        <f>SUMPRODUCT((_DATA_Assessment_Model!$H$325:$H$345&lt;&gt;"")*(_DATA_Assessment_Model!$H$325:$H$345&lt;&gt;"N/A"),_DATA_Assessment_Model!$G$325:$G$345,_DATA_Assessment_Model!$Y$325:$Y$345)</f>
        <v/>
      </c>
    </row>
    <row r="288">
      <c r="A288" s="112" t="inlineStr">
        <is>
          <t>Data BI AI</t>
        </is>
      </c>
      <c r="B288" s="113">
        <f>_DATA_Dashboard_Facts!$H$19</f>
        <v/>
      </c>
      <c r="C288" s="114">
        <f>_DATA_Dashboard_Facts!$G$19</f>
        <v/>
      </c>
      <c r="D288" s="114">
        <f>_DATA_Dashboard_Facts!$D$19</f>
        <v/>
      </c>
      <c r="E288" s="115">
        <f>_DATA_Dashboard_Facts!$J$19+_DATA_Dashboard_Facts!$K$19</f>
        <v/>
      </c>
      <c r="F288" s="112" t="n"/>
      <c r="G288" s="112" t="n"/>
      <c r="H288" s="112" t="n"/>
      <c r="I288" s="112" t="n"/>
      <c r="J288" s="112" t="n"/>
      <c r="K288" s="112" t="n"/>
      <c r="L288" s="112" t="inlineStr">
        <is>
          <t>Data BI AI</t>
        </is>
      </c>
      <c r="M288" s="119">
        <f>IFERROR(SUMPRODUCT((_DATA_Assessment_Model!$H$346:$H$372&lt;&gt;"")*(_DATA_Assessment_Model!$H$346:$H$372&lt;&gt;"N/A"),IFERROR(VALUE(_DATA_Assessment_Model!$H$346:$H$372),0),_DATA_Assessment_Model!$G$346:$G$372,_DATA_Assessment_Model!$W$346:$W$372)/SUMPRODUCT((_DATA_Assessment_Model!$H$346:$H$372&lt;&gt;"")*(_DATA_Assessment_Model!$H$346:$H$372&lt;&gt;"N/A"),_DATA_Assessment_Model!$G$346:$G$372,_DATA_Assessment_Model!$W$346:$W$372),0)</f>
        <v/>
      </c>
      <c r="N288" s="119">
        <f>SUMPRODUCT((_DATA_Assessment_Model!$H$346:$H$372&lt;&gt;"")*(_DATA_Assessment_Model!$H$346:$H$372&lt;&gt;"N/A"),_DATA_Assessment_Model!$G$346:$G$372,_DATA_Assessment_Model!$W$346:$W$372)</f>
        <v/>
      </c>
      <c r="O288" s="119">
        <f>IFERROR(SUMPRODUCT((_DATA_Assessment_Model!$H$346:$H$372&lt;&gt;"")*(_DATA_Assessment_Model!$H$346:$H$372&lt;&gt;"N/A"),IFERROR(VALUE(_DATA_Assessment_Model!$H$346:$H$372),0),_DATA_Assessment_Model!$G$346:$G$372,_DATA_Assessment_Model!$X$346:$X$372)/SUMPRODUCT((_DATA_Assessment_Model!$H$346:$H$372&lt;&gt;"")*(_DATA_Assessment_Model!$H$346:$H$372&lt;&gt;"N/A"),_DATA_Assessment_Model!$G$346:$G$372,_DATA_Assessment_Model!$X$346:$X$372),0)</f>
        <v/>
      </c>
      <c r="P288" s="119">
        <f>SUMPRODUCT((_DATA_Assessment_Model!$H$346:$H$372&lt;&gt;"")*(_DATA_Assessment_Model!$H$346:$H$372&lt;&gt;"N/A"),_DATA_Assessment_Model!$G$346:$G$372,_DATA_Assessment_Model!$X$346:$X$372)</f>
        <v/>
      </c>
      <c r="Q288" s="119">
        <f>IFERROR(SUMPRODUCT((_DATA_Assessment_Model!$H$346:$H$372&lt;&gt;"")*(_DATA_Assessment_Model!$H$346:$H$372&lt;&gt;"N/A"),IFERROR(VALUE(_DATA_Assessment_Model!$H$346:$H$372),0),_DATA_Assessment_Model!$G$346:$G$372,_DATA_Assessment_Model!$Y$346:$Y$372)/SUMPRODUCT((_DATA_Assessment_Model!$H$346:$H$372&lt;&gt;"")*(_DATA_Assessment_Model!$H$346:$H$372&lt;&gt;"N/A"),_DATA_Assessment_Model!$G$346:$G$372,_DATA_Assessment_Model!$Y$346:$Y$372),0)</f>
        <v/>
      </c>
      <c r="R288" s="119">
        <f>SUMPRODUCT((_DATA_Assessment_Model!$H$346:$H$372&lt;&gt;"")*(_DATA_Assessment_Model!$H$346:$H$372&lt;&gt;"N/A"),_DATA_Assessment_Model!$G$346:$G$372,_DATA_Assessment_Model!$Y$346:$Y$372)</f>
        <v/>
      </c>
    </row>
    <row r="289">
      <c r="A289" s="112" t="inlineStr">
        <is>
          <t>Cyber Privacy</t>
        </is>
      </c>
      <c r="B289" s="113">
        <f>_DATA_Dashboard_Facts!$H$20</f>
        <v/>
      </c>
      <c r="C289" s="114">
        <f>_DATA_Dashboard_Facts!$G$20</f>
        <v/>
      </c>
      <c r="D289" s="114">
        <f>_DATA_Dashboard_Facts!$D$20</f>
        <v/>
      </c>
      <c r="E289" s="115">
        <f>_DATA_Dashboard_Facts!$J$20+_DATA_Dashboard_Facts!$K$20</f>
        <v/>
      </c>
      <c r="F289" s="112" t="n"/>
      <c r="G289" s="112" t="n"/>
      <c r="H289" s="112" t="n"/>
      <c r="I289" s="112" t="n"/>
      <c r="J289" s="112" t="n"/>
      <c r="K289" s="112" t="n"/>
      <c r="L289" s="112" t="inlineStr">
        <is>
          <t>Cyber Privacy</t>
        </is>
      </c>
      <c r="M289" s="119">
        <f>IFERROR(SUMPRODUCT((_DATA_Assessment_Model!$H$373:$H$406&lt;&gt;"")*(_DATA_Assessment_Model!$H$373:$H$406&lt;&gt;"N/A"),IFERROR(VALUE(_DATA_Assessment_Model!$H$373:$H$406),0),_DATA_Assessment_Model!$G$373:$G$406,_DATA_Assessment_Model!$W$373:$W$406)/SUMPRODUCT((_DATA_Assessment_Model!$H$373:$H$406&lt;&gt;"")*(_DATA_Assessment_Model!$H$373:$H$406&lt;&gt;"N/A"),_DATA_Assessment_Model!$G$373:$G$406,_DATA_Assessment_Model!$W$373:$W$406),0)</f>
        <v/>
      </c>
      <c r="N289" s="119">
        <f>SUMPRODUCT((_DATA_Assessment_Model!$H$373:$H$406&lt;&gt;"")*(_DATA_Assessment_Model!$H$373:$H$406&lt;&gt;"N/A"),_DATA_Assessment_Model!$G$373:$G$406,_DATA_Assessment_Model!$W$373:$W$406)</f>
        <v/>
      </c>
      <c r="O289" s="119">
        <f>IFERROR(SUMPRODUCT((_DATA_Assessment_Model!$H$373:$H$406&lt;&gt;"")*(_DATA_Assessment_Model!$H$373:$H$406&lt;&gt;"N/A"),IFERROR(VALUE(_DATA_Assessment_Model!$H$373:$H$406),0),_DATA_Assessment_Model!$G$373:$G$406,_DATA_Assessment_Model!$X$373:$X$406)/SUMPRODUCT((_DATA_Assessment_Model!$H$373:$H$406&lt;&gt;"")*(_DATA_Assessment_Model!$H$373:$H$406&lt;&gt;"N/A"),_DATA_Assessment_Model!$G$373:$G$406,_DATA_Assessment_Model!$X$373:$X$406),0)</f>
        <v/>
      </c>
      <c r="P289" s="119">
        <f>SUMPRODUCT((_DATA_Assessment_Model!$H$373:$H$406&lt;&gt;"")*(_DATA_Assessment_Model!$H$373:$H$406&lt;&gt;"N/A"),_DATA_Assessment_Model!$G$373:$G$406,_DATA_Assessment_Model!$X$373:$X$406)</f>
        <v/>
      </c>
      <c r="Q289" s="119">
        <f>IFERROR(SUMPRODUCT((_DATA_Assessment_Model!$H$373:$H$406&lt;&gt;"")*(_DATA_Assessment_Model!$H$373:$H$406&lt;&gt;"N/A"),IFERROR(VALUE(_DATA_Assessment_Model!$H$373:$H$406),0),_DATA_Assessment_Model!$G$373:$G$406,_DATA_Assessment_Model!$Y$373:$Y$406)/SUMPRODUCT((_DATA_Assessment_Model!$H$373:$H$406&lt;&gt;"")*(_DATA_Assessment_Model!$H$373:$H$406&lt;&gt;"N/A"),_DATA_Assessment_Model!$G$373:$G$406,_DATA_Assessment_Model!$Y$373:$Y$406),0)</f>
        <v/>
      </c>
      <c r="R289" s="119">
        <f>SUMPRODUCT((_DATA_Assessment_Model!$H$373:$H$406&lt;&gt;"")*(_DATA_Assessment_Model!$H$373:$H$406&lt;&gt;"N/A"),_DATA_Assessment_Model!$G$373:$G$406,_DATA_Assessment_Model!$Y$373:$Y$406)</f>
        <v/>
      </c>
    </row>
    <row r="290">
      <c r="A290" s="112" t="inlineStr">
        <is>
          <t>Quality Portfolio</t>
        </is>
      </c>
      <c r="B290" s="113">
        <f>_DATA_Dashboard_Facts!$H$21</f>
        <v/>
      </c>
      <c r="C290" s="114">
        <f>_DATA_Dashboard_Facts!$G$21</f>
        <v/>
      </c>
      <c r="D290" s="114">
        <f>_DATA_Dashboard_Facts!$D$21</f>
        <v/>
      </c>
      <c r="E290" s="115">
        <f>_DATA_Dashboard_Facts!$J$21+_DATA_Dashboard_Facts!$K$21</f>
        <v/>
      </c>
      <c r="F290" s="112" t="n"/>
      <c r="G290" s="112" t="n"/>
      <c r="H290" s="112" t="n"/>
      <c r="I290" s="112" t="n"/>
      <c r="J290" s="112" t="n"/>
      <c r="K290" s="112" t="n"/>
      <c r="L290" s="112" t="inlineStr">
        <is>
          <t>Quality Portfolio</t>
        </is>
      </c>
      <c r="M290" s="119">
        <f>IFERROR(SUMPRODUCT((_DATA_Assessment_Model!$H$407:$H$428&lt;&gt;"")*(_DATA_Assessment_Model!$H$407:$H$428&lt;&gt;"N/A"),IFERROR(VALUE(_DATA_Assessment_Model!$H$407:$H$428),0),_DATA_Assessment_Model!$G$407:$G$428,_DATA_Assessment_Model!$W$407:$W$428)/SUMPRODUCT((_DATA_Assessment_Model!$H$407:$H$428&lt;&gt;"")*(_DATA_Assessment_Model!$H$407:$H$428&lt;&gt;"N/A"),_DATA_Assessment_Model!$G$407:$G$428,_DATA_Assessment_Model!$W$407:$W$428),0)</f>
        <v/>
      </c>
      <c r="N290" s="119">
        <f>SUMPRODUCT((_DATA_Assessment_Model!$H$407:$H$428&lt;&gt;"")*(_DATA_Assessment_Model!$H$407:$H$428&lt;&gt;"N/A"),_DATA_Assessment_Model!$G$407:$G$428,_DATA_Assessment_Model!$W$407:$W$428)</f>
        <v/>
      </c>
      <c r="O290" s="119">
        <f>IFERROR(SUMPRODUCT((_DATA_Assessment_Model!$H$407:$H$428&lt;&gt;"")*(_DATA_Assessment_Model!$H$407:$H$428&lt;&gt;"N/A"),IFERROR(VALUE(_DATA_Assessment_Model!$H$407:$H$428),0),_DATA_Assessment_Model!$G$407:$G$428,_DATA_Assessment_Model!$X$407:$X$428)/SUMPRODUCT((_DATA_Assessment_Model!$H$407:$H$428&lt;&gt;"")*(_DATA_Assessment_Model!$H$407:$H$428&lt;&gt;"N/A"),_DATA_Assessment_Model!$G$407:$G$428,_DATA_Assessment_Model!$X$407:$X$428),0)</f>
        <v/>
      </c>
      <c r="P290" s="119">
        <f>SUMPRODUCT((_DATA_Assessment_Model!$H$407:$H$428&lt;&gt;"")*(_DATA_Assessment_Model!$H$407:$H$428&lt;&gt;"N/A"),_DATA_Assessment_Model!$G$407:$G$428,_DATA_Assessment_Model!$X$407:$X$428)</f>
        <v/>
      </c>
      <c r="Q290" s="119">
        <f>IFERROR(SUMPRODUCT((_DATA_Assessment_Model!$H$407:$H$428&lt;&gt;"")*(_DATA_Assessment_Model!$H$407:$H$428&lt;&gt;"N/A"),IFERROR(VALUE(_DATA_Assessment_Model!$H$407:$H$428),0),_DATA_Assessment_Model!$G$407:$G$428,_DATA_Assessment_Model!$Y$407:$Y$428)/SUMPRODUCT((_DATA_Assessment_Model!$H$407:$H$428&lt;&gt;"")*(_DATA_Assessment_Model!$H$407:$H$428&lt;&gt;"N/A"),_DATA_Assessment_Model!$G$407:$G$428,_DATA_Assessment_Model!$Y$407:$Y$428),0)</f>
        <v/>
      </c>
      <c r="R290" s="119">
        <f>SUMPRODUCT((_DATA_Assessment_Model!$H$407:$H$428&lt;&gt;"")*(_DATA_Assessment_Model!$H$407:$H$428&lt;&gt;"N/A"),_DATA_Assessment_Model!$G$407:$G$428,_DATA_Assessment_Model!$Y$407:$Y$428)</f>
        <v/>
      </c>
    </row>
    <row r="291">
      <c r="A291" s="202" t="n"/>
      <c r="B291" s="202" t="n"/>
      <c r="C291" s="202" t="n"/>
      <c r="D291" s="202" t="n"/>
      <c r="E291" s="202" t="n"/>
      <c r="F291" s="202" t="n"/>
      <c r="G291" s="202" t="n"/>
      <c r="H291" s="202" t="n"/>
      <c r="I291" s="202" t="n"/>
      <c r="J291" s="202" t="n"/>
      <c r="K291" s="202" t="n"/>
      <c r="L291" s="202" t="n"/>
      <c r="M291" s="202" t="n"/>
      <c r="N291" s="202" t="n"/>
      <c r="O291" s="202" t="n"/>
      <c r="P291" s="202" t="n"/>
      <c r="Q291" s="202" t="n"/>
      <c r="R291" s="202" t="n"/>
    </row>
    <row r="292">
      <c r="A292" s="202" t="inlineStr">
        <is>
          <t>v1.991 refactored domain scoring helper</t>
        </is>
      </c>
      <c r="B292" s="202" t="n"/>
      <c r="C292" s="202" t="n"/>
      <c r="D292" s="202" t="n"/>
      <c r="E292" s="202" t="n"/>
      <c r="F292" s="202" t="n"/>
      <c r="G292" s="202" t="n"/>
      <c r="H292" s="202" t="n"/>
      <c r="I292" s="202" t="n"/>
      <c r="J292" s="202" t="n"/>
      <c r="K292" s="202" t="n"/>
      <c r="L292" s="202" t="n"/>
      <c r="M292" s="202" t="n"/>
      <c r="N292" s="202" t="n"/>
      <c r="O292" s="202" t="n"/>
      <c r="P292" s="202" t="n"/>
      <c r="Q292" s="202" t="n"/>
      <c r="R292" s="202" t="n"/>
    </row>
    <row r="293" ht="18" customHeight="1" s="209">
      <c r="A293" s="213" t="inlineStr">
        <is>
          <t>This hidden block replaces the former AS-IS scoring staging logic.</t>
        </is>
      </c>
      <c r="B293" s="202" t="n"/>
      <c r="C293" s="202" t="n"/>
      <c r="D293" s="202" t="n"/>
      <c r="E293" s="202" t="n"/>
      <c r="F293" s="202" t="n"/>
      <c r="G293" s="202" t="n"/>
      <c r="H293" s="202" t="n"/>
      <c r="I293" s="202" t="n"/>
      <c r="J293" s="202" t="n"/>
      <c r="K293" s="202" t="n"/>
      <c r="L293" s="202" t="n"/>
      <c r="M293" s="202" t="n"/>
      <c r="N293" s="202" t="n"/>
      <c r="O293" s="202" t="n"/>
      <c r="P293" s="202" t="n"/>
      <c r="Q293" s="202" t="n"/>
      <c r="R293" s="202" t="n"/>
    </row>
    <row r="294" ht="15" customHeight="1" s="209">
      <c r="A294" s="103" t="n"/>
      <c r="B294" s="225" t="n"/>
      <c r="C294" s="202" t="n"/>
      <c r="D294" s="202" t="n"/>
      <c r="E294" s="202" t="n"/>
      <c r="F294" s="202" t="n"/>
      <c r="G294" s="202" t="n"/>
      <c r="H294" s="202" t="n"/>
      <c r="I294" s="202" t="n"/>
      <c r="J294" s="202" t="n"/>
      <c r="K294" s="202" t="n"/>
      <c r="L294" s="202" t="n"/>
      <c r="M294" s="202" t="n"/>
      <c r="N294" s="202" t="n"/>
      <c r="O294" s="202" t="n"/>
      <c r="P294" s="202" t="n"/>
      <c r="Q294" s="202">
        <f>IFERROR(ROUND(SUMPRODUCT($C$300:$C$316,$I$300:$I$316)/SUMPRODUCT(--($C$300:$C$316&lt;&gt;""),$I$300:$I$316),2),"")</f>
      </c>
      <c r="R294" s="202" t="n"/>
    </row>
    <row r="295" ht="15" customHeight="1" s="209">
      <c r="A295" s="103" t="n"/>
      <c r="B295" s="225" t="n"/>
      <c r="C295" s="202" t="n"/>
      <c r="D295" s="202" t="n"/>
      <c r="E295" s="202" t="n"/>
      <c r="F295" s="202" t="n"/>
      <c r="G295" s="202" t="n"/>
      <c r="H295" s="202" t="n"/>
      <c r="I295" s="202" t="n"/>
      <c r="J295" s="202" t="n"/>
      <c r="K295" s="202" t="n"/>
      <c r="L295" s="202" t="n"/>
      <c r="M295" s="202" t="n"/>
      <c r="N295" s="202" t="n"/>
      <c r="O295" s="202" t="n"/>
      <c r="P295" s="202" t="n"/>
      <c r="Q295" s="202">
        <f>IFERROR(ROUND(AVERAGEIF($G$300:$G$316,"&gt;=0"),2),"")</f>
      </c>
      <c r="R295" s="202" t="n"/>
    </row>
    <row r="296" ht="15" customHeight="1" s="209">
      <c r="A296" s="103" t="n"/>
      <c r="B296" s="225" t="n"/>
      <c r="C296" s="202" t="n"/>
      <c r="D296" s="202" t="n"/>
      <c r="E296" s="202" t="n"/>
      <c r="F296" s="202" t="n"/>
      <c r="G296" s="202" t="n"/>
      <c r="H296" s="202" t="n"/>
      <c r="I296" s="202" t="n"/>
      <c r="J296" s="202" t="n"/>
      <c r="K296" s="202" t="n"/>
      <c r="L296" s="202" t="n"/>
      <c r="M296" s="202" t="n"/>
      <c r="N296" s="202" t="n"/>
      <c r="O296" s="202" t="n"/>
      <c r="P296" s="202" t="n"/>
      <c r="Q296" s="202">
        <f>COUNTIF($K$300:$K$316,"Breach")</f>
      </c>
      <c r="R296" s="202" t="n"/>
    </row>
    <row r="297" ht="15" customHeight="1" s="209">
      <c r="A297" s="103" t="n"/>
      <c r="B297" s="225" t="n"/>
      <c r="C297" s="202" t="n"/>
      <c r="D297" s="202" t="n"/>
      <c r="E297" s="202" t="n"/>
      <c r="F297" s="202" t="n"/>
      <c r="G297" s="202" t="n"/>
      <c r="H297" s="202" t="n"/>
      <c r="I297" s="202" t="n"/>
      <c r="J297" s="202" t="n"/>
      <c r="K297" s="202" t="n"/>
      <c r="L297" s="202" t="n"/>
      <c r="M297" s="202" t="n"/>
      <c r="N297" s="202" t="n"/>
      <c r="O297" s="202" t="n"/>
      <c r="P297" s="202" t="n"/>
      <c r="Q297" s="202" t="n"/>
      <c r="R297" s="202" t="n"/>
    </row>
    <row r="298">
      <c r="A298" s="202" t="n"/>
      <c r="B298" s="202" t="n"/>
      <c r="C298" s="202" t="n"/>
      <c r="D298" s="202" t="n"/>
      <c r="E298" s="202" t="n"/>
      <c r="F298" s="202" t="n"/>
      <c r="G298" s="202" t="n"/>
      <c r="H298" s="202" t="n"/>
      <c r="I298" s="202" t="n"/>
      <c r="J298" s="202" t="n"/>
      <c r="K298" s="202" t="n"/>
      <c r="L298" s="202" t="n"/>
      <c r="M298" s="202" t="n"/>
      <c r="N298" s="202" t="n"/>
      <c r="O298" s="202" t="n"/>
      <c r="P298" s="202" t="n"/>
      <c r="Q298" s="202" t="n"/>
      <c r="R298" s="202" t="n"/>
    </row>
    <row r="299">
      <c r="A299" s="202" t="inlineStr">
        <is>
          <t>Domain</t>
        </is>
      </c>
      <c r="B299" s="202" t="inlineStr">
        <is>
          <t>Maturity</t>
        </is>
      </c>
      <c r="C299" s="202" t="inlineStr">
        <is>
          <t>Weighted AS-IS</t>
        </is>
      </c>
      <c r="D299" s="202" t="inlineStr">
        <is>
          <t>Coverage %</t>
        </is>
      </c>
      <c r="E299" s="202" t="inlineStr">
        <is>
          <t>Validation</t>
        </is>
      </c>
      <c r="F299" s="202" t="inlineStr">
        <is>
          <t>Target</t>
        </is>
      </c>
      <c r="G299" s="202" t="inlineStr">
        <is>
          <t>Gap</t>
        </is>
      </c>
      <c r="H299" s="202" t="inlineStr">
        <is>
          <t>Industry multiplier</t>
        </is>
      </c>
      <c r="I299" s="202" t="inlineStr">
        <is>
          <t>Domain weight</t>
        </is>
      </c>
      <c r="J299" s="202" t="inlineStr">
        <is>
          <t>Priority score</t>
        </is>
      </c>
      <c r="K299" s="202" t="inlineStr">
        <is>
          <t>Breach</t>
        </is>
      </c>
      <c r="L299" s="202" t="inlineStr">
        <is>
          <t>Index</t>
        </is>
      </c>
      <c r="M299" s="202" t="inlineStr">
        <is>
          <t>Active flag</t>
        </is>
      </c>
      <c r="N299" s="202" t="inlineStr">
        <is>
          <t>Gap raw</t>
        </is>
      </c>
      <c r="O299" s="202" t="inlineStr">
        <is>
          <t>Coverage raw</t>
        </is>
      </c>
      <c r="P299" s="202" t="inlineStr">
        <is>
          <t/>
        </is>
      </c>
      <c r="Q299" s="202" t="inlineStr">
        <is>
          <t/>
        </is>
      </c>
      <c r="R299" s="202" t="inlineStr">
        <is>
          <t>Benchmark target</t>
        </is>
      </c>
    </row>
    <row r="300">
      <c r="A300" s="202">
        <f>_DATA_Dashboard_Facts!$A$5</f>
      </c>
      <c r="B300" s="202">
        <f>IF(SUMPRODUCT((_DATA_Assessment_Model!$H$5:$H$23&lt;&gt;"")*(_DATA_Assessment_Model!$H$5:$H$23&lt;&gt;"N/A")*_DATA_Assessment_Model!$G$5:$G$23)=0,"",_DATA_Dashboard_Facts!$H$5)</f>
      </c>
      <c r="C300" s="202">
        <f>IF(SUMPRODUCT((_DATA_Assessment_Model!$H$5:$H$23&lt;&gt;"")*(_DATA_Assessment_Model!$H$5:$H$23&lt;&gt;"N/A")*_DATA_Assessment_Model!$G$5:$G$23)=0,"",ROUND(SUMPRODUCT((_DATA_Assessment_Model!$H$5:$H$23&lt;&gt;"")*(_DATA_Assessment_Model!$H$5:$H$23&lt;&gt;"N/A")*_DATA_Assessment_Model!$G$5:$G$23*_DATA_Assessment_Model!$AS$5:$AS$23)/SUMPRODUCT((_DATA_Assessment_Model!$H$5:$H$23&lt;&gt;"")*(_DATA_Assessment_Model!$H$5:$H$23&lt;&gt;"N/A")*_DATA_Assessment_Model!$G$5:$G$23),2))</f>
      </c>
      <c r="D300" s="202">
        <f>IF(SUMPRODUCT((_DATA_Assessment_Model!$H$5:$H$23&lt;&gt;"")*(_DATA_Assessment_Model!$H$5:$H$23&lt;&gt;"N/A")*_DATA_Assessment_Model!$G$5:$G$23)=0,"",ROUND(SUMPRODUCT((_DATA_Assessment_Model!$H$5:$H$23&lt;&gt;"")*(_DATA_Assessment_Model!$H$5:$H$23&lt;&gt;"N/A")*_DATA_Assessment_Model!$G$5:$G$23*_DATA_Assessment_Model!$AT$5:$AT$23)/SUMPRODUCT((_DATA_Assessment_Model!$H$5:$H$23&lt;&gt;"")*(_DATA_Assessment_Model!$H$5:$H$23&lt;&gt;"N/A")*_DATA_Assessment_Model!$G$5:$G$23)*100,0))</f>
      </c>
      <c r="E300" s="202">
        <f>IF($B300="","",IF(AND($B300&gt;=4,$D300&lt;=80),"Validate",""))</f>
      </c>
      <c r="F300" s="202">
        <f>IFERROR(MIN(5,MAX(0,(SUMIFS(_REF_Model_Content!$D$1:$D$157,_REF_Model_Content!$A$1:$A$157,'Company Profile'!$B$9,_REF_Model_Content!$B$1:$B$157,$A300))+_xlfn.IFNA(VLOOKUP('Company Profile'!$B$35,_CONFIG_Model_Settings!$A$11:$B$13,2,0),0))),"")</f>
      </c>
      <c r="G300" s="202">
        <f>IF(OR($C300="",$F300=""),"",MAX(0,ROUND($F300-$C300,2)))</f>
      </c>
      <c r="H300" s="202">
        <f>IFERROR(SUMIFS(_REF_Model_Content!$E$1:$E$157,_REF_Model_Content!$A$1:$A$157,'Company Profile'!$B$9,_REF_Model_Content!$B$1:$B$157,$A300),1)</f>
      </c>
      <c r="I300" s="202">
        <f>IFERROR(INDEX('_CONFIG_Model_Settings'!$H:$H,MATCH($A300,'_CONFIG_Model_Settings'!$A:$A,0)),0)</f>
      </c>
      <c r="J300" s="202">
        <f>IF($G300="","",ROUND($G300*$H300*$I300*100,2))</f>
      </c>
      <c r="K300" s="202">
        <f>IF($C300="","",IF($C300&lt;$F300,"Breach","OK"))</f>
      </c>
      <c r="L300" s="202">
        <f>IF($C300="",0,$C300/5)</f>
      </c>
      <c r="M300" s="202">
        <f>IF($C300="",0,1)</f>
      </c>
      <c r="N300" s="202">
        <f>IF($G300="",0,$G300)</f>
      </c>
      <c r="O300" s="202">
        <f>IF($D300="",0,$D300)</f>
      </c>
      <c r="P300" s="202" t="n"/>
      <c r="Q300" s="202" t="n"/>
      <c r="R300" s="202">
        <f>IFERROR(SUMIFS(_REF_Model_Content!$F$1:$F$157,_REF_Model_Content!$A$1:$A$157,'Company Profile'!$B$9,_REF_Model_Content!$B$1:$B$157,$A300),0)</f>
      </c>
    </row>
    <row r="301">
      <c r="A301" s="202">
        <f>_DATA_Dashboard_Facts!$A$6</f>
      </c>
      <c r="B301" s="202">
        <f>IF(SUMPRODUCT((_DATA_Assessment_Model!$H$24:$H$49&lt;&gt;"")*(_DATA_Assessment_Model!$H$24:$H$49&lt;&gt;"N/A")*_DATA_Assessment_Model!$G$24:$G$49)=0,"",_DATA_Dashboard_Facts!$H$6)</f>
      </c>
      <c r="C301" s="202">
        <f>IF(SUMPRODUCT((_DATA_Assessment_Model!$H$24:$H$49&lt;&gt;"")*(_DATA_Assessment_Model!$H$24:$H$49&lt;&gt;"N/A")*_DATA_Assessment_Model!$G$24:$G$49)=0,"",ROUND(SUMPRODUCT((_DATA_Assessment_Model!$H$24:$H$49&lt;&gt;"")*(_DATA_Assessment_Model!$H$24:$H$49&lt;&gt;"N/A")*_DATA_Assessment_Model!$G$24:$G$49*_DATA_Assessment_Model!$AS$24:$AS$49)/SUMPRODUCT((_DATA_Assessment_Model!$H$24:$H$49&lt;&gt;"")*(_DATA_Assessment_Model!$H$24:$H$49&lt;&gt;"N/A")*_DATA_Assessment_Model!$G$24:$G$49),2))</f>
      </c>
      <c r="D301" s="202">
        <f>IF(SUMPRODUCT((_DATA_Assessment_Model!$H$24:$H$49&lt;&gt;"")*(_DATA_Assessment_Model!$H$24:$H$49&lt;&gt;"N/A")*_DATA_Assessment_Model!$G$24:$G$49)=0,"",ROUND(SUMPRODUCT((_DATA_Assessment_Model!$H$24:$H$49&lt;&gt;"")*(_DATA_Assessment_Model!$H$24:$H$49&lt;&gt;"N/A")*_DATA_Assessment_Model!$G$24:$G$49*_DATA_Assessment_Model!$AT$24:$AT$49)/SUMPRODUCT((_DATA_Assessment_Model!$H$24:$H$49&lt;&gt;"")*(_DATA_Assessment_Model!$H$24:$H$49&lt;&gt;"N/A")*_DATA_Assessment_Model!$G$24:$G$49)*100,0))</f>
      </c>
      <c r="E301" s="202">
        <f>IF($B301="","",IF(AND($B301&gt;=4,$D301&lt;=80),"Validate",""))</f>
      </c>
      <c r="F301" s="202">
        <f>IFERROR(MIN(5,MAX(0,(SUMIFS(_REF_Model_Content!$D$1:$D$157,_REF_Model_Content!$A$1:$A$157,'Company Profile'!$B$9,_REF_Model_Content!$B$1:$B$157,$A301))+_xlfn.IFNA(VLOOKUP('Company Profile'!$B$35,_CONFIG_Model_Settings!$A$11:$B$13,2,0),0))),"")</f>
      </c>
      <c r="G301" s="202">
        <f>IF(OR($C301="",$F301=""),"",MAX(0,ROUND($F301-$C301,2)))</f>
      </c>
      <c r="H301" s="202">
        <f>IFERROR(SUMIFS(_REF_Model_Content!$E$1:$E$157,_REF_Model_Content!$A$1:$A$157,'Company Profile'!$B$9,_REF_Model_Content!$B$1:$B$157,$A301),1)</f>
      </c>
      <c r="I301" s="202">
        <f>IFERROR(INDEX('_CONFIG_Model_Settings'!$H:$H,MATCH($A301,'_CONFIG_Model_Settings'!$A:$A,0)),0)</f>
      </c>
      <c r="J301" s="202">
        <f>IF($G301="","",ROUND($G301*$H301*$I301*100,2))</f>
      </c>
      <c r="K301" s="202">
        <f>IF($C301="","",IF($C301&lt;$F301,"Breach","OK"))</f>
      </c>
      <c r="L301" s="202">
        <f>IF($C301="",0,$C301/5)</f>
      </c>
      <c r="M301" s="202">
        <f>IF($C301="",0,1)</f>
      </c>
      <c r="N301" s="202">
        <f>IF($G301="",0,$G301)</f>
      </c>
      <c r="O301" s="202">
        <f>IF($D301="",0,$D301)</f>
      </c>
      <c r="P301" s="202" t="n"/>
      <c r="Q301" s="202" t="n"/>
      <c r="R301" s="202">
        <f>IFERROR(SUMIFS(_REF_Model_Content!$F$1:$F$157,_REF_Model_Content!$A$1:$A$157,'Company Profile'!$B$9,_REF_Model_Content!$B$1:$B$157,$A301),0)</f>
      </c>
    </row>
    <row r="302">
      <c r="A302" s="202">
        <f>_DATA_Dashboard_Facts!$A$7</f>
      </c>
      <c r="B302" s="202">
        <f>IF(SUMPRODUCT((_DATA_Assessment_Model!$H$50:$H$71&lt;&gt;"")*(_DATA_Assessment_Model!$H$50:$H$71&lt;&gt;"N/A")*_DATA_Assessment_Model!$G$50:$G$71)=0,"",_DATA_Dashboard_Facts!$H$7)</f>
      </c>
      <c r="C302" s="202">
        <f>IF(SUMPRODUCT((_DATA_Assessment_Model!$H$50:$H$71&lt;&gt;"")*(_DATA_Assessment_Model!$H$50:$H$71&lt;&gt;"N/A")*_DATA_Assessment_Model!$G$50:$G$71)=0,"",ROUND(SUMPRODUCT((_DATA_Assessment_Model!$H$50:$H$71&lt;&gt;"")*(_DATA_Assessment_Model!$H$50:$H$71&lt;&gt;"N/A")*_DATA_Assessment_Model!$G$50:$G$71*_DATA_Assessment_Model!$AS$50:$AS$71)/SUMPRODUCT((_DATA_Assessment_Model!$H$50:$H$71&lt;&gt;"")*(_DATA_Assessment_Model!$H$50:$H$71&lt;&gt;"N/A")*_DATA_Assessment_Model!$G$50:$G$71),2))</f>
      </c>
      <c r="D302" s="202">
        <f>IF(SUMPRODUCT((_DATA_Assessment_Model!$H$50:$H$71&lt;&gt;"")*(_DATA_Assessment_Model!$H$50:$H$71&lt;&gt;"N/A")*_DATA_Assessment_Model!$G$50:$G$71)=0,"",ROUND(SUMPRODUCT((_DATA_Assessment_Model!$H$50:$H$71&lt;&gt;"")*(_DATA_Assessment_Model!$H$50:$H$71&lt;&gt;"N/A")*_DATA_Assessment_Model!$G$50:$G$71*_DATA_Assessment_Model!$AT$50:$AT$71)/SUMPRODUCT((_DATA_Assessment_Model!$H$50:$H$71&lt;&gt;"")*(_DATA_Assessment_Model!$H$50:$H$71&lt;&gt;"N/A")*_DATA_Assessment_Model!$G$50:$G$71)*100,0))</f>
      </c>
      <c r="E302" s="202">
        <f>IF($B302="","",IF(AND($B302&gt;=4,$D302&lt;=80),"Validate",""))</f>
      </c>
      <c r="F302" s="202">
        <f>IFERROR(MIN(5,MAX(0,(SUMIFS(_REF_Model_Content!$D$1:$D$157,_REF_Model_Content!$A$1:$A$157,'Company Profile'!$B$9,_REF_Model_Content!$B$1:$B$157,$A302))+_xlfn.IFNA(VLOOKUP('Company Profile'!$B$35,_CONFIG_Model_Settings!$A$11:$B$13,2,0),0))),"")</f>
      </c>
      <c r="G302" s="202">
        <f>IF(OR($C302="",$F302=""),"",MAX(0,ROUND($F302-$C302,2)))</f>
      </c>
      <c r="H302" s="202">
        <f>IFERROR(SUMIFS(_REF_Model_Content!$E$1:$E$157,_REF_Model_Content!$A$1:$A$157,'Company Profile'!$B$9,_REF_Model_Content!$B$1:$B$157,$A302),1)</f>
      </c>
      <c r="I302" s="202">
        <f>IFERROR(INDEX('_CONFIG_Model_Settings'!$H:$H,MATCH($A302,'_CONFIG_Model_Settings'!$A:$A,0)),0)</f>
      </c>
      <c r="J302" s="202">
        <f>IF($G302="","",ROUND($G302*$H302*$I302*100,2))</f>
      </c>
      <c r="K302" s="202">
        <f>IF($C302="","",IF($C302&lt;$F302,"Breach","OK"))</f>
      </c>
      <c r="L302" s="202">
        <f>IF($C302="",0,$C302/5)</f>
      </c>
      <c r="M302" s="202">
        <f>IF($C302="",0,1)</f>
      </c>
      <c r="N302" s="202">
        <f>IF($G302="",0,$G302)</f>
      </c>
      <c r="O302" s="202">
        <f>IF($D302="",0,$D302)</f>
      </c>
      <c r="P302" s="202" t="n"/>
      <c r="Q302" s="202" t="n"/>
      <c r="R302" s="202">
        <f>IFERROR(SUMIFS(_REF_Model_Content!$F$1:$F$157,_REF_Model_Content!$A$1:$A$157,'Company Profile'!$B$9,_REF_Model_Content!$B$1:$B$157,$A302),0)</f>
      </c>
    </row>
    <row r="303">
      <c r="A303" s="202">
        <f>_DATA_Dashboard_Facts!$A$8</f>
      </c>
      <c r="B303" s="202">
        <f>IF(SUMPRODUCT((_DATA_Assessment_Model!$H$72:$H$97&lt;&gt;"")*(_DATA_Assessment_Model!$H$72:$H$97&lt;&gt;"N/A")*_DATA_Assessment_Model!$G$72:$G$97)=0,"",_DATA_Dashboard_Facts!$H$8)</f>
      </c>
      <c r="C303" s="202">
        <f>IF(SUMPRODUCT((_DATA_Assessment_Model!$H$72:$H$97&lt;&gt;"")*(_DATA_Assessment_Model!$H$72:$H$97&lt;&gt;"N/A")*_DATA_Assessment_Model!$G$72:$G$97)=0,"",ROUND(SUMPRODUCT((_DATA_Assessment_Model!$H$72:$H$97&lt;&gt;"")*(_DATA_Assessment_Model!$H$72:$H$97&lt;&gt;"N/A")*_DATA_Assessment_Model!$G$72:$G$97*_DATA_Assessment_Model!$AS$72:$AS$97)/SUMPRODUCT((_DATA_Assessment_Model!$H$72:$H$97&lt;&gt;"")*(_DATA_Assessment_Model!$H$72:$H$97&lt;&gt;"N/A")*_DATA_Assessment_Model!$G$72:$G$97),2))</f>
      </c>
      <c r="D303" s="202">
        <f>IF(SUMPRODUCT((_DATA_Assessment_Model!$H$72:$H$97&lt;&gt;"")*(_DATA_Assessment_Model!$H$72:$H$97&lt;&gt;"N/A")*_DATA_Assessment_Model!$G$72:$G$97)=0,"",ROUND(SUMPRODUCT((_DATA_Assessment_Model!$H$72:$H$97&lt;&gt;"")*(_DATA_Assessment_Model!$H$72:$H$97&lt;&gt;"N/A")*_DATA_Assessment_Model!$G$72:$G$97*_DATA_Assessment_Model!$AT$72:$AT$97)/SUMPRODUCT((_DATA_Assessment_Model!$H$72:$H$97&lt;&gt;"")*(_DATA_Assessment_Model!$H$72:$H$97&lt;&gt;"N/A")*_DATA_Assessment_Model!$G$72:$G$97)*100,0))</f>
      </c>
      <c r="E303" s="202">
        <f>IF($B303="","",IF(AND($B303&gt;=4,$D303&lt;=80),"Validate",""))</f>
      </c>
      <c r="F303" s="202">
        <f>IFERROR(MIN(5,MAX(0,(SUMIFS(_REF_Model_Content!$D$1:$D$157,_REF_Model_Content!$A$1:$A$157,'Company Profile'!$B$9,_REF_Model_Content!$B$1:$B$157,$A303))+_xlfn.IFNA(VLOOKUP('Company Profile'!$B$35,_CONFIG_Model_Settings!$A$11:$B$13,2,0),0))),"")</f>
      </c>
      <c r="G303" s="202">
        <f>IF(OR($C303="",$F303=""),"",MAX(0,ROUND($F303-$C303,2)))</f>
      </c>
      <c r="H303" s="202">
        <f>IFERROR(SUMIFS(_REF_Model_Content!$E$1:$E$157,_REF_Model_Content!$A$1:$A$157,'Company Profile'!$B$9,_REF_Model_Content!$B$1:$B$157,$A303),1)</f>
      </c>
      <c r="I303" s="202">
        <f>IFERROR(INDEX('_CONFIG_Model_Settings'!$H:$H,MATCH($A303,'_CONFIG_Model_Settings'!$A:$A,0)),0)</f>
      </c>
      <c r="J303" s="202">
        <f>IF($G303="","",ROUND($G303*$H303*$I303*100,2))</f>
      </c>
      <c r="K303" s="202">
        <f>IF($C303="","",IF($C303&lt;$F303,"Breach","OK"))</f>
      </c>
      <c r="L303" s="202">
        <f>IF($C303="",0,$C303/5)</f>
      </c>
      <c r="M303" s="202">
        <f>IF($C303="",0,1)</f>
      </c>
      <c r="N303" s="202">
        <f>IF($G303="",0,$G303)</f>
      </c>
      <c r="O303" s="202">
        <f>IF($D303="",0,$D303)</f>
      </c>
      <c r="P303" s="202" t="n"/>
      <c r="Q303" s="202" t="n"/>
      <c r="R303" s="202">
        <f>IFERROR(SUMIFS(_REF_Model_Content!$F$1:$F$157,_REF_Model_Content!$A$1:$A$157,'Company Profile'!$B$9,_REF_Model_Content!$B$1:$B$157,$A303),0)</f>
      </c>
    </row>
    <row r="304">
      <c r="A304" s="202">
        <f>_DATA_Dashboard_Facts!$A$9</f>
      </c>
      <c r="B304" s="202">
        <f>IF(SUMPRODUCT((_DATA_Assessment_Model!$H$98:$H$123&lt;&gt;"")*(_DATA_Assessment_Model!$H$98:$H$123&lt;&gt;"N/A")*_DATA_Assessment_Model!$G$98:$G$123)=0,"",_DATA_Dashboard_Facts!$H$9)</f>
      </c>
      <c r="C304" s="202">
        <f>IF(SUMPRODUCT((_DATA_Assessment_Model!$H$98:$H$123&lt;&gt;"")*(_DATA_Assessment_Model!$H$98:$H$123&lt;&gt;"N/A")*_DATA_Assessment_Model!$G$98:$G$123)=0,"",ROUND(SUMPRODUCT((_DATA_Assessment_Model!$H$98:$H$123&lt;&gt;"")*(_DATA_Assessment_Model!$H$98:$H$123&lt;&gt;"N/A")*_DATA_Assessment_Model!$G$98:$G$123*_DATA_Assessment_Model!$AS$98:$AS$123)/SUMPRODUCT((_DATA_Assessment_Model!$H$98:$H$123&lt;&gt;"")*(_DATA_Assessment_Model!$H$98:$H$123&lt;&gt;"N/A")*_DATA_Assessment_Model!$G$98:$G$123),2))</f>
      </c>
      <c r="D304" s="202">
        <f>IF(SUMPRODUCT((_DATA_Assessment_Model!$H$98:$H$123&lt;&gt;"")*(_DATA_Assessment_Model!$H$98:$H$123&lt;&gt;"N/A")*_DATA_Assessment_Model!$G$98:$G$123)=0,"",ROUND(SUMPRODUCT((_DATA_Assessment_Model!$H$98:$H$123&lt;&gt;"")*(_DATA_Assessment_Model!$H$98:$H$123&lt;&gt;"N/A")*_DATA_Assessment_Model!$G$98:$G$123*_DATA_Assessment_Model!$AT$98:$AT$123)/SUMPRODUCT((_DATA_Assessment_Model!$H$98:$H$123&lt;&gt;"")*(_DATA_Assessment_Model!$H$98:$H$123&lt;&gt;"N/A")*_DATA_Assessment_Model!$G$98:$G$123)*100,0))</f>
      </c>
      <c r="E304" s="202">
        <f>IF($B304="","",IF(AND($B304&gt;=4,$D304&lt;=80),"Validate",""))</f>
      </c>
      <c r="F304" s="202">
        <f>IFERROR(MIN(5,MAX(0,(SUMIFS(_REF_Model_Content!$D$1:$D$157,_REF_Model_Content!$A$1:$A$157,'Company Profile'!$B$9,_REF_Model_Content!$B$1:$B$157,$A304))+_xlfn.IFNA(VLOOKUP('Company Profile'!$B$35,_CONFIG_Model_Settings!$A$11:$B$13,2,0),0))),"")</f>
      </c>
      <c r="G304" s="202">
        <f>IF(OR($C304="",$F304=""),"",MAX(0,ROUND($F304-$C304,2)))</f>
      </c>
      <c r="H304" s="202">
        <f>IFERROR(SUMIFS(_REF_Model_Content!$E$1:$E$157,_REF_Model_Content!$A$1:$A$157,'Company Profile'!$B$9,_REF_Model_Content!$B$1:$B$157,$A304),1)</f>
      </c>
      <c r="I304" s="202">
        <f>IFERROR(INDEX('_CONFIG_Model_Settings'!$H:$H,MATCH($A304,'_CONFIG_Model_Settings'!$A:$A,0)),0)</f>
      </c>
      <c r="J304" s="202">
        <f>IF($G304="","",ROUND($G304*$H304*$I304*100,2))</f>
      </c>
      <c r="K304" s="202">
        <f>IF($C304="","",IF($C304&lt;$F304,"Breach","OK"))</f>
      </c>
      <c r="L304" s="202">
        <f>IF($C304="",0,$C304/5)</f>
      </c>
      <c r="M304" s="202">
        <f>IF($C304="",0,1)</f>
      </c>
      <c r="N304" s="202">
        <f>IF($G304="",0,$G304)</f>
      </c>
      <c r="O304" s="202">
        <f>IF($D304="",0,$D304)</f>
      </c>
      <c r="P304" s="202" t="n"/>
      <c r="Q304" s="202" t="n"/>
      <c r="R304" s="202">
        <f>IFERROR(SUMIFS(_REF_Model_Content!$F$1:$F$157,_REF_Model_Content!$A$1:$A$157,'Company Profile'!$B$9,_REF_Model_Content!$B$1:$B$157,$A304),0)</f>
      </c>
    </row>
    <row r="305">
      <c r="A305" s="202">
        <f>_DATA_Dashboard_Facts!$A$10</f>
      </c>
      <c r="B305" s="202">
        <f>IF(SUMPRODUCT((_DATA_Assessment_Model!$H$124:$H$144&lt;&gt;"")*(_DATA_Assessment_Model!$H$124:$H$144&lt;&gt;"N/A")*_DATA_Assessment_Model!$G$124:$G$144)=0,"",_DATA_Dashboard_Facts!$H$10)</f>
      </c>
      <c r="C305" s="202">
        <f>IF(SUMPRODUCT((_DATA_Assessment_Model!$H$124:$H$144&lt;&gt;"")*(_DATA_Assessment_Model!$H$124:$H$144&lt;&gt;"N/A")*_DATA_Assessment_Model!$G$124:$G$144)=0,"",ROUND(SUMPRODUCT((_DATA_Assessment_Model!$H$124:$H$144&lt;&gt;"")*(_DATA_Assessment_Model!$H$124:$H$144&lt;&gt;"N/A")*_DATA_Assessment_Model!$G$124:$G$144*_DATA_Assessment_Model!$AS$124:$AS$144)/SUMPRODUCT((_DATA_Assessment_Model!$H$124:$H$144&lt;&gt;"")*(_DATA_Assessment_Model!$H$124:$H$144&lt;&gt;"N/A")*_DATA_Assessment_Model!$G$124:$G$144),2))</f>
      </c>
      <c r="D305" s="202">
        <f>IF(SUMPRODUCT((_DATA_Assessment_Model!$H$124:$H$144&lt;&gt;"")*(_DATA_Assessment_Model!$H$124:$H$144&lt;&gt;"N/A")*_DATA_Assessment_Model!$G$124:$G$144)=0,"",ROUND(SUMPRODUCT((_DATA_Assessment_Model!$H$124:$H$144&lt;&gt;"")*(_DATA_Assessment_Model!$H$124:$H$144&lt;&gt;"N/A")*_DATA_Assessment_Model!$G$124:$G$144*_DATA_Assessment_Model!$AT$124:$AT$144)/SUMPRODUCT((_DATA_Assessment_Model!$H$124:$H$144&lt;&gt;"")*(_DATA_Assessment_Model!$H$124:$H$144&lt;&gt;"N/A")*_DATA_Assessment_Model!$G$124:$G$144)*100,0))</f>
      </c>
      <c r="E305" s="202">
        <f>IF($B305="","",IF(AND($B305&gt;=4,$D305&lt;=80),"Validate",""))</f>
      </c>
      <c r="F305" s="202">
        <f>IFERROR(MIN(5,MAX(0,(SUMIFS(_REF_Model_Content!$D$1:$D$157,_REF_Model_Content!$A$1:$A$157,'Company Profile'!$B$9,_REF_Model_Content!$B$1:$B$157,$A305))+_xlfn.IFNA(VLOOKUP('Company Profile'!$B$35,_CONFIG_Model_Settings!$A$11:$B$13,2,0),0))),"")</f>
      </c>
      <c r="G305" s="202">
        <f>IF(OR($C305="",$F305=""),"",MAX(0,ROUND($F305-$C305,2)))</f>
      </c>
      <c r="H305" s="202">
        <f>IFERROR(SUMIFS(_REF_Model_Content!$E$1:$E$157,_REF_Model_Content!$A$1:$A$157,'Company Profile'!$B$9,_REF_Model_Content!$B$1:$B$157,$A305),1)</f>
      </c>
      <c r="I305" s="202">
        <f>IFERROR(INDEX('_CONFIG_Model_Settings'!$H:$H,MATCH($A305,'_CONFIG_Model_Settings'!$A:$A,0)),0)</f>
      </c>
      <c r="J305" s="202">
        <f>IF($G305="","",ROUND($G305*$H305*$I305*100,2))</f>
      </c>
      <c r="K305" s="202">
        <f>IF($C305="","",IF($C305&lt;$F305,"Breach","OK"))</f>
      </c>
      <c r="L305" s="202">
        <f>IF($C305="",0,$C305/5)</f>
      </c>
      <c r="M305" s="202">
        <f>IF($C305="",0,1)</f>
      </c>
      <c r="N305" s="202">
        <f>IF($G305="",0,$G305)</f>
      </c>
      <c r="O305" s="202">
        <f>IF($D305="",0,$D305)</f>
      </c>
      <c r="P305" s="202" t="n"/>
      <c r="Q305" s="202" t="n"/>
      <c r="R305" s="202">
        <f>IFERROR(SUMIFS(_REF_Model_Content!$F$1:$F$157,_REF_Model_Content!$A$1:$A$157,'Company Profile'!$B$9,_REF_Model_Content!$B$1:$B$157,$A305),0)</f>
      </c>
    </row>
    <row r="306">
      <c r="A306" s="202">
        <f>_DATA_Dashboard_Facts!$A$11</f>
      </c>
      <c r="B306" s="202">
        <f>IF(SUMPRODUCT((_DATA_Assessment_Model!$H$145:$H$175&lt;&gt;"")*(_DATA_Assessment_Model!$H$145:$H$175&lt;&gt;"N/A")*_DATA_Assessment_Model!$G$145:$G$175)=0,"",_DATA_Dashboard_Facts!$H$11)</f>
      </c>
      <c r="C306" s="202">
        <f>IF(SUMPRODUCT((_DATA_Assessment_Model!$H$145:$H$175&lt;&gt;"")*(_DATA_Assessment_Model!$H$145:$H$175&lt;&gt;"N/A")*_DATA_Assessment_Model!$G$145:$G$175)=0,"",ROUND(SUMPRODUCT((_DATA_Assessment_Model!$H$145:$H$175&lt;&gt;"")*(_DATA_Assessment_Model!$H$145:$H$175&lt;&gt;"N/A")*_DATA_Assessment_Model!$G$145:$G$175*_DATA_Assessment_Model!$AS$145:$AS$175)/SUMPRODUCT((_DATA_Assessment_Model!$H$145:$H$175&lt;&gt;"")*(_DATA_Assessment_Model!$H$145:$H$175&lt;&gt;"N/A")*_DATA_Assessment_Model!$G$145:$G$175),2))</f>
      </c>
      <c r="D306" s="202">
        <f>IF(SUMPRODUCT((_DATA_Assessment_Model!$H$145:$H$175&lt;&gt;"")*(_DATA_Assessment_Model!$H$145:$H$175&lt;&gt;"N/A")*_DATA_Assessment_Model!$G$145:$G$175)=0,"",ROUND(SUMPRODUCT((_DATA_Assessment_Model!$H$145:$H$175&lt;&gt;"")*(_DATA_Assessment_Model!$H$145:$H$175&lt;&gt;"N/A")*_DATA_Assessment_Model!$G$145:$G$175*_DATA_Assessment_Model!$AT$145:$AT$175)/SUMPRODUCT((_DATA_Assessment_Model!$H$145:$H$175&lt;&gt;"")*(_DATA_Assessment_Model!$H$145:$H$175&lt;&gt;"N/A")*_DATA_Assessment_Model!$G$145:$G$175)*100,0))</f>
      </c>
      <c r="E306" s="202">
        <f>IF($B306="","",IF(AND($B306&gt;=4,$D306&lt;=80),"Validate",""))</f>
      </c>
      <c r="F306" s="202">
        <f>IFERROR(MIN(5,MAX(0,(SUMIFS(_REF_Model_Content!$D$1:$D$157,_REF_Model_Content!$A$1:$A$157,'Company Profile'!$B$9,_REF_Model_Content!$B$1:$B$157,$A306))+_xlfn.IFNA(VLOOKUP('Company Profile'!$B$35,_CONFIG_Model_Settings!$A$11:$B$13,2,0),0))),"")</f>
      </c>
      <c r="G306" s="202">
        <f>IF(OR($C306="",$F306=""),"",MAX(0,ROUND($F306-$C306,2)))</f>
      </c>
      <c r="H306" s="202">
        <f>IFERROR(SUMIFS(_REF_Model_Content!$E$1:$E$157,_REF_Model_Content!$A$1:$A$157,'Company Profile'!$B$9,_REF_Model_Content!$B$1:$B$157,$A306),1)</f>
      </c>
      <c r="I306" s="202">
        <f>IFERROR(INDEX('_CONFIG_Model_Settings'!$H:$H,MATCH($A306,'_CONFIG_Model_Settings'!$A:$A,0)),0)</f>
      </c>
      <c r="J306" s="202">
        <f>IF($G306="","",ROUND($G306*$H306*$I306*100,2))</f>
      </c>
      <c r="K306" s="202">
        <f>IF($C306="","",IF($C306&lt;$F306,"Breach","OK"))</f>
      </c>
      <c r="L306" s="202">
        <f>IF($C306="",0,$C306/5)</f>
      </c>
      <c r="M306" s="202">
        <f>IF($C306="",0,1)</f>
      </c>
      <c r="N306" s="202">
        <f>IF($G306="",0,$G306)</f>
      </c>
      <c r="O306" s="202">
        <f>IF($D306="",0,$D306)</f>
      </c>
      <c r="P306" s="202" t="n"/>
      <c r="Q306" s="202" t="n"/>
      <c r="R306" s="202">
        <f>IFERROR(SUMIFS(_REF_Model_Content!$F$1:$F$157,_REF_Model_Content!$A$1:$A$157,'Company Profile'!$B$9,_REF_Model_Content!$B$1:$B$157,$A306),0)</f>
      </c>
    </row>
    <row r="307">
      <c r="A307" s="202">
        <f>_DATA_Dashboard_Facts!$A$12</f>
      </c>
      <c r="B307" s="202">
        <f>IF(SUMPRODUCT((_DATA_Assessment_Model!$H$176:$H$199&lt;&gt;"")*(_DATA_Assessment_Model!$H$176:$H$199&lt;&gt;"N/A")*_DATA_Assessment_Model!$G$176:$G$199)=0,"",_DATA_Dashboard_Facts!$H$12)</f>
      </c>
      <c r="C307" s="202">
        <f>IF(SUMPRODUCT((_DATA_Assessment_Model!$H$176:$H$199&lt;&gt;"")*(_DATA_Assessment_Model!$H$176:$H$199&lt;&gt;"N/A")*_DATA_Assessment_Model!$G$176:$G$199)=0,"",ROUND(SUMPRODUCT((_DATA_Assessment_Model!$H$176:$H$199&lt;&gt;"")*(_DATA_Assessment_Model!$H$176:$H$199&lt;&gt;"N/A")*_DATA_Assessment_Model!$G$176:$G$199*_DATA_Assessment_Model!$AS$176:$AS$199)/SUMPRODUCT((_DATA_Assessment_Model!$H$176:$H$199&lt;&gt;"")*(_DATA_Assessment_Model!$H$176:$H$199&lt;&gt;"N/A")*_DATA_Assessment_Model!$G$176:$G$199),2))</f>
      </c>
      <c r="D307" s="202">
        <f>IF(SUMPRODUCT((_DATA_Assessment_Model!$H$176:$H$199&lt;&gt;"")*(_DATA_Assessment_Model!$H$176:$H$199&lt;&gt;"N/A")*_DATA_Assessment_Model!$G$176:$G$199)=0,"",ROUND(SUMPRODUCT((_DATA_Assessment_Model!$H$176:$H$199&lt;&gt;"")*(_DATA_Assessment_Model!$H$176:$H$199&lt;&gt;"N/A")*_DATA_Assessment_Model!$G$176:$G$199*_DATA_Assessment_Model!$AT$176:$AT$199)/SUMPRODUCT((_DATA_Assessment_Model!$H$176:$H$199&lt;&gt;"")*(_DATA_Assessment_Model!$H$176:$H$199&lt;&gt;"N/A")*_DATA_Assessment_Model!$G$176:$G$199)*100,0))</f>
      </c>
      <c r="E307" s="202">
        <f>IF($B307="","",IF(AND($B307&gt;=4,$D307&lt;=80),"Validate",""))</f>
      </c>
      <c r="F307" s="202">
        <f>IFERROR(MIN(5,MAX(0,(SUMIFS(_REF_Model_Content!$D$1:$D$157,_REF_Model_Content!$A$1:$A$157,'Company Profile'!$B$9,_REF_Model_Content!$B$1:$B$157,$A307))+_xlfn.IFNA(VLOOKUP('Company Profile'!$B$35,_CONFIG_Model_Settings!$A$11:$B$13,2,0),0))),"")</f>
      </c>
      <c r="G307" s="202">
        <f>IF(OR($C307="",$F307=""),"",MAX(0,ROUND($F307-$C307,2)))</f>
      </c>
      <c r="H307" s="202">
        <f>IFERROR(SUMIFS(_REF_Model_Content!$E$1:$E$157,_REF_Model_Content!$A$1:$A$157,'Company Profile'!$B$9,_REF_Model_Content!$B$1:$B$157,$A307),1)</f>
      </c>
      <c r="I307" s="202">
        <f>IFERROR(INDEX('_CONFIG_Model_Settings'!$H:$H,MATCH($A307,'_CONFIG_Model_Settings'!$A:$A,0)),0)</f>
      </c>
      <c r="J307" s="202">
        <f>IF($G307="","",ROUND($G307*$H307*$I307*100,2))</f>
      </c>
      <c r="K307" s="202">
        <f>IF($C307="","",IF($C307&lt;$F307,"Breach","OK"))</f>
      </c>
      <c r="L307" s="202">
        <f>IF($C307="",0,$C307/5)</f>
      </c>
      <c r="M307" s="202">
        <f>IF($C307="",0,1)</f>
      </c>
      <c r="N307" s="202">
        <f>IF($G307="",0,$G307)</f>
      </c>
      <c r="O307" s="202">
        <f>IF($D307="",0,$D307)</f>
      </c>
      <c r="P307" s="202" t="n"/>
      <c r="Q307" s="202" t="n"/>
      <c r="R307" s="202">
        <f>IFERROR(SUMIFS(_REF_Model_Content!$F$1:$F$157,_REF_Model_Content!$A$1:$A$157,'Company Profile'!$B$9,_REF_Model_Content!$B$1:$B$157,$A307),0)</f>
      </c>
    </row>
    <row r="308">
      <c r="A308" s="202">
        <f>_DATA_Dashboard_Facts!$A$13</f>
      </c>
      <c r="B308" s="202">
        <f>IF(SUMPRODUCT((_DATA_Assessment_Model!$H$200:$H$228&lt;&gt;"")*(_DATA_Assessment_Model!$H$200:$H$228&lt;&gt;"N/A")*_DATA_Assessment_Model!$G$200:$G$228)=0,"",_DATA_Dashboard_Facts!$H$13)</f>
      </c>
      <c r="C308" s="202">
        <f>IF(SUMPRODUCT((_DATA_Assessment_Model!$H$200:$H$228&lt;&gt;"")*(_DATA_Assessment_Model!$H$200:$H$228&lt;&gt;"N/A")*_DATA_Assessment_Model!$G$200:$G$228)=0,"",ROUND(SUMPRODUCT((_DATA_Assessment_Model!$H$200:$H$228&lt;&gt;"")*(_DATA_Assessment_Model!$H$200:$H$228&lt;&gt;"N/A")*_DATA_Assessment_Model!$G$200:$G$228*_DATA_Assessment_Model!$AS$200:$AS$228)/SUMPRODUCT((_DATA_Assessment_Model!$H$200:$H$228&lt;&gt;"")*(_DATA_Assessment_Model!$H$200:$H$228&lt;&gt;"N/A")*_DATA_Assessment_Model!$G$200:$G$228),2))</f>
      </c>
      <c r="D308" s="202">
        <f>IF(SUMPRODUCT((_DATA_Assessment_Model!$H$200:$H$228&lt;&gt;"")*(_DATA_Assessment_Model!$H$200:$H$228&lt;&gt;"N/A")*_DATA_Assessment_Model!$G$200:$G$228)=0,"",ROUND(SUMPRODUCT((_DATA_Assessment_Model!$H$200:$H$228&lt;&gt;"")*(_DATA_Assessment_Model!$H$200:$H$228&lt;&gt;"N/A")*_DATA_Assessment_Model!$G$200:$G$228*_DATA_Assessment_Model!$AT$200:$AT$228)/SUMPRODUCT((_DATA_Assessment_Model!$H$200:$H$228&lt;&gt;"")*(_DATA_Assessment_Model!$H$200:$H$228&lt;&gt;"N/A")*_DATA_Assessment_Model!$G$200:$G$228)*100,0))</f>
      </c>
      <c r="E308" s="202">
        <f>IF($B308="","",IF(AND($B308&gt;=4,$D308&lt;=80),"Validate",""))</f>
      </c>
      <c r="F308" s="202">
        <f>IFERROR(MIN(5,MAX(0,(SUMIFS(_REF_Model_Content!$D$1:$D$157,_REF_Model_Content!$A$1:$A$157,'Company Profile'!$B$9,_REF_Model_Content!$B$1:$B$157,$A308))+_xlfn.IFNA(VLOOKUP('Company Profile'!$B$35,_CONFIG_Model_Settings!$A$11:$B$13,2,0),0))),"")</f>
      </c>
      <c r="G308" s="202">
        <f>IF(OR($C308="",$F308=""),"",MAX(0,ROUND($F308-$C308,2)))</f>
      </c>
      <c r="H308" s="202">
        <f>IFERROR(SUMIFS(_REF_Model_Content!$E$1:$E$157,_REF_Model_Content!$A$1:$A$157,'Company Profile'!$B$9,_REF_Model_Content!$B$1:$B$157,$A308),1)</f>
      </c>
      <c r="I308" s="202">
        <f>IFERROR(INDEX('_CONFIG_Model_Settings'!$H:$H,MATCH($A308,'_CONFIG_Model_Settings'!$A:$A,0)),0)</f>
      </c>
      <c r="J308" s="202">
        <f>IF($G308="","",ROUND($G308*$H308*$I308*100,2))</f>
      </c>
      <c r="K308" s="202">
        <f>IF($C308="","",IF($C308&lt;$F308,"Breach","OK"))</f>
      </c>
      <c r="L308" s="202">
        <f>IF($C308="",0,$C308/5)</f>
      </c>
      <c r="M308" s="202">
        <f>IF($C308="",0,1)</f>
      </c>
      <c r="N308" s="202">
        <f>IF($G308="",0,$G308)</f>
      </c>
      <c r="O308" s="202">
        <f>IF($D308="",0,$D308)</f>
      </c>
      <c r="P308" s="202" t="n"/>
      <c r="Q308" s="202" t="n"/>
      <c r="R308" s="202">
        <f>IFERROR(SUMIFS(_REF_Model_Content!$F$1:$F$157,_REF_Model_Content!$A$1:$A$157,'Company Profile'!$B$9,_REF_Model_Content!$B$1:$B$157,$A308),0)</f>
      </c>
    </row>
    <row r="309">
      <c r="A309" s="202">
        <f>_DATA_Dashboard_Facts!$A$14</f>
      </c>
      <c r="B309" s="202">
        <f>IF(SUMPRODUCT((_DATA_Assessment_Model!$H$229:$H$256&lt;&gt;"")*(_DATA_Assessment_Model!$H$229:$H$256&lt;&gt;"N/A")*_DATA_Assessment_Model!$G$229:$G$256)=0,"",_DATA_Dashboard_Facts!$H$14)</f>
      </c>
      <c r="C309" s="202">
        <f>IF(SUMPRODUCT((_DATA_Assessment_Model!$H$229:$H$256&lt;&gt;"")*(_DATA_Assessment_Model!$H$229:$H$256&lt;&gt;"N/A")*_DATA_Assessment_Model!$G$229:$G$256)=0,"",ROUND(SUMPRODUCT((_DATA_Assessment_Model!$H$229:$H$256&lt;&gt;"")*(_DATA_Assessment_Model!$H$229:$H$256&lt;&gt;"N/A")*_DATA_Assessment_Model!$G$229:$G$256*_DATA_Assessment_Model!$AS$229:$AS$256)/SUMPRODUCT((_DATA_Assessment_Model!$H$229:$H$256&lt;&gt;"")*(_DATA_Assessment_Model!$H$229:$H$256&lt;&gt;"N/A")*_DATA_Assessment_Model!$G$229:$G$256),2))</f>
      </c>
      <c r="D309" s="202">
        <f>IF(SUMPRODUCT((_DATA_Assessment_Model!$H$229:$H$256&lt;&gt;"")*(_DATA_Assessment_Model!$H$229:$H$256&lt;&gt;"N/A")*_DATA_Assessment_Model!$G$229:$G$256)=0,"",ROUND(SUMPRODUCT((_DATA_Assessment_Model!$H$229:$H$256&lt;&gt;"")*(_DATA_Assessment_Model!$H$229:$H$256&lt;&gt;"N/A")*_DATA_Assessment_Model!$G$229:$G$256*_DATA_Assessment_Model!$AT$229:$AT$256)/SUMPRODUCT((_DATA_Assessment_Model!$H$229:$H$256&lt;&gt;"")*(_DATA_Assessment_Model!$H$229:$H$256&lt;&gt;"N/A")*_DATA_Assessment_Model!$G$229:$G$256)*100,0))</f>
      </c>
      <c r="E309" s="202">
        <f>IF($B309="","",IF(AND($B309&gt;=4,$D309&lt;=80),"Validate",""))</f>
      </c>
      <c r="F309" s="202">
        <f>IFERROR(MIN(5,MAX(0,(SUMIFS(_REF_Model_Content!$D$1:$D$157,_REF_Model_Content!$A$1:$A$157,'Company Profile'!$B$9,_REF_Model_Content!$B$1:$B$157,$A309))+_xlfn.IFNA(VLOOKUP('Company Profile'!$B$35,_CONFIG_Model_Settings!$A$11:$B$13,2,0),0))),"")</f>
      </c>
      <c r="G309" s="202">
        <f>IF(OR($C309="",$F309=""),"",MAX(0,ROUND($F309-$C309,2)))</f>
      </c>
      <c r="H309" s="202">
        <f>IFERROR(SUMIFS(_REF_Model_Content!$E$1:$E$157,_REF_Model_Content!$A$1:$A$157,'Company Profile'!$B$9,_REF_Model_Content!$B$1:$B$157,$A309),1)</f>
      </c>
      <c r="I309" s="202">
        <f>IFERROR(INDEX('_CONFIG_Model_Settings'!$H:$H,MATCH($A309,'_CONFIG_Model_Settings'!$A:$A,0)),0)</f>
      </c>
      <c r="J309" s="202">
        <f>IF($G309="","",ROUND($G309*$H309*$I309*100,2))</f>
      </c>
      <c r="K309" s="202">
        <f>IF($C309="","",IF($C309&lt;$F309,"Breach","OK"))</f>
      </c>
      <c r="L309" s="202">
        <f>IF($C309="",0,$C309/5)</f>
      </c>
      <c r="M309" s="202">
        <f>IF($C309="",0,1)</f>
      </c>
      <c r="N309" s="202">
        <f>IF($G309="",0,$G309)</f>
      </c>
      <c r="O309" s="202">
        <f>IF($D309="",0,$D309)</f>
      </c>
      <c r="P309" s="202" t="n"/>
      <c r="Q309" s="202" t="n"/>
      <c r="R309" s="202">
        <f>IFERROR(SUMIFS(_REF_Model_Content!$F$1:$F$157,_REF_Model_Content!$A$1:$A$157,'Company Profile'!$B$9,_REF_Model_Content!$B$1:$B$157,$A309),0)</f>
      </c>
    </row>
    <row r="310">
      <c r="A310" s="202">
        <f>_DATA_Dashboard_Facts!$A$15</f>
      </c>
      <c r="B310" s="202">
        <f>IF(SUMPRODUCT((_DATA_Assessment_Model!$H$257:$H$280&lt;&gt;"")*(_DATA_Assessment_Model!$H$257:$H$280&lt;&gt;"N/A")*_DATA_Assessment_Model!$G$257:$G$280)=0,"",_DATA_Dashboard_Facts!$H$15)</f>
      </c>
      <c r="C310" s="202">
        <f>IF(SUMPRODUCT((_DATA_Assessment_Model!$H$257:$H$280&lt;&gt;"")*(_DATA_Assessment_Model!$H$257:$H$280&lt;&gt;"N/A")*_DATA_Assessment_Model!$G$257:$G$280)=0,"",ROUND(SUMPRODUCT((_DATA_Assessment_Model!$H$257:$H$280&lt;&gt;"")*(_DATA_Assessment_Model!$H$257:$H$280&lt;&gt;"N/A")*_DATA_Assessment_Model!$G$257:$G$280*_DATA_Assessment_Model!$AS$257:$AS$280)/SUMPRODUCT((_DATA_Assessment_Model!$H$257:$H$280&lt;&gt;"")*(_DATA_Assessment_Model!$H$257:$H$280&lt;&gt;"N/A")*_DATA_Assessment_Model!$G$257:$G$280),2))</f>
      </c>
      <c r="D310" s="202">
        <f>IF(SUMPRODUCT((_DATA_Assessment_Model!$H$257:$H$280&lt;&gt;"")*(_DATA_Assessment_Model!$H$257:$H$280&lt;&gt;"N/A")*_DATA_Assessment_Model!$G$257:$G$280)=0,"",ROUND(SUMPRODUCT((_DATA_Assessment_Model!$H$257:$H$280&lt;&gt;"")*(_DATA_Assessment_Model!$H$257:$H$280&lt;&gt;"N/A")*_DATA_Assessment_Model!$G$257:$G$280*_DATA_Assessment_Model!$AT$257:$AT$280)/SUMPRODUCT((_DATA_Assessment_Model!$H$257:$H$280&lt;&gt;"")*(_DATA_Assessment_Model!$H$257:$H$280&lt;&gt;"N/A")*_DATA_Assessment_Model!$G$257:$G$280)*100,0))</f>
      </c>
      <c r="E310" s="202">
        <f>IF($B310="","",IF(AND($B310&gt;=4,$D310&lt;=80),"Validate",""))</f>
      </c>
      <c r="F310" s="202">
        <f>IFERROR(MIN(5,MAX(0,(SUMIFS(_REF_Model_Content!$D$1:$D$157,_REF_Model_Content!$A$1:$A$157,'Company Profile'!$B$9,_REF_Model_Content!$B$1:$B$157,$A310))+_xlfn.IFNA(VLOOKUP('Company Profile'!$B$35,_CONFIG_Model_Settings!$A$11:$B$13,2,0),0))),"")</f>
      </c>
      <c r="G310" s="202">
        <f>IF(OR($C310="",$F310=""),"",MAX(0,ROUND($F310-$C310,2)))</f>
      </c>
      <c r="H310" s="202">
        <f>IFERROR(SUMIFS(_REF_Model_Content!$E$1:$E$157,_REF_Model_Content!$A$1:$A$157,'Company Profile'!$B$9,_REF_Model_Content!$B$1:$B$157,$A310),1)</f>
      </c>
      <c r="I310" s="202">
        <f>IFERROR(INDEX('_CONFIG_Model_Settings'!$H:$H,MATCH($A310,'_CONFIG_Model_Settings'!$A:$A,0)),0)</f>
      </c>
      <c r="J310" s="202">
        <f>IF($G310="","",ROUND($G310*$H310*$I310*100,2))</f>
      </c>
      <c r="K310" s="202">
        <f>IF($C310="","",IF($C310&lt;$F310,"Breach","OK"))</f>
      </c>
      <c r="L310" s="202">
        <f>IF($C310="",0,$C310/5)</f>
      </c>
      <c r="M310" s="202">
        <f>IF($C310="",0,1)</f>
      </c>
      <c r="N310" s="202">
        <f>IF($G310="",0,$G310)</f>
      </c>
      <c r="O310" s="202">
        <f>IF($D310="",0,$D310)</f>
      </c>
      <c r="P310" s="202" t="n"/>
      <c r="Q310" s="202" t="n"/>
      <c r="R310" s="202">
        <f>IFERROR(SUMIFS(_REF_Model_Content!$F$1:$F$157,_REF_Model_Content!$A$1:$A$157,'Company Profile'!$B$9,_REF_Model_Content!$B$1:$B$157,$A310),0)</f>
      </c>
    </row>
    <row r="311">
      <c r="A311" s="202">
        <f>_DATA_Dashboard_Facts!$A$16</f>
      </c>
      <c r="B311" s="202">
        <f>IF(SUMPRODUCT((_DATA_Assessment_Model!$H$281:$H$296&lt;&gt;"")*(_DATA_Assessment_Model!$H$281:$H$296&lt;&gt;"N/A")*_DATA_Assessment_Model!$G$281:$G$296)=0,"",_DATA_Dashboard_Facts!$H$16)</f>
      </c>
      <c r="C311" s="202">
        <f>IF(SUMPRODUCT((_DATA_Assessment_Model!$H$281:$H$296&lt;&gt;"")*(_DATA_Assessment_Model!$H$281:$H$296&lt;&gt;"N/A")*_DATA_Assessment_Model!$G$281:$G$296)=0,"",ROUND(SUMPRODUCT((_DATA_Assessment_Model!$H$281:$H$296&lt;&gt;"")*(_DATA_Assessment_Model!$H$281:$H$296&lt;&gt;"N/A")*_DATA_Assessment_Model!$G$281:$G$296*_DATA_Assessment_Model!$AS$281:$AS$296)/SUMPRODUCT((_DATA_Assessment_Model!$H$281:$H$296&lt;&gt;"")*(_DATA_Assessment_Model!$H$281:$H$296&lt;&gt;"N/A")*_DATA_Assessment_Model!$G$281:$G$296),2))</f>
      </c>
      <c r="D311" s="202">
        <f>IF(SUMPRODUCT((_DATA_Assessment_Model!$H$281:$H$296&lt;&gt;"")*(_DATA_Assessment_Model!$H$281:$H$296&lt;&gt;"N/A")*_DATA_Assessment_Model!$G$281:$G$296)=0,"",ROUND(SUMPRODUCT((_DATA_Assessment_Model!$H$281:$H$296&lt;&gt;"")*(_DATA_Assessment_Model!$H$281:$H$296&lt;&gt;"N/A")*_DATA_Assessment_Model!$G$281:$G$296*_DATA_Assessment_Model!$AT$281:$AT$296)/SUMPRODUCT((_DATA_Assessment_Model!$H$281:$H$296&lt;&gt;"")*(_DATA_Assessment_Model!$H$281:$H$296&lt;&gt;"N/A")*_DATA_Assessment_Model!$G$281:$G$296)*100,0))</f>
      </c>
      <c r="E311" s="202">
        <f>IF($B311="","",IF(AND($B311&gt;=4,$D311&lt;=80),"Validate",""))</f>
      </c>
      <c r="F311" s="202">
        <f>IFERROR(MIN(5,MAX(0,(SUMIFS(_REF_Model_Content!$D$1:$D$157,_REF_Model_Content!$A$1:$A$157,'Company Profile'!$B$9,_REF_Model_Content!$B$1:$B$157,$A311))+_xlfn.IFNA(VLOOKUP('Company Profile'!$B$35,_CONFIG_Model_Settings!$A$11:$B$13,2,0),0))),"")</f>
      </c>
      <c r="G311" s="202">
        <f>IF(OR($C311="",$F311=""),"",MAX(0,ROUND($F311-$C311,2)))</f>
      </c>
      <c r="H311" s="202">
        <f>IFERROR(SUMIFS(_REF_Model_Content!$E$1:$E$157,_REF_Model_Content!$A$1:$A$157,'Company Profile'!$B$9,_REF_Model_Content!$B$1:$B$157,$A311),1)</f>
      </c>
      <c r="I311" s="202">
        <f>IFERROR(INDEX('_CONFIG_Model_Settings'!$H:$H,MATCH($A311,'_CONFIG_Model_Settings'!$A:$A,0)),0)</f>
      </c>
      <c r="J311" s="202">
        <f>IF($G311="","",ROUND($G311*$H311*$I311*100,2))</f>
      </c>
      <c r="K311" s="202">
        <f>IF($C311="","",IF($C311&lt;$F311,"Breach","OK"))</f>
      </c>
      <c r="L311" s="202">
        <f>IF($C311="",0,$C311/5)</f>
      </c>
      <c r="M311" s="202">
        <f>IF($C311="",0,1)</f>
      </c>
      <c r="N311" s="202">
        <f>IF($G311="",0,$G311)</f>
      </c>
      <c r="O311" s="202">
        <f>IF($D311="",0,$D311)</f>
      </c>
      <c r="P311" s="202" t="n"/>
      <c r="Q311" s="202" t="n"/>
      <c r="R311" s="202">
        <f>IFERROR(SUMIFS(_REF_Model_Content!$F$1:$F$157,_REF_Model_Content!$A$1:$A$157,'Company Profile'!$B$9,_REF_Model_Content!$B$1:$B$157,$A311),0)</f>
      </c>
    </row>
    <row r="312">
      <c r="A312" s="202">
        <f>_DATA_Dashboard_Facts!$A$17</f>
      </c>
      <c r="B312" s="202">
        <f>IF(SUMPRODUCT((_DATA_Assessment_Model!$H$297:$H$324&lt;&gt;"")*(_DATA_Assessment_Model!$H$297:$H$324&lt;&gt;"N/A")*_DATA_Assessment_Model!$G$297:$G$324)=0,"",_DATA_Dashboard_Facts!$H$17)</f>
      </c>
      <c r="C312" s="202">
        <f>IF(SUMPRODUCT((_DATA_Assessment_Model!$H$297:$H$324&lt;&gt;"")*(_DATA_Assessment_Model!$H$297:$H$324&lt;&gt;"N/A")*_DATA_Assessment_Model!$G$297:$G$324)=0,"",ROUND(SUMPRODUCT((_DATA_Assessment_Model!$H$297:$H$324&lt;&gt;"")*(_DATA_Assessment_Model!$H$297:$H$324&lt;&gt;"N/A")*_DATA_Assessment_Model!$G$297:$G$324*_DATA_Assessment_Model!$AS$297:$AS$324)/SUMPRODUCT((_DATA_Assessment_Model!$H$297:$H$324&lt;&gt;"")*(_DATA_Assessment_Model!$H$297:$H$324&lt;&gt;"N/A")*_DATA_Assessment_Model!$G$297:$G$324),2))</f>
      </c>
      <c r="D312" s="202">
        <f>IF(SUMPRODUCT((_DATA_Assessment_Model!$H$297:$H$324&lt;&gt;"")*(_DATA_Assessment_Model!$H$297:$H$324&lt;&gt;"N/A")*_DATA_Assessment_Model!$G$297:$G$324)=0,"",ROUND(SUMPRODUCT((_DATA_Assessment_Model!$H$297:$H$324&lt;&gt;"")*(_DATA_Assessment_Model!$H$297:$H$324&lt;&gt;"N/A")*_DATA_Assessment_Model!$G$297:$G$324*_DATA_Assessment_Model!$AT$297:$AT$324)/SUMPRODUCT((_DATA_Assessment_Model!$H$297:$H$324&lt;&gt;"")*(_DATA_Assessment_Model!$H$297:$H$324&lt;&gt;"N/A")*_DATA_Assessment_Model!$G$297:$G$324)*100,0))</f>
      </c>
      <c r="E312" s="202">
        <f>IF($B312="","",IF(AND($B312&gt;=4,$D312&lt;=80),"Validate",""))</f>
      </c>
      <c r="F312" s="202">
        <f>IFERROR(MIN(5,MAX(0,(SUMIFS(_REF_Model_Content!$D$1:$D$157,_REF_Model_Content!$A$1:$A$157,'Company Profile'!$B$9,_REF_Model_Content!$B$1:$B$157,$A312))+_xlfn.IFNA(VLOOKUP('Company Profile'!$B$35,_CONFIG_Model_Settings!$A$11:$B$13,2,0),0))),"")</f>
      </c>
      <c r="G312" s="202">
        <f>IF(OR($C312="",$F312=""),"",MAX(0,ROUND($F312-$C312,2)))</f>
      </c>
      <c r="H312" s="202">
        <f>IFERROR(SUMIFS(_REF_Model_Content!$E$1:$E$157,_REF_Model_Content!$A$1:$A$157,'Company Profile'!$B$9,_REF_Model_Content!$B$1:$B$157,$A312),1)</f>
      </c>
      <c r="I312" s="202">
        <f>IFERROR(INDEX('_CONFIG_Model_Settings'!$H:$H,MATCH($A312,'_CONFIG_Model_Settings'!$A:$A,0)),0)</f>
      </c>
      <c r="J312" s="202">
        <f>IF($G312="","",ROUND($G312*$H312*$I312*100,2))</f>
      </c>
      <c r="K312" s="202">
        <f>IF($C312="","",IF($C312&lt;$F312,"Breach","OK"))</f>
      </c>
      <c r="L312" s="202">
        <f>IF($C312="",0,$C312/5)</f>
      </c>
      <c r="M312" s="202">
        <f>IF($C312="",0,1)</f>
      </c>
      <c r="N312" s="202">
        <f>IF($G312="",0,$G312)</f>
      </c>
      <c r="O312" s="202">
        <f>IF($D312="",0,$D312)</f>
      </c>
      <c r="P312" s="202" t="n"/>
      <c r="Q312" s="202" t="n"/>
      <c r="R312" s="202">
        <f>IFERROR(SUMIFS(_REF_Model_Content!$F$1:$F$157,_REF_Model_Content!$A$1:$A$157,'Company Profile'!$B$9,_REF_Model_Content!$B$1:$B$157,$A312),0)</f>
      </c>
    </row>
    <row r="313">
      <c r="A313" s="202">
        <f>_DATA_Dashboard_Facts!$A$18</f>
      </c>
      <c r="B313" s="202">
        <f>IF(SUMPRODUCT((_DATA_Assessment_Model!$H$325:$H$345&lt;&gt;"")*(_DATA_Assessment_Model!$H$325:$H$345&lt;&gt;"N/A")*_DATA_Assessment_Model!$G$325:$G$345)=0,"",_DATA_Dashboard_Facts!$H$18)</f>
      </c>
      <c r="C313" s="202">
        <f>IF(SUMPRODUCT((_DATA_Assessment_Model!$H$325:$H$345&lt;&gt;"")*(_DATA_Assessment_Model!$H$325:$H$345&lt;&gt;"N/A")*_DATA_Assessment_Model!$G$325:$G$345)=0,"",ROUND(SUMPRODUCT((_DATA_Assessment_Model!$H$325:$H$345&lt;&gt;"")*(_DATA_Assessment_Model!$H$325:$H$345&lt;&gt;"N/A")*_DATA_Assessment_Model!$G$325:$G$345*_DATA_Assessment_Model!$AS$325:$AS$345)/SUMPRODUCT((_DATA_Assessment_Model!$H$325:$H$345&lt;&gt;"")*(_DATA_Assessment_Model!$H$325:$H$345&lt;&gt;"N/A")*_DATA_Assessment_Model!$G$325:$G$345),2))</f>
      </c>
      <c r="D313" s="202">
        <f>IF(SUMPRODUCT((_DATA_Assessment_Model!$H$325:$H$345&lt;&gt;"")*(_DATA_Assessment_Model!$H$325:$H$345&lt;&gt;"N/A")*_DATA_Assessment_Model!$G$325:$G$345)=0,"",ROUND(SUMPRODUCT((_DATA_Assessment_Model!$H$325:$H$345&lt;&gt;"")*(_DATA_Assessment_Model!$H$325:$H$345&lt;&gt;"N/A")*_DATA_Assessment_Model!$G$325:$G$345*_DATA_Assessment_Model!$AT$325:$AT$345)/SUMPRODUCT((_DATA_Assessment_Model!$H$325:$H$345&lt;&gt;"")*(_DATA_Assessment_Model!$H$325:$H$345&lt;&gt;"N/A")*_DATA_Assessment_Model!$G$325:$G$345)*100,0))</f>
      </c>
      <c r="E313" s="202">
        <f>IF($B313="","",IF(AND($B313&gt;=4,$D313&lt;=80),"Validate",""))</f>
      </c>
      <c r="F313" s="202">
        <f>IFERROR(MIN(5,MAX(0,(SUMIFS(_REF_Model_Content!$D$1:$D$157,_REF_Model_Content!$A$1:$A$157,'Company Profile'!$B$9,_REF_Model_Content!$B$1:$B$157,$A313))+_xlfn.IFNA(VLOOKUP('Company Profile'!$B$35,_CONFIG_Model_Settings!$A$11:$B$13,2,0),0))),"")</f>
      </c>
      <c r="G313" s="202">
        <f>IF(OR($C313="",$F313=""),"",MAX(0,ROUND($F313-$C313,2)))</f>
      </c>
      <c r="H313" s="202">
        <f>IFERROR(SUMIFS(_REF_Model_Content!$E$1:$E$157,_REF_Model_Content!$A$1:$A$157,'Company Profile'!$B$9,_REF_Model_Content!$B$1:$B$157,$A313),1)</f>
      </c>
      <c r="I313" s="202">
        <f>IFERROR(INDEX('_CONFIG_Model_Settings'!$H:$H,MATCH($A313,'_CONFIG_Model_Settings'!$A:$A,0)),0)</f>
      </c>
      <c r="J313" s="202">
        <f>IF($G313="","",ROUND($G313*$H313*$I313*100,2))</f>
      </c>
      <c r="K313" s="202">
        <f>IF($C313="","",IF($C313&lt;$F313,"Breach","OK"))</f>
      </c>
      <c r="L313" s="202">
        <f>IF($C313="",0,$C313/5)</f>
      </c>
      <c r="M313" s="202">
        <f>IF($C313="",0,1)</f>
      </c>
      <c r="N313" s="202">
        <f>IF($G313="",0,$G313)</f>
      </c>
      <c r="O313" s="202">
        <f>IF($D313="",0,$D313)</f>
      </c>
      <c r="P313" s="202" t="n"/>
      <c r="Q313" s="202" t="n"/>
      <c r="R313" s="202">
        <f>IFERROR(SUMIFS(_REF_Model_Content!$F$1:$F$157,_REF_Model_Content!$A$1:$A$157,'Company Profile'!$B$9,_REF_Model_Content!$B$1:$B$157,$A313),0)</f>
      </c>
    </row>
    <row r="314">
      <c r="A314" s="202">
        <f>_DATA_Dashboard_Facts!$A$19</f>
      </c>
      <c r="B314" s="202">
        <f>IF(SUMPRODUCT((_DATA_Assessment_Model!$H$346:$H$372&lt;&gt;"")*(_DATA_Assessment_Model!$H$346:$H$372&lt;&gt;"N/A")*_DATA_Assessment_Model!$G$346:$G$372)=0,"",_DATA_Dashboard_Facts!$H$19)</f>
      </c>
      <c r="C314" s="202">
        <f>IF(SUMPRODUCT((_DATA_Assessment_Model!$H$346:$H$372&lt;&gt;"")*(_DATA_Assessment_Model!$H$346:$H$372&lt;&gt;"N/A")*_DATA_Assessment_Model!$G$346:$G$372)=0,"",ROUND(SUMPRODUCT((_DATA_Assessment_Model!$H$346:$H$372&lt;&gt;"")*(_DATA_Assessment_Model!$H$346:$H$372&lt;&gt;"N/A")*_DATA_Assessment_Model!$G$346:$G$372*_DATA_Assessment_Model!$AS$346:$AS$372)/SUMPRODUCT((_DATA_Assessment_Model!$H$346:$H$372&lt;&gt;"")*(_DATA_Assessment_Model!$H$346:$H$372&lt;&gt;"N/A")*_DATA_Assessment_Model!$G$346:$G$372),2))</f>
      </c>
      <c r="D314" s="202">
        <f>IF(SUMPRODUCT((_DATA_Assessment_Model!$H$346:$H$372&lt;&gt;"")*(_DATA_Assessment_Model!$H$346:$H$372&lt;&gt;"N/A")*_DATA_Assessment_Model!$G$346:$G$372)=0,"",ROUND(SUMPRODUCT((_DATA_Assessment_Model!$H$346:$H$372&lt;&gt;"")*(_DATA_Assessment_Model!$H$346:$H$372&lt;&gt;"N/A")*_DATA_Assessment_Model!$G$346:$G$372*_DATA_Assessment_Model!$AT$346:$AT$372)/SUMPRODUCT((_DATA_Assessment_Model!$H$346:$H$372&lt;&gt;"")*(_DATA_Assessment_Model!$H$346:$H$372&lt;&gt;"N/A")*_DATA_Assessment_Model!$G$346:$G$372)*100,0))</f>
      </c>
      <c r="E314" s="202">
        <f>IF($B314="","",IF(AND($B314&gt;=4,$D314&lt;=80),"Validate",""))</f>
      </c>
      <c r="F314" s="202">
        <f>IFERROR(MIN(5,MAX(0,(SUMIFS(_REF_Model_Content!$D$1:$D$157,_REF_Model_Content!$A$1:$A$157,'Company Profile'!$B$9,_REF_Model_Content!$B$1:$B$157,$A314))+_xlfn.IFNA(VLOOKUP('Company Profile'!$B$35,_CONFIG_Model_Settings!$A$11:$B$13,2,0),0))),"")</f>
      </c>
      <c r="G314" s="202">
        <f>IF(OR($C314="",$F314=""),"",MAX(0,ROUND($F314-$C314,2)))</f>
      </c>
      <c r="H314" s="202">
        <f>IFERROR(SUMIFS(_REF_Model_Content!$E$1:$E$157,_REF_Model_Content!$A$1:$A$157,'Company Profile'!$B$9,_REF_Model_Content!$B$1:$B$157,$A314),1)</f>
      </c>
      <c r="I314" s="202">
        <f>IFERROR(INDEX('_CONFIG_Model_Settings'!$H:$H,MATCH($A314,'_CONFIG_Model_Settings'!$A:$A,0)),0)</f>
      </c>
      <c r="J314" s="202">
        <f>IF($G314="","",ROUND($G314*$H314*$I314*100,2))</f>
      </c>
      <c r="K314" s="202">
        <f>IF($C314="","",IF($C314&lt;$F314,"Breach","OK"))</f>
      </c>
      <c r="L314" s="202">
        <f>IF($C314="",0,$C314/5)</f>
      </c>
      <c r="M314" s="202">
        <f>IF($C314="",0,1)</f>
      </c>
      <c r="N314" s="202">
        <f>IF($G314="",0,$G314)</f>
      </c>
      <c r="O314" s="202">
        <f>IF($D314="",0,$D314)</f>
      </c>
      <c r="P314" s="202" t="n"/>
      <c r="Q314" s="202" t="n"/>
      <c r="R314" s="202">
        <f>IFERROR(SUMIFS(_REF_Model_Content!$F$1:$F$157,_REF_Model_Content!$A$1:$A$157,'Company Profile'!$B$9,_REF_Model_Content!$B$1:$B$157,$A314),0)</f>
      </c>
    </row>
    <row r="315">
      <c r="A315" s="202">
        <f>_DATA_Dashboard_Facts!$A$20</f>
      </c>
      <c r="B315" s="202">
        <f>IF(SUMPRODUCT((_DATA_Assessment_Model!$H$373:$H$406&lt;&gt;"")*(_DATA_Assessment_Model!$H$373:$H$406&lt;&gt;"N/A")*_DATA_Assessment_Model!$G$373:$G$406)=0,"",_DATA_Dashboard_Facts!$H$20)</f>
      </c>
      <c r="C315" s="202">
        <f>IF(SUMPRODUCT((_DATA_Assessment_Model!$H$373:$H$406&lt;&gt;"")*(_DATA_Assessment_Model!$H$373:$H$406&lt;&gt;"N/A")*_DATA_Assessment_Model!$G$373:$G$406)=0,"",ROUND(SUMPRODUCT((_DATA_Assessment_Model!$H$373:$H$406&lt;&gt;"")*(_DATA_Assessment_Model!$H$373:$H$406&lt;&gt;"N/A")*_DATA_Assessment_Model!$G$373:$G$406*_DATA_Assessment_Model!$AS$373:$AS$406)/SUMPRODUCT((_DATA_Assessment_Model!$H$373:$H$406&lt;&gt;"")*(_DATA_Assessment_Model!$H$373:$H$406&lt;&gt;"N/A")*_DATA_Assessment_Model!$G$373:$G$406),2))</f>
      </c>
      <c r="D315" s="202">
        <f>IF(SUMPRODUCT((_DATA_Assessment_Model!$H$373:$H$406&lt;&gt;"")*(_DATA_Assessment_Model!$H$373:$H$406&lt;&gt;"N/A")*_DATA_Assessment_Model!$G$373:$G$406)=0,"",ROUND(SUMPRODUCT((_DATA_Assessment_Model!$H$373:$H$406&lt;&gt;"")*(_DATA_Assessment_Model!$H$373:$H$406&lt;&gt;"N/A")*_DATA_Assessment_Model!$G$373:$G$406*_DATA_Assessment_Model!$AT$373:$AT$406)/SUMPRODUCT((_DATA_Assessment_Model!$H$373:$H$406&lt;&gt;"")*(_DATA_Assessment_Model!$H$373:$H$406&lt;&gt;"N/A")*_DATA_Assessment_Model!$G$373:$G$406)*100,0))</f>
      </c>
      <c r="E315" s="202">
        <f>IF($B315="","",IF(AND($B315&gt;=4,$D315&lt;=80),"Validate",""))</f>
      </c>
      <c r="F315" s="202">
        <f>IFERROR(MIN(5,MAX(0,(SUMIFS(_REF_Model_Content!$D$1:$D$157,_REF_Model_Content!$A$1:$A$157,'Company Profile'!$B$9,_REF_Model_Content!$B$1:$B$157,$A315))+_xlfn.IFNA(VLOOKUP('Company Profile'!$B$35,_CONFIG_Model_Settings!$A$11:$B$13,2,0),0))),"")</f>
      </c>
      <c r="G315" s="202">
        <f>IF(OR($C315="",$F315=""),"",MAX(0,ROUND($F315-$C315,2)))</f>
      </c>
      <c r="H315" s="202">
        <f>IFERROR(SUMIFS(_REF_Model_Content!$E$1:$E$157,_REF_Model_Content!$A$1:$A$157,'Company Profile'!$B$9,_REF_Model_Content!$B$1:$B$157,$A315),1)</f>
      </c>
      <c r="I315" s="202">
        <f>IFERROR(INDEX('_CONFIG_Model_Settings'!$H:$H,MATCH($A315,'_CONFIG_Model_Settings'!$A:$A,0)),0)</f>
      </c>
      <c r="J315" s="202">
        <f>IF($G315="","",ROUND($G315*$H315*$I315*100,2))</f>
      </c>
      <c r="K315" s="202">
        <f>IF($C315="","",IF($C315&lt;$F315,"Breach","OK"))</f>
      </c>
      <c r="L315" s="202">
        <f>IF($C315="",0,$C315/5)</f>
      </c>
      <c r="M315" s="202">
        <f>IF($C315="",0,1)</f>
      </c>
      <c r="N315" s="202">
        <f>IF($G315="",0,$G315)</f>
      </c>
      <c r="O315" s="202">
        <f>IF($D315="",0,$D315)</f>
      </c>
      <c r="P315" s="202" t="n"/>
      <c r="Q315" s="202" t="n"/>
      <c r="R315" s="202">
        <f>IFERROR(SUMIFS(_REF_Model_Content!$F$1:$F$157,_REF_Model_Content!$A$1:$A$157,'Company Profile'!$B$9,_REF_Model_Content!$B$1:$B$157,$A315),0)</f>
      </c>
    </row>
    <row r="316" ht="34.8" customHeight="1" s="209">
      <c r="A316" s="213">
        <f>_DATA_Dashboard_Facts!$A$21</f>
      </c>
      <c r="B316" s="202">
        <f>IF(SUMPRODUCT((_DATA_Assessment_Model!$H$407:$H$428&lt;&gt;"")*(_DATA_Assessment_Model!$H$407:$H$428&lt;&gt;"N/A")*_DATA_Assessment_Model!$G$407:$G$428)=0,"",_DATA_Dashboard_Facts!$H$21)</f>
      </c>
      <c r="C316" s="202">
        <f>IF(SUMPRODUCT((_DATA_Assessment_Model!$H$407:$H$428&lt;&gt;"")*(_DATA_Assessment_Model!$H$407:$H$428&lt;&gt;"N/A")*_DATA_Assessment_Model!$G$407:$G$428)=0,"",ROUND(SUMPRODUCT((_DATA_Assessment_Model!$H$407:$H$428&lt;&gt;"")*(_DATA_Assessment_Model!$H$407:$H$428&lt;&gt;"N/A")*_DATA_Assessment_Model!$G$407:$G$428*_DATA_Assessment_Model!$AS$407:$AS$428)/SUMPRODUCT((_DATA_Assessment_Model!$H$407:$H$428&lt;&gt;"")*(_DATA_Assessment_Model!$H$407:$H$428&lt;&gt;"N/A")*_DATA_Assessment_Model!$G$407:$G$428),2))</f>
      </c>
      <c r="D316" s="202">
        <f>IF(SUMPRODUCT((_DATA_Assessment_Model!$H$407:$H$428&lt;&gt;"")*(_DATA_Assessment_Model!$H$407:$H$428&lt;&gt;"N/A")*_DATA_Assessment_Model!$G$407:$G$428)=0,"",ROUND(SUMPRODUCT((_DATA_Assessment_Model!$H$407:$H$428&lt;&gt;"")*(_DATA_Assessment_Model!$H$407:$H$428&lt;&gt;"N/A")*_DATA_Assessment_Model!$G$407:$G$428*_DATA_Assessment_Model!$AT$407:$AT$428)/SUMPRODUCT((_DATA_Assessment_Model!$H$407:$H$428&lt;&gt;"")*(_DATA_Assessment_Model!$H$407:$H$428&lt;&gt;"N/A")*_DATA_Assessment_Model!$G$407:$G$428)*100,0))</f>
      </c>
      <c r="E316" s="202">
        <f>IF($B316="","",IF(AND($B316&gt;=4,$D316&lt;=80),"Validate",""))</f>
      </c>
      <c r="F316" s="202">
        <f>IFERROR(MIN(5,MAX(0,(SUMIFS(_REF_Model_Content!$D$1:$D$157,_REF_Model_Content!$A$1:$A$157,'Company Profile'!$B$9,_REF_Model_Content!$B$1:$B$157,$A316))+_xlfn.IFNA(VLOOKUP('Company Profile'!$B$35,_CONFIG_Model_Settings!$A$11:$B$13,2,0),0))),"")</f>
      </c>
      <c r="G316" s="202">
        <f>IF(OR($C316="",$F316=""),"",MAX(0,ROUND($F316-$C316,2)))</f>
      </c>
      <c r="H316" s="202">
        <f>IFERROR(SUMIFS(_REF_Model_Content!$E$1:$E$157,_REF_Model_Content!$A$1:$A$157,'Company Profile'!$B$9,_REF_Model_Content!$B$1:$B$157,$A316),1)</f>
      </c>
      <c r="I316" s="202">
        <f>IFERROR(INDEX('_CONFIG_Model_Settings'!$H:$H,MATCH($A316,'_CONFIG_Model_Settings'!$A:$A,0)),0)</f>
      </c>
      <c r="J316" s="202">
        <f>IF($G316="","",ROUND($G316*$H316*$I316*100,2))</f>
      </c>
      <c r="K316" s="202">
        <f>IF($C316="","",IF($C316&lt;$F316,"Breach","OK"))</f>
      </c>
      <c r="L316" s="202">
        <f>IF($C316="",0,$C316/5)</f>
      </c>
      <c r="M316" s="202">
        <f>IF($C316="",0,1)</f>
      </c>
      <c r="N316" s="202">
        <f>IF($G316="",0,$G316)</f>
      </c>
      <c r="O316" s="202">
        <f>IF($D316="",0,$D316)</f>
      </c>
      <c r="P316" s="202" t="n"/>
      <c r="Q316" s="202" t="n"/>
      <c r="R316" s="202">
        <f>IFERROR(SUMIFS(_REF_Model_Content!$F$1:$F$157,_REF_Model_Content!$A$1:$A$157,'Company Profile'!$B$9,_REF_Model_Content!$B$1:$B$157,$A316),0)</f>
      </c>
    </row>
    <row r="317" ht="36" customHeight="1" s="209">
      <c r="A317" s="103" t="inlineStr">
        <is>
          <t>Common domain spider</t>
        </is>
      </c>
      <c r="B317" s="225" t="inlineStr">
        <is>
          <t>Compares all assessment domains by weighted maturity score from the main Dashboard. Use it to identify the weakest crisis exposure areas.</t>
        </is>
      </c>
      <c r="C317" s="202" t="n"/>
      <c r="D317" s="202" t="n"/>
      <c r="E317" s="202" t="n"/>
      <c r="F317" s="202" t="n"/>
      <c r="G317" s="202" t="n"/>
      <c r="H317" s="202" t="n"/>
      <c r="I317" s="202" t="n"/>
      <c r="J317" s="202" t="n"/>
      <c r="K317" s="202" t="n"/>
      <c r="L317" s="202" t="n"/>
      <c r="M317" s="202" t="n"/>
      <c r="N317" s="202" t="n"/>
      <c r="O317" s="202" t="n"/>
      <c r="P317" s="202" t="n"/>
      <c r="Q317" s="202" t="n"/>
      <c r="R317" s="202" t="n"/>
    </row>
    <row r="318" ht="36" customHeight="1" s="209">
      <c r="A318" s="103" t="inlineStr">
        <is>
          <t>Subarea spiders</t>
        </is>
      </c>
      <c r="B318" s="225" t="inlineStr">
        <is>
          <t>Each domain tab now has a subarea summary and a radar chart. Subareas are calculated from the Subdomain column.</t>
        </is>
      </c>
      <c r="C318" s="202" t="n"/>
      <c r="D318" s="202" t="n"/>
      <c r="E318" s="202" t="n"/>
      <c r="F318" s="202" t="n"/>
      <c r="G318" s="202" t="n"/>
      <c r="H318" s="202" t="n"/>
      <c r="I318" s="202" t="n"/>
      <c r="J318" s="202" t="n"/>
      <c r="K318" s="202" t="n"/>
      <c r="L318" s="202" t="n"/>
      <c r="M318" s="202" t="n"/>
      <c r="N318" s="202" t="n"/>
      <c r="O318" s="202" t="n"/>
      <c r="P318" s="202" t="n"/>
      <c r="Q318" s="202" t="n"/>
      <c r="R318" s="202" t="n"/>
    </row>
    <row r="319" ht="36" customHeight="1" s="209">
      <c r="A319" s="103" t="inlineStr">
        <is>
          <t>Horizontal metrics</t>
        </is>
      </c>
      <c r="B319" s="225" t="inlineStr">
        <is>
          <t>Digitalization, Resilience and Process Maturity are calculated across all questions using relevance weights in columns W:Y of each domain sheet.</t>
        </is>
      </c>
      <c r="C319" s="202" t="n"/>
      <c r="D319" s="202" t="n"/>
      <c r="E319" s="202" t="n"/>
      <c r="F319" s="202" t="n"/>
      <c r="G319" s="202" t="n"/>
      <c r="H319" s="202" t="n"/>
      <c r="I319" s="202" t="n"/>
      <c r="J319" s="202" t="n"/>
      <c r="K319" s="202" t="n"/>
      <c r="L319" s="202" t="n"/>
      <c r="M319" s="202" t="n"/>
      <c r="N319" s="202" t="n"/>
      <c r="O319" s="202" t="n"/>
      <c r="P319" s="202" t="n"/>
      <c r="Q319" s="202" t="n"/>
      <c r="R319" s="202" t="n"/>
    </row>
    <row r="320" ht="36" customHeight="1" s="209">
      <c r="A320" s="103" t="inlineStr">
        <is>
          <t>Metric weights</t>
        </is>
      </c>
      <c r="B320" s="225" t="inlineStr">
        <is>
          <t>0 means the question is not relevant to the horizontal metric. 5 means the question strongly affects that metric. You can adjust these weights manually.</t>
        </is>
      </c>
      <c r="C320" s="202" t="n"/>
      <c r="D320" s="202" t="n"/>
      <c r="E320" s="202" t="n"/>
      <c r="F320" s="202" t="n"/>
      <c r="G320" s="202" t="n"/>
      <c r="H320" s="202" t="n"/>
      <c r="I320" s="202" t="n"/>
      <c r="J320" s="202" t="n"/>
      <c r="K320" s="202" t="n"/>
      <c r="L320" s="202" t="n"/>
      <c r="M320" s="202" t="n"/>
      <c r="N320" s="202" t="n"/>
      <c r="O320" s="202" t="n"/>
      <c r="P320" s="202" t="n"/>
      <c r="Q320" s="202" t="n"/>
      <c r="R320" s="202" t="n"/>
    </row>
    <row r="323">
      <c r="A323" t="inlineStr">
        <is>
          <t>Scoring summary replacement</t>
        </is>
      </c>
    </row>
    <row r="325">
      <c r="B325">
        <f>IFERROR(ROUND(SUMPRODUCT($M$300:$M$316*$I$300:$I$316*$L$300:$L$316)/SUMPRODUCT($M$300:$M$316*$I$300:$I$316)*(1-0.5*SQRT(SUMPRODUCT($M$300:$M$316*($L$300:$L$316-(SUMPRODUCT($M$300:$M$316*$L$300:$L$316)/SUM($M$300:$M$316)))^2)/SUM($M$300:$M$316))/(SUMPRODUCT($M$300:$M$316*$L$300:$L$316)/SUM($M$300:$M$316)))*5,2),"")</f>
      </c>
    </row>
    <row r="328">
      <c r="B328">
        <f>COUNTIF($K$300:$K$316,"BREACH")</f>
      </c>
    </row>
    <row r="340" ht="21" customHeight="1" s="209">
      <c r="A340" s="202" t="inlineStr">
        <is>
          <t>RR-framework Executive Brief (v1.5)</t>
        </is>
      </c>
      <c r="B340" s="202" t="n"/>
      <c r="C340" s="202" t="n"/>
      <c r="D340" s="202" t="n"/>
    </row>
    <row r="341">
      <c r="A341" s="202" t="inlineStr">
        <is>
          <t>Consolidated executive view. Values are formula-driven and recalculate when the workbook is opened in Excel.</t>
        </is>
      </c>
      <c r="B341" s="202" t="n"/>
      <c r="C341" s="202" t="n"/>
      <c r="D341" s="202" t="n"/>
    </row>
    <row r="342">
      <c r="A342" s="202" t="n"/>
      <c r="B342" s="202" t="n"/>
      <c r="C342" s="202" t="n"/>
      <c r="D342" s="202" t="n"/>
    </row>
    <row r="343">
      <c r="A343" s="202" t="inlineStr">
        <is>
          <t>Assessment context</t>
        </is>
      </c>
      <c r="B343" s="202" t="n"/>
      <c r="C343" s="202" t="n"/>
      <c r="D343" s="202" t="n"/>
    </row>
    <row r="344">
      <c r="A344" s="202" t="inlineStr">
        <is>
          <t>Organization</t>
        </is>
      </c>
      <c r="B344" s="202">
        <f>IFERROR('Company Profile'!$B$5,"")</f>
        <v/>
      </c>
      <c r="C344" s="202" t="n"/>
      <c r="D344" s="202" t="n"/>
    </row>
    <row r="345">
      <c r="A345" s="202" t="inlineStr">
        <is>
          <t>Industry</t>
        </is>
      </c>
      <c r="B345" s="202">
        <f>IFERROR('Company Profile'!$B$9,"")</f>
        <v/>
      </c>
      <c r="C345" s="202" t="n"/>
      <c r="D345" s="202" t="n"/>
    </row>
    <row r="346">
      <c r="A346" s="202" t="inlineStr">
        <is>
          <t>Company size band</t>
        </is>
      </c>
      <c r="B346" s="202">
        <f>IFERROR('Company Profile'!$B$105,"")</f>
        <v/>
      </c>
      <c r="C346" s="202" t="n"/>
      <c r="D346" s="202" t="n"/>
    </row>
    <row r="347">
      <c r="A347" s="202" t="inlineStr">
        <is>
          <t>Risk appetite</t>
        </is>
      </c>
      <c r="B347" s="202">
        <f>IFERROR('Company Profile'!$B$35,"")</f>
        <v/>
      </c>
      <c r="C347" s="202" t="n"/>
      <c r="D347" s="202" t="n"/>
    </row>
    <row r="348">
      <c r="A348" s="202" t="n"/>
      <c r="B348" s="202" t="n"/>
      <c r="C348" s="202" t="n"/>
      <c r="D348" s="202" t="n"/>
    </row>
    <row r="349">
      <c r="A349" s="202" t="inlineStr">
        <is>
          <t>Decision stability helper</t>
        </is>
      </c>
      <c r="B349" s="202" t="inlineStr">
        <is>
          <t>Value</t>
        </is>
      </c>
      <c r="C349" s="202" t="inlineStr">
        <is>
          <t>Source / interpretation</t>
        </is>
      </c>
      <c r="D349" s="202" t="n"/>
    </row>
    <row r="350">
      <c r="A350" s="202" t="inlineStr">
        <is>
          <t>Overall maturity 0-5</t>
        </is>
      </c>
      <c r="B350" s="202">
        <f>IFERROR(ROUND(AVERAGE(_DATA_Dashboard_Facts!$H$5:$H$21),2),"")</f>
        <v/>
      </c>
      <c r="C350" s="202" t="inlineStr">
        <is>
          <t>Average of domain maturity scores from Dashboard.</t>
        </is>
      </c>
      <c r="D350" s="202" t="n"/>
      <c r="P350">
        <f>IF(OR($J300="",$G300=""),"",ABS(_xlfn.RANK.EQ($J300,$J$300:$J$316,0)-_xlfn.RANK.EQ($G300,$G$300:$G$316,0)))</f>
      </c>
    </row>
    <row r="351">
      <c r="A351" s="202" t="inlineStr">
        <is>
          <t>Average benchmark percentile</t>
        </is>
      </c>
      <c r="B351" s="202">
        <f>IFERROR(ROUND(AVERAGE(_DATA_Dashboard_Facts!$F$217:$F$233),0),"")</f>
        <v/>
      </c>
      <c r="C351" s="202" t="inlineStr">
        <is>
          <t>Seed benchmark corridor, not a measured market percentile.</t>
        </is>
      </c>
      <c r="D351" s="202" t="n"/>
      <c r="P351">
        <f>IF(OR($J301="",$G301=""),"",ABS(_xlfn.RANK.EQ($J301,$J$300:$J$316,0)-_xlfn.RANK.EQ($G301,$G$300:$G$316,0)))</f>
      </c>
    </row>
    <row r="352">
      <c r="A352" s="202" t="inlineStr">
        <is>
          <t>Financial Resilience Index 0-5</t>
        </is>
      </c>
      <c r="B352" s="202">
        <f>IFERROR(_DATA_Dashboard_Facts!$B$388,"")</f>
        <v/>
      </c>
      <c r="C352" s="202" t="inlineStr">
        <is>
          <t>Indicative exposure model, not financial valuation or audit.</t>
        </is>
      </c>
      <c r="D352" s="202" t="n"/>
      <c r="P352">
        <f>IF(OR($J302="",$G302=""),"",ABS(_xlfn.RANK.EQ($J302,$J$300:$J$316,0)-_xlfn.RANK.EQ($G302,$G$300:$G$316,0)))</f>
      </c>
    </row>
    <row r="353">
      <c r="A353" s="202" t="inlineStr">
        <is>
          <t>Financial Resilience level</t>
        </is>
      </c>
      <c r="B353" s="202">
        <f>IFERROR(_DATA_Dashboard_Facts!$B$389,"")</f>
        <v/>
      </c>
      <c r="C353" s="202" t="inlineStr">
        <is>
          <t>Derived from cash runway, concentration, margin, debt and FX inputs.</t>
        </is>
      </c>
      <c r="D353" s="202" t="n"/>
      <c r="P353">
        <f>IF(OR($J303="",$G303=""),"",ABS(_xlfn.RANK.EQ($J303,$J$300:$J$316,0)-_xlfn.RANK.EQ($G303,$G$300:$G$316,0)))</f>
      </c>
    </row>
    <row r="354">
      <c r="A354" s="202" t="inlineStr">
        <is>
          <t>Critical / High risks</t>
        </is>
      </c>
      <c r="B354" s="202">
        <f>IFERROR('_ENGINE_Risk'!$B$494,"")</f>
        <v/>
      </c>
      <c r="C354" s="202" t="inlineStr">
        <is>
          <t>Number of active Critical / High risks.</t>
        </is>
      </c>
      <c r="D354" s="202" t="n"/>
      <c r="P354">
        <f>IF(OR($J304="",$G304=""),"",ABS(_xlfn.RANK.EQ($J304,$J$300:$J$316,0)-_xlfn.RANK.EQ($G304,$G$300:$G$316,0)))</f>
      </c>
    </row>
    <row r="355">
      <c r="A355" s="202" t="inlineStr">
        <is>
          <t>Actionable recommendations</t>
        </is>
      </c>
      <c r="B355" s="202">
        <f>IFERROR('_ENGINE_Risk'!$A$495,"")</f>
        <v/>
      </c>
      <c r="C355" s="202" t="inlineStr">
        <is>
          <t>Recommendations with Show = Yes.</t>
        </is>
      </c>
      <c r="D355" s="202" t="n"/>
      <c r="P355">
        <f>IF(OR($J305="",$G305=""),"",ABS(_xlfn.RANK.EQ($J305,$J$300:$J$316,0)-_xlfn.RANK.EQ($G305,$G$300:$G$316,0)))</f>
      </c>
    </row>
    <row r="356">
      <c r="A356" s="202" t="n"/>
      <c r="B356" s="202" t="n"/>
      <c r="C356" s="202" t="n"/>
      <c r="D356" s="202" t="n"/>
      <c r="P356">
        <f>IF(OR($J306="",$G306=""),"",ABS(_xlfn.RANK.EQ($J306,$J$300:$J$316,0)-_xlfn.RANK.EQ($G306,$G$300:$G$316,0)))</f>
      </c>
    </row>
    <row r="357">
      <c r="A357" s="202" t="inlineStr">
        <is>
          <t>Board-level interpretation prompts</t>
        </is>
      </c>
      <c r="B357" s="202" t="n"/>
      <c r="C357" s="202" t="n"/>
      <c r="D357" s="202" t="n"/>
      <c r="P357">
        <f>IF(OR($J307="",$G307=""),"",ABS(_xlfn.RANK.EQ($J307,$J$300:$J$316,0)-_xlfn.RANK.EQ($G307,$G$300:$G$316,0)))</f>
      </c>
    </row>
    <row r="358">
      <c r="A358" s="202" t="inlineStr">
        <is>
          <t>1. Where are we below peers or target?</t>
        </is>
      </c>
      <c r="B358" s="202" t="inlineStr">
        <is>
          <t>Review Benchmark View, especially bottom-quartile and below-median domains.</t>
        </is>
      </c>
      <c r="C358" s="202" t="n"/>
      <c r="D358" s="202" t="n"/>
      <c r="P358">
        <f>IF(OR($J308="",$G308=""),"",ABS(_xlfn.RANK.EQ($J308,$J$300:$J$316,0)-_xlfn.RANK.EQ($G308,$G$300:$G$316,0)))</f>
      </c>
    </row>
    <row r="359">
      <c r="A359" s="202" t="inlineStr">
        <is>
          <t>2. Which risks can create a crisis cascade?</t>
        </is>
      </c>
      <c r="B359" s="202" t="inlineStr">
        <is>
          <t>Review Risk Summary and Resilience Engine (Cascade).</t>
        </is>
      </c>
      <c r="C359" s="202" t="n"/>
      <c r="D359" s="202" t="n"/>
      <c r="P359">
        <f>IF(OR($J309="",$G309=""),"",ABS(_xlfn.RANK.EQ($J309,$J$300:$J$316,0)-_xlfn.RANK.EQ($G309,$G$300:$G$316,0)))</f>
      </c>
    </row>
    <row r="360">
      <c r="A360" s="202" t="inlineStr">
        <is>
          <t>3. Which 90-day actions matter most?</t>
        </is>
      </c>
      <c r="B360" s="202" t="inlineStr">
        <is>
          <t>Review Executive Recommendations and Gantt Roadmap.</t>
        </is>
      </c>
      <c r="C360" s="202" t="n"/>
      <c r="D360" s="202" t="n"/>
      <c r="P360">
        <f>IF(OR($J310="",$G310=""),"",ABS(_xlfn.RANK.EQ($J310,$J$300:$J$316,0)-_xlfn.RANK.EQ($G310,$G$300:$G$316,0)))</f>
      </c>
    </row>
    <row r="361">
      <c r="A361" s="202" t="inlineStr">
        <is>
          <t>4. Can we execute the roadmap?</t>
        </is>
      </c>
      <c r="B361" s="202">
        <f>IFERROR(ROUND(100*(1-AVERAGE($P$350:$P$366)/16),0),"")</f>
      </c>
      <c r="C361" s="202" t="n"/>
      <c r="D361" s="202" t="n"/>
      <c r="P361">
        <f>IF(OR($J311="",$G311=""),"",ABS(_xlfn.RANK.EQ($J311,$J$300:$J$316,0)-_xlfn.RANK.EQ($G311,$G$300:$G$316,0)))</f>
      </c>
    </row>
    <row r="362">
      <c r="A362" s="202" t="inlineStr">
        <is>
          <t>5. What should leadership decide?</t>
        </is>
      </c>
      <c r="B362" s="202" t="inlineStr">
        <is>
          <t>Confirm target posture, funding decisions, owners, risk appetite and reassessment cadence.</t>
        </is>
      </c>
      <c r="C362" s="202" t="n"/>
      <c r="D362" s="202" t="n"/>
      <c r="P362">
        <f>IF(OR($J312="",$G312=""),"",ABS(_xlfn.RANK.EQ($J312,$J$300:$J$316,0)-_xlfn.RANK.EQ($G312,$G$300:$G$316,0)))</f>
      </c>
    </row>
    <row r="363">
      <c r="A363" s="202" t="n"/>
      <c r="B363" s="202" t="n"/>
      <c r="C363" s="202" t="n"/>
      <c r="D363" s="202" t="n"/>
      <c r="P363">
        <f>IF(OR($J313="",$G313=""),"",ABS(_xlfn.RANK.EQ($J313,$J$300:$J$316,0)-_xlfn.RANK.EQ($G313,$G$300:$G$316,0)))</f>
      </c>
    </row>
    <row r="364">
      <c r="A364" s="202" t="inlineStr">
        <is>
          <t>Release note</t>
        </is>
      </c>
      <c r="B364" s="202" t="n"/>
      <c r="C364" s="202" t="n"/>
      <c r="D364" s="202" t="n"/>
      <c r="P364">
        <f>IF(OR($J314="",$G314=""),"",ABS(_xlfn.RANK.EQ($J314,$J$300:$J$316,0)-_xlfn.RANK.EQ($G314,$G$300:$G$316,0)))</f>
      </c>
    </row>
    <row r="365">
      <c r="A365" s="202" t="inlineStr">
        <is>
          <t>This sheet was added in v1.5 to provide a lightweight executive storytelling layer without adding an implementation office module.</t>
        </is>
      </c>
      <c r="B365" s="202" t="n"/>
      <c r="C365" s="202" t="n"/>
      <c r="D365" s="202" t="n"/>
      <c r="P365">
        <f>IF(OR($J315="",$G315=""),"",ABS(_xlfn.RANK.EQ($J315,$J$300:$J$316,0)-_xlfn.RANK.EQ($G315,$G$300:$G$316,0)))</f>
      </c>
    </row>
    <row r="366">
      <c r="P366">
        <f>IF(OR($J316="",$G316=""),"",ABS(_xlfn.RANK.EQ($J316,$J$300:$J$316,0)-_xlfn.RANK.EQ($G316,$G$300:$G$316,0)))</f>
      </c>
    </row>
    <row r="370" ht="24" customHeight="1" s="209">
      <c r="A370" s="121" t="inlineStr">
        <is>
          <t>Financial resilience source</t>
        </is>
      </c>
    </row>
    <row r="372">
      <c r="A372" t="inlineStr">
        <is>
          <t>Financial Resilience (computed from hard facts)</t>
        </is>
      </c>
    </row>
    <row r="373">
      <c r="A373" t="inlineStr">
        <is>
          <t>No self-assessment here: every score is derived from factual profile inputs (concentration, runway, margin, debt, FX). Mappings are editable in _CONFIG_Model_Settings. Use alongside domain maturity: a mature process stack with 2 months of runway is still fragile.</t>
        </is>
      </c>
    </row>
    <row r="375">
      <c r="A375" t="inlineStr">
        <is>
          <t>Revenue midpoint (EUR k)</t>
        </is>
      </c>
      <c r="B375">
        <f>'Company Profile'!$B$113</f>
        <v/>
      </c>
      <c r="C375" t="inlineStr">
        <is>
          <t>Gross margin</t>
        </is>
      </c>
      <c r="D375">
        <f>'Company Profile'!$B$109</f>
        <v/>
      </c>
    </row>
    <row r="378">
      <c r="A378" t="inlineStr">
        <is>
          <t>Component</t>
        </is>
      </c>
      <c r="B378" t="inlineStr">
        <is>
          <t>Input (from profile)</t>
        </is>
      </c>
      <c r="C378" t="inlineStr">
        <is>
          <t>Score 0-5</t>
        </is>
      </c>
      <c r="D378" t="inlineStr">
        <is>
          <t>Weight</t>
        </is>
      </c>
      <c r="E378" t="inlineStr">
        <is>
          <t>Comment</t>
        </is>
      </c>
    </row>
    <row r="379">
      <c r="A379" t="inlineStr">
        <is>
          <t>Cash runway</t>
        </is>
      </c>
      <c r="B379">
        <f>'Company Profile'!$B$110</f>
        <v/>
      </c>
      <c r="C379">
        <f>_xlfn.IFNA(VLOOKUP($B379,_CONFIG_Model_Settings!$J$525:$K$528,2,0),"")</f>
        <v/>
      </c>
      <c r="D379" t="n">
        <v>0.25</v>
      </c>
      <c r="E379" t="inlineStr">
        <is>
          <t>Strongest single predictor of crisis survival.</t>
        </is>
      </c>
    </row>
    <row r="380">
      <c r="A380" t="inlineStr">
        <is>
          <t>Customer concentration (top-1)</t>
        </is>
      </c>
      <c r="B380">
        <f>'Company Profile'!$B$54</f>
        <v/>
      </c>
      <c r="C380">
        <f>_xlfn.IFNA(VLOOKUP($B380,_CONFIG_Model_Settings!$M$525:$N$531,2,0),"")</f>
        <v/>
      </c>
      <c r="D380" t="n">
        <v>0.15</v>
      </c>
      <c r="E380" t="inlineStr">
        <is>
          <t>Key-customer dependency.</t>
        </is>
      </c>
    </row>
    <row r="381">
      <c r="A381" t="inlineStr">
        <is>
          <t>Customer concentration (top-5)</t>
        </is>
      </c>
      <c r="B381">
        <f>'Company Profile'!$B$55</f>
        <v/>
      </c>
      <c r="C381">
        <f>_xlfn.IFNA(VLOOKUP($B381,_CONFIG_Model_Settings!$M$525:$N$531,2,0),"")</f>
        <v/>
      </c>
      <c r="D381" t="n">
        <v>0.1</v>
      </c>
      <c r="E381" t="inlineStr">
        <is>
          <t>Breadth of revenue base.</t>
        </is>
      </c>
    </row>
    <row r="382">
      <c r="A382" t="inlineStr">
        <is>
          <t>Supplier dependency (top-1)</t>
        </is>
      </c>
      <c r="B382">
        <f>'Company Profile'!$B$57</f>
        <v/>
      </c>
      <c r="C382">
        <f>_xlfn.IFNA(VLOOKUP($B382,_CONFIG_Model_Settings!$M$525:$N$531,2,0),"")</f>
        <v/>
      </c>
      <c r="D382" t="n">
        <v>0.1</v>
      </c>
      <c r="E382" t="inlineStr">
        <is>
          <t>Input-side concentration.</t>
        </is>
      </c>
    </row>
    <row r="383">
      <c r="A383" t="inlineStr">
        <is>
          <t>Supplier substitutability</t>
        </is>
      </c>
      <c r="B383">
        <f>'Company Profile'!$B$59</f>
        <v/>
      </c>
      <c r="C383">
        <f>_xlfn.IFNA(VLOOKUP($B383,_CONFIG_Model_Settings!$W$525:$X$531,2,0),"")</f>
        <v/>
      </c>
      <c r="D383" t="n">
        <v>0.05</v>
      </c>
      <c r="E383" t="inlineStr">
        <is>
          <t>How replaceable critical suppliers are.</t>
        </is>
      </c>
    </row>
    <row r="384">
      <c r="A384" t="inlineStr">
        <is>
          <t>Gross margin buffer</t>
        </is>
      </c>
      <c r="B384">
        <f>'Company Profile'!$B$109</f>
        <v/>
      </c>
      <c r="C384">
        <f>IF($B384="","",IF($B384&gt;=0.5,5,IF($B384&gt;=0.35,4,IF($B384&gt;=0.2,3,IF($B384&gt;=0.1,2,1)))))</f>
        <v/>
      </c>
      <c r="D384" t="n">
        <v>0.15</v>
      </c>
      <c r="E384" t="inlineStr">
        <is>
          <t>Ability to absorb cost shocks.</t>
        </is>
      </c>
    </row>
    <row r="385">
      <c r="A385" t="inlineStr">
        <is>
          <t>Debt load</t>
        </is>
      </c>
      <c r="B385">
        <f>'Company Profile'!$B$111</f>
        <v/>
      </c>
      <c r="C385">
        <f>_xlfn.IFNA(VLOOKUP($B385,_CONFIG_Model_Settings!$Q$525:$R$528,2,0),"")</f>
        <v/>
      </c>
      <c r="D385" t="n">
        <v>0.1</v>
      </c>
      <c r="E385" t="inlineStr">
        <is>
          <t>Leverage constrains crisis options.</t>
        </is>
      </c>
    </row>
    <row r="386">
      <c r="A386" t="inlineStr">
        <is>
          <t>FX exposure</t>
        </is>
      </c>
      <c r="B386">
        <f>'Company Profile'!$B$112</f>
        <v/>
      </c>
      <c r="C386">
        <f>_xlfn.IFNA(VLOOKUP($B386,_CONFIG_Model_Settings!$T$525:$U$528,2,0),"")</f>
        <v/>
      </c>
      <c r="D386" t="n">
        <v>0.1</v>
      </c>
      <c r="E386" t="inlineStr">
        <is>
          <t>Currency mismatch risk.</t>
        </is>
      </c>
    </row>
    <row r="388">
      <c r="A388" t="inlineStr">
        <is>
          <t>Financial Resilience Index (0-5)</t>
        </is>
      </c>
      <c r="B388">
        <f>IFERROR(ROUND(SUMPRODUCT(ISNUMBER($C$379:$C$386)*IFERROR($C$379:$C$386+0,0)*$D$379:$D$386)/MAX(0.0001,SUMPRODUCT(ISNUMBER($C$379:$C$386)*$D$379:$D$386)),2),"")</f>
        <v/>
      </c>
    </row>
    <row r="389">
      <c r="A389" t="inlineStr">
        <is>
          <t>Level</t>
        </is>
      </c>
      <c r="B389">
        <f>IF($B$388="","",IF($B$388&gt;=4,"Resilient",IF($B$388&gt;=3,"Adequate",IF($B$388&gt;=2,"Fragile","Critical"))))</f>
        <v/>
      </c>
    </row>
    <row r="392">
      <c r="A392" t="inlineStr">
        <is>
          <t>Revenue at risk (annual, from concentration facts)</t>
        </is>
      </c>
    </row>
    <row r="393">
      <c r="A393" t="inlineStr">
        <is>
          <t>Stress event</t>
        </is>
      </c>
      <c r="B393" t="inlineStr">
        <is>
          <t>Assumption</t>
        </is>
      </c>
      <c r="C393" t="inlineStr">
        <is>
          <t>Revenue at risk (EUR k/yr)</t>
        </is>
      </c>
      <c r="D393" t="inlineStr">
        <is>
          <t>EBITDA-proxy impact (EUR k/yr)</t>
        </is>
      </c>
    </row>
    <row r="394">
      <c r="A394" t="inlineStr">
        <is>
          <t>Key customer loss</t>
        </is>
      </c>
      <c r="B394" t="inlineStr">
        <is>
          <t>Top-1 customer share midpoint x revenue</t>
        </is>
      </c>
      <c r="C394">
        <f>ROUND(IFERROR(VLOOKUP('Company Profile'!$B$54,_CONFIG_Model_Settings!$M$525:$O$531,3,0),0)*$B$375,0)</f>
        <v/>
      </c>
      <c r="D394">
        <f>IF($C394="","",ROUND($C394*$D$375,0))</f>
        <v/>
      </c>
    </row>
    <row r="395">
      <c r="A395" t="inlineStr">
        <is>
          <t>Top-5 customers stress</t>
        </is>
      </c>
      <c r="B395" t="inlineStr">
        <is>
          <t>Top-5 share midpoint x 30% decline</t>
        </is>
      </c>
      <c r="C395">
        <f>ROUND(IFERROR(VLOOKUP('Company Profile'!$B$55,_CONFIG_Model_Settings!$M$525:$O$531,3,0),0)*0.3*$B$375,0)</f>
        <v/>
      </c>
      <c r="D395">
        <f>IF($C395="","",ROUND($C395*$D$375,0))</f>
        <v/>
      </c>
    </row>
    <row r="396">
      <c r="A396" t="inlineStr">
        <is>
          <t>Critical supplier disruption</t>
        </is>
      </c>
      <c r="B396" t="inlineStr">
        <is>
          <t>Top-1 supplier dependency midpoint x 25% capacity loss</t>
        </is>
      </c>
      <c r="C396">
        <f>ROUND(IFERROR(VLOOKUP('Company Profile'!$B$57,_CONFIG_Model_Settings!$M$525:$O$531,3,0),0)*0.25*$B$375,0)</f>
        <v/>
      </c>
      <c r="D396">
        <f>IF($C396="","",ROUND($C396*$D$375,0))</f>
        <v/>
      </c>
    </row>
    <row r="398">
      <c r="A398" t="inlineStr">
        <is>
          <t>Consistency checks (fact vs self-assessment)</t>
        </is>
      </c>
    </row>
    <row r="399">
      <c r="A399">
        <f>IF(AND(OR('Company Profile'!$B$55="50-75%",'Company Profile'!$B$55="&gt;75%"),IFERROR(INDEX(_DATA_Dashboard_Facts!$H$5:$H$21,MATCH("Sales CRM",_DATA_Dashboard_Facts!$A$5:$A$21,0))&gt;=4,FALSE)),"CHECK: Sales CRM rated &gt;=4 while top-5 customers exceed 50% of revenue - validate retention/diversification evidence","OK")</f>
        <v/>
      </c>
    </row>
    <row r="400">
      <c r="A400">
        <f>IF(AND('Company Profile'!$B$110="&lt;3",IFERROR(INDEX(_DATA_Dashboard_Facts!$H$5:$H$21,MATCH("Finance Procurement",_DATA_Dashboard_Facts!$A$5:$A$21,0))&gt;=4,FALSE)),"CHECK: Finance rated &gt;=4 while cash runway is under 3 months - validate forecasting/scenario evidence","OK")</f>
        <v/>
      </c>
    </row>
    <row r="401">
      <c r="A401">
        <f>IF(AND('Company Profile'!$B$59="Single-source dependency",IFERROR(INDEX(_DATA_Dashboard_Facts!$H$5:$H$21,MATCH("Supply Chain",_DATA_Dashboard_Facts!$A$5:$A$21,0))&gt;=4,FALSE)),"CHECK: Supply Chain rated &gt;=4 while critical suppliers are single-source - validate diversification evidence","OK")</f>
        <v/>
      </c>
    </row>
    <row r="403">
      <c r="A403" t="inlineStr">
        <is>
          <t>v1.5 financial governance note</t>
        </is>
      </c>
    </row>
    <row r="404">
      <c r="A404" t="inlineStr">
        <is>
          <t>Financial Resilience is an indicative exposure model, not financial valuation, audit, credit assessment or investment advice. Assumptions and revenue-at-risk proxies should be reviewed with the finance owner before leadership decisions.</t>
        </is>
      </c>
    </row>
  </sheetData>
  <pageMargins left="0.75" right="0.75" top="1" bottom="1" header="0.5" footer="0.5"/>
  <pageSetup orientation="landscape" fitToHeight="0"/>
  <headerFooter>
    <oddHeader/>
    <oddFooter>&amp;R© Roman Reznikov / RR-framework — CC BY-NC-SA 4.0 — For authorized use only</oddFooter>
    <evenHeader/>
    <evenFooter>&amp;R© Roman Reznikov / RR-framework — CC BY-NC-SA 4.0 — For authorized use only</evenFooter>
    <firstHeader/>
    <firstFooter>&amp;R© Roman Reznikov / RR-framework — CC BY-NC-SA 4.0 — For authorized use only</firstFooter>
  </headerFooter>
  <legacyDrawing r:id="anysvml"/>
</worksheet>
</file>

<file path=xl/worksheets/sheet15.xml><?xml version="1.0" encoding="utf-8"?>
<worksheet xmlns="http://schemas.openxmlformats.org/spreadsheetml/2006/main" xmlns:r="http://schemas.openxmlformats.org/officeDocument/2006/relationships">
  <sheetPr>
    <tabColor rgb="FF111827"/>
    <outlinePr summaryBelow="1" summaryRight="1"/>
    <pageSetUpPr fitToPage="1"/>
  </sheetPr>
  <dimension ref="A1:BY76"/>
  <sheetViews>
    <sheetView showGridLines="0" workbookViewId="0">
      <pane ySplit="3" topLeftCell="A4" activePane="bottomLeft" state="frozen"/>
      <selection pane="bottomLeft" activeCell="A1" sqref="A1"/>
    </sheetView>
  </sheetViews>
  <sheetFormatPr baseColWidth="8" defaultRowHeight="13.8"/>
  <cols>
    <col width="22" customWidth="1" style="209" min="1" max="5"/>
    <col width="36" customWidth="1" style="209" min="6" max="10"/>
    <col width="18" customWidth="1" style="209" min="11" max="31"/>
    <col width="22" customWidth="1" style="209" min="32" max="33"/>
    <col width="36" customWidth="1" style="209" min="34" max="40"/>
    <col width="22" customWidth="1" style="209" min="41" max="42"/>
    <col width="18" customWidth="1" style="209" min="43" max="43"/>
    <col width="36" customWidth="1" style="209" min="44" max="44"/>
    <col width="22" customWidth="1" style="209" min="45" max="45"/>
    <col width="20" customWidth="1" style="209" min="46" max="46"/>
    <col width="18" customWidth="1" style="209" min="47" max="48"/>
    <col width="35" customWidth="1" style="209" min="49" max="49"/>
    <col width="18" customWidth="1" style="209" min="53" max="60"/>
  </cols>
  <sheetData>
    <row r="1" ht="25.95" customHeight="1" s="209">
      <c r="A1" s="256" t="inlineStr">
        <is>
          <t>Technical Initiative Library</t>
        </is>
      </c>
      <c r="B1" s="215" t="n"/>
      <c r="C1" s="215" t="n"/>
      <c r="D1" s="215" t="n"/>
      <c r="E1" s="215" t="n"/>
      <c r="F1" s="215" t="n"/>
      <c r="G1" s="215" t="n"/>
      <c r="H1" s="215" t="n"/>
      <c r="I1" s="215" t="n"/>
      <c r="J1" s="215" t="n"/>
      <c r="K1" s="215" t="n"/>
      <c r="L1" s="215" t="n"/>
      <c r="M1" s="215" t="n"/>
      <c r="N1" s="215" t="n"/>
      <c r="O1" s="215" t="n"/>
      <c r="P1" s="215" t="n"/>
      <c r="Q1" s="215" t="n"/>
      <c r="R1" s="215" t="n"/>
      <c r="S1" s="215" t="n"/>
      <c r="T1" s="215" t="n"/>
      <c r="U1" s="215" t="n"/>
      <c r="V1" s="215" t="n"/>
      <c r="W1" s="215" t="n"/>
      <c r="X1" s="215" t="n"/>
      <c r="Y1" s="215" t="n"/>
      <c r="Z1" s="215" t="n"/>
      <c r="AA1" s="215" t="n"/>
      <c r="AB1" s="215" t="n"/>
      <c r="AC1" s="215" t="n"/>
      <c r="AD1" s="215" t="n"/>
      <c r="AE1" s="215" t="n"/>
      <c r="AF1" s="215" t="n"/>
      <c r="AG1" s="215" t="n"/>
      <c r="AH1" s="215" t="n"/>
      <c r="AI1" s="215" t="n"/>
      <c r="AJ1" s="215" t="n"/>
      <c r="AK1" s="215" t="n"/>
      <c r="AL1" s="215" t="n"/>
      <c r="AM1" s="215" t="n"/>
      <c r="AN1" s="215" t="n"/>
      <c r="AO1" s="215" t="n"/>
      <c r="AP1" s="215" t="n"/>
      <c r="AQ1" s="215" t="n"/>
      <c r="AR1" s="216" t="n"/>
    </row>
    <row r="2" ht="34.05" customHeight="1" s="209">
      <c r="A2" s="302" t="inlineStr">
        <is>
          <t>Very hidden technical sheet. Each row is a structured initiative mapped to strategies, risks, recommendations, crisis multipliers, WSJF and roadmap wave.</t>
        </is>
      </c>
    </row>
    <row r="4" ht="30" customHeight="1" s="209">
      <c r="A4" s="24" t="inlineStr">
        <is>
          <t>Initiative ID</t>
        </is>
      </c>
      <c r="B4" s="24" t="inlineStr">
        <is>
          <t>Domain</t>
        </is>
      </c>
      <c r="C4" s="24" t="inlineStr">
        <is>
          <t>Subdomain</t>
        </is>
      </c>
      <c r="D4" s="24" t="inlineStr">
        <is>
          <t>Strategy</t>
        </is>
      </c>
      <c r="E4" s="24" t="inlineStr">
        <is>
          <t>Strategy ID</t>
        </is>
      </c>
      <c r="F4" s="24" t="inlineStr">
        <is>
          <t>Initiative theme</t>
        </is>
      </c>
      <c r="G4" s="24" t="inlineStr">
        <is>
          <t>Initiative objective</t>
        </is>
      </c>
      <c r="H4" s="24" t="inlineStr">
        <is>
          <t>Related risk category</t>
        </is>
      </c>
      <c r="I4" s="24" t="inlineStr">
        <is>
          <t>Related crisis scenarios</t>
        </is>
      </c>
      <c r="J4" s="24" t="inlineStr">
        <is>
          <t>Related question IDs</t>
        </is>
      </c>
      <c r="K4" s="24" t="inlineStr">
        <is>
          <t>Question count</t>
        </is>
      </c>
      <c r="L4" s="24" t="inlineStr">
        <is>
          <t>Active recommendations</t>
        </is>
      </c>
      <c r="M4" s="24" t="inlineStr">
        <is>
          <t>Active risks</t>
        </is>
      </c>
      <c r="N4" s="24" t="inlineStr">
        <is>
          <t>Avg current score 0-5</t>
        </is>
      </c>
      <c r="O4" s="24" t="inlineStr">
        <is>
          <t>Maturity gap</t>
        </is>
      </c>
      <c r="P4" s="24" t="inlineStr">
        <is>
          <t>Domain maturity 0-5</t>
        </is>
      </c>
      <c r="Q4" s="24" t="inlineStr">
        <is>
          <t>Domain gap</t>
        </is>
      </c>
      <c r="R4" s="24" t="inlineStr">
        <is>
          <t>Crisis multiplier</t>
        </is>
      </c>
      <c r="S4" s="24" t="inlineStr">
        <is>
          <t>Strategy rank</t>
        </is>
      </c>
      <c r="T4" s="24" t="inlineStr">
        <is>
          <t>Strategy score</t>
        </is>
      </c>
      <c r="U4" s="24" t="inlineStr">
        <is>
          <t>Digital impact</t>
        </is>
      </c>
      <c r="V4" s="24" t="inlineStr">
        <is>
          <t>Resilience impact</t>
        </is>
      </c>
      <c r="W4" s="24" t="inlineStr">
        <is>
          <t>Process impact</t>
        </is>
      </c>
      <c r="X4" s="24" t="inlineStr">
        <is>
          <t>Business value</t>
        </is>
      </c>
      <c r="Y4" s="24" t="inlineStr">
        <is>
          <t>Time criticality</t>
        </is>
      </c>
      <c r="Z4" s="24" t="inlineStr">
        <is>
          <t>Risk reduction</t>
        </is>
      </c>
      <c r="AA4" s="24" t="inlineStr">
        <is>
          <t>Opportunity enablement</t>
        </is>
      </c>
      <c r="AB4" s="24" t="inlineStr">
        <is>
          <t>Complexity / job size</t>
        </is>
      </c>
      <c r="AC4" s="24" t="inlineStr">
        <is>
          <t>WSJF</t>
        </is>
      </c>
      <c r="AD4" s="24" t="inlineStr">
        <is>
          <t>Rank</t>
        </is>
      </c>
      <c r="AE4" s="24" t="inlineStr">
        <is>
          <t>Roadmap wave</t>
        </is>
      </c>
      <c r="AF4" s="24" t="inlineStr">
        <is>
          <t>Owner role</t>
        </is>
      </c>
      <c r="AG4" s="24" t="inlineStr">
        <is>
          <t>Default duration</t>
        </is>
      </c>
      <c r="AH4" s="24" t="inlineStr">
        <is>
          <t>Dependencies</t>
        </is>
      </c>
      <c r="AI4" s="24" t="inlineStr">
        <is>
          <t>KPI examples</t>
        </is>
      </c>
      <c r="AJ4" s="24" t="inlineStr">
        <is>
          <t>Expected output</t>
        </is>
      </c>
      <c r="AK4" s="24" t="inlineStr">
        <is>
          <t>Recommendation engine link</t>
        </is>
      </c>
      <c r="AL4" s="24" t="inlineStr">
        <is>
          <t>Risk engine link</t>
        </is>
      </c>
      <c r="AM4" s="24" t="inlineStr">
        <is>
          <t>Strategy engine link</t>
        </is>
      </c>
      <c r="AN4" s="24" t="inlineStr">
        <is>
          <t>Trigger rule</t>
        </is>
      </c>
      <c r="AO4" s="24" t="inlineStr">
        <is>
          <t>Default status</t>
        </is>
      </c>
      <c r="AP4" s="24" t="inlineStr">
        <is>
          <t>Budget estimate</t>
        </is>
      </c>
      <c r="AQ4" s="24" t="inlineStr">
        <is>
          <t>Manual priority override</t>
        </is>
      </c>
      <c r="AR4" s="24" t="inlineStr">
        <is>
          <t>Notes</t>
        </is>
      </c>
      <c r="AS4" s="23" t="inlineStr">
        <is>
          <t>Industry initiative multiplier</t>
        </is>
      </c>
      <c r="AT4" s="23" t="inlineStr">
        <is>
          <t>Industry-adjusted WSJF</t>
        </is>
      </c>
      <c r="AU4" s="23" t="inlineStr">
        <is>
          <t>Industry-adjusted rank</t>
        </is>
      </c>
      <c r="AV4" s="23" t="inlineStr">
        <is>
          <t>Industry target gap</t>
        </is>
      </c>
      <c r="AW4" s="23" t="inlineStr">
        <is>
          <t>Industry adjustment rationale</t>
        </is>
      </c>
      <c r="AX4" t="inlineStr">
        <is>
          <t>Manual status (Initiative Status sheet)</t>
        </is>
      </c>
      <c r="AY4" t="inlineStr">
        <is>
          <t>Effective status</t>
        </is>
      </c>
      <c r="AZ4" t="inlineStr">
        <is>
          <t>PCF metric examples (APQC v8.0)</t>
        </is>
      </c>
      <c r="BA4" t="inlineStr">
        <is>
          <t>P1 mapped risk count</t>
        </is>
      </c>
      <c r="BB4" t="inlineStr">
        <is>
          <t>P1 avg risk pressure</t>
        </is>
      </c>
      <c r="BC4" t="inlineStr">
        <is>
          <t>P1 expected score uplift</t>
        </is>
      </c>
      <c r="BD4" t="inlineStr">
        <is>
          <t>P1 risk reduction v2</t>
        </is>
      </c>
      <c r="BE4" t="inlineStr">
        <is>
          <t>P1 WSJF v2</t>
        </is>
      </c>
      <c r="BF4" t="inlineStr">
        <is>
          <t>P1 industry-adjusted WSJF v2</t>
        </is>
      </c>
      <c r="BG4" t="inlineStr">
        <is>
          <t>P1 rank</t>
        </is>
      </c>
      <c r="BH4" t="inlineStr">
        <is>
          <t>P1 rationale</t>
        </is>
      </c>
      <c r="BI4" s="24" t="inlineStr">
        <is>
          <t>P2 fuzzy state</t>
        </is>
      </c>
      <c r="BJ4" s="24" t="inlineStr">
        <is>
          <t>P2 fuzzy BV weight</t>
        </is>
      </c>
      <c r="BK4" s="24" t="inlineStr">
        <is>
          <t>P2 fuzzy TC weight</t>
        </is>
      </c>
      <c r="BL4" s="24" t="inlineStr">
        <is>
          <t>P2 fuzzy RR weight</t>
        </is>
      </c>
      <c r="BM4" s="24" t="inlineStr">
        <is>
          <t>P2 fuzzy OE weight</t>
        </is>
      </c>
      <c r="BN4" s="24" t="inlineStr">
        <is>
          <t>P2 goal BV multiplier</t>
        </is>
      </c>
      <c r="BO4" s="24" t="inlineStr">
        <is>
          <t>P2 goal TC multiplier</t>
        </is>
      </c>
      <c r="BP4" s="24" t="inlineStr">
        <is>
          <t>P2 goal RR multiplier</t>
        </is>
      </c>
      <c r="BQ4" s="24" t="inlineStr">
        <is>
          <t>P2 goal OE multiplier</t>
        </is>
      </c>
      <c r="BR4" s="24" t="inlineStr">
        <is>
          <t>P2 financial value score</t>
        </is>
      </c>
      <c r="BS4" s="24" t="inlineStr">
        <is>
          <t>P2 weighted Cost of Delay</t>
        </is>
      </c>
      <c r="BT4" s="24" t="inlineStr">
        <is>
          <t>P2 complexity / job size</t>
        </is>
      </c>
      <c r="BU4" s="24" t="inlineStr">
        <is>
          <t>P2 WSJF v3</t>
        </is>
      </c>
      <c r="BV4" s="24" t="inlineStr">
        <is>
          <t>P2 industry-adjusted WSJF v3</t>
        </is>
      </c>
      <c r="BW4" s="24" t="inlineStr">
        <is>
          <t>P2 rank</t>
        </is>
      </c>
      <c r="BX4" s="24" t="inlineStr">
        <is>
          <t>P2 roadmap wave</t>
        </is>
      </c>
      <c r="BY4" s="24" t="inlineStr">
        <is>
          <t>P2 rationale</t>
        </is>
      </c>
    </row>
    <row r="5" ht="42" customHeight="1" s="209">
      <c r="A5" s="25" t="inlineStr">
        <is>
          <t>INI-001</t>
        </is>
      </c>
      <c r="B5" s="25" t="inlineStr">
        <is>
          <t>Company Geography</t>
        </is>
      </c>
      <c r="C5" s="25" t="inlineStr">
        <is>
          <t>Company profile</t>
        </is>
      </c>
      <c r="D5" s="25" t="inlineStr">
        <is>
          <t>Business Continuity and Resilience Strategy</t>
        </is>
      </c>
      <c r="E5" s="25" t="inlineStr">
        <is>
          <t>STR-02</t>
        </is>
      </c>
      <c r="F5" s="25" t="inlineStr">
        <is>
          <t>Create company context, entity and operating model register</t>
        </is>
      </c>
      <c r="G5" s="25" t="inlineStr">
        <is>
          <t>Close maturity gaps in company profile by assigning ownership, documenting the process, connecting it to evidence and systems, testing it against crisis scenarios and measuring improvement.</t>
        </is>
      </c>
      <c r="H5" s="25" t="inlineStr">
        <is>
          <t>Geographic, entity and market exposure</t>
        </is>
      </c>
      <c r="I5" s="25" t="inlineStr">
        <is>
          <t>War / security crisis; Physical site loss; Regulatory / legal shock</t>
        </is>
      </c>
      <c r="J5" s="25" t="inlineStr">
        <is>
          <t>COMP-001; COMP-002; COMP-003; COMP-004; COMP-005; COMP-006; COMP-007</t>
        </is>
      </c>
      <c r="K5" s="25" t="n">
        <v>7</v>
      </c>
      <c r="L5" s="25">
        <f>COUNTIFS('_ENGINE_Risk'!$C$500:$C$923,$B5,'_ENGINE_Risk'!$D$500:$D$923,$C5,'_ENGINE_Risk'!$B$500:$B$923,"Yes")</f>
        <v/>
      </c>
      <c r="M5" s="25">
        <f>COUNTIFS('_ENGINE_Risk'!$C$500:$C$923,$B5,'_ENGINE_Risk'!$D$500:$D$923,$C5,'_ENGINE_Risk'!$B$500:$B$923,"Yes")</f>
        <v/>
      </c>
      <c r="N5" s="25">
        <f>IFERROR(AVERAGEIFS(_DATA_Assessment_Model!$H$5:$H$428,_DATA_Assessment_Model!$AW$5:$AW$428,$B5,_DATA_Assessment_Model!$B$5:$B$428,$C5),"")</f>
        <v/>
      </c>
      <c r="O5" s="25">
        <f>IF($N5="","",MAX(0,5-$N5))</f>
        <v/>
      </c>
      <c r="P5" s="25">
        <f>IFERROR(INDEX(_DATA_Dashboard_Facts!$H$5:$H$21,MATCH($B5,_DATA_Dashboard_Facts!$A$5:$A$21,0)),"")</f>
        <v/>
      </c>
      <c r="Q5" s="25">
        <f>IF($P5="","",MAX(0,5-$P5))</f>
        <v/>
      </c>
      <c r="R5" s="25">
        <f>IFERROR(SUMIFS(_ENGINE_Crisis!$D$5:$D$208,_ENGINE_Crisis!$A$5:$A$208,'Resilience &amp; Risk Scenario'!$B$6,_ENGINE_Crisis!$B$5:$B$208,$B5),1)</f>
        <v/>
      </c>
      <c r="S5" s="25">
        <f>IFERROR(INDEX('_ENGINE_Strategy'!$A$100:$A$113,MATCH($D5,'_ENGINE_Strategy'!$B$100:$B$113,0)),99)</f>
        <v/>
      </c>
      <c r="T5" s="25">
        <f>IFERROR(INDEX('_ENGINE_Strategy'!$J$100:$J$113,MATCH($D5,'_ENGINE_Strategy'!$B$100:$B$113,0)),0)</f>
        <v/>
      </c>
      <c r="U5" s="25" t="n">
        <v>2</v>
      </c>
      <c r="V5" s="25" t="n">
        <v>5</v>
      </c>
      <c r="W5" s="25" t="n">
        <v>4</v>
      </c>
      <c r="X5" s="25">
        <f>MAX(1,MIN(5,(N($O5)*0.50)+(N($Q5)*0.25)+((N($T5)/20)*0.25)))</f>
        <v/>
      </c>
      <c r="Y5" s="25">
        <f>MAX(1,MIN(5,(($R5-1)*1.6)+('Resilience &amp; Risk Scenario'!$B$7*0.45)+IF($S5&lt;=3,0.8,0)))</f>
        <v/>
      </c>
      <c r="Z5" s="25">
        <f>MAX(1,MIN(5,(N($O5)*0.45)+(MIN(5,5*N($M5)/MAX(1,N($K5)))*0.35)+(N($V5)*0.20)))</f>
        <v/>
      </c>
      <c r="AA5" s="25">
        <f>MAX(1,MIN(5,($U5*0.40)+($W5*0.30)+(($T5/20)*0.30)))</f>
        <v/>
      </c>
      <c r="AB5" s="25" t="n">
        <v>2</v>
      </c>
      <c r="AC5" s="25">
        <f>IF($AB5=0,"",ROUND((N($X5)+N($Y5)+N($Z5)+N($AA5))/$AB5,2))</f>
        <v/>
      </c>
      <c r="AD5" s="25">
        <f>IF($AC5="","",_xlfn.RANK.EQ($AC5,$AC$5:$AC$76,0)+COUNTIF($AC$5:$AC5,$AC5)-1)</f>
        <v/>
      </c>
      <c r="AE5" s="25">
        <f>IF($AD5="","",IF($AD5&lt;=cfg_TimelineBucket1,"0-90 days",IF($AD5&lt;=cfg_TimelineBucket2,"3-6 months",IF($AD5&lt;=cfg_TimelineBucket3,"6-12 months","12+ months"))))</f>
        <v/>
      </c>
      <c r="AF5" s="25" t="inlineStr">
        <is>
          <t>CEO / COO / Risk Lead</t>
        </is>
      </c>
      <c r="AG5" s="25" t="inlineStr">
        <is>
          <t>4-8 weeks</t>
        </is>
      </c>
      <c r="AH5" s="25" t="inlineStr">
        <is>
          <t>Executive sponsor; accountable process owner; baseline evidence; risk acceptance threshold</t>
        </is>
      </c>
      <c r="AI5" s="25" t="inlineStr">
        <is>
          <t>maturity score improvement; open risk reduction; evidence completeness; control test pass rate</t>
        </is>
      </c>
      <c r="AJ5" s="25" t="inlineStr">
        <is>
          <t>Documented company profile operating model, owner/RACI, KPI set, evidence pack, tested crisis playbook and improvement backlog.</t>
        </is>
      </c>
      <c r="AK5" s="25" t="inlineStr">
        <is>
          <t>Counts active next-level recommendations for Company Geography / Company profile.</t>
        </is>
      </c>
      <c r="AL5" s="25" t="inlineStr">
        <is>
          <t>Counts active risks and risk scores for Company Geography / Company profile.</t>
        </is>
      </c>
      <c r="AM5" s="25" t="inlineStr">
        <is>
          <t>Uses the current rank and total score of Business Continuity and Resilience Strategy.</t>
        </is>
      </c>
      <c r="AN5" s="25" t="inlineStr">
        <is>
          <t>Trigger when avg score &lt; 4, active risk exists, active recommendation exists or strategy rank &lt;= 3.</t>
        </is>
      </c>
      <c r="AO5" s="25" t="inlineStr">
        <is>
          <t>Not started</t>
        </is>
      </c>
      <c r="AP5" s="25" t="inlineStr">
        <is>
          <t>Low-Medium</t>
        </is>
      </c>
      <c r="AQ5" s="25" t="n"/>
      <c r="AR5" s="25" t="n"/>
      <c r="AS5" s="247">
        <f>IFERROR(IF(SUMIFS(_REF_Model_Content!$J$1:$J$157,_REF_Model_Content!$A$1:$A$157,'Company Profile'!$B$9,_REF_Model_Content!$B$1:$B$157,$B5)=0,1,SUMIFS(_REF_Model_Content!$J$1:$J$157,_REF_Model_Content!$A$1:$A$157,'Company Profile'!$B$9,_REF_Model_Content!$B$1:$B$157,$B5)),1)</f>
        <v/>
      </c>
      <c r="AT5" s="247">
        <f>IF(OR($AY5="Done",$AY5="Not applicable"),"",IF($AC5="","",ROUND(N($AC5)*N($AS5),2)))</f>
        <v/>
      </c>
      <c r="AU5" s="247">
        <f>IF($AT5="","",_xlfn.RANK.EQ($AT5,$AT$5:$AT$76,0)+COUNTIF($AT$5:AT5,$AT5)-1)</f>
        <v/>
      </c>
      <c r="AV5" s="247">
        <f>IFERROR(INDEX('_DATA_Dashboard_Facts'!$G$300:$G$316,MATCH($B5,'_DATA_Dashboard_Facts'!$A$300:$A$316,0)),"")</f>
        <v/>
      </c>
      <c r="AW5" s="247">
        <f>IF($AS5&gt;cfg_IndPriorityHigh,"Industry template increases priority",IF($AS5&lt;cfg_IndPriorityLow,"Industry template lowers priority","Industry-neutral priority"))</f>
        <v/>
      </c>
      <c r="AX5">
        <f>IFERROR(INDEX('Action Plan &amp; Roadmap'!$D$59:$D$130,MATCH($A5,'Action Plan &amp; Roadmap'!$A$59:$A$130,0)),"")</f>
      </c>
      <c r="AY5">
        <f>IF($AX5&lt;&gt;"",$AX5,IF($AO5="","Not started",$AO5))</f>
        <v/>
      </c>
      <c r="AZ5" t="inlineStr">
        <is>
          <t>Actual Open-to-buy retail inventory as a percentage of planned retail inventory</t>
        </is>
      </c>
      <c r="BA5">
        <f>IF($A5="","",COUNTIF('_DATA_Mappings'!$A:$A,$A5))</f>
        <v/>
      </c>
      <c r="BB5">
        <f>IF($A5="","",IFERROR(AVERAGEIF('_DATA_Mappings'!$A:$A,$A5,'_DATA_Mappings'!$G:$G),0))</f>
        <v/>
      </c>
      <c r="BC5">
        <f>IF($A5="","",MAX(0,MIN(5,(N($O5)*0.50)+(N($V5)*0.30)+(N($W5)*0.20))))</f>
        <v/>
      </c>
      <c r="BD5">
        <f>IF($A5="","",MAX(1,MIN(5,($Z5*0.45)+(MIN(5,$BB5/5)*0.35)+($BC5*0.20))))</f>
        <v/>
      </c>
      <c r="BE5">
        <f>IF($AB5=0,"",ROUND((N($X5)+N($Y5)+N($BD5)+N($AA5))/$AB5,2))</f>
        <v/>
      </c>
      <c r="BF5">
        <f>IF(OR($BE5="",$AY5="Done",$AY5="Not applicable"),"",ROUND($BE5*N($AS5),2))</f>
        <v/>
      </c>
      <c r="BG5">
        <f>IF($BF5="","",_xlfn.RANK.EQ($BF5,$BF$5:$BF$76,0)+COUNTIF($BF$5:$BF5,$BF5)-1)</f>
        <v/>
      </c>
      <c r="BH5">
        <f>IF($A5="","",IF($BB5&gt;20,"High P1 risk pressure",IF($BB5&gt;12,"Moderate P1 risk pressure","Lower P1 risk pressure")))</f>
        <v/>
      </c>
      <c r="BI5" s="25">
        <f>'_CONFIG_Model_Settings'!$B$103</f>
        <v/>
      </c>
      <c r="BJ5" s="25">
        <f>IFERROR(INDEX('_CONFIG_Model_Settings'!$B$109:$B$113,MATCH($BI5,'_CONFIG_Model_Settings'!$A$109:$A$113,0)),0.30)</f>
        <v/>
      </c>
      <c r="BK5" s="25">
        <f>IFERROR(INDEX('_CONFIG_Model_Settings'!$C$109:$C$113,MATCH($BI5,'_CONFIG_Model_Settings'!$A$109:$A$113,0)),0.20)</f>
        <v/>
      </c>
      <c r="BL5" s="25">
        <f>IFERROR(INDEX('_CONFIG_Model_Settings'!$D$109:$D$113,MATCH($BI5,'_CONFIG_Model_Settings'!$A$109:$A$113,0)),0.25)</f>
        <v/>
      </c>
      <c r="BM5" s="25">
        <f>IFERROR(INDEX('_CONFIG_Model_Settings'!$E$109:$E$113,MATCH($BI5,'_CONFIG_Model_Settings'!$A$109:$A$113,0)),0.25)</f>
        <v/>
      </c>
      <c r="BN5" s="25">
        <f>IFERROR(INDEX('_CONFIG_Model_Settings'!$B$117:$B$123,MATCH('_CONFIG_Model_Settings'!$B$104,'_CONFIG_Model_Settings'!$A$117:$A$123,0)),1)</f>
        <v/>
      </c>
      <c r="BO5" s="25">
        <f>IFERROR(INDEX('_CONFIG_Model_Settings'!$C$117:$C$123,MATCH('_CONFIG_Model_Settings'!$B$104,'_CONFIG_Model_Settings'!$A$117:$A$123,0)),1)</f>
        <v/>
      </c>
      <c r="BP5" s="25">
        <f>IFERROR(INDEX('_CONFIG_Model_Settings'!$D$117:$D$123,MATCH('_CONFIG_Model_Settings'!$B$104,'_CONFIG_Model_Settings'!$A$117:$A$123,0)),1)</f>
        <v/>
      </c>
      <c r="BQ5" s="25">
        <f>IFERROR(INDEX('_CONFIG_Model_Settings'!$E$117:$E$123,MATCH('_CONFIG_Model_Settings'!$B$104,'_CONFIG_Model_Settings'!$A$117:$A$123,0)),1)</f>
        <v/>
      </c>
      <c r="BR5" s="25">
        <f>IF($A5="","",MIN(5,IFERROR(SUMIF('_DATA_Mappings'!$A:$A,$A5,'_DATA_Mappings'!$K:$K)/MAX(1,'_CONFIG_Model_Settings'!$B$105),0)))</f>
        <v/>
      </c>
      <c r="BS5" s="25">
        <f>IF($A5="","",ROUND((N($X5)*N($BJ5)*N($BN5)+N($Y5)*N($BK5)*N($BO5)+N($BD5)*N($BL5)*N($BP5)+N($AA5)*N($BM5)*N($BQ5)+N($BR5)*N('_CONFIG_Model_Settings'!$B$106))/(N($BJ5)*N($BN5)+N($BK5)*N($BO5)+N($BL5)*N($BP5)+N($BM5)*N($BQ5)+N('_CONFIG_Model_Settings'!$B$106)),2))</f>
        <v/>
      </c>
      <c r="BT5" s="25">
        <f>IF($A5="","",MAX(1,N($AB5)))</f>
        <v/>
      </c>
      <c r="BU5" s="25">
        <f>IF(OR($BS5="",$BT5=0),"",ROUND($BS5/$BT5,2))</f>
        <v/>
      </c>
      <c r="BV5" s="25">
        <f>IF(OR($BU5="",$AY5="Done",$AY5="Not applicable"),"",ROUND($BU5*N($AS5),2))</f>
        <v/>
      </c>
      <c r="BW5" s="25">
        <f>IF($BV5="","",_xlfn.RANK.EQ($BV5,$BV$5:$BV$76,0)+COUNTIF($BV$5:$BV5,$BV5)-1)</f>
        <v/>
      </c>
      <c r="BX5" s="25">
        <f>IF($BW5="","",IF($BW5&lt;=cfg_TimelineBucket1,"0-90 days",IF($BW5&lt;=cfg_TimelineBucket2,"3-6 months",IF($BW5&lt;=cfg_TimelineBucket3,"6-12 months","12+ months"))))</f>
        <v/>
      </c>
      <c r="BY5" s="25">
        <f>IF($A5="","","P2: "&amp;$BI5&amp;" posture; objective="&amp;'_CONFIG_Model_Settings'!$B$104&amp;"; financial score="&amp;ROUND(N($BR5),1)&amp;"; CoD="&amp;$BS5)</f>
        <v/>
      </c>
    </row>
    <row r="6" ht="42" customHeight="1" s="209">
      <c r="A6" s="25" t="inlineStr">
        <is>
          <t>INI-002</t>
        </is>
      </c>
      <c r="B6" s="25" t="inlineStr">
        <is>
          <t>Company Geography</t>
        </is>
      </c>
      <c r="C6" s="25" t="inlineStr">
        <is>
          <t>Geographical distribution</t>
        </is>
      </c>
      <c r="D6" s="25" t="inlineStr">
        <is>
          <t>Business Continuity and Resilience Strategy</t>
        </is>
      </c>
      <c r="E6" s="25" t="inlineStr">
        <is>
          <t>STR-02</t>
        </is>
      </c>
      <c r="F6" s="25" t="inlineStr">
        <is>
          <t>Build geographic exposure and site continuity model</t>
        </is>
      </c>
      <c r="G6" s="25" t="inlineStr">
        <is>
          <t>Close maturity gaps in geographical distribution by assigning ownership, documenting the process, connecting it to evidence and systems, testing it against crisis scenarios and measuring improvement.</t>
        </is>
      </c>
      <c r="H6" s="25" t="inlineStr">
        <is>
          <t>Geographic, entity and market exposure</t>
        </is>
      </c>
      <c r="I6" s="25" t="inlineStr">
        <is>
          <t>War / security crisis; Physical site loss; Regulatory / legal shock</t>
        </is>
      </c>
      <c r="J6" s="25" t="inlineStr">
        <is>
          <t>COMP-008; COMP-009; COMP-010; COMP-011; COMP-012; COMP-013; COMP-014</t>
        </is>
      </c>
      <c r="K6" s="25" t="n">
        <v>7</v>
      </c>
      <c r="L6" s="25">
        <f>COUNTIFS('_ENGINE_Risk'!$C$500:$C$923,$B6,'_ENGINE_Risk'!$D$500:$D$923,$C6,'_ENGINE_Risk'!$B$500:$B$923,"Yes")</f>
        <v/>
      </c>
      <c r="M6" s="25">
        <f>COUNTIFS('_ENGINE_Risk'!$C$500:$C$923,$B6,'_ENGINE_Risk'!$D$500:$D$923,$C6,'_ENGINE_Risk'!$B$500:$B$923,"Yes")</f>
        <v/>
      </c>
      <c r="N6" s="25">
        <f>IFERROR(AVERAGEIFS(_DATA_Assessment_Model!$H$5:$H$428,_DATA_Assessment_Model!$AW$5:$AW$428,$B6,_DATA_Assessment_Model!$B$5:$B$428,$C6),"")</f>
        <v/>
      </c>
      <c r="O6" s="25">
        <f>IF($N6="","",MAX(0,5-$N6))</f>
        <v/>
      </c>
      <c r="P6" s="25">
        <f>IFERROR(INDEX(_DATA_Dashboard_Facts!$H$5:$H$21,MATCH($B6,_DATA_Dashboard_Facts!$A$5:$A$21,0)),"")</f>
        <v/>
      </c>
      <c r="Q6" s="25">
        <f>IF($P6="","",MAX(0,5-$P6))</f>
        <v/>
      </c>
      <c r="R6" s="25">
        <f>IFERROR(SUMIFS(_ENGINE_Crisis!$D$5:$D$208,_ENGINE_Crisis!$A$5:$A$208,'Resilience &amp; Risk Scenario'!$B$6,_ENGINE_Crisis!$B$5:$B$208,$B6),1)</f>
        <v/>
      </c>
      <c r="S6" s="25">
        <f>IFERROR(INDEX('_ENGINE_Strategy'!$A$100:$A$113,MATCH($D6,'_ENGINE_Strategy'!$B$100:$B$113,0)),99)</f>
        <v/>
      </c>
      <c r="T6" s="25">
        <f>IFERROR(INDEX('_ENGINE_Strategy'!$J$100:$J$113,MATCH($D6,'_ENGINE_Strategy'!$B$100:$B$113,0)),0)</f>
        <v/>
      </c>
      <c r="U6" s="25" t="n">
        <v>2</v>
      </c>
      <c r="V6" s="25" t="n">
        <v>5</v>
      </c>
      <c r="W6" s="25" t="n">
        <v>4</v>
      </c>
      <c r="X6" s="25">
        <f>MAX(1,MIN(5,(N($O6)*0.50)+(N($Q6)*0.25)+((N($T6)/20)*0.25)))</f>
        <v/>
      </c>
      <c r="Y6" s="25">
        <f>MAX(1,MIN(5,(($R6-1)*1.6)+('Resilience &amp; Risk Scenario'!$B$7*0.45)+IF($S6&lt;=3,0.8,0)))</f>
        <v/>
      </c>
      <c r="Z6" s="25">
        <f>MAX(1,MIN(5,(N($O6)*0.45)+(MIN(5,5*N($M6)/MAX(1,N($K6)))*0.35)+(N($V6)*0.20)))</f>
        <v/>
      </c>
      <c r="AA6" s="25">
        <f>MAX(1,MIN(5,($U6*0.40)+($W6*0.30)+(($T6/20)*0.30)))</f>
        <v/>
      </c>
      <c r="AB6" s="25" t="n">
        <v>2</v>
      </c>
      <c r="AC6" s="25">
        <f>IF($AB6=0,"",ROUND((N($X6)+N($Y6)+N($Z6)+N($AA6))/$AB6,2))</f>
        <v/>
      </c>
      <c r="AD6" s="25">
        <f>IF($AC6="","",_xlfn.RANK.EQ($AC6,$AC$5:$AC$76,0)+COUNTIF($AC$5:$AC6,$AC6)-1)</f>
        <v/>
      </c>
      <c r="AE6" s="25">
        <f>IF($AD6="","",IF($AD6&lt;=cfg_TimelineBucket1,"0-90 days",IF($AD6&lt;=cfg_TimelineBucket2,"3-6 months",IF($AD6&lt;=cfg_TimelineBucket3,"6-12 months","12+ months"))))</f>
        <v/>
      </c>
      <c r="AF6" s="25" t="inlineStr">
        <is>
          <t>CEO / COO / Risk Lead</t>
        </is>
      </c>
      <c r="AG6" s="25" t="inlineStr">
        <is>
          <t>4-8 weeks</t>
        </is>
      </c>
      <c r="AH6" s="25" t="inlineStr">
        <is>
          <t>Executive sponsor; accountable process owner; baseline evidence; risk acceptance threshold</t>
        </is>
      </c>
      <c r="AI6" s="25" t="inlineStr">
        <is>
          <t>maturity score improvement; open risk reduction; evidence completeness; control test pass rate</t>
        </is>
      </c>
      <c r="AJ6" s="25" t="inlineStr">
        <is>
          <t>Documented geographical distribution operating model, owner/RACI, KPI set, evidence pack, tested crisis playbook and improvement backlog.</t>
        </is>
      </c>
      <c r="AK6" s="25" t="inlineStr">
        <is>
          <t>Counts active next-level recommendations for Company Geography / Geographical distribution.</t>
        </is>
      </c>
      <c r="AL6" s="25" t="inlineStr">
        <is>
          <t>Counts active risks and risk scores for Company Geography / Geographical distribution.</t>
        </is>
      </c>
      <c r="AM6" s="25" t="inlineStr">
        <is>
          <t>Uses the current rank and total score of Business Continuity and Resilience Strategy.</t>
        </is>
      </c>
      <c r="AN6" s="25" t="inlineStr">
        <is>
          <t>Trigger when avg score &lt; 4, active risk exists, active recommendation exists or strategy rank &lt;= 3.</t>
        </is>
      </c>
      <c r="AO6" s="25" t="inlineStr">
        <is>
          <t>Not started</t>
        </is>
      </c>
      <c r="AP6" s="25" t="inlineStr">
        <is>
          <t>Low-Medium</t>
        </is>
      </c>
      <c r="AQ6" s="25" t="n"/>
      <c r="AR6" s="25" t="n"/>
      <c r="AS6" s="247">
        <f>IFERROR(IF(SUMIFS(_REF_Model_Content!$J$1:$J$157,_REF_Model_Content!$A$1:$A$157,'Company Profile'!$B$9,_REF_Model_Content!$B$1:$B$157,$B6)=0,1,SUMIFS(_REF_Model_Content!$J$1:$J$157,_REF_Model_Content!$A$1:$A$157,'Company Profile'!$B$9,_REF_Model_Content!$B$1:$B$157,$B6)),1)</f>
        <v/>
      </c>
      <c r="AT6" s="247">
        <f>IF(OR($AY6="Done",$AY6="Not applicable"),"",IF($AC6="","",ROUND(N($AC6)*N($AS6),2)))</f>
        <v/>
      </c>
      <c r="AU6" s="247">
        <f>IF($AT6="","",_xlfn.RANK.EQ($AT6,$AT$5:$AT$76,0)+COUNTIF($AT$5:AT6,$AT6)-1)</f>
        <v/>
      </c>
      <c r="AV6" s="247">
        <f>IFERROR(INDEX('_DATA_Dashboard_Facts'!$G$300:$G$316,MATCH($B6,'_DATA_Dashboard_Facts'!$A$300:$A$316,0)),"")</f>
        <v/>
      </c>
      <c r="AW6" s="247">
        <f>IF($AS6&gt;cfg_IndPriorityHigh,"Industry template increases priority",IF($AS6&lt;cfg_IndPriorityLow,"Industry template lowers priority","Industry-neutral priority"))</f>
        <v/>
      </c>
      <c r="AX6">
        <f>IFERROR(INDEX('Action Plan &amp; Roadmap'!$D$59:$D$130,MATCH($A6,'Action Plan &amp; Roadmap'!$A$59:$A$130,0)),"")</f>
      </c>
      <c r="AY6">
        <f>IF($AX6&lt;&gt;"",$AX6,IF($AO6="","Not started",$AO6))</f>
        <v/>
      </c>
      <c r="AZ6" t="inlineStr">
        <is>
          <t>Actual Open-to-buy retail inventory as a percentage of planned retail inventory</t>
        </is>
      </c>
      <c r="BA6">
        <f>IF($A6="","",COUNTIF('_DATA_Mappings'!$A:$A,$A6))</f>
        <v/>
      </c>
      <c r="BB6">
        <f>IF($A6="","",IFERROR(AVERAGEIF('_DATA_Mappings'!$A:$A,$A6,'_DATA_Mappings'!$G:$G),0))</f>
        <v/>
      </c>
      <c r="BC6">
        <f>IF($A6="","",MAX(0,MIN(5,(N($O6)*0.50)+(N($V6)*0.30)+(N($W6)*0.20))))</f>
        <v/>
      </c>
      <c r="BD6">
        <f>IF($A6="","",MAX(1,MIN(5,($Z6*0.45)+(MIN(5,$BB6/5)*0.35)+($BC6*0.20))))</f>
        <v/>
      </c>
      <c r="BE6">
        <f>IF($AB6=0,"",ROUND((N($X6)+N($Y6)+N($BD6)+N($AA6))/$AB6,2))</f>
        <v/>
      </c>
      <c r="BF6">
        <f>IF(OR($BE6="",$AY6="Done",$AY6="Not applicable"),"",ROUND($BE6*N($AS6),2))</f>
        <v/>
      </c>
      <c r="BG6">
        <f>IF($BF6="","",_xlfn.RANK.EQ($BF6,$BF$5:$BF$76,0)+COUNTIF($BF$5:$BF6,$BF6)-1)</f>
        <v/>
      </c>
      <c r="BH6">
        <f>IF($A6="","",IF($BB6&gt;20,"High P1 risk pressure",IF($BB6&gt;12,"Moderate P1 risk pressure","Lower P1 risk pressure")))</f>
        <v/>
      </c>
      <c r="BI6" s="25">
        <f>'_CONFIG_Model_Settings'!$B$103</f>
        <v/>
      </c>
      <c r="BJ6" s="25">
        <f>IFERROR(INDEX('_CONFIG_Model_Settings'!$B$109:$B$113,MATCH($BI6,'_CONFIG_Model_Settings'!$A$109:$A$113,0)),0.30)</f>
        <v/>
      </c>
      <c r="BK6" s="25">
        <f>IFERROR(INDEX('_CONFIG_Model_Settings'!$C$109:$C$113,MATCH($BI6,'_CONFIG_Model_Settings'!$A$109:$A$113,0)),0.20)</f>
        <v/>
      </c>
      <c r="BL6" s="25">
        <f>IFERROR(INDEX('_CONFIG_Model_Settings'!$D$109:$D$113,MATCH($BI6,'_CONFIG_Model_Settings'!$A$109:$A$113,0)),0.25)</f>
        <v/>
      </c>
      <c r="BM6" s="25">
        <f>IFERROR(INDEX('_CONFIG_Model_Settings'!$E$109:$E$113,MATCH($BI6,'_CONFIG_Model_Settings'!$A$109:$A$113,0)),0.25)</f>
        <v/>
      </c>
      <c r="BN6" s="25">
        <f>IFERROR(INDEX('_CONFIG_Model_Settings'!$B$117:$B$123,MATCH('_CONFIG_Model_Settings'!$B$104,'_CONFIG_Model_Settings'!$A$117:$A$123,0)),1)</f>
        <v/>
      </c>
      <c r="BO6" s="25">
        <f>IFERROR(INDEX('_CONFIG_Model_Settings'!$C$117:$C$123,MATCH('_CONFIG_Model_Settings'!$B$104,'_CONFIG_Model_Settings'!$A$117:$A$123,0)),1)</f>
        <v/>
      </c>
      <c r="BP6" s="25">
        <f>IFERROR(INDEX('_CONFIG_Model_Settings'!$D$117:$D$123,MATCH('_CONFIG_Model_Settings'!$B$104,'_CONFIG_Model_Settings'!$A$117:$A$123,0)),1)</f>
        <v/>
      </c>
      <c r="BQ6" s="25">
        <f>IFERROR(INDEX('_CONFIG_Model_Settings'!$E$117:$E$123,MATCH('_CONFIG_Model_Settings'!$B$104,'_CONFIG_Model_Settings'!$A$117:$A$123,0)),1)</f>
        <v/>
      </c>
      <c r="BR6" s="25">
        <f>IF($A6="","",MIN(5,IFERROR(SUMIF('_DATA_Mappings'!$A:$A,$A6,'_DATA_Mappings'!$K:$K)/MAX(1,'_CONFIG_Model_Settings'!$B$105),0)))</f>
        <v/>
      </c>
      <c r="BS6" s="25">
        <f>IF($A6="","",ROUND((N($X6)*N($BJ6)*N($BN6)+N($Y6)*N($BK6)*N($BO6)+N($BD6)*N($BL6)*N($BP6)+N($AA6)*N($BM6)*N($BQ6)+N($BR6)*N('_CONFIG_Model_Settings'!$B$106))/(N($BJ6)*N($BN6)+N($BK6)*N($BO6)+N($BL6)*N($BP6)+N($BM6)*N($BQ6)+N('_CONFIG_Model_Settings'!$B$106)),2))</f>
        <v/>
      </c>
      <c r="BT6" s="25">
        <f>IF($A6="","",MAX(1,N($AB6)))</f>
        <v/>
      </c>
      <c r="BU6" s="25">
        <f>IF(OR($BS6="",$BT6=0),"",ROUND($BS6/$BT6,2))</f>
        <v/>
      </c>
      <c r="BV6" s="25">
        <f>IF(OR($BU6="",$AY6="Done",$AY6="Not applicable"),"",ROUND($BU6*N($AS6),2))</f>
        <v/>
      </c>
      <c r="BW6" s="25">
        <f>IF($BV6="","",_xlfn.RANK.EQ($BV6,$BV$5:$BV$76,0)+COUNTIF($BV$5:$BV6,$BV6)-1)</f>
        <v/>
      </c>
      <c r="BX6" s="25">
        <f>IF($BW6="","",IF($BW6&lt;=cfg_TimelineBucket1,"0-90 days",IF($BW6&lt;=cfg_TimelineBucket2,"3-6 months",IF($BW6&lt;=cfg_TimelineBucket3,"6-12 months","12+ months"))))</f>
        <v/>
      </c>
      <c r="BY6" s="25">
        <f>IF($A6="","","P2: "&amp;$BI6&amp;" posture; objective="&amp;'_CONFIG_Model_Settings'!$B$104&amp;"; financial score="&amp;ROUND(N($BR6),1)&amp;"; CoD="&amp;$BS6)</f>
        <v/>
      </c>
    </row>
    <row r="7" ht="42" customHeight="1" s="209">
      <c r="A7" s="25" t="inlineStr">
        <is>
          <t>INI-003</t>
        </is>
      </c>
      <c r="B7" s="25" t="inlineStr">
        <is>
          <t>Company Geography</t>
        </is>
      </c>
      <c r="C7" s="25" t="inlineStr">
        <is>
          <t>Context and dependencies</t>
        </is>
      </c>
      <c r="D7" s="25" t="inlineStr">
        <is>
          <t>Business Continuity and Resilience Strategy</t>
        </is>
      </c>
      <c r="E7" s="25" t="inlineStr">
        <is>
          <t>STR-02</t>
        </is>
      </c>
      <c r="F7" s="25" t="inlineStr">
        <is>
          <t>Map critical business dependencies and external exposures</t>
        </is>
      </c>
      <c r="G7" s="25" t="inlineStr">
        <is>
          <t>Close maturity gaps in context and dependencies by assigning ownership, documenting the process, connecting it to evidence and systems, testing it against crisis scenarios and measuring improvement.</t>
        </is>
      </c>
      <c r="H7" s="25" t="inlineStr">
        <is>
          <t>Geographic, entity and market exposure</t>
        </is>
      </c>
      <c r="I7" s="25" t="inlineStr">
        <is>
          <t>War / security crisis; Physical site loss; Regulatory / legal shock</t>
        </is>
      </c>
      <c r="J7" s="25" t="inlineStr">
        <is>
          <t>COMP-015; COMP-016; COMP-017; COMP-018; COMP-019; COMP-020</t>
        </is>
      </c>
      <c r="K7" s="25" t="n">
        <v>6</v>
      </c>
      <c r="L7" s="25">
        <f>COUNTIFS('_ENGINE_Risk'!$C$500:$C$923,$B7,'_ENGINE_Risk'!$D$500:$D$923,$C7,'_ENGINE_Risk'!$B$500:$B$923,"Yes")</f>
        <v/>
      </c>
      <c r="M7" s="25">
        <f>COUNTIFS('_ENGINE_Risk'!$C$500:$C$923,$B7,'_ENGINE_Risk'!$D$500:$D$923,$C7,'_ENGINE_Risk'!$B$500:$B$923,"Yes")</f>
        <v/>
      </c>
      <c r="N7" s="25">
        <f>IFERROR(AVERAGEIFS(_DATA_Assessment_Model!$H$5:$H$428,_DATA_Assessment_Model!$AW$5:$AW$428,$B7,_DATA_Assessment_Model!$B$5:$B$428,$C7),"")</f>
        <v/>
      </c>
      <c r="O7" s="25">
        <f>IF($N7="","",MAX(0,5-$N7))</f>
        <v/>
      </c>
      <c r="P7" s="25">
        <f>IFERROR(INDEX(_DATA_Dashboard_Facts!$H$5:$H$21,MATCH($B7,_DATA_Dashboard_Facts!$A$5:$A$21,0)),"")</f>
        <v/>
      </c>
      <c r="Q7" s="25">
        <f>IF($P7="","",MAX(0,5-$P7))</f>
        <v/>
      </c>
      <c r="R7" s="25">
        <f>IFERROR(SUMIFS(_ENGINE_Crisis!$D$5:$D$208,_ENGINE_Crisis!$A$5:$A$208,'Resilience &amp; Risk Scenario'!$B$6,_ENGINE_Crisis!$B$5:$B$208,$B7),1)</f>
        <v/>
      </c>
      <c r="S7" s="25">
        <f>IFERROR(INDEX('_ENGINE_Strategy'!$A$100:$A$113,MATCH($D7,'_ENGINE_Strategy'!$B$100:$B$113,0)),99)</f>
        <v/>
      </c>
      <c r="T7" s="25">
        <f>IFERROR(INDEX('_ENGINE_Strategy'!$J$100:$J$113,MATCH($D7,'_ENGINE_Strategy'!$B$100:$B$113,0)),0)</f>
        <v/>
      </c>
      <c r="U7" s="25" t="n">
        <v>2</v>
      </c>
      <c r="V7" s="25" t="n">
        <v>5</v>
      </c>
      <c r="W7" s="25" t="n">
        <v>4</v>
      </c>
      <c r="X7" s="25">
        <f>MAX(1,MIN(5,(N($O7)*0.50)+(N($Q7)*0.25)+((N($T7)/20)*0.25)))</f>
        <v/>
      </c>
      <c r="Y7" s="25">
        <f>MAX(1,MIN(5,(($R7-1)*1.6)+('Resilience &amp; Risk Scenario'!$B$7*0.45)+IF($S7&lt;=3,0.8,0)))</f>
        <v/>
      </c>
      <c r="Z7" s="25">
        <f>MAX(1,MIN(5,(N($O7)*0.45)+(MIN(5,5*N($M7)/MAX(1,N($K7)))*0.35)+(N($V7)*0.20)))</f>
        <v/>
      </c>
      <c r="AA7" s="25">
        <f>MAX(1,MIN(5,($U7*0.40)+($W7*0.30)+(($T7/20)*0.30)))</f>
        <v/>
      </c>
      <c r="AB7" s="25" t="n">
        <v>2</v>
      </c>
      <c r="AC7" s="25">
        <f>IF($AB7=0,"",ROUND((N($X7)+N($Y7)+N($Z7)+N($AA7))/$AB7,2))</f>
        <v/>
      </c>
      <c r="AD7" s="25">
        <f>IF($AC7="","",_xlfn.RANK.EQ($AC7,$AC$5:$AC$76,0)+COUNTIF($AC$5:$AC7,$AC7)-1)</f>
        <v/>
      </c>
      <c r="AE7" s="25">
        <f>IF($AD7="","",IF($AD7&lt;=cfg_TimelineBucket1,"0-90 days",IF($AD7&lt;=cfg_TimelineBucket2,"3-6 months",IF($AD7&lt;=cfg_TimelineBucket3,"6-12 months","12+ months"))))</f>
        <v/>
      </c>
      <c r="AF7" s="25" t="inlineStr">
        <is>
          <t>CEO / COO / Risk Lead</t>
        </is>
      </c>
      <c r="AG7" s="25" t="inlineStr">
        <is>
          <t>4-8 weeks</t>
        </is>
      </c>
      <c r="AH7" s="25" t="inlineStr">
        <is>
          <t>Executive sponsor; accountable process owner; baseline evidence; risk acceptance threshold</t>
        </is>
      </c>
      <c r="AI7" s="25" t="inlineStr">
        <is>
          <t>maturity score improvement; open risk reduction; evidence completeness; control test pass rate</t>
        </is>
      </c>
      <c r="AJ7" s="25" t="inlineStr">
        <is>
          <t>Documented context and dependencies operating model, owner/RACI, KPI set, evidence pack, tested crisis playbook and improvement backlog.</t>
        </is>
      </c>
      <c r="AK7" s="25" t="inlineStr">
        <is>
          <t>Counts active next-level recommendations for Company Geography / Context and dependencies.</t>
        </is>
      </c>
      <c r="AL7" s="25" t="inlineStr">
        <is>
          <t>Counts active risks and risk scores for Company Geography / Context and dependencies.</t>
        </is>
      </c>
      <c r="AM7" s="25" t="inlineStr">
        <is>
          <t>Uses the current rank and total score of Business Continuity and Resilience Strategy.</t>
        </is>
      </c>
      <c r="AN7" s="25" t="inlineStr">
        <is>
          <t>Trigger when avg score &lt; 4, active risk exists, active recommendation exists or strategy rank &lt;= 3.</t>
        </is>
      </c>
      <c r="AO7" s="25" t="inlineStr">
        <is>
          <t>Not started</t>
        </is>
      </c>
      <c r="AP7" s="25" t="inlineStr">
        <is>
          <t>Low-Medium</t>
        </is>
      </c>
      <c r="AQ7" s="25" t="n"/>
      <c r="AR7" s="25" t="n"/>
      <c r="AS7" s="247">
        <f>IFERROR(IF(SUMIFS(_REF_Model_Content!$J$1:$J$157,_REF_Model_Content!$A$1:$A$157,'Company Profile'!$B$9,_REF_Model_Content!$B$1:$B$157,$B7)=0,1,SUMIFS(_REF_Model_Content!$J$1:$J$157,_REF_Model_Content!$A$1:$A$157,'Company Profile'!$B$9,_REF_Model_Content!$B$1:$B$157,$B7)),1)</f>
        <v/>
      </c>
      <c r="AT7" s="247">
        <f>IF(OR($AY7="Done",$AY7="Not applicable"),"",IF($AC7="","",ROUND(N($AC7)*N($AS7),2)))</f>
        <v/>
      </c>
      <c r="AU7" s="247">
        <f>IF($AT7="","",_xlfn.RANK.EQ($AT7,$AT$5:$AT$76,0)+COUNTIF($AT$5:AT7,$AT7)-1)</f>
        <v/>
      </c>
      <c r="AV7" s="247">
        <f>IFERROR(INDEX('_DATA_Dashboard_Facts'!$G$300:$G$316,MATCH($B7,'_DATA_Dashboard_Facts'!$A$300:$A$316,0)),"")</f>
        <v/>
      </c>
      <c r="AW7" s="247">
        <f>IF($AS7&gt;cfg_IndPriorityHigh,"Industry template increases priority",IF($AS7&lt;cfg_IndPriorityLow,"Industry template lowers priority","Industry-neutral priority"))</f>
        <v/>
      </c>
      <c r="AX7">
        <f>IFERROR(INDEX('Action Plan &amp; Roadmap'!$D$59:$D$130,MATCH($A7,'Action Plan &amp; Roadmap'!$A$59:$A$130,0)),"")</f>
      </c>
      <c r="AY7">
        <f>IF($AX7&lt;&gt;"",$AX7,IF($AO7="","Not started",$AO7))</f>
        <v/>
      </c>
      <c r="AZ7" t="inlineStr">
        <is>
          <t>Actual Open-to-buy retail inventory as a percentage of planned retail inventory</t>
        </is>
      </c>
      <c r="BA7">
        <f>IF($A7="","",COUNTIF('_DATA_Mappings'!$A:$A,$A7))</f>
        <v/>
      </c>
      <c r="BB7">
        <f>IF($A7="","",IFERROR(AVERAGEIF('_DATA_Mappings'!$A:$A,$A7,'_DATA_Mappings'!$G:$G),0))</f>
        <v/>
      </c>
      <c r="BC7">
        <f>IF($A7="","",MAX(0,MIN(5,(N($O7)*0.50)+(N($V7)*0.30)+(N($W7)*0.20))))</f>
        <v/>
      </c>
      <c r="BD7">
        <f>IF($A7="","",MAX(1,MIN(5,($Z7*0.45)+(MIN(5,$BB7/5)*0.35)+($BC7*0.20))))</f>
        <v/>
      </c>
      <c r="BE7">
        <f>IF($AB7=0,"",ROUND((N($X7)+N($Y7)+N($BD7)+N($AA7))/$AB7,2))</f>
        <v/>
      </c>
      <c r="BF7">
        <f>IF(OR($BE7="",$AY7="Done",$AY7="Not applicable"),"",ROUND($BE7*N($AS7),2))</f>
        <v/>
      </c>
      <c r="BG7">
        <f>IF($BF7="","",_xlfn.RANK.EQ($BF7,$BF$5:$BF$76,0)+COUNTIF($BF$5:$BF7,$BF7)-1)</f>
        <v/>
      </c>
      <c r="BH7">
        <f>IF($A7="","",IF($BB7&gt;20,"High P1 risk pressure",IF($BB7&gt;12,"Moderate P1 risk pressure","Lower P1 risk pressure")))</f>
        <v/>
      </c>
      <c r="BI7" s="25">
        <f>'_CONFIG_Model_Settings'!$B$103</f>
        <v/>
      </c>
      <c r="BJ7" s="25">
        <f>IFERROR(INDEX('_CONFIG_Model_Settings'!$B$109:$B$113,MATCH($BI7,'_CONFIG_Model_Settings'!$A$109:$A$113,0)),0.30)</f>
        <v/>
      </c>
      <c r="BK7" s="25">
        <f>IFERROR(INDEX('_CONFIG_Model_Settings'!$C$109:$C$113,MATCH($BI7,'_CONFIG_Model_Settings'!$A$109:$A$113,0)),0.20)</f>
        <v/>
      </c>
      <c r="BL7" s="25">
        <f>IFERROR(INDEX('_CONFIG_Model_Settings'!$D$109:$D$113,MATCH($BI7,'_CONFIG_Model_Settings'!$A$109:$A$113,0)),0.25)</f>
        <v/>
      </c>
      <c r="BM7" s="25">
        <f>IFERROR(INDEX('_CONFIG_Model_Settings'!$E$109:$E$113,MATCH($BI7,'_CONFIG_Model_Settings'!$A$109:$A$113,0)),0.25)</f>
        <v/>
      </c>
      <c r="BN7" s="25">
        <f>IFERROR(INDEX('_CONFIG_Model_Settings'!$B$117:$B$123,MATCH('_CONFIG_Model_Settings'!$B$104,'_CONFIG_Model_Settings'!$A$117:$A$123,0)),1)</f>
        <v/>
      </c>
      <c r="BO7" s="25">
        <f>IFERROR(INDEX('_CONFIG_Model_Settings'!$C$117:$C$123,MATCH('_CONFIG_Model_Settings'!$B$104,'_CONFIG_Model_Settings'!$A$117:$A$123,0)),1)</f>
        <v/>
      </c>
      <c r="BP7" s="25">
        <f>IFERROR(INDEX('_CONFIG_Model_Settings'!$D$117:$D$123,MATCH('_CONFIG_Model_Settings'!$B$104,'_CONFIG_Model_Settings'!$A$117:$A$123,0)),1)</f>
        <v/>
      </c>
      <c r="BQ7" s="25">
        <f>IFERROR(INDEX('_CONFIG_Model_Settings'!$E$117:$E$123,MATCH('_CONFIG_Model_Settings'!$B$104,'_CONFIG_Model_Settings'!$A$117:$A$123,0)),1)</f>
        <v/>
      </c>
      <c r="BR7" s="25">
        <f>IF($A7="","",MIN(5,IFERROR(SUMIF('_DATA_Mappings'!$A:$A,$A7,'_DATA_Mappings'!$K:$K)/MAX(1,'_CONFIG_Model_Settings'!$B$105),0)))</f>
        <v/>
      </c>
      <c r="BS7" s="25">
        <f>IF($A7="","",ROUND((N($X7)*N($BJ7)*N($BN7)+N($Y7)*N($BK7)*N($BO7)+N($BD7)*N($BL7)*N($BP7)+N($AA7)*N($BM7)*N($BQ7)+N($BR7)*N('_CONFIG_Model_Settings'!$B$106))/(N($BJ7)*N($BN7)+N($BK7)*N($BO7)+N($BL7)*N($BP7)+N($BM7)*N($BQ7)+N('_CONFIG_Model_Settings'!$B$106)),2))</f>
        <v/>
      </c>
      <c r="BT7" s="25">
        <f>IF($A7="","",MAX(1,N($AB7)))</f>
        <v/>
      </c>
      <c r="BU7" s="25">
        <f>IF(OR($BS7="",$BT7=0),"",ROUND($BS7/$BT7,2))</f>
        <v/>
      </c>
      <c r="BV7" s="25">
        <f>IF(OR($BU7="",$AY7="Done",$AY7="Not applicable"),"",ROUND($BU7*N($AS7),2))</f>
        <v/>
      </c>
      <c r="BW7" s="25">
        <f>IF($BV7="","",_xlfn.RANK.EQ($BV7,$BV$5:$BV$76,0)+COUNTIF($BV$5:$BV7,$BV7)-1)</f>
        <v/>
      </c>
      <c r="BX7" s="25">
        <f>IF($BW7="","",IF($BW7&lt;=cfg_TimelineBucket1,"0-90 days",IF($BW7&lt;=cfg_TimelineBucket2,"3-6 months",IF($BW7&lt;=cfg_TimelineBucket3,"6-12 months","12+ months"))))</f>
        <v/>
      </c>
      <c r="BY7" s="25">
        <f>IF($A7="","","P2: "&amp;$BI7&amp;" posture; objective="&amp;'_CONFIG_Model_Settings'!$B$104&amp;"; financial score="&amp;ROUND(N($BR7),1)&amp;"; CoD="&amp;$BS7)</f>
        <v/>
      </c>
    </row>
    <row r="8" ht="42" customHeight="1" s="209">
      <c r="A8" s="25" t="inlineStr">
        <is>
          <t>INI-004</t>
        </is>
      </c>
      <c r="B8" s="25" t="inlineStr">
        <is>
          <t>Strategy GTM</t>
        </is>
      </c>
      <c r="C8" s="25" t="inlineStr">
        <is>
          <t>Corporate strategy</t>
        </is>
      </c>
      <c r="D8" s="25" t="inlineStr">
        <is>
          <t>Governance and Decision-Speed Strategy</t>
        </is>
      </c>
      <c r="E8" s="25" t="inlineStr">
        <is>
          <t>STR-14</t>
        </is>
      </c>
      <c r="F8" s="25" t="inlineStr">
        <is>
          <t>Stress-test corporate strategy and decision assumptions</t>
        </is>
      </c>
      <c r="G8" s="25" t="inlineStr">
        <is>
          <t>Close maturity gaps in corporate strategy by assigning ownership, documenting the process, connecting it to evidence and systems, testing it against crisis scenarios and measuring improvement.</t>
        </is>
      </c>
      <c r="H8" s="25" t="inlineStr">
        <is>
          <t>Strategic and go-to-market resilience</t>
        </is>
      </c>
      <c r="I8" s="25" t="inlineStr">
        <is>
          <t>Demand shock; Reputation crisis; Financial liquidity crisis</t>
        </is>
      </c>
      <c r="J8" s="25" t="inlineStr">
        <is>
          <t>STRA-001; STRA-002; STRA-003; STRA-004; STRA-005; STRA-006</t>
        </is>
      </c>
      <c r="K8" s="25" t="n">
        <v>6</v>
      </c>
      <c r="L8" s="25">
        <f>COUNTIFS('_ENGINE_Risk'!$C$500:$C$923,$B8,'_ENGINE_Risk'!$D$500:$D$923,$C8,'_ENGINE_Risk'!$B$500:$B$923,"Yes")</f>
        <v/>
      </c>
      <c r="M8" s="25">
        <f>COUNTIFS('_ENGINE_Risk'!$C$500:$C$923,$B8,'_ENGINE_Risk'!$D$500:$D$923,$C8,'_ENGINE_Risk'!$B$500:$B$923,"Yes")</f>
        <v/>
      </c>
      <c r="N8" s="25">
        <f>IFERROR(AVERAGEIFS(_DATA_Assessment_Model!$H$5:$H$428,_DATA_Assessment_Model!$AW$5:$AW$428,$B8,_DATA_Assessment_Model!$B$5:$B$428,$C8),"")</f>
        <v/>
      </c>
      <c r="O8" s="25">
        <f>IF($N8="","",MAX(0,5-$N8))</f>
        <v/>
      </c>
      <c r="P8" s="25">
        <f>IFERROR(INDEX(_DATA_Dashboard_Facts!$H$5:$H$21,MATCH($B8,_DATA_Dashboard_Facts!$A$5:$A$21,0)),"")</f>
        <v/>
      </c>
      <c r="Q8" s="25">
        <f>IF($P8="","",MAX(0,5-$P8))</f>
        <v/>
      </c>
      <c r="R8" s="25">
        <f>IFERROR(SUMIFS(_ENGINE_Crisis!$D$5:$D$208,_ENGINE_Crisis!$A$5:$A$208,'Resilience &amp; Risk Scenario'!$B$6,_ENGINE_Crisis!$B$5:$B$208,$B8),1)</f>
        <v/>
      </c>
      <c r="S8" s="25">
        <f>IFERROR(INDEX('_ENGINE_Strategy'!$A$100:$A$113,MATCH($D8,'_ENGINE_Strategy'!$B$100:$B$113,0)),99)</f>
        <v/>
      </c>
      <c r="T8" s="25">
        <f>IFERROR(INDEX('_ENGINE_Strategy'!$J$100:$J$113,MATCH($D8,'_ENGINE_Strategy'!$B$100:$B$113,0)),0)</f>
        <v/>
      </c>
      <c r="U8" s="25" t="n">
        <v>2</v>
      </c>
      <c r="V8" s="25" t="n">
        <v>4</v>
      </c>
      <c r="W8" s="25" t="n">
        <v>5</v>
      </c>
      <c r="X8" s="25">
        <f>MAX(1,MIN(5,(N($O8)*0.50)+(N($Q8)*0.25)+((N($T8)/20)*0.25)))</f>
        <v/>
      </c>
      <c r="Y8" s="25">
        <f>MAX(1,MIN(5,(($R8-1)*1.6)+('Resilience &amp; Risk Scenario'!$B$7*0.45)+IF($S8&lt;=3,0.8,0)))</f>
        <v/>
      </c>
      <c r="Z8" s="25">
        <f>MAX(1,MIN(5,(N($O8)*0.45)+(MIN(5,5*N($M8)/MAX(1,N($K8)))*0.35)+(N($V8)*0.20)))</f>
        <v/>
      </c>
      <c r="AA8" s="25">
        <f>MAX(1,MIN(5,($U8*0.40)+($W8*0.30)+(($T8/20)*0.30)))</f>
        <v/>
      </c>
      <c r="AB8" s="25" t="n">
        <v>3</v>
      </c>
      <c r="AC8" s="25">
        <f>IF($AB8=0,"",ROUND((N($X8)+N($Y8)+N($Z8)+N($AA8))/$AB8,2))</f>
        <v/>
      </c>
      <c r="AD8" s="25">
        <f>IF($AC8="","",_xlfn.RANK.EQ($AC8,$AC$5:$AC$76,0)+COUNTIF($AC$5:$AC8,$AC8)-1)</f>
        <v/>
      </c>
      <c r="AE8" s="25">
        <f>IF($AD8="","",IF($AD8&lt;=cfg_TimelineBucket1,"0-90 days",IF($AD8&lt;=cfg_TimelineBucket2,"3-6 months",IF($AD8&lt;=cfg_TimelineBucket3,"6-12 months","12+ months"))))</f>
        <v/>
      </c>
      <c r="AF8" s="25" t="inlineStr">
        <is>
          <t>CEO / CRO / Head of Strategy</t>
        </is>
      </c>
      <c r="AG8" s="25" t="inlineStr">
        <is>
          <t>2-3 months</t>
        </is>
      </c>
      <c r="AH8" s="25" t="inlineStr">
        <is>
          <t>Executive sponsor; accountable process owner; baseline evidence; risk acceptance threshold; customer and pipeline data; market assumptions</t>
        </is>
      </c>
      <c r="AI8" s="25" t="inlineStr">
        <is>
          <t>maturity score improvement; open risk reduction; evidence completeness; control test pass rate; forecast accuracy; customer concentration reduction</t>
        </is>
      </c>
      <c r="AJ8" s="25" t="inlineStr">
        <is>
          <t>Documented corporate strategy operating model, owner/RACI, KPI set, evidence pack, tested crisis playbook and improvement backlog.</t>
        </is>
      </c>
      <c r="AK8" s="25" t="inlineStr">
        <is>
          <t>Counts active next-level recommendations for Strategy GTM / Corporate strategy.</t>
        </is>
      </c>
      <c r="AL8" s="25" t="inlineStr">
        <is>
          <t>Counts active risks and risk scores for Strategy GTM / Corporate strategy.</t>
        </is>
      </c>
      <c r="AM8" s="25" t="inlineStr">
        <is>
          <t>Uses the current rank and total score of Governance and Decision-Speed Strategy.</t>
        </is>
      </c>
      <c r="AN8" s="25" t="inlineStr">
        <is>
          <t>Trigger when avg score &lt; 4, active risk exists, active recommendation exists or strategy rank &lt;= 3.</t>
        </is>
      </c>
      <c r="AO8" s="25" t="inlineStr">
        <is>
          <t>Not started</t>
        </is>
      </c>
      <c r="AP8" s="25" t="inlineStr">
        <is>
          <t>Medium</t>
        </is>
      </c>
      <c r="AQ8" s="25" t="n"/>
      <c r="AR8" s="25" t="n"/>
      <c r="AS8" s="247">
        <f>IFERROR(IF(SUMIFS(_REF_Model_Content!$J$1:$J$157,_REF_Model_Content!$A$1:$A$157,'Company Profile'!$B$9,_REF_Model_Content!$B$1:$B$157,$B8)=0,1,SUMIFS(_REF_Model_Content!$J$1:$J$157,_REF_Model_Content!$A$1:$A$157,'Company Profile'!$B$9,_REF_Model_Content!$B$1:$B$157,$B8)),1)</f>
        <v/>
      </c>
      <c r="AT8" s="247">
        <f>IF(OR($AY8="Done",$AY8="Not applicable"),"",IF($AC8="","",ROUND(N($AC8)*N($AS8),2)))</f>
        <v/>
      </c>
      <c r="AU8" s="247">
        <f>IF($AT8="","",_xlfn.RANK.EQ($AT8,$AT$5:$AT$76,0)+COUNTIF($AT$5:AT8,$AT8)-1)</f>
        <v/>
      </c>
      <c r="AV8" s="247">
        <f>IFERROR(INDEX('_DATA_Dashboard_Facts'!$G$300:$G$316,MATCH($B8,'_DATA_Dashboard_Facts'!$A$300:$A$316,0)),"")</f>
        <v/>
      </c>
      <c r="AW8" s="247">
        <f>IF($AS8&gt;cfg_IndPriorityHigh,"Industry template increases priority",IF($AS8&lt;cfg_IndPriorityLow,"Industry template lowers priority","Industry-neutral priority"))</f>
        <v/>
      </c>
      <c r="AX8">
        <f>IFERROR(INDEX('Action Plan &amp; Roadmap'!$D$59:$D$130,MATCH($A8,'Action Plan &amp; Roadmap'!$A$59:$A$130,0)),"")</f>
      </c>
      <c r="AY8">
        <f>IF($AX8&lt;&gt;"",$AX8,IF($AO8="","Not started",$AO8))</f>
        <v/>
      </c>
      <c r="AZ8" t="inlineStr">
        <is>
          <t>Actual Open-to-buy retail inventory as a percentage of planned retail inventory</t>
        </is>
      </c>
      <c r="BA8">
        <f>IF($A8="","",COUNTIF('_DATA_Mappings'!$A:$A,$A8))</f>
        <v/>
      </c>
      <c r="BB8">
        <f>IF($A8="","",IFERROR(AVERAGEIF('_DATA_Mappings'!$A:$A,$A8,'_DATA_Mappings'!$G:$G),0))</f>
        <v/>
      </c>
      <c r="BC8">
        <f>IF($A8="","",MAX(0,MIN(5,(N($O8)*0.50)+(N($V8)*0.30)+(N($W8)*0.20))))</f>
        <v/>
      </c>
      <c r="BD8">
        <f>IF($A8="","",MAX(1,MIN(5,($Z8*0.45)+(MIN(5,$BB8/5)*0.35)+($BC8*0.20))))</f>
        <v/>
      </c>
      <c r="BE8">
        <f>IF($AB8=0,"",ROUND((N($X8)+N($Y8)+N($BD8)+N($AA8))/$AB8,2))</f>
        <v/>
      </c>
      <c r="BF8">
        <f>IF(OR($BE8="",$AY8="Done",$AY8="Not applicable"),"",ROUND($BE8*N($AS8),2))</f>
        <v/>
      </c>
      <c r="BG8">
        <f>IF($BF8="","",_xlfn.RANK.EQ($BF8,$BF$5:$BF$76,0)+COUNTIF($BF$5:$BF8,$BF8)-1)</f>
        <v/>
      </c>
      <c r="BH8">
        <f>IF($A8="","",IF($BB8&gt;20,"High P1 risk pressure",IF($BB8&gt;12,"Moderate P1 risk pressure","Lower P1 risk pressure")))</f>
        <v/>
      </c>
      <c r="BI8" s="25">
        <f>'_CONFIG_Model_Settings'!$B$103</f>
        <v/>
      </c>
      <c r="BJ8" s="25">
        <f>IFERROR(INDEX('_CONFIG_Model_Settings'!$B$109:$B$113,MATCH($BI8,'_CONFIG_Model_Settings'!$A$109:$A$113,0)),0.30)</f>
        <v/>
      </c>
      <c r="BK8" s="25">
        <f>IFERROR(INDEX('_CONFIG_Model_Settings'!$C$109:$C$113,MATCH($BI8,'_CONFIG_Model_Settings'!$A$109:$A$113,0)),0.20)</f>
        <v/>
      </c>
      <c r="BL8" s="25">
        <f>IFERROR(INDEX('_CONFIG_Model_Settings'!$D$109:$D$113,MATCH($BI8,'_CONFIG_Model_Settings'!$A$109:$A$113,0)),0.25)</f>
        <v/>
      </c>
      <c r="BM8" s="25">
        <f>IFERROR(INDEX('_CONFIG_Model_Settings'!$E$109:$E$113,MATCH($BI8,'_CONFIG_Model_Settings'!$A$109:$A$113,0)),0.25)</f>
        <v/>
      </c>
      <c r="BN8" s="25">
        <f>IFERROR(INDEX('_CONFIG_Model_Settings'!$B$117:$B$123,MATCH('_CONFIG_Model_Settings'!$B$104,'_CONFIG_Model_Settings'!$A$117:$A$123,0)),1)</f>
        <v/>
      </c>
      <c r="BO8" s="25">
        <f>IFERROR(INDEX('_CONFIG_Model_Settings'!$C$117:$C$123,MATCH('_CONFIG_Model_Settings'!$B$104,'_CONFIG_Model_Settings'!$A$117:$A$123,0)),1)</f>
        <v/>
      </c>
      <c r="BP8" s="25">
        <f>IFERROR(INDEX('_CONFIG_Model_Settings'!$D$117:$D$123,MATCH('_CONFIG_Model_Settings'!$B$104,'_CONFIG_Model_Settings'!$A$117:$A$123,0)),1)</f>
        <v/>
      </c>
      <c r="BQ8" s="25">
        <f>IFERROR(INDEX('_CONFIG_Model_Settings'!$E$117:$E$123,MATCH('_CONFIG_Model_Settings'!$B$104,'_CONFIG_Model_Settings'!$A$117:$A$123,0)),1)</f>
        <v/>
      </c>
      <c r="BR8" s="25">
        <f>IF($A8="","",MIN(5,IFERROR(SUMIF('_DATA_Mappings'!$A:$A,$A8,'_DATA_Mappings'!$K:$K)/MAX(1,'_CONFIG_Model_Settings'!$B$105),0)))</f>
        <v/>
      </c>
      <c r="BS8" s="25">
        <f>IF($A8="","",ROUND((N($X8)*N($BJ8)*N($BN8)+N($Y8)*N($BK8)*N($BO8)+N($BD8)*N($BL8)*N($BP8)+N($AA8)*N($BM8)*N($BQ8)+N($BR8)*N('_CONFIG_Model_Settings'!$B$106))/(N($BJ8)*N($BN8)+N($BK8)*N($BO8)+N($BL8)*N($BP8)+N($BM8)*N($BQ8)+N('_CONFIG_Model_Settings'!$B$106)),2))</f>
        <v/>
      </c>
      <c r="BT8" s="25">
        <f>IF($A8="","",MAX(1,N($AB8)))</f>
        <v/>
      </c>
      <c r="BU8" s="25">
        <f>IF(OR($BS8="",$BT8=0),"",ROUND($BS8/$BT8,2))</f>
        <v/>
      </c>
      <c r="BV8" s="25">
        <f>IF(OR($BU8="",$AY8="Done",$AY8="Not applicable"),"",ROUND($BU8*N($AS8),2))</f>
        <v/>
      </c>
      <c r="BW8" s="25">
        <f>IF($BV8="","",_xlfn.RANK.EQ($BV8,$BV$5:$BV$76,0)+COUNTIF($BV$5:$BV8,$BV8)-1)</f>
        <v/>
      </c>
      <c r="BX8" s="25">
        <f>IF($BW8="","",IF($BW8&lt;=cfg_TimelineBucket1,"0-90 days",IF($BW8&lt;=cfg_TimelineBucket2,"3-6 months",IF($BW8&lt;=cfg_TimelineBucket3,"6-12 months","12+ months"))))</f>
        <v/>
      </c>
      <c r="BY8" s="25">
        <f>IF($A8="","","P2: "&amp;$BI8&amp;" posture; objective="&amp;'_CONFIG_Model_Settings'!$B$104&amp;"; financial score="&amp;ROUND(N($BR8),1)&amp;"; CoD="&amp;$BS8)</f>
        <v/>
      </c>
    </row>
    <row r="9" ht="42" customHeight="1" s="209">
      <c r="A9" s="25" t="inlineStr">
        <is>
          <t>INI-005</t>
        </is>
      </c>
      <c r="B9" s="25" t="inlineStr">
        <is>
          <t>Strategy GTM</t>
        </is>
      </c>
      <c r="C9" s="25" t="inlineStr">
        <is>
          <t>Market and ICP</t>
        </is>
      </c>
      <c r="D9" s="25" t="inlineStr">
        <is>
          <t>Sales Channel Diversification Strategy</t>
        </is>
      </c>
      <c r="E9" s="25" t="inlineStr">
        <is>
          <t>STR-11</t>
        </is>
      </c>
      <c r="F9" s="25" t="inlineStr">
        <is>
          <t>Define crisis-adjusted ICP, market segments and demand exposure</t>
        </is>
      </c>
      <c r="G9" s="25" t="inlineStr">
        <is>
          <t>Close maturity gaps in market and icp by assigning ownership, documenting the process, connecting it to evidence and systems, testing it against crisis scenarios and measuring improvement.</t>
        </is>
      </c>
      <c r="H9" s="25" t="inlineStr">
        <is>
          <t>Strategic and go-to-market resilience</t>
        </is>
      </c>
      <c r="I9" s="25" t="inlineStr">
        <is>
          <t>Demand shock; Reputation crisis; Financial liquidity crisis</t>
        </is>
      </c>
      <c r="J9" s="25" t="inlineStr">
        <is>
          <t>STRA-007; STRA-008; STRA-009; STRA-010; STRA-011; STRA-012</t>
        </is>
      </c>
      <c r="K9" s="25" t="n">
        <v>6</v>
      </c>
      <c r="L9" s="25">
        <f>COUNTIFS('_ENGINE_Risk'!$C$500:$C$923,$B9,'_ENGINE_Risk'!$D$500:$D$923,$C9,'_ENGINE_Risk'!$B$500:$B$923,"Yes")</f>
        <v/>
      </c>
      <c r="M9" s="25">
        <f>COUNTIFS('_ENGINE_Risk'!$C$500:$C$923,$B9,'_ENGINE_Risk'!$D$500:$D$923,$C9,'_ENGINE_Risk'!$B$500:$B$923,"Yes")</f>
        <v/>
      </c>
      <c r="N9" s="25">
        <f>IFERROR(AVERAGEIFS(_DATA_Assessment_Model!$H$5:$H$428,_DATA_Assessment_Model!$AW$5:$AW$428,$B9,_DATA_Assessment_Model!$B$5:$B$428,$C9),"")</f>
        <v/>
      </c>
      <c r="O9" s="25">
        <f>IF($N9="","",MAX(0,5-$N9))</f>
        <v/>
      </c>
      <c r="P9" s="25">
        <f>IFERROR(INDEX(_DATA_Dashboard_Facts!$H$5:$H$21,MATCH($B9,_DATA_Dashboard_Facts!$A$5:$A$21,0)),"")</f>
        <v/>
      </c>
      <c r="Q9" s="25">
        <f>IF($P9="","",MAX(0,5-$P9))</f>
        <v/>
      </c>
      <c r="R9" s="25">
        <f>IFERROR(SUMIFS(_ENGINE_Crisis!$D$5:$D$208,_ENGINE_Crisis!$A$5:$A$208,'Resilience &amp; Risk Scenario'!$B$6,_ENGINE_Crisis!$B$5:$B$208,$B9),1)</f>
        <v/>
      </c>
      <c r="S9" s="25">
        <f>IFERROR(INDEX('_ENGINE_Strategy'!$A$100:$A$113,MATCH($D9,'_ENGINE_Strategy'!$B$100:$B$113,0)),99)</f>
        <v/>
      </c>
      <c r="T9" s="25">
        <f>IFERROR(INDEX('_ENGINE_Strategy'!$J$100:$J$113,MATCH($D9,'_ENGINE_Strategy'!$B$100:$B$113,0)),0)</f>
        <v/>
      </c>
      <c r="U9" s="25" t="n">
        <v>4</v>
      </c>
      <c r="V9" s="25" t="n">
        <v>4</v>
      </c>
      <c r="W9" s="25" t="n">
        <v>3</v>
      </c>
      <c r="X9" s="25">
        <f>MAX(1,MIN(5,(N($O9)*0.50)+(N($Q9)*0.25)+((N($T9)/20)*0.25)))</f>
        <v/>
      </c>
      <c r="Y9" s="25">
        <f>MAX(1,MIN(5,(($R9-1)*1.6)+('Resilience &amp; Risk Scenario'!$B$7*0.45)+IF($S9&lt;=3,0.8,0)))</f>
        <v/>
      </c>
      <c r="Z9" s="25">
        <f>MAX(1,MIN(5,(N($O9)*0.45)+(MIN(5,5*N($M9)/MAX(1,N($K9)))*0.35)+(N($V9)*0.20)))</f>
        <v/>
      </c>
      <c r="AA9" s="25">
        <f>MAX(1,MIN(5,($U9*0.40)+($W9*0.30)+(($T9/20)*0.30)))</f>
        <v/>
      </c>
      <c r="AB9" s="25" t="n">
        <v>3</v>
      </c>
      <c r="AC9" s="25">
        <f>IF($AB9=0,"",ROUND((N($X9)+N($Y9)+N($Z9)+N($AA9))/$AB9,2))</f>
        <v/>
      </c>
      <c r="AD9" s="25">
        <f>IF($AC9="","",_xlfn.RANK.EQ($AC9,$AC$5:$AC$76,0)+COUNTIF($AC$5:$AC9,$AC9)-1)</f>
        <v/>
      </c>
      <c r="AE9" s="25">
        <f>IF($AD9="","",IF($AD9&lt;=cfg_TimelineBucket1,"0-90 days",IF($AD9&lt;=cfg_TimelineBucket2,"3-6 months",IF($AD9&lt;=cfg_TimelineBucket3,"6-12 months","12+ months"))))</f>
        <v/>
      </c>
      <c r="AF9" s="25" t="inlineStr">
        <is>
          <t>CEO / CRO / Head of Strategy</t>
        </is>
      </c>
      <c r="AG9" s="25" t="inlineStr">
        <is>
          <t>2-3 months</t>
        </is>
      </c>
      <c r="AH9" s="25" t="inlineStr">
        <is>
          <t>Executive sponsor; accountable process owner; baseline evidence; risk acceptance threshold; customer and pipeline data; market assumptions</t>
        </is>
      </c>
      <c r="AI9" s="25" t="inlineStr">
        <is>
          <t>maturity score improvement; open risk reduction; evidence completeness; control test pass rate; forecast accuracy; customer concentration reduction</t>
        </is>
      </c>
      <c r="AJ9" s="25" t="inlineStr">
        <is>
          <t>Documented market and icp operating model, owner/RACI, KPI set, evidence pack, tested crisis playbook and improvement backlog.</t>
        </is>
      </c>
      <c r="AK9" s="25" t="inlineStr">
        <is>
          <t>Counts active next-level recommendations for Strategy GTM / Market and ICP.</t>
        </is>
      </c>
      <c r="AL9" s="25" t="inlineStr">
        <is>
          <t>Counts active risks and risk scores for Strategy GTM / Market and ICP.</t>
        </is>
      </c>
      <c r="AM9" s="25" t="inlineStr">
        <is>
          <t>Uses the current rank and total score of Sales Channel Diversification Strategy.</t>
        </is>
      </c>
      <c r="AN9" s="25" t="inlineStr">
        <is>
          <t>Trigger when avg score &lt; 4, active risk exists, active recommendation exists or strategy rank &lt;= 3.</t>
        </is>
      </c>
      <c r="AO9" s="25" t="inlineStr">
        <is>
          <t>Not started</t>
        </is>
      </c>
      <c r="AP9" s="25" t="inlineStr">
        <is>
          <t>Medium</t>
        </is>
      </c>
      <c r="AQ9" s="25" t="n"/>
      <c r="AR9" s="25" t="n"/>
      <c r="AS9" s="247">
        <f>IFERROR(IF(SUMIFS(_REF_Model_Content!$J$1:$J$157,_REF_Model_Content!$A$1:$A$157,'Company Profile'!$B$9,_REF_Model_Content!$B$1:$B$157,$B9)=0,1,SUMIFS(_REF_Model_Content!$J$1:$J$157,_REF_Model_Content!$A$1:$A$157,'Company Profile'!$B$9,_REF_Model_Content!$B$1:$B$157,$B9)),1)</f>
        <v/>
      </c>
      <c r="AT9" s="247">
        <f>IF(OR($AY9="Done",$AY9="Not applicable"),"",IF($AC9="","",ROUND(N($AC9)*N($AS9),2)))</f>
        <v/>
      </c>
      <c r="AU9" s="247">
        <f>IF($AT9="","",_xlfn.RANK.EQ($AT9,$AT$5:$AT$76,0)+COUNTIF($AT$5:AT9,$AT9)-1)</f>
        <v/>
      </c>
      <c r="AV9" s="247">
        <f>IFERROR(INDEX('_DATA_Dashboard_Facts'!$G$300:$G$316,MATCH($B9,'_DATA_Dashboard_Facts'!$A$300:$A$316,0)),"")</f>
        <v/>
      </c>
      <c r="AW9" s="247">
        <f>IF($AS9&gt;cfg_IndPriorityHigh,"Industry template increases priority",IF($AS9&lt;cfg_IndPriorityLow,"Industry template lowers priority","Industry-neutral priority"))</f>
        <v/>
      </c>
      <c r="AX9">
        <f>IFERROR(INDEX('Action Plan &amp; Roadmap'!$D$59:$D$130,MATCH($A9,'Action Plan &amp; Roadmap'!$A$59:$A$130,0)),"")</f>
      </c>
      <c r="AY9">
        <f>IF($AX9&lt;&gt;"",$AX9,IF($AO9="","Not started",$AO9))</f>
        <v/>
      </c>
      <c r="AZ9" t="inlineStr">
        <is>
          <t>Number of sales &amp; marketing FTEs as a percentage of total business entity FTEs; B2B business customer one-year attrition rate</t>
        </is>
      </c>
      <c r="BA9">
        <f>IF($A9="","",COUNTIF('_DATA_Mappings'!$A:$A,$A9))</f>
        <v/>
      </c>
      <c r="BB9">
        <f>IF($A9="","",IFERROR(AVERAGEIF('_DATA_Mappings'!$A:$A,$A9,'_DATA_Mappings'!$G:$G),0))</f>
        <v/>
      </c>
      <c r="BC9">
        <f>IF($A9="","",MAX(0,MIN(5,(N($O9)*0.50)+(N($V9)*0.30)+(N($W9)*0.20))))</f>
        <v/>
      </c>
      <c r="BD9">
        <f>IF($A9="","",MAX(1,MIN(5,($Z9*0.45)+(MIN(5,$BB9/5)*0.35)+($BC9*0.20))))</f>
        <v/>
      </c>
      <c r="BE9">
        <f>IF($AB9=0,"",ROUND((N($X9)+N($Y9)+N($BD9)+N($AA9))/$AB9,2))</f>
        <v/>
      </c>
      <c r="BF9">
        <f>IF(OR($BE9="",$AY9="Done",$AY9="Not applicable"),"",ROUND($BE9*N($AS9),2))</f>
        <v/>
      </c>
      <c r="BG9">
        <f>IF($BF9="","",_xlfn.RANK.EQ($BF9,$BF$5:$BF$76,0)+COUNTIF($BF$5:$BF9,$BF9)-1)</f>
        <v/>
      </c>
      <c r="BH9">
        <f>IF($A9="","",IF($BB9&gt;20,"High P1 risk pressure",IF($BB9&gt;12,"Moderate P1 risk pressure","Lower P1 risk pressure")))</f>
        <v/>
      </c>
      <c r="BI9" s="25">
        <f>'_CONFIG_Model_Settings'!$B$103</f>
        <v/>
      </c>
      <c r="BJ9" s="25">
        <f>IFERROR(INDEX('_CONFIG_Model_Settings'!$B$109:$B$113,MATCH($BI9,'_CONFIG_Model_Settings'!$A$109:$A$113,0)),0.30)</f>
        <v/>
      </c>
      <c r="BK9" s="25">
        <f>IFERROR(INDEX('_CONFIG_Model_Settings'!$C$109:$C$113,MATCH($BI9,'_CONFIG_Model_Settings'!$A$109:$A$113,0)),0.20)</f>
        <v/>
      </c>
      <c r="BL9" s="25">
        <f>IFERROR(INDEX('_CONFIG_Model_Settings'!$D$109:$D$113,MATCH($BI9,'_CONFIG_Model_Settings'!$A$109:$A$113,0)),0.25)</f>
        <v/>
      </c>
      <c r="BM9" s="25">
        <f>IFERROR(INDEX('_CONFIG_Model_Settings'!$E$109:$E$113,MATCH($BI9,'_CONFIG_Model_Settings'!$A$109:$A$113,0)),0.25)</f>
        <v/>
      </c>
      <c r="BN9" s="25">
        <f>IFERROR(INDEX('_CONFIG_Model_Settings'!$B$117:$B$123,MATCH('_CONFIG_Model_Settings'!$B$104,'_CONFIG_Model_Settings'!$A$117:$A$123,0)),1)</f>
        <v/>
      </c>
      <c r="BO9" s="25">
        <f>IFERROR(INDEX('_CONFIG_Model_Settings'!$C$117:$C$123,MATCH('_CONFIG_Model_Settings'!$B$104,'_CONFIG_Model_Settings'!$A$117:$A$123,0)),1)</f>
        <v/>
      </c>
      <c r="BP9" s="25">
        <f>IFERROR(INDEX('_CONFIG_Model_Settings'!$D$117:$D$123,MATCH('_CONFIG_Model_Settings'!$B$104,'_CONFIG_Model_Settings'!$A$117:$A$123,0)),1)</f>
        <v/>
      </c>
      <c r="BQ9" s="25">
        <f>IFERROR(INDEX('_CONFIG_Model_Settings'!$E$117:$E$123,MATCH('_CONFIG_Model_Settings'!$B$104,'_CONFIG_Model_Settings'!$A$117:$A$123,0)),1)</f>
        <v/>
      </c>
      <c r="BR9" s="25">
        <f>IF($A9="","",MIN(5,IFERROR(SUMIF('_DATA_Mappings'!$A:$A,$A9,'_DATA_Mappings'!$K:$K)/MAX(1,'_CONFIG_Model_Settings'!$B$105),0)))</f>
        <v/>
      </c>
      <c r="BS9" s="25">
        <f>IF($A9="","",ROUND((N($X9)*N($BJ9)*N($BN9)+N($Y9)*N($BK9)*N($BO9)+N($BD9)*N($BL9)*N($BP9)+N($AA9)*N($BM9)*N($BQ9)+N($BR9)*N('_CONFIG_Model_Settings'!$B$106))/(N($BJ9)*N($BN9)+N($BK9)*N($BO9)+N($BL9)*N($BP9)+N($BM9)*N($BQ9)+N('_CONFIG_Model_Settings'!$B$106)),2))</f>
        <v/>
      </c>
      <c r="BT9" s="25">
        <f>IF($A9="","",MAX(1,N($AB9)))</f>
        <v/>
      </c>
      <c r="BU9" s="25">
        <f>IF(OR($BS9="",$BT9=0),"",ROUND($BS9/$BT9,2))</f>
        <v/>
      </c>
      <c r="BV9" s="25">
        <f>IF(OR($BU9="",$AY9="Done",$AY9="Not applicable"),"",ROUND($BU9*N($AS9),2))</f>
        <v/>
      </c>
      <c r="BW9" s="25">
        <f>IF($BV9="","",_xlfn.RANK.EQ($BV9,$BV$5:$BV$76,0)+COUNTIF($BV$5:$BV9,$BV9)-1)</f>
        <v/>
      </c>
      <c r="BX9" s="25">
        <f>IF($BW9="","",IF($BW9&lt;=cfg_TimelineBucket1,"0-90 days",IF($BW9&lt;=cfg_TimelineBucket2,"3-6 months",IF($BW9&lt;=cfg_TimelineBucket3,"6-12 months","12+ months"))))</f>
        <v/>
      </c>
      <c r="BY9" s="25">
        <f>IF($A9="","","P2: "&amp;$BI9&amp;" posture; objective="&amp;'_CONFIG_Model_Settings'!$B$104&amp;"; financial score="&amp;ROUND(N($BR9),1)&amp;"; CoD="&amp;$BS9)</f>
        <v/>
      </c>
    </row>
    <row r="10" ht="42" customHeight="1" s="209">
      <c r="A10" s="25" t="inlineStr">
        <is>
          <t>INI-006</t>
        </is>
      </c>
      <c r="B10" s="25" t="inlineStr">
        <is>
          <t>Strategy GTM</t>
        </is>
      </c>
      <c r="C10" s="25" t="inlineStr">
        <is>
          <t>Offering and positioning</t>
        </is>
      </c>
      <c r="D10" s="25" t="inlineStr">
        <is>
          <t>Sales Channel Diversification Strategy</t>
        </is>
      </c>
      <c r="E10" s="25" t="inlineStr">
        <is>
          <t>STR-11</t>
        </is>
      </c>
      <c r="F10" s="25" t="inlineStr">
        <is>
          <t>Standardize offering architecture and crisis-proof value proposition</t>
        </is>
      </c>
      <c r="G10" s="25" t="inlineStr">
        <is>
          <t>Close maturity gaps in offering and positioning by assigning ownership, documenting the process, connecting it to evidence and systems, testing it against crisis scenarios and measuring improvement.</t>
        </is>
      </c>
      <c r="H10" s="25" t="inlineStr">
        <is>
          <t>Strategic and go-to-market resilience</t>
        </is>
      </c>
      <c r="I10" s="25" t="inlineStr">
        <is>
          <t>Demand shock; Reputation crisis; Financial liquidity crisis</t>
        </is>
      </c>
      <c r="J10" s="25" t="inlineStr">
        <is>
          <t>STRA-013; STRA-014; STRA-015; STRA-016; STRA-017; STRA-018</t>
        </is>
      </c>
      <c r="K10" s="25" t="n">
        <v>6</v>
      </c>
      <c r="L10" s="25">
        <f>COUNTIFS('_ENGINE_Risk'!$C$500:$C$923,$B10,'_ENGINE_Risk'!$D$500:$D$923,$C10,'_ENGINE_Risk'!$B$500:$B$923,"Yes")</f>
        <v/>
      </c>
      <c r="M10" s="25">
        <f>COUNTIFS('_ENGINE_Risk'!$C$500:$C$923,$B10,'_ENGINE_Risk'!$D$500:$D$923,$C10,'_ENGINE_Risk'!$B$500:$B$923,"Yes")</f>
        <v/>
      </c>
      <c r="N10" s="25">
        <f>IFERROR(AVERAGEIFS(_DATA_Assessment_Model!$H$5:$H$428,_DATA_Assessment_Model!$AW$5:$AW$428,$B10,_DATA_Assessment_Model!$B$5:$B$428,$C10),"")</f>
        <v/>
      </c>
      <c r="O10" s="25">
        <f>IF($N10="","",MAX(0,5-$N10))</f>
        <v/>
      </c>
      <c r="P10" s="25">
        <f>IFERROR(INDEX(_DATA_Dashboard_Facts!$H$5:$H$21,MATCH($B10,_DATA_Dashboard_Facts!$A$5:$A$21,0)),"")</f>
        <v/>
      </c>
      <c r="Q10" s="25">
        <f>IF($P10="","",MAX(0,5-$P10))</f>
        <v/>
      </c>
      <c r="R10" s="25">
        <f>IFERROR(SUMIFS(_ENGINE_Crisis!$D$5:$D$208,_ENGINE_Crisis!$A$5:$A$208,'Resilience &amp; Risk Scenario'!$B$6,_ENGINE_Crisis!$B$5:$B$208,$B10),1)</f>
        <v/>
      </c>
      <c r="S10" s="25">
        <f>IFERROR(INDEX('_ENGINE_Strategy'!$A$100:$A$113,MATCH($D10,'_ENGINE_Strategy'!$B$100:$B$113,0)),99)</f>
        <v/>
      </c>
      <c r="T10" s="25">
        <f>IFERROR(INDEX('_ENGINE_Strategy'!$J$100:$J$113,MATCH($D10,'_ENGINE_Strategy'!$B$100:$B$113,0)),0)</f>
        <v/>
      </c>
      <c r="U10" s="25" t="n">
        <v>4</v>
      </c>
      <c r="V10" s="25" t="n">
        <v>4</v>
      </c>
      <c r="W10" s="25" t="n">
        <v>3</v>
      </c>
      <c r="X10" s="25">
        <f>MAX(1,MIN(5,(N($O10)*0.50)+(N($Q10)*0.25)+((N($T10)/20)*0.25)))</f>
        <v/>
      </c>
      <c r="Y10" s="25">
        <f>MAX(1,MIN(5,(($R10-1)*1.6)+('Resilience &amp; Risk Scenario'!$B$7*0.45)+IF($S10&lt;=3,0.8,0)))</f>
        <v/>
      </c>
      <c r="Z10" s="25">
        <f>MAX(1,MIN(5,(N($O10)*0.45)+(MIN(5,5*N($M10)/MAX(1,N($K10)))*0.35)+(N($V10)*0.20)))</f>
        <v/>
      </c>
      <c r="AA10" s="25">
        <f>MAX(1,MIN(5,($U10*0.40)+($W10*0.30)+(($T10/20)*0.30)))</f>
        <v/>
      </c>
      <c r="AB10" s="25" t="n">
        <v>3</v>
      </c>
      <c r="AC10" s="25">
        <f>IF($AB10=0,"",ROUND((N($X10)+N($Y10)+N($Z10)+N($AA10))/$AB10,2))</f>
        <v/>
      </c>
      <c r="AD10" s="25">
        <f>IF($AC10="","",_xlfn.RANK.EQ($AC10,$AC$5:$AC$76,0)+COUNTIF($AC$5:$AC10,$AC10)-1)</f>
        <v/>
      </c>
      <c r="AE10" s="25">
        <f>IF($AD10="","",IF($AD10&lt;=cfg_TimelineBucket1,"0-90 days",IF($AD10&lt;=cfg_TimelineBucket2,"3-6 months",IF($AD10&lt;=cfg_TimelineBucket3,"6-12 months","12+ months"))))</f>
        <v/>
      </c>
      <c r="AF10" s="25" t="inlineStr">
        <is>
          <t>CEO / CRO / Head of Strategy</t>
        </is>
      </c>
      <c r="AG10" s="25" t="inlineStr">
        <is>
          <t>2-3 months</t>
        </is>
      </c>
      <c r="AH10" s="25" t="inlineStr">
        <is>
          <t>Executive sponsor; accountable process owner; baseline evidence; risk acceptance threshold; customer and pipeline data; market assumptions</t>
        </is>
      </c>
      <c r="AI10" s="25" t="inlineStr">
        <is>
          <t>maturity score improvement; open risk reduction; evidence completeness; control test pass rate; forecast accuracy; customer concentration reduction</t>
        </is>
      </c>
      <c r="AJ10" s="25" t="inlineStr">
        <is>
          <t>Documented offering and positioning operating model, owner/RACI, KPI set, evidence pack, tested crisis playbook and improvement backlog.</t>
        </is>
      </c>
      <c r="AK10" s="25" t="inlineStr">
        <is>
          <t>Counts active next-level recommendations for Strategy GTM / Offering and positioning.</t>
        </is>
      </c>
      <c r="AL10" s="25" t="inlineStr">
        <is>
          <t>Counts active risks and risk scores for Strategy GTM / Offering and positioning.</t>
        </is>
      </c>
      <c r="AM10" s="25" t="inlineStr">
        <is>
          <t>Uses the current rank and total score of Sales Channel Diversification Strategy.</t>
        </is>
      </c>
      <c r="AN10" s="25" t="inlineStr">
        <is>
          <t>Trigger when avg score &lt; 4, active risk exists, active recommendation exists or strategy rank &lt;= 3.</t>
        </is>
      </c>
      <c r="AO10" s="25" t="inlineStr">
        <is>
          <t>Not started</t>
        </is>
      </c>
      <c r="AP10" s="25" t="inlineStr">
        <is>
          <t>Medium</t>
        </is>
      </c>
      <c r="AQ10" s="25" t="n"/>
      <c r="AR10" s="25" t="n"/>
      <c r="AS10" s="247">
        <f>IFERROR(IF(SUMIFS(_REF_Model_Content!$J$1:$J$157,_REF_Model_Content!$A$1:$A$157,'Company Profile'!$B$9,_REF_Model_Content!$B$1:$B$157,$B10)=0,1,SUMIFS(_REF_Model_Content!$J$1:$J$157,_REF_Model_Content!$A$1:$A$157,'Company Profile'!$B$9,_REF_Model_Content!$B$1:$B$157,$B10)),1)</f>
        <v/>
      </c>
      <c r="AT10" s="247">
        <f>IF(OR($AY10="Done",$AY10="Not applicable"),"",IF($AC10="","",ROUND(N($AC10)*N($AS10),2)))</f>
        <v/>
      </c>
      <c r="AU10" s="247">
        <f>IF($AT10="","",_xlfn.RANK.EQ($AT10,$AT$5:$AT$76,0)+COUNTIF($AT$5:AT10,$AT10)-1)</f>
        <v/>
      </c>
      <c r="AV10" s="247">
        <f>IFERROR(INDEX('_DATA_Dashboard_Facts'!$G$300:$G$316,MATCH($B10,'_DATA_Dashboard_Facts'!$A$300:$A$316,0)),"")</f>
        <v/>
      </c>
      <c r="AW10" s="247">
        <f>IF($AS10&gt;cfg_IndPriorityHigh,"Industry template increases priority",IF($AS10&lt;cfg_IndPriorityLow,"Industry template lowers priority","Industry-neutral priority"))</f>
        <v/>
      </c>
      <c r="AX10">
        <f>IFERROR(INDEX('Action Plan &amp; Roadmap'!$D$59:$D$130,MATCH($A10,'Action Plan &amp; Roadmap'!$A$59:$A$130,0)),"")</f>
      </c>
      <c r="AY10">
        <f>IF($AX10&lt;&gt;"",$AX10,IF($AO10="","Not started",$AO10))</f>
        <v/>
      </c>
      <c r="AZ10" t="inlineStr">
        <is>
          <t>Percentage growth in R&amp;D cost from three reporting periods prior; Budget for research and development (R&amp;D) as a percentage of revenue</t>
        </is>
      </c>
      <c r="BA10">
        <f>IF($A10="","",COUNTIF('_DATA_Mappings'!$A:$A,$A10))</f>
        <v/>
      </c>
      <c r="BB10">
        <f>IF($A10="","",IFERROR(AVERAGEIF('_DATA_Mappings'!$A:$A,$A10,'_DATA_Mappings'!$G:$G),0))</f>
        <v/>
      </c>
      <c r="BC10">
        <f>IF($A10="","",MAX(0,MIN(5,(N($O10)*0.50)+(N($V10)*0.30)+(N($W10)*0.20))))</f>
        <v/>
      </c>
      <c r="BD10">
        <f>IF($A10="","",MAX(1,MIN(5,($Z10*0.45)+(MIN(5,$BB10/5)*0.35)+($BC10*0.20))))</f>
        <v/>
      </c>
      <c r="BE10">
        <f>IF($AB10=0,"",ROUND((N($X10)+N($Y10)+N($BD10)+N($AA10))/$AB10,2))</f>
        <v/>
      </c>
      <c r="BF10">
        <f>IF(OR($BE10="",$AY10="Done",$AY10="Not applicable"),"",ROUND($BE10*N($AS10),2))</f>
        <v/>
      </c>
      <c r="BG10">
        <f>IF($BF10="","",_xlfn.RANK.EQ($BF10,$BF$5:$BF$76,0)+COUNTIF($BF$5:$BF10,$BF10)-1)</f>
        <v/>
      </c>
      <c r="BH10">
        <f>IF($A10="","",IF($BB10&gt;20,"High P1 risk pressure",IF($BB10&gt;12,"Moderate P1 risk pressure","Lower P1 risk pressure")))</f>
        <v/>
      </c>
      <c r="BI10" s="25">
        <f>'_CONFIG_Model_Settings'!$B$103</f>
        <v/>
      </c>
      <c r="BJ10" s="25">
        <f>IFERROR(INDEX('_CONFIG_Model_Settings'!$B$109:$B$113,MATCH($BI10,'_CONFIG_Model_Settings'!$A$109:$A$113,0)),0.30)</f>
        <v/>
      </c>
      <c r="BK10" s="25">
        <f>IFERROR(INDEX('_CONFIG_Model_Settings'!$C$109:$C$113,MATCH($BI10,'_CONFIG_Model_Settings'!$A$109:$A$113,0)),0.20)</f>
        <v/>
      </c>
      <c r="BL10" s="25">
        <f>IFERROR(INDEX('_CONFIG_Model_Settings'!$D$109:$D$113,MATCH($BI10,'_CONFIG_Model_Settings'!$A$109:$A$113,0)),0.25)</f>
        <v/>
      </c>
      <c r="BM10" s="25">
        <f>IFERROR(INDEX('_CONFIG_Model_Settings'!$E$109:$E$113,MATCH($BI10,'_CONFIG_Model_Settings'!$A$109:$A$113,0)),0.25)</f>
        <v/>
      </c>
      <c r="BN10" s="25">
        <f>IFERROR(INDEX('_CONFIG_Model_Settings'!$B$117:$B$123,MATCH('_CONFIG_Model_Settings'!$B$104,'_CONFIG_Model_Settings'!$A$117:$A$123,0)),1)</f>
        <v/>
      </c>
      <c r="BO10" s="25">
        <f>IFERROR(INDEX('_CONFIG_Model_Settings'!$C$117:$C$123,MATCH('_CONFIG_Model_Settings'!$B$104,'_CONFIG_Model_Settings'!$A$117:$A$123,0)),1)</f>
        <v/>
      </c>
      <c r="BP10" s="25">
        <f>IFERROR(INDEX('_CONFIG_Model_Settings'!$D$117:$D$123,MATCH('_CONFIG_Model_Settings'!$B$104,'_CONFIG_Model_Settings'!$A$117:$A$123,0)),1)</f>
        <v/>
      </c>
      <c r="BQ10" s="25">
        <f>IFERROR(INDEX('_CONFIG_Model_Settings'!$E$117:$E$123,MATCH('_CONFIG_Model_Settings'!$B$104,'_CONFIG_Model_Settings'!$A$117:$A$123,0)),1)</f>
        <v/>
      </c>
      <c r="BR10" s="25">
        <f>IF($A10="","",MIN(5,IFERROR(SUMIF('_DATA_Mappings'!$A:$A,$A10,'_DATA_Mappings'!$K:$K)/MAX(1,'_CONFIG_Model_Settings'!$B$105),0)))</f>
        <v/>
      </c>
      <c r="BS10" s="25">
        <f>IF($A10="","",ROUND((N($X10)*N($BJ10)*N($BN10)+N($Y10)*N($BK10)*N($BO10)+N($BD10)*N($BL10)*N($BP10)+N($AA10)*N($BM10)*N($BQ10)+N($BR10)*N('_CONFIG_Model_Settings'!$B$106))/(N($BJ10)*N($BN10)+N($BK10)*N($BO10)+N($BL10)*N($BP10)+N($BM10)*N($BQ10)+N('_CONFIG_Model_Settings'!$B$106)),2))</f>
        <v/>
      </c>
      <c r="BT10" s="25">
        <f>IF($A10="","",MAX(1,N($AB10)))</f>
        <v/>
      </c>
      <c r="BU10" s="25">
        <f>IF(OR($BS10="",$BT10=0),"",ROUND($BS10/$BT10,2))</f>
        <v/>
      </c>
      <c r="BV10" s="25">
        <f>IF(OR($BU10="",$AY10="Done",$AY10="Not applicable"),"",ROUND($BU10*N($AS10),2))</f>
        <v/>
      </c>
      <c r="BW10" s="25">
        <f>IF($BV10="","",_xlfn.RANK.EQ($BV10,$BV$5:$BV$76,0)+COUNTIF($BV$5:$BV10,$BV10)-1)</f>
        <v/>
      </c>
      <c r="BX10" s="25">
        <f>IF($BW10="","",IF($BW10&lt;=cfg_TimelineBucket1,"0-90 days",IF($BW10&lt;=cfg_TimelineBucket2,"3-6 months",IF($BW10&lt;=cfg_TimelineBucket3,"6-12 months","12+ months"))))</f>
        <v/>
      </c>
      <c r="BY10" s="25">
        <f>IF($A10="","","P2: "&amp;$BI10&amp;" posture; objective="&amp;'_CONFIG_Model_Settings'!$B$104&amp;"; financial score="&amp;ROUND(N($BR10),1)&amp;"; CoD="&amp;$BS10)</f>
        <v/>
      </c>
    </row>
    <row r="11" ht="42" customHeight="1" s="209">
      <c r="A11" s="25" t="inlineStr">
        <is>
          <t>INI-007</t>
        </is>
      </c>
      <c r="B11" s="25" t="inlineStr">
        <is>
          <t>Strategy GTM</t>
        </is>
      </c>
      <c r="C11" s="25" t="inlineStr">
        <is>
          <t>GTM execution</t>
        </is>
      </c>
      <c r="D11" s="25" t="inlineStr">
        <is>
          <t>Sales Channel Diversification Strategy</t>
        </is>
      </c>
      <c r="E11" s="25" t="inlineStr">
        <is>
          <t>STR-11</t>
        </is>
      </c>
      <c r="F11" s="25" t="inlineStr">
        <is>
          <t>Build resilient GTM execution cadence and channel plan</t>
        </is>
      </c>
      <c r="G11" s="25" t="inlineStr">
        <is>
          <t>Close maturity gaps in gtm execution by assigning ownership, documenting the process, connecting it to evidence and systems, testing it against crisis scenarios and measuring improvement.</t>
        </is>
      </c>
      <c r="H11" s="25" t="inlineStr">
        <is>
          <t>Strategic and go-to-market resilience</t>
        </is>
      </c>
      <c r="I11" s="25" t="inlineStr">
        <is>
          <t>Demand shock; Reputation crisis; Financial liquidity crisis</t>
        </is>
      </c>
      <c r="J11" s="25" t="inlineStr">
        <is>
          <t>STRA-019; STRA-020; STRA-021; STRA-022; STRA-023; STRA-024</t>
        </is>
      </c>
      <c r="K11" s="25" t="n">
        <v>6</v>
      </c>
      <c r="L11" s="25">
        <f>COUNTIFS('_ENGINE_Risk'!$C$500:$C$923,$B11,'_ENGINE_Risk'!$D$500:$D$923,$C11,'_ENGINE_Risk'!$B$500:$B$923,"Yes")</f>
        <v/>
      </c>
      <c r="M11" s="25">
        <f>COUNTIFS('_ENGINE_Risk'!$C$500:$C$923,$B11,'_ENGINE_Risk'!$D$500:$D$923,$C11,'_ENGINE_Risk'!$B$500:$B$923,"Yes")</f>
        <v/>
      </c>
      <c r="N11" s="25">
        <f>IFERROR(AVERAGEIFS(_DATA_Assessment_Model!$H$5:$H$428,_DATA_Assessment_Model!$AW$5:$AW$428,$B11,_DATA_Assessment_Model!$B$5:$B$428,$C11),"")</f>
        <v/>
      </c>
      <c r="O11" s="25">
        <f>IF($N11="","",MAX(0,5-$N11))</f>
        <v/>
      </c>
      <c r="P11" s="25">
        <f>IFERROR(INDEX(_DATA_Dashboard_Facts!$H$5:$H$21,MATCH($B11,_DATA_Dashboard_Facts!$A$5:$A$21,0)),"")</f>
        <v/>
      </c>
      <c r="Q11" s="25">
        <f>IF($P11="","",MAX(0,5-$P11))</f>
        <v/>
      </c>
      <c r="R11" s="25">
        <f>IFERROR(SUMIFS(_ENGINE_Crisis!$D$5:$D$208,_ENGINE_Crisis!$A$5:$A$208,'Resilience &amp; Risk Scenario'!$B$6,_ENGINE_Crisis!$B$5:$B$208,$B11),1)</f>
        <v/>
      </c>
      <c r="S11" s="25">
        <f>IFERROR(INDEX('_ENGINE_Strategy'!$A$100:$A$113,MATCH($D11,'_ENGINE_Strategy'!$B$100:$B$113,0)),99)</f>
        <v/>
      </c>
      <c r="T11" s="25">
        <f>IFERROR(INDEX('_ENGINE_Strategy'!$J$100:$J$113,MATCH($D11,'_ENGINE_Strategy'!$B$100:$B$113,0)),0)</f>
        <v/>
      </c>
      <c r="U11" s="25" t="n">
        <v>4</v>
      </c>
      <c r="V11" s="25" t="n">
        <v>4</v>
      </c>
      <c r="W11" s="25" t="n">
        <v>3</v>
      </c>
      <c r="X11" s="25">
        <f>MAX(1,MIN(5,(N($O11)*0.50)+(N($Q11)*0.25)+((N($T11)/20)*0.25)))</f>
        <v/>
      </c>
      <c r="Y11" s="25">
        <f>MAX(1,MIN(5,(($R11-1)*1.6)+('Resilience &amp; Risk Scenario'!$B$7*0.45)+IF($S11&lt;=3,0.8,0)))</f>
        <v/>
      </c>
      <c r="Z11" s="25">
        <f>MAX(1,MIN(5,(N($O11)*0.45)+(MIN(5,5*N($M11)/MAX(1,N($K11)))*0.35)+(N($V11)*0.20)))</f>
        <v/>
      </c>
      <c r="AA11" s="25">
        <f>MAX(1,MIN(5,($U11*0.40)+($W11*0.30)+(($T11/20)*0.30)))</f>
        <v/>
      </c>
      <c r="AB11" s="25" t="n">
        <v>3</v>
      </c>
      <c r="AC11" s="25">
        <f>IF($AB11=0,"",ROUND((N($X11)+N($Y11)+N($Z11)+N($AA11))/$AB11,2))</f>
        <v/>
      </c>
      <c r="AD11" s="25">
        <f>IF($AC11="","",_xlfn.RANK.EQ($AC11,$AC$5:$AC$76,0)+COUNTIF($AC$5:$AC11,$AC11)-1)</f>
        <v/>
      </c>
      <c r="AE11" s="25">
        <f>IF($AD11="","",IF($AD11&lt;=cfg_TimelineBucket1,"0-90 days",IF($AD11&lt;=cfg_TimelineBucket2,"3-6 months",IF($AD11&lt;=cfg_TimelineBucket3,"6-12 months","12+ months"))))</f>
        <v/>
      </c>
      <c r="AF11" s="25" t="inlineStr">
        <is>
          <t>CEO / CRO / Head of Strategy</t>
        </is>
      </c>
      <c r="AG11" s="25" t="inlineStr">
        <is>
          <t>2-3 months</t>
        </is>
      </c>
      <c r="AH11" s="25" t="inlineStr">
        <is>
          <t>Executive sponsor; accountable process owner; baseline evidence; risk acceptance threshold; customer and pipeline data; market assumptions</t>
        </is>
      </c>
      <c r="AI11" s="25" t="inlineStr">
        <is>
          <t>maturity score improvement; open risk reduction; evidence completeness; control test pass rate; forecast accuracy; customer concentration reduction</t>
        </is>
      </c>
      <c r="AJ11" s="25" t="inlineStr">
        <is>
          <t>Documented gtm execution operating model, owner/RACI, KPI set, evidence pack, tested crisis playbook and improvement backlog.</t>
        </is>
      </c>
      <c r="AK11" s="25" t="inlineStr">
        <is>
          <t>Counts active next-level recommendations for Strategy GTM / GTM execution.</t>
        </is>
      </c>
      <c r="AL11" s="25" t="inlineStr">
        <is>
          <t>Counts active risks and risk scores for Strategy GTM / GTM execution.</t>
        </is>
      </c>
      <c r="AM11" s="25" t="inlineStr">
        <is>
          <t>Uses the current rank and total score of Sales Channel Diversification Strategy.</t>
        </is>
      </c>
      <c r="AN11" s="25" t="inlineStr">
        <is>
          <t>Trigger when avg score &lt; 4, active risk exists, active recommendation exists or strategy rank &lt;= 3.</t>
        </is>
      </c>
      <c r="AO11" s="25" t="inlineStr">
        <is>
          <t>Not started</t>
        </is>
      </c>
      <c r="AP11" s="25" t="inlineStr">
        <is>
          <t>Medium</t>
        </is>
      </c>
      <c r="AQ11" s="25" t="n"/>
      <c r="AR11" s="25" t="n"/>
      <c r="AS11" s="247">
        <f>IFERROR(IF(SUMIFS(_REF_Model_Content!$J$1:$J$157,_REF_Model_Content!$A$1:$A$157,'Company Profile'!$B$9,_REF_Model_Content!$B$1:$B$157,$B11)=0,1,SUMIFS(_REF_Model_Content!$J$1:$J$157,_REF_Model_Content!$A$1:$A$157,'Company Profile'!$B$9,_REF_Model_Content!$B$1:$B$157,$B11)),1)</f>
        <v/>
      </c>
      <c r="AT11" s="247">
        <f>IF(OR($AY11="Done",$AY11="Not applicable"),"",IF($AC11="","",ROUND(N($AC11)*N($AS11),2)))</f>
        <v/>
      </c>
      <c r="AU11" s="247">
        <f>IF($AT11="","",_xlfn.RANK.EQ($AT11,$AT$5:$AT$76,0)+COUNTIF($AT$5:AT11,$AT11)-1)</f>
        <v/>
      </c>
      <c r="AV11" s="247">
        <f>IFERROR(INDEX('_DATA_Dashboard_Facts'!$G$300:$G$316,MATCH($B11,'_DATA_Dashboard_Facts'!$A$300:$A$316,0)),"")</f>
        <v/>
      </c>
      <c r="AW11" s="247">
        <f>IF($AS11&gt;cfg_IndPriorityHigh,"Industry template increases priority",IF($AS11&lt;cfg_IndPriorityLow,"Industry template lowers priority","Industry-neutral priority"))</f>
        <v/>
      </c>
      <c r="AX11">
        <f>IFERROR(INDEX('Action Plan &amp; Roadmap'!$D$59:$D$130,MATCH($A11,'Action Plan &amp; Roadmap'!$A$59:$A$130,0)),"")</f>
      </c>
      <c r="AY11">
        <f>IF($AX11&lt;&gt;"",$AX11,IF($AO11="","Not started",$AO11))</f>
        <v/>
      </c>
      <c r="AZ11" t="inlineStr">
        <is>
          <t>Number of sales &amp; marketing FTEs as a percentage of total business entity FTEs; B2B business customer one-year attrition rate</t>
        </is>
      </c>
      <c r="BA11">
        <f>IF($A11="","",COUNTIF('_DATA_Mappings'!$A:$A,$A11))</f>
        <v/>
      </c>
      <c r="BB11">
        <f>IF($A11="","",IFERROR(AVERAGEIF('_DATA_Mappings'!$A:$A,$A11,'_DATA_Mappings'!$G:$G),0))</f>
        <v/>
      </c>
      <c r="BC11">
        <f>IF($A11="","",MAX(0,MIN(5,(N($O11)*0.50)+(N($V11)*0.30)+(N($W11)*0.20))))</f>
        <v/>
      </c>
      <c r="BD11">
        <f>IF($A11="","",MAX(1,MIN(5,($Z11*0.45)+(MIN(5,$BB11/5)*0.35)+($BC11*0.20))))</f>
        <v/>
      </c>
      <c r="BE11">
        <f>IF($AB11=0,"",ROUND((N($X11)+N($Y11)+N($BD11)+N($AA11))/$AB11,2))</f>
        <v/>
      </c>
      <c r="BF11">
        <f>IF(OR($BE11="",$AY11="Done",$AY11="Not applicable"),"",ROUND($BE11*N($AS11),2))</f>
        <v/>
      </c>
      <c r="BG11">
        <f>IF($BF11="","",_xlfn.RANK.EQ($BF11,$BF$5:$BF$76,0)+COUNTIF($BF$5:$BF11,$BF11)-1)</f>
        <v/>
      </c>
      <c r="BH11">
        <f>IF($A11="","",IF($BB11&gt;20,"High P1 risk pressure",IF($BB11&gt;12,"Moderate P1 risk pressure","Lower P1 risk pressure")))</f>
        <v/>
      </c>
      <c r="BI11" s="25">
        <f>'_CONFIG_Model_Settings'!$B$103</f>
        <v/>
      </c>
      <c r="BJ11" s="25">
        <f>IFERROR(INDEX('_CONFIG_Model_Settings'!$B$109:$B$113,MATCH($BI11,'_CONFIG_Model_Settings'!$A$109:$A$113,0)),0.30)</f>
        <v/>
      </c>
      <c r="BK11" s="25">
        <f>IFERROR(INDEX('_CONFIG_Model_Settings'!$C$109:$C$113,MATCH($BI11,'_CONFIG_Model_Settings'!$A$109:$A$113,0)),0.20)</f>
        <v/>
      </c>
      <c r="BL11" s="25">
        <f>IFERROR(INDEX('_CONFIG_Model_Settings'!$D$109:$D$113,MATCH($BI11,'_CONFIG_Model_Settings'!$A$109:$A$113,0)),0.25)</f>
        <v/>
      </c>
      <c r="BM11" s="25">
        <f>IFERROR(INDEX('_CONFIG_Model_Settings'!$E$109:$E$113,MATCH($BI11,'_CONFIG_Model_Settings'!$A$109:$A$113,0)),0.25)</f>
        <v/>
      </c>
      <c r="BN11" s="25">
        <f>IFERROR(INDEX('_CONFIG_Model_Settings'!$B$117:$B$123,MATCH('_CONFIG_Model_Settings'!$B$104,'_CONFIG_Model_Settings'!$A$117:$A$123,0)),1)</f>
        <v/>
      </c>
      <c r="BO11" s="25">
        <f>IFERROR(INDEX('_CONFIG_Model_Settings'!$C$117:$C$123,MATCH('_CONFIG_Model_Settings'!$B$104,'_CONFIG_Model_Settings'!$A$117:$A$123,0)),1)</f>
        <v/>
      </c>
      <c r="BP11" s="25">
        <f>IFERROR(INDEX('_CONFIG_Model_Settings'!$D$117:$D$123,MATCH('_CONFIG_Model_Settings'!$B$104,'_CONFIG_Model_Settings'!$A$117:$A$123,0)),1)</f>
        <v/>
      </c>
      <c r="BQ11" s="25">
        <f>IFERROR(INDEX('_CONFIG_Model_Settings'!$E$117:$E$123,MATCH('_CONFIG_Model_Settings'!$B$104,'_CONFIG_Model_Settings'!$A$117:$A$123,0)),1)</f>
        <v/>
      </c>
      <c r="BR11" s="25">
        <f>IF($A11="","",MIN(5,IFERROR(SUMIF('_DATA_Mappings'!$A:$A,$A11,'_DATA_Mappings'!$K:$K)/MAX(1,'_CONFIG_Model_Settings'!$B$105),0)))</f>
        <v/>
      </c>
      <c r="BS11" s="25">
        <f>IF($A11="","",ROUND((N($X11)*N($BJ11)*N($BN11)+N($Y11)*N($BK11)*N($BO11)+N($BD11)*N($BL11)*N($BP11)+N($AA11)*N($BM11)*N($BQ11)+N($BR11)*N('_CONFIG_Model_Settings'!$B$106))/(N($BJ11)*N($BN11)+N($BK11)*N($BO11)+N($BL11)*N($BP11)+N($BM11)*N($BQ11)+N('_CONFIG_Model_Settings'!$B$106)),2))</f>
        <v/>
      </c>
      <c r="BT11" s="25">
        <f>IF($A11="","",MAX(1,N($AB11)))</f>
        <v/>
      </c>
      <c r="BU11" s="25">
        <f>IF(OR($BS11="",$BT11=0),"",ROUND($BS11/$BT11,2))</f>
        <v/>
      </c>
      <c r="BV11" s="25">
        <f>IF(OR($BU11="",$AY11="Done",$AY11="Not applicable"),"",ROUND($BU11*N($AS11),2))</f>
        <v/>
      </c>
      <c r="BW11" s="25">
        <f>IF($BV11="","",_xlfn.RANK.EQ($BV11,$BV$5:$BV$76,0)+COUNTIF($BV$5:$BV11,$BV11)-1)</f>
        <v/>
      </c>
      <c r="BX11" s="25">
        <f>IF($BW11="","",IF($BW11&lt;=cfg_TimelineBucket1,"0-90 days",IF($BW11&lt;=cfg_TimelineBucket2,"3-6 months",IF($BW11&lt;=cfg_TimelineBucket3,"6-12 months","12+ months"))))</f>
        <v/>
      </c>
      <c r="BY11" s="25">
        <f>IF($A11="","","P2: "&amp;$BI11&amp;" posture; objective="&amp;'_CONFIG_Model_Settings'!$B$104&amp;"; financial score="&amp;ROUND(N($BR11),1)&amp;"; CoD="&amp;$BS11)</f>
        <v/>
      </c>
    </row>
    <row r="12" ht="42" customHeight="1" s="209">
      <c r="A12" s="25" t="inlineStr">
        <is>
          <t>INI-008</t>
        </is>
      </c>
      <c r="B12" s="25" t="inlineStr">
        <is>
          <t>Governance Crisis</t>
        </is>
      </c>
      <c r="C12" s="25" t="inlineStr">
        <is>
          <t>Crisis governance</t>
        </is>
      </c>
      <c r="D12" s="25" t="inlineStr">
        <is>
          <t>Governance and Decision-Speed Strategy</t>
        </is>
      </c>
      <c r="E12" s="25" t="inlineStr">
        <is>
          <t>STR-14</t>
        </is>
      </c>
      <c r="F12" s="25" t="inlineStr">
        <is>
          <t>Implement crisis governance, roles and escalation model</t>
        </is>
      </c>
      <c r="G12" s="25" t="inlineStr">
        <is>
          <t>Close maturity gaps in crisis governance by assigning ownership, documenting the process, connecting it to evidence and systems, testing it against crisis scenarios and measuring improvement.</t>
        </is>
      </c>
      <c r="H12" s="25" t="inlineStr">
        <is>
          <t>Crisis governance and decision-making</t>
        </is>
      </c>
      <c r="I12" s="25" t="inlineStr">
        <is>
          <t>War / security crisis; Cyberattack / ransomware; Regulatory / legal shock; Reputation crisis</t>
        </is>
      </c>
      <c r="J12" s="25" t="inlineStr">
        <is>
          <t>GOVE-001; GOVE-002; GOVE-003; GOVE-004; GOVE-005; GOVE-006</t>
        </is>
      </c>
      <c r="K12" s="25" t="n">
        <v>6</v>
      </c>
      <c r="L12" s="25">
        <f>COUNTIFS('_ENGINE_Risk'!$C$500:$C$923,$B12,'_ENGINE_Risk'!$D$500:$D$923,$C12,'_ENGINE_Risk'!$B$500:$B$923,"Yes")</f>
        <v/>
      </c>
      <c r="M12" s="25">
        <f>COUNTIFS('_ENGINE_Risk'!$C$500:$C$923,$B12,'_ENGINE_Risk'!$D$500:$D$923,$C12,'_ENGINE_Risk'!$B$500:$B$923,"Yes")</f>
        <v/>
      </c>
      <c r="N12" s="25">
        <f>IFERROR(AVERAGEIFS(_DATA_Assessment_Model!$H$5:$H$428,_DATA_Assessment_Model!$AW$5:$AW$428,$B12,_DATA_Assessment_Model!$B$5:$B$428,$C12),"")</f>
        <v/>
      </c>
      <c r="O12" s="25">
        <f>IF($N12="","",MAX(0,5-$N12))</f>
        <v/>
      </c>
      <c r="P12" s="25">
        <f>IFERROR(INDEX(_DATA_Dashboard_Facts!$H$5:$H$21,MATCH($B12,_DATA_Dashboard_Facts!$A$5:$A$21,0)),"")</f>
        <v/>
      </c>
      <c r="Q12" s="25">
        <f>IF($P12="","",MAX(0,5-$P12))</f>
        <v/>
      </c>
      <c r="R12" s="25">
        <f>IFERROR(SUMIFS(_ENGINE_Crisis!$D$5:$D$208,_ENGINE_Crisis!$A$5:$A$208,'Resilience &amp; Risk Scenario'!$B$6,_ENGINE_Crisis!$B$5:$B$208,$B12),1)</f>
        <v/>
      </c>
      <c r="S12" s="25">
        <f>IFERROR(INDEX('_ENGINE_Strategy'!$A$100:$A$113,MATCH($D12,'_ENGINE_Strategy'!$B$100:$B$113,0)),99)</f>
        <v/>
      </c>
      <c r="T12" s="25">
        <f>IFERROR(INDEX('_ENGINE_Strategy'!$J$100:$J$113,MATCH($D12,'_ENGINE_Strategy'!$B$100:$B$113,0)),0)</f>
        <v/>
      </c>
      <c r="U12" s="25" t="n">
        <v>2</v>
      </c>
      <c r="V12" s="25" t="n">
        <v>4</v>
      </c>
      <c r="W12" s="25" t="n">
        <v>5</v>
      </c>
      <c r="X12" s="25">
        <f>MAX(1,MIN(5,(N($O12)*0.50)+(N($Q12)*0.25)+((N($T12)/20)*0.25)))</f>
        <v/>
      </c>
      <c r="Y12" s="25">
        <f>MAX(1,MIN(5,(($R12-1)*1.6)+('Resilience &amp; Risk Scenario'!$B$7*0.45)+IF($S12&lt;=3,0.8,0)))</f>
        <v/>
      </c>
      <c r="Z12" s="25">
        <f>MAX(1,MIN(5,(N($O12)*0.45)+(MIN(5,5*N($M12)/MAX(1,N($K12)))*0.35)+(N($V12)*0.20)))</f>
        <v/>
      </c>
      <c r="AA12" s="25">
        <f>MAX(1,MIN(5,($U12*0.40)+($W12*0.30)+(($T12/20)*0.30)))</f>
        <v/>
      </c>
      <c r="AB12" s="25" t="n">
        <v>2</v>
      </c>
      <c r="AC12" s="25">
        <f>IF($AB12=0,"",ROUND((N($X12)+N($Y12)+N($Z12)+N($AA12))/$AB12,2))</f>
        <v/>
      </c>
      <c r="AD12" s="25">
        <f>IF($AC12="","",_xlfn.RANK.EQ($AC12,$AC$5:$AC$76,0)+COUNTIF($AC$5:$AC12,$AC12)-1)</f>
        <v/>
      </c>
      <c r="AE12" s="25">
        <f>IF($AD12="","",IF($AD12&lt;=cfg_TimelineBucket1,"0-90 days",IF($AD12&lt;=cfg_TimelineBucket2,"3-6 months",IF($AD12&lt;=cfg_TimelineBucket3,"6-12 months","12+ months"))))</f>
        <v/>
      </c>
      <c r="AF12" s="25" t="inlineStr">
        <is>
          <t>CEO / COO / Risk Lead</t>
        </is>
      </c>
      <c r="AG12" s="25" t="inlineStr">
        <is>
          <t>4-8 weeks</t>
        </is>
      </c>
      <c r="AH12" s="25" t="inlineStr">
        <is>
          <t>Executive sponsor; accountable process owner; baseline evidence; risk acceptance threshold</t>
        </is>
      </c>
      <c r="AI12" s="25" t="inlineStr">
        <is>
          <t>maturity score improvement; open risk reduction; evidence completeness; control test pass rate</t>
        </is>
      </c>
      <c r="AJ12" s="25" t="inlineStr">
        <is>
          <t>Documented crisis governance operating model, owner/RACI, KPI set, evidence pack, tested crisis playbook and improvement backlog.</t>
        </is>
      </c>
      <c r="AK12" s="25" t="inlineStr">
        <is>
          <t>Counts active next-level recommendations for Governance Crisis / Crisis governance.</t>
        </is>
      </c>
      <c r="AL12" s="25" t="inlineStr">
        <is>
          <t>Counts active risks and risk scores for Governance Crisis / Crisis governance.</t>
        </is>
      </c>
      <c r="AM12" s="25" t="inlineStr">
        <is>
          <t>Uses the current rank and total score of Governance and Decision-Speed Strategy.</t>
        </is>
      </c>
      <c r="AN12" s="25" t="inlineStr">
        <is>
          <t>Trigger when avg score &lt; 4, active risk exists, active recommendation exists or strategy rank &lt;= 3.</t>
        </is>
      </c>
      <c r="AO12" s="25" t="inlineStr">
        <is>
          <t>Not started</t>
        </is>
      </c>
      <c r="AP12" s="25" t="inlineStr">
        <is>
          <t>Low-Medium</t>
        </is>
      </c>
      <c r="AQ12" s="25" t="n"/>
      <c r="AR12" s="25" t="n"/>
      <c r="AS12" s="247">
        <f>IFERROR(IF(SUMIFS(_REF_Model_Content!$J$1:$J$157,_REF_Model_Content!$A$1:$A$157,'Company Profile'!$B$9,_REF_Model_Content!$B$1:$B$157,$B12)=0,1,SUMIFS(_REF_Model_Content!$J$1:$J$157,_REF_Model_Content!$A$1:$A$157,'Company Profile'!$B$9,_REF_Model_Content!$B$1:$B$157,$B12)),1)</f>
        <v/>
      </c>
      <c r="AT12" s="247">
        <f>IF(OR($AY12="Done",$AY12="Not applicable"),"",IF($AC12="","",ROUND(N($AC12)*N($AS12),2)))</f>
        <v/>
      </c>
      <c r="AU12" s="247">
        <f>IF($AT12="","",_xlfn.RANK.EQ($AT12,$AT$5:$AT$76,0)+COUNTIF($AT$5:AT12,$AT12)-1)</f>
        <v/>
      </c>
      <c r="AV12" s="247">
        <f>IFERROR(INDEX('_DATA_Dashboard_Facts'!$G$300:$G$316,MATCH($B12,'_DATA_Dashboard_Facts'!$A$300:$A$316,0)),"")</f>
        <v/>
      </c>
      <c r="AW12" s="247">
        <f>IF($AS12&gt;cfg_IndPriorityHigh,"Industry template increases priority",IF($AS12&lt;cfg_IndPriorityLow,"Industry template lowers priority","Industry-neutral priority"))</f>
        <v/>
      </c>
      <c r="AX12">
        <f>IFERROR(INDEX('Action Plan &amp; Roadmap'!$D$59:$D$130,MATCH($A12,'Action Plan &amp; Roadmap'!$A$59:$A$130,0)),"")</f>
      </c>
      <c r="AY12">
        <f>IF($AX12&lt;&gt;"",$AX12,IF($AO12="","Not started",$AO12))</f>
        <v/>
      </c>
      <c r="AZ12" t="inlineStr">
        <is>
          <t>Incident loss ratio; Relative change in fraud losses since digital tools/technologies have been implemented</t>
        </is>
      </c>
      <c r="BA12">
        <f>IF($A12="","",COUNTIF('_DATA_Mappings'!$A:$A,$A12))</f>
        <v/>
      </c>
      <c r="BB12">
        <f>IF($A12="","",IFERROR(AVERAGEIF('_DATA_Mappings'!$A:$A,$A12,'_DATA_Mappings'!$G:$G),0))</f>
        <v/>
      </c>
      <c r="BC12">
        <f>IF($A12="","",MAX(0,MIN(5,(N($O12)*0.50)+(N($V12)*0.30)+(N($W12)*0.20))))</f>
        <v/>
      </c>
      <c r="BD12">
        <f>IF($A12="","",MAX(1,MIN(5,($Z12*0.45)+(MIN(5,$BB12/5)*0.35)+($BC12*0.20))))</f>
        <v/>
      </c>
      <c r="BE12">
        <f>IF($AB12=0,"",ROUND((N($X12)+N($Y12)+N($BD12)+N($AA12))/$AB12,2))</f>
        <v/>
      </c>
      <c r="BF12">
        <f>IF(OR($BE12="",$AY12="Done",$AY12="Not applicable"),"",ROUND($BE12*N($AS12),2))</f>
        <v/>
      </c>
      <c r="BG12">
        <f>IF($BF12="","",_xlfn.RANK.EQ($BF12,$BF$5:$BF$76,0)+COUNTIF($BF$5:$BF12,$BF12)-1)</f>
        <v/>
      </c>
      <c r="BH12">
        <f>IF($A12="","",IF($BB12&gt;20,"High P1 risk pressure",IF($BB12&gt;12,"Moderate P1 risk pressure","Lower P1 risk pressure")))</f>
        <v/>
      </c>
      <c r="BI12" s="25">
        <f>'_CONFIG_Model_Settings'!$B$103</f>
        <v/>
      </c>
      <c r="BJ12" s="25">
        <f>IFERROR(INDEX('_CONFIG_Model_Settings'!$B$109:$B$113,MATCH($BI12,'_CONFIG_Model_Settings'!$A$109:$A$113,0)),0.30)</f>
        <v/>
      </c>
      <c r="BK12" s="25">
        <f>IFERROR(INDEX('_CONFIG_Model_Settings'!$C$109:$C$113,MATCH($BI12,'_CONFIG_Model_Settings'!$A$109:$A$113,0)),0.20)</f>
        <v/>
      </c>
      <c r="BL12" s="25">
        <f>IFERROR(INDEX('_CONFIG_Model_Settings'!$D$109:$D$113,MATCH($BI12,'_CONFIG_Model_Settings'!$A$109:$A$113,0)),0.25)</f>
        <v/>
      </c>
      <c r="BM12" s="25">
        <f>IFERROR(INDEX('_CONFIG_Model_Settings'!$E$109:$E$113,MATCH($BI12,'_CONFIG_Model_Settings'!$A$109:$A$113,0)),0.25)</f>
        <v/>
      </c>
      <c r="BN12" s="25">
        <f>IFERROR(INDEX('_CONFIG_Model_Settings'!$B$117:$B$123,MATCH('_CONFIG_Model_Settings'!$B$104,'_CONFIG_Model_Settings'!$A$117:$A$123,0)),1)</f>
        <v/>
      </c>
      <c r="BO12" s="25">
        <f>IFERROR(INDEX('_CONFIG_Model_Settings'!$C$117:$C$123,MATCH('_CONFIG_Model_Settings'!$B$104,'_CONFIG_Model_Settings'!$A$117:$A$123,0)),1)</f>
        <v/>
      </c>
      <c r="BP12" s="25">
        <f>IFERROR(INDEX('_CONFIG_Model_Settings'!$D$117:$D$123,MATCH('_CONFIG_Model_Settings'!$B$104,'_CONFIG_Model_Settings'!$A$117:$A$123,0)),1)</f>
        <v/>
      </c>
      <c r="BQ12" s="25">
        <f>IFERROR(INDEX('_CONFIG_Model_Settings'!$E$117:$E$123,MATCH('_CONFIG_Model_Settings'!$B$104,'_CONFIG_Model_Settings'!$A$117:$A$123,0)),1)</f>
        <v/>
      </c>
      <c r="BR12" s="25">
        <f>IF($A12="","",MIN(5,IFERROR(SUMIF('_DATA_Mappings'!$A:$A,$A12,'_DATA_Mappings'!$K:$K)/MAX(1,'_CONFIG_Model_Settings'!$B$105),0)))</f>
        <v/>
      </c>
      <c r="BS12" s="25">
        <f>IF($A12="","",ROUND((N($X12)*N($BJ12)*N($BN12)+N($Y12)*N($BK12)*N($BO12)+N($BD12)*N($BL12)*N($BP12)+N($AA12)*N($BM12)*N($BQ12)+N($BR12)*N('_CONFIG_Model_Settings'!$B$106))/(N($BJ12)*N($BN12)+N($BK12)*N($BO12)+N($BL12)*N($BP12)+N($BM12)*N($BQ12)+N('_CONFIG_Model_Settings'!$B$106)),2))</f>
        <v/>
      </c>
      <c r="BT12" s="25">
        <f>IF($A12="","",MAX(1,N($AB12)))</f>
        <v/>
      </c>
      <c r="BU12" s="25">
        <f>IF(OR($BS12="",$BT12=0),"",ROUND($BS12/$BT12,2))</f>
        <v/>
      </c>
      <c r="BV12" s="25">
        <f>IF(OR($BU12="",$AY12="Done",$AY12="Not applicable"),"",ROUND($BU12*N($AS12),2))</f>
        <v/>
      </c>
      <c r="BW12" s="25">
        <f>IF($BV12="","",_xlfn.RANK.EQ($BV12,$BV$5:$BV$76,0)+COUNTIF($BV$5:$BV12,$BV12)-1)</f>
        <v/>
      </c>
      <c r="BX12" s="25">
        <f>IF($BW12="","",IF($BW12&lt;=cfg_TimelineBucket1,"0-90 days",IF($BW12&lt;=cfg_TimelineBucket2,"3-6 months",IF($BW12&lt;=cfg_TimelineBucket3,"6-12 months","12+ months"))))</f>
        <v/>
      </c>
      <c r="BY12" s="25">
        <f>IF($A12="","","P2: "&amp;$BI12&amp;" posture; objective="&amp;'_CONFIG_Model_Settings'!$B$104&amp;"; financial score="&amp;ROUND(N($BR12),1)&amp;"; CoD="&amp;$BS12)</f>
        <v/>
      </c>
    </row>
    <row r="13" ht="42" customHeight="1" s="209">
      <c r="A13" s="25" t="inlineStr">
        <is>
          <t>INI-009</t>
        </is>
      </c>
      <c r="B13" s="25" t="inlineStr">
        <is>
          <t>Governance Crisis</t>
        </is>
      </c>
      <c r="C13" s="25" t="inlineStr">
        <is>
          <t>Risk and continuity</t>
        </is>
      </c>
      <c r="D13" s="25" t="inlineStr">
        <is>
          <t>Governance and Decision-Speed Strategy</t>
        </is>
      </c>
      <c r="E13" s="25" t="inlineStr">
        <is>
          <t>STR-14</t>
        </is>
      </c>
      <c r="F13" s="25" t="inlineStr">
        <is>
          <t>Build integrated risk, continuity and resilience control cycle</t>
        </is>
      </c>
      <c r="G13" s="25" t="inlineStr">
        <is>
          <t>Close maturity gaps in risk and continuity by assigning ownership, documenting the process, connecting it to evidence and systems, testing it against crisis scenarios and measuring improvement.</t>
        </is>
      </c>
      <c r="H13" s="25" t="inlineStr">
        <is>
          <t>Crisis governance and decision-making</t>
        </is>
      </c>
      <c r="I13" s="25" t="inlineStr">
        <is>
          <t>War / security crisis; Cyberattack / ransomware; Regulatory / legal shock; Reputation crisis</t>
        </is>
      </c>
      <c r="J13" s="25" t="inlineStr">
        <is>
          <t>GOVE-007; GOVE-008; GOVE-009; GOVE-010; GOVE-011; GOVE-012; GOVE-013</t>
        </is>
      </c>
      <c r="K13" s="25" t="n">
        <v>7</v>
      </c>
      <c r="L13" s="25">
        <f>COUNTIFS('_ENGINE_Risk'!$C$500:$C$923,$B13,'_ENGINE_Risk'!$D$500:$D$923,$C13,'_ENGINE_Risk'!$B$500:$B$923,"Yes")</f>
        <v/>
      </c>
      <c r="M13" s="25">
        <f>COUNTIFS('_ENGINE_Risk'!$C$500:$C$923,$B13,'_ENGINE_Risk'!$D$500:$D$923,$C13,'_ENGINE_Risk'!$B$500:$B$923,"Yes")</f>
        <v/>
      </c>
      <c r="N13" s="25">
        <f>IFERROR(AVERAGEIFS(_DATA_Assessment_Model!$H$5:$H$428,_DATA_Assessment_Model!$AW$5:$AW$428,$B13,_DATA_Assessment_Model!$B$5:$B$428,$C13),"")</f>
        <v/>
      </c>
      <c r="O13" s="25">
        <f>IF($N13="","",MAX(0,5-$N13))</f>
        <v/>
      </c>
      <c r="P13" s="25">
        <f>IFERROR(INDEX(_DATA_Dashboard_Facts!$H$5:$H$21,MATCH($B13,_DATA_Dashboard_Facts!$A$5:$A$21,0)),"")</f>
        <v/>
      </c>
      <c r="Q13" s="25">
        <f>IF($P13="","",MAX(0,5-$P13))</f>
        <v/>
      </c>
      <c r="R13" s="25">
        <f>IFERROR(SUMIFS(_ENGINE_Crisis!$D$5:$D$208,_ENGINE_Crisis!$A$5:$A$208,'Resilience &amp; Risk Scenario'!$B$6,_ENGINE_Crisis!$B$5:$B$208,$B13),1)</f>
        <v/>
      </c>
      <c r="S13" s="25">
        <f>IFERROR(INDEX('_ENGINE_Strategy'!$A$100:$A$113,MATCH($D13,'_ENGINE_Strategy'!$B$100:$B$113,0)),99)</f>
        <v/>
      </c>
      <c r="T13" s="25">
        <f>IFERROR(INDEX('_ENGINE_Strategy'!$J$100:$J$113,MATCH($D13,'_ENGINE_Strategy'!$B$100:$B$113,0)),0)</f>
        <v/>
      </c>
      <c r="U13" s="25" t="n">
        <v>2</v>
      </c>
      <c r="V13" s="25" t="n">
        <v>4</v>
      </c>
      <c r="W13" s="25" t="n">
        <v>5</v>
      </c>
      <c r="X13" s="25">
        <f>MAX(1,MIN(5,(N($O13)*0.50)+(N($Q13)*0.25)+((N($T13)/20)*0.25)))</f>
        <v/>
      </c>
      <c r="Y13" s="25">
        <f>MAX(1,MIN(5,(($R13-1)*1.6)+('Resilience &amp; Risk Scenario'!$B$7*0.45)+IF($S13&lt;=3,0.8,0)))</f>
        <v/>
      </c>
      <c r="Z13" s="25">
        <f>MAX(1,MIN(5,(N($O13)*0.45)+(MIN(5,5*N($M13)/MAX(1,N($K13)))*0.35)+(N($V13)*0.20)))</f>
        <v/>
      </c>
      <c r="AA13" s="25">
        <f>MAX(1,MIN(5,($U13*0.40)+($W13*0.30)+(($T13/20)*0.30)))</f>
        <v/>
      </c>
      <c r="AB13" s="25" t="n">
        <v>2</v>
      </c>
      <c r="AC13" s="25">
        <f>IF($AB13=0,"",ROUND((N($X13)+N($Y13)+N($Z13)+N($AA13))/$AB13,2))</f>
        <v/>
      </c>
      <c r="AD13" s="25">
        <f>IF($AC13="","",_xlfn.RANK.EQ($AC13,$AC$5:$AC$76,0)+COUNTIF($AC$5:$AC13,$AC13)-1)</f>
        <v/>
      </c>
      <c r="AE13" s="25">
        <f>IF($AD13="","",IF($AD13&lt;=cfg_TimelineBucket1,"0-90 days",IF($AD13&lt;=cfg_TimelineBucket2,"3-6 months",IF($AD13&lt;=cfg_TimelineBucket3,"6-12 months","12+ months"))))</f>
        <v/>
      </c>
      <c r="AF13" s="25" t="inlineStr">
        <is>
          <t>CEO / COO / Risk Lead</t>
        </is>
      </c>
      <c r="AG13" s="25" t="inlineStr">
        <is>
          <t>4-8 weeks</t>
        </is>
      </c>
      <c r="AH13" s="25" t="inlineStr">
        <is>
          <t>Executive sponsor; accountable process owner; baseline evidence; risk acceptance threshold</t>
        </is>
      </c>
      <c r="AI13" s="25" t="inlineStr">
        <is>
          <t>maturity score improvement; open risk reduction; evidence completeness; control test pass rate</t>
        </is>
      </c>
      <c r="AJ13" s="25" t="inlineStr">
        <is>
          <t>Documented risk and continuity operating model, owner/RACI, KPI set, evidence pack, tested crisis playbook and improvement backlog.</t>
        </is>
      </c>
      <c r="AK13" s="25" t="inlineStr">
        <is>
          <t>Counts active next-level recommendations for Governance Crisis / Risk and continuity.</t>
        </is>
      </c>
      <c r="AL13" s="25" t="inlineStr">
        <is>
          <t>Counts active risks and risk scores for Governance Crisis / Risk and continuity.</t>
        </is>
      </c>
      <c r="AM13" s="25" t="inlineStr">
        <is>
          <t>Uses the current rank and total score of Governance and Decision-Speed Strategy.</t>
        </is>
      </c>
      <c r="AN13" s="25" t="inlineStr">
        <is>
          <t>Trigger when avg score &lt; 4, active risk exists, active recommendation exists or strategy rank &lt;= 3.</t>
        </is>
      </c>
      <c r="AO13" s="25" t="inlineStr">
        <is>
          <t>Not started</t>
        </is>
      </c>
      <c r="AP13" s="25" t="inlineStr">
        <is>
          <t>Low-Medium</t>
        </is>
      </c>
      <c r="AQ13" s="25" t="n"/>
      <c r="AR13" s="25" t="n"/>
      <c r="AS13" s="247">
        <f>IFERROR(IF(SUMIFS(_REF_Model_Content!$J$1:$J$157,_REF_Model_Content!$A$1:$A$157,'Company Profile'!$B$9,_REF_Model_Content!$B$1:$B$157,$B13)=0,1,SUMIFS(_REF_Model_Content!$J$1:$J$157,_REF_Model_Content!$A$1:$A$157,'Company Profile'!$B$9,_REF_Model_Content!$B$1:$B$157,$B13)),1)</f>
        <v/>
      </c>
      <c r="AT13" s="247">
        <f>IF(OR($AY13="Done",$AY13="Not applicable"),"",IF($AC13="","",ROUND(N($AC13)*N($AS13),2)))</f>
        <v/>
      </c>
      <c r="AU13" s="247">
        <f>IF($AT13="","",_xlfn.RANK.EQ($AT13,$AT$5:$AT$76,0)+COUNTIF($AT$5:AT13,$AT13)-1)</f>
        <v/>
      </c>
      <c r="AV13" s="247">
        <f>IFERROR(INDEX('_DATA_Dashboard_Facts'!$G$300:$G$316,MATCH($B13,'_DATA_Dashboard_Facts'!$A$300:$A$316,0)),"")</f>
        <v/>
      </c>
      <c r="AW13" s="247">
        <f>IF($AS13&gt;cfg_IndPriorityHigh,"Industry template increases priority",IF($AS13&lt;cfg_IndPriorityLow,"Industry template lowers priority","Industry-neutral priority"))</f>
        <v/>
      </c>
      <c r="AX13">
        <f>IFERROR(INDEX('Action Plan &amp; Roadmap'!$D$59:$D$130,MATCH($A13,'Action Plan &amp; Roadmap'!$A$59:$A$130,0)),"")</f>
      </c>
      <c r="AY13">
        <f>IF($AX13&lt;&gt;"",$AX13,IF($AO13="","Not started",$AO13))</f>
        <v/>
      </c>
      <c r="AZ13" t="inlineStr">
        <is>
          <t>Incident loss ratio; Relative change in fraud losses since digital tools/technologies have been implemented</t>
        </is>
      </c>
      <c r="BA13">
        <f>IF($A13="","",COUNTIF('_DATA_Mappings'!$A:$A,$A13))</f>
        <v/>
      </c>
      <c r="BB13">
        <f>IF($A13="","",IFERROR(AVERAGEIF('_DATA_Mappings'!$A:$A,$A13,'_DATA_Mappings'!$G:$G),0))</f>
        <v/>
      </c>
      <c r="BC13">
        <f>IF($A13="","",MAX(0,MIN(5,(N($O13)*0.50)+(N($V13)*0.30)+(N($W13)*0.20))))</f>
        <v/>
      </c>
      <c r="BD13">
        <f>IF($A13="","",MAX(1,MIN(5,($Z13*0.45)+(MIN(5,$BB13/5)*0.35)+($BC13*0.20))))</f>
        <v/>
      </c>
      <c r="BE13">
        <f>IF($AB13=0,"",ROUND((N($X13)+N($Y13)+N($BD13)+N($AA13))/$AB13,2))</f>
        <v/>
      </c>
      <c r="BF13">
        <f>IF(OR($BE13="",$AY13="Done",$AY13="Not applicable"),"",ROUND($BE13*N($AS13),2))</f>
        <v/>
      </c>
      <c r="BG13">
        <f>IF($BF13="","",_xlfn.RANK.EQ($BF13,$BF$5:$BF$76,0)+COUNTIF($BF$5:$BF13,$BF13)-1)</f>
        <v/>
      </c>
      <c r="BH13">
        <f>IF($A13="","",IF($BB13&gt;20,"High P1 risk pressure",IF($BB13&gt;12,"Moderate P1 risk pressure","Lower P1 risk pressure")))</f>
        <v/>
      </c>
      <c r="BI13" s="25">
        <f>'_CONFIG_Model_Settings'!$B$103</f>
        <v/>
      </c>
      <c r="BJ13" s="25">
        <f>IFERROR(INDEX('_CONFIG_Model_Settings'!$B$109:$B$113,MATCH($BI13,'_CONFIG_Model_Settings'!$A$109:$A$113,0)),0.30)</f>
        <v/>
      </c>
      <c r="BK13" s="25">
        <f>IFERROR(INDEX('_CONFIG_Model_Settings'!$C$109:$C$113,MATCH($BI13,'_CONFIG_Model_Settings'!$A$109:$A$113,0)),0.20)</f>
        <v/>
      </c>
      <c r="BL13" s="25">
        <f>IFERROR(INDEX('_CONFIG_Model_Settings'!$D$109:$D$113,MATCH($BI13,'_CONFIG_Model_Settings'!$A$109:$A$113,0)),0.25)</f>
        <v/>
      </c>
      <c r="BM13" s="25">
        <f>IFERROR(INDEX('_CONFIG_Model_Settings'!$E$109:$E$113,MATCH($BI13,'_CONFIG_Model_Settings'!$A$109:$A$113,0)),0.25)</f>
        <v/>
      </c>
      <c r="BN13" s="25">
        <f>IFERROR(INDEX('_CONFIG_Model_Settings'!$B$117:$B$123,MATCH('_CONFIG_Model_Settings'!$B$104,'_CONFIG_Model_Settings'!$A$117:$A$123,0)),1)</f>
        <v/>
      </c>
      <c r="BO13" s="25">
        <f>IFERROR(INDEX('_CONFIG_Model_Settings'!$C$117:$C$123,MATCH('_CONFIG_Model_Settings'!$B$104,'_CONFIG_Model_Settings'!$A$117:$A$123,0)),1)</f>
        <v/>
      </c>
      <c r="BP13" s="25">
        <f>IFERROR(INDEX('_CONFIG_Model_Settings'!$D$117:$D$123,MATCH('_CONFIG_Model_Settings'!$B$104,'_CONFIG_Model_Settings'!$A$117:$A$123,0)),1)</f>
        <v/>
      </c>
      <c r="BQ13" s="25">
        <f>IFERROR(INDEX('_CONFIG_Model_Settings'!$E$117:$E$123,MATCH('_CONFIG_Model_Settings'!$B$104,'_CONFIG_Model_Settings'!$A$117:$A$123,0)),1)</f>
        <v/>
      </c>
      <c r="BR13" s="25">
        <f>IF($A13="","",MIN(5,IFERROR(SUMIF('_DATA_Mappings'!$A:$A,$A13,'_DATA_Mappings'!$K:$K)/MAX(1,'_CONFIG_Model_Settings'!$B$105),0)))</f>
        <v/>
      </c>
      <c r="BS13" s="25">
        <f>IF($A13="","",ROUND((N($X13)*N($BJ13)*N($BN13)+N($Y13)*N($BK13)*N($BO13)+N($BD13)*N($BL13)*N($BP13)+N($AA13)*N($BM13)*N($BQ13)+N($BR13)*N('_CONFIG_Model_Settings'!$B$106))/(N($BJ13)*N($BN13)+N($BK13)*N($BO13)+N($BL13)*N($BP13)+N($BM13)*N($BQ13)+N('_CONFIG_Model_Settings'!$B$106)),2))</f>
        <v/>
      </c>
      <c r="BT13" s="25">
        <f>IF($A13="","",MAX(1,N($AB13)))</f>
        <v/>
      </c>
      <c r="BU13" s="25">
        <f>IF(OR($BS13="",$BT13=0),"",ROUND($BS13/$BT13,2))</f>
        <v/>
      </c>
      <c r="BV13" s="25">
        <f>IF(OR($BU13="",$AY13="Done",$AY13="Not applicable"),"",ROUND($BU13*N($AS13),2))</f>
        <v/>
      </c>
      <c r="BW13" s="25">
        <f>IF($BV13="","",_xlfn.RANK.EQ($BV13,$BV$5:$BV$76,0)+COUNTIF($BV$5:$BV13,$BV13)-1)</f>
        <v/>
      </c>
      <c r="BX13" s="25">
        <f>IF($BW13="","",IF($BW13&lt;=cfg_TimelineBucket1,"0-90 days",IF($BW13&lt;=cfg_TimelineBucket2,"3-6 months",IF($BW13&lt;=cfg_TimelineBucket3,"6-12 months","12+ months"))))</f>
        <v/>
      </c>
      <c r="BY13" s="25">
        <f>IF($A13="","","P2: "&amp;$BI13&amp;" posture; objective="&amp;'_CONFIG_Model_Settings'!$B$104&amp;"; financial score="&amp;ROUND(N($BR13),1)&amp;"; CoD="&amp;$BS13)</f>
        <v/>
      </c>
    </row>
    <row r="14" ht="42" customHeight="1" s="209">
      <c r="A14" s="25" t="inlineStr">
        <is>
          <t>INI-010</t>
        </is>
      </c>
      <c r="B14" s="25" t="inlineStr">
        <is>
          <t>Governance Crisis</t>
        </is>
      </c>
      <c r="C14" s="25" t="inlineStr">
        <is>
          <t>Incident management</t>
        </is>
      </c>
      <c r="D14" s="25" t="inlineStr">
        <is>
          <t>Governance and Decision-Speed Strategy</t>
        </is>
      </c>
      <c r="E14" s="25" t="inlineStr">
        <is>
          <t>STR-14</t>
        </is>
      </c>
      <c r="F14" s="25" t="inlineStr">
        <is>
          <t>Implement incident command, escalation and after-action review</t>
        </is>
      </c>
      <c r="G14" s="25" t="inlineStr">
        <is>
          <t>Close maturity gaps in incident management by assigning ownership, documenting the process, connecting it to evidence and systems, testing it against crisis scenarios and measuring improvement.</t>
        </is>
      </c>
      <c r="H14" s="25" t="inlineStr">
        <is>
          <t>Crisis governance and decision-making</t>
        </is>
      </c>
      <c r="I14" s="25" t="inlineStr">
        <is>
          <t>War / security crisis; Cyberattack / ransomware; Regulatory / legal shock; Reputation crisis</t>
        </is>
      </c>
      <c r="J14" s="25" t="inlineStr">
        <is>
          <t>GOVE-014; GOVE-015; GOVE-016; GOVE-017; GOVE-018; GOVE-019</t>
        </is>
      </c>
      <c r="K14" s="25" t="n">
        <v>6</v>
      </c>
      <c r="L14" s="25">
        <f>COUNTIFS('_ENGINE_Risk'!$C$500:$C$923,$B14,'_ENGINE_Risk'!$D$500:$D$923,$C14,'_ENGINE_Risk'!$B$500:$B$923,"Yes")</f>
        <v/>
      </c>
      <c r="M14" s="25">
        <f>COUNTIFS('_ENGINE_Risk'!$C$500:$C$923,$B14,'_ENGINE_Risk'!$D$500:$D$923,$C14,'_ENGINE_Risk'!$B$500:$B$923,"Yes")</f>
        <v/>
      </c>
      <c r="N14" s="25">
        <f>IFERROR(AVERAGEIFS(_DATA_Assessment_Model!$H$5:$H$428,_DATA_Assessment_Model!$AW$5:$AW$428,$B14,_DATA_Assessment_Model!$B$5:$B$428,$C14),"")</f>
        <v/>
      </c>
      <c r="O14" s="25">
        <f>IF($N14="","",MAX(0,5-$N14))</f>
        <v/>
      </c>
      <c r="P14" s="25">
        <f>IFERROR(INDEX(_DATA_Dashboard_Facts!$H$5:$H$21,MATCH($B14,_DATA_Dashboard_Facts!$A$5:$A$21,0)),"")</f>
        <v/>
      </c>
      <c r="Q14" s="25">
        <f>IF($P14="","",MAX(0,5-$P14))</f>
        <v/>
      </c>
      <c r="R14" s="25">
        <f>IFERROR(SUMIFS(_ENGINE_Crisis!$D$5:$D$208,_ENGINE_Crisis!$A$5:$A$208,'Resilience &amp; Risk Scenario'!$B$6,_ENGINE_Crisis!$B$5:$B$208,$B14),1)</f>
        <v/>
      </c>
      <c r="S14" s="25">
        <f>IFERROR(INDEX('_ENGINE_Strategy'!$A$100:$A$113,MATCH($D14,'_ENGINE_Strategy'!$B$100:$B$113,0)),99)</f>
        <v/>
      </c>
      <c r="T14" s="25">
        <f>IFERROR(INDEX('_ENGINE_Strategy'!$J$100:$J$113,MATCH($D14,'_ENGINE_Strategy'!$B$100:$B$113,0)),0)</f>
        <v/>
      </c>
      <c r="U14" s="25" t="n">
        <v>2</v>
      </c>
      <c r="V14" s="25" t="n">
        <v>4</v>
      </c>
      <c r="W14" s="25" t="n">
        <v>5</v>
      </c>
      <c r="X14" s="25">
        <f>MAX(1,MIN(5,(N($O14)*0.50)+(N($Q14)*0.25)+((N($T14)/20)*0.25)))</f>
        <v/>
      </c>
      <c r="Y14" s="25">
        <f>MAX(1,MIN(5,(($R14-1)*1.6)+('Resilience &amp; Risk Scenario'!$B$7*0.45)+IF($S14&lt;=3,0.8,0)))</f>
        <v/>
      </c>
      <c r="Z14" s="25">
        <f>MAX(1,MIN(5,(N($O14)*0.45)+(MIN(5,5*N($M14)/MAX(1,N($K14)))*0.35)+(N($V14)*0.20)))</f>
        <v/>
      </c>
      <c r="AA14" s="25">
        <f>MAX(1,MIN(5,($U14*0.40)+($W14*0.30)+(($T14/20)*0.30)))</f>
        <v/>
      </c>
      <c r="AB14" s="25" t="n">
        <v>2</v>
      </c>
      <c r="AC14" s="25">
        <f>IF($AB14=0,"",ROUND((N($X14)+N($Y14)+N($Z14)+N($AA14))/$AB14,2))</f>
        <v/>
      </c>
      <c r="AD14" s="25">
        <f>IF($AC14="","",_xlfn.RANK.EQ($AC14,$AC$5:$AC$76,0)+COUNTIF($AC$5:$AC14,$AC14)-1)</f>
        <v/>
      </c>
      <c r="AE14" s="25">
        <f>IF($AD14="","",IF($AD14&lt;=cfg_TimelineBucket1,"0-90 days",IF($AD14&lt;=cfg_TimelineBucket2,"3-6 months",IF($AD14&lt;=cfg_TimelineBucket3,"6-12 months","12+ months"))))</f>
        <v/>
      </c>
      <c r="AF14" s="25" t="inlineStr">
        <is>
          <t>CEO / COO / Risk Lead</t>
        </is>
      </c>
      <c r="AG14" s="25" t="inlineStr">
        <is>
          <t>4-8 weeks</t>
        </is>
      </c>
      <c r="AH14" s="25" t="inlineStr">
        <is>
          <t>Executive sponsor; accountable process owner; baseline evidence; risk acceptance threshold</t>
        </is>
      </c>
      <c r="AI14" s="25" t="inlineStr">
        <is>
          <t>maturity score improvement; open risk reduction; evidence completeness; control test pass rate</t>
        </is>
      </c>
      <c r="AJ14" s="25" t="inlineStr">
        <is>
          <t>Documented incident management operating model, owner/RACI, KPI set, evidence pack, tested crisis playbook and improvement backlog.</t>
        </is>
      </c>
      <c r="AK14" s="25" t="inlineStr">
        <is>
          <t>Counts active next-level recommendations for Governance Crisis / Incident management.</t>
        </is>
      </c>
      <c r="AL14" s="25" t="inlineStr">
        <is>
          <t>Counts active risks and risk scores for Governance Crisis / Incident management.</t>
        </is>
      </c>
      <c r="AM14" s="25" t="inlineStr">
        <is>
          <t>Uses the current rank and total score of Governance and Decision-Speed Strategy.</t>
        </is>
      </c>
      <c r="AN14" s="25" t="inlineStr">
        <is>
          <t>Trigger when avg score &lt; 4, active risk exists, active recommendation exists or strategy rank &lt;= 3.</t>
        </is>
      </c>
      <c r="AO14" s="25" t="inlineStr">
        <is>
          <t>Not started</t>
        </is>
      </c>
      <c r="AP14" s="25" t="inlineStr">
        <is>
          <t>Low-Medium</t>
        </is>
      </c>
      <c r="AQ14" s="25" t="n"/>
      <c r="AR14" s="25" t="n"/>
      <c r="AS14" s="247">
        <f>IFERROR(IF(SUMIFS(_REF_Model_Content!$J$1:$J$157,_REF_Model_Content!$A$1:$A$157,'Company Profile'!$B$9,_REF_Model_Content!$B$1:$B$157,$B14)=0,1,SUMIFS(_REF_Model_Content!$J$1:$J$157,_REF_Model_Content!$A$1:$A$157,'Company Profile'!$B$9,_REF_Model_Content!$B$1:$B$157,$B14)),1)</f>
        <v/>
      </c>
      <c r="AT14" s="247">
        <f>IF(OR($AY14="Done",$AY14="Not applicable"),"",IF($AC14="","",ROUND(N($AC14)*N($AS14),2)))</f>
        <v/>
      </c>
      <c r="AU14" s="247">
        <f>IF($AT14="","",_xlfn.RANK.EQ($AT14,$AT$5:$AT$76,0)+COUNTIF($AT$5:AT14,$AT14)-1)</f>
        <v/>
      </c>
      <c r="AV14" s="247">
        <f>IFERROR(INDEX('_DATA_Dashboard_Facts'!$G$300:$G$316,MATCH($B14,'_DATA_Dashboard_Facts'!$A$300:$A$316,0)),"")</f>
        <v/>
      </c>
      <c r="AW14" s="247">
        <f>IF($AS14&gt;cfg_IndPriorityHigh,"Industry template increases priority",IF($AS14&lt;cfg_IndPriorityLow,"Industry template lowers priority","Industry-neutral priority"))</f>
        <v/>
      </c>
      <c r="AX14">
        <f>IFERROR(INDEX('Action Plan &amp; Roadmap'!$D$59:$D$130,MATCH($A14,'Action Plan &amp; Roadmap'!$A$59:$A$130,0)),"")</f>
      </c>
      <c r="AY14">
        <f>IF($AX14&lt;&gt;"",$AX14,IF($AO14="","Not started",$AO14))</f>
        <v/>
      </c>
      <c r="AZ14" t="inlineStr">
        <is>
          <t>Incident loss ratio; Relative change in fraud losses since digital tools/technologies have been implemented</t>
        </is>
      </c>
      <c r="BA14">
        <f>IF($A14="","",COUNTIF('_DATA_Mappings'!$A:$A,$A14))</f>
        <v/>
      </c>
      <c r="BB14">
        <f>IF($A14="","",IFERROR(AVERAGEIF('_DATA_Mappings'!$A:$A,$A14,'_DATA_Mappings'!$G:$G),0))</f>
        <v/>
      </c>
      <c r="BC14">
        <f>IF($A14="","",MAX(0,MIN(5,(N($O14)*0.50)+(N($V14)*0.30)+(N($W14)*0.20))))</f>
        <v/>
      </c>
      <c r="BD14">
        <f>IF($A14="","",MAX(1,MIN(5,($Z14*0.45)+(MIN(5,$BB14/5)*0.35)+($BC14*0.20))))</f>
        <v/>
      </c>
      <c r="BE14">
        <f>IF($AB14=0,"",ROUND((N($X14)+N($Y14)+N($BD14)+N($AA14))/$AB14,2))</f>
        <v/>
      </c>
      <c r="BF14">
        <f>IF(OR($BE14="",$AY14="Done",$AY14="Not applicable"),"",ROUND($BE14*N($AS14),2))</f>
        <v/>
      </c>
      <c r="BG14">
        <f>IF($BF14="","",_xlfn.RANK.EQ($BF14,$BF$5:$BF$76,0)+COUNTIF($BF$5:$BF14,$BF14)-1)</f>
        <v/>
      </c>
      <c r="BH14">
        <f>IF($A14="","",IF($BB14&gt;20,"High P1 risk pressure",IF($BB14&gt;12,"Moderate P1 risk pressure","Lower P1 risk pressure")))</f>
        <v/>
      </c>
      <c r="BI14" s="25">
        <f>'_CONFIG_Model_Settings'!$B$103</f>
        <v/>
      </c>
      <c r="BJ14" s="25">
        <f>IFERROR(INDEX('_CONFIG_Model_Settings'!$B$109:$B$113,MATCH($BI14,'_CONFIG_Model_Settings'!$A$109:$A$113,0)),0.30)</f>
        <v/>
      </c>
      <c r="BK14" s="25">
        <f>IFERROR(INDEX('_CONFIG_Model_Settings'!$C$109:$C$113,MATCH($BI14,'_CONFIG_Model_Settings'!$A$109:$A$113,0)),0.20)</f>
        <v/>
      </c>
      <c r="BL14" s="25">
        <f>IFERROR(INDEX('_CONFIG_Model_Settings'!$D$109:$D$113,MATCH($BI14,'_CONFIG_Model_Settings'!$A$109:$A$113,0)),0.25)</f>
        <v/>
      </c>
      <c r="BM14" s="25">
        <f>IFERROR(INDEX('_CONFIG_Model_Settings'!$E$109:$E$113,MATCH($BI14,'_CONFIG_Model_Settings'!$A$109:$A$113,0)),0.25)</f>
        <v/>
      </c>
      <c r="BN14" s="25">
        <f>IFERROR(INDEX('_CONFIG_Model_Settings'!$B$117:$B$123,MATCH('_CONFIG_Model_Settings'!$B$104,'_CONFIG_Model_Settings'!$A$117:$A$123,0)),1)</f>
        <v/>
      </c>
      <c r="BO14" s="25">
        <f>IFERROR(INDEX('_CONFIG_Model_Settings'!$C$117:$C$123,MATCH('_CONFIG_Model_Settings'!$B$104,'_CONFIG_Model_Settings'!$A$117:$A$123,0)),1)</f>
        <v/>
      </c>
      <c r="BP14" s="25">
        <f>IFERROR(INDEX('_CONFIG_Model_Settings'!$D$117:$D$123,MATCH('_CONFIG_Model_Settings'!$B$104,'_CONFIG_Model_Settings'!$A$117:$A$123,0)),1)</f>
        <v/>
      </c>
      <c r="BQ14" s="25">
        <f>IFERROR(INDEX('_CONFIG_Model_Settings'!$E$117:$E$123,MATCH('_CONFIG_Model_Settings'!$B$104,'_CONFIG_Model_Settings'!$A$117:$A$123,0)),1)</f>
        <v/>
      </c>
      <c r="BR14" s="25">
        <f>IF($A14="","",MIN(5,IFERROR(SUMIF('_DATA_Mappings'!$A:$A,$A14,'_DATA_Mappings'!$K:$K)/MAX(1,'_CONFIG_Model_Settings'!$B$105),0)))</f>
        <v/>
      </c>
      <c r="BS14" s="25">
        <f>IF($A14="","",ROUND((N($X14)*N($BJ14)*N($BN14)+N($Y14)*N($BK14)*N($BO14)+N($BD14)*N($BL14)*N($BP14)+N($AA14)*N($BM14)*N($BQ14)+N($BR14)*N('_CONFIG_Model_Settings'!$B$106))/(N($BJ14)*N($BN14)+N($BK14)*N($BO14)+N($BL14)*N($BP14)+N($BM14)*N($BQ14)+N('_CONFIG_Model_Settings'!$B$106)),2))</f>
        <v/>
      </c>
      <c r="BT14" s="25">
        <f>IF($A14="","",MAX(1,N($AB14)))</f>
        <v/>
      </c>
      <c r="BU14" s="25">
        <f>IF(OR($BS14="",$BT14=0),"",ROUND($BS14/$BT14,2))</f>
        <v/>
      </c>
      <c r="BV14" s="25">
        <f>IF(OR($BU14="",$AY14="Done",$AY14="Not applicable"),"",ROUND($BU14*N($AS14),2))</f>
        <v/>
      </c>
      <c r="BW14" s="25">
        <f>IF($BV14="","",_xlfn.RANK.EQ($BV14,$BV$5:$BV$76,0)+COUNTIF($BV$5:$BV14,$BV14)-1)</f>
        <v/>
      </c>
      <c r="BX14" s="25">
        <f>IF($BW14="","",IF($BW14&lt;=cfg_TimelineBucket1,"0-90 days",IF($BW14&lt;=cfg_TimelineBucket2,"3-6 months",IF($BW14&lt;=cfg_TimelineBucket3,"6-12 months","12+ months"))))</f>
        <v/>
      </c>
      <c r="BY14" s="25">
        <f>IF($A14="","","P2: "&amp;$BI14&amp;" posture; objective="&amp;'_CONFIG_Model_Settings'!$B$104&amp;"; financial score="&amp;ROUND(N($BR14),1)&amp;"; CoD="&amp;$BS14)</f>
        <v/>
      </c>
    </row>
    <row r="15" ht="42" customHeight="1" s="209">
      <c r="A15" s="25" t="inlineStr">
        <is>
          <t>INI-011</t>
        </is>
      </c>
      <c r="B15" s="25" t="inlineStr">
        <is>
          <t>HR Workforce</t>
        </is>
      </c>
      <c r="C15" s="25" t="inlineStr">
        <is>
          <t>Workforce visibility</t>
        </is>
      </c>
      <c r="D15" s="25" t="inlineStr">
        <is>
          <t>Workforce Resilience Strategy</t>
        </is>
      </c>
      <c r="E15" s="25" t="inlineStr">
        <is>
          <t>STR-06</t>
        </is>
      </c>
      <c r="F15" s="25" t="inlineStr">
        <is>
          <t>Create workforce visibility, critical-role and location dashboard</t>
        </is>
      </c>
      <c r="G15" s="25" t="inlineStr">
        <is>
          <t>Close maturity gaps in workforce visibility by assigning ownership, documenting the process, connecting it to evidence and systems, testing it against crisis scenarios and measuring improvement.</t>
        </is>
      </c>
      <c r="H15" s="25" t="inlineStr">
        <is>
          <t>People, critical roles and knowledge continuity</t>
        </is>
      </c>
      <c r="I15" s="25" t="inlineStr">
        <is>
          <t>War / security crisis; Pandemic / health crisis; Workforce availability crisis</t>
        </is>
      </c>
      <c r="J15" s="25" t="inlineStr">
        <is>
          <t>HRWO-001; HRWO-002; HRWO-003; HRWO-004; HRWO-005; HRWO-006</t>
        </is>
      </c>
      <c r="K15" s="25" t="n">
        <v>6</v>
      </c>
      <c r="L15" s="25">
        <f>COUNTIFS('_ENGINE_Risk'!$C$500:$C$923,$B15,'_ENGINE_Risk'!$D$500:$D$923,$C15,'_ENGINE_Risk'!$B$500:$B$923,"Yes")</f>
        <v/>
      </c>
      <c r="M15" s="25">
        <f>COUNTIFS('_ENGINE_Risk'!$C$500:$C$923,$B15,'_ENGINE_Risk'!$D$500:$D$923,$C15,'_ENGINE_Risk'!$B$500:$B$923,"Yes")</f>
        <v/>
      </c>
      <c r="N15" s="25">
        <f>IFERROR(AVERAGEIFS(_DATA_Assessment_Model!$H$5:$H$428,_DATA_Assessment_Model!$AW$5:$AW$428,$B15,_DATA_Assessment_Model!$B$5:$B$428,$C15),"")</f>
        <v/>
      </c>
      <c r="O15" s="25">
        <f>IF($N15="","",MAX(0,5-$N15))</f>
        <v/>
      </c>
      <c r="P15" s="25">
        <f>IFERROR(INDEX(_DATA_Dashboard_Facts!$H$5:$H$21,MATCH($B15,_DATA_Dashboard_Facts!$A$5:$A$21,0)),"")</f>
        <v/>
      </c>
      <c r="Q15" s="25">
        <f>IF($P15="","",MAX(0,5-$P15))</f>
        <v/>
      </c>
      <c r="R15" s="25">
        <f>IFERROR(SUMIFS(_ENGINE_Crisis!$D$5:$D$208,_ENGINE_Crisis!$A$5:$A$208,'Resilience &amp; Risk Scenario'!$B$6,_ENGINE_Crisis!$B$5:$B$208,$B15),1)</f>
        <v/>
      </c>
      <c r="S15" s="25">
        <f>IFERROR(INDEX('_ENGINE_Strategy'!$A$100:$A$113,MATCH($D15,'_ENGINE_Strategy'!$B$100:$B$113,0)),99)</f>
        <v/>
      </c>
      <c r="T15" s="25">
        <f>IFERROR(INDEX('_ENGINE_Strategy'!$J$100:$J$113,MATCH($D15,'_ENGINE_Strategy'!$B$100:$B$113,0)),0)</f>
        <v/>
      </c>
      <c r="U15" s="25" t="n">
        <v>3</v>
      </c>
      <c r="V15" s="25" t="n">
        <v>5</v>
      </c>
      <c r="W15" s="25" t="n">
        <v>4</v>
      </c>
      <c r="X15" s="25">
        <f>MAX(1,MIN(5,(N($O15)*0.50)+(N($Q15)*0.25)+((N($T15)/20)*0.25)))</f>
        <v/>
      </c>
      <c r="Y15" s="25">
        <f>MAX(1,MIN(5,(($R15-1)*1.6)+('Resilience &amp; Risk Scenario'!$B$7*0.45)+IF($S15&lt;=3,0.8,0)))</f>
        <v/>
      </c>
      <c r="Z15" s="25">
        <f>MAX(1,MIN(5,(N($O15)*0.45)+(MIN(5,5*N($M15)/MAX(1,N($K15)))*0.35)+(N($V15)*0.20)))</f>
        <v/>
      </c>
      <c r="AA15" s="25">
        <f>MAX(1,MIN(5,($U15*0.40)+($W15*0.30)+(($T15/20)*0.30)))</f>
        <v/>
      </c>
      <c r="AB15" s="25" t="n">
        <v>3</v>
      </c>
      <c r="AC15" s="25">
        <f>IF($AB15=0,"",ROUND((N($X15)+N($Y15)+N($Z15)+N($AA15))/$AB15,2))</f>
        <v/>
      </c>
      <c r="AD15" s="25">
        <f>IF($AC15="","",_xlfn.RANK.EQ($AC15,$AC$5:$AC$76,0)+COUNTIF($AC$5:$AC15,$AC15)-1)</f>
        <v/>
      </c>
      <c r="AE15" s="25">
        <f>IF($AD15="","",IF($AD15&lt;=cfg_TimelineBucket1,"0-90 days",IF($AD15&lt;=cfg_TimelineBucket2,"3-6 months",IF($AD15&lt;=cfg_TimelineBucket3,"6-12 months","12+ months"))))</f>
        <v/>
      </c>
      <c r="AF15" s="25" t="inlineStr">
        <is>
          <t>CHRO / HR Director</t>
        </is>
      </c>
      <c r="AG15" s="25" t="inlineStr">
        <is>
          <t>2-3 months</t>
        </is>
      </c>
      <c r="AH15" s="25" t="inlineStr">
        <is>
          <t>Executive sponsor; accountable process owner; baseline evidence; risk acceptance threshold</t>
        </is>
      </c>
      <c r="AI15" s="25" t="inlineStr">
        <is>
          <t>maturity score improvement; open risk reduction; evidence completeness; control test pass rate</t>
        </is>
      </c>
      <c r="AJ15" s="25" t="inlineStr">
        <is>
          <t>Documented workforce visibility operating model, owner/RACI, KPI set, evidence pack, tested crisis playbook and improvement backlog.</t>
        </is>
      </c>
      <c r="AK15" s="25" t="inlineStr">
        <is>
          <t>Counts active next-level recommendations for HR Workforce / Workforce visibility.</t>
        </is>
      </c>
      <c r="AL15" s="25" t="inlineStr">
        <is>
          <t>Counts active risks and risk scores for HR Workforce / Workforce visibility.</t>
        </is>
      </c>
      <c r="AM15" s="25" t="inlineStr">
        <is>
          <t>Uses the current rank and total score of Workforce Resilience Strategy.</t>
        </is>
      </c>
      <c r="AN15" s="25" t="inlineStr">
        <is>
          <t>Trigger when avg score &lt; 4, active risk exists, active recommendation exists or strategy rank &lt;= 3.</t>
        </is>
      </c>
      <c r="AO15" s="25" t="inlineStr">
        <is>
          <t>Not started</t>
        </is>
      </c>
      <c r="AP15" s="25" t="inlineStr">
        <is>
          <t>Medium</t>
        </is>
      </c>
      <c r="AQ15" s="25" t="n"/>
      <c r="AR15" s="25" t="n"/>
      <c r="AS15" s="247">
        <f>IFERROR(IF(SUMIFS(_REF_Model_Content!$J$1:$J$157,_REF_Model_Content!$A$1:$A$157,'Company Profile'!$B$9,_REF_Model_Content!$B$1:$B$157,$B15)=0,1,SUMIFS(_REF_Model_Content!$J$1:$J$157,_REF_Model_Content!$A$1:$A$157,'Company Profile'!$B$9,_REF_Model_Content!$B$1:$B$157,$B15)),1)</f>
        <v/>
      </c>
      <c r="AT15" s="247">
        <f>IF(OR($AY15="Done",$AY15="Not applicable"),"",IF($AC15="","",ROUND(N($AC15)*N($AS15),2)))</f>
        <v/>
      </c>
      <c r="AU15" s="247">
        <f>IF($AT15="","",_xlfn.RANK.EQ($AT15,$AT$5:$AT$76,0)+COUNTIF($AT$5:AT15,$AT15)-1)</f>
        <v/>
      </c>
      <c r="AV15" s="247">
        <f>IFERROR(INDEX('_DATA_Dashboard_Facts'!$G$300:$G$316,MATCH($B15,'_DATA_Dashboard_Facts'!$A$300:$A$316,0)),"")</f>
        <v/>
      </c>
      <c r="AW15" s="247">
        <f>IF($AS15&gt;cfg_IndPriorityHigh,"Industry template increases priority",IF($AS15&lt;cfg_IndPriorityLow,"Industry template lowers priority","Industry-neutral priority"))</f>
        <v/>
      </c>
      <c r="AX15">
        <f>IFERROR(INDEX('Action Plan &amp; Roadmap'!$D$59:$D$130,MATCH($A15,'Action Plan &amp; Roadmap'!$A$59:$A$130,0)),"")</f>
      </c>
      <c r="AY15">
        <f>IF($AX15&lt;&gt;"",$AX15,IF($AO15="","Not started",$AO15))</f>
        <v/>
      </c>
      <c r="AZ15" t="inlineStr">
        <is>
          <t>Percentage of total employee headcount that is unionized; Average fully loaded salary for middle management or specialists</t>
        </is>
      </c>
      <c r="BA15">
        <f>IF($A15="","",COUNTIF('_DATA_Mappings'!$A:$A,$A15))</f>
        <v/>
      </c>
      <c r="BB15">
        <f>IF($A15="","",IFERROR(AVERAGEIF('_DATA_Mappings'!$A:$A,$A15,'_DATA_Mappings'!$G:$G),0))</f>
        <v/>
      </c>
      <c r="BC15">
        <f>IF($A15="","",MAX(0,MIN(5,(N($O15)*0.50)+(N($V15)*0.30)+(N($W15)*0.20))))</f>
        <v/>
      </c>
      <c r="BD15">
        <f>IF($A15="","",MAX(1,MIN(5,($Z15*0.45)+(MIN(5,$BB15/5)*0.35)+($BC15*0.20))))</f>
        <v/>
      </c>
      <c r="BE15">
        <f>IF($AB15=0,"",ROUND((N($X15)+N($Y15)+N($BD15)+N($AA15))/$AB15,2))</f>
        <v/>
      </c>
      <c r="BF15">
        <f>IF(OR($BE15="",$AY15="Done",$AY15="Not applicable"),"",ROUND($BE15*N($AS15),2))</f>
        <v/>
      </c>
      <c r="BG15">
        <f>IF($BF15="","",_xlfn.RANK.EQ($BF15,$BF$5:$BF$76,0)+COUNTIF($BF$5:$BF15,$BF15)-1)</f>
        <v/>
      </c>
      <c r="BH15">
        <f>IF($A15="","",IF($BB15&gt;20,"High P1 risk pressure",IF($BB15&gt;12,"Moderate P1 risk pressure","Lower P1 risk pressure")))</f>
        <v/>
      </c>
      <c r="BI15" s="25">
        <f>'_CONFIG_Model_Settings'!$B$103</f>
        <v/>
      </c>
      <c r="BJ15" s="25">
        <f>IFERROR(INDEX('_CONFIG_Model_Settings'!$B$109:$B$113,MATCH($BI15,'_CONFIG_Model_Settings'!$A$109:$A$113,0)),0.30)</f>
        <v/>
      </c>
      <c r="BK15" s="25">
        <f>IFERROR(INDEX('_CONFIG_Model_Settings'!$C$109:$C$113,MATCH($BI15,'_CONFIG_Model_Settings'!$A$109:$A$113,0)),0.20)</f>
        <v/>
      </c>
      <c r="BL15" s="25">
        <f>IFERROR(INDEX('_CONFIG_Model_Settings'!$D$109:$D$113,MATCH($BI15,'_CONFIG_Model_Settings'!$A$109:$A$113,0)),0.25)</f>
        <v/>
      </c>
      <c r="BM15" s="25">
        <f>IFERROR(INDEX('_CONFIG_Model_Settings'!$E$109:$E$113,MATCH($BI15,'_CONFIG_Model_Settings'!$A$109:$A$113,0)),0.25)</f>
        <v/>
      </c>
      <c r="BN15" s="25">
        <f>IFERROR(INDEX('_CONFIG_Model_Settings'!$B$117:$B$123,MATCH('_CONFIG_Model_Settings'!$B$104,'_CONFIG_Model_Settings'!$A$117:$A$123,0)),1)</f>
        <v/>
      </c>
      <c r="BO15" s="25">
        <f>IFERROR(INDEX('_CONFIG_Model_Settings'!$C$117:$C$123,MATCH('_CONFIG_Model_Settings'!$B$104,'_CONFIG_Model_Settings'!$A$117:$A$123,0)),1)</f>
        <v/>
      </c>
      <c r="BP15" s="25">
        <f>IFERROR(INDEX('_CONFIG_Model_Settings'!$D$117:$D$123,MATCH('_CONFIG_Model_Settings'!$B$104,'_CONFIG_Model_Settings'!$A$117:$A$123,0)),1)</f>
        <v/>
      </c>
      <c r="BQ15" s="25">
        <f>IFERROR(INDEX('_CONFIG_Model_Settings'!$E$117:$E$123,MATCH('_CONFIG_Model_Settings'!$B$104,'_CONFIG_Model_Settings'!$A$117:$A$123,0)),1)</f>
        <v/>
      </c>
      <c r="BR15" s="25">
        <f>IF($A15="","",MIN(5,IFERROR(SUMIF('_DATA_Mappings'!$A:$A,$A15,'_DATA_Mappings'!$K:$K)/MAX(1,'_CONFIG_Model_Settings'!$B$105),0)))</f>
        <v/>
      </c>
      <c r="BS15" s="25">
        <f>IF($A15="","",ROUND((N($X15)*N($BJ15)*N($BN15)+N($Y15)*N($BK15)*N($BO15)+N($BD15)*N($BL15)*N($BP15)+N($AA15)*N($BM15)*N($BQ15)+N($BR15)*N('_CONFIG_Model_Settings'!$B$106))/(N($BJ15)*N($BN15)+N($BK15)*N($BO15)+N($BL15)*N($BP15)+N($BM15)*N($BQ15)+N('_CONFIG_Model_Settings'!$B$106)),2))</f>
        <v/>
      </c>
      <c r="BT15" s="25">
        <f>IF($A15="","",MAX(1,N($AB15)))</f>
        <v/>
      </c>
      <c r="BU15" s="25">
        <f>IF(OR($BS15="",$BT15=0),"",ROUND($BS15/$BT15,2))</f>
        <v/>
      </c>
      <c r="BV15" s="25">
        <f>IF(OR($BU15="",$AY15="Done",$AY15="Not applicable"),"",ROUND($BU15*N($AS15),2))</f>
        <v/>
      </c>
      <c r="BW15" s="25">
        <f>IF($BV15="","",_xlfn.RANK.EQ($BV15,$BV$5:$BV$76,0)+COUNTIF($BV$5:$BV15,$BV15)-1)</f>
        <v/>
      </c>
      <c r="BX15" s="25">
        <f>IF($BW15="","",IF($BW15&lt;=cfg_TimelineBucket1,"0-90 days",IF($BW15&lt;=cfg_TimelineBucket2,"3-6 months",IF($BW15&lt;=cfg_TimelineBucket3,"6-12 months","12+ months"))))</f>
        <v/>
      </c>
      <c r="BY15" s="25">
        <f>IF($A15="","","P2: "&amp;$BI15&amp;" posture; objective="&amp;'_CONFIG_Model_Settings'!$B$104&amp;"; financial score="&amp;ROUND(N($BR15),1)&amp;"; CoD="&amp;$BS15)</f>
        <v/>
      </c>
    </row>
    <row r="16" ht="42" customHeight="1" s="209">
      <c r="A16" s="25" t="inlineStr">
        <is>
          <t>INI-012</t>
        </is>
      </c>
      <c r="B16" s="25" t="inlineStr">
        <is>
          <t>HR Workforce</t>
        </is>
      </c>
      <c r="C16" s="25" t="inlineStr">
        <is>
          <t>Recruitment and retention</t>
        </is>
      </c>
      <c r="D16" s="25" t="inlineStr">
        <is>
          <t>Workforce Resilience Strategy</t>
        </is>
      </c>
      <c r="E16" s="25" t="inlineStr">
        <is>
          <t>STR-06</t>
        </is>
      </c>
      <c r="F16" s="25" t="inlineStr">
        <is>
          <t>Build recruitment, retention and succession resilience plan</t>
        </is>
      </c>
      <c r="G16" s="25" t="inlineStr">
        <is>
          <t>Close maturity gaps in recruitment and retention by assigning ownership, documenting the process, connecting it to evidence and systems, testing it against crisis scenarios and measuring improvement.</t>
        </is>
      </c>
      <c r="H16" s="25" t="inlineStr">
        <is>
          <t>People, critical roles and knowledge continuity</t>
        </is>
      </c>
      <c r="I16" s="25" t="inlineStr">
        <is>
          <t>War / security crisis; Pandemic / health crisis; Workforce availability crisis</t>
        </is>
      </c>
      <c r="J16" s="25" t="inlineStr">
        <is>
          <t>HRWO-007; HRWO-008; HRWO-009; HRWO-010; HRWO-011; HRWO-012</t>
        </is>
      </c>
      <c r="K16" s="25" t="n">
        <v>6</v>
      </c>
      <c r="L16" s="25">
        <f>COUNTIFS('_ENGINE_Risk'!$C$500:$C$923,$B16,'_ENGINE_Risk'!$D$500:$D$923,$C16,'_ENGINE_Risk'!$B$500:$B$923,"Yes")</f>
        <v/>
      </c>
      <c r="M16" s="25">
        <f>COUNTIFS('_ENGINE_Risk'!$C$500:$C$923,$B16,'_ENGINE_Risk'!$D$500:$D$923,$C16,'_ENGINE_Risk'!$B$500:$B$923,"Yes")</f>
        <v/>
      </c>
      <c r="N16" s="25">
        <f>IFERROR(AVERAGEIFS(_DATA_Assessment_Model!$H$5:$H$428,_DATA_Assessment_Model!$AW$5:$AW$428,$B16,_DATA_Assessment_Model!$B$5:$B$428,$C16),"")</f>
        <v/>
      </c>
      <c r="O16" s="25">
        <f>IF($N16="","",MAX(0,5-$N16))</f>
        <v/>
      </c>
      <c r="P16" s="25">
        <f>IFERROR(INDEX(_DATA_Dashboard_Facts!$H$5:$H$21,MATCH($B16,_DATA_Dashboard_Facts!$A$5:$A$21,0)),"")</f>
        <v/>
      </c>
      <c r="Q16" s="25">
        <f>IF($P16="","",MAX(0,5-$P16))</f>
        <v/>
      </c>
      <c r="R16" s="25">
        <f>IFERROR(SUMIFS(_ENGINE_Crisis!$D$5:$D$208,_ENGINE_Crisis!$A$5:$A$208,'Resilience &amp; Risk Scenario'!$B$6,_ENGINE_Crisis!$B$5:$B$208,$B16),1)</f>
        <v/>
      </c>
      <c r="S16" s="25">
        <f>IFERROR(INDEX('_ENGINE_Strategy'!$A$100:$A$113,MATCH($D16,'_ENGINE_Strategy'!$B$100:$B$113,0)),99)</f>
        <v/>
      </c>
      <c r="T16" s="25">
        <f>IFERROR(INDEX('_ENGINE_Strategy'!$J$100:$J$113,MATCH($D16,'_ENGINE_Strategy'!$B$100:$B$113,0)),0)</f>
        <v/>
      </c>
      <c r="U16" s="25" t="n">
        <v>3</v>
      </c>
      <c r="V16" s="25" t="n">
        <v>5</v>
      </c>
      <c r="W16" s="25" t="n">
        <v>4</v>
      </c>
      <c r="X16" s="25">
        <f>MAX(1,MIN(5,(N($O16)*0.50)+(N($Q16)*0.25)+((N($T16)/20)*0.25)))</f>
        <v/>
      </c>
      <c r="Y16" s="25">
        <f>MAX(1,MIN(5,(($R16-1)*1.6)+('Resilience &amp; Risk Scenario'!$B$7*0.45)+IF($S16&lt;=3,0.8,0)))</f>
        <v/>
      </c>
      <c r="Z16" s="25">
        <f>MAX(1,MIN(5,(N($O16)*0.45)+(MIN(5,5*N($M16)/MAX(1,N($K16)))*0.35)+(N($V16)*0.20)))</f>
        <v/>
      </c>
      <c r="AA16" s="25">
        <f>MAX(1,MIN(5,($U16*0.40)+($W16*0.30)+(($T16/20)*0.30)))</f>
        <v/>
      </c>
      <c r="AB16" s="25" t="n">
        <v>3</v>
      </c>
      <c r="AC16" s="25">
        <f>IF($AB16=0,"",ROUND((N($X16)+N($Y16)+N($Z16)+N($AA16))/$AB16,2))</f>
        <v/>
      </c>
      <c r="AD16" s="25">
        <f>IF($AC16="","",_xlfn.RANK.EQ($AC16,$AC$5:$AC$76,0)+COUNTIF($AC$5:$AC16,$AC16)-1)</f>
        <v/>
      </c>
      <c r="AE16" s="25">
        <f>IF($AD16="","",IF($AD16&lt;=cfg_TimelineBucket1,"0-90 days",IF($AD16&lt;=cfg_TimelineBucket2,"3-6 months",IF($AD16&lt;=cfg_TimelineBucket3,"6-12 months","12+ months"))))</f>
        <v/>
      </c>
      <c r="AF16" s="25" t="inlineStr">
        <is>
          <t>CHRO / HR Director</t>
        </is>
      </c>
      <c r="AG16" s="25" t="inlineStr">
        <is>
          <t>2-3 months</t>
        </is>
      </c>
      <c r="AH16" s="25" t="inlineStr">
        <is>
          <t>Executive sponsor; accountable process owner; baseline evidence; risk acceptance threshold</t>
        </is>
      </c>
      <c r="AI16" s="25" t="inlineStr">
        <is>
          <t>maturity score improvement; open risk reduction; evidence completeness; control test pass rate</t>
        </is>
      </c>
      <c r="AJ16" s="25" t="inlineStr">
        <is>
          <t>Documented recruitment and retention operating model, owner/RACI, KPI set, evidence pack, tested crisis playbook and improvement backlog.</t>
        </is>
      </c>
      <c r="AK16" s="25" t="inlineStr">
        <is>
          <t>Counts active next-level recommendations for HR Workforce / Recruitment and retention.</t>
        </is>
      </c>
      <c r="AL16" s="25" t="inlineStr">
        <is>
          <t>Counts active risks and risk scores for HR Workforce / Recruitment and retention.</t>
        </is>
      </c>
      <c r="AM16" s="25" t="inlineStr">
        <is>
          <t>Uses the current rank and total score of Workforce Resilience Strategy.</t>
        </is>
      </c>
      <c r="AN16" s="25" t="inlineStr">
        <is>
          <t>Trigger when avg score &lt; 4, active risk exists, active recommendation exists or strategy rank &lt;= 3.</t>
        </is>
      </c>
      <c r="AO16" s="25" t="inlineStr">
        <is>
          <t>Not started</t>
        </is>
      </c>
      <c r="AP16" s="25" t="inlineStr">
        <is>
          <t>Medium</t>
        </is>
      </c>
      <c r="AQ16" s="25" t="n"/>
      <c r="AR16" s="25" t="n"/>
      <c r="AS16" s="247">
        <f>IFERROR(IF(SUMIFS(_REF_Model_Content!$J$1:$J$157,_REF_Model_Content!$A$1:$A$157,'Company Profile'!$B$9,_REF_Model_Content!$B$1:$B$157,$B16)=0,1,SUMIFS(_REF_Model_Content!$J$1:$J$157,_REF_Model_Content!$A$1:$A$157,'Company Profile'!$B$9,_REF_Model_Content!$B$1:$B$157,$B16)),1)</f>
        <v/>
      </c>
      <c r="AT16" s="247">
        <f>IF(OR($AY16="Done",$AY16="Not applicable"),"",IF($AC16="","",ROUND(N($AC16)*N($AS16),2)))</f>
        <v/>
      </c>
      <c r="AU16" s="247">
        <f>IF($AT16="","",_xlfn.RANK.EQ($AT16,$AT$5:$AT$76,0)+COUNTIF($AT$5:AT16,$AT16)-1)</f>
        <v/>
      </c>
      <c r="AV16" s="247">
        <f>IFERROR(INDEX('_DATA_Dashboard_Facts'!$G$300:$G$316,MATCH($B16,'_DATA_Dashboard_Facts'!$A$300:$A$316,0)),"")</f>
        <v/>
      </c>
      <c r="AW16" s="247">
        <f>IF($AS16&gt;cfg_IndPriorityHigh,"Industry template increases priority",IF($AS16&lt;cfg_IndPriorityLow,"Industry template lowers priority","Industry-neutral priority"))</f>
        <v/>
      </c>
      <c r="AX16">
        <f>IFERROR(INDEX('Action Plan &amp; Roadmap'!$D$59:$D$130,MATCH($A16,'Action Plan &amp; Roadmap'!$A$59:$A$130,0)),"")</f>
      </c>
      <c r="AY16">
        <f>IF($AX16&lt;&gt;"",$AX16,IF($AO16="","Not started",$AO16))</f>
        <v/>
      </c>
      <c r="AZ16" t="inlineStr">
        <is>
          <t>Percentage of total employee headcount that is unionized; Average fully loaded salary for middle management or specialists</t>
        </is>
      </c>
      <c r="BA16">
        <f>IF($A16="","",COUNTIF('_DATA_Mappings'!$A:$A,$A16))</f>
        <v/>
      </c>
      <c r="BB16">
        <f>IF($A16="","",IFERROR(AVERAGEIF('_DATA_Mappings'!$A:$A,$A16,'_DATA_Mappings'!$G:$G),0))</f>
        <v/>
      </c>
      <c r="BC16">
        <f>IF($A16="","",MAX(0,MIN(5,(N($O16)*0.50)+(N($V16)*0.30)+(N($W16)*0.20))))</f>
        <v/>
      </c>
      <c r="BD16">
        <f>IF($A16="","",MAX(1,MIN(5,($Z16*0.45)+(MIN(5,$BB16/5)*0.35)+($BC16*0.20))))</f>
        <v/>
      </c>
      <c r="BE16">
        <f>IF($AB16=0,"",ROUND((N($X16)+N($Y16)+N($BD16)+N($AA16))/$AB16,2))</f>
        <v/>
      </c>
      <c r="BF16">
        <f>IF(OR($BE16="",$AY16="Done",$AY16="Not applicable"),"",ROUND($BE16*N($AS16),2))</f>
        <v/>
      </c>
      <c r="BG16">
        <f>IF($BF16="","",_xlfn.RANK.EQ($BF16,$BF$5:$BF$76,0)+COUNTIF($BF$5:$BF16,$BF16)-1)</f>
        <v/>
      </c>
      <c r="BH16">
        <f>IF($A16="","",IF($BB16&gt;20,"High P1 risk pressure",IF($BB16&gt;12,"Moderate P1 risk pressure","Lower P1 risk pressure")))</f>
        <v/>
      </c>
      <c r="BI16" s="25">
        <f>'_CONFIG_Model_Settings'!$B$103</f>
        <v/>
      </c>
      <c r="BJ16" s="25">
        <f>IFERROR(INDEX('_CONFIG_Model_Settings'!$B$109:$B$113,MATCH($BI16,'_CONFIG_Model_Settings'!$A$109:$A$113,0)),0.30)</f>
        <v/>
      </c>
      <c r="BK16" s="25">
        <f>IFERROR(INDEX('_CONFIG_Model_Settings'!$C$109:$C$113,MATCH($BI16,'_CONFIG_Model_Settings'!$A$109:$A$113,0)),0.20)</f>
        <v/>
      </c>
      <c r="BL16" s="25">
        <f>IFERROR(INDEX('_CONFIG_Model_Settings'!$D$109:$D$113,MATCH($BI16,'_CONFIG_Model_Settings'!$A$109:$A$113,0)),0.25)</f>
        <v/>
      </c>
      <c r="BM16" s="25">
        <f>IFERROR(INDEX('_CONFIG_Model_Settings'!$E$109:$E$113,MATCH($BI16,'_CONFIG_Model_Settings'!$A$109:$A$113,0)),0.25)</f>
        <v/>
      </c>
      <c r="BN16" s="25">
        <f>IFERROR(INDEX('_CONFIG_Model_Settings'!$B$117:$B$123,MATCH('_CONFIG_Model_Settings'!$B$104,'_CONFIG_Model_Settings'!$A$117:$A$123,0)),1)</f>
        <v/>
      </c>
      <c r="BO16" s="25">
        <f>IFERROR(INDEX('_CONFIG_Model_Settings'!$C$117:$C$123,MATCH('_CONFIG_Model_Settings'!$B$104,'_CONFIG_Model_Settings'!$A$117:$A$123,0)),1)</f>
        <v/>
      </c>
      <c r="BP16" s="25">
        <f>IFERROR(INDEX('_CONFIG_Model_Settings'!$D$117:$D$123,MATCH('_CONFIG_Model_Settings'!$B$104,'_CONFIG_Model_Settings'!$A$117:$A$123,0)),1)</f>
        <v/>
      </c>
      <c r="BQ16" s="25">
        <f>IFERROR(INDEX('_CONFIG_Model_Settings'!$E$117:$E$123,MATCH('_CONFIG_Model_Settings'!$B$104,'_CONFIG_Model_Settings'!$A$117:$A$123,0)),1)</f>
        <v/>
      </c>
      <c r="BR16" s="25">
        <f>IF($A16="","",MIN(5,IFERROR(SUMIF('_DATA_Mappings'!$A:$A,$A16,'_DATA_Mappings'!$K:$K)/MAX(1,'_CONFIG_Model_Settings'!$B$105),0)))</f>
        <v/>
      </c>
      <c r="BS16" s="25">
        <f>IF($A16="","",ROUND((N($X16)*N($BJ16)*N($BN16)+N($Y16)*N($BK16)*N($BO16)+N($BD16)*N($BL16)*N($BP16)+N($AA16)*N($BM16)*N($BQ16)+N($BR16)*N('_CONFIG_Model_Settings'!$B$106))/(N($BJ16)*N($BN16)+N($BK16)*N($BO16)+N($BL16)*N($BP16)+N($BM16)*N($BQ16)+N('_CONFIG_Model_Settings'!$B$106)),2))</f>
        <v/>
      </c>
      <c r="BT16" s="25">
        <f>IF($A16="","",MAX(1,N($AB16)))</f>
        <v/>
      </c>
      <c r="BU16" s="25">
        <f>IF(OR($BS16="",$BT16=0),"",ROUND($BS16/$BT16,2))</f>
        <v/>
      </c>
      <c r="BV16" s="25">
        <f>IF(OR($BU16="",$AY16="Done",$AY16="Not applicable"),"",ROUND($BU16*N($AS16),2))</f>
        <v/>
      </c>
      <c r="BW16" s="25">
        <f>IF($BV16="","",_xlfn.RANK.EQ($BV16,$BV$5:$BV$76,0)+COUNTIF($BV$5:$BV16,$BV16)-1)</f>
        <v/>
      </c>
      <c r="BX16" s="25">
        <f>IF($BW16="","",IF($BW16&lt;=cfg_TimelineBucket1,"0-90 days",IF($BW16&lt;=cfg_TimelineBucket2,"3-6 months",IF($BW16&lt;=cfg_TimelineBucket3,"6-12 months","12+ months"))))</f>
        <v/>
      </c>
      <c r="BY16" s="25">
        <f>IF($A16="","","P2: "&amp;$BI16&amp;" posture; objective="&amp;'_CONFIG_Model_Settings'!$B$104&amp;"; financial score="&amp;ROUND(N($BR16),1)&amp;"; CoD="&amp;$BS16)</f>
        <v/>
      </c>
    </row>
    <row r="17" ht="42" customHeight="1" s="209">
      <c r="A17" s="25" t="inlineStr">
        <is>
          <t>INI-013</t>
        </is>
      </c>
      <c r="B17" s="25" t="inlineStr">
        <is>
          <t>HR Workforce</t>
        </is>
      </c>
      <c r="C17" s="25" t="inlineStr">
        <is>
          <t>Continuity and wellbeing</t>
        </is>
      </c>
      <c r="D17" s="25" t="inlineStr">
        <is>
          <t>Workforce Resilience Strategy</t>
        </is>
      </c>
      <c r="E17" s="25" t="inlineStr">
        <is>
          <t>STR-06</t>
        </is>
      </c>
      <c r="F17" s="25" t="inlineStr">
        <is>
          <t>Implement workforce continuity, wellbeing and availability playbook</t>
        </is>
      </c>
      <c r="G17" s="25" t="inlineStr">
        <is>
          <t>Close maturity gaps in continuity and wellbeing by assigning ownership, documenting the process, connecting it to evidence and systems, testing it against crisis scenarios and measuring improvement.</t>
        </is>
      </c>
      <c r="H17" s="25" t="inlineStr">
        <is>
          <t>People, critical roles and knowledge continuity</t>
        </is>
      </c>
      <c r="I17" s="25" t="inlineStr">
        <is>
          <t>War / security crisis; Pandemic / health crisis; Workforce availability crisis</t>
        </is>
      </c>
      <c r="J17" s="25" t="inlineStr">
        <is>
          <t>HRWO-013; HRWO-014; HRWO-015; HRWO-016; HRWO-017; HRWO-018; HRWO-019</t>
        </is>
      </c>
      <c r="K17" s="25" t="n">
        <v>7</v>
      </c>
      <c r="L17" s="25">
        <f>COUNTIFS('_ENGINE_Risk'!$C$500:$C$923,$B17,'_ENGINE_Risk'!$D$500:$D$923,$C17,'_ENGINE_Risk'!$B$500:$B$923,"Yes")</f>
        <v/>
      </c>
      <c r="M17" s="25">
        <f>COUNTIFS('_ENGINE_Risk'!$C$500:$C$923,$B17,'_ENGINE_Risk'!$D$500:$D$923,$C17,'_ENGINE_Risk'!$B$500:$B$923,"Yes")</f>
        <v/>
      </c>
      <c r="N17" s="25">
        <f>IFERROR(AVERAGEIFS(_DATA_Assessment_Model!$H$5:$H$428,_DATA_Assessment_Model!$AW$5:$AW$428,$B17,_DATA_Assessment_Model!$B$5:$B$428,$C17),"")</f>
        <v/>
      </c>
      <c r="O17" s="25">
        <f>IF($N17="","",MAX(0,5-$N17))</f>
        <v/>
      </c>
      <c r="P17" s="25">
        <f>IFERROR(INDEX(_DATA_Dashboard_Facts!$H$5:$H$21,MATCH($B17,_DATA_Dashboard_Facts!$A$5:$A$21,0)),"")</f>
        <v/>
      </c>
      <c r="Q17" s="25">
        <f>IF($P17="","",MAX(0,5-$P17))</f>
        <v/>
      </c>
      <c r="R17" s="25">
        <f>IFERROR(SUMIFS(_ENGINE_Crisis!$D$5:$D$208,_ENGINE_Crisis!$A$5:$A$208,'Resilience &amp; Risk Scenario'!$B$6,_ENGINE_Crisis!$B$5:$B$208,$B17),1)</f>
        <v/>
      </c>
      <c r="S17" s="25">
        <f>IFERROR(INDEX('_ENGINE_Strategy'!$A$100:$A$113,MATCH($D17,'_ENGINE_Strategy'!$B$100:$B$113,0)),99)</f>
        <v/>
      </c>
      <c r="T17" s="25">
        <f>IFERROR(INDEX('_ENGINE_Strategy'!$J$100:$J$113,MATCH($D17,'_ENGINE_Strategy'!$B$100:$B$113,0)),0)</f>
        <v/>
      </c>
      <c r="U17" s="25" t="n">
        <v>3</v>
      </c>
      <c r="V17" s="25" t="n">
        <v>5</v>
      </c>
      <c r="W17" s="25" t="n">
        <v>4</v>
      </c>
      <c r="X17" s="25">
        <f>MAX(1,MIN(5,(N($O17)*0.50)+(N($Q17)*0.25)+((N($T17)/20)*0.25)))</f>
        <v/>
      </c>
      <c r="Y17" s="25">
        <f>MAX(1,MIN(5,(($R17-1)*1.6)+('Resilience &amp; Risk Scenario'!$B$7*0.45)+IF($S17&lt;=3,0.8,0)))</f>
        <v/>
      </c>
      <c r="Z17" s="25">
        <f>MAX(1,MIN(5,(N($O17)*0.45)+(MIN(5,5*N($M17)/MAX(1,N($K17)))*0.35)+(N($V17)*0.20)))</f>
        <v/>
      </c>
      <c r="AA17" s="25">
        <f>MAX(1,MIN(5,($U17*0.40)+($W17*0.30)+(($T17/20)*0.30)))</f>
        <v/>
      </c>
      <c r="AB17" s="25" t="n">
        <v>3</v>
      </c>
      <c r="AC17" s="25">
        <f>IF($AB17=0,"",ROUND((N($X17)+N($Y17)+N($Z17)+N($AA17))/$AB17,2))</f>
        <v/>
      </c>
      <c r="AD17" s="25">
        <f>IF($AC17="","",_xlfn.RANK.EQ($AC17,$AC$5:$AC$76,0)+COUNTIF($AC$5:$AC17,$AC17)-1)</f>
        <v/>
      </c>
      <c r="AE17" s="25">
        <f>IF($AD17="","",IF($AD17&lt;=cfg_TimelineBucket1,"0-90 days",IF($AD17&lt;=cfg_TimelineBucket2,"3-6 months",IF($AD17&lt;=cfg_TimelineBucket3,"6-12 months","12+ months"))))</f>
        <v/>
      </c>
      <c r="AF17" s="25" t="inlineStr">
        <is>
          <t>CHRO / HR Director</t>
        </is>
      </c>
      <c r="AG17" s="25" t="inlineStr">
        <is>
          <t>2-3 months</t>
        </is>
      </c>
      <c r="AH17" s="25" t="inlineStr">
        <is>
          <t>Executive sponsor; accountable process owner; baseline evidence; risk acceptance threshold</t>
        </is>
      </c>
      <c r="AI17" s="25" t="inlineStr">
        <is>
          <t>maturity score improvement; open risk reduction; evidence completeness; control test pass rate</t>
        </is>
      </c>
      <c r="AJ17" s="25" t="inlineStr">
        <is>
          <t>Documented continuity and wellbeing operating model, owner/RACI, KPI set, evidence pack, tested crisis playbook and improvement backlog.</t>
        </is>
      </c>
      <c r="AK17" s="25" t="inlineStr">
        <is>
          <t>Counts active next-level recommendations for HR Workforce / Continuity and wellbeing.</t>
        </is>
      </c>
      <c r="AL17" s="25" t="inlineStr">
        <is>
          <t>Counts active risks and risk scores for HR Workforce / Continuity and wellbeing.</t>
        </is>
      </c>
      <c r="AM17" s="25" t="inlineStr">
        <is>
          <t>Uses the current rank and total score of Workforce Resilience Strategy.</t>
        </is>
      </c>
      <c r="AN17" s="25" t="inlineStr">
        <is>
          <t>Trigger when avg score &lt; 4, active risk exists, active recommendation exists or strategy rank &lt;= 3.</t>
        </is>
      </c>
      <c r="AO17" s="25" t="inlineStr">
        <is>
          <t>Not started</t>
        </is>
      </c>
      <c r="AP17" s="25" t="inlineStr">
        <is>
          <t>Medium</t>
        </is>
      </c>
      <c r="AQ17" s="25" t="n"/>
      <c r="AR17" s="25" t="n"/>
      <c r="AS17" s="247">
        <f>IFERROR(IF(SUMIFS(_REF_Model_Content!$J$1:$J$157,_REF_Model_Content!$A$1:$A$157,'Company Profile'!$B$9,_REF_Model_Content!$B$1:$B$157,$B17)=0,1,SUMIFS(_REF_Model_Content!$J$1:$J$157,_REF_Model_Content!$A$1:$A$157,'Company Profile'!$B$9,_REF_Model_Content!$B$1:$B$157,$B17)),1)</f>
        <v/>
      </c>
      <c r="AT17" s="247">
        <f>IF(OR($AY17="Done",$AY17="Not applicable"),"",IF($AC17="","",ROUND(N($AC17)*N($AS17),2)))</f>
        <v/>
      </c>
      <c r="AU17" s="247">
        <f>IF($AT17="","",_xlfn.RANK.EQ($AT17,$AT$5:$AT$76,0)+COUNTIF($AT$5:AT17,$AT17)-1)</f>
        <v/>
      </c>
      <c r="AV17" s="247">
        <f>IFERROR(INDEX('_DATA_Dashboard_Facts'!$G$300:$G$316,MATCH($B17,'_DATA_Dashboard_Facts'!$A$300:$A$316,0)),"")</f>
        <v/>
      </c>
      <c r="AW17" s="247">
        <f>IF($AS17&gt;cfg_IndPriorityHigh,"Industry template increases priority",IF($AS17&lt;cfg_IndPriorityLow,"Industry template lowers priority","Industry-neutral priority"))</f>
        <v/>
      </c>
      <c r="AX17">
        <f>IFERROR(INDEX('Action Plan &amp; Roadmap'!$D$59:$D$130,MATCH($A17,'Action Plan &amp; Roadmap'!$A$59:$A$130,0)),"")</f>
      </c>
      <c r="AY17">
        <f>IF($AX17&lt;&gt;"",$AX17,IF($AO17="","Not started",$AO17))</f>
        <v/>
      </c>
      <c r="AZ17" t="inlineStr">
        <is>
          <t>Percentage of total employee headcount that is unionized; Average fully loaded salary for middle management or specialists</t>
        </is>
      </c>
      <c r="BA17">
        <f>IF($A17="","",COUNTIF('_DATA_Mappings'!$A:$A,$A17))</f>
        <v/>
      </c>
      <c r="BB17">
        <f>IF($A17="","",IFERROR(AVERAGEIF('_DATA_Mappings'!$A:$A,$A17,'_DATA_Mappings'!$G:$G),0))</f>
        <v/>
      </c>
      <c r="BC17">
        <f>IF($A17="","",MAX(0,MIN(5,(N($O17)*0.50)+(N($V17)*0.30)+(N($W17)*0.20))))</f>
        <v/>
      </c>
      <c r="BD17">
        <f>IF($A17="","",MAX(1,MIN(5,($Z17*0.45)+(MIN(5,$BB17/5)*0.35)+($BC17*0.20))))</f>
        <v/>
      </c>
      <c r="BE17">
        <f>IF($AB17=0,"",ROUND((N($X17)+N($Y17)+N($BD17)+N($AA17))/$AB17,2))</f>
        <v/>
      </c>
      <c r="BF17">
        <f>IF(OR($BE17="",$AY17="Done",$AY17="Not applicable"),"",ROUND($BE17*N($AS17),2))</f>
        <v/>
      </c>
      <c r="BG17">
        <f>IF($BF17="","",_xlfn.RANK.EQ($BF17,$BF$5:$BF$76,0)+COUNTIF($BF$5:$BF17,$BF17)-1)</f>
        <v/>
      </c>
      <c r="BH17">
        <f>IF($A17="","",IF($BB17&gt;20,"High P1 risk pressure",IF($BB17&gt;12,"Moderate P1 risk pressure","Lower P1 risk pressure")))</f>
        <v/>
      </c>
      <c r="BI17" s="25">
        <f>'_CONFIG_Model_Settings'!$B$103</f>
        <v/>
      </c>
      <c r="BJ17" s="25">
        <f>IFERROR(INDEX('_CONFIG_Model_Settings'!$B$109:$B$113,MATCH($BI17,'_CONFIG_Model_Settings'!$A$109:$A$113,0)),0.30)</f>
        <v/>
      </c>
      <c r="BK17" s="25">
        <f>IFERROR(INDEX('_CONFIG_Model_Settings'!$C$109:$C$113,MATCH($BI17,'_CONFIG_Model_Settings'!$A$109:$A$113,0)),0.20)</f>
        <v/>
      </c>
      <c r="BL17" s="25">
        <f>IFERROR(INDEX('_CONFIG_Model_Settings'!$D$109:$D$113,MATCH($BI17,'_CONFIG_Model_Settings'!$A$109:$A$113,0)),0.25)</f>
        <v/>
      </c>
      <c r="BM17" s="25">
        <f>IFERROR(INDEX('_CONFIG_Model_Settings'!$E$109:$E$113,MATCH($BI17,'_CONFIG_Model_Settings'!$A$109:$A$113,0)),0.25)</f>
        <v/>
      </c>
      <c r="BN17" s="25">
        <f>IFERROR(INDEX('_CONFIG_Model_Settings'!$B$117:$B$123,MATCH('_CONFIG_Model_Settings'!$B$104,'_CONFIG_Model_Settings'!$A$117:$A$123,0)),1)</f>
        <v/>
      </c>
      <c r="BO17" s="25">
        <f>IFERROR(INDEX('_CONFIG_Model_Settings'!$C$117:$C$123,MATCH('_CONFIG_Model_Settings'!$B$104,'_CONFIG_Model_Settings'!$A$117:$A$123,0)),1)</f>
        <v/>
      </c>
      <c r="BP17" s="25">
        <f>IFERROR(INDEX('_CONFIG_Model_Settings'!$D$117:$D$123,MATCH('_CONFIG_Model_Settings'!$B$104,'_CONFIG_Model_Settings'!$A$117:$A$123,0)),1)</f>
        <v/>
      </c>
      <c r="BQ17" s="25">
        <f>IFERROR(INDEX('_CONFIG_Model_Settings'!$E$117:$E$123,MATCH('_CONFIG_Model_Settings'!$B$104,'_CONFIG_Model_Settings'!$A$117:$A$123,0)),1)</f>
        <v/>
      </c>
      <c r="BR17" s="25">
        <f>IF($A17="","",MIN(5,IFERROR(SUMIF('_DATA_Mappings'!$A:$A,$A17,'_DATA_Mappings'!$K:$K)/MAX(1,'_CONFIG_Model_Settings'!$B$105),0)))</f>
        <v/>
      </c>
      <c r="BS17" s="25">
        <f>IF($A17="","",ROUND((N($X17)*N($BJ17)*N($BN17)+N($Y17)*N($BK17)*N($BO17)+N($BD17)*N($BL17)*N($BP17)+N($AA17)*N($BM17)*N($BQ17)+N($BR17)*N('_CONFIG_Model_Settings'!$B$106))/(N($BJ17)*N($BN17)+N($BK17)*N($BO17)+N($BL17)*N($BP17)+N($BM17)*N($BQ17)+N('_CONFIG_Model_Settings'!$B$106)),2))</f>
        <v/>
      </c>
      <c r="BT17" s="25">
        <f>IF($A17="","",MAX(1,N($AB17)))</f>
        <v/>
      </c>
      <c r="BU17" s="25">
        <f>IF(OR($BS17="",$BT17=0),"",ROUND($BS17/$BT17,2))</f>
        <v/>
      </c>
      <c r="BV17" s="25">
        <f>IF(OR($BU17="",$AY17="Done",$AY17="Not applicable"),"",ROUND($BU17*N($AS17),2))</f>
        <v/>
      </c>
      <c r="BW17" s="25">
        <f>IF($BV17="","",_xlfn.RANK.EQ($BV17,$BV$5:$BV$76,0)+COUNTIF($BV$5:$BV17,$BV17)-1)</f>
        <v/>
      </c>
      <c r="BX17" s="25">
        <f>IF($BW17="","",IF($BW17&lt;=cfg_TimelineBucket1,"0-90 days",IF($BW17&lt;=cfg_TimelineBucket2,"3-6 months",IF($BW17&lt;=cfg_TimelineBucket3,"6-12 months","12+ months"))))</f>
        <v/>
      </c>
      <c r="BY17" s="25">
        <f>IF($A17="","","P2: "&amp;$BI17&amp;" posture; objective="&amp;'_CONFIG_Model_Settings'!$B$104&amp;"; financial score="&amp;ROUND(N($BR17),1)&amp;"; CoD="&amp;$BS17)</f>
        <v/>
      </c>
    </row>
    <row r="18" ht="42" customHeight="1" s="209">
      <c r="A18" s="25" t="inlineStr">
        <is>
          <t>INI-014</t>
        </is>
      </c>
      <c r="B18" s="25" t="inlineStr">
        <is>
          <t>HR Workforce</t>
        </is>
      </c>
      <c r="C18" s="25" t="inlineStr">
        <is>
          <t>HR systems and compliance</t>
        </is>
      </c>
      <c r="D18" s="25" t="inlineStr">
        <is>
          <t>Workforce Resilience Strategy</t>
        </is>
      </c>
      <c r="E18" s="25" t="inlineStr">
        <is>
          <t>STR-06</t>
        </is>
      </c>
      <c r="F18" s="25" t="inlineStr">
        <is>
          <t>Stabilize HRMS, workforce data and HR compliance controls</t>
        </is>
      </c>
      <c r="G18" s="25" t="inlineStr">
        <is>
          <t>Close maturity gaps in hr systems and compliance by assigning ownership, documenting the process, connecting it to evidence and systems, testing it against crisis scenarios and measuring improvement.</t>
        </is>
      </c>
      <c r="H18" s="25" t="inlineStr">
        <is>
          <t>People, critical roles and knowledge continuity</t>
        </is>
      </c>
      <c r="I18" s="25" t="inlineStr">
        <is>
          <t>War / security crisis; Pandemic / health crisis; Workforce availability crisis</t>
        </is>
      </c>
      <c r="J18" s="25" t="inlineStr">
        <is>
          <t>HRWO-020; HRWO-021; HRWO-022; HRWO-023; HRWO-024</t>
        </is>
      </c>
      <c r="K18" s="25" t="n">
        <v>5</v>
      </c>
      <c r="L18" s="25">
        <f>COUNTIFS('_ENGINE_Risk'!$C$500:$C$923,$B18,'_ENGINE_Risk'!$D$500:$D$923,$C18,'_ENGINE_Risk'!$B$500:$B$923,"Yes")</f>
        <v/>
      </c>
      <c r="M18" s="25">
        <f>COUNTIFS('_ENGINE_Risk'!$C$500:$C$923,$B18,'_ENGINE_Risk'!$D$500:$D$923,$C18,'_ENGINE_Risk'!$B$500:$B$923,"Yes")</f>
        <v/>
      </c>
      <c r="N18" s="25">
        <f>IFERROR(AVERAGEIFS(_DATA_Assessment_Model!$H$5:$H$428,_DATA_Assessment_Model!$AW$5:$AW$428,$B18,_DATA_Assessment_Model!$B$5:$B$428,$C18),"")</f>
        <v/>
      </c>
      <c r="O18" s="25">
        <f>IF($N18="","",MAX(0,5-$N18))</f>
        <v/>
      </c>
      <c r="P18" s="25">
        <f>IFERROR(INDEX(_DATA_Dashboard_Facts!$H$5:$H$21,MATCH($B18,_DATA_Dashboard_Facts!$A$5:$A$21,0)),"")</f>
        <v/>
      </c>
      <c r="Q18" s="25">
        <f>IF($P18="","",MAX(0,5-$P18))</f>
        <v/>
      </c>
      <c r="R18" s="25">
        <f>IFERROR(SUMIFS(_ENGINE_Crisis!$D$5:$D$208,_ENGINE_Crisis!$A$5:$A$208,'Resilience &amp; Risk Scenario'!$B$6,_ENGINE_Crisis!$B$5:$B$208,$B18),1)</f>
        <v/>
      </c>
      <c r="S18" s="25">
        <f>IFERROR(INDEX('_ENGINE_Strategy'!$A$100:$A$113,MATCH($D18,'_ENGINE_Strategy'!$B$100:$B$113,0)),99)</f>
        <v/>
      </c>
      <c r="T18" s="25">
        <f>IFERROR(INDEX('_ENGINE_Strategy'!$J$100:$J$113,MATCH($D18,'_ENGINE_Strategy'!$B$100:$B$113,0)),0)</f>
        <v/>
      </c>
      <c r="U18" s="25" t="n">
        <v>3</v>
      </c>
      <c r="V18" s="25" t="n">
        <v>5</v>
      </c>
      <c r="W18" s="25" t="n">
        <v>4</v>
      </c>
      <c r="X18" s="25">
        <f>MAX(1,MIN(5,(N($O18)*0.50)+(N($Q18)*0.25)+((N($T18)/20)*0.25)))</f>
        <v/>
      </c>
      <c r="Y18" s="25">
        <f>MAX(1,MIN(5,(($R18-1)*1.6)+('Resilience &amp; Risk Scenario'!$B$7*0.45)+IF($S18&lt;=3,0.8,0)))</f>
        <v/>
      </c>
      <c r="Z18" s="25">
        <f>MAX(1,MIN(5,(N($O18)*0.45)+(MIN(5,5*N($M18)/MAX(1,N($K18)))*0.35)+(N($V18)*0.20)))</f>
        <v/>
      </c>
      <c r="AA18" s="25">
        <f>MAX(1,MIN(5,($U18*0.40)+($W18*0.30)+(($T18/20)*0.30)))</f>
        <v/>
      </c>
      <c r="AB18" s="25" t="n">
        <v>3</v>
      </c>
      <c r="AC18" s="25">
        <f>IF($AB18=0,"",ROUND((N($X18)+N($Y18)+N($Z18)+N($AA18))/$AB18,2))</f>
        <v/>
      </c>
      <c r="AD18" s="25">
        <f>IF($AC18="","",_xlfn.RANK.EQ($AC18,$AC$5:$AC$76,0)+COUNTIF($AC$5:$AC18,$AC18)-1)</f>
        <v/>
      </c>
      <c r="AE18" s="25">
        <f>IF($AD18="","",IF($AD18&lt;=cfg_TimelineBucket1,"0-90 days",IF($AD18&lt;=cfg_TimelineBucket2,"3-6 months",IF($AD18&lt;=cfg_TimelineBucket3,"6-12 months","12+ months"))))</f>
        <v/>
      </c>
      <c r="AF18" s="25" t="inlineStr">
        <is>
          <t>CHRO / HR Director</t>
        </is>
      </c>
      <c r="AG18" s="25" t="inlineStr">
        <is>
          <t>2-3 months</t>
        </is>
      </c>
      <c r="AH18" s="25" t="inlineStr">
        <is>
          <t>Executive sponsor; accountable process owner; baseline evidence; risk acceptance threshold</t>
        </is>
      </c>
      <c r="AI18" s="25" t="inlineStr">
        <is>
          <t>maturity score improvement; open risk reduction; evidence completeness; control test pass rate</t>
        </is>
      </c>
      <c r="AJ18" s="25" t="inlineStr">
        <is>
          <t>Documented hr systems and compliance operating model, owner/RACI, KPI set, evidence pack, tested crisis playbook and improvement backlog.</t>
        </is>
      </c>
      <c r="AK18" s="25" t="inlineStr">
        <is>
          <t>Counts active next-level recommendations for HR Workforce / HR systems and compliance.</t>
        </is>
      </c>
      <c r="AL18" s="25" t="inlineStr">
        <is>
          <t>Counts active risks and risk scores for HR Workforce / HR systems and compliance.</t>
        </is>
      </c>
      <c r="AM18" s="25" t="inlineStr">
        <is>
          <t>Uses the current rank and total score of Workforce Resilience Strategy.</t>
        </is>
      </c>
      <c r="AN18" s="25" t="inlineStr">
        <is>
          <t>Trigger when avg score &lt; 4, active risk exists, active recommendation exists or strategy rank &lt;= 3.</t>
        </is>
      </c>
      <c r="AO18" s="25" t="inlineStr">
        <is>
          <t>Not started</t>
        </is>
      </c>
      <c r="AP18" s="25" t="inlineStr">
        <is>
          <t>Medium</t>
        </is>
      </c>
      <c r="AQ18" s="25" t="n"/>
      <c r="AR18" s="25" t="n"/>
      <c r="AS18" s="247">
        <f>IFERROR(IF(SUMIFS(_REF_Model_Content!$J$1:$J$157,_REF_Model_Content!$A$1:$A$157,'Company Profile'!$B$9,_REF_Model_Content!$B$1:$B$157,$B18)=0,1,SUMIFS(_REF_Model_Content!$J$1:$J$157,_REF_Model_Content!$A$1:$A$157,'Company Profile'!$B$9,_REF_Model_Content!$B$1:$B$157,$B18)),1)</f>
        <v/>
      </c>
      <c r="AT18" s="247">
        <f>IF(OR($AY18="Done",$AY18="Not applicable"),"",IF($AC18="","",ROUND(N($AC18)*N($AS18),2)))</f>
        <v/>
      </c>
      <c r="AU18" s="247">
        <f>IF($AT18="","",_xlfn.RANK.EQ($AT18,$AT$5:$AT$76,0)+COUNTIF($AT$5:AT18,$AT18)-1)</f>
        <v/>
      </c>
      <c r="AV18" s="247">
        <f>IFERROR(INDEX('_DATA_Dashboard_Facts'!$G$300:$G$316,MATCH($B18,'_DATA_Dashboard_Facts'!$A$300:$A$316,0)),"")</f>
        <v/>
      </c>
      <c r="AW18" s="247">
        <f>IF($AS18&gt;cfg_IndPriorityHigh,"Industry template increases priority",IF($AS18&lt;cfg_IndPriorityLow,"Industry template lowers priority","Industry-neutral priority"))</f>
        <v/>
      </c>
      <c r="AX18">
        <f>IFERROR(INDEX('Action Plan &amp; Roadmap'!$D$59:$D$130,MATCH($A18,'Action Plan &amp; Roadmap'!$A$59:$A$130,0)),"")</f>
      </c>
      <c r="AY18">
        <f>IF($AX18&lt;&gt;"",$AX18,IF($AO18="","Not started",$AO18))</f>
        <v/>
      </c>
      <c r="AZ18" t="inlineStr">
        <is>
          <t>Percentage of total employee headcount that is unionized; Average fully loaded salary for middle management or specialists</t>
        </is>
      </c>
      <c r="BA18">
        <f>IF($A18="","",COUNTIF('_DATA_Mappings'!$A:$A,$A18))</f>
        <v/>
      </c>
      <c r="BB18">
        <f>IF($A18="","",IFERROR(AVERAGEIF('_DATA_Mappings'!$A:$A,$A18,'_DATA_Mappings'!$G:$G),0))</f>
        <v/>
      </c>
      <c r="BC18">
        <f>IF($A18="","",MAX(0,MIN(5,(N($O18)*0.50)+(N($V18)*0.30)+(N($W18)*0.20))))</f>
        <v/>
      </c>
      <c r="BD18">
        <f>IF($A18="","",MAX(1,MIN(5,($Z18*0.45)+(MIN(5,$BB18/5)*0.35)+($BC18*0.20))))</f>
        <v/>
      </c>
      <c r="BE18">
        <f>IF($AB18=0,"",ROUND((N($X18)+N($Y18)+N($BD18)+N($AA18))/$AB18,2))</f>
        <v/>
      </c>
      <c r="BF18">
        <f>IF(OR($BE18="",$AY18="Done",$AY18="Not applicable"),"",ROUND($BE18*N($AS18),2))</f>
        <v/>
      </c>
      <c r="BG18">
        <f>IF($BF18="","",_xlfn.RANK.EQ($BF18,$BF$5:$BF$76,0)+COUNTIF($BF$5:$BF18,$BF18)-1)</f>
        <v/>
      </c>
      <c r="BH18">
        <f>IF($A18="","",IF($BB18&gt;20,"High P1 risk pressure",IF($BB18&gt;12,"Moderate P1 risk pressure","Lower P1 risk pressure")))</f>
        <v/>
      </c>
      <c r="BI18" s="25">
        <f>'_CONFIG_Model_Settings'!$B$103</f>
        <v/>
      </c>
      <c r="BJ18" s="25">
        <f>IFERROR(INDEX('_CONFIG_Model_Settings'!$B$109:$B$113,MATCH($BI18,'_CONFIG_Model_Settings'!$A$109:$A$113,0)),0.30)</f>
        <v/>
      </c>
      <c r="BK18" s="25">
        <f>IFERROR(INDEX('_CONFIG_Model_Settings'!$C$109:$C$113,MATCH($BI18,'_CONFIG_Model_Settings'!$A$109:$A$113,0)),0.20)</f>
        <v/>
      </c>
      <c r="BL18" s="25">
        <f>IFERROR(INDEX('_CONFIG_Model_Settings'!$D$109:$D$113,MATCH($BI18,'_CONFIG_Model_Settings'!$A$109:$A$113,0)),0.25)</f>
        <v/>
      </c>
      <c r="BM18" s="25">
        <f>IFERROR(INDEX('_CONFIG_Model_Settings'!$E$109:$E$113,MATCH($BI18,'_CONFIG_Model_Settings'!$A$109:$A$113,0)),0.25)</f>
        <v/>
      </c>
      <c r="BN18" s="25">
        <f>IFERROR(INDEX('_CONFIG_Model_Settings'!$B$117:$B$123,MATCH('_CONFIG_Model_Settings'!$B$104,'_CONFIG_Model_Settings'!$A$117:$A$123,0)),1)</f>
        <v/>
      </c>
      <c r="BO18" s="25">
        <f>IFERROR(INDEX('_CONFIG_Model_Settings'!$C$117:$C$123,MATCH('_CONFIG_Model_Settings'!$B$104,'_CONFIG_Model_Settings'!$A$117:$A$123,0)),1)</f>
        <v/>
      </c>
      <c r="BP18" s="25">
        <f>IFERROR(INDEX('_CONFIG_Model_Settings'!$D$117:$D$123,MATCH('_CONFIG_Model_Settings'!$B$104,'_CONFIG_Model_Settings'!$A$117:$A$123,0)),1)</f>
        <v/>
      </c>
      <c r="BQ18" s="25">
        <f>IFERROR(INDEX('_CONFIG_Model_Settings'!$E$117:$E$123,MATCH('_CONFIG_Model_Settings'!$B$104,'_CONFIG_Model_Settings'!$A$117:$A$123,0)),1)</f>
        <v/>
      </c>
      <c r="BR18" s="25">
        <f>IF($A18="","",MIN(5,IFERROR(SUMIF('_DATA_Mappings'!$A:$A,$A18,'_DATA_Mappings'!$K:$K)/MAX(1,'_CONFIG_Model_Settings'!$B$105),0)))</f>
        <v/>
      </c>
      <c r="BS18" s="25">
        <f>IF($A18="","",ROUND((N($X18)*N($BJ18)*N($BN18)+N($Y18)*N($BK18)*N($BO18)+N($BD18)*N($BL18)*N($BP18)+N($AA18)*N($BM18)*N($BQ18)+N($BR18)*N('_CONFIG_Model_Settings'!$B$106))/(N($BJ18)*N($BN18)+N($BK18)*N($BO18)+N($BL18)*N($BP18)+N($BM18)*N($BQ18)+N('_CONFIG_Model_Settings'!$B$106)),2))</f>
        <v/>
      </c>
      <c r="BT18" s="25">
        <f>IF($A18="","",MAX(1,N($AB18)))</f>
        <v/>
      </c>
      <c r="BU18" s="25">
        <f>IF(OR($BS18="",$BT18=0),"",ROUND($BS18/$BT18,2))</f>
        <v/>
      </c>
      <c r="BV18" s="25">
        <f>IF(OR($BU18="",$AY18="Done",$AY18="Not applicable"),"",ROUND($BU18*N($AS18),2))</f>
        <v/>
      </c>
      <c r="BW18" s="25">
        <f>IF($BV18="","",_xlfn.RANK.EQ($BV18,$BV$5:$BV$76,0)+COUNTIF($BV$5:$BV18,$BV18)-1)</f>
        <v/>
      </c>
      <c r="BX18" s="25">
        <f>IF($BW18="","",IF($BW18&lt;=cfg_TimelineBucket1,"0-90 days",IF($BW18&lt;=cfg_TimelineBucket2,"3-6 months",IF($BW18&lt;=cfg_TimelineBucket3,"6-12 months","12+ months"))))</f>
        <v/>
      </c>
      <c r="BY18" s="25">
        <f>IF($A18="","","P2: "&amp;$BI18&amp;" posture; objective="&amp;'_CONFIG_Model_Settings'!$B$104&amp;"; financial score="&amp;ROUND(N($BR18),1)&amp;"; CoD="&amp;$BS18)</f>
        <v/>
      </c>
    </row>
    <row r="19" ht="42" customHeight="1" s="209">
      <c r="A19" s="25" t="inlineStr">
        <is>
          <t>INI-015</t>
        </is>
      </c>
      <c r="B19" s="25" t="inlineStr">
        <is>
          <t>Finance Procurement</t>
        </is>
      </c>
      <c r="C19" s="25" t="inlineStr">
        <is>
          <t>Financial resilience</t>
        </is>
      </c>
      <c r="D19" s="25" t="inlineStr">
        <is>
          <t>Business Continuity and Resilience Strategy</t>
        </is>
      </c>
      <c r="E19" s="25" t="inlineStr">
        <is>
          <t>STR-02</t>
        </is>
      </c>
      <c r="F19" s="25" t="inlineStr">
        <is>
          <t>Implement cash-flow resilience and financial scenario planning</t>
        </is>
      </c>
      <c r="G19" s="25" t="inlineStr">
        <is>
          <t>Close maturity gaps in financial resilience by assigning ownership, documenting the process, connecting it to evidence and systems, testing it against crisis scenarios and measuring improvement.</t>
        </is>
      </c>
      <c r="H19" s="25" t="inlineStr">
        <is>
          <t>Financial control and procurement resilience</t>
        </is>
      </c>
      <c r="I19" s="25" t="inlineStr">
        <is>
          <t>Financial liquidity crisis; Demand shock; Supplier / logistics disruption</t>
        </is>
      </c>
      <c r="J19" s="25" t="inlineStr">
        <is>
          <t>FINA-001; FINA-002; FINA-003; FINA-004; FINA-005; FINA-006</t>
        </is>
      </c>
      <c r="K19" s="25" t="n">
        <v>6</v>
      </c>
      <c r="L19" s="25">
        <f>COUNTIFS('_ENGINE_Risk'!$C$500:$C$923,$B19,'_ENGINE_Risk'!$D$500:$D$923,$C19,'_ENGINE_Risk'!$B$500:$B$923,"Yes")</f>
        <v/>
      </c>
      <c r="M19" s="25">
        <f>COUNTIFS('_ENGINE_Risk'!$C$500:$C$923,$B19,'_ENGINE_Risk'!$D$500:$D$923,$C19,'_ENGINE_Risk'!$B$500:$B$923,"Yes")</f>
        <v/>
      </c>
      <c r="N19" s="25">
        <f>IFERROR(AVERAGEIFS(_DATA_Assessment_Model!$H$5:$H$428,_DATA_Assessment_Model!$AW$5:$AW$428,$B19,_DATA_Assessment_Model!$B$5:$B$428,$C19),"")</f>
        <v/>
      </c>
      <c r="O19" s="25">
        <f>IF($N19="","",MAX(0,5-$N19))</f>
        <v/>
      </c>
      <c r="P19" s="25">
        <f>IFERROR(INDEX(_DATA_Dashboard_Facts!$H$5:$H$21,MATCH($B19,_DATA_Dashboard_Facts!$A$5:$A$21,0)),"")</f>
        <v/>
      </c>
      <c r="Q19" s="25">
        <f>IF($P19="","",MAX(0,5-$P19))</f>
        <v/>
      </c>
      <c r="R19" s="25">
        <f>IFERROR(SUMIFS(_ENGINE_Crisis!$D$5:$D$208,_ENGINE_Crisis!$A$5:$A$208,'Resilience &amp; Risk Scenario'!$B$6,_ENGINE_Crisis!$B$5:$B$208,$B19),1)</f>
        <v/>
      </c>
      <c r="S19" s="25">
        <f>IFERROR(INDEX('_ENGINE_Strategy'!$A$100:$A$113,MATCH($D19,'_ENGINE_Strategy'!$B$100:$B$113,0)),99)</f>
        <v/>
      </c>
      <c r="T19" s="25">
        <f>IFERROR(INDEX('_ENGINE_Strategy'!$J$100:$J$113,MATCH($D19,'_ENGINE_Strategy'!$B$100:$B$113,0)),0)</f>
        <v/>
      </c>
      <c r="U19" s="25" t="n">
        <v>2</v>
      </c>
      <c r="V19" s="25" t="n">
        <v>5</v>
      </c>
      <c r="W19" s="25" t="n">
        <v>4</v>
      </c>
      <c r="X19" s="25">
        <f>MAX(1,MIN(5,(N($O19)*0.50)+(N($Q19)*0.25)+((N($T19)/20)*0.25)))</f>
        <v/>
      </c>
      <c r="Y19" s="25">
        <f>MAX(1,MIN(5,(($R19-1)*1.6)+('Resilience &amp; Risk Scenario'!$B$7*0.45)+IF($S19&lt;=3,0.8,0)))</f>
        <v/>
      </c>
      <c r="Z19" s="25">
        <f>MAX(1,MIN(5,(N($O19)*0.45)+(MIN(5,5*N($M19)/MAX(1,N($K19)))*0.35)+(N($V19)*0.20)))</f>
        <v/>
      </c>
      <c r="AA19" s="25">
        <f>MAX(1,MIN(5,($U19*0.40)+($W19*0.30)+(($T19/20)*0.30)))</f>
        <v/>
      </c>
      <c r="AB19" s="25" t="n">
        <v>3</v>
      </c>
      <c r="AC19" s="25">
        <f>IF($AB19=0,"",ROUND((N($X19)+N($Y19)+N($Z19)+N($AA19))/$AB19,2))</f>
        <v/>
      </c>
      <c r="AD19" s="25">
        <f>IF($AC19="","",_xlfn.RANK.EQ($AC19,$AC$5:$AC$76,0)+COUNTIF($AC$5:$AC19,$AC19)-1)</f>
        <v/>
      </c>
      <c r="AE19" s="25">
        <f>IF($AD19="","",IF($AD19&lt;=cfg_TimelineBucket1,"0-90 days",IF($AD19&lt;=cfg_TimelineBucket2,"3-6 months",IF($AD19&lt;=cfg_TimelineBucket3,"6-12 months","12+ months"))))</f>
        <v/>
      </c>
      <c r="AF19" s="25" t="inlineStr">
        <is>
          <t>CFO / Procurement Lead</t>
        </is>
      </c>
      <c r="AG19" s="25" t="inlineStr">
        <is>
          <t>2-3 months</t>
        </is>
      </c>
      <c r="AH19" s="25" t="inlineStr">
        <is>
          <t>Executive sponsor; accountable process owner; baseline evidence; risk acceptance threshold</t>
        </is>
      </c>
      <c r="AI19" s="25" t="inlineStr">
        <is>
          <t>maturity score improvement; open risk reduction; evidence completeness; control test pass rate</t>
        </is>
      </c>
      <c r="AJ19" s="25" t="inlineStr">
        <is>
          <t>Documented financial resilience operating model, owner/RACI, KPI set, evidence pack, tested crisis playbook and improvement backlog.</t>
        </is>
      </c>
      <c r="AK19" s="25" t="inlineStr">
        <is>
          <t>Counts active next-level recommendations for Finance Procurement / Financial resilience.</t>
        </is>
      </c>
      <c r="AL19" s="25" t="inlineStr">
        <is>
          <t>Counts active risks and risk scores for Finance Procurement / Financial resilience.</t>
        </is>
      </c>
      <c r="AM19" s="25" t="inlineStr">
        <is>
          <t>Uses the current rank and total score of Business Continuity and Resilience Strategy.</t>
        </is>
      </c>
      <c r="AN19" s="25" t="inlineStr">
        <is>
          <t>Trigger when avg score &lt; 4, active risk exists, active recommendation exists or strategy rank &lt;= 3.</t>
        </is>
      </c>
      <c r="AO19" s="25" t="inlineStr">
        <is>
          <t>Not started</t>
        </is>
      </c>
      <c r="AP19" s="25" t="inlineStr">
        <is>
          <t>Medium</t>
        </is>
      </c>
      <c r="AQ19" s="25" t="n"/>
      <c r="AR19" s="25" t="n"/>
      <c r="AS19" s="247">
        <f>IFERROR(IF(SUMIFS(_REF_Model_Content!$J$1:$J$157,_REF_Model_Content!$A$1:$A$157,'Company Profile'!$B$9,_REF_Model_Content!$B$1:$B$157,$B19)=0,1,SUMIFS(_REF_Model_Content!$J$1:$J$157,_REF_Model_Content!$A$1:$A$157,'Company Profile'!$B$9,_REF_Model_Content!$B$1:$B$157,$B19)),1)</f>
        <v/>
      </c>
      <c r="AT19" s="247">
        <f>IF(OR($AY19="Done",$AY19="Not applicable"),"",IF($AC19="","",ROUND(N($AC19)*N($AS19),2)))</f>
        <v/>
      </c>
      <c r="AU19" s="247">
        <f>IF($AT19="","",_xlfn.RANK.EQ($AT19,$AT$5:$AT$76,0)+COUNTIF($AT$5:AT19,$AT19)-1)</f>
        <v/>
      </c>
      <c r="AV19" s="247">
        <f>IFERROR(INDEX('_DATA_Dashboard_Facts'!$G$300:$G$316,MATCH($B19,'_DATA_Dashboard_Facts'!$A$300:$A$316,0)),"")</f>
        <v/>
      </c>
      <c r="AW19" s="247">
        <f>IF($AS19&gt;cfg_IndPriorityHigh,"Industry template increases priority",IF($AS19&lt;cfg_IndPriorityLow,"Industry template lowers priority","Industry-neutral priority"))</f>
        <v/>
      </c>
      <c r="AX19">
        <f>IFERROR(INDEX('Action Plan &amp; Roadmap'!$D$59:$D$130,MATCH($A19,'Action Plan &amp; Roadmap'!$A$59:$A$130,0)),"")</f>
      </c>
      <c r="AY19">
        <f>IF($AX19&lt;&gt;"",$AX19,IF($AO19="","Not started",$AO19))</f>
        <v/>
      </c>
      <c r="AZ19" t="inlineStr">
        <is>
          <t>Other cost to perform the finance function per $100,000 revenue; Percentage of finance function IT costs allocated to transaction processing</t>
        </is>
      </c>
      <c r="BA19">
        <f>IF($A19="","",COUNTIF('_DATA_Mappings'!$A:$A,$A19))</f>
        <v/>
      </c>
      <c r="BB19">
        <f>IF($A19="","",IFERROR(AVERAGEIF('_DATA_Mappings'!$A:$A,$A19,'_DATA_Mappings'!$G:$G),0))</f>
        <v/>
      </c>
      <c r="BC19">
        <f>IF($A19="","",MAX(0,MIN(5,(N($O19)*0.50)+(N($V19)*0.30)+(N($W19)*0.20))))</f>
        <v/>
      </c>
      <c r="BD19">
        <f>IF($A19="","",MAX(1,MIN(5,($Z19*0.45)+(MIN(5,$BB19/5)*0.35)+($BC19*0.20))))</f>
        <v/>
      </c>
      <c r="BE19">
        <f>IF($AB19=0,"",ROUND((N($X19)+N($Y19)+N($BD19)+N($AA19))/$AB19,2))</f>
        <v/>
      </c>
      <c r="BF19">
        <f>IF(OR($BE19="",$AY19="Done",$AY19="Not applicable"),"",ROUND($BE19*N($AS19),2))</f>
        <v/>
      </c>
      <c r="BG19">
        <f>IF($BF19="","",_xlfn.RANK.EQ($BF19,$BF$5:$BF$76,0)+COUNTIF($BF$5:$BF19,$BF19)-1)</f>
        <v/>
      </c>
      <c r="BH19">
        <f>IF($A19="","",IF($BB19&gt;20,"High P1 risk pressure",IF($BB19&gt;12,"Moderate P1 risk pressure","Lower P1 risk pressure")))</f>
        <v/>
      </c>
      <c r="BI19" s="25">
        <f>'_CONFIG_Model_Settings'!$B$103</f>
        <v/>
      </c>
      <c r="BJ19" s="25">
        <f>IFERROR(INDEX('_CONFIG_Model_Settings'!$B$109:$B$113,MATCH($BI19,'_CONFIG_Model_Settings'!$A$109:$A$113,0)),0.30)</f>
        <v/>
      </c>
      <c r="BK19" s="25">
        <f>IFERROR(INDEX('_CONFIG_Model_Settings'!$C$109:$C$113,MATCH($BI19,'_CONFIG_Model_Settings'!$A$109:$A$113,0)),0.20)</f>
        <v/>
      </c>
      <c r="BL19" s="25">
        <f>IFERROR(INDEX('_CONFIG_Model_Settings'!$D$109:$D$113,MATCH($BI19,'_CONFIG_Model_Settings'!$A$109:$A$113,0)),0.25)</f>
        <v/>
      </c>
      <c r="BM19" s="25">
        <f>IFERROR(INDEX('_CONFIG_Model_Settings'!$E$109:$E$113,MATCH($BI19,'_CONFIG_Model_Settings'!$A$109:$A$113,0)),0.25)</f>
        <v/>
      </c>
      <c r="BN19" s="25">
        <f>IFERROR(INDEX('_CONFIG_Model_Settings'!$B$117:$B$123,MATCH('_CONFIG_Model_Settings'!$B$104,'_CONFIG_Model_Settings'!$A$117:$A$123,0)),1)</f>
        <v/>
      </c>
      <c r="BO19" s="25">
        <f>IFERROR(INDEX('_CONFIG_Model_Settings'!$C$117:$C$123,MATCH('_CONFIG_Model_Settings'!$B$104,'_CONFIG_Model_Settings'!$A$117:$A$123,0)),1)</f>
        <v/>
      </c>
      <c r="BP19" s="25">
        <f>IFERROR(INDEX('_CONFIG_Model_Settings'!$D$117:$D$123,MATCH('_CONFIG_Model_Settings'!$B$104,'_CONFIG_Model_Settings'!$A$117:$A$123,0)),1)</f>
        <v/>
      </c>
      <c r="BQ19" s="25">
        <f>IFERROR(INDEX('_CONFIG_Model_Settings'!$E$117:$E$123,MATCH('_CONFIG_Model_Settings'!$B$104,'_CONFIG_Model_Settings'!$A$117:$A$123,0)),1)</f>
        <v/>
      </c>
      <c r="BR19" s="25">
        <f>IF($A19="","",MIN(5,IFERROR(SUMIF('_DATA_Mappings'!$A:$A,$A19,'_DATA_Mappings'!$K:$K)/MAX(1,'_CONFIG_Model_Settings'!$B$105),0)))</f>
        <v/>
      </c>
      <c r="BS19" s="25">
        <f>IF($A19="","",ROUND((N($X19)*N($BJ19)*N($BN19)+N($Y19)*N($BK19)*N($BO19)+N($BD19)*N($BL19)*N($BP19)+N($AA19)*N($BM19)*N($BQ19)+N($BR19)*N('_CONFIG_Model_Settings'!$B$106))/(N($BJ19)*N($BN19)+N($BK19)*N($BO19)+N($BL19)*N($BP19)+N($BM19)*N($BQ19)+N('_CONFIG_Model_Settings'!$B$106)),2))</f>
        <v/>
      </c>
      <c r="BT19" s="25">
        <f>IF($A19="","",MAX(1,N($AB19)))</f>
        <v/>
      </c>
      <c r="BU19" s="25">
        <f>IF(OR($BS19="",$BT19=0),"",ROUND($BS19/$BT19,2))</f>
        <v/>
      </c>
      <c r="BV19" s="25">
        <f>IF(OR($BU19="",$AY19="Done",$AY19="Not applicable"),"",ROUND($BU19*N($AS19),2))</f>
        <v/>
      </c>
      <c r="BW19" s="25">
        <f>IF($BV19="","",_xlfn.RANK.EQ($BV19,$BV$5:$BV$76,0)+COUNTIF($BV$5:$BV19,$BV19)-1)</f>
        <v/>
      </c>
      <c r="BX19" s="25">
        <f>IF($BW19="","",IF($BW19&lt;=cfg_TimelineBucket1,"0-90 days",IF($BW19&lt;=cfg_TimelineBucket2,"3-6 months",IF($BW19&lt;=cfg_TimelineBucket3,"6-12 months","12+ months"))))</f>
        <v/>
      </c>
      <c r="BY19" s="25">
        <f>IF($A19="","","P2: "&amp;$BI19&amp;" posture; objective="&amp;'_CONFIG_Model_Settings'!$B$104&amp;"; financial score="&amp;ROUND(N($BR19),1)&amp;"; CoD="&amp;$BS19)</f>
        <v/>
      </c>
    </row>
    <row r="20" ht="42" customHeight="1" s="209">
      <c r="A20" s="25" t="inlineStr">
        <is>
          <t>INI-016</t>
        </is>
      </c>
      <c r="B20" s="25" t="inlineStr">
        <is>
          <t>Finance Procurement</t>
        </is>
      </c>
      <c r="C20" s="25" t="inlineStr">
        <is>
          <t>Controls and accounting</t>
        </is>
      </c>
      <c r="D20" s="25" t="inlineStr">
        <is>
          <t>Compliance and Risk Control Strategy</t>
        </is>
      </c>
      <c r="E20" s="25" t="inlineStr">
        <is>
          <t>STR-13</t>
        </is>
      </c>
      <c r="F20" s="25" t="inlineStr">
        <is>
          <t>Strengthen financial controls, approvals and accounting continuity</t>
        </is>
      </c>
      <c r="G20" s="25" t="inlineStr">
        <is>
          <t>Close maturity gaps in controls and accounting by assigning ownership, documenting the process, connecting it to evidence and systems, testing it against crisis scenarios and measuring improvement.</t>
        </is>
      </c>
      <c r="H20" s="25" t="inlineStr">
        <is>
          <t>Financial control and procurement resilience</t>
        </is>
      </c>
      <c r="I20" s="25" t="inlineStr">
        <is>
          <t>Financial liquidity crisis; Demand shock; Supplier / logistics disruption</t>
        </is>
      </c>
      <c r="J20" s="25" t="inlineStr">
        <is>
          <t>FINA-007; FINA-008; FINA-009; FINA-010; FINA-011; FINA-012</t>
        </is>
      </c>
      <c r="K20" s="25" t="n">
        <v>6</v>
      </c>
      <c r="L20" s="25">
        <f>COUNTIFS('_ENGINE_Risk'!$C$500:$C$923,$B20,'_ENGINE_Risk'!$D$500:$D$923,$C20,'_ENGINE_Risk'!$B$500:$B$923,"Yes")</f>
        <v/>
      </c>
      <c r="M20" s="25">
        <f>COUNTIFS('_ENGINE_Risk'!$C$500:$C$923,$B20,'_ENGINE_Risk'!$D$500:$D$923,$C20,'_ENGINE_Risk'!$B$500:$B$923,"Yes")</f>
        <v/>
      </c>
      <c r="N20" s="25">
        <f>IFERROR(AVERAGEIFS(_DATA_Assessment_Model!$H$5:$H$428,_DATA_Assessment_Model!$AW$5:$AW$428,$B20,_DATA_Assessment_Model!$B$5:$B$428,$C20),"")</f>
        <v/>
      </c>
      <c r="O20" s="25">
        <f>IF($N20="","",MAX(0,5-$N20))</f>
        <v/>
      </c>
      <c r="P20" s="25">
        <f>IFERROR(INDEX(_DATA_Dashboard_Facts!$H$5:$H$21,MATCH($B20,_DATA_Dashboard_Facts!$A$5:$A$21,0)),"")</f>
        <v/>
      </c>
      <c r="Q20" s="25">
        <f>IF($P20="","",MAX(0,5-$P20))</f>
        <v/>
      </c>
      <c r="R20" s="25">
        <f>IFERROR(SUMIFS(_ENGINE_Crisis!$D$5:$D$208,_ENGINE_Crisis!$A$5:$A$208,'Resilience &amp; Risk Scenario'!$B$6,_ENGINE_Crisis!$B$5:$B$208,$B20),1)</f>
        <v/>
      </c>
      <c r="S20" s="25">
        <f>IFERROR(INDEX('_ENGINE_Strategy'!$A$100:$A$113,MATCH($D20,'_ENGINE_Strategy'!$B$100:$B$113,0)),99)</f>
        <v/>
      </c>
      <c r="T20" s="25">
        <f>IFERROR(INDEX('_ENGINE_Strategy'!$J$100:$J$113,MATCH($D20,'_ENGINE_Strategy'!$B$100:$B$113,0)),0)</f>
        <v/>
      </c>
      <c r="U20" s="25" t="n">
        <v>2</v>
      </c>
      <c r="V20" s="25" t="n">
        <v>4</v>
      </c>
      <c r="W20" s="25" t="n">
        <v>5</v>
      </c>
      <c r="X20" s="25">
        <f>MAX(1,MIN(5,(N($O20)*0.50)+(N($Q20)*0.25)+((N($T20)/20)*0.25)))</f>
        <v/>
      </c>
      <c r="Y20" s="25">
        <f>MAX(1,MIN(5,(($R20-1)*1.6)+('Resilience &amp; Risk Scenario'!$B$7*0.45)+IF($S20&lt;=3,0.8,0)))</f>
        <v/>
      </c>
      <c r="Z20" s="25">
        <f>MAX(1,MIN(5,(N($O20)*0.45)+(MIN(5,5*N($M20)/MAX(1,N($K20)))*0.35)+(N($V20)*0.20)))</f>
        <v/>
      </c>
      <c r="AA20" s="25">
        <f>MAX(1,MIN(5,($U20*0.40)+($W20*0.30)+(($T20/20)*0.30)))</f>
        <v/>
      </c>
      <c r="AB20" s="25" t="n">
        <v>3</v>
      </c>
      <c r="AC20" s="25">
        <f>IF($AB20=0,"",ROUND((N($X20)+N($Y20)+N($Z20)+N($AA20))/$AB20,2))</f>
        <v/>
      </c>
      <c r="AD20" s="25">
        <f>IF($AC20="","",_xlfn.RANK.EQ($AC20,$AC$5:$AC$76,0)+COUNTIF($AC$5:$AC20,$AC20)-1)</f>
        <v/>
      </c>
      <c r="AE20" s="25">
        <f>IF($AD20="","",IF($AD20&lt;=cfg_TimelineBucket1,"0-90 days",IF($AD20&lt;=cfg_TimelineBucket2,"3-6 months",IF($AD20&lt;=cfg_TimelineBucket3,"6-12 months","12+ months"))))</f>
        <v/>
      </c>
      <c r="AF20" s="25" t="inlineStr">
        <is>
          <t>CFO / Procurement Lead</t>
        </is>
      </c>
      <c r="AG20" s="25" t="inlineStr">
        <is>
          <t>2-3 months</t>
        </is>
      </c>
      <c r="AH20" s="25" t="inlineStr">
        <is>
          <t>Executive sponsor; accountable process owner; baseline evidence; risk acceptance threshold</t>
        </is>
      </c>
      <c r="AI20" s="25" t="inlineStr">
        <is>
          <t>maturity score improvement; open risk reduction; evidence completeness; control test pass rate</t>
        </is>
      </c>
      <c r="AJ20" s="25" t="inlineStr">
        <is>
          <t>Documented controls and accounting operating model, owner/RACI, KPI set, evidence pack, tested crisis playbook and improvement backlog.</t>
        </is>
      </c>
      <c r="AK20" s="25" t="inlineStr">
        <is>
          <t>Counts active next-level recommendations for Finance Procurement / Controls and accounting.</t>
        </is>
      </c>
      <c r="AL20" s="25" t="inlineStr">
        <is>
          <t>Counts active risks and risk scores for Finance Procurement / Controls and accounting.</t>
        </is>
      </c>
      <c r="AM20" s="25" t="inlineStr">
        <is>
          <t>Uses the current rank and total score of Compliance and Risk Control Strategy.</t>
        </is>
      </c>
      <c r="AN20" s="25" t="inlineStr">
        <is>
          <t>Trigger when avg score &lt; 4, active risk exists, active recommendation exists or strategy rank &lt;= 3.</t>
        </is>
      </c>
      <c r="AO20" s="25" t="inlineStr">
        <is>
          <t>Not started</t>
        </is>
      </c>
      <c r="AP20" s="25" t="inlineStr">
        <is>
          <t>Medium</t>
        </is>
      </c>
      <c r="AQ20" s="25" t="n"/>
      <c r="AR20" s="25" t="n"/>
      <c r="AS20" s="247">
        <f>IFERROR(IF(SUMIFS(_REF_Model_Content!$J$1:$J$157,_REF_Model_Content!$A$1:$A$157,'Company Profile'!$B$9,_REF_Model_Content!$B$1:$B$157,$B20)=0,1,SUMIFS(_REF_Model_Content!$J$1:$J$157,_REF_Model_Content!$A$1:$A$157,'Company Profile'!$B$9,_REF_Model_Content!$B$1:$B$157,$B20)),1)</f>
        <v/>
      </c>
      <c r="AT20" s="247">
        <f>IF(OR($AY20="Done",$AY20="Not applicable"),"",IF($AC20="","",ROUND(N($AC20)*N($AS20),2)))</f>
        <v/>
      </c>
      <c r="AU20" s="247">
        <f>IF($AT20="","",_xlfn.RANK.EQ($AT20,$AT$5:$AT$76,0)+COUNTIF($AT$5:AT20,$AT20)-1)</f>
        <v/>
      </c>
      <c r="AV20" s="247">
        <f>IFERROR(INDEX('_DATA_Dashboard_Facts'!$G$300:$G$316,MATCH($B20,'_DATA_Dashboard_Facts'!$A$300:$A$316,0)),"")</f>
        <v/>
      </c>
      <c r="AW20" s="247">
        <f>IF($AS20&gt;cfg_IndPriorityHigh,"Industry template increases priority",IF($AS20&lt;cfg_IndPriorityLow,"Industry template lowers priority","Industry-neutral priority"))</f>
        <v/>
      </c>
      <c r="AX20">
        <f>IFERROR(INDEX('Action Plan &amp; Roadmap'!$D$59:$D$130,MATCH($A20,'Action Plan &amp; Roadmap'!$A$59:$A$130,0)),"")</f>
      </c>
      <c r="AY20">
        <f>IF($AX20&lt;&gt;"",$AX20,IF($AO20="","Not started",$AO20))</f>
        <v/>
      </c>
      <c r="AZ20" t="inlineStr">
        <is>
          <t>Other cost to perform the finance function per $100,000 revenue; Percentage of finance function IT costs allocated to transaction processing</t>
        </is>
      </c>
      <c r="BA20">
        <f>IF($A20="","",COUNTIF('_DATA_Mappings'!$A:$A,$A20))</f>
        <v/>
      </c>
      <c r="BB20">
        <f>IF($A20="","",IFERROR(AVERAGEIF('_DATA_Mappings'!$A:$A,$A20,'_DATA_Mappings'!$G:$G),0))</f>
        <v/>
      </c>
      <c r="BC20">
        <f>IF($A20="","",MAX(0,MIN(5,(N($O20)*0.50)+(N($V20)*0.30)+(N($W20)*0.20))))</f>
        <v/>
      </c>
      <c r="BD20">
        <f>IF($A20="","",MAX(1,MIN(5,($Z20*0.45)+(MIN(5,$BB20/5)*0.35)+($BC20*0.20))))</f>
        <v/>
      </c>
      <c r="BE20">
        <f>IF($AB20=0,"",ROUND((N($X20)+N($Y20)+N($BD20)+N($AA20))/$AB20,2))</f>
        <v/>
      </c>
      <c r="BF20">
        <f>IF(OR($BE20="",$AY20="Done",$AY20="Not applicable"),"",ROUND($BE20*N($AS20),2))</f>
        <v/>
      </c>
      <c r="BG20">
        <f>IF($BF20="","",_xlfn.RANK.EQ($BF20,$BF$5:$BF$76,0)+COUNTIF($BF$5:$BF20,$BF20)-1)</f>
        <v/>
      </c>
      <c r="BH20">
        <f>IF($A20="","",IF($BB20&gt;20,"High P1 risk pressure",IF($BB20&gt;12,"Moderate P1 risk pressure","Lower P1 risk pressure")))</f>
        <v/>
      </c>
      <c r="BI20" s="25">
        <f>'_CONFIG_Model_Settings'!$B$103</f>
        <v/>
      </c>
      <c r="BJ20" s="25">
        <f>IFERROR(INDEX('_CONFIG_Model_Settings'!$B$109:$B$113,MATCH($BI20,'_CONFIG_Model_Settings'!$A$109:$A$113,0)),0.30)</f>
        <v/>
      </c>
      <c r="BK20" s="25">
        <f>IFERROR(INDEX('_CONFIG_Model_Settings'!$C$109:$C$113,MATCH($BI20,'_CONFIG_Model_Settings'!$A$109:$A$113,0)),0.20)</f>
        <v/>
      </c>
      <c r="BL20" s="25">
        <f>IFERROR(INDEX('_CONFIG_Model_Settings'!$D$109:$D$113,MATCH($BI20,'_CONFIG_Model_Settings'!$A$109:$A$113,0)),0.25)</f>
        <v/>
      </c>
      <c r="BM20" s="25">
        <f>IFERROR(INDEX('_CONFIG_Model_Settings'!$E$109:$E$113,MATCH($BI20,'_CONFIG_Model_Settings'!$A$109:$A$113,0)),0.25)</f>
        <v/>
      </c>
      <c r="BN20" s="25">
        <f>IFERROR(INDEX('_CONFIG_Model_Settings'!$B$117:$B$123,MATCH('_CONFIG_Model_Settings'!$B$104,'_CONFIG_Model_Settings'!$A$117:$A$123,0)),1)</f>
        <v/>
      </c>
      <c r="BO20" s="25">
        <f>IFERROR(INDEX('_CONFIG_Model_Settings'!$C$117:$C$123,MATCH('_CONFIG_Model_Settings'!$B$104,'_CONFIG_Model_Settings'!$A$117:$A$123,0)),1)</f>
        <v/>
      </c>
      <c r="BP20" s="25">
        <f>IFERROR(INDEX('_CONFIG_Model_Settings'!$D$117:$D$123,MATCH('_CONFIG_Model_Settings'!$B$104,'_CONFIG_Model_Settings'!$A$117:$A$123,0)),1)</f>
        <v/>
      </c>
      <c r="BQ20" s="25">
        <f>IFERROR(INDEX('_CONFIG_Model_Settings'!$E$117:$E$123,MATCH('_CONFIG_Model_Settings'!$B$104,'_CONFIG_Model_Settings'!$A$117:$A$123,0)),1)</f>
        <v/>
      </c>
      <c r="BR20" s="25">
        <f>IF($A20="","",MIN(5,IFERROR(SUMIF('_DATA_Mappings'!$A:$A,$A20,'_DATA_Mappings'!$K:$K)/MAX(1,'_CONFIG_Model_Settings'!$B$105),0)))</f>
        <v/>
      </c>
      <c r="BS20" s="25">
        <f>IF($A20="","",ROUND((N($X20)*N($BJ20)*N($BN20)+N($Y20)*N($BK20)*N($BO20)+N($BD20)*N($BL20)*N($BP20)+N($AA20)*N($BM20)*N($BQ20)+N($BR20)*N('_CONFIG_Model_Settings'!$B$106))/(N($BJ20)*N($BN20)+N($BK20)*N($BO20)+N($BL20)*N($BP20)+N($BM20)*N($BQ20)+N('_CONFIG_Model_Settings'!$B$106)),2))</f>
        <v/>
      </c>
      <c r="BT20" s="25">
        <f>IF($A20="","",MAX(1,N($AB20)))</f>
        <v/>
      </c>
      <c r="BU20" s="25">
        <f>IF(OR($BS20="",$BT20=0),"",ROUND($BS20/$BT20,2))</f>
        <v/>
      </c>
      <c r="BV20" s="25">
        <f>IF(OR($BU20="",$AY20="Done",$AY20="Not applicable"),"",ROUND($BU20*N($AS20),2))</f>
        <v/>
      </c>
      <c r="BW20" s="25">
        <f>IF($BV20="","",_xlfn.RANK.EQ($BV20,$BV$5:$BV$76,0)+COUNTIF($BV$5:$BV20,$BV20)-1)</f>
        <v/>
      </c>
      <c r="BX20" s="25">
        <f>IF($BW20="","",IF($BW20&lt;=cfg_TimelineBucket1,"0-90 days",IF($BW20&lt;=cfg_TimelineBucket2,"3-6 months",IF($BW20&lt;=cfg_TimelineBucket3,"6-12 months","12+ months"))))</f>
        <v/>
      </c>
      <c r="BY20" s="25">
        <f>IF($A20="","","P2: "&amp;$BI20&amp;" posture; objective="&amp;'_CONFIG_Model_Settings'!$B$104&amp;"; financial score="&amp;ROUND(N($BR20),1)&amp;"; CoD="&amp;$BS20)</f>
        <v/>
      </c>
    </row>
    <row r="21" ht="42" customHeight="1" s="209">
      <c r="A21" s="25" t="inlineStr">
        <is>
          <t>INI-017</t>
        </is>
      </c>
      <c r="B21" s="25" t="inlineStr">
        <is>
          <t>Finance Procurement</t>
        </is>
      </c>
      <c r="C21" s="25" t="inlineStr">
        <is>
          <t>Procurement and suppliers</t>
        </is>
      </c>
      <c r="D21" s="25" t="inlineStr">
        <is>
          <t>Supply Chain and Delivery Resilience Strategy</t>
        </is>
      </c>
      <c r="E21" s="25" t="inlineStr">
        <is>
          <t>STR-08</t>
        </is>
      </c>
      <c r="F21" s="25" t="inlineStr">
        <is>
          <t>Build resilient procurement governance and supplier risk controls</t>
        </is>
      </c>
      <c r="G21" s="25" t="inlineStr">
        <is>
          <t>Close maturity gaps in procurement and suppliers by assigning ownership, documenting the process, connecting it to evidence and systems, testing it against crisis scenarios and measuring improvement.</t>
        </is>
      </c>
      <c r="H21" s="25" t="inlineStr">
        <is>
          <t>Financial control and procurement resilience</t>
        </is>
      </c>
      <c r="I21" s="25" t="inlineStr">
        <is>
          <t>Financial liquidity crisis; Demand shock; Supplier / logistics disruption</t>
        </is>
      </c>
      <c r="J21" s="25" t="inlineStr">
        <is>
          <t>FINA-013; FINA-014; FINA-015; FINA-016; FINA-017; FINA-018; FINA-019</t>
        </is>
      </c>
      <c r="K21" s="25" t="n">
        <v>7</v>
      </c>
      <c r="L21" s="25">
        <f>COUNTIFS('_ENGINE_Risk'!$C$500:$C$923,$B21,'_ENGINE_Risk'!$D$500:$D$923,$C21,'_ENGINE_Risk'!$B$500:$B$923,"Yes")</f>
        <v/>
      </c>
      <c r="M21" s="25">
        <f>COUNTIFS('_ENGINE_Risk'!$C$500:$C$923,$B21,'_ENGINE_Risk'!$D$500:$D$923,$C21,'_ENGINE_Risk'!$B$500:$B$923,"Yes")</f>
        <v/>
      </c>
      <c r="N21" s="25">
        <f>IFERROR(AVERAGEIFS(_DATA_Assessment_Model!$H$5:$H$428,_DATA_Assessment_Model!$AW$5:$AW$428,$B21,_DATA_Assessment_Model!$B$5:$B$428,$C21),"")</f>
        <v/>
      </c>
      <c r="O21" s="25">
        <f>IF($N21="","",MAX(0,5-$N21))</f>
        <v/>
      </c>
      <c r="P21" s="25">
        <f>IFERROR(INDEX(_DATA_Dashboard_Facts!$H$5:$H$21,MATCH($B21,_DATA_Dashboard_Facts!$A$5:$A$21,0)),"")</f>
        <v/>
      </c>
      <c r="Q21" s="25">
        <f>IF($P21="","",MAX(0,5-$P21))</f>
        <v/>
      </c>
      <c r="R21" s="25">
        <f>IFERROR(SUMIFS(_ENGINE_Crisis!$D$5:$D$208,_ENGINE_Crisis!$A$5:$A$208,'Resilience &amp; Risk Scenario'!$B$6,_ENGINE_Crisis!$B$5:$B$208,$B21),1)</f>
        <v/>
      </c>
      <c r="S21" s="25">
        <f>IFERROR(INDEX('_ENGINE_Strategy'!$A$100:$A$113,MATCH($D21,'_ENGINE_Strategy'!$B$100:$B$113,0)),99)</f>
        <v/>
      </c>
      <c r="T21" s="25">
        <f>IFERROR(INDEX('_ENGINE_Strategy'!$J$100:$J$113,MATCH($D21,'_ENGINE_Strategy'!$B$100:$B$113,0)),0)</f>
        <v/>
      </c>
      <c r="U21" s="25" t="n">
        <v>3</v>
      </c>
      <c r="V21" s="25" t="n">
        <v>5</v>
      </c>
      <c r="W21" s="25" t="n">
        <v>4</v>
      </c>
      <c r="X21" s="25">
        <f>MAX(1,MIN(5,(N($O21)*0.50)+(N($Q21)*0.25)+((N($T21)/20)*0.25)))</f>
        <v/>
      </c>
      <c r="Y21" s="25">
        <f>MAX(1,MIN(5,(($R21-1)*1.6)+('Resilience &amp; Risk Scenario'!$B$7*0.45)+IF($S21&lt;=3,0.8,0)))</f>
        <v/>
      </c>
      <c r="Z21" s="25">
        <f>MAX(1,MIN(5,(N($O21)*0.45)+(MIN(5,5*N($M21)/MAX(1,N($K21)))*0.35)+(N($V21)*0.20)))</f>
        <v/>
      </c>
      <c r="AA21" s="25">
        <f>MAX(1,MIN(5,($U21*0.40)+($W21*0.30)+(($T21/20)*0.30)))</f>
        <v/>
      </c>
      <c r="AB21" s="25" t="n">
        <v>3</v>
      </c>
      <c r="AC21" s="25">
        <f>IF($AB21=0,"",ROUND((N($X21)+N($Y21)+N($Z21)+N($AA21))/$AB21,2))</f>
        <v/>
      </c>
      <c r="AD21" s="25">
        <f>IF($AC21="","",_xlfn.RANK.EQ($AC21,$AC$5:$AC$76,0)+COUNTIF($AC$5:$AC21,$AC21)-1)</f>
        <v/>
      </c>
      <c r="AE21" s="25">
        <f>IF($AD21="","",IF($AD21&lt;=cfg_TimelineBucket1,"0-90 days",IF($AD21&lt;=cfg_TimelineBucket2,"3-6 months",IF($AD21&lt;=cfg_TimelineBucket3,"6-12 months","12+ months"))))</f>
        <v/>
      </c>
      <c r="AF21" s="25" t="inlineStr">
        <is>
          <t>CFO / Procurement Lead</t>
        </is>
      </c>
      <c r="AG21" s="25" t="inlineStr">
        <is>
          <t>2-3 months</t>
        </is>
      </c>
      <c r="AH21" s="25" t="inlineStr">
        <is>
          <t>Executive sponsor; accountable process owner; baseline evidence; risk acceptance threshold</t>
        </is>
      </c>
      <c r="AI21" s="25" t="inlineStr">
        <is>
          <t>maturity score improvement; open risk reduction; evidence completeness; control test pass rate</t>
        </is>
      </c>
      <c r="AJ21" s="25" t="inlineStr">
        <is>
          <t>Documented procurement and suppliers operating model, owner/RACI, KPI set, evidence pack, tested crisis playbook and improvement backlog.</t>
        </is>
      </c>
      <c r="AK21" s="25" t="inlineStr">
        <is>
          <t>Counts active next-level recommendations for Finance Procurement / Procurement and suppliers.</t>
        </is>
      </c>
      <c r="AL21" s="25" t="inlineStr">
        <is>
          <t>Counts active risks and risk scores for Finance Procurement / Procurement and suppliers.</t>
        </is>
      </c>
      <c r="AM21" s="25" t="inlineStr">
        <is>
          <t>Uses the current rank and total score of Supply Chain and Delivery Resilience Strategy.</t>
        </is>
      </c>
      <c r="AN21" s="25" t="inlineStr">
        <is>
          <t>Trigger when avg score &lt; 4, active risk exists, active recommendation exists or strategy rank &lt;= 3.</t>
        </is>
      </c>
      <c r="AO21" s="25" t="inlineStr">
        <is>
          <t>Not started</t>
        </is>
      </c>
      <c r="AP21" s="25" t="inlineStr">
        <is>
          <t>Medium</t>
        </is>
      </c>
      <c r="AQ21" s="25" t="n"/>
      <c r="AR21" s="25" t="n"/>
      <c r="AS21" s="247">
        <f>IFERROR(IF(SUMIFS(_REF_Model_Content!$J$1:$J$157,_REF_Model_Content!$A$1:$A$157,'Company Profile'!$B$9,_REF_Model_Content!$B$1:$B$157,$B21)=0,1,SUMIFS(_REF_Model_Content!$J$1:$J$157,_REF_Model_Content!$A$1:$A$157,'Company Profile'!$B$9,_REF_Model_Content!$B$1:$B$157,$B21)),1)</f>
        <v/>
      </c>
      <c r="AT21" s="247">
        <f>IF(OR($AY21="Done",$AY21="Not applicable"),"",IF($AC21="","",ROUND(N($AC21)*N($AS21),2)))</f>
        <v/>
      </c>
      <c r="AU21" s="247">
        <f>IF($AT21="","",_xlfn.RANK.EQ($AT21,$AT$5:$AT$76,0)+COUNTIF($AT$5:AT21,$AT21)-1)</f>
        <v/>
      </c>
      <c r="AV21" s="247">
        <f>IFERROR(INDEX('_DATA_Dashboard_Facts'!$G$300:$G$316,MATCH($B21,'_DATA_Dashboard_Facts'!$A$300:$A$316,0)),"")</f>
        <v/>
      </c>
      <c r="AW21" s="247">
        <f>IF($AS21&gt;cfg_IndPriorityHigh,"Industry template increases priority",IF($AS21&lt;cfg_IndPriorityLow,"Industry template lowers priority","Industry-neutral priority"))</f>
        <v/>
      </c>
      <c r="AX21">
        <f>IFERROR(INDEX('Action Plan &amp; Roadmap'!$D$59:$D$130,MATCH($A21,'Action Plan &amp; Roadmap'!$A$59:$A$130,0)),"")</f>
      </c>
      <c r="AY21">
        <f>IF($AX21&lt;&gt;"",$AX21,IF($AO21="","Not started",$AO21))</f>
        <v/>
      </c>
      <c r="AZ21" t="inlineStr">
        <is>
          <t>Percentage of supply chain FTEs added/hired in the past 12 months attributed to AI; Percentage change in finished goods inventory turns in the past 12 months</t>
        </is>
      </c>
      <c r="BA21">
        <f>IF($A21="","",COUNTIF('_DATA_Mappings'!$A:$A,$A21))</f>
        <v/>
      </c>
      <c r="BB21">
        <f>IF($A21="","",IFERROR(AVERAGEIF('_DATA_Mappings'!$A:$A,$A21,'_DATA_Mappings'!$G:$G),0))</f>
        <v/>
      </c>
      <c r="BC21">
        <f>IF($A21="","",MAX(0,MIN(5,(N($O21)*0.50)+(N($V21)*0.30)+(N($W21)*0.20))))</f>
        <v/>
      </c>
      <c r="BD21">
        <f>IF($A21="","",MAX(1,MIN(5,($Z21*0.45)+(MIN(5,$BB21/5)*0.35)+($BC21*0.20))))</f>
        <v/>
      </c>
      <c r="BE21">
        <f>IF($AB21=0,"",ROUND((N($X21)+N($Y21)+N($BD21)+N($AA21))/$AB21,2))</f>
        <v/>
      </c>
      <c r="BF21">
        <f>IF(OR($BE21="",$AY21="Done",$AY21="Not applicable"),"",ROUND($BE21*N($AS21),2))</f>
        <v/>
      </c>
      <c r="BG21">
        <f>IF($BF21="","",_xlfn.RANK.EQ($BF21,$BF$5:$BF$76,0)+COUNTIF($BF$5:$BF21,$BF21)-1)</f>
        <v/>
      </c>
      <c r="BH21">
        <f>IF($A21="","",IF($BB21&gt;20,"High P1 risk pressure",IF($BB21&gt;12,"Moderate P1 risk pressure","Lower P1 risk pressure")))</f>
        <v/>
      </c>
      <c r="BI21" s="25">
        <f>'_CONFIG_Model_Settings'!$B$103</f>
        <v/>
      </c>
      <c r="BJ21" s="25">
        <f>IFERROR(INDEX('_CONFIG_Model_Settings'!$B$109:$B$113,MATCH($BI21,'_CONFIG_Model_Settings'!$A$109:$A$113,0)),0.30)</f>
        <v/>
      </c>
      <c r="BK21" s="25">
        <f>IFERROR(INDEX('_CONFIG_Model_Settings'!$C$109:$C$113,MATCH($BI21,'_CONFIG_Model_Settings'!$A$109:$A$113,0)),0.20)</f>
        <v/>
      </c>
      <c r="BL21" s="25">
        <f>IFERROR(INDEX('_CONFIG_Model_Settings'!$D$109:$D$113,MATCH($BI21,'_CONFIG_Model_Settings'!$A$109:$A$113,0)),0.25)</f>
        <v/>
      </c>
      <c r="BM21" s="25">
        <f>IFERROR(INDEX('_CONFIG_Model_Settings'!$E$109:$E$113,MATCH($BI21,'_CONFIG_Model_Settings'!$A$109:$A$113,0)),0.25)</f>
        <v/>
      </c>
      <c r="BN21" s="25">
        <f>IFERROR(INDEX('_CONFIG_Model_Settings'!$B$117:$B$123,MATCH('_CONFIG_Model_Settings'!$B$104,'_CONFIG_Model_Settings'!$A$117:$A$123,0)),1)</f>
        <v/>
      </c>
      <c r="BO21" s="25">
        <f>IFERROR(INDEX('_CONFIG_Model_Settings'!$C$117:$C$123,MATCH('_CONFIG_Model_Settings'!$B$104,'_CONFIG_Model_Settings'!$A$117:$A$123,0)),1)</f>
        <v/>
      </c>
      <c r="BP21" s="25">
        <f>IFERROR(INDEX('_CONFIG_Model_Settings'!$D$117:$D$123,MATCH('_CONFIG_Model_Settings'!$B$104,'_CONFIG_Model_Settings'!$A$117:$A$123,0)),1)</f>
        <v/>
      </c>
      <c r="BQ21" s="25">
        <f>IFERROR(INDEX('_CONFIG_Model_Settings'!$E$117:$E$123,MATCH('_CONFIG_Model_Settings'!$B$104,'_CONFIG_Model_Settings'!$A$117:$A$123,0)),1)</f>
        <v/>
      </c>
      <c r="BR21" s="25">
        <f>IF($A21="","",MIN(5,IFERROR(SUMIF('_DATA_Mappings'!$A:$A,$A21,'_DATA_Mappings'!$K:$K)/MAX(1,'_CONFIG_Model_Settings'!$B$105),0)))</f>
        <v/>
      </c>
      <c r="BS21" s="25">
        <f>IF($A21="","",ROUND((N($X21)*N($BJ21)*N($BN21)+N($Y21)*N($BK21)*N($BO21)+N($BD21)*N($BL21)*N($BP21)+N($AA21)*N($BM21)*N($BQ21)+N($BR21)*N('_CONFIG_Model_Settings'!$B$106))/(N($BJ21)*N($BN21)+N($BK21)*N($BO21)+N($BL21)*N($BP21)+N($BM21)*N($BQ21)+N('_CONFIG_Model_Settings'!$B$106)),2))</f>
        <v/>
      </c>
      <c r="BT21" s="25">
        <f>IF($A21="","",MAX(1,N($AB21)))</f>
        <v/>
      </c>
      <c r="BU21" s="25">
        <f>IF(OR($BS21="",$BT21=0),"",ROUND($BS21/$BT21,2))</f>
        <v/>
      </c>
      <c r="BV21" s="25">
        <f>IF(OR($BU21="",$AY21="Done",$AY21="Not applicable"),"",ROUND($BU21*N($AS21),2))</f>
        <v/>
      </c>
      <c r="BW21" s="25">
        <f>IF($BV21="","",_xlfn.RANK.EQ($BV21,$BV$5:$BV$76,0)+COUNTIF($BV$5:$BV21,$BV21)-1)</f>
        <v/>
      </c>
      <c r="BX21" s="25">
        <f>IF($BW21="","",IF($BW21&lt;=cfg_TimelineBucket1,"0-90 days",IF($BW21&lt;=cfg_TimelineBucket2,"3-6 months",IF($BW21&lt;=cfg_TimelineBucket3,"6-12 months","12+ months"))))</f>
        <v/>
      </c>
      <c r="BY21" s="25">
        <f>IF($A21="","","P2: "&amp;$BI21&amp;" posture; objective="&amp;'_CONFIG_Model_Settings'!$B$104&amp;"; financial score="&amp;ROUND(N($BR21),1)&amp;"; CoD="&amp;$BS21)</f>
        <v/>
      </c>
    </row>
    <row r="22" ht="42" customHeight="1" s="209">
      <c r="A22" s="25" t="inlineStr">
        <is>
          <t>INI-018</t>
        </is>
      </c>
      <c r="B22" s="25" t="inlineStr">
        <is>
          <t>Finance Procurement</t>
        </is>
      </c>
      <c r="C22" s="25" t="inlineStr">
        <is>
          <t>Working capital</t>
        </is>
      </c>
      <c r="D22" s="25" t="inlineStr">
        <is>
          <t>Business Continuity and Resilience Strategy</t>
        </is>
      </c>
      <c r="E22" s="25" t="inlineStr">
        <is>
          <t>STR-02</t>
        </is>
      </c>
      <c r="F22" s="25" t="inlineStr">
        <is>
          <t>Optimize working capital and liquidity early-warning controls</t>
        </is>
      </c>
      <c r="G22" s="25" t="inlineStr">
        <is>
          <t>Close maturity gaps in working capital by assigning ownership, documenting the process, connecting it to evidence and systems, testing it against crisis scenarios and measuring improvement.</t>
        </is>
      </c>
      <c r="H22" s="25" t="inlineStr">
        <is>
          <t>Financial control and procurement resilience</t>
        </is>
      </c>
      <c r="I22" s="25" t="inlineStr">
        <is>
          <t>Financial liquidity crisis; Demand shock; Supplier / logistics disruption</t>
        </is>
      </c>
      <c r="J22" s="25" t="inlineStr">
        <is>
          <t>FINA-020; FINA-021; FINA-022; FINA-023; FINA-024</t>
        </is>
      </c>
      <c r="K22" s="25" t="n">
        <v>5</v>
      </c>
      <c r="L22" s="25">
        <f>COUNTIFS('_ENGINE_Risk'!$C$500:$C$923,$B22,'_ENGINE_Risk'!$D$500:$D$923,$C22,'_ENGINE_Risk'!$B$500:$B$923,"Yes")</f>
        <v/>
      </c>
      <c r="M22" s="25">
        <f>COUNTIFS('_ENGINE_Risk'!$C$500:$C$923,$B22,'_ENGINE_Risk'!$D$500:$D$923,$C22,'_ENGINE_Risk'!$B$500:$B$923,"Yes")</f>
        <v/>
      </c>
      <c r="N22" s="25">
        <f>IFERROR(AVERAGEIFS(_DATA_Assessment_Model!$H$5:$H$428,_DATA_Assessment_Model!$AW$5:$AW$428,$B22,_DATA_Assessment_Model!$B$5:$B$428,$C22),"")</f>
        <v/>
      </c>
      <c r="O22" s="25">
        <f>IF($N22="","",MAX(0,5-$N22))</f>
        <v/>
      </c>
      <c r="P22" s="25">
        <f>IFERROR(INDEX(_DATA_Dashboard_Facts!$H$5:$H$21,MATCH($B22,_DATA_Dashboard_Facts!$A$5:$A$21,0)),"")</f>
        <v/>
      </c>
      <c r="Q22" s="25">
        <f>IF($P22="","",MAX(0,5-$P22))</f>
        <v/>
      </c>
      <c r="R22" s="25">
        <f>IFERROR(SUMIFS(_ENGINE_Crisis!$D$5:$D$208,_ENGINE_Crisis!$A$5:$A$208,'Resilience &amp; Risk Scenario'!$B$6,_ENGINE_Crisis!$B$5:$B$208,$B22),1)</f>
        <v/>
      </c>
      <c r="S22" s="25">
        <f>IFERROR(INDEX('_ENGINE_Strategy'!$A$100:$A$113,MATCH($D22,'_ENGINE_Strategy'!$B$100:$B$113,0)),99)</f>
        <v/>
      </c>
      <c r="T22" s="25">
        <f>IFERROR(INDEX('_ENGINE_Strategy'!$J$100:$J$113,MATCH($D22,'_ENGINE_Strategy'!$B$100:$B$113,0)),0)</f>
        <v/>
      </c>
      <c r="U22" s="25" t="n">
        <v>2</v>
      </c>
      <c r="V22" s="25" t="n">
        <v>5</v>
      </c>
      <c r="W22" s="25" t="n">
        <v>4</v>
      </c>
      <c r="X22" s="25">
        <f>MAX(1,MIN(5,(N($O22)*0.50)+(N($Q22)*0.25)+((N($T22)/20)*0.25)))</f>
        <v/>
      </c>
      <c r="Y22" s="25">
        <f>MAX(1,MIN(5,(($R22-1)*1.6)+('Resilience &amp; Risk Scenario'!$B$7*0.45)+IF($S22&lt;=3,0.8,0)))</f>
        <v/>
      </c>
      <c r="Z22" s="25">
        <f>MAX(1,MIN(5,(N($O22)*0.45)+(MIN(5,5*N($M22)/MAX(1,N($K22)))*0.35)+(N($V22)*0.20)))</f>
        <v/>
      </c>
      <c r="AA22" s="25">
        <f>MAX(1,MIN(5,($U22*0.40)+($W22*0.30)+(($T22/20)*0.30)))</f>
        <v/>
      </c>
      <c r="AB22" s="25" t="n">
        <v>3</v>
      </c>
      <c r="AC22" s="25">
        <f>IF($AB22=0,"",ROUND((N($X22)+N($Y22)+N($Z22)+N($AA22))/$AB22,2))</f>
        <v/>
      </c>
      <c r="AD22" s="25">
        <f>IF($AC22="","",_xlfn.RANK.EQ($AC22,$AC$5:$AC$76,0)+COUNTIF($AC$5:$AC22,$AC22)-1)</f>
        <v/>
      </c>
      <c r="AE22" s="25">
        <f>IF($AD22="","",IF($AD22&lt;=cfg_TimelineBucket1,"0-90 days",IF($AD22&lt;=cfg_TimelineBucket2,"3-6 months",IF($AD22&lt;=cfg_TimelineBucket3,"6-12 months","12+ months"))))</f>
        <v/>
      </c>
      <c r="AF22" s="25" t="inlineStr">
        <is>
          <t>CFO / Procurement Lead</t>
        </is>
      </c>
      <c r="AG22" s="25" t="inlineStr">
        <is>
          <t>2-3 months</t>
        </is>
      </c>
      <c r="AH22" s="25" t="inlineStr">
        <is>
          <t>Executive sponsor; accountable process owner; baseline evidence; risk acceptance threshold</t>
        </is>
      </c>
      <c r="AI22" s="25" t="inlineStr">
        <is>
          <t>maturity score improvement; open risk reduction; evidence completeness; control test pass rate</t>
        </is>
      </c>
      <c r="AJ22" s="25" t="inlineStr">
        <is>
          <t>Documented working capital operating model, owner/RACI, KPI set, evidence pack, tested crisis playbook and improvement backlog.</t>
        </is>
      </c>
      <c r="AK22" s="25" t="inlineStr">
        <is>
          <t>Counts active next-level recommendations for Finance Procurement / Working capital.</t>
        </is>
      </c>
      <c r="AL22" s="25" t="inlineStr">
        <is>
          <t>Counts active risks and risk scores for Finance Procurement / Working capital.</t>
        </is>
      </c>
      <c r="AM22" s="25" t="inlineStr">
        <is>
          <t>Uses the current rank and total score of Business Continuity and Resilience Strategy.</t>
        </is>
      </c>
      <c r="AN22" s="25" t="inlineStr">
        <is>
          <t>Trigger when avg score &lt; 4, active risk exists, active recommendation exists or strategy rank &lt;= 3.</t>
        </is>
      </c>
      <c r="AO22" s="25" t="inlineStr">
        <is>
          <t>Not started</t>
        </is>
      </c>
      <c r="AP22" s="25" t="inlineStr">
        <is>
          <t>Medium</t>
        </is>
      </c>
      <c r="AQ22" s="25" t="n"/>
      <c r="AR22" s="25" t="n"/>
      <c r="AS22" s="247">
        <f>IFERROR(IF(SUMIFS(_REF_Model_Content!$J$1:$J$157,_REF_Model_Content!$A$1:$A$157,'Company Profile'!$B$9,_REF_Model_Content!$B$1:$B$157,$B22)=0,1,SUMIFS(_REF_Model_Content!$J$1:$J$157,_REF_Model_Content!$A$1:$A$157,'Company Profile'!$B$9,_REF_Model_Content!$B$1:$B$157,$B22)),1)</f>
        <v/>
      </c>
      <c r="AT22" s="247">
        <f>IF(OR($AY22="Done",$AY22="Not applicable"),"",IF($AC22="","",ROUND(N($AC22)*N($AS22),2)))</f>
        <v/>
      </c>
      <c r="AU22" s="247">
        <f>IF($AT22="","",_xlfn.RANK.EQ($AT22,$AT$5:$AT$76,0)+COUNTIF($AT$5:AT22,$AT22)-1)</f>
        <v/>
      </c>
      <c r="AV22" s="247">
        <f>IFERROR(INDEX('_DATA_Dashboard_Facts'!$G$300:$G$316,MATCH($B22,'_DATA_Dashboard_Facts'!$A$300:$A$316,0)),"")</f>
        <v/>
      </c>
      <c r="AW22" s="247">
        <f>IF($AS22&gt;cfg_IndPriorityHigh,"Industry template increases priority",IF($AS22&lt;cfg_IndPriorityLow,"Industry template lowers priority","Industry-neutral priority"))</f>
        <v/>
      </c>
      <c r="AX22">
        <f>IFERROR(INDEX('Action Plan &amp; Roadmap'!$D$59:$D$130,MATCH($A22,'Action Plan &amp; Roadmap'!$A$59:$A$130,0)),"")</f>
      </c>
      <c r="AY22">
        <f>IF($AX22&lt;&gt;"",$AX22,IF($AO22="","Not started",$AO22))</f>
        <v/>
      </c>
      <c r="AZ22" t="inlineStr">
        <is>
          <t>Other cost to perform the finance function per $100,000 revenue; Percentage of finance function IT costs allocated to transaction processing</t>
        </is>
      </c>
      <c r="BA22">
        <f>IF($A22="","",COUNTIF('_DATA_Mappings'!$A:$A,$A22))</f>
        <v/>
      </c>
      <c r="BB22">
        <f>IF($A22="","",IFERROR(AVERAGEIF('_DATA_Mappings'!$A:$A,$A22,'_DATA_Mappings'!$G:$G),0))</f>
        <v/>
      </c>
      <c r="BC22">
        <f>IF($A22="","",MAX(0,MIN(5,(N($O22)*0.50)+(N($V22)*0.30)+(N($W22)*0.20))))</f>
        <v/>
      </c>
      <c r="BD22">
        <f>IF($A22="","",MAX(1,MIN(5,($Z22*0.45)+(MIN(5,$BB22/5)*0.35)+($BC22*0.20))))</f>
        <v/>
      </c>
      <c r="BE22">
        <f>IF($AB22=0,"",ROUND((N($X22)+N($Y22)+N($BD22)+N($AA22))/$AB22,2))</f>
        <v/>
      </c>
      <c r="BF22">
        <f>IF(OR($BE22="",$AY22="Done",$AY22="Not applicable"),"",ROUND($BE22*N($AS22),2))</f>
        <v/>
      </c>
      <c r="BG22">
        <f>IF($BF22="","",_xlfn.RANK.EQ($BF22,$BF$5:$BF$76,0)+COUNTIF($BF$5:$BF22,$BF22)-1)</f>
        <v/>
      </c>
      <c r="BH22">
        <f>IF($A22="","",IF($BB22&gt;20,"High P1 risk pressure",IF($BB22&gt;12,"Moderate P1 risk pressure","Lower P1 risk pressure")))</f>
        <v/>
      </c>
      <c r="BI22" s="25">
        <f>'_CONFIG_Model_Settings'!$B$103</f>
        <v/>
      </c>
      <c r="BJ22" s="25">
        <f>IFERROR(INDEX('_CONFIG_Model_Settings'!$B$109:$B$113,MATCH($BI22,'_CONFIG_Model_Settings'!$A$109:$A$113,0)),0.30)</f>
        <v/>
      </c>
      <c r="BK22" s="25">
        <f>IFERROR(INDEX('_CONFIG_Model_Settings'!$C$109:$C$113,MATCH($BI22,'_CONFIG_Model_Settings'!$A$109:$A$113,0)),0.20)</f>
        <v/>
      </c>
      <c r="BL22" s="25">
        <f>IFERROR(INDEX('_CONFIG_Model_Settings'!$D$109:$D$113,MATCH($BI22,'_CONFIG_Model_Settings'!$A$109:$A$113,0)),0.25)</f>
        <v/>
      </c>
      <c r="BM22" s="25">
        <f>IFERROR(INDEX('_CONFIG_Model_Settings'!$E$109:$E$113,MATCH($BI22,'_CONFIG_Model_Settings'!$A$109:$A$113,0)),0.25)</f>
        <v/>
      </c>
      <c r="BN22" s="25">
        <f>IFERROR(INDEX('_CONFIG_Model_Settings'!$B$117:$B$123,MATCH('_CONFIG_Model_Settings'!$B$104,'_CONFIG_Model_Settings'!$A$117:$A$123,0)),1)</f>
        <v/>
      </c>
      <c r="BO22" s="25">
        <f>IFERROR(INDEX('_CONFIG_Model_Settings'!$C$117:$C$123,MATCH('_CONFIG_Model_Settings'!$B$104,'_CONFIG_Model_Settings'!$A$117:$A$123,0)),1)</f>
        <v/>
      </c>
      <c r="BP22" s="25">
        <f>IFERROR(INDEX('_CONFIG_Model_Settings'!$D$117:$D$123,MATCH('_CONFIG_Model_Settings'!$B$104,'_CONFIG_Model_Settings'!$A$117:$A$123,0)),1)</f>
        <v/>
      </c>
      <c r="BQ22" s="25">
        <f>IFERROR(INDEX('_CONFIG_Model_Settings'!$E$117:$E$123,MATCH('_CONFIG_Model_Settings'!$B$104,'_CONFIG_Model_Settings'!$A$117:$A$123,0)),1)</f>
        <v/>
      </c>
      <c r="BR22" s="25">
        <f>IF($A22="","",MIN(5,IFERROR(SUMIF('_DATA_Mappings'!$A:$A,$A22,'_DATA_Mappings'!$K:$K)/MAX(1,'_CONFIG_Model_Settings'!$B$105),0)))</f>
        <v/>
      </c>
      <c r="BS22" s="25">
        <f>IF($A22="","",ROUND((N($X22)*N($BJ22)*N($BN22)+N($Y22)*N($BK22)*N($BO22)+N($BD22)*N($BL22)*N($BP22)+N($AA22)*N($BM22)*N($BQ22)+N($BR22)*N('_CONFIG_Model_Settings'!$B$106))/(N($BJ22)*N($BN22)+N($BK22)*N($BO22)+N($BL22)*N($BP22)+N($BM22)*N($BQ22)+N('_CONFIG_Model_Settings'!$B$106)),2))</f>
        <v/>
      </c>
      <c r="BT22" s="25">
        <f>IF($A22="","",MAX(1,N($AB22)))</f>
        <v/>
      </c>
      <c r="BU22" s="25">
        <f>IF(OR($BS22="",$BT22=0),"",ROUND($BS22/$BT22,2))</f>
        <v/>
      </c>
      <c r="BV22" s="25">
        <f>IF(OR($BU22="",$AY22="Done",$AY22="Not applicable"),"",ROUND($BU22*N($AS22),2))</f>
        <v/>
      </c>
      <c r="BW22" s="25">
        <f>IF($BV22="","",_xlfn.RANK.EQ($BV22,$BV$5:$BV$76,0)+COUNTIF($BV$5:$BV22,$BV22)-1)</f>
        <v/>
      </c>
      <c r="BX22" s="25">
        <f>IF($BW22="","",IF($BW22&lt;=cfg_TimelineBucket1,"0-90 days",IF($BW22&lt;=cfg_TimelineBucket2,"3-6 months",IF($BW22&lt;=cfg_TimelineBucket3,"6-12 months","12+ months"))))</f>
        <v/>
      </c>
      <c r="BY22" s="25">
        <f>IF($A22="","","P2: "&amp;$BI22&amp;" posture; objective="&amp;'_CONFIG_Model_Settings'!$B$104&amp;"; financial score="&amp;ROUND(N($BR22),1)&amp;"; CoD="&amp;$BS22)</f>
        <v/>
      </c>
    </row>
    <row r="23" ht="42" customHeight="1" s="209">
      <c r="A23" s="25" t="inlineStr">
        <is>
          <t>INI-019</t>
        </is>
      </c>
      <c r="B23" s="25" t="inlineStr">
        <is>
          <t>Legal Risk</t>
        </is>
      </c>
      <c r="C23" s="25" t="inlineStr">
        <is>
          <t>Compliance</t>
        </is>
      </c>
      <c r="D23" s="25" t="inlineStr">
        <is>
          <t>Compliance and Risk Control Strategy</t>
        </is>
      </c>
      <c r="E23" s="25" t="inlineStr">
        <is>
          <t>STR-13</t>
        </is>
      </c>
      <c r="F23" s="25" t="inlineStr">
        <is>
          <t>Implement compliance obligation monitoring and crisis legal controls</t>
        </is>
      </c>
      <c r="G23" s="25" t="inlineStr">
        <is>
          <t>Close maturity gaps in compliance by assigning ownership, documenting the process, connecting it to evidence and systems, testing it against crisis scenarios and measuring improvement.</t>
        </is>
      </c>
      <c r="H23" s="25" t="inlineStr">
        <is>
          <t>Legal, compliance and contractual exposure</t>
        </is>
      </c>
      <c r="I23" s="25" t="inlineStr">
        <is>
          <t>Regulatory / legal shock; Cyberattack / ransomware; Reputation crisis</t>
        </is>
      </c>
      <c r="J23" s="25" t="inlineStr">
        <is>
          <t>LEGA-001; LEGA-002; LEGA-003; LEGA-004; LEGA-005; LEGA-006</t>
        </is>
      </c>
      <c r="K23" s="25" t="n">
        <v>6</v>
      </c>
      <c r="L23" s="25">
        <f>COUNTIFS('_ENGINE_Risk'!$C$500:$C$923,$B23,'_ENGINE_Risk'!$D$500:$D$923,$C23,'_ENGINE_Risk'!$B$500:$B$923,"Yes")</f>
        <v/>
      </c>
      <c r="M23" s="25">
        <f>COUNTIFS('_ENGINE_Risk'!$C$500:$C$923,$B23,'_ENGINE_Risk'!$D$500:$D$923,$C23,'_ENGINE_Risk'!$B$500:$B$923,"Yes")</f>
        <v/>
      </c>
      <c r="N23" s="25">
        <f>IFERROR(AVERAGEIFS(_DATA_Assessment_Model!$H$5:$H$428,_DATA_Assessment_Model!$AW$5:$AW$428,$B23,_DATA_Assessment_Model!$B$5:$B$428,$C23),"")</f>
        <v/>
      </c>
      <c r="O23" s="25">
        <f>IF($N23="","",MAX(0,5-$N23))</f>
        <v/>
      </c>
      <c r="P23" s="25">
        <f>IFERROR(INDEX(_DATA_Dashboard_Facts!$H$5:$H$21,MATCH($B23,_DATA_Dashboard_Facts!$A$5:$A$21,0)),"")</f>
        <v/>
      </c>
      <c r="Q23" s="25">
        <f>IF($P23="","",MAX(0,5-$P23))</f>
        <v/>
      </c>
      <c r="R23" s="25">
        <f>IFERROR(SUMIFS(_ENGINE_Crisis!$D$5:$D$208,_ENGINE_Crisis!$A$5:$A$208,'Resilience &amp; Risk Scenario'!$B$6,_ENGINE_Crisis!$B$5:$B$208,$B23),1)</f>
        <v/>
      </c>
      <c r="S23" s="25">
        <f>IFERROR(INDEX('_ENGINE_Strategy'!$A$100:$A$113,MATCH($D23,'_ENGINE_Strategy'!$B$100:$B$113,0)),99)</f>
        <v/>
      </c>
      <c r="T23" s="25">
        <f>IFERROR(INDEX('_ENGINE_Strategy'!$J$100:$J$113,MATCH($D23,'_ENGINE_Strategy'!$B$100:$B$113,0)),0)</f>
        <v/>
      </c>
      <c r="U23" s="25" t="n">
        <v>2</v>
      </c>
      <c r="V23" s="25" t="n">
        <v>4</v>
      </c>
      <c r="W23" s="25" t="n">
        <v>5</v>
      </c>
      <c r="X23" s="25">
        <f>MAX(1,MIN(5,(N($O23)*0.50)+(N($Q23)*0.25)+((N($T23)/20)*0.25)))</f>
        <v/>
      </c>
      <c r="Y23" s="25">
        <f>MAX(1,MIN(5,(($R23-1)*1.6)+('Resilience &amp; Risk Scenario'!$B$7*0.45)+IF($S23&lt;=3,0.8,0)))</f>
        <v/>
      </c>
      <c r="Z23" s="25">
        <f>MAX(1,MIN(5,(N($O23)*0.45)+(MIN(5,5*N($M23)/MAX(1,N($K23)))*0.35)+(N($V23)*0.20)))</f>
        <v/>
      </c>
      <c r="AA23" s="25">
        <f>MAX(1,MIN(5,($U23*0.40)+($W23*0.30)+(($T23/20)*0.30)))</f>
        <v/>
      </c>
      <c r="AB23" s="25" t="n">
        <v>2</v>
      </c>
      <c r="AC23" s="25">
        <f>IF($AB23=0,"",ROUND((N($X23)+N($Y23)+N($Z23)+N($AA23))/$AB23,2))</f>
        <v/>
      </c>
      <c r="AD23" s="25">
        <f>IF($AC23="","",_xlfn.RANK.EQ($AC23,$AC$5:$AC$76,0)+COUNTIF($AC$5:$AC23,$AC23)-1)</f>
        <v/>
      </c>
      <c r="AE23" s="25">
        <f>IF($AD23="","",IF($AD23&lt;=cfg_TimelineBucket1,"0-90 days",IF($AD23&lt;=cfg_TimelineBucket2,"3-6 months",IF($AD23&lt;=cfg_TimelineBucket3,"6-12 months","12+ months"))))</f>
        <v/>
      </c>
      <c r="AF23" s="25" t="inlineStr">
        <is>
          <t>General Counsel / Compliance Lead</t>
        </is>
      </c>
      <c r="AG23" s="25" t="inlineStr">
        <is>
          <t>4-8 weeks</t>
        </is>
      </c>
      <c r="AH23" s="25" t="inlineStr">
        <is>
          <t>Executive sponsor; accountable process owner; baseline evidence; risk acceptance threshold</t>
        </is>
      </c>
      <c r="AI23" s="25" t="inlineStr">
        <is>
          <t>maturity score improvement; open risk reduction; evidence completeness; control test pass rate</t>
        </is>
      </c>
      <c r="AJ23" s="25" t="inlineStr">
        <is>
          <t>Documented compliance operating model, owner/RACI, KPI set, evidence pack, tested crisis playbook and improvement backlog.</t>
        </is>
      </c>
      <c r="AK23" s="25" t="inlineStr">
        <is>
          <t>Counts active next-level recommendations for Legal Risk / Compliance.</t>
        </is>
      </c>
      <c r="AL23" s="25" t="inlineStr">
        <is>
          <t>Counts active risks and risk scores for Legal Risk / Compliance.</t>
        </is>
      </c>
      <c r="AM23" s="25" t="inlineStr">
        <is>
          <t>Uses the current rank and total score of Compliance and Risk Control Strategy.</t>
        </is>
      </c>
      <c r="AN23" s="25" t="inlineStr">
        <is>
          <t>Trigger when avg score &lt; 4, active risk exists, active recommendation exists or strategy rank &lt;= 3.</t>
        </is>
      </c>
      <c r="AO23" s="25" t="inlineStr">
        <is>
          <t>Not started</t>
        </is>
      </c>
      <c r="AP23" s="25" t="inlineStr">
        <is>
          <t>Low-Medium</t>
        </is>
      </c>
      <c r="AQ23" s="25" t="n"/>
      <c r="AR23" s="25" t="n"/>
      <c r="AS23" s="247">
        <f>IFERROR(IF(SUMIFS(_REF_Model_Content!$J$1:$J$157,_REF_Model_Content!$A$1:$A$157,'Company Profile'!$B$9,_REF_Model_Content!$B$1:$B$157,$B23)=0,1,SUMIFS(_REF_Model_Content!$J$1:$J$157,_REF_Model_Content!$A$1:$A$157,'Company Profile'!$B$9,_REF_Model_Content!$B$1:$B$157,$B23)),1)</f>
        <v/>
      </c>
      <c r="AT23" s="247">
        <f>IF(OR($AY23="Done",$AY23="Not applicable"),"",IF($AC23="","",ROUND(N($AC23)*N($AS23),2)))</f>
        <v/>
      </c>
      <c r="AU23" s="247">
        <f>IF($AT23="","",_xlfn.RANK.EQ($AT23,$AT$5:$AT$76,0)+COUNTIF($AT$5:AT23,$AT23)-1)</f>
        <v/>
      </c>
      <c r="AV23" s="247">
        <f>IFERROR(INDEX('_DATA_Dashboard_Facts'!$G$300:$G$316,MATCH($B23,'_DATA_Dashboard_Facts'!$A$300:$A$316,0)),"")</f>
        <v/>
      </c>
      <c r="AW23" s="247">
        <f>IF($AS23&gt;cfg_IndPriorityHigh,"Industry template increases priority",IF($AS23&lt;cfg_IndPriorityLow,"Industry template lowers priority","Industry-neutral priority"))</f>
        <v/>
      </c>
      <c r="AX23">
        <f>IFERROR(INDEX('Action Plan &amp; Roadmap'!$D$59:$D$130,MATCH($A23,'Action Plan &amp; Roadmap'!$A$59:$A$130,0)),"")</f>
      </c>
      <c r="AY23">
        <f>IF($AX23&lt;&gt;"",$AX23,IF($AO23="","Not started",$AO23))</f>
        <v/>
      </c>
      <c r="AZ23" t="inlineStr">
        <is>
          <t>Incident loss ratio; Relative change in fraud losses since digital tools/technologies have been implemented</t>
        </is>
      </c>
      <c r="BA23">
        <f>IF($A23="","",COUNTIF('_DATA_Mappings'!$A:$A,$A23))</f>
        <v/>
      </c>
      <c r="BB23">
        <f>IF($A23="","",IFERROR(AVERAGEIF('_DATA_Mappings'!$A:$A,$A23,'_DATA_Mappings'!$G:$G),0))</f>
        <v/>
      </c>
      <c r="BC23">
        <f>IF($A23="","",MAX(0,MIN(5,(N($O23)*0.50)+(N($V23)*0.30)+(N($W23)*0.20))))</f>
        <v/>
      </c>
      <c r="BD23">
        <f>IF($A23="","",MAX(1,MIN(5,($Z23*0.45)+(MIN(5,$BB23/5)*0.35)+($BC23*0.20))))</f>
        <v/>
      </c>
      <c r="BE23">
        <f>IF($AB23=0,"",ROUND((N($X23)+N($Y23)+N($BD23)+N($AA23))/$AB23,2))</f>
        <v/>
      </c>
      <c r="BF23">
        <f>IF(OR($BE23="",$AY23="Done",$AY23="Not applicable"),"",ROUND($BE23*N($AS23),2))</f>
        <v/>
      </c>
      <c r="BG23">
        <f>IF($BF23="","",_xlfn.RANK.EQ($BF23,$BF$5:$BF$76,0)+COUNTIF($BF$5:$BF23,$BF23)-1)</f>
        <v/>
      </c>
      <c r="BH23">
        <f>IF($A23="","",IF($BB23&gt;20,"High P1 risk pressure",IF($BB23&gt;12,"Moderate P1 risk pressure","Lower P1 risk pressure")))</f>
        <v/>
      </c>
      <c r="BI23" s="25">
        <f>'_CONFIG_Model_Settings'!$B$103</f>
        <v/>
      </c>
      <c r="BJ23" s="25">
        <f>IFERROR(INDEX('_CONFIG_Model_Settings'!$B$109:$B$113,MATCH($BI23,'_CONFIG_Model_Settings'!$A$109:$A$113,0)),0.30)</f>
        <v/>
      </c>
      <c r="BK23" s="25">
        <f>IFERROR(INDEX('_CONFIG_Model_Settings'!$C$109:$C$113,MATCH($BI23,'_CONFIG_Model_Settings'!$A$109:$A$113,0)),0.20)</f>
        <v/>
      </c>
      <c r="BL23" s="25">
        <f>IFERROR(INDEX('_CONFIG_Model_Settings'!$D$109:$D$113,MATCH($BI23,'_CONFIG_Model_Settings'!$A$109:$A$113,0)),0.25)</f>
        <v/>
      </c>
      <c r="BM23" s="25">
        <f>IFERROR(INDEX('_CONFIG_Model_Settings'!$E$109:$E$113,MATCH($BI23,'_CONFIG_Model_Settings'!$A$109:$A$113,0)),0.25)</f>
        <v/>
      </c>
      <c r="BN23" s="25">
        <f>IFERROR(INDEX('_CONFIG_Model_Settings'!$B$117:$B$123,MATCH('_CONFIG_Model_Settings'!$B$104,'_CONFIG_Model_Settings'!$A$117:$A$123,0)),1)</f>
        <v/>
      </c>
      <c r="BO23" s="25">
        <f>IFERROR(INDEX('_CONFIG_Model_Settings'!$C$117:$C$123,MATCH('_CONFIG_Model_Settings'!$B$104,'_CONFIG_Model_Settings'!$A$117:$A$123,0)),1)</f>
        <v/>
      </c>
      <c r="BP23" s="25">
        <f>IFERROR(INDEX('_CONFIG_Model_Settings'!$D$117:$D$123,MATCH('_CONFIG_Model_Settings'!$B$104,'_CONFIG_Model_Settings'!$A$117:$A$123,0)),1)</f>
        <v/>
      </c>
      <c r="BQ23" s="25">
        <f>IFERROR(INDEX('_CONFIG_Model_Settings'!$E$117:$E$123,MATCH('_CONFIG_Model_Settings'!$B$104,'_CONFIG_Model_Settings'!$A$117:$A$123,0)),1)</f>
        <v/>
      </c>
      <c r="BR23" s="25">
        <f>IF($A23="","",MIN(5,IFERROR(SUMIF('_DATA_Mappings'!$A:$A,$A23,'_DATA_Mappings'!$K:$K)/MAX(1,'_CONFIG_Model_Settings'!$B$105),0)))</f>
        <v/>
      </c>
      <c r="BS23" s="25">
        <f>IF($A23="","",ROUND((N($X23)*N($BJ23)*N($BN23)+N($Y23)*N($BK23)*N($BO23)+N($BD23)*N($BL23)*N($BP23)+N($AA23)*N($BM23)*N($BQ23)+N($BR23)*N('_CONFIG_Model_Settings'!$B$106))/(N($BJ23)*N($BN23)+N($BK23)*N($BO23)+N($BL23)*N($BP23)+N($BM23)*N($BQ23)+N('_CONFIG_Model_Settings'!$B$106)),2))</f>
        <v/>
      </c>
      <c r="BT23" s="25">
        <f>IF($A23="","",MAX(1,N($AB23)))</f>
        <v/>
      </c>
      <c r="BU23" s="25">
        <f>IF(OR($BS23="",$BT23=0),"",ROUND($BS23/$BT23,2))</f>
        <v/>
      </c>
      <c r="BV23" s="25">
        <f>IF(OR($BU23="",$AY23="Done",$AY23="Not applicable"),"",ROUND($BU23*N($AS23),2))</f>
        <v/>
      </c>
      <c r="BW23" s="25">
        <f>IF($BV23="","",_xlfn.RANK.EQ($BV23,$BV$5:$BV$76,0)+COUNTIF($BV$5:$BV23,$BV23)-1)</f>
        <v/>
      </c>
      <c r="BX23" s="25">
        <f>IF($BW23="","",IF($BW23&lt;=cfg_TimelineBucket1,"0-90 days",IF($BW23&lt;=cfg_TimelineBucket2,"3-6 months",IF($BW23&lt;=cfg_TimelineBucket3,"6-12 months","12+ months"))))</f>
        <v/>
      </c>
      <c r="BY23" s="25">
        <f>IF($A23="","","P2: "&amp;$BI23&amp;" posture; objective="&amp;'_CONFIG_Model_Settings'!$B$104&amp;"; financial score="&amp;ROUND(N($BR23),1)&amp;"; CoD="&amp;$BS23)</f>
        <v/>
      </c>
    </row>
    <row r="24" ht="42" customHeight="1" s="209">
      <c r="A24" s="25" t="inlineStr">
        <is>
          <t>INI-020</t>
        </is>
      </c>
      <c r="B24" s="25" t="inlineStr">
        <is>
          <t>Legal Risk</t>
        </is>
      </c>
      <c r="C24" s="25" t="inlineStr">
        <is>
          <t>Contracts</t>
        </is>
      </c>
      <c r="D24" s="25" t="inlineStr">
        <is>
          <t>Compliance and Risk Control Strategy</t>
        </is>
      </c>
      <c r="E24" s="25" t="inlineStr">
        <is>
          <t>STR-13</t>
        </is>
      </c>
      <c r="F24" s="25" t="inlineStr">
        <is>
          <t>Build contract register, obligations and force-majeure response model</t>
        </is>
      </c>
      <c r="G24" s="25" t="inlineStr">
        <is>
          <t>Close maturity gaps in contracts by assigning ownership, documenting the process, connecting it to evidence and systems, testing it against crisis scenarios and measuring improvement.</t>
        </is>
      </c>
      <c r="H24" s="25" t="inlineStr">
        <is>
          <t>Legal, compliance and contractual exposure</t>
        </is>
      </c>
      <c r="I24" s="25" t="inlineStr">
        <is>
          <t>Regulatory / legal shock; Cyberattack / ransomware; Reputation crisis</t>
        </is>
      </c>
      <c r="J24" s="25" t="inlineStr">
        <is>
          <t>LEGA-007; LEGA-008; LEGA-009; LEGA-010; LEGA-011; LEGA-012</t>
        </is>
      </c>
      <c r="K24" s="25" t="n">
        <v>6</v>
      </c>
      <c r="L24" s="25">
        <f>COUNTIFS('_ENGINE_Risk'!$C$500:$C$923,$B24,'_ENGINE_Risk'!$D$500:$D$923,$C24,'_ENGINE_Risk'!$B$500:$B$923,"Yes")</f>
        <v/>
      </c>
      <c r="M24" s="25">
        <f>COUNTIFS('_ENGINE_Risk'!$C$500:$C$923,$B24,'_ENGINE_Risk'!$D$500:$D$923,$C24,'_ENGINE_Risk'!$B$500:$B$923,"Yes")</f>
        <v/>
      </c>
      <c r="N24" s="25">
        <f>IFERROR(AVERAGEIFS(_DATA_Assessment_Model!$H$5:$H$428,_DATA_Assessment_Model!$AW$5:$AW$428,$B24,_DATA_Assessment_Model!$B$5:$B$428,$C24),"")</f>
        <v/>
      </c>
      <c r="O24" s="25">
        <f>IF($N24="","",MAX(0,5-$N24))</f>
        <v/>
      </c>
      <c r="P24" s="25">
        <f>IFERROR(INDEX(_DATA_Dashboard_Facts!$H$5:$H$21,MATCH($B24,_DATA_Dashboard_Facts!$A$5:$A$21,0)),"")</f>
        <v/>
      </c>
      <c r="Q24" s="25">
        <f>IF($P24="","",MAX(0,5-$P24))</f>
        <v/>
      </c>
      <c r="R24" s="25">
        <f>IFERROR(SUMIFS(_ENGINE_Crisis!$D$5:$D$208,_ENGINE_Crisis!$A$5:$A$208,'Resilience &amp; Risk Scenario'!$B$6,_ENGINE_Crisis!$B$5:$B$208,$B24),1)</f>
        <v/>
      </c>
      <c r="S24" s="25">
        <f>IFERROR(INDEX('_ENGINE_Strategy'!$A$100:$A$113,MATCH($D24,'_ENGINE_Strategy'!$B$100:$B$113,0)),99)</f>
        <v/>
      </c>
      <c r="T24" s="25">
        <f>IFERROR(INDEX('_ENGINE_Strategy'!$J$100:$J$113,MATCH($D24,'_ENGINE_Strategy'!$B$100:$B$113,0)),0)</f>
        <v/>
      </c>
      <c r="U24" s="25" t="n">
        <v>2</v>
      </c>
      <c r="V24" s="25" t="n">
        <v>4</v>
      </c>
      <c r="W24" s="25" t="n">
        <v>5</v>
      </c>
      <c r="X24" s="25">
        <f>MAX(1,MIN(5,(N($O24)*0.50)+(N($Q24)*0.25)+((N($T24)/20)*0.25)))</f>
        <v/>
      </c>
      <c r="Y24" s="25">
        <f>MAX(1,MIN(5,(($R24-1)*1.6)+('Resilience &amp; Risk Scenario'!$B$7*0.45)+IF($S24&lt;=3,0.8,0)))</f>
        <v/>
      </c>
      <c r="Z24" s="25">
        <f>MAX(1,MIN(5,(N($O24)*0.45)+(MIN(5,5*N($M24)/MAX(1,N($K24)))*0.35)+(N($V24)*0.20)))</f>
        <v/>
      </c>
      <c r="AA24" s="25">
        <f>MAX(1,MIN(5,($U24*0.40)+($W24*0.30)+(($T24/20)*0.30)))</f>
        <v/>
      </c>
      <c r="AB24" s="25" t="n">
        <v>2</v>
      </c>
      <c r="AC24" s="25">
        <f>IF($AB24=0,"",ROUND((N($X24)+N($Y24)+N($Z24)+N($AA24))/$AB24,2))</f>
        <v/>
      </c>
      <c r="AD24" s="25">
        <f>IF($AC24="","",_xlfn.RANK.EQ($AC24,$AC$5:$AC$76,0)+COUNTIF($AC$5:$AC24,$AC24)-1)</f>
        <v/>
      </c>
      <c r="AE24" s="25">
        <f>IF($AD24="","",IF($AD24&lt;=cfg_TimelineBucket1,"0-90 days",IF($AD24&lt;=cfg_TimelineBucket2,"3-6 months",IF($AD24&lt;=cfg_TimelineBucket3,"6-12 months","12+ months"))))</f>
        <v/>
      </c>
      <c r="AF24" s="25" t="inlineStr">
        <is>
          <t>General Counsel / Compliance Lead</t>
        </is>
      </c>
      <c r="AG24" s="25" t="inlineStr">
        <is>
          <t>4-8 weeks</t>
        </is>
      </c>
      <c r="AH24" s="25" t="inlineStr">
        <is>
          <t>Executive sponsor; accountable process owner; baseline evidence; risk acceptance threshold</t>
        </is>
      </c>
      <c r="AI24" s="25" t="inlineStr">
        <is>
          <t>maturity score improvement; open risk reduction; evidence completeness; control test pass rate</t>
        </is>
      </c>
      <c r="AJ24" s="25" t="inlineStr">
        <is>
          <t>Documented contracts operating model, owner/RACI, KPI set, evidence pack, tested crisis playbook and improvement backlog.</t>
        </is>
      </c>
      <c r="AK24" s="25" t="inlineStr">
        <is>
          <t>Counts active next-level recommendations for Legal Risk / Contracts.</t>
        </is>
      </c>
      <c r="AL24" s="25" t="inlineStr">
        <is>
          <t>Counts active risks and risk scores for Legal Risk / Contracts.</t>
        </is>
      </c>
      <c r="AM24" s="25" t="inlineStr">
        <is>
          <t>Uses the current rank and total score of Compliance and Risk Control Strategy.</t>
        </is>
      </c>
      <c r="AN24" s="25" t="inlineStr">
        <is>
          <t>Trigger when avg score &lt; 4, active risk exists, active recommendation exists or strategy rank &lt;= 3.</t>
        </is>
      </c>
      <c r="AO24" s="25" t="inlineStr">
        <is>
          <t>Not started</t>
        </is>
      </c>
      <c r="AP24" s="25" t="inlineStr">
        <is>
          <t>Low-Medium</t>
        </is>
      </c>
      <c r="AQ24" s="25" t="n"/>
      <c r="AR24" s="25" t="n"/>
      <c r="AS24" s="247">
        <f>IFERROR(IF(SUMIFS(_REF_Model_Content!$J$1:$J$157,_REF_Model_Content!$A$1:$A$157,'Company Profile'!$B$9,_REF_Model_Content!$B$1:$B$157,$B24)=0,1,SUMIFS(_REF_Model_Content!$J$1:$J$157,_REF_Model_Content!$A$1:$A$157,'Company Profile'!$B$9,_REF_Model_Content!$B$1:$B$157,$B24)),1)</f>
        <v/>
      </c>
      <c r="AT24" s="247">
        <f>IF(OR($AY24="Done",$AY24="Not applicable"),"",IF($AC24="","",ROUND(N($AC24)*N($AS24),2)))</f>
        <v/>
      </c>
      <c r="AU24" s="247">
        <f>IF($AT24="","",_xlfn.RANK.EQ($AT24,$AT$5:$AT$76,0)+COUNTIF($AT$5:AT24,$AT24)-1)</f>
        <v/>
      </c>
      <c r="AV24" s="247">
        <f>IFERROR(INDEX('_DATA_Dashboard_Facts'!$G$300:$G$316,MATCH($B24,'_DATA_Dashboard_Facts'!$A$300:$A$316,0)),"")</f>
        <v/>
      </c>
      <c r="AW24" s="247">
        <f>IF($AS24&gt;cfg_IndPriorityHigh,"Industry template increases priority",IF($AS24&lt;cfg_IndPriorityLow,"Industry template lowers priority","Industry-neutral priority"))</f>
        <v/>
      </c>
      <c r="AX24">
        <f>IFERROR(INDEX('Action Plan &amp; Roadmap'!$D$59:$D$130,MATCH($A24,'Action Plan &amp; Roadmap'!$A$59:$A$130,0)),"")</f>
      </c>
      <c r="AY24">
        <f>IF($AX24&lt;&gt;"",$AX24,IF($AO24="","Not started",$AO24))</f>
        <v/>
      </c>
      <c r="AZ24" t="inlineStr">
        <is>
          <t>Incident loss ratio; Relative change in fraud losses since digital tools/technologies have been implemented</t>
        </is>
      </c>
      <c r="BA24">
        <f>IF($A24="","",COUNTIF('_DATA_Mappings'!$A:$A,$A24))</f>
        <v/>
      </c>
      <c r="BB24">
        <f>IF($A24="","",IFERROR(AVERAGEIF('_DATA_Mappings'!$A:$A,$A24,'_DATA_Mappings'!$G:$G),0))</f>
        <v/>
      </c>
      <c r="BC24">
        <f>IF($A24="","",MAX(0,MIN(5,(N($O24)*0.50)+(N($V24)*0.30)+(N($W24)*0.20))))</f>
        <v/>
      </c>
      <c r="BD24">
        <f>IF($A24="","",MAX(1,MIN(5,($Z24*0.45)+(MIN(5,$BB24/5)*0.35)+($BC24*0.20))))</f>
        <v/>
      </c>
      <c r="BE24">
        <f>IF($AB24=0,"",ROUND((N($X24)+N($Y24)+N($BD24)+N($AA24))/$AB24,2))</f>
        <v/>
      </c>
      <c r="BF24">
        <f>IF(OR($BE24="",$AY24="Done",$AY24="Not applicable"),"",ROUND($BE24*N($AS24),2))</f>
        <v/>
      </c>
      <c r="BG24">
        <f>IF($BF24="","",_xlfn.RANK.EQ($BF24,$BF$5:$BF$76,0)+COUNTIF($BF$5:$BF24,$BF24)-1)</f>
        <v/>
      </c>
      <c r="BH24">
        <f>IF($A24="","",IF($BB24&gt;20,"High P1 risk pressure",IF($BB24&gt;12,"Moderate P1 risk pressure","Lower P1 risk pressure")))</f>
        <v/>
      </c>
      <c r="BI24" s="25">
        <f>'_CONFIG_Model_Settings'!$B$103</f>
        <v/>
      </c>
      <c r="BJ24" s="25">
        <f>IFERROR(INDEX('_CONFIG_Model_Settings'!$B$109:$B$113,MATCH($BI24,'_CONFIG_Model_Settings'!$A$109:$A$113,0)),0.30)</f>
        <v/>
      </c>
      <c r="BK24" s="25">
        <f>IFERROR(INDEX('_CONFIG_Model_Settings'!$C$109:$C$113,MATCH($BI24,'_CONFIG_Model_Settings'!$A$109:$A$113,0)),0.20)</f>
        <v/>
      </c>
      <c r="BL24" s="25">
        <f>IFERROR(INDEX('_CONFIG_Model_Settings'!$D$109:$D$113,MATCH($BI24,'_CONFIG_Model_Settings'!$A$109:$A$113,0)),0.25)</f>
        <v/>
      </c>
      <c r="BM24" s="25">
        <f>IFERROR(INDEX('_CONFIG_Model_Settings'!$E$109:$E$113,MATCH($BI24,'_CONFIG_Model_Settings'!$A$109:$A$113,0)),0.25)</f>
        <v/>
      </c>
      <c r="BN24" s="25">
        <f>IFERROR(INDEX('_CONFIG_Model_Settings'!$B$117:$B$123,MATCH('_CONFIG_Model_Settings'!$B$104,'_CONFIG_Model_Settings'!$A$117:$A$123,0)),1)</f>
        <v/>
      </c>
      <c r="BO24" s="25">
        <f>IFERROR(INDEX('_CONFIG_Model_Settings'!$C$117:$C$123,MATCH('_CONFIG_Model_Settings'!$B$104,'_CONFIG_Model_Settings'!$A$117:$A$123,0)),1)</f>
        <v/>
      </c>
      <c r="BP24" s="25">
        <f>IFERROR(INDEX('_CONFIG_Model_Settings'!$D$117:$D$123,MATCH('_CONFIG_Model_Settings'!$B$104,'_CONFIG_Model_Settings'!$A$117:$A$123,0)),1)</f>
        <v/>
      </c>
      <c r="BQ24" s="25">
        <f>IFERROR(INDEX('_CONFIG_Model_Settings'!$E$117:$E$123,MATCH('_CONFIG_Model_Settings'!$B$104,'_CONFIG_Model_Settings'!$A$117:$A$123,0)),1)</f>
        <v/>
      </c>
      <c r="BR24" s="25">
        <f>IF($A24="","",MIN(5,IFERROR(SUMIF('_DATA_Mappings'!$A:$A,$A24,'_DATA_Mappings'!$K:$K)/MAX(1,'_CONFIG_Model_Settings'!$B$105),0)))</f>
        <v/>
      </c>
      <c r="BS24" s="25">
        <f>IF($A24="","",ROUND((N($X24)*N($BJ24)*N($BN24)+N($Y24)*N($BK24)*N($BO24)+N($BD24)*N($BL24)*N($BP24)+N($AA24)*N($BM24)*N($BQ24)+N($BR24)*N('_CONFIG_Model_Settings'!$B$106))/(N($BJ24)*N($BN24)+N($BK24)*N($BO24)+N($BL24)*N($BP24)+N($BM24)*N($BQ24)+N('_CONFIG_Model_Settings'!$B$106)),2))</f>
        <v/>
      </c>
      <c r="BT24" s="25">
        <f>IF($A24="","",MAX(1,N($AB24)))</f>
        <v/>
      </c>
      <c r="BU24" s="25">
        <f>IF(OR($BS24="",$BT24=0),"",ROUND($BS24/$BT24,2))</f>
        <v/>
      </c>
      <c r="BV24" s="25">
        <f>IF(OR($BU24="",$AY24="Done",$AY24="Not applicable"),"",ROUND($BU24*N($AS24),2))</f>
        <v/>
      </c>
      <c r="BW24" s="25">
        <f>IF($BV24="","",_xlfn.RANK.EQ($BV24,$BV$5:$BV$76,0)+COUNTIF($BV$5:$BV24,$BV24)-1)</f>
        <v/>
      </c>
      <c r="BX24" s="25">
        <f>IF($BW24="","",IF($BW24&lt;=cfg_TimelineBucket1,"0-90 days",IF($BW24&lt;=cfg_TimelineBucket2,"3-6 months",IF($BW24&lt;=cfg_TimelineBucket3,"6-12 months","12+ months"))))</f>
        <v/>
      </c>
      <c r="BY24" s="25">
        <f>IF($A24="","","P2: "&amp;$BI24&amp;" posture; objective="&amp;'_CONFIG_Model_Settings'!$B$104&amp;"; financial score="&amp;ROUND(N($BR24),1)&amp;"; CoD="&amp;$BS24)</f>
        <v/>
      </c>
    </row>
    <row r="25" ht="42" customHeight="1" s="209">
      <c r="A25" s="25" t="inlineStr">
        <is>
          <t>INI-021</t>
        </is>
      </c>
      <c r="B25" s="25" t="inlineStr">
        <is>
          <t>Legal Risk</t>
        </is>
      </c>
      <c r="C25" s="25" t="inlineStr">
        <is>
          <t>Data and IP</t>
        </is>
      </c>
      <c r="D25" s="25" t="inlineStr">
        <is>
          <t>Compliance and Risk Control Strategy</t>
        </is>
      </c>
      <c r="E25" s="25" t="inlineStr">
        <is>
          <t>STR-13</t>
        </is>
      </c>
      <c r="F25" s="25" t="inlineStr">
        <is>
          <t>Strengthen data, IP and confidentiality legal safeguards</t>
        </is>
      </c>
      <c r="G25" s="25" t="inlineStr">
        <is>
          <t>Close maturity gaps in data and ip by assigning ownership, documenting the process, connecting it to evidence and systems, testing it against crisis scenarios and measuring improvement.</t>
        </is>
      </c>
      <c r="H25" s="25" t="inlineStr">
        <is>
          <t>Legal, compliance and contractual exposure</t>
        </is>
      </c>
      <c r="I25" s="25" t="inlineStr">
        <is>
          <t>Regulatory / legal shock; Cyberattack / ransomware; Reputation crisis</t>
        </is>
      </c>
      <c r="J25" s="25" t="inlineStr">
        <is>
          <t>LEGA-013; LEGA-014; LEGA-015; LEGA-016; LEGA-017; LEGA-018</t>
        </is>
      </c>
      <c r="K25" s="25" t="n">
        <v>6</v>
      </c>
      <c r="L25" s="25">
        <f>COUNTIFS('_ENGINE_Risk'!$C$500:$C$923,$B25,'_ENGINE_Risk'!$D$500:$D$923,$C25,'_ENGINE_Risk'!$B$500:$B$923,"Yes")</f>
        <v/>
      </c>
      <c r="M25" s="25">
        <f>COUNTIFS('_ENGINE_Risk'!$C$500:$C$923,$B25,'_ENGINE_Risk'!$D$500:$D$923,$C25,'_ENGINE_Risk'!$B$500:$B$923,"Yes")</f>
        <v/>
      </c>
      <c r="N25" s="25">
        <f>IFERROR(AVERAGEIFS(_DATA_Assessment_Model!$H$5:$H$428,_DATA_Assessment_Model!$AW$5:$AW$428,$B25,_DATA_Assessment_Model!$B$5:$B$428,$C25),"")</f>
        <v/>
      </c>
      <c r="O25" s="25">
        <f>IF($N25="","",MAX(0,5-$N25))</f>
        <v/>
      </c>
      <c r="P25" s="25">
        <f>IFERROR(INDEX(_DATA_Dashboard_Facts!$H$5:$H$21,MATCH($B25,_DATA_Dashboard_Facts!$A$5:$A$21,0)),"")</f>
        <v/>
      </c>
      <c r="Q25" s="25">
        <f>IF($P25="","",MAX(0,5-$P25))</f>
        <v/>
      </c>
      <c r="R25" s="25">
        <f>IFERROR(SUMIFS(_ENGINE_Crisis!$D$5:$D$208,_ENGINE_Crisis!$A$5:$A$208,'Resilience &amp; Risk Scenario'!$B$6,_ENGINE_Crisis!$B$5:$B$208,$B25),1)</f>
        <v/>
      </c>
      <c r="S25" s="25">
        <f>IFERROR(INDEX('_ENGINE_Strategy'!$A$100:$A$113,MATCH($D25,'_ENGINE_Strategy'!$B$100:$B$113,0)),99)</f>
        <v/>
      </c>
      <c r="T25" s="25">
        <f>IFERROR(INDEX('_ENGINE_Strategy'!$J$100:$J$113,MATCH($D25,'_ENGINE_Strategy'!$B$100:$B$113,0)),0)</f>
        <v/>
      </c>
      <c r="U25" s="25" t="n">
        <v>2</v>
      </c>
      <c r="V25" s="25" t="n">
        <v>4</v>
      </c>
      <c r="W25" s="25" t="n">
        <v>5</v>
      </c>
      <c r="X25" s="25">
        <f>MAX(1,MIN(5,(N($O25)*0.50)+(N($Q25)*0.25)+((N($T25)/20)*0.25)))</f>
        <v/>
      </c>
      <c r="Y25" s="25">
        <f>MAX(1,MIN(5,(($R25-1)*1.6)+('Resilience &amp; Risk Scenario'!$B$7*0.45)+IF($S25&lt;=3,0.8,0)))</f>
        <v/>
      </c>
      <c r="Z25" s="25">
        <f>MAX(1,MIN(5,(N($O25)*0.45)+(MIN(5,5*N($M25)/MAX(1,N($K25)))*0.35)+(N($V25)*0.20)))</f>
        <v/>
      </c>
      <c r="AA25" s="25">
        <f>MAX(1,MIN(5,($U25*0.40)+($W25*0.30)+(($T25/20)*0.30)))</f>
        <v/>
      </c>
      <c r="AB25" s="25" t="n">
        <v>2</v>
      </c>
      <c r="AC25" s="25">
        <f>IF($AB25=0,"",ROUND((N($X25)+N($Y25)+N($Z25)+N($AA25))/$AB25,2))</f>
        <v/>
      </c>
      <c r="AD25" s="25">
        <f>IF($AC25="","",_xlfn.RANK.EQ($AC25,$AC$5:$AC$76,0)+COUNTIF($AC$5:$AC25,$AC25)-1)</f>
        <v/>
      </c>
      <c r="AE25" s="25">
        <f>IF($AD25="","",IF($AD25&lt;=cfg_TimelineBucket1,"0-90 days",IF($AD25&lt;=cfg_TimelineBucket2,"3-6 months",IF($AD25&lt;=cfg_TimelineBucket3,"6-12 months","12+ months"))))</f>
        <v/>
      </c>
      <c r="AF25" s="25" t="inlineStr">
        <is>
          <t>General Counsel / Compliance Lead</t>
        </is>
      </c>
      <c r="AG25" s="25" t="inlineStr">
        <is>
          <t>4-8 weeks</t>
        </is>
      </c>
      <c r="AH25" s="25" t="inlineStr">
        <is>
          <t>Executive sponsor; accountable process owner; baseline evidence; risk acceptance threshold</t>
        </is>
      </c>
      <c r="AI25" s="25" t="inlineStr">
        <is>
          <t>maturity score improvement; open risk reduction; evidence completeness; control test pass rate</t>
        </is>
      </c>
      <c r="AJ25" s="25" t="inlineStr">
        <is>
          <t>Documented data and ip operating model, owner/RACI, KPI set, evidence pack, tested crisis playbook and improvement backlog.</t>
        </is>
      </c>
      <c r="AK25" s="25" t="inlineStr">
        <is>
          <t>Counts active next-level recommendations for Legal Risk / Data and IP.</t>
        </is>
      </c>
      <c r="AL25" s="25" t="inlineStr">
        <is>
          <t>Counts active risks and risk scores for Legal Risk / Data and IP.</t>
        </is>
      </c>
      <c r="AM25" s="25" t="inlineStr">
        <is>
          <t>Uses the current rank and total score of Compliance and Risk Control Strategy.</t>
        </is>
      </c>
      <c r="AN25" s="25" t="inlineStr">
        <is>
          <t>Trigger when avg score &lt; 4, active risk exists, active recommendation exists or strategy rank &lt;= 3.</t>
        </is>
      </c>
      <c r="AO25" s="25" t="inlineStr">
        <is>
          <t>Not started</t>
        </is>
      </c>
      <c r="AP25" s="25" t="inlineStr">
        <is>
          <t>Low-Medium</t>
        </is>
      </c>
      <c r="AQ25" s="25" t="n"/>
      <c r="AR25" s="25" t="n"/>
      <c r="AS25" s="247">
        <f>IFERROR(IF(SUMIFS(_REF_Model_Content!$J$1:$J$157,_REF_Model_Content!$A$1:$A$157,'Company Profile'!$B$9,_REF_Model_Content!$B$1:$B$157,$B25)=0,1,SUMIFS(_REF_Model_Content!$J$1:$J$157,_REF_Model_Content!$A$1:$A$157,'Company Profile'!$B$9,_REF_Model_Content!$B$1:$B$157,$B25)),1)</f>
        <v/>
      </c>
      <c r="AT25" s="247">
        <f>IF(OR($AY25="Done",$AY25="Not applicable"),"",IF($AC25="","",ROUND(N($AC25)*N($AS25),2)))</f>
        <v/>
      </c>
      <c r="AU25" s="247">
        <f>IF($AT25="","",_xlfn.RANK.EQ($AT25,$AT$5:$AT$76,0)+COUNTIF($AT$5:AT25,$AT25)-1)</f>
        <v/>
      </c>
      <c r="AV25" s="247">
        <f>IFERROR(INDEX('_DATA_Dashboard_Facts'!$G$300:$G$316,MATCH($B25,'_DATA_Dashboard_Facts'!$A$300:$A$316,0)),"")</f>
        <v/>
      </c>
      <c r="AW25" s="247">
        <f>IF($AS25&gt;cfg_IndPriorityHigh,"Industry template increases priority",IF($AS25&lt;cfg_IndPriorityLow,"Industry template lowers priority","Industry-neutral priority"))</f>
        <v/>
      </c>
      <c r="AX25">
        <f>IFERROR(INDEX('Action Plan &amp; Roadmap'!$D$59:$D$130,MATCH($A25,'Action Plan &amp; Roadmap'!$A$59:$A$130,0)),"")</f>
      </c>
      <c r="AY25">
        <f>IF($AX25&lt;&gt;"",$AX25,IF($AO25="","Not started",$AO25))</f>
        <v/>
      </c>
      <c r="AZ25" t="inlineStr">
        <is>
          <t>Incident loss ratio; Relative change in fraud losses since digital tools/technologies have been implemented</t>
        </is>
      </c>
      <c r="BA25">
        <f>IF($A25="","",COUNTIF('_DATA_Mappings'!$A:$A,$A25))</f>
        <v/>
      </c>
      <c r="BB25">
        <f>IF($A25="","",IFERROR(AVERAGEIF('_DATA_Mappings'!$A:$A,$A25,'_DATA_Mappings'!$G:$G),0))</f>
        <v/>
      </c>
      <c r="BC25">
        <f>IF($A25="","",MAX(0,MIN(5,(N($O25)*0.50)+(N($V25)*0.30)+(N($W25)*0.20))))</f>
        <v/>
      </c>
      <c r="BD25">
        <f>IF($A25="","",MAX(1,MIN(5,($Z25*0.45)+(MIN(5,$BB25/5)*0.35)+($BC25*0.20))))</f>
        <v/>
      </c>
      <c r="BE25">
        <f>IF($AB25=0,"",ROUND((N($X25)+N($Y25)+N($BD25)+N($AA25))/$AB25,2))</f>
        <v/>
      </c>
      <c r="BF25">
        <f>IF(OR($BE25="",$AY25="Done",$AY25="Not applicable"),"",ROUND($BE25*N($AS25),2))</f>
        <v/>
      </c>
      <c r="BG25">
        <f>IF($BF25="","",_xlfn.RANK.EQ($BF25,$BF$5:$BF$76,0)+COUNTIF($BF$5:$BF25,$BF25)-1)</f>
        <v/>
      </c>
      <c r="BH25">
        <f>IF($A25="","",IF($BB25&gt;20,"High P1 risk pressure",IF($BB25&gt;12,"Moderate P1 risk pressure","Lower P1 risk pressure")))</f>
        <v/>
      </c>
      <c r="BI25" s="25">
        <f>'_CONFIG_Model_Settings'!$B$103</f>
        <v/>
      </c>
      <c r="BJ25" s="25">
        <f>IFERROR(INDEX('_CONFIG_Model_Settings'!$B$109:$B$113,MATCH($BI25,'_CONFIG_Model_Settings'!$A$109:$A$113,0)),0.30)</f>
        <v/>
      </c>
      <c r="BK25" s="25">
        <f>IFERROR(INDEX('_CONFIG_Model_Settings'!$C$109:$C$113,MATCH($BI25,'_CONFIG_Model_Settings'!$A$109:$A$113,0)),0.20)</f>
        <v/>
      </c>
      <c r="BL25" s="25">
        <f>IFERROR(INDEX('_CONFIG_Model_Settings'!$D$109:$D$113,MATCH($BI25,'_CONFIG_Model_Settings'!$A$109:$A$113,0)),0.25)</f>
        <v/>
      </c>
      <c r="BM25" s="25">
        <f>IFERROR(INDEX('_CONFIG_Model_Settings'!$E$109:$E$113,MATCH($BI25,'_CONFIG_Model_Settings'!$A$109:$A$113,0)),0.25)</f>
        <v/>
      </c>
      <c r="BN25" s="25">
        <f>IFERROR(INDEX('_CONFIG_Model_Settings'!$B$117:$B$123,MATCH('_CONFIG_Model_Settings'!$B$104,'_CONFIG_Model_Settings'!$A$117:$A$123,0)),1)</f>
        <v/>
      </c>
      <c r="BO25" s="25">
        <f>IFERROR(INDEX('_CONFIG_Model_Settings'!$C$117:$C$123,MATCH('_CONFIG_Model_Settings'!$B$104,'_CONFIG_Model_Settings'!$A$117:$A$123,0)),1)</f>
        <v/>
      </c>
      <c r="BP25" s="25">
        <f>IFERROR(INDEX('_CONFIG_Model_Settings'!$D$117:$D$123,MATCH('_CONFIG_Model_Settings'!$B$104,'_CONFIG_Model_Settings'!$A$117:$A$123,0)),1)</f>
        <v/>
      </c>
      <c r="BQ25" s="25">
        <f>IFERROR(INDEX('_CONFIG_Model_Settings'!$E$117:$E$123,MATCH('_CONFIG_Model_Settings'!$B$104,'_CONFIG_Model_Settings'!$A$117:$A$123,0)),1)</f>
        <v/>
      </c>
      <c r="BR25" s="25">
        <f>IF($A25="","",MIN(5,IFERROR(SUMIF('_DATA_Mappings'!$A:$A,$A25,'_DATA_Mappings'!$K:$K)/MAX(1,'_CONFIG_Model_Settings'!$B$105),0)))</f>
        <v/>
      </c>
      <c r="BS25" s="25">
        <f>IF($A25="","",ROUND((N($X25)*N($BJ25)*N($BN25)+N($Y25)*N($BK25)*N($BO25)+N($BD25)*N($BL25)*N($BP25)+N($AA25)*N($BM25)*N($BQ25)+N($BR25)*N('_CONFIG_Model_Settings'!$B$106))/(N($BJ25)*N($BN25)+N($BK25)*N($BO25)+N($BL25)*N($BP25)+N($BM25)*N($BQ25)+N('_CONFIG_Model_Settings'!$B$106)),2))</f>
        <v/>
      </c>
      <c r="BT25" s="25">
        <f>IF($A25="","",MAX(1,N($AB25)))</f>
        <v/>
      </c>
      <c r="BU25" s="25">
        <f>IF(OR($BS25="",$BT25=0),"",ROUND($BS25/$BT25,2))</f>
        <v/>
      </c>
      <c r="BV25" s="25">
        <f>IF(OR($BU25="",$AY25="Done",$AY25="Not applicable"),"",ROUND($BU25*N($AS25),2))</f>
        <v/>
      </c>
      <c r="BW25" s="25">
        <f>IF($BV25="","",_xlfn.RANK.EQ($BV25,$BV$5:$BV$76,0)+COUNTIF($BV$5:$BV25,$BV25)-1)</f>
        <v/>
      </c>
      <c r="BX25" s="25">
        <f>IF($BW25="","",IF($BW25&lt;=cfg_TimelineBucket1,"0-90 days",IF($BW25&lt;=cfg_TimelineBucket2,"3-6 months",IF($BW25&lt;=cfg_TimelineBucket3,"6-12 months","12+ months"))))</f>
        <v/>
      </c>
      <c r="BY25" s="25">
        <f>IF($A25="","","P2: "&amp;$BI25&amp;" posture; objective="&amp;'_CONFIG_Model_Settings'!$B$104&amp;"; financial score="&amp;ROUND(N($BR25),1)&amp;"; CoD="&amp;$BS25)</f>
        <v/>
      </c>
    </row>
    <row r="26" ht="42" customHeight="1" s="209">
      <c r="A26" s="25" t="inlineStr">
        <is>
          <t>INI-022</t>
        </is>
      </c>
      <c r="B26" s="25" t="inlineStr">
        <is>
          <t>Legal Risk</t>
        </is>
      </c>
      <c r="C26" s="25" t="inlineStr">
        <is>
          <t>Employment law</t>
        </is>
      </c>
      <c r="D26" s="25" t="inlineStr">
        <is>
          <t>Compliance and Risk Control Strategy</t>
        </is>
      </c>
      <c r="E26" s="25" t="inlineStr">
        <is>
          <t>STR-13</t>
        </is>
      </c>
      <c r="F26" s="25" t="inlineStr">
        <is>
          <t>Prepare employment-law continuity and workforce-location compliance</t>
        </is>
      </c>
      <c r="G26" s="25" t="inlineStr">
        <is>
          <t>Close maturity gaps in employment law by assigning ownership, documenting the process, connecting it to evidence and systems, testing it against crisis scenarios and measuring improvement.</t>
        </is>
      </c>
      <c r="H26" s="25" t="inlineStr">
        <is>
          <t>Legal, compliance and contractual exposure</t>
        </is>
      </c>
      <c r="I26" s="25" t="inlineStr">
        <is>
          <t>Regulatory / legal shock; Cyberattack / ransomware; Reputation crisis</t>
        </is>
      </c>
      <c r="J26" s="25" t="inlineStr">
        <is>
          <t>LEGA-019; LEGA-020</t>
        </is>
      </c>
      <c r="K26" s="25" t="n">
        <v>2</v>
      </c>
      <c r="L26" s="25">
        <f>COUNTIFS('_ENGINE_Risk'!$C$500:$C$923,$B26,'_ENGINE_Risk'!$D$500:$D$923,$C26,'_ENGINE_Risk'!$B$500:$B$923,"Yes")</f>
        <v/>
      </c>
      <c r="M26" s="25">
        <f>COUNTIFS('_ENGINE_Risk'!$C$500:$C$923,$B26,'_ENGINE_Risk'!$D$500:$D$923,$C26,'_ENGINE_Risk'!$B$500:$B$923,"Yes")</f>
        <v/>
      </c>
      <c r="N26" s="25">
        <f>IFERROR(AVERAGEIFS(_DATA_Assessment_Model!$H$5:$H$428,_DATA_Assessment_Model!$AW$5:$AW$428,$B26,_DATA_Assessment_Model!$B$5:$B$428,$C26),"")</f>
        <v/>
      </c>
      <c r="O26" s="25">
        <f>IF($N26="","",MAX(0,5-$N26))</f>
        <v/>
      </c>
      <c r="P26" s="25">
        <f>IFERROR(INDEX(_DATA_Dashboard_Facts!$H$5:$H$21,MATCH($B26,_DATA_Dashboard_Facts!$A$5:$A$21,0)),"")</f>
        <v/>
      </c>
      <c r="Q26" s="25">
        <f>IF($P26="","",MAX(0,5-$P26))</f>
        <v/>
      </c>
      <c r="R26" s="25">
        <f>IFERROR(SUMIFS(_ENGINE_Crisis!$D$5:$D$208,_ENGINE_Crisis!$A$5:$A$208,'Resilience &amp; Risk Scenario'!$B$6,_ENGINE_Crisis!$B$5:$B$208,$B26),1)</f>
        <v/>
      </c>
      <c r="S26" s="25">
        <f>IFERROR(INDEX('_ENGINE_Strategy'!$A$100:$A$113,MATCH($D26,'_ENGINE_Strategy'!$B$100:$B$113,0)),99)</f>
        <v/>
      </c>
      <c r="T26" s="25">
        <f>IFERROR(INDEX('_ENGINE_Strategy'!$J$100:$J$113,MATCH($D26,'_ENGINE_Strategy'!$B$100:$B$113,0)),0)</f>
        <v/>
      </c>
      <c r="U26" s="25" t="n">
        <v>2</v>
      </c>
      <c r="V26" s="25" t="n">
        <v>4</v>
      </c>
      <c r="W26" s="25" t="n">
        <v>5</v>
      </c>
      <c r="X26" s="25">
        <f>MAX(1,MIN(5,(N($O26)*0.50)+(N($Q26)*0.25)+((N($T26)/20)*0.25)))</f>
        <v/>
      </c>
      <c r="Y26" s="25">
        <f>MAX(1,MIN(5,(($R26-1)*1.6)+('Resilience &amp; Risk Scenario'!$B$7*0.45)+IF($S26&lt;=3,0.8,0)))</f>
        <v/>
      </c>
      <c r="Z26" s="25">
        <f>MAX(1,MIN(5,(N($O26)*0.45)+(MIN(5,5*N($M26)/MAX(1,N($K26)))*0.35)+(N($V26)*0.20)))</f>
        <v/>
      </c>
      <c r="AA26" s="25">
        <f>MAX(1,MIN(5,($U26*0.40)+($W26*0.30)+(($T26/20)*0.30)))</f>
        <v/>
      </c>
      <c r="AB26" s="25" t="n">
        <v>2</v>
      </c>
      <c r="AC26" s="25">
        <f>IF($AB26=0,"",ROUND((N($X26)+N($Y26)+N($Z26)+N($AA26))/$AB26,2))</f>
        <v/>
      </c>
      <c r="AD26" s="25">
        <f>IF($AC26="","",_xlfn.RANK.EQ($AC26,$AC$5:$AC$76,0)+COUNTIF($AC$5:$AC26,$AC26)-1)</f>
        <v/>
      </c>
      <c r="AE26" s="25">
        <f>IF($AD26="","",IF($AD26&lt;=cfg_TimelineBucket1,"0-90 days",IF($AD26&lt;=cfg_TimelineBucket2,"3-6 months",IF($AD26&lt;=cfg_TimelineBucket3,"6-12 months","12+ months"))))</f>
        <v/>
      </c>
      <c r="AF26" s="25" t="inlineStr">
        <is>
          <t>General Counsel / Compliance Lead</t>
        </is>
      </c>
      <c r="AG26" s="25" t="inlineStr">
        <is>
          <t>4-8 weeks</t>
        </is>
      </c>
      <c r="AH26" s="25" t="inlineStr">
        <is>
          <t>Executive sponsor; accountable process owner; baseline evidence; risk acceptance threshold</t>
        </is>
      </c>
      <c r="AI26" s="25" t="inlineStr">
        <is>
          <t>maturity score improvement; open risk reduction; evidence completeness; control test pass rate</t>
        </is>
      </c>
      <c r="AJ26" s="25" t="inlineStr">
        <is>
          <t>Documented employment law operating model, owner/RACI, KPI set, evidence pack, tested crisis playbook and improvement backlog.</t>
        </is>
      </c>
      <c r="AK26" s="25" t="inlineStr">
        <is>
          <t>Counts active next-level recommendations for Legal Risk / Employment law.</t>
        </is>
      </c>
      <c r="AL26" s="25" t="inlineStr">
        <is>
          <t>Counts active risks and risk scores for Legal Risk / Employment law.</t>
        </is>
      </c>
      <c r="AM26" s="25" t="inlineStr">
        <is>
          <t>Uses the current rank and total score of Compliance and Risk Control Strategy.</t>
        </is>
      </c>
      <c r="AN26" s="25" t="inlineStr">
        <is>
          <t>Trigger when avg score &lt; 4, active risk exists, active recommendation exists or strategy rank &lt;= 3.</t>
        </is>
      </c>
      <c r="AO26" s="25" t="inlineStr">
        <is>
          <t>Not started</t>
        </is>
      </c>
      <c r="AP26" s="25" t="inlineStr">
        <is>
          <t>Low-Medium</t>
        </is>
      </c>
      <c r="AQ26" s="25" t="n"/>
      <c r="AR26" s="25" t="n"/>
      <c r="AS26" s="247">
        <f>IFERROR(IF(SUMIFS(_REF_Model_Content!$J$1:$J$157,_REF_Model_Content!$A$1:$A$157,'Company Profile'!$B$9,_REF_Model_Content!$B$1:$B$157,$B26)=0,1,SUMIFS(_REF_Model_Content!$J$1:$J$157,_REF_Model_Content!$A$1:$A$157,'Company Profile'!$B$9,_REF_Model_Content!$B$1:$B$157,$B26)),1)</f>
        <v/>
      </c>
      <c r="AT26" s="247">
        <f>IF(OR($AY26="Done",$AY26="Not applicable"),"",IF($AC26="","",ROUND(N($AC26)*N($AS26),2)))</f>
        <v/>
      </c>
      <c r="AU26" s="247">
        <f>IF($AT26="","",_xlfn.RANK.EQ($AT26,$AT$5:$AT$76,0)+COUNTIF($AT$5:AT26,$AT26)-1)</f>
        <v/>
      </c>
      <c r="AV26" s="247">
        <f>IFERROR(INDEX('_DATA_Dashboard_Facts'!$G$300:$G$316,MATCH($B26,'_DATA_Dashboard_Facts'!$A$300:$A$316,0)),"")</f>
        <v/>
      </c>
      <c r="AW26" s="247">
        <f>IF($AS26&gt;cfg_IndPriorityHigh,"Industry template increases priority",IF($AS26&lt;cfg_IndPriorityLow,"Industry template lowers priority","Industry-neutral priority"))</f>
        <v/>
      </c>
      <c r="AX26">
        <f>IFERROR(INDEX('Action Plan &amp; Roadmap'!$D$59:$D$130,MATCH($A26,'Action Plan &amp; Roadmap'!$A$59:$A$130,0)),"")</f>
      </c>
      <c r="AY26">
        <f>IF($AX26&lt;&gt;"",$AX26,IF($AO26="","Not started",$AO26))</f>
        <v/>
      </c>
      <c r="AZ26" t="inlineStr">
        <is>
          <t>Incident loss ratio; Relative change in fraud losses since digital tools/technologies have been implemented</t>
        </is>
      </c>
      <c r="BA26">
        <f>IF($A26="","",COUNTIF('_DATA_Mappings'!$A:$A,$A26))</f>
        <v/>
      </c>
      <c r="BB26">
        <f>IF($A26="","",IFERROR(AVERAGEIF('_DATA_Mappings'!$A:$A,$A26,'_DATA_Mappings'!$G:$G),0))</f>
        <v/>
      </c>
      <c r="BC26">
        <f>IF($A26="","",MAX(0,MIN(5,(N($O26)*0.50)+(N($V26)*0.30)+(N($W26)*0.20))))</f>
        <v/>
      </c>
      <c r="BD26">
        <f>IF($A26="","",MAX(1,MIN(5,($Z26*0.45)+(MIN(5,$BB26/5)*0.35)+($BC26*0.20))))</f>
        <v/>
      </c>
      <c r="BE26">
        <f>IF($AB26=0,"",ROUND((N($X26)+N($Y26)+N($BD26)+N($AA26))/$AB26,2))</f>
        <v/>
      </c>
      <c r="BF26">
        <f>IF(OR($BE26="",$AY26="Done",$AY26="Not applicable"),"",ROUND($BE26*N($AS26),2))</f>
        <v/>
      </c>
      <c r="BG26">
        <f>IF($BF26="","",_xlfn.RANK.EQ($BF26,$BF$5:$BF$76,0)+COUNTIF($BF$5:$BF26,$BF26)-1)</f>
        <v/>
      </c>
      <c r="BH26">
        <f>IF($A26="","",IF($BB26&gt;20,"High P1 risk pressure",IF($BB26&gt;12,"Moderate P1 risk pressure","Lower P1 risk pressure")))</f>
        <v/>
      </c>
      <c r="BI26" s="25">
        <f>'_CONFIG_Model_Settings'!$B$103</f>
        <v/>
      </c>
      <c r="BJ26" s="25">
        <f>IFERROR(INDEX('_CONFIG_Model_Settings'!$B$109:$B$113,MATCH($BI26,'_CONFIG_Model_Settings'!$A$109:$A$113,0)),0.30)</f>
        <v/>
      </c>
      <c r="BK26" s="25">
        <f>IFERROR(INDEX('_CONFIG_Model_Settings'!$C$109:$C$113,MATCH($BI26,'_CONFIG_Model_Settings'!$A$109:$A$113,0)),0.20)</f>
        <v/>
      </c>
      <c r="BL26" s="25">
        <f>IFERROR(INDEX('_CONFIG_Model_Settings'!$D$109:$D$113,MATCH($BI26,'_CONFIG_Model_Settings'!$A$109:$A$113,0)),0.25)</f>
        <v/>
      </c>
      <c r="BM26" s="25">
        <f>IFERROR(INDEX('_CONFIG_Model_Settings'!$E$109:$E$113,MATCH($BI26,'_CONFIG_Model_Settings'!$A$109:$A$113,0)),0.25)</f>
        <v/>
      </c>
      <c r="BN26" s="25">
        <f>IFERROR(INDEX('_CONFIG_Model_Settings'!$B$117:$B$123,MATCH('_CONFIG_Model_Settings'!$B$104,'_CONFIG_Model_Settings'!$A$117:$A$123,0)),1)</f>
        <v/>
      </c>
      <c r="BO26" s="25">
        <f>IFERROR(INDEX('_CONFIG_Model_Settings'!$C$117:$C$123,MATCH('_CONFIG_Model_Settings'!$B$104,'_CONFIG_Model_Settings'!$A$117:$A$123,0)),1)</f>
        <v/>
      </c>
      <c r="BP26" s="25">
        <f>IFERROR(INDEX('_CONFIG_Model_Settings'!$D$117:$D$123,MATCH('_CONFIG_Model_Settings'!$B$104,'_CONFIG_Model_Settings'!$A$117:$A$123,0)),1)</f>
        <v/>
      </c>
      <c r="BQ26" s="25">
        <f>IFERROR(INDEX('_CONFIG_Model_Settings'!$E$117:$E$123,MATCH('_CONFIG_Model_Settings'!$B$104,'_CONFIG_Model_Settings'!$A$117:$A$123,0)),1)</f>
        <v/>
      </c>
      <c r="BR26" s="25">
        <f>IF($A26="","",MIN(5,IFERROR(SUMIF('_DATA_Mappings'!$A:$A,$A26,'_DATA_Mappings'!$K:$K)/MAX(1,'_CONFIG_Model_Settings'!$B$105),0)))</f>
        <v/>
      </c>
      <c r="BS26" s="25">
        <f>IF($A26="","",ROUND((N($X26)*N($BJ26)*N($BN26)+N($Y26)*N($BK26)*N($BO26)+N($BD26)*N($BL26)*N($BP26)+N($AA26)*N($BM26)*N($BQ26)+N($BR26)*N('_CONFIG_Model_Settings'!$B$106))/(N($BJ26)*N($BN26)+N($BK26)*N($BO26)+N($BL26)*N($BP26)+N($BM26)*N($BQ26)+N('_CONFIG_Model_Settings'!$B$106)),2))</f>
        <v/>
      </c>
      <c r="BT26" s="25">
        <f>IF($A26="","",MAX(1,N($AB26)))</f>
        <v/>
      </c>
      <c r="BU26" s="25">
        <f>IF(OR($BS26="",$BT26=0),"",ROUND($BS26/$BT26,2))</f>
        <v/>
      </c>
      <c r="BV26" s="25">
        <f>IF(OR($BU26="",$AY26="Done",$AY26="Not applicable"),"",ROUND($BU26*N($AS26),2))</f>
        <v/>
      </c>
      <c r="BW26" s="25">
        <f>IF($BV26="","",_xlfn.RANK.EQ($BV26,$BV$5:$BV$76,0)+COUNTIF($BV$5:$BV26,$BV26)-1)</f>
        <v/>
      </c>
      <c r="BX26" s="25">
        <f>IF($BW26="","",IF($BW26&lt;=cfg_TimelineBucket1,"0-90 days",IF($BW26&lt;=cfg_TimelineBucket2,"3-6 months",IF($BW26&lt;=cfg_TimelineBucket3,"6-12 months","12+ months"))))</f>
        <v/>
      </c>
      <c r="BY26" s="25">
        <f>IF($A26="","","P2: "&amp;$BI26&amp;" posture; objective="&amp;'_CONFIG_Model_Settings'!$B$104&amp;"; financial score="&amp;ROUND(N($BR26),1)&amp;"; CoD="&amp;$BS26)</f>
        <v/>
      </c>
    </row>
    <row r="27" ht="42" customHeight="1" s="209">
      <c r="A27" s="25" t="inlineStr">
        <is>
          <t>INI-023</t>
        </is>
      </c>
      <c r="B27" s="25" t="inlineStr">
        <is>
          <t>Physical Safety</t>
        </is>
      </c>
      <c r="C27" s="25" t="inlineStr">
        <is>
          <t>OH&amp;S governance</t>
        </is>
      </c>
      <c r="D27" s="25" t="inlineStr">
        <is>
          <t>Physical Safety and Site Resilience Strategy</t>
        </is>
      </c>
      <c r="E27" s="25" t="inlineStr">
        <is>
          <t>STR-10</t>
        </is>
      </c>
      <c r="F27" s="25" t="inlineStr">
        <is>
          <t>Implement occupational health and safety governance system</t>
        </is>
      </c>
      <c r="G27" s="25" t="inlineStr">
        <is>
          <t>Close maturity gaps in oh&amp;s governance by assigning ownership, documenting the process, connecting it to evidence and systems, testing it against crisis scenarios and measuring improvement.</t>
        </is>
      </c>
      <c r="H27" s="25" t="inlineStr">
        <is>
          <t>Physical safety, security and facility resilience</t>
        </is>
      </c>
      <c r="I27" s="25" t="inlineStr">
        <is>
          <t>War / security crisis; Physical site loss; Energy / utilities outage; Pandemic / health crisis</t>
        </is>
      </c>
      <c r="J27" s="25" t="inlineStr">
        <is>
          <t>PHYS-001; PHYS-002; PHYS-003; PHYS-004; PHYS-005; PHYS-006</t>
        </is>
      </c>
      <c r="K27" s="25" t="n">
        <v>6</v>
      </c>
      <c r="L27" s="25">
        <f>COUNTIFS('_ENGINE_Risk'!$C$500:$C$923,$B27,'_ENGINE_Risk'!$D$500:$D$923,$C27,'_ENGINE_Risk'!$B$500:$B$923,"Yes")</f>
        <v/>
      </c>
      <c r="M27" s="25">
        <f>COUNTIFS('_ENGINE_Risk'!$C$500:$C$923,$B27,'_ENGINE_Risk'!$D$500:$D$923,$C27,'_ENGINE_Risk'!$B$500:$B$923,"Yes")</f>
        <v/>
      </c>
      <c r="N27" s="25">
        <f>IFERROR(AVERAGEIFS(_DATA_Assessment_Model!$H$5:$H$428,_DATA_Assessment_Model!$AW$5:$AW$428,$B27,_DATA_Assessment_Model!$B$5:$B$428,$C27),"")</f>
        <v/>
      </c>
      <c r="O27" s="25">
        <f>IF($N27="","",MAX(0,5-$N27))</f>
        <v/>
      </c>
      <c r="P27" s="25">
        <f>IFERROR(INDEX(_DATA_Dashboard_Facts!$H$5:$H$21,MATCH($B27,_DATA_Dashboard_Facts!$A$5:$A$21,0)),"")</f>
        <v/>
      </c>
      <c r="Q27" s="25">
        <f>IF($P27="","",MAX(0,5-$P27))</f>
        <v/>
      </c>
      <c r="R27" s="25">
        <f>IFERROR(SUMIFS(_ENGINE_Crisis!$D$5:$D$208,_ENGINE_Crisis!$A$5:$A$208,'Resilience &amp; Risk Scenario'!$B$6,_ENGINE_Crisis!$B$5:$B$208,$B27),1)</f>
        <v/>
      </c>
      <c r="S27" s="25">
        <f>IFERROR(INDEX('_ENGINE_Strategy'!$A$100:$A$113,MATCH($D27,'_ENGINE_Strategy'!$B$100:$B$113,0)),99)</f>
        <v/>
      </c>
      <c r="T27" s="25">
        <f>IFERROR(INDEX('_ENGINE_Strategy'!$J$100:$J$113,MATCH($D27,'_ENGINE_Strategy'!$B$100:$B$113,0)),0)</f>
        <v/>
      </c>
      <c r="U27" s="25" t="n">
        <v>2</v>
      </c>
      <c r="V27" s="25" t="n">
        <v>5</v>
      </c>
      <c r="W27" s="25" t="n">
        <v>4</v>
      </c>
      <c r="X27" s="25">
        <f>MAX(1,MIN(5,(N($O27)*0.50)+(N($Q27)*0.25)+((N($T27)/20)*0.25)))</f>
        <v/>
      </c>
      <c r="Y27" s="25">
        <f>MAX(1,MIN(5,(($R27-1)*1.6)+('Resilience &amp; Risk Scenario'!$B$7*0.45)+IF($S27&lt;=3,0.8,0)))</f>
        <v/>
      </c>
      <c r="Z27" s="25">
        <f>MAX(1,MIN(5,(N($O27)*0.45)+(MIN(5,5*N($M27)/MAX(1,N($K27)))*0.35)+(N($V27)*0.20)))</f>
        <v/>
      </c>
      <c r="AA27" s="25">
        <f>MAX(1,MIN(5,($U27*0.40)+($W27*0.30)+(($T27/20)*0.30)))</f>
        <v/>
      </c>
      <c r="AB27" s="25" t="n">
        <v>3</v>
      </c>
      <c r="AC27" s="25">
        <f>IF($AB27=0,"",ROUND((N($X27)+N($Y27)+N($Z27)+N($AA27))/$AB27,2))</f>
        <v/>
      </c>
      <c r="AD27" s="25">
        <f>IF($AC27="","",_xlfn.RANK.EQ($AC27,$AC$5:$AC$76,0)+COUNTIF($AC$5:$AC27,$AC27)-1)</f>
        <v/>
      </c>
      <c r="AE27" s="25">
        <f>IF($AD27="","",IF($AD27&lt;=cfg_TimelineBucket1,"0-90 days",IF($AD27&lt;=cfg_TimelineBucket2,"3-6 months",IF($AD27&lt;=cfg_TimelineBucket3,"6-12 months","12+ months"))))</f>
        <v/>
      </c>
      <c r="AF27" s="25" t="inlineStr">
        <is>
          <t>COO / HSE / Security Lead</t>
        </is>
      </c>
      <c r="AG27" s="25" t="inlineStr">
        <is>
          <t>2-3 months</t>
        </is>
      </c>
      <c r="AH27" s="25" t="inlineStr">
        <is>
          <t>Executive sponsor; accountable process owner; baseline evidence; risk acceptance threshold; site inventory; emergency contacts; facility access data</t>
        </is>
      </c>
      <c r="AI27" s="25" t="inlineStr">
        <is>
          <t>maturity score improvement; open risk reduction; evidence completeness; control test pass rate; drill completion; incident rate; site access review completion</t>
        </is>
      </c>
      <c r="AJ27" s="25" t="inlineStr">
        <is>
          <t>Documented oh&amp;s governance operating model, owner/RACI, KPI set, evidence pack, tested crisis playbook and improvement backlog.</t>
        </is>
      </c>
      <c r="AK27" s="25" t="inlineStr">
        <is>
          <t>Counts active next-level recommendations for Physical Safety / OH&amp;S governance.</t>
        </is>
      </c>
      <c r="AL27" s="25" t="inlineStr">
        <is>
          <t>Counts active risks and risk scores for Physical Safety / OH&amp;S governance.</t>
        </is>
      </c>
      <c r="AM27" s="25" t="inlineStr">
        <is>
          <t>Uses the current rank and total score of Physical Safety and Site Resilience Strategy.</t>
        </is>
      </c>
      <c r="AN27" s="25" t="inlineStr">
        <is>
          <t>Trigger when avg score &lt; 4, active risk exists, active recommendation exists or strategy rank &lt;= 3.</t>
        </is>
      </c>
      <c r="AO27" s="25" t="inlineStr">
        <is>
          <t>Not started</t>
        </is>
      </c>
      <c r="AP27" s="25" t="inlineStr">
        <is>
          <t>Medium</t>
        </is>
      </c>
      <c r="AQ27" s="25" t="n"/>
      <c r="AR27" s="25" t="n"/>
      <c r="AS27" s="247">
        <f>IFERROR(IF(SUMIFS(_REF_Model_Content!$J$1:$J$157,_REF_Model_Content!$A$1:$A$157,'Company Profile'!$B$9,_REF_Model_Content!$B$1:$B$157,$B27)=0,1,SUMIFS(_REF_Model_Content!$J$1:$J$157,_REF_Model_Content!$A$1:$A$157,'Company Profile'!$B$9,_REF_Model_Content!$B$1:$B$157,$B27)),1)</f>
        <v/>
      </c>
      <c r="AT27" s="247">
        <f>IF(OR($AY27="Done",$AY27="Not applicable"),"",IF($AC27="","",ROUND(N($AC27)*N($AS27),2)))</f>
        <v/>
      </c>
      <c r="AU27" s="247">
        <f>IF($AT27="","",_xlfn.RANK.EQ($AT27,$AT$5:$AT$76,0)+COUNTIF($AT$5:AT27,$AT27)-1)</f>
        <v/>
      </c>
      <c r="AV27" s="247">
        <f>IFERROR(INDEX('_DATA_Dashboard_Facts'!$G$300:$G$316,MATCH($B27,'_DATA_Dashboard_Facts'!$A$300:$A$316,0)),"")</f>
        <v/>
      </c>
      <c r="AW27" s="247">
        <f>IF($AS27&gt;cfg_IndPriorityHigh,"Industry template increases priority",IF($AS27&lt;cfg_IndPriorityLow,"Industry template lowers priority","Industry-neutral priority"))</f>
        <v/>
      </c>
      <c r="AX27">
        <f>IFERROR(INDEX('Action Plan &amp; Roadmap'!$D$59:$D$130,MATCH($A27,'Action Plan &amp; Roadmap'!$A$59:$A$130,0)),"")</f>
      </c>
      <c r="AY27">
        <f>IF($AX27&lt;&gt;"",$AX27,IF($AO27="","Not started",$AO27))</f>
        <v/>
      </c>
      <c r="AZ27" t="inlineStr">
        <is>
          <t>Incident loss ratio; Relative change in fraud losses since digital tools/technologies have been implemented</t>
        </is>
      </c>
      <c r="BA27">
        <f>IF($A27="","",COUNTIF('_DATA_Mappings'!$A:$A,$A27))</f>
        <v/>
      </c>
      <c r="BB27">
        <f>IF($A27="","",IFERROR(AVERAGEIF('_DATA_Mappings'!$A:$A,$A27,'_DATA_Mappings'!$G:$G),0))</f>
        <v/>
      </c>
      <c r="BC27">
        <f>IF($A27="","",MAX(0,MIN(5,(N($O27)*0.50)+(N($V27)*0.30)+(N($W27)*0.20))))</f>
        <v/>
      </c>
      <c r="BD27">
        <f>IF($A27="","",MAX(1,MIN(5,($Z27*0.45)+(MIN(5,$BB27/5)*0.35)+($BC27*0.20))))</f>
        <v/>
      </c>
      <c r="BE27">
        <f>IF($AB27=0,"",ROUND((N($X27)+N($Y27)+N($BD27)+N($AA27))/$AB27,2))</f>
        <v/>
      </c>
      <c r="BF27">
        <f>IF(OR($BE27="",$AY27="Done",$AY27="Not applicable"),"",ROUND($BE27*N($AS27),2))</f>
        <v/>
      </c>
      <c r="BG27">
        <f>IF($BF27="","",_xlfn.RANK.EQ($BF27,$BF$5:$BF$76,0)+COUNTIF($BF$5:$BF27,$BF27)-1)</f>
        <v/>
      </c>
      <c r="BH27">
        <f>IF($A27="","",IF($BB27&gt;20,"High P1 risk pressure",IF($BB27&gt;12,"Moderate P1 risk pressure","Lower P1 risk pressure")))</f>
        <v/>
      </c>
      <c r="BI27" s="25">
        <f>'_CONFIG_Model_Settings'!$B$103</f>
        <v/>
      </c>
      <c r="BJ27" s="25">
        <f>IFERROR(INDEX('_CONFIG_Model_Settings'!$B$109:$B$113,MATCH($BI27,'_CONFIG_Model_Settings'!$A$109:$A$113,0)),0.30)</f>
        <v/>
      </c>
      <c r="BK27" s="25">
        <f>IFERROR(INDEX('_CONFIG_Model_Settings'!$C$109:$C$113,MATCH($BI27,'_CONFIG_Model_Settings'!$A$109:$A$113,0)),0.20)</f>
        <v/>
      </c>
      <c r="BL27" s="25">
        <f>IFERROR(INDEX('_CONFIG_Model_Settings'!$D$109:$D$113,MATCH($BI27,'_CONFIG_Model_Settings'!$A$109:$A$113,0)),0.25)</f>
        <v/>
      </c>
      <c r="BM27" s="25">
        <f>IFERROR(INDEX('_CONFIG_Model_Settings'!$E$109:$E$113,MATCH($BI27,'_CONFIG_Model_Settings'!$A$109:$A$113,0)),0.25)</f>
        <v/>
      </c>
      <c r="BN27" s="25">
        <f>IFERROR(INDEX('_CONFIG_Model_Settings'!$B$117:$B$123,MATCH('_CONFIG_Model_Settings'!$B$104,'_CONFIG_Model_Settings'!$A$117:$A$123,0)),1)</f>
        <v/>
      </c>
      <c r="BO27" s="25">
        <f>IFERROR(INDEX('_CONFIG_Model_Settings'!$C$117:$C$123,MATCH('_CONFIG_Model_Settings'!$B$104,'_CONFIG_Model_Settings'!$A$117:$A$123,0)),1)</f>
        <v/>
      </c>
      <c r="BP27" s="25">
        <f>IFERROR(INDEX('_CONFIG_Model_Settings'!$D$117:$D$123,MATCH('_CONFIG_Model_Settings'!$B$104,'_CONFIG_Model_Settings'!$A$117:$A$123,0)),1)</f>
        <v/>
      </c>
      <c r="BQ27" s="25">
        <f>IFERROR(INDEX('_CONFIG_Model_Settings'!$E$117:$E$123,MATCH('_CONFIG_Model_Settings'!$B$104,'_CONFIG_Model_Settings'!$A$117:$A$123,0)),1)</f>
        <v/>
      </c>
      <c r="BR27" s="25">
        <f>IF($A27="","",MIN(5,IFERROR(SUMIF('_DATA_Mappings'!$A:$A,$A27,'_DATA_Mappings'!$K:$K)/MAX(1,'_CONFIG_Model_Settings'!$B$105),0)))</f>
        <v/>
      </c>
      <c r="BS27" s="25">
        <f>IF($A27="","",ROUND((N($X27)*N($BJ27)*N($BN27)+N($Y27)*N($BK27)*N($BO27)+N($BD27)*N($BL27)*N($BP27)+N($AA27)*N($BM27)*N($BQ27)+N($BR27)*N('_CONFIG_Model_Settings'!$B$106))/(N($BJ27)*N($BN27)+N($BK27)*N($BO27)+N($BL27)*N($BP27)+N($BM27)*N($BQ27)+N('_CONFIG_Model_Settings'!$B$106)),2))</f>
        <v/>
      </c>
      <c r="BT27" s="25">
        <f>IF($A27="","",MAX(1,N($AB27)))</f>
        <v/>
      </c>
      <c r="BU27" s="25">
        <f>IF(OR($BS27="",$BT27=0),"",ROUND($BS27/$BT27,2))</f>
        <v/>
      </c>
      <c r="BV27" s="25">
        <f>IF(OR($BU27="",$AY27="Done",$AY27="Not applicable"),"",ROUND($BU27*N($AS27),2))</f>
        <v/>
      </c>
      <c r="BW27" s="25">
        <f>IF($BV27="","",_xlfn.RANK.EQ($BV27,$BV$5:$BV$76,0)+COUNTIF($BV$5:$BV27,$BV27)-1)</f>
        <v/>
      </c>
      <c r="BX27" s="25">
        <f>IF($BW27="","",IF($BW27&lt;=cfg_TimelineBucket1,"0-90 days",IF($BW27&lt;=cfg_TimelineBucket2,"3-6 months",IF($BW27&lt;=cfg_TimelineBucket3,"6-12 months","12+ months"))))</f>
        <v/>
      </c>
      <c r="BY27" s="25">
        <f>IF($A27="","","P2: "&amp;$BI27&amp;" posture; objective="&amp;'_CONFIG_Model_Settings'!$B$104&amp;"; financial score="&amp;ROUND(N($BR27),1)&amp;"; CoD="&amp;$BS27)</f>
        <v/>
      </c>
    </row>
    <row r="28" ht="42" customHeight="1" s="209">
      <c r="A28" s="25" t="inlineStr">
        <is>
          <t>INI-024</t>
        </is>
      </c>
      <c r="B28" s="25" t="inlineStr">
        <is>
          <t>Physical Safety</t>
        </is>
      </c>
      <c r="C28" s="25" t="inlineStr">
        <is>
          <t>Facilities and access</t>
        </is>
      </c>
      <c r="D28" s="25" t="inlineStr">
        <is>
          <t>Physical Safety and Site Resilience Strategy</t>
        </is>
      </c>
      <c r="E28" s="25" t="inlineStr">
        <is>
          <t>STR-10</t>
        </is>
      </c>
      <c r="F28" s="25" t="inlineStr">
        <is>
          <t>Secure facilities, physical access and site protection controls</t>
        </is>
      </c>
      <c r="G28" s="25" t="inlineStr">
        <is>
          <t>Close maturity gaps in facilities and access by assigning ownership, documenting the process, connecting it to evidence and systems, testing it against crisis scenarios and measuring improvement.</t>
        </is>
      </c>
      <c r="H28" s="25" t="inlineStr">
        <is>
          <t>Physical safety, security and facility resilience</t>
        </is>
      </c>
      <c r="I28" s="25" t="inlineStr">
        <is>
          <t>War / security crisis; Physical site loss; Energy / utilities outage; Pandemic / health crisis</t>
        </is>
      </c>
      <c r="J28" s="25" t="inlineStr">
        <is>
          <t>PHYS-007; PHYS-008; PHYS-009; PHYS-010; PHYS-011; PHYS-012</t>
        </is>
      </c>
      <c r="K28" s="25" t="n">
        <v>6</v>
      </c>
      <c r="L28" s="25">
        <f>COUNTIFS('_ENGINE_Risk'!$C$500:$C$923,$B28,'_ENGINE_Risk'!$D$500:$D$923,$C28,'_ENGINE_Risk'!$B$500:$B$923,"Yes")</f>
        <v/>
      </c>
      <c r="M28" s="25">
        <f>COUNTIFS('_ENGINE_Risk'!$C$500:$C$923,$B28,'_ENGINE_Risk'!$D$500:$D$923,$C28,'_ENGINE_Risk'!$B$500:$B$923,"Yes")</f>
        <v/>
      </c>
      <c r="N28" s="25">
        <f>IFERROR(AVERAGEIFS(_DATA_Assessment_Model!$H$5:$H$428,_DATA_Assessment_Model!$AW$5:$AW$428,$B28,_DATA_Assessment_Model!$B$5:$B$428,$C28),"")</f>
        <v/>
      </c>
      <c r="O28" s="25">
        <f>IF($N28="","",MAX(0,5-$N28))</f>
        <v/>
      </c>
      <c r="P28" s="25">
        <f>IFERROR(INDEX(_DATA_Dashboard_Facts!$H$5:$H$21,MATCH($B28,_DATA_Dashboard_Facts!$A$5:$A$21,0)),"")</f>
        <v/>
      </c>
      <c r="Q28" s="25">
        <f>IF($P28="","",MAX(0,5-$P28))</f>
        <v/>
      </c>
      <c r="R28" s="25">
        <f>IFERROR(SUMIFS(_ENGINE_Crisis!$D$5:$D$208,_ENGINE_Crisis!$A$5:$A$208,'Resilience &amp; Risk Scenario'!$B$6,_ENGINE_Crisis!$B$5:$B$208,$B28),1)</f>
        <v/>
      </c>
      <c r="S28" s="25">
        <f>IFERROR(INDEX('_ENGINE_Strategy'!$A$100:$A$113,MATCH($D28,'_ENGINE_Strategy'!$B$100:$B$113,0)),99)</f>
        <v/>
      </c>
      <c r="T28" s="25">
        <f>IFERROR(INDEX('_ENGINE_Strategy'!$J$100:$J$113,MATCH($D28,'_ENGINE_Strategy'!$B$100:$B$113,0)),0)</f>
        <v/>
      </c>
      <c r="U28" s="25" t="n">
        <v>2</v>
      </c>
      <c r="V28" s="25" t="n">
        <v>5</v>
      </c>
      <c r="W28" s="25" t="n">
        <v>4</v>
      </c>
      <c r="X28" s="25">
        <f>MAX(1,MIN(5,(N($O28)*0.50)+(N($Q28)*0.25)+((N($T28)/20)*0.25)))</f>
        <v/>
      </c>
      <c r="Y28" s="25">
        <f>MAX(1,MIN(5,(($R28-1)*1.6)+('Resilience &amp; Risk Scenario'!$B$7*0.45)+IF($S28&lt;=3,0.8,0)))</f>
        <v/>
      </c>
      <c r="Z28" s="25">
        <f>MAX(1,MIN(5,(N($O28)*0.45)+(MIN(5,5*N($M28)/MAX(1,N($K28)))*0.35)+(N($V28)*0.20)))</f>
        <v/>
      </c>
      <c r="AA28" s="25">
        <f>MAX(1,MIN(5,($U28*0.40)+($W28*0.30)+(($T28/20)*0.30)))</f>
        <v/>
      </c>
      <c r="AB28" s="25" t="n">
        <v>3</v>
      </c>
      <c r="AC28" s="25">
        <f>IF($AB28=0,"",ROUND((N($X28)+N($Y28)+N($Z28)+N($AA28))/$AB28,2))</f>
        <v/>
      </c>
      <c r="AD28" s="25">
        <f>IF($AC28="","",_xlfn.RANK.EQ($AC28,$AC$5:$AC$76,0)+COUNTIF($AC$5:$AC28,$AC28)-1)</f>
        <v/>
      </c>
      <c r="AE28" s="25">
        <f>IF($AD28="","",IF($AD28&lt;=cfg_TimelineBucket1,"0-90 days",IF($AD28&lt;=cfg_TimelineBucket2,"3-6 months",IF($AD28&lt;=cfg_TimelineBucket3,"6-12 months","12+ months"))))</f>
        <v/>
      </c>
      <c r="AF28" s="25" t="inlineStr">
        <is>
          <t>COO / HSE / Security Lead</t>
        </is>
      </c>
      <c r="AG28" s="25" t="inlineStr">
        <is>
          <t>2-3 months</t>
        </is>
      </c>
      <c r="AH28" s="25" t="inlineStr">
        <is>
          <t>Executive sponsor; accountable process owner; baseline evidence; risk acceptance threshold; site inventory; emergency contacts; facility access data</t>
        </is>
      </c>
      <c r="AI28" s="25" t="inlineStr">
        <is>
          <t>maturity score improvement; open risk reduction; evidence completeness; control test pass rate; drill completion; incident rate; site access review completion</t>
        </is>
      </c>
      <c r="AJ28" s="25" t="inlineStr">
        <is>
          <t>Documented facilities and access operating model, owner/RACI, KPI set, evidence pack, tested crisis playbook and improvement backlog.</t>
        </is>
      </c>
      <c r="AK28" s="25" t="inlineStr">
        <is>
          <t>Counts active next-level recommendations for Physical Safety / Facilities and access.</t>
        </is>
      </c>
      <c r="AL28" s="25" t="inlineStr">
        <is>
          <t>Counts active risks and risk scores for Physical Safety / Facilities and access.</t>
        </is>
      </c>
      <c r="AM28" s="25" t="inlineStr">
        <is>
          <t>Uses the current rank and total score of Physical Safety and Site Resilience Strategy.</t>
        </is>
      </c>
      <c r="AN28" s="25" t="inlineStr">
        <is>
          <t>Trigger when avg score &lt; 4, active risk exists, active recommendation exists or strategy rank &lt;= 3.</t>
        </is>
      </c>
      <c r="AO28" s="25" t="inlineStr">
        <is>
          <t>Not started</t>
        </is>
      </c>
      <c r="AP28" s="25" t="inlineStr">
        <is>
          <t>Medium</t>
        </is>
      </c>
      <c r="AQ28" s="25" t="n"/>
      <c r="AR28" s="25" t="n"/>
      <c r="AS28" s="247">
        <f>IFERROR(IF(SUMIFS(_REF_Model_Content!$J$1:$J$157,_REF_Model_Content!$A$1:$A$157,'Company Profile'!$B$9,_REF_Model_Content!$B$1:$B$157,$B28)=0,1,SUMIFS(_REF_Model_Content!$J$1:$J$157,_REF_Model_Content!$A$1:$A$157,'Company Profile'!$B$9,_REF_Model_Content!$B$1:$B$157,$B28)),1)</f>
        <v/>
      </c>
      <c r="AT28" s="247">
        <f>IF(OR($AY28="Done",$AY28="Not applicable"),"",IF($AC28="","",ROUND(N($AC28)*N($AS28),2)))</f>
        <v/>
      </c>
      <c r="AU28" s="247">
        <f>IF($AT28="","",_xlfn.RANK.EQ($AT28,$AT$5:$AT$76,0)+COUNTIF($AT$5:AT28,$AT28)-1)</f>
        <v/>
      </c>
      <c r="AV28" s="247">
        <f>IFERROR(INDEX('_DATA_Dashboard_Facts'!$G$300:$G$316,MATCH($B28,'_DATA_Dashboard_Facts'!$A$300:$A$316,0)),"")</f>
        <v/>
      </c>
      <c r="AW28" s="247">
        <f>IF($AS28&gt;cfg_IndPriorityHigh,"Industry template increases priority",IF($AS28&lt;cfg_IndPriorityLow,"Industry template lowers priority","Industry-neutral priority"))</f>
        <v/>
      </c>
      <c r="AX28">
        <f>IFERROR(INDEX('Action Plan &amp; Roadmap'!$D$59:$D$130,MATCH($A28,'Action Plan &amp; Roadmap'!$A$59:$A$130,0)),"")</f>
      </c>
      <c r="AY28">
        <f>IF($AX28&lt;&gt;"",$AX28,IF($AO28="","Not started",$AO28))</f>
        <v/>
      </c>
      <c r="AZ28" t="inlineStr">
        <is>
          <t>Incident loss ratio; Relative change in fraud losses since digital tools/technologies have been implemented</t>
        </is>
      </c>
      <c r="BA28">
        <f>IF($A28="","",COUNTIF('_DATA_Mappings'!$A:$A,$A28))</f>
        <v/>
      </c>
      <c r="BB28">
        <f>IF($A28="","",IFERROR(AVERAGEIF('_DATA_Mappings'!$A:$A,$A28,'_DATA_Mappings'!$G:$G),0))</f>
        <v/>
      </c>
      <c r="BC28">
        <f>IF($A28="","",MAX(0,MIN(5,(N($O28)*0.50)+(N($V28)*0.30)+(N($W28)*0.20))))</f>
        <v/>
      </c>
      <c r="BD28">
        <f>IF($A28="","",MAX(1,MIN(5,($Z28*0.45)+(MIN(5,$BB28/5)*0.35)+($BC28*0.20))))</f>
        <v/>
      </c>
      <c r="BE28">
        <f>IF($AB28=0,"",ROUND((N($X28)+N($Y28)+N($BD28)+N($AA28))/$AB28,2))</f>
        <v/>
      </c>
      <c r="BF28">
        <f>IF(OR($BE28="",$AY28="Done",$AY28="Not applicable"),"",ROUND($BE28*N($AS28),2))</f>
        <v/>
      </c>
      <c r="BG28">
        <f>IF($BF28="","",_xlfn.RANK.EQ($BF28,$BF$5:$BF$76,0)+COUNTIF($BF$5:$BF28,$BF28)-1)</f>
        <v/>
      </c>
      <c r="BH28">
        <f>IF($A28="","",IF($BB28&gt;20,"High P1 risk pressure",IF($BB28&gt;12,"Moderate P1 risk pressure","Lower P1 risk pressure")))</f>
        <v/>
      </c>
      <c r="BI28" s="25">
        <f>'_CONFIG_Model_Settings'!$B$103</f>
        <v/>
      </c>
      <c r="BJ28" s="25">
        <f>IFERROR(INDEX('_CONFIG_Model_Settings'!$B$109:$B$113,MATCH($BI28,'_CONFIG_Model_Settings'!$A$109:$A$113,0)),0.30)</f>
        <v/>
      </c>
      <c r="BK28" s="25">
        <f>IFERROR(INDEX('_CONFIG_Model_Settings'!$C$109:$C$113,MATCH($BI28,'_CONFIG_Model_Settings'!$A$109:$A$113,0)),0.20)</f>
        <v/>
      </c>
      <c r="BL28" s="25">
        <f>IFERROR(INDEX('_CONFIG_Model_Settings'!$D$109:$D$113,MATCH($BI28,'_CONFIG_Model_Settings'!$A$109:$A$113,0)),0.25)</f>
        <v/>
      </c>
      <c r="BM28" s="25">
        <f>IFERROR(INDEX('_CONFIG_Model_Settings'!$E$109:$E$113,MATCH($BI28,'_CONFIG_Model_Settings'!$A$109:$A$113,0)),0.25)</f>
        <v/>
      </c>
      <c r="BN28" s="25">
        <f>IFERROR(INDEX('_CONFIG_Model_Settings'!$B$117:$B$123,MATCH('_CONFIG_Model_Settings'!$B$104,'_CONFIG_Model_Settings'!$A$117:$A$123,0)),1)</f>
        <v/>
      </c>
      <c r="BO28" s="25">
        <f>IFERROR(INDEX('_CONFIG_Model_Settings'!$C$117:$C$123,MATCH('_CONFIG_Model_Settings'!$B$104,'_CONFIG_Model_Settings'!$A$117:$A$123,0)),1)</f>
        <v/>
      </c>
      <c r="BP28" s="25">
        <f>IFERROR(INDEX('_CONFIG_Model_Settings'!$D$117:$D$123,MATCH('_CONFIG_Model_Settings'!$B$104,'_CONFIG_Model_Settings'!$A$117:$A$123,0)),1)</f>
        <v/>
      </c>
      <c r="BQ28" s="25">
        <f>IFERROR(INDEX('_CONFIG_Model_Settings'!$E$117:$E$123,MATCH('_CONFIG_Model_Settings'!$B$104,'_CONFIG_Model_Settings'!$A$117:$A$123,0)),1)</f>
        <v/>
      </c>
      <c r="BR28" s="25">
        <f>IF($A28="","",MIN(5,IFERROR(SUMIF('_DATA_Mappings'!$A:$A,$A28,'_DATA_Mappings'!$K:$K)/MAX(1,'_CONFIG_Model_Settings'!$B$105),0)))</f>
        <v/>
      </c>
      <c r="BS28" s="25">
        <f>IF($A28="","",ROUND((N($X28)*N($BJ28)*N($BN28)+N($Y28)*N($BK28)*N($BO28)+N($BD28)*N($BL28)*N($BP28)+N($AA28)*N($BM28)*N($BQ28)+N($BR28)*N('_CONFIG_Model_Settings'!$B$106))/(N($BJ28)*N($BN28)+N($BK28)*N($BO28)+N($BL28)*N($BP28)+N($BM28)*N($BQ28)+N('_CONFIG_Model_Settings'!$B$106)),2))</f>
        <v/>
      </c>
      <c r="BT28" s="25">
        <f>IF($A28="","",MAX(1,N($AB28)))</f>
        <v/>
      </c>
      <c r="BU28" s="25">
        <f>IF(OR($BS28="",$BT28=0),"",ROUND($BS28/$BT28,2))</f>
        <v/>
      </c>
      <c r="BV28" s="25">
        <f>IF(OR($BU28="",$AY28="Done",$AY28="Not applicable"),"",ROUND($BU28*N($AS28),2))</f>
        <v/>
      </c>
      <c r="BW28" s="25">
        <f>IF($BV28="","",_xlfn.RANK.EQ($BV28,$BV$5:$BV$76,0)+COUNTIF($BV$5:$BV28,$BV28)-1)</f>
        <v/>
      </c>
      <c r="BX28" s="25">
        <f>IF($BW28="","",IF($BW28&lt;=cfg_TimelineBucket1,"0-90 days",IF($BW28&lt;=cfg_TimelineBucket2,"3-6 months",IF($BW28&lt;=cfg_TimelineBucket3,"6-12 months","12+ months"))))</f>
        <v/>
      </c>
      <c r="BY28" s="25">
        <f>IF($A28="","","P2: "&amp;$BI28&amp;" posture; objective="&amp;'_CONFIG_Model_Settings'!$B$104&amp;"; financial score="&amp;ROUND(N($BR28),1)&amp;"; CoD="&amp;$BS28)</f>
        <v/>
      </c>
    </row>
    <row r="29" ht="42" customHeight="1" s="209">
      <c r="A29" s="25" t="inlineStr">
        <is>
          <t>INI-025</t>
        </is>
      </c>
      <c r="B29" s="25" t="inlineStr">
        <is>
          <t>Physical Safety</t>
        </is>
      </c>
      <c r="C29" s="25" t="inlineStr">
        <is>
          <t>Emergency response</t>
        </is>
      </c>
      <c r="D29" s="25" t="inlineStr">
        <is>
          <t>Physical Safety and Site Resilience Strategy</t>
        </is>
      </c>
      <c r="E29" s="25" t="inlineStr">
        <is>
          <t>STR-10</t>
        </is>
      </c>
      <c r="F29" s="25" t="inlineStr">
        <is>
          <t>Build emergency response, evacuation and shelter procedures</t>
        </is>
      </c>
      <c r="G29" s="25" t="inlineStr">
        <is>
          <t>Close maturity gaps in emergency response by assigning ownership, documenting the process, connecting it to evidence and systems, testing it against crisis scenarios and measuring improvement.</t>
        </is>
      </c>
      <c r="H29" s="25" t="inlineStr">
        <is>
          <t>Physical safety, security and facility resilience</t>
        </is>
      </c>
      <c r="I29" s="25" t="inlineStr">
        <is>
          <t>War / security crisis; Physical site loss; Energy / utilities outage; Pandemic / health crisis</t>
        </is>
      </c>
      <c r="J29" s="25" t="inlineStr">
        <is>
          <t>PHYS-013; PHYS-014; PHYS-015; PHYS-016; PHYS-017; PHYS-018</t>
        </is>
      </c>
      <c r="K29" s="25" t="n">
        <v>6</v>
      </c>
      <c r="L29" s="25">
        <f>COUNTIFS('_ENGINE_Risk'!$C$500:$C$923,$B29,'_ENGINE_Risk'!$D$500:$D$923,$C29,'_ENGINE_Risk'!$B$500:$B$923,"Yes")</f>
        <v/>
      </c>
      <c r="M29" s="25">
        <f>COUNTIFS('_ENGINE_Risk'!$C$500:$C$923,$B29,'_ENGINE_Risk'!$D$500:$D$923,$C29,'_ENGINE_Risk'!$B$500:$B$923,"Yes")</f>
        <v/>
      </c>
      <c r="N29" s="25">
        <f>IFERROR(AVERAGEIFS(_DATA_Assessment_Model!$H$5:$H$428,_DATA_Assessment_Model!$AW$5:$AW$428,$B29,_DATA_Assessment_Model!$B$5:$B$428,$C29),"")</f>
        <v/>
      </c>
      <c r="O29" s="25">
        <f>IF($N29="","",MAX(0,5-$N29))</f>
        <v/>
      </c>
      <c r="P29" s="25">
        <f>IFERROR(INDEX(_DATA_Dashboard_Facts!$H$5:$H$21,MATCH($B29,_DATA_Dashboard_Facts!$A$5:$A$21,0)),"")</f>
        <v/>
      </c>
      <c r="Q29" s="25">
        <f>IF($P29="","",MAX(0,5-$P29))</f>
        <v/>
      </c>
      <c r="R29" s="25">
        <f>IFERROR(SUMIFS(_ENGINE_Crisis!$D$5:$D$208,_ENGINE_Crisis!$A$5:$A$208,'Resilience &amp; Risk Scenario'!$B$6,_ENGINE_Crisis!$B$5:$B$208,$B29),1)</f>
        <v/>
      </c>
      <c r="S29" s="25">
        <f>IFERROR(INDEX('_ENGINE_Strategy'!$A$100:$A$113,MATCH($D29,'_ENGINE_Strategy'!$B$100:$B$113,0)),99)</f>
        <v/>
      </c>
      <c r="T29" s="25">
        <f>IFERROR(INDEX('_ENGINE_Strategy'!$J$100:$J$113,MATCH($D29,'_ENGINE_Strategy'!$B$100:$B$113,0)),0)</f>
        <v/>
      </c>
      <c r="U29" s="25" t="n">
        <v>2</v>
      </c>
      <c r="V29" s="25" t="n">
        <v>5</v>
      </c>
      <c r="W29" s="25" t="n">
        <v>4</v>
      </c>
      <c r="X29" s="25">
        <f>MAX(1,MIN(5,(N($O29)*0.50)+(N($Q29)*0.25)+((N($T29)/20)*0.25)))</f>
        <v/>
      </c>
      <c r="Y29" s="25">
        <f>MAX(1,MIN(5,(($R29-1)*1.6)+('Resilience &amp; Risk Scenario'!$B$7*0.45)+IF($S29&lt;=3,0.8,0)))</f>
        <v/>
      </c>
      <c r="Z29" s="25">
        <f>MAX(1,MIN(5,(N($O29)*0.45)+(MIN(5,5*N($M29)/MAX(1,N($K29)))*0.35)+(N($V29)*0.20)))</f>
        <v/>
      </c>
      <c r="AA29" s="25">
        <f>MAX(1,MIN(5,($U29*0.40)+($W29*0.30)+(($T29/20)*0.30)))</f>
        <v/>
      </c>
      <c r="AB29" s="25" t="n">
        <v>3</v>
      </c>
      <c r="AC29" s="25">
        <f>IF($AB29=0,"",ROUND((N($X29)+N($Y29)+N($Z29)+N($AA29))/$AB29,2))</f>
        <v/>
      </c>
      <c r="AD29" s="25">
        <f>IF($AC29="","",_xlfn.RANK.EQ($AC29,$AC$5:$AC$76,0)+COUNTIF($AC$5:$AC29,$AC29)-1)</f>
        <v/>
      </c>
      <c r="AE29" s="25">
        <f>IF($AD29="","",IF($AD29&lt;=cfg_TimelineBucket1,"0-90 days",IF($AD29&lt;=cfg_TimelineBucket2,"3-6 months",IF($AD29&lt;=cfg_TimelineBucket3,"6-12 months","12+ months"))))</f>
        <v/>
      </c>
      <c r="AF29" s="25" t="inlineStr">
        <is>
          <t>COO / HSE / Security Lead</t>
        </is>
      </c>
      <c r="AG29" s="25" t="inlineStr">
        <is>
          <t>2-3 months</t>
        </is>
      </c>
      <c r="AH29" s="25" t="inlineStr">
        <is>
          <t>Executive sponsor; accountable process owner; baseline evidence; risk acceptance threshold; site inventory; emergency contacts; facility access data</t>
        </is>
      </c>
      <c r="AI29" s="25" t="inlineStr">
        <is>
          <t>maturity score improvement; open risk reduction; evidence completeness; control test pass rate; drill completion; incident rate; site access review completion</t>
        </is>
      </c>
      <c r="AJ29" s="25" t="inlineStr">
        <is>
          <t>Documented emergency response operating model, owner/RACI, KPI set, evidence pack, tested crisis playbook and improvement backlog.</t>
        </is>
      </c>
      <c r="AK29" s="25" t="inlineStr">
        <is>
          <t>Counts active next-level recommendations for Physical Safety / Emergency response.</t>
        </is>
      </c>
      <c r="AL29" s="25" t="inlineStr">
        <is>
          <t>Counts active risks and risk scores for Physical Safety / Emergency response.</t>
        </is>
      </c>
      <c r="AM29" s="25" t="inlineStr">
        <is>
          <t>Uses the current rank and total score of Physical Safety and Site Resilience Strategy.</t>
        </is>
      </c>
      <c r="AN29" s="25" t="inlineStr">
        <is>
          <t>Trigger when avg score &lt; 4, active risk exists, active recommendation exists or strategy rank &lt;= 3.</t>
        </is>
      </c>
      <c r="AO29" s="25" t="inlineStr">
        <is>
          <t>Not started</t>
        </is>
      </c>
      <c r="AP29" s="25" t="inlineStr">
        <is>
          <t>Medium</t>
        </is>
      </c>
      <c r="AQ29" s="25" t="n"/>
      <c r="AR29" s="25" t="n"/>
      <c r="AS29" s="247">
        <f>IFERROR(IF(SUMIFS(_REF_Model_Content!$J$1:$J$157,_REF_Model_Content!$A$1:$A$157,'Company Profile'!$B$9,_REF_Model_Content!$B$1:$B$157,$B29)=0,1,SUMIFS(_REF_Model_Content!$J$1:$J$157,_REF_Model_Content!$A$1:$A$157,'Company Profile'!$B$9,_REF_Model_Content!$B$1:$B$157,$B29)),1)</f>
        <v/>
      </c>
      <c r="AT29" s="247">
        <f>IF(OR($AY29="Done",$AY29="Not applicable"),"",IF($AC29="","",ROUND(N($AC29)*N($AS29),2)))</f>
        <v/>
      </c>
      <c r="AU29" s="247">
        <f>IF($AT29="","",_xlfn.RANK.EQ($AT29,$AT$5:$AT$76,0)+COUNTIF($AT$5:AT29,$AT29)-1)</f>
        <v/>
      </c>
      <c r="AV29" s="247">
        <f>IFERROR(INDEX('_DATA_Dashboard_Facts'!$G$300:$G$316,MATCH($B29,'_DATA_Dashboard_Facts'!$A$300:$A$316,0)),"")</f>
        <v/>
      </c>
      <c r="AW29" s="247">
        <f>IF($AS29&gt;cfg_IndPriorityHigh,"Industry template increases priority",IF($AS29&lt;cfg_IndPriorityLow,"Industry template lowers priority","Industry-neutral priority"))</f>
        <v/>
      </c>
      <c r="AX29">
        <f>IFERROR(INDEX('Action Plan &amp; Roadmap'!$D$59:$D$130,MATCH($A29,'Action Plan &amp; Roadmap'!$A$59:$A$130,0)),"")</f>
      </c>
      <c r="AY29">
        <f>IF($AX29&lt;&gt;"",$AX29,IF($AO29="","Not started",$AO29))</f>
        <v/>
      </c>
      <c r="AZ29" t="inlineStr">
        <is>
          <t>Incident loss ratio; Relative change in fraud losses since digital tools/technologies have been implemented</t>
        </is>
      </c>
      <c r="BA29">
        <f>IF($A29="","",COUNTIF('_DATA_Mappings'!$A:$A,$A29))</f>
        <v/>
      </c>
      <c r="BB29">
        <f>IF($A29="","",IFERROR(AVERAGEIF('_DATA_Mappings'!$A:$A,$A29,'_DATA_Mappings'!$G:$G),0))</f>
        <v/>
      </c>
      <c r="BC29">
        <f>IF($A29="","",MAX(0,MIN(5,(N($O29)*0.50)+(N($V29)*0.30)+(N($W29)*0.20))))</f>
        <v/>
      </c>
      <c r="BD29">
        <f>IF($A29="","",MAX(1,MIN(5,($Z29*0.45)+(MIN(5,$BB29/5)*0.35)+($BC29*0.20))))</f>
        <v/>
      </c>
      <c r="BE29">
        <f>IF($AB29=0,"",ROUND((N($X29)+N($Y29)+N($BD29)+N($AA29))/$AB29,2))</f>
        <v/>
      </c>
      <c r="BF29">
        <f>IF(OR($BE29="",$AY29="Done",$AY29="Not applicable"),"",ROUND($BE29*N($AS29),2))</f>
        <v/>
      </c>
      <c r="BG29">
        <f>IF($BF29="","",_xlfn.RANK.EQ($BF29,$BF$5:$BF$76,0)+COUNTIF($BF$5:$BF29,$BF29)-1)</f>
        <v/>
      </c>
      <c r="BH29">
        <f>IF($A29="","",IF($BB29&gt;20,"High P1 risk pressure",IF($BB29&gt;12,"Moderate P1 risk pressure","Lower P1 risk pressure")))</f>
        <v/>
      </c>
      <c r="BI29" s="25">
        <f>'_CONFIG_Model_Settings'!$B$103</f>
        <v/>
      </c>
      <c r="BJ29" s="25">
        <f>IFERROR(INDEX('_CONFIG_Model_Settings'!$B$109:$B$113,MATCH($BI29,'_CONFIG_Model_Settings'!$A$109:$A$113,0)),0.30)</f>
        <v/>
      </c>
      <c r="BK29" s="25">
        <f>IFERROR(INDEX('_CONFIG_Model_Settings'!$C$109:$C$113,MATCH($BI29,'_CONFIG_Model_Settings'!$A$109:$A$113,0)),0.20)</f>
        <v/>
      </c>
      <c r="BL29" s="25">
        <f>IFERROR(INDEX('_CONFIG_Model_Settings'!$D$109:$D$113,MATCH($BI29,'_CONFIG_Model_Settings'!$A$109:$A$113,0)),0.25)</f>
        <v/>
      </c>
      <c r="BM29" s="25">
        <f>IFERROR(INDEX('_CONFIG_Model_Settings'!$E$109:$E$113,MATCH($BI29,'_CONFIG_Model_Settings'!$A$109:$A$113,0)),0.25)</f>
        <v/>
      </c>
      <c r="BN29" s="25">
        <f>IFERROR(INDEX('_CONFIG_Model_Settings'!$B$117:$B$123,MATCH('_CONFIG_Model_Settings'!$B$104,'_CONFIG_Model_Settings'!$A$117:$A$123,0)),1)</f>
        <v/>
      </c>
      <c r="BO29" s="25">
        <f>IFERROR(INDEX('_CONFIG_Model_Settings'!$C$117:$C$123,MATCH('_CONFIG_Model_Settings'!$B$104,'_CONFIG_Model_Settings'!$A$117:$A$123,0)),1)</f>
        <v/>
      </c>
      <c r="BP29" s="25">
        <f>IFERROR(INDEX('_CONFIG_Model_Settings'!$D$117:$D$123,MATCH('_CONFIG_Model_Settings'!$B$104,'_CONFIG_Model_Settings'!$A$117:$A$123,0)),1)</f>
        <v/>
      </c>
      <c r="BQ29" s="25">
        <f>IFERROR(INDEX('_CONFIG_Model_Settings'!$E$117:$E$123,MATCH('_CONFIG_Model_Settings'!$B$104,'_CONFIG_Model_Settings'!$A$117:$A$123,0)),1)</f>
        <v/>
      </c>
      <c r="BR29" s="25">
        <f>IF($A29="","",MIN(5,IFERROR(SUMIF('_DATA_Mappings'!$A:$A,$A29,'_DATA_Mappings'!$K:$K)/MAX(1,'_CONFIG_Model_Settings'!$B$105),0)))</f>
        <v/>
      </c>
      <c r="BS29" s="25">
        <f>IF($A29="","",ROUND((N($X29)*N($BJ29)*N($BN29)+N($Y29)*N($BK29)*N($BO29)+N($BD29)*N($BL29)*N($BP29)+N($AA29)*N($BM29)*N($BQ29)+N($BR29)*N('_CONFIG_Model_Settings'!$B$106))/(N($BJ29)*N($BN29)+N($BK29)*N($BO29)+N($BL29)*N($BP29)+N($BM29)*N($BQ29)+N('_CONFIG_Model_Settings'!$B$106)),2))</f>
        <v/>
      </c>
      <c r="BT29" s="25">
        <f>IF($A29="","",MAX(1,N($AB29)))</f>
        <v/>
      </c>
      <c r="BU29" s="25">
        <f>IF(OR($BS29="",$BT29=0),"",ROUND($BS29/$BT29,2))</f>
        <v/>
      </c>
      <c r="BV29" s="25">
        <f>IF(OR($BU29="",$AY29="Done",$AY29="Not applicable"),"",ROUND($BU29*N($AS29),2))</f>
        <v/>
      </c>
      <c r="BW29" s="25">
        <f>IF($BV29="","",_xlfn.RANK.EQ($BV29,$BV$5:$BV$76,0)+COUNTIF($BV$5:$BV29,$BV29)-1)</f>
        <v/>
      </c>
      <c r="BX29" s="25">
        <f>IF($BW29="","",IF($BW29&lt;=cfg_TimelineBucket1,"0-90 days",IF($BW29&lt;=cfg_TimelineBucket2,"3-6 months",IF($BW29&lt;=cfg_TimelineBucket3,"6-12 months","12+ months"))))</f>
        <v/>
      </c>
      <c r="BY29" s="25">
        <f>IF($A29="","","P2: "&amp;$BI29&amp;" posture; objective="&amp;'_CONFIG_Model_Settings'!$B$104&amp;"; financial score="&amp;ROUND(N($BR29),1)&amp;"; CoD="&amp;$BS29)</f>
        <v/>
      </c>
    </row>
    <row r="30" ht="42" customHeight="1" s="209">
      <c r="A30" s="25" t="inlineStr">
        <is>
          <t>INI-026</t>
        </is>
      </c>
      <c r="B30" s="25" t="inlineStr">
        <is>
          <t>Physical Safety</t>
        </is>
      </c>
      <c r="C30" s="25" t="inlineStr">
        <is>
          <t>Security and travel</t>
        </is>
      </c>
      <c r="D30" s="25" t="inlineStr">
        <is>
          <t>Physical Safety and Site Resilience Strategy</t>
        </is>
      </c>
      <c r="E30" s="25" t="inlineStr">
        <is>
          <t>STR-10</t>
        </is>
      </c>
      <c r="F30" s="25" t="inlineStr">
        <is>
          <t>Implement physical security and travel risk management</t>
        </is>
      </c>
      <c r="G30" s="25" t="inlineStr">
        <is>
          <t>Close maturity gaps in security and travel by assigning ownership, documenting the process, connecting it to evidence and systems, testing it against crisis scenarios and measuring improvement.</t>
        </is>
      </c>
      <c r="H30" s="25" t="inlineStr">
        <is>
          <t>Physical safety, security and facility resilience</t>
        </is>
      </c>
      <c r="I30" s="25" t="inlineStr">
        <is>
          <t>War / security crisis; Physical site loss; Energy / utilities outage; Pandemic / health crisis</t>
        </is>
      </c>
      <c r="J30" s="25" t="inlineStr">
        <is>
          <t>PHYS-019; PHYS-020; PHYS-021; PHYS-022; PHYS-023</t>
        </is>
      </c>
      <c r="K30" s="25" t="n">
        <v>5</v>
      </c>
      <c r="L30" s="25">
        <f>COUNTIFS('_ENGINE_Risk'!$C$500:$C$923,$B30,'_ENGINE_Risk'!$D$500:$D$923,$C30,'_ENGINE_Risk'!$B$500:$B$923,"Yes")</f>
        <v/>
      </c>
      <c r="M30" s="25">
        <f>COUNTIFS('_ENGINE_Risk'!$C$500:$C$923,$B30,'_ENGINE_Risk'!$D$500:$D$923,$C30,'_ENGINE_Risk'!$B$500:$B$923,"Yes")</f>
        <v/>
      </c>
      <c r="N30" s="25">
        <f>IFERROR(AVERAGEIFS(_DATA_Assessment_Model!$H$5:$H$428,_DATA_Assessment_Model!$AW$5:$AW$428,$B30,_DATA_Assessment_Model!$B$5:$B$428,$C30),"")</f>
        <v/>
      </c>
      <c r="O30" s="25">
        <f>IF($N30="","",MAX(0,5-$N30))</f>
        <v/>
      </c>
      <c r="P30" s="25">
        <f>IFERROR(INDEX(_DATA_Dashboard_Facts!$H$5:$H$21,MATCH($B30,_DATA_Dashboard_Facts!$A$5:$A$21,0)),"")</f>
        <v/>
      </c>
      <c r="Q30" s="25">
        <f>IF($P30="","",MAX(0,5-$P30))</f>
        <v/>
      </c>
      <c r="R30" s="25">
        <f>IFERROR(SUMIFS(_ENGINE_Crisis!$D$5:$D$208,_ENGINE_Crisis!$A$5:$A$208,'Resilience &amp; Risk Scenario'!$B$6,_ENGINE_Crisis!$B$5:$B$208,$B30),1)</f>
        <v/>
      </c>
      <c r="S30" s="25">
        <f>IFERROR(INDEX('_ENGINE_Strategy'!$A$100:$A$113,MATCH($D30,'_ENGINE_Strategy'!$B$100:$B$113,0)),99)</f>
        <v/>
      </c>
      <c r="T30" s="25">
        <f>IFERROR(INDEX('_ENGINE_Strategy'!$J$100:$J$113,MATCH($D30,'_ENGINE_Strategy'!$B$100:$B$113,0)),0)</f>
        <v/>
      </c>
      <c r="U30" s="25" t="n">
        <v>2</v>
      </c>
      <c r="V30" s="25" t="n">
        <v>5</v>
      </c>
      <c r="W30" s="25" t="n">
        <v>4</v>
      </c>
      <c r="X30" s="25">
        <f>MAX(1,MIN(5,(N($O30)*0.50)+(N($Q30)*0.25)+((N($T30)/20)*0.25)))</f>
        <v/>
      </c>
      <c r="Y30" s="25">
        <f>MAX(1,MIN(5,(($R30-1)*1.6)+('Resilience &amp; Risk Scenario'!$B$7*0.45)+IF($S30&lt;=3,0.8,0)))</f>
        <v/>
      </c>
      <c r="Z30" s="25">
        <f>MAX(1,MIN(5,(N($O30)*0.45)+(MIN(5,5*N($M30)/MAX(1,N($K30)))*0.35)+(N($V30)*0.20)))</f>
        <v/>
      </c>
      <c r="AA30" s="25">
        <f>MAX(1,MIN(5,($U30*0.40)+($W30*0.30)+(($T30/20)*0.30)))</f>
        <v/>
      </c>
      <c r="AB30" s="25" t="n">
        <v>3</v>
      </c>
      <c r="AC30" s="25">
        <f>IF($AB30=0,"",ROUND((N($X30)+N($Y30)+N($Z30)+N($AA30))/$AB30,2))</f>
        <v/>
      </c>
      <c r="AD30" s="25">
        <f>IF($AC30="","",_xlfn.RANK.EQ($AC30,$AC$5:$AC$76,0)+COUNTIF($AC$5:$AC30,$AC30)-1)</f>
        <v/>
      </c>
      <c r="AE30" s="25">
        <f>IF($AD30="","",IF($AD30&lt;=cfg_TimelineBucket1,"0-90 days",IF($AD30&lt;=cfg_TimelineBucket2,"3-6 months",IF($AD30&lt;=cfg_TimelineBucket3,"6-12 months","12+ months"))))</f>
        <v/>
      </c>
      <c r="AF30" s="25" t="inlineStr">
        <is>
          <t>COO / HSE / Security Lead</t>
        </is>
      </c>
      <c r="AG30" s="25" t="inlineStr">
        <is>
          <t>2-3 months</t>
        </is>
      </c>
      <c r="AH30" s="25" t="inlineStr">
        <is>
          <t>Executive sponsor; accountable process owner; baseline evidence; risk acceptance threshold; site inventory; emergency contacts; facility access data</t>
        </is>
      </c>
      <c r="AI30" s="25" t="inlineStr">
        <is>
          <t>maturity score improvement; open risk reduction; evidence completeness; control test pass rate; drill completion; incident rate; site access review completion</t>
        </is>
      </c>
      <c r="AJ30" s="25" t="inlineStr">
        <is>
          <t>Documented security and travel operating model, owner/RACI, KPI set, evidence pack, tested crisis playbook and improvement backlog.</t>
        </is>
      </c>
      <c r="AK30" s="25" t="inlineStr">
        <is>
          <t>Counts active next-level recommendations for Physical Safety / Security and travel.</t>
        </is>
      </c>
      <c r="AL30" s="25" t="inlineStr">
        <is>
          <t>Counts active risks and risk scores for Physical Safety / Security and travel.</t>
        </is>
      </c>
      <c r="AM30" s="25" t="inlineStr">
        <is>
          <t>Uses the current rank and total score of Physical Safety and Site Resilience Strategy.</t>
        </is>
      </c>
      <c r="AN30" s="25" t="inlineStr">
        <is>
          <t>Trigger when avg score &lt; 4, active risk exists, active recommendation exists or strategy rank &lt;= 3.</t>
        </is>
      </c>
      <c r="AO30" s="25" t="inlineStr">
        <is>
          <t>Not started</t>
        </is>
      </c>
      <c r="AP30" s="25" t="inlineStr">
        <is>
          <t>Medium</t>
        </is>
      </c>
      <c r="AQ30" s="25" t="n"/>
      <c r="AR30" s="25" t="n"/>
      <c r="AS30" s="247">
        <f>IFERROR(IF(SUMIFS(_REF_Model_Content!$J$1:$J$157,_REF_Model_Content!$A$1:$A$157,'Company Profile'!$B$9,_REF_Model_Content!$B$1:$B$157,$B30)=0,1,SUMIFS(_REF_Model_Content!$J$1:$J$157,_REF_Model_Content!$A$1:$A$157,'Company Profile'!$B$9,_REF_Model_Content!$B$1:$B$157,$B30)),1)</f>
        <v/>
      </c>
      <c r="AT30" s="247">
        <f>IF(OR($AY30="Done",$AY30="Not applicable"),"",IF($AC30="","",ROUND(N($AC30)*N($AS30),2)))</f>
        <v/>
      </c>
      <c r="AU30" s="247">
        <f>IF($AT30="","",_xlfn.RANK.EQ($AT30,$AT$5:$AT$76,0)+COUNTIF($AT$5:AT30,$AT30)-1)</f>
        <v/>
      </c>
      <c r="AV30" s="247">
        <f>IFERROR(INDEX('_DATA_Dashboard_Facts'!$G$300:$G$316,MATCH($B30,'_DATA_Dashboard_Facts'!$A$300:$A$316,0)),"")</f>
        <v/>
      </c>
      <c r="AW30" s="247">
        <f>IF($AS30&gt;cfg_IndPriorityHigh,"Industry template increases priority",IF($AS30&lt;cfg_IndPriorityLow,"Industry template lowers priority","Industry-neutral priority"))</f>
        <v/>
      </c>
      <c r="AX30">
        <f>IFERROR(INDEX('Action Plan &amp; Roadmap'!$D$59:$D$130,MATCH($A30,'Action Plan &amp; Roadmap'!$A$59:$A$130,0)),"")</f>
      </c>
      <c r="AY30">
        <f>IF($AX30&lt;&gt;"",$AX30,IF($AO30="","Not started",$AO30))</f>
        <v/>
      </c>
      <c r="AZ30" t="inlineStr">
        <is>
          <t>Incident loss ratio; Relative change in fraud losses since digital tools/technologies have been implemented</t>
        </is>
      </c>
      <c r="BA30">
        <f>IF($A30="","",COUNTIF('_DATA_Mappings'!$A:$A,$A30))</f>
        <v/>
      </c>
      <c r="BB30">
        <f>IF($A30="","",IFERROR(AVERAGEIF('_DATA_Mappings'!$A:$A,$A30,'_DATA_Mappings'!$G:$G),0))</f>
        <v/>
      </c>
      <c r="BC30">
        <f>IF($A30="","",MAX(0,MIN(5,(N($O30)*0.50)+(N($V30)*0.30)+(N($W30)*0.20))))</f>
        <v/>
      </c>
      <c r="BD30">
        <f>IF($A30="","",MAX(1,MIN(5,($Z30*0.45)+(MIN(5,$BB30/5)*0.35)+($BC30*0.20))))</f>
        <v/>
      </c>
      <c r="BE30">
        <f>IF($AB30=0,"",ROUND((N($X30)+N($Y30)+N($BD30)+N($AA30))/$AB30,2))</f>
        <v/>
      </c>
      <c r="BF30">
        <f>IF(OR($BE30="",$AY30="Done",$AY30="Not applicable"),"",ROUND($BE30*N($AS30),2))</f>
        <v/>
      </c>
      <c r="BG30">
        <f>IF($BF30="","",_xlfn.RANK.EQ($BF30,$BF$5:$BF$76,0)+COUNTIF($BF$5:$BF30,$BF30)-1)</f>
        <v/>
      </c>
      <c r="BH30">
        <f>IF($A30="","",IF($BB30&gt;20,"High P1 risk pressure",IF($BB30&gt;12,"Moderate P1 risk pressure","Lower P1 risk pressure")))</f>
        <v/>
      </c>
      <c r="BI30" s="25">
        <f>'_CONFIG_Model_Settings'!$B$103</f>
        <v/>
      </c>
      <c r="BJ30" s="25">
        <f>IFERROR(INDEX('_CONFIG_Model_Settings'!$B$109:$B$113,MATCH($BI30,'_CONFIG_Model_Settings'!$A$109:$A$113,0)),0.30)</f>
        <v/>
      </c>
      <c r="BK30" s="25">
        <f>IFERROR(INDEX('_CONFIG_Model_Settings'!$C$109:$C$113,MATCH($BI30,'_CONFIG_Model_Settings'!$A$109:$A$113,0)),0.20)</f>
        <v/>
      </c>
      <c r="BL30" s="25">
        <f>IFERROR(INDEX('_CONFIG_Model_Settings'!$D$109:$D$113,MATCH($BI30,'_CONFIG_Model_Settings'!$A$109:$A$113,0)),0.25)</f>
        <v/>
      </c>
      <c r="BM30" s="25">
        <f>IFERROR(INDEX('_CONFIG_Model_Settings'!$E$109:$E$113,MATCH($BI30,'_CONFIG_Model_Settings'!$A$109:$A$113,0)),0.25)</f>
        <v/>
      </c>
      <c r="BN30" s="25">
        <f>IFERROR(INDEX('_CONFIG_Model_Settings'!$B$117:$B$123,MATCH('_CONFIG_Model_Settings'!$B$104,'_CONFIG_Model_Settings'!$A$117:$A$123,0)),1)</f>
        <v/>
      </c>
      <c r="BO30" s="25">
        <f>IFERROR(INDEX('_CONFIG_Model_Settings'!$C$117:$C$123,MATCH('_CONFIG_Model_Settings'!$B$104,'_CONFIG_Model_Settings'!$A$117:$A$123,0)),1)</f>
        <v/>
      </c>
      <c r="BP30" s="25">
        <f>IFERROR(INDEX('_CONFIG_Model_Settings'!$D$117:$D$123,MATCH('_CONFIG_Model_Settings'!$B$104,'_CONFIG_Model_Settings'!$A$117:$A$123,0)),1)</f>
        <v/>
      </c>
      <c r="BQ30" s="25">
        <f>IFERROR(INDEX('_CONFIG_Model_Settings'!$E$117:$E$123,MATCH('_CONFIG_Model_Settings'!$B$104,'_CONFIG_Model_Settings'!$A$117:$A$123,0)),1)</f>
        <v/>
      </c>
      <c r="BR30" s="25">
        <f>IF($A30="","",MIN(5,IFERROR(SUMIF('_DATA_Mappings'!$A:$A,$A30,'_DATA_Mappings'!$K:$K)/MAX(1,'_CONFIG_Model_Settings'!$B$105),0)))</f>
        <v/>
      </c>
      <c r="BS30" s="25">
        <f>IF($A30="","",ROUND((N($X30)*N($BJ30)*N($BN30)+N($Y30)*N($BK30)*N($BO30)+N($BD30)*N($BL30)*N($BP30)+N($AA30)*N($BM30)*N($BQ30)+N($BR30)*N('_CONFIG_Model_Settings'!$B$106))/(N($BJ30)*N($BN30)+N($BK30)*N($BO30)+N($BL30)*N($BP30)+N($BM30)*N($BQ30)+N('_CONFIG_Model_Settings'!$B$106)),2))</f>
        <v/>
      </c>
      <c r="BT30" s="25">
        <f>IF($A30="","",MAX(1,N($AB30)))</f>
        <v/>
      </c>
      <c r="BU30" s="25">
        <f>IF(OR($BS30="",$BT30=0),"",ROUND($BS30/$BT30,2))</f>
        <v/>
      </c>
      <c r="BV30" s="25">
        <f>IF(OR($BU30="",$AY30="Done",$AY30="Not applicable"),"",ROUND($BU30*N($AS30),2))</f>
        <v/>
      </c>
      <c r="BW30" s="25">
        <f>IF($BV30="","",_xlfn.RANK.EQ($BV30,$BV$5:$BV$76,0)+COUNTIF($BV$5:$BV30,$BV30)-1)</f>
        <v/>
      </c>
      <c r="BX30" s="25">
        <f>IF($BW30="","",IF($BW30&lt;=cfg_TimelineBucket1,"0-90 days",IF($BW30&lt;=cfg_TimelineBucket2,"3-6 months",IF($BW30&lt;=cfg_TimelineBucket3,"6-12 months","12+ months"))))</f>
        <v/>
      </c>
      <c r="BY30" s="25">
        <f>IF($A30="","","P2: "&amp;$BI30&amp;" posture; objective="&amp;'_CONFIG_Model_Settings'!$B$104&amp;"; financial score="&amp;ROUND(N($BR30),1)&amp;"; CoD="&amp;$BS30)</f>
        <v/>
      </c>
    </row>
    <row r="31" ht="42" customHeight="1" s="209">
      <c r="A31" s="25" t="inlineStr">
        <is>
          <t>INI-027</t>
        </is>
      </c>
      <c r="B31" s="25" t="inlineStr">
        <is>
          <t>Physical Safety</t>
        </is>
      </c>
      <c r="C31" s="25" t="inlineStr">
        <is>
          <t>Utilities and resilience</t>
        </is>
      </c>
      <c r="D31" s="25" t="inlineStr">
        <is>
          <t>Physical Safety and Site Resilience Strategy</t>
        </is>
      </c>
      <c r="E31" s="25" t="inlineStr">
        <is>
          <t>STR-10</t>
        </is>
      </c>
      <c r="F31" s="25" t="inlineStr">
        <is>
          <t>Build utilities backup and facility resilience plan</t>
        </is>
      </c>
      <c r="G31" s="25" t="inlineStr">
        <is>
          <t>Close maturity gaps in utilities and resilience by assigning ownership, documenting the process, connecting it to evidence and systems, testing it against crisis scenarios and measuring improvement.</t>
        </is>
      </c>
      <c r="H31" s="25" t="inlineStr">
        <is>
          <t>Physical safety, security and facility resilience</t>
        </is>
      </c>
      <c r="I31" s="25" t="inlineStr">
        <is>
          <t>War / security crisis; Physical site loss; Energy / utilities outage; Pandemic / health crisis</t>
        </is>
      </c>
      <c r="J31" s="25" t="inlineStr">
        <is>
          <t>PHYS-024; PHYS-025; PHYS-026; PHYS-027; PHYS-028</t>
        </is>
      </c>
      <c r="K31" s="25" t="n">
        <v>5</v>
      </c>
      <c r="L31" s="25">
        <f>COUNTIFS('_ENGINE_Risk'!$C$500:$C$923,$B31,'_ENGINE_Risk'!$D$500:$D$923,$C31,'_ENGINE_Risk'!$B$500:$B$923,"Yes")</f>
        <v/>
      </c>
      <c r="M31" s="25">
        <f>COUNTIFS('_ENGINE_Risk'!$C$500:$C$923,$B31,'_ENGINE_Risk'!$D$500:$D$923,$C31,'_ENGINE_Risk'!$B$500:$B$923,"Yes")</f>
        <v/>
      </c>
      <c r="N31" s="25">
        <f>IFERROR(AVERAGEIFS(_DATA_Assessment_Model!$H$5:$H$428,_DATA_Assessment_Model!$AW$5:$AW$428,$B31,_DATA_Assessment_Model!$B$5:$B$428,$C31),"")</f>
        <v/>
      </c>
      <c r="O31" s="25">
        <f>IF($N31="","",MAX(0,5-$N31))</f>
        <v/>
      </c>
      <c r="P31" s="25">
        <f>IFERROR(INDEX(_DATA_Dashboard_Facts!$H$5:$H$21,MATCH($B31,_DATA_Dashboard_Facts!$A$5:$A$21,0)),"")</f>
        <v/>
      </c>
      <c r="Q31" s="25">
        <f>IF($P31="","",MAX(0,5-$P31))</f>
        <v/>
      </c>
      <c r="R31" s="25">
        <f>IFERROR(SUMIFS(_ENGINE_Crisis!$D$5:$D$208,_ENGINE_Crisis!$A$5:$A$208,'Resilience &amp; Risk Scenario'!$B$6,_ENGINE_Crisis!$B$5:$B$208,$B31),1)</f>
        <v/>
      </c>
      <c r="S31" s="25">
        <f>IFERROR(INDEX('_ENGINE_Strategy'!$A$100:$A$113,MATCH($D31,'_ENGINE_Strategy'!$B$100:$B$113,0)),99)</f>
        <v/>
      </c>
      <c r="T31" s="25">
        <f>IFERROR(INDEX('_ENGINE_Strategy'!$J$100:$J$113,MATCH($D31,'_ENGINE_Strategy'!$B$100:$B$113,0)),0)</f>
        <v/>
      </c>
      <c r="U31" s="25" t="n">
        <v>2</v>
      </c>
      <c r="V31" s="25" t="n">
        <v>5</v>
      </c>
      <c r="W31" s="25" t="n">
        <v>4</v>
      </c>
      <c r="X31" s="25">
        <f>MAX(1,MIN(5,(N($O31)*0.50)+(N($Q31)*0.25)+((N($T31)/20)*0.25)))</f>
        <v/>
      </c>
      <c r="Y31" s="25">
        <f>MAX(1,MIN(5,(($R31-1)*1.6)+('Resilience &amp; Risk Scenario'!$B$7*0.45)+IF($S31&lt;=3,0.8,0)))</f>
        <v/>
      </c>
      <c r="Z31" s="25">
        <f>MAX(1,MIN(5,(N($O31)*0.45)+(MIN(5,5*N($M31)/MAX(1,N($K31)))*0.35)+(N($V31)*0.20)))</f>
        <v/>
      </c>
      <c r="AA31" s="25">
        <f>MAX(1,MIN(5,($U31*0.40)+($W31*0.30)+(($T31/20)*0.30)))</f>
        <v/>
      </c>
      <c r="AB31" s="25" t="n">
        <v>3</v>
      </c>
      <c r="AC31" s="25">
        <f>IF($AB31=0,"",ROUND((N($X31)+N($Y31)+N($Z31)+N($AA31))/$AB31,2))</f>
        <v/>
      </c>
      <c r="AD31" s="25">
        <f>IF($AC31="","",_xlfn.RANK.EQ($AC31,$AC$5:$AC$76,0)+COUNTIF($AC$5:$AC31,$AC31)-1)</f>
        <v/>
      </c>
      <c r="AE31" s="25">
        <f>IF($AD31="","",IF($AD31&lt;=cfg_TimelineBucket1,"0-90 days",IF($AD31&lt;=cfg_TimelineBucket2,"3-6 months",IF($AD31&lt;=cfg_TimelineBucket3,"6-12 months","12+ months"))))</f>
        <v/>
      </c>
      <c r="AF31" s="25" t="inlineStr">
        <is>
          <t>COO / HSE / Security Lead</t>
        </is>
      </c>
      <c r="AG31" s="25" t="inlineStr">
        <is>
          <t>2-3 months</t>
        </is>
      </c>
      <c r="AH31" s="25" t="inlineStr">
        <is>
          <t>Executive sponsor; accountable process owner; baseline evidence; risk acceptance threshold; site inventory; emergency contacts; facility access data</t>
        </is>
      </c>
      <c r="AI31" s="25" t="inlineStr">
        <is>
          <t>maturity score improvement; open risk reduction; evidence completeness; control test pass rate; drill completion; incident rate; site access review completion</t>
        </is>
      </c>
      <c r="AJ31" s="25" t="inlineStr">
        <is>
          <t>Documented utilities and resilience operating model, owner/RACI, KPI set, evidence pack, tested crisis playbook and improvement backlog.</t>
        </is>
      </c>
      <c r="AK31" s="25" t="inlineStr">
        <is>
          <t>Counts active next-level recommendations for Physical Safety / Utilities and resilience.</t>
        </is>
      </c>
      <c r="AL31" s="25" t="inlineStr">
        <is>
          <t>Counts active risks and risk scores for Physical Safety / Utilities and resilience.</t>
        </is>
      </c>
      <c r="AM31" s="25" t="inlineStr">
        <is>
          <t>Uses the current rank and total score of Physical Safety and Site Resilience Strategy.</t>
        </is>
      </c>
      <c r="AN31" s="25" t="inlineStr">
        <is>
          <t>Trigger when avg score &lt; 4, active risk exists, active recommendation exists or strategy rank &lt;= 3.</t>
        </is>
      </c>
      <c r="AO31" s="25" t="inlineStr">
        <is>
          <t>Not started</t>
        </is>
      </c>
      <c r="AP31" s="25" t="inlineStr">
        <is>
          <t>Medium</t>
        </is>
      </c>
      <c r="AQ31" s="25" t="n"/>
      <c r="AR31" s="25" t="n"/>
      <c r="AS31" s="247">
        <f>IFERROR(IF(SUMIFS(_REF_Model_Content!$J$1:$J$157,_REF_Model_Content!$A$1:$A$157,'Company Profile'!$B$9,_REF_Model_Content!$B$1:$B$157,$B31)=0,1,SUMIFS(_REF_Model_Content!$J$1:$J$157,_REF_Model_Content!$A$1:$A$157,'Company Profile'!$B$9,_REF_Model_Content!$B$1:$B$157,$B31)),1)</f>
        <v/>
      </c>
      <c r="AT31" s="247">
        <f>IF(OR($AY31="Done",$AY31="Not applicable"),"",IF($AC31="","",ROUND(N($AC31)*N($AS31),2)))</f>
        <v/>
      </c>
      <c r="AU31" s="247">
        <f>IF($AT31="","",_xlfn.RANK.EQ($AT31,$AT$5:$AT$76,0)+COUNTIF($AT$5:AT31,$AT31)-1)</f>
        <v/>
      </c>
      <c r="AV31" s="247">
        <f>IFERROR(INDEX('_DATA_Dashboard_Facts'!$G$300:$G$316,MATCH($B31,'_DATA_Dashboard_Facts'!$A$300:$A$316,0)),"")</f>
        <v/>
      </c>
      <c r="AW31" s="247">
        <f>IF($AS31&gt;cfg_IndPriorityHigh,"Industry template increases priority",IF($AS31&lt;cfg_IndPriorityLow,"Industry template lowers priority","Industry-neutral priority"))</f>
        <v/>
      </c>
      <c r="AX31">
        <f>IFERROR(INDEX('Action Plan &amp; Roadmap'!$D$59:$D$130,MATCH($A31,'Action Plan &amp; Roadmap'!$A$59:$A$130,0)),"")</f>
      </c>
      <c r="AY31">
        <f>IF($AX31&lt;&gt;"",$AX31,IF($AO31="","Not started",$AO31))</f>
        <v/>
      </c>
      <c r="AZ31" t="inlineStr">
        <is>
          <t>Incident loss ratio; Relative change in fraud losses since digital tools/technologies have been implemented</t>
        </is>
      </c>
      <c r="BA31">
        <f>IF($A31="","",COUNTIF('_DATA_Mappings'!$A:$A,$A31))</f>
        <v/>
      </c>
      <c r="BB31">
        <f>IF($A31="","",IFERROR(AVERAGEIF('_DATA_Mappings'!$A:$A,$A31,'_DATA_Mappings'!$G:$G),0))</f>
        <v/>
      </c>
      <c r="BC31">
        <f>IF($A31="","",MAX(0,MIN(5,(N($O31)*0.50)+(N($V31)*0.30)+(N($W31)*0.20))))</f>
        <v/>
      </c>
      <c r="BD31">
        <f>IF($A31="","",MAX(1,MIN(5,($Z31*0.45)+(MIN(5,$BB31/5)*0.35)+($BC31*0.20))))</f>
        <v/>
      </c>
      <c r="BE31">
        <f>IF($AB31=0,"",ROUND((N($X31)+N($Y31)+N($BD31)+N($AA31))/$AB31,2))</f>
        <v/>
      </c>
      <c r="BF31">
        <f>IF(OR($BE31="",$AY31="Done",$AY31="Not applicable"),"",ROUND($BE31*N($AS31),2))</f>
        <v/>
      </c>
      <c r="BG31">
        <f>IF($BF31="","",_xlfn.RANK.EQ($BF31,$BF$5:$BF$76,0)+COUNTIF($BF$5:$BF31,$BF31)-1)</f>
        <v/>
      </c>
      <c r="BH31">
        <f>IF($A31="","",IF($BB31&gt;20,"High P1 risk pressure",IF($BB31&gt;12,"Moderate P1 risk pressure","Lower P1 risk pressure")))</f>
        <v/>
      </c>
      <c r="BI31" s="25">
        <f>'_CONFIG_Model_Settings'!$B$103</f>
        <v/>
      </c>
      <c r="BJ31" s="25">
        <f>IFERROR(INDEX('_CONFIG_Model_Settings'!$B$109:$B$113,MATCH($BI31,'_CONFIG_Model_Settings'!$A$109:$A$113,0)),0.30)</f>
        <v/>
      </c>
      <c r="BK31" s="25">
        <f>IFERROR(INDEX('_CONFIG_Model_Settings'!$C$109:$C$113,MATCH($BI31,'_CONFIG_Model_Settings'!$A$109:$A$113,0)),0.20)</f>
        <v/>
      </c>
      <c r="BL31" s="25">
        <f>IFERROR(INDEX('_CONFIG_Model_Settings'!$D$109:$D$113,MATCH($BI31,'_CONFIG_Model_Settings'!$A$109:$A$113,0)),0.25)</f>
        <v/>
      </c>
      <c r="BM31" s="25">
        <f>IFERROR(INDEX('_CONFIG_Model_Settings'!$E$109:$E$113,MATCH($BI31,'_CONFIG_Model_Settings'!$A$109:$A$113,0)),0.25)</f>
        <v/>
      </c>
      <c r="BN31" s="25">
        <f>IFERROR(INDEX('_CONFIG_Model_Settings'!$B$117:$B$123,MATCH('_CONFIG_Model_Settings'!$B$104,'_CONFIG_Model_Settings'!$A$117:$A$123,0)),1)</f>
        <v/>
      </c>
      <c r="BO31" s="25">
        <f>IFERROR(INDEX('_CONFIG_Model_Settings'!$C$117:$C$123,MATCH('_CONFIG_Model_Settings'!$B$104,'_CONFIG_Model_Settings'!$A$117:$A$123,0)),1)</f>
        <v/>
      </c>
      <c r="BP31" s="25">
        <f>IFERROR(INDEX('_CONFIG_Model_Settings'!$D$117:$D$123,MATCH('_CONFIG_Model_Settings'!$B$104,'_CONFIG_Model_Settings'!$A$117:$A$123,0)),1)</f>
        <v/>
      </c>
      <c r="BQ31" s="25">
        <f>IFERROR(INDEX('_CONFIG_Model_Settings'!$E$117:$E$123,MATCH('_CONFIG_Model_Settings'!$B$104,'_CONFIG_Model_Settings'!$A$117:$A$123,0)),1)</f>
        <v/>
      </c>
      <c r="BR31" s="25">
        <f>IF($A31="","",MIN(5,IFERROR(SUMIF('_DATA_Mappings'!$A:$A,$A31,'_DATA_Mappings'!$K:$K)/MAX(1,'_CONFIG_Model_Settings'!$B$105),0)))</f>
        <v/>
      </c>
      <c r="BS31" s="25">
        <f>IF($A31="","",ROUND((N($X31)*N($BJ31)*N($BN31)+N($Y31)*N($BK31)*N($BO31)+N($BD31)*N($BL31)*N($BP31)+N($AA31)*N($BM31)*N($BQ31)+N($BR31)*N('_CONFIG_Model_Settings'!$B$106))/(N($BJ31)*N($BN31)+N($BK31)*N($BO31)+N($BL31)*N($BP31)+N($BM31)*N($BQ31)+N('_CONFIG_Model_Settings'!$B$106)),2))</f>
        <v/>
      </c>
      <c r="BT31" s="25">
        <f>IF($A31="","",MAX(1,N($AB31)))</f>
        <v/>
      </c>
      <c r="BU31" s="25">
        <f>IF(OR($BS31="",$BT31=0),"",ROUND($BS31/$BT31,2))</f>
        <v/>
      </c>
      <c r="BV31" s="25">
        <f>IF(OR($BU31="",$AY31="Done",$AY31="Not applicable"),"",ROUND($BU31*N($AS31),2))</f>
        <v/>
      </c>
      <c r="BW31" s="25">
        <f>IF($BV31="","",_xlfn.RANK.EQ($BV31,$BV$5:$BV$76,0)+COUNTIF($BV$5:$BV31,$BV31)-1)</f>
        <v/>
      </c>
      <c r="BX31" s="25">
        <f>IF($BW31="","",IF($BW31&lt;=cfg_TimelineBucket1,"0-90 days",IF($BW31&lt;=cfg_TimelineBucket2,"3-6 months",IF($BW31&lt;=cfg_TimelineBucket3,"6-12 months","12+ months"))))</f>
        <v/>
      </c>
      <c r="BY31" s="25">
        <f>IF($A31="","","P2: "&amp;$BI31&amp;" posture; objective="&amp;'_CONFIG_Model_Settings'!$B$104&amp;"; financial score="&amp;ROUND(N($BR31),1)&amp;"; CoD="&amp;$BS31)</f>
        <v/>
      </c>
    </row>
    <row r="32" ht="42" customHeight="1" s="209">
      <c r="A32" s="25" t="inlineStr">
        <is>
          <t>INI-028</t>
        </is>
      </c>
      <c r="B32" s="25" t="inlineStr">
        <is>
          <t>Delivery Ops</t>
        </is>
      </c>
      <c r="C32" s="25" t="inlineStr">
        <is>
          <t>Delivery governance</t>
        </is>
      </c>
      <c r="D32" s="25" t="inlineStr">
        <is>
          <t>Operational Excellence and Automation Strategy</t>
        </is>
      </c>
      <c r="E32" s="25" t="inlineStr">
        <is>
          <t>STR-07</t>
        </is>
      </c>
      <c r="F32" s="25" t="inlineStr">
        <is>
          <t>Standardize delivery governance, ownership and escalation</t>
        </is>
      </c>
      <c r="G32" s="25" t="inlineStr">
        <is>
          <t>Close maturity gaps in delivery governance by assigning ownership, documenting the process, connecting it to evidence and systems, testing it against crisis scenarios and measuring improvement.</t>
        </is>
      </c>
      <c r="H32" s="25" t="inlineStr">
        <is>
          <t>Delivery, service continuity and operational execution</t>
        </is>
      </c>
      <c r="I32" s="25" t="inlineStr">
        <is>
          <t>War / security crisis; Supplier / logistics disruption; Demand shock; Physical site loss</t>
        </is>
      </c>
      <c r="J32" s="25" t="inlineStr">
        <is>
          <t>DELI-001; DELI-002; DELI-003; DELI-004; DELI-005; DELI-006</t>
        </is>
      </c>
      <c r="K32" s="25" t="n">
        <v>6</v>
      </c>
      <c r="L32" s="25">
        <f>COUNTIFS('_ENGINE_Risk'!$C$500:$C$923,$B32,'_ENGINE_Risk'!$D$500:$D$923,$C32,'_ENGINE_Risk'!$B$500:$B$923,"Yes")</f>
        <v/>
      </c>
      <c r="M32" s="25">
        <f>COUNTIFS('_ENGINE_Risk'!$C$500:$C$923,$B32,'_ENGINE_Risk'!$D$500:$D$923,$C32,'_ENGINE_Risk'!$B$500:$B$923,"Yes")</f>
        <v/>
      </c>
      <c r="N32" s="25">
        <f>IFERROR(AVERAGEIFS(_DATA_Assessment_Model!$H$5:$H$428,_DATA_Assessment_Model!$AW$5:$AW$428,$B32,_DATA_Assessment_Model!$B$5:$B$428,$C32),"")</f>
        <v/>
      </c>
      <c r="O32" s="25">
        <f>IF($N32="","",MAX(0,5-$N32))</f>
        <v/>
      </c>
      <c r="P32" s="25">
        <f>IFERROR(INDEX(_DATA_Dashboard_Facts!$H$5:$H$21,MATCH($B32,_DATA_Dashboard_Facts!$A$5:$A$21,0)),"")</f>
        <v/>
      </c>
      <c r="Q32" s="25">
        <f>IF($P32="","",MAX(0,5-$P32))</f>
        <v/>
      </c>
      <c r="R32" s="25">
        <f>IFERROR(SUMIFS(_ENGINE_Crisis!$D$5:$D$208,_ENGINE_Crisis!$A$5:$A$208,'Resilience &amp; Risk Scenario'!$B$6,_ENGINE_Crisis!$B$5:$B$208,$B32),1)</f>
        <v/>
      </c>
      <c r="S32" s="25">
        <f>IFERROR(INDEX('_ENGINE_Strategy'!$A$100:$A$113,MATCH($D32,'_ENGINE_Strategy'!$B$100:$B$113,0)),99)</f>
        <v/>
      </c>
      <c r="T32" s="25">
        <f>IFERROR(INDEX('_ENGINE_Strategy'!$J$100:$J$113,MATCH($D32,'_ENGINE_Strategy'!$B$100:$B$113,0)),0)</f>
        <v/>
      </c>
      <c r="U32" s="25" t="n">
        <v>4</v>
      </c>
      <c r="V32" s="25" t="n">
        <v>4</v>
      </c>
      <c r="W32" s="25" t="n">
        <v>5</v>
      </c>
      <c r="X32" s="25">
        <f>MAX(1,MIN(5,(N($O32)*0.50)+(N($Q32)*0.25)+((N($T32)/20)*0.25)))</f>
        <v/>
      </c>
      <c r="Y32" s="25">
        <f>MAX(1,MIN(5,(($R32-1)*1.6)+('Resilience &amp; Risk Scenario'!$B$7*0.45)+IF($S32&lt;=3,0.8,0)))</f>
        <v/>
      </c>
      <c r="Z32" s="25">
        <f>MAX(1,MIN(5,(N($O32)*0.45)+(MIN(5,5*N($M32)/MAX(1,N($K32)))*0.35)+(N($V32)*0.20)))</f>
        <v/>
      </c>
      <c r="AA32" s="25">
        <f>MAX(1,MIN(5,($U32*0.40)+($W32*0.30)+(($T32/20)*0.30)))</f>
        <v/>
      </c>
      <c r="AB32" s="25" t="n">
        <v>3</v>
      </c>
      <c r="AC32" s="25">
        <f>IF($AB32=0,"",ROUND((N($X32)+N($Y32)+N($Z32)+N($AA32))/$AB32,2))</f>
        <v/>
      </c>
      <c r="AD32" s="25">
        <f>IF($AC32="","",_xlfn.RANK.EQ($AC32,$AC$5:$AC$76,0)+COUNTIF($AC$5:$AC32,$AC32)-1)</f>
        <v/>
      </c>
      <c r="AE32" s="25">
        <f>IF($AD32="","",IF($AD32&lt;=cfg_TimelineBucket1,"0-90 days",IF($AD32&lt;=cfg_TimelineBucket2,"3-6 months",IF($AD32&lt;=cfg_TimelineBucket3,"6-12 months","12+ months"))))</f>
        <v/>
      </c>
      <c r="AF32" s="25" t="inlineStr">
        <is>
          <t>COO / Delivery Director</t>
        </is>
      </c>
      <c r="AG32" s="25" t="inlineStr">
        <is>
          <t>2-3 months</t>
        </is>
      </c>
      <c r="AH32" s="25" t="inlineStr">
        <is>
          <t>Executive sponsor; accountable process owner; baseline evidence; risk acceptance threshold; supplier/process map; operational data</t>
        </is>
      </c>
      <c r="AI32" s="25" t="inlineStr">
        <is>
          <t>maturity score improvement; open risk reduction; evidence completeness; control test pass rate</t>
        </is>
      </c>
      <c r="AJ32" s="25" t="inlineStr">
        <is>
          <t>Documented delivery governance operating model, owner/RACI, KPI set, evidence pack, tested crisis playbook and improvement backlog.</t>
        </is>
      </c>
      <c r="AK32" s="25" t="inlineStr">
        <is>
          <t>Counts active next-level recommendations for Delivery Ops / Delivery governance.</t>
        </is>
      </c>
      <c r="AL32" s="25" t="inlineStr">
        <is>
          <t>Counts active risks and risk scores for Delivery Ops / Delivery governance.</t>
        </is>
      </c>
      <c r="AM32" s="25" t="inlineStr">
        <is>
          <t>Uses the current rank and total score of Operational Excellence and Automation Strategy.</t>
        </is>
      </c>
      <c r="AN32" s="25" t="inlineStr">
        <is>
          <t>Trigger when avg score &lt; 4, active risk exists, active recommendation exists or strategy rank &lt;= 3.</t>
        </is>
      </c>
      <c r="AO32" s="25" t="inlineStr">
        <is>
          <t>Not started</t>
        </is>
      </c>
      <c r="AP32" s="25" t="inlineStr">
        <is>
          <t>Medium</t>
        </is>
      </c>
      <c r="AQ32" s="25" t="n"/>
      <c r="AR32" s="25" t="n"/>
      <c r="AS32" s="247">
        <f>IFERROR(IF(SUMIFS(_REF_Model_Content!$J$1:$J$157,_REF_Model_Content!$A$1:$A$157,'Company Profile'!$B$9,_REF_Model_Content!$B$1:$B$157,$B32)=0,1,SUMIFS(_REF_Model_Content!$J$1:$J$157,_REF_Model_Content!$A$1:$A$157,'Company Profile'!$B$9,_REF_Model_Content!$B$1:$B$157,$B32)),1)</f>
        <v/>
      </c>
      <c r="AT32" s="247">
        <f>IF(OR($AY32="Done",$AY32="Not applicable"),"",IF($AC32="","",ROUND(N($AC32)*N($AS32),2)))</f>
        <v/>
      </c>
      <c r="AU32" s="247">
        <f>IF($AT32="","",_xlfn.RANK.EQ($AT32,$AT$5:$AT$76,0)+COUNTIF($AT$5:AT32,$AT32)-1)</f>
        <v/>
      </c>
      <c r="AV32" s="247">
        <f>IFERROR(INDEX('_DATA_Dashboard_Facts'!$G$300:$G$316,MATCH($B32,'_DATA_Dashboard_Facts'!$A$300:$A$316,0)),"")</f>
        <v/>
      </c>
      <c r="AW32" s="247">
        <f>IF($AS32&gt;cfg_IndPriorityHigh,"Industry template increases priority",IF($AS32&lt;cfg_IndPriorityLow,"Industry template lowers priority","Industry-neutral priority"))</f>
        <v/>
      </c>
      <c r="AX32">
        <f>IFERROR(INDEX('Action Plan &amp; Roadmap'!$D$59:$D$130,MATCH($A32,'Action Plan &amp; Roadmap'!$A$59:$A$130,0)),"")</f>
      </c>
      <c r="AY32">
        <f>IF($AX32&lt;&gt;"",$AX32,IF($AO32="","Not started",$AO32))</f>
        <v/>
      </c>
      <c r="AZ32" t="inlineStr">
        <is>
          <t>Annual non-interest expense as a percentage of operating expense</t>
        </is>
      </c>
      <c r="BA32">
        <f>IF($A32="","",COUNTIF('_DATA_Mappings'!$A:$A,$A32))</f>
        <v/>
      </c>
      <c r="BB32">
        <f>IF($A32="","",IFERROR(AVERAGEIF('_DATA_Mappings'!$A:$A,$A32,'_DATA_Mappings'!$G:$G),0))</f>
        <v/>
      </c>
      <c r="BC32">
        <f>IF($A32="","",MAX(0,MIN(5,(N($O32)*0.50)+(N($V32)*0.30)+(N($W32)*0.20))))</f>
        <v/>
      </c>
      <c r="BD32">
        <f>IF($A32="","",MAX(1,MIN(5,($Z32*0.45)+(MIN(5,$BB32/5)*0.35)+($BC32*0.20))))</f>
        <v/>
      </c>
      <c r="BE32">
        <f>IF($AB32=0,"",ROUND((N($X32)+N($Y32)+N($BD32)+N($AA32))/$AB32,2))</f>
        <v/>
      </c>
      <c r="BF32">
        <f>IF(OR($BE32="",$AY32="Done",$AY32="Not applicable"),"",ROUND($BE32*N($AS32),2))</f>
        <v/>
      </c>
      <c r="BG32">
        <f>IF($BF32="","",_xlfn.RANK.EQ($BF32,$BF$5:$BF$76,0)+COUNTIF($BF$5:$BF32,$BF32)-1)</f>
        <v/>
      </c>
      <c r="BH32">
        <f>IF($A32="","",IF($BB32&gt;20,"High P1 risk pressure",IF($BB32&gt;12,"Moderate P1 risk pressure","Lower P1 risk pressure")))</f>
        <v/>
      </c>
      <c r="BI32" s="25">
        <f>'_CONFIG_Model_Settings'!$B$103</f>
        <v/>
      </c>
      <c r="BJ32" s="25">
        <f>IFERROR(INDEX('_CONFIG_Model_Settings'!$B$109:$B$113,MATCH($BI32,'_CONFIG_Model_Settings'!$A$109:$A$113,0)),0.30)</f>
        <v/>
      </c>
      <c r="BK32" s="25">
        <f>IFERROR(INDEX('_CONFIG_Model_Settings'!$C$109:$C$113,MATCH($BI32,'_CONFIG_Model_Settings'!$A$109:$A$113,0)),0.20)</f>
        <v/>
      </c>
      <c r="BL32" s="25">
        <f>IFERROR(INDEX('_CONFIG_Model_Settings'!$D$109:$D$113,MATCH($BI32,'_CONFIG_Model_Settings'!$A$109:$A$113,0)),0.25)</f>
        <v/>
      </c>
      <c r="BM32" s="25">
        <f>IFERROR(INDEX('_CONFIG_Model_Settings'!$E$109:$E$113,MATCH($BI32,'_CONFIG_Model_Settings'!$A$109:$A$113,0)),0.25)</f>
        <v/>
      </c>
      <c r="BN32" s="25">
        <f>IFERROR(INDEX('_CONFIG_Model_Settings'!$B$117:$B$123,MATCH('_CONFIG_Model_Settings'!$B$104,'_CONFIG_Model_Settings'!$A$117:$A$123,0)),1)</f>
        <v/>
      </c>
      <c r="BO32" s="25">
        <f>IFERROR(INDEX('_CONFIG_Model_Settings'!$C$117:$C$123,MATCH('_CONFIG_Model_Settings'!$B$104,'_CONFIG_Model_Settings'!$A$117:$A$123,0)),1)</f>
        <v/>
      </c>
      <c r="BP32" s="25">
        <f>IFERROR(INDEX('_CONFIG_Model_Settings'!$D$117:$D$123,MATCH('_CONFIG_Model_Settings'!$B$104,'_CONFIG_Model_Settings'!$A$117:$A$123,0)),1)</f>
        <v/>
      </c>
      <c r="BQ32" s="25">
        <f>IFERROR(INDEX('_CONFIG_Model_Settings'!$E$117:$E$123,MATCH('_CONFIG_Model_Settings'!$B$104,'_CONFIG_Model_Settings'!$A$117:$A$123,0)),1)</f>
        <v/>
      </c>
      <c r="BR32" s="25">
        <f>IF($A32="","",MIN(5,IFERROR(SUMIF('_DATA_Mappings'!$A:$A,$A32,'_DATA_Mappings'!$K:$K)/MAX(1,'_CONFIG_Model_Settings'!$B$105),0)))</f>
        <v/>
      </c>
      <c r="BS32" s="25">
        <f>IF($A32="","",ROUND((N($X32)*N($BJ32)*N($BN32)+N($Y32)*N($BK32)*N($BO32)+N($BD32)*N($BL32)*N($BP32)+N($AA32)*N($BM32)*N($BQ32)+N($BR32)*N('_CONFIG_Model_Settings'!$B$106))/(N($BJ32)*N($BN32)+N($BK32)*N($BO32)+N($BL32)*N($BP32)+N($BM32)*N($BQ32)+N('_CONFIG_Model_Settings'!$B$106)),2))</f>
        <v/>
      </c>
      <c r="BT32" s="25">
        <f>IF($A32="","",MAX(1,N($AB32)))</f>
        <v/>
      </c>
      <c r="BU32" s="25">
        <f>IF(OR($BS32="",$BT32=0),"",ROUND($BS32/$BT32,2))</f>
        <v/>
      </c>
      <c r="BV32" s="25">
        <f>IF(OR($BU32="",$AY32="Done",$AY32="Not applicable"),"",ROUND($BU32*N($AS32),2))</f>
        <v/>
      </c>
      <c r="BW32" s="25">
        <f>IF($BV32="","",_xlfn.RANK.EQ($BV32,$BV$5:$BV$76,0)+COUNTIF($BV$5:$BV32,$BV32)-1)</f>
        <v/>
      </c>
      <c r="BX32" s="25">
        <f>IF($BW32="","",IF($BW32&lt;=cfg_TimelineBucket1,"0-90 days",IF($BW32&lt;=cfg_TimelineBucket2,"3-6 months",IF($BW32&lt;=cfg_TimelineBucket3,"6-12 months","12+ months"))))</f>
        <v/>
      </c>
      <c r="BY32" s="25">
        <f>IF($A32="","","P2: "&amp;$BI32&amp;" posture; objective="&amp;'_CONFIG_Model_Settings'!$B$104&amp;"; financial score="&amp;ROUND(N($BR32),1)&amp;"; CoD="&amp;$BS32)</f>
        <v/>
      </c>
    </row>
    <row r="33" ht="42" customHeight="1" s="209">
      <c r="A33" s="25" t="inlineStr">
        <is>
          <t>INI-029</t>
        </is>
      </c>
      <c r="B33" s="25" t="inlineStr">
        <is>
          <t>Delivery Ops</t>
        </is>
      </c>
      <c r="C33" s="25" t="inlineStr">
        <is>
          <t>Capacity and continuity</t>
        </is>
      </c>
      <c r="D33" s="25" t="inlineStr">
        <is>
          <t>Operational Excellence and Automation Strategy</t>
        </is>
      </c>
      <c r="E33" s="25" t="inlineStr">
        <is>
          <t>STR-07</t>
        </is>
      </c>
      <c r="F33" s="25" t="inlineStr">
        <is>
          <t>Build capacity resilience and delivery continuity model</t>
        </is>
      </c>
      <c r="G33" s="25" t="inlineStr">
        <is>
          <t>Close maturity gaps in capacity and continuity by assigning ownership, documenting the process, connecting it to evidence and systems, testing it against crisis scenarios and measuring improvement.</t>
        </is>
      </c>
      <c r="H33" s="25" t="inlineStr">
        <is>
          <t>Delivery, service continuity and operational execution</t>
        </is>
      </c>
      <c r="I33" s="25" t="inlineStr">
        <is>
          <t>War / security crisis; Supplier / logistics disruption; Demand shock; Physical site loss</t>
        </is>
      </c>
      <c r="J33" s="25" t="inlineStr">
        <is>
          <t>DELI-007; DELI-008; DELI-009; DELI-010; DELI-011; DELI-012</t>
        </is>
      </c>
      <c r="K33" s="25" t="n">
        <v>6</v>
      </c>
      <c r="L33" s="25">
        <f>COUNTIFS('_ENGINE_Risk'!$C$500:$C$923,$B33,'_ENGINE_Risk'!$D$500:$D$923,$C33,'_ENGINE_Risk'!$B$500:$B$923,"Yes")</f>
        <v/>
      </c>
      <c r="M33" s="25">
        <f>COUNTIFS('_ENGINE_Risk'!$C$500:$C$923,$B33,'_ENGINE_Risk'!$D$500:$D$923,$C33,'_ENGINE_Risk'!$B$500:$B$923,"Yes")</f>
        <v/>
      </c>
      <c r="N33" s="25">
        <f>IFERROR(AVERAGEIFS(_DATA_Assessment_Model!$H$5:$H$428,_DATA_Assessment_Model!$AW$5:$AW$428,$B33,_DATA_Assessment_Model!$B$5:$B$428,$C33),"")</f>
        <v/>
      </c>
      <c r="O33" s="25">
        <f>IF($N33="","",MAX(0,5-$N33))</f>
        <v/>
      </c>
      <c r="P33" s="25">
        <f>IFERROR(INDEX(_DATA_Dashboard_Facts!$H$5:$H$21,MATCH($B33,_DATA_Dashboard_Facts!$A$5:$A$21,0)),"")</f>
        <v/>
      </c>
      <c r="Q33" s="25">
        <f>IF($P33="","",MAX(0,5-$P33))</f>
        <v/>
      </c>
      <c r="R33" s="25">
        <f>IFERROR(SUMIFS(_ENGINE_Crisis!$D$5:$D$208,_ENGINE_Crisis!$A$5:$A$208,'Resilience &amp; Risk Scenario'!$B$6,_ENGINE_Crisis!$B$5:$B$208,$B33),1)</f>
        <v/>
      </c>
      <c r="S33" s="25">
        <f>IFERROR(INDEX('_ENGINE_Strategy'!$A$100:$A$113,MATCH($D33,'_ENGINE_Strategy'!$B$100:$B$113,0)),99)</f>
        <v/>
      </c>
      <c r="T33" s="25">
        <f>IFERROR(INDEX('_ENGINE_Strategy'!$J$100:$J$113,MATCH($D33,'_ENGINE_Strategy'!$B$100:$B$113,0)),0)</f>
        <v/>
      </c>
      <c r="U33" s="25" t="n">
        <v>4</v>
      </c>
      <c r="V33" s="25" t="n">
        <v>4</v>
      </c>
      <c r="W33" s="25" t="n">
        <v>5</v>
      </c>
      <c r="X33" s="25">
        <f>MAX(1,MIN(5,(N($O33)*0.50)+(N($Q33)*0.25)+((N($T33)/20)*0.25)))</f>
        <v/>
      </c>
      <c r="Y33" s="25">
        <f>MAX(1,MIN(5,(($R33-1)*1.6)+('Resilience &amp; Risk Scenario'!$B$7*0.45)+IF($S33&lt;=3,0.8,0)))</f>
        <v/>
      </c>
      <c r="Z33" s="25">
        <f>MAX(1,MIN(5,(N($O33)*0.45)+(MIN(5,5*N($M33)/MAX(1,N($K33)))*0.35)+(N($V33)*0.20)))</f>
        <v/>
      </c>
      <c r="AA33" s="25">
        <f>MAX(1,MIN(5,($U33*0.40)+($W33*0.30)+(($T33/20)*0.30)))</f>
        <v/>
      </c>
      <c r="AB33" s="25" t="n">
        <v>3</v>
      </c>
      <c r="AC33" s="25">
        <f>IF($AB33=0,"",ROUND((N($X33)+N($Y33)+N($Z33)+N($AA33))/$AB33,2))</f>
        <v/>
      </c>
      <c r="AD33" s="25">
        <f>IF($AC33="","",_xlfn.RANK.EQ($AC33,$AC$5:$AC$76,0)+COUNTIF($AC$5:$AC33,$AC33)-1)</f>
        <v/>
      </c>
      <c r="AE33" s="25">
        <f>IF($AD33="","",IF($AD33&lt;=cfg_TimelineBucket1,"0-90 days",IF($AD33&lt;=cfg_TimelineBucket2,"3-6 months",IF($AD33&lt;=cfg_TimelineBucket3,"6-12 months","12+ months"))))</f>
        <v/>
      </c>
      <c r="AF33" s="25" t="inlineStr">
        <is>
          <t>COO / Delivery Director</t>
        </is>
      </c>
      <c r="AG33" s="25" t="inlineStr">
        <is>
          <t>2-3 months</t>
        </is>
      </c>
      <c r="AH33" s="25" t="inlineStr">
        <is>
          <t>Executive sponsor; accountable process owner; baseline evidence; risk acceptance threshold; supplier/process map; operational data</t>
        </is>
      </c>
      <c r="AI33" s="25" t="inlineStr">
        <is>
          <t>maturity score improvement; open risk reduction; evidence completeness; control test pass rate</t>
        </is>
      </c>
      <c r="AJ33" s="25" t="inlineStr">
        <is>
          <t>Documented capacity and continuity operating model, owner/RACI, KPI set, evidence pack, tested crisis playbook and improvement backlog.</t>
        </is>
      </c>
      <c r="AK33" s="25" t="inlineStr">
        <is>
          <t>Counts active next-level recommendations for Delivery Ops / Capacity and continuity.</t>
        </is>
      </c>
      <c r="AL33" s="25" t="inlineStr">
        <is>
          <t>Counts active risks and risk scores for Delivery Ops / Capacity and continuity.</t>
        </is>
      </c>
      <c r="AM33" s="25" t="inlineStr">
        <is>
          <t>Uses the current rank and total score of Operational Excellence and Automation Strategy.</t>
        </is>
      </c>
      <c r="AN33" s="25" t="inlineStr">
        <is>
          <t>Trigger when avg score &lt; 4, active risk exists, active recommendation exists or strategy rank &lt;= 3.</t>
        </is>
      </c>
      <c r="AO33" s="25" t="inlineStr">
        <is>
          <t>Not started</t>
        </is>
      </c>
      <c r="AP33" s="25" t="inlineStr">
        <is>
          <t>Medium</t>
        </is>
      </c>
      <c r="AQ33" s="25" t="n"/>
      <c r="AR33" s="25" t="n"/>
      <c r="AS33" s="247">
        <f>IFERROR(IF(SUMIFS(_REF_Model_Content!$J$1:$J$157,_REF_Model_Content!$A$1:$A$157,'Company Profile'!$B$9,_REF_Model_Content!$B$1:$B$157,$B33)=0,1,SUMIFS(_REF_Model_Content!$J$1:$J$157,_REF_Model_Content!$A$1:$A$157,'Company Profile'!$B$9,_REF_Model_Content!$B$1:$B$157,$B33)),1)</f>
        <v/>
      </c>
      <c r="AT33" s="247">
        <f>IF(OR($AY33="Done",$AY33="Not applicable"),"",IF($AC33="","",ROUND(N($AC33)*N($AS33),2)))</f>
        <v/>
      </c>
      <c r="AU33" s="247">
        <f>IF($AT33="","",_xlfn.RANK.EQ($AT33,$AT$5:$AT$76,0)+COUNTIF($AT$5:AT33,$AT33)-1)</f>
        <v/>
      </c>
      <c r="AV33" s="247">
        <f>IFERROR(INDEX('_DATA_Dashboard_Facts'!$G$300:$G$316,MATCH($B33,'_DATA_Dashboard_Facts'!$A$300:$A$316,0)),"")</f>
        <v/>
      </c>
      <c r="AW33" s="247">
        <f>IF($AS33&gt;cfg_IndPriorityHigh,"Industry template increases priority",IF($AS33&lt;cfg_IndPriorityLow,"Industry template lowers priority","Industry-neutral priority"))</f>
        <v/>
      </c>
      <c r="AX33">
        <f>IFERROR(INDEX('Action Plan &amp; Roadmap'!$D$59:$D$130,MATCH($A33,'Action Plan &amp; Roadmap'!$A$59:$A$130,0)),"")</f>
      </c>
      <c r="AY33">
        <f>IF($AX33&lt;&gt;"",$AX33,IF($AO33="","Not started",$AO33))</f>
        <v/>
      </c>
      <c r="AZ33" t="inlineStr">
        <is>
          <t>Annual non-interest expense as a percentage of operating expense</t>
        </is>
      </c>
      <c r="BA33">
        <f>IF($A33="","",COUNTIF('_DATA_Mappings'!$A:$A,$A33))</f>
        <v/>
      </c>
      <c r="BB33">
        <f>IF($A33="","",IFERROR(AVERAGEIF('_DATA_Mappings'!$A:$A,$A33,'_DATA_Mappings'!$G:$G),0))</f>
        <v/>
      </c>
      <c r="BC33">
        <f>IF($A33="","",MAX(0,MIN(5,(N($O33)*0.50)+(N($V33)*0.30)+(N($W33)*0.20))))</f>
        <v/>
      </c>
      <c r="BD33">
        <f>IF($A33="","",MAX(1,MIN(5,($Z33*0.45)+(MIN(5,$BB33/5)*0.35)+($BC33*0.20))))</f>
        <v/>
      </c>
      <c r="BE33">
        <f>IF($AB33=0,"",ROUND((N($X33)+N($Y33)+N($BD33)+N($AA33))/$AB33,2))</f>
        <v/>
      </c>
      <c r="BF33">
        <f>IF(OR($BE33="",$AY33="Done",$AY33="Not applicable"),"",ROUND($BE33*N($AS33),2))</f>
        <v/>
      </c>
      <c r="BG33">
        <f>IF($BF33="","",_xlfn.RANK.EQ($BF33,$BF$5:$BF$76,0)+COUNTIF($BF$5:$BF33,$BF33)-1)</f>
        <v/>
      </c>
      <c r="BH33">
        <f>IF($A33="","",IF($BB33&gt;20,"High P1 risk pressure",IF($BB33&gt;12,"Moderate P1 risk pressure","Lower P1 risk pressure")))</f>
        <v/>
      </c>
      <c r="BI33" s="25">
        <f>'_CONFIG_Model_Settings'!$B$103</f>
        <v/>
      </c>
      <c r="BJ33" s="25">
        <f>IFERROR(INDEX('_CONFIG_Model_Settings'!$B$109:$B$113,MATCH($BI33,'_CONFIG_Model_Settings'!$A$109:$A$113,0)),0.30)</f>
        <v/>
      </c>
      <c r="BK33" s="25">
        <f>IFERROR(INDEX('_CONFIG_Model_Settings'!$C$109:$C$113,MATCH($BI33,'_CONFIG_Model_Settings'!$A$109:$A$113,0)),0.20)</f>
        <v/>
      </c>
      <c r="BL33" s="25">
        <f>IFERROR(INDEX('_CONFIG_Model_Settings'!$D$109:$D$113,MATCH($BI33,'_CONFIG_Model_Settings'!$A$109:$A$113,0)),0.25)</f>
        <v/>
      </c>
      <c r="BM33" s="25">
        <f>IFERROR(INDEX('_CONFIG_Model_Settings'!$E$109:$E$113,MATCH($BI33,'_CONFIG_Model_Settings'!$A$109:$A$113,0)),0.25)</f>
        <v/>
      </c>
      <c r="BN33" s="25">
        <f>IFERROR(INDEX('_CONFIG_Model_Settings'!$B$117:$B$123,MATCH('_CONFIG_Model_Settings'!$B$104,'_CONFIG_Model_Settings'!$A$117:$A$123,0)),1)</f>
        <v/>
      </c>
      <c r="BO33" s="25">
        <f>IFERROR(INDEX('_CONFIG_Model_Settings'!$C$117:$C$123,MATCH('_CONFIG_Model_Settings'!$B$104,'_CONFIG_Model_Settings'!$A$117:$A$123,0)),1)</f>
        <v/>
      </c>
      <c r="BP33" s="25">
        <f>IFERROR(INDEX('_CONFIG_Model_Settings'!$D$117:$D$123,MATCH('_CONFIG_Model_Settings'!$B$104,'_CONFIG_Model_Settings'!$A$117:$A$123,0)),1)</f>
        <v/>
      </c>
      <c r="BQ33" s="25">
        <f>IFERROR(INDEX('_CONFIG_Model_Settings'!$E$117:$E$123,MATCH('_CONFIG_Model_Settings'!$B$104,'_CONFIG_Model_Settings'!$A$117:$A$123,0)),1)</f>
        <v/>
      </c>
      <c r="BR33" s="25">
        <f>IF($A33="","",MIN(5,IFERROR(SUMIF('_DATA_Mappings'!$A:$A,$A33,'_DATA_Mappings'!$K:$K)/MAX(1,'_CONFIG_Model_Settings'!$B$105),0)))</f>
        <v/>
      </c>
      <c r="BS33" s="25">
        <f>IF($A33="","",ROUND((N($X33)*N($BJ33)*N($BN33)+N($Y33)*N($BK33)*N($BO33)+N($BD33)*N($BL33)*N($BP33)+N($AA33)*N($BM33)*N($BQ33)+N($BR33)*N('_CONFIG_Model_Settings'!$B$106))/(N($BJ33)*N($BN33)+N($BK33)*N($BO33)+N($BL33)*N($BP33)+N($BM33)*N($BQ33)+N('_CONFIG_Model_Settings'!$B$106)),2))</f>
        <v/>
      </c>
      <c r="BT33" s="25">
        <f>IF($A33="","",MAX(1,N($AB33)))</f>
        <v/>
      </c>
      <c r="BU33" s="25">
        <f>IF(OR($BS33="",$BT33=0),"",ROUND($BS33/$BT33,2))</f>
        <v/>
      </c>
      <c r="BV33" s="25">
        <f>IF(OR($BU33="",$AY33="Done",$AY33="Not applicable"),"",ROUND($BU33*N($AS33),2))</f>
        <v/>
      </c>
      <c r="BW33" s="25">
        <f>IF($BV33="","",_xlfn.RANK.EQ($BV33,$BV$5:$BV$76,0)+COUNTIF($BV$5:$BV33,$BV33)-1)</f>
        <v/>
      </c>
      <c r="BX33" s="25">
        <f>IF($BW33="","",IF($BW33&lt;=cfg_TimelineBucket1,"0-90 days",IF($BW33&lt;=cfg_TimelineBucket2,"3-6 months",IF($BW33&lt;=cfg_TimelineBucket3,"6-12 months","12+ months"))))</f>
        <v/>
      </c>
      <c r="BY33" s="25">
        <f>IF($A33="","","P2: "&amp;$BI33&amp;" posture; objective="&amp;'_CONFIG_Model_Settings'!$B$104&amp;"; financial score="&amp;ROUND(N($BR33),1)&amp;"; CoD="&amp;$BS33)</f>
        <v/>
      </c>
    </row>
    <row r="34" ht="42" customHeight="1" s="209">
      <c r="A34" s="25" t="inlineStr">
        <is>
          <t>INI-030</t>
        </is>
      </c>
      <c r="B34" s="25" t="inlineStr">
        <is>
          <t>Delivery Ops</t>
        </is>
      </c>
      <c r="C34" s="25" t="inlineStr">
        <is>
          <t>Process control</t>
        </is>
      </c>
      <c r="D34" s="25" t="inlineStr">
        <is>
          <t>Operational Excellence and Automation Strategy</t>
        </is>
      </c>
      <c r="E34" s="25" t="inlineStr">
        <is>
          <t>STR-07</t>
        </is>
      </c>
      <c r="F34" s="25" t="inlineStr">
        <is>
          <t>Strengthen process control, SOPs and operational quality gates</t>
        </is>
      </c>
      <c r="G34" s="25" t="inlineStr">
        <is>
          <t>Close maturity gaps in process control by assigning ownership, documenting the process, connecting it to evidence and systems, testing it against crisis scenarios and measuring improvement.</t>
        </is>
      </c>
      <c r="H34" s="25" t="inlineStr">
        <is>
          <t>Delivery, service continuity and operational execution</t>
        </is>
      </c>
      <c r="I34" s="25" t="inlineStr">
        <is>
          <t>War / security crisis; Supplier / logistics disruption; Demand shock; Physical site loss</t>
        </is>
      </c>
      <c r="J34" s="25" t="inlineStr">
        <is>
          <t>DELI-013; DELI-014; DELI-015; DELI-016; DELI-017; DELI-018</t>
        </is>
      </c>
      <c r="K34" s="25" t="n">
        <v>6</v>
      </c>
      <c r="L34" s="25">
        <f>COUNTIFS('_ENGINE_Risk'!$C$500:$C$923,$B34,'_ENGINE_Risk'!$D$500:$D$923,$C34,'_ENGINE_Risk'!$B$500:$B$923,"Yes")</f>
        <v/>
      </c>
      <c r="M34" s="25">
        <f>COUNTIFS('_ENGINE_Risk'!$C$500:$C$923,$B34,'_ENGINE_Risk'!$D$500:$D$923,$C34,'_ENGINE_Risk'!$B$500:$B$923,"Yes")</f>
        <v/>
      </c>
      <c r="N34" s="25">
        <f>IFERROR(AVERAGEIFS(_DATA_Assessment_Model!$H$5:$H$428,_DATA_Assessment_Model!$AW$5:$AW$428,$B34,_DATA_Assessment_Model!$B$5:$B$428,$C34),"")</f>
        <v/>
      </c>
      <c r="O34" s="25">
        <f>IF($N34="","",MAX(0,5-$N34))</f>
        <v/>
      </c>
      <c r="P34" s="25">
        <f>IFERROR(INDEX(_DATA_Dashboard_Facts!$H$5:$H$21,MATCH($B34,_DATA_Dashboard_Facts!$A$5:$A$21,0)),"")</f>
        <v/>
      </c>
      <c r="Q34" s="25">
        <f>IF($P34="","",MAX(0,5-$P34))</f>
        <v/>
      </c>
      <c r="R34" s="25">
        <f>IFERROR(SUMIFS(_ENGINE_Crisis!$D$5:$D$208,_ENGINE_Crisis!$A$5:$A$208,'Resilience &amp; Risk Scenario'!$B$6,_ENGINE_Crisis!$B$5:$B$208,$B34),1)</f>
        <v/>
      </c>
      <c r="S34" s="25">
        <f>IFERROR(INDEX('_ENGINE_Strategy'!$A$100:$A$113,MATCH($D34,'_ENGINE_Strategy'!$B$100:$B$113,0)),99)</f>
        <v/>
      </c>
      <c r="T34" s="25">
        <f>IFERROR(INDEX('_ENGINE_Strategy'!$J$100:$J$113,MATCH($D34,'_ENGINE_Strategy'!$B$100:$B$113,0)),0)</f>
        <v/>
      </c>
      <c r="U34" s="25" t="n">
        <v>4</v>
      </c>
      <c r="V34" s="25" t="n">
        <v>4</v>
      </c>
      <c r="W34" s="25" t="n">
        <v>5</v>
      </c>
      <c r="X34" s="25">
        <f>MAX(1,MIN(5,(N($O34)*0.50)+(N($Q34)*0.25)+((N($T34)/20)*0.25)))</f>
        <v/>
      </c>
      <c r="Y34" s="25">
        <f>MAX(1,MIN(5,(($R34-1)*1.6)+('Resilience &amp; Risk Scenario'!$B$7*0.45)+IF($S34&lt;=3,0.8,0)))</f>
        <v/>
      </c>
      <c r="Z34" s="25">
        <f>MAX(1,MIN(5,(N($O34)*0.45)+(MIN(5,5*N($M34)/MAX(1,N($K34)))*0.35)+(N($V34)*0.20)))</f>
        <v/>
      </c>
      <c r="AA34" s="25">
        <f>MAX(1,MIN(5,($U34*0.40)+($W34*0.30)+(($T34/20)*0.30)))</f>
        <v/>
      </c>
      <c r="AB34" s="25" t="n">
        <v>3</v>
      </c>
      <c r="AC34" s="25">
        <f>IF($AB34=0,"",ROUND((N($X34)+N($Y34)+N($Z34)+N($AA34))/$AB34,2))</f>
        <v/>
      </c>
      <c r="AD34" s="25">
        <f>IF($AC34="","",_xlfn.RANK.EQ($AC34,$AC$5:$AC$76,0)+COUNTIF($AC$5:$AC34,$AC34)-1)</f>
        <v/>
      </c>
      <c r="AE34" s="25">
        <f>IF($AD34="","",IF($AD34&lt;=cfg_TimelineBucket1,"0-90 days",IF($AD34&lt;=cfg_TimelineBucket2,"3-6 months",IF($AD34&lt;=cfg_TimelineBucket3,"6-12 months","12+ months"))))</f>
        <v/>
      </c>
      <c r="AF34" s="25" t="inlineStr">
        <is>
          <t>COO / Delivery Director</t>
        </is>
      </c>
      <c r="AG34" s="25" t="inlineStr">
        <is>
          <t>2-3 months</t>
        </is>
      </c>
      <c r="AH34" s="25" t="inlineStr">
        <is>
          <t>Executive sponsor; accountable process owner; baseline evidence; risk acceptance threshold; supplier/process map; operational data</t>
        </is>
      </c>
      <c r="AI34" s="25" t="inlineStr">
        <is>
          <t>maturity score improvement; open risk reduction; evidence completeness; control test pass rate</t>
        </is>
      </c>
      <c r="AJ34" s="25" t="inlineStr">
        <is>
          <t>Documented process control operating model, owner/RACI, KPI set, evidence pack, tested crisis playbook and improvement backlog.</t>
        </is>
      </c>
      <c r="AK34" s="25" t="inlineStr">
        <is>
          <t>Counts active next-level recommendations for Delivery Ops / Process control.</t>
        </is>
      </c>
      <c r="AL34" s="25" t="inlineStr">
        <is>
          <t>Counts active risks and risk scores for Delivery Ops / Process control.</t>
        </is>
      </c>
      <c r="AM34" s="25" t="inlineStr">
        <is>
          <t>Uses the current rank and total score of Operational Excellence and Automation Strategy.</t>
        </is>
      </c>
      <c r="AN34" s="25" t="inlineStr">
        <is>
          <t>Trigger when avg score &lt; 4, active risk exists, active recommendation exists or strategy rank &lt;= 3.</t>
        </is>
      </c>
      <c r="AO34" s="25" t="inlineStr">
        <is>
          <t>Not started</t>
        </is>
      </c>
      <c r="AP34" s="25" t="inlineStr">
        <is>
          <t>Medium</t>
        </is>
      </c>
      <c r="AQ34" s="25" t="n"/>
      <c r="AR34" s="25" t="n"/>
      <c r="AS34" s="247">
        <f>IFERROR(IF(SUMIFS(_REF_Model_Content!$J$1:$J$157,_REF_Model_Content!$A$1:$A$157,'Company Profile'!$B$9,_REF_Model_Content!$B$1:$B$157,$B34)=0,1,SUMIFS(_REF_Model_Content!$J$1:$J$157,_REF_Model_Content!$A$1:$A$157,'Company Profile'!$B$9,_REF_Model_Content!$B$1:$B$157,$B34)),1)</f>
        <v/>
      </c>
      <c r="AT34" s="247">
        <f>IF(OR($AY34="Done",$AY34="Not applicable"),"",IF($AC34="","",ROUND(N($AC34)*N($AS34),2)))</f>
        <v/>
      </c>
      <c r="AU34" s="247">
        <f>IF($AT34="","",_xlfn.RANK.EQ($AT34,$AT$5:$AT$76,0)+COUNTIF($AT$5:AT34,$AT34)-1)</f>
        <v/>
      </c>
      <c r="AV34" s="247">
        <f>IFERROR(INDEX('_DATA_Dashboard_Facts'!$G$300:$G$316,MATCH($B34,'_DATA_Dashboard_Facts'!$A$300:$A$316,0)),"")</f>
        <v/>
      </c>
      <c r="AW34" s="247">
        <f>IF($AS34&gt;cfg_IndPriorityHigh,"Industry template increases priority",IF($AS34&lt;cfg_IndPriorityLow,"Industry template lowers priority","Industry-neutral priority"))</f>
        <v/>
      </c>
      <c r="AX34">
        <f>IFERROR(INDEX('Action Plan &amp; Roadmap'!$D$59:$D$130,MATCH($A34,'Action Plan &amp; Roadmap'!$A$59:$A$130,0)),"")</f>
      </c>
      <c r="AY34">
        <f>IF($AX34&lt;&gt;"",$AX34,IF($AO34="","Not started",$AO34))</f>
        <v/>
      </c>
      <c r="AZ34" t="inlineStr">
        <is>
          <t>Annual non-interest expense as a percentage of operating expense</t>
        </is>
      </c>
      <c r="BA34">
        <f>IF($A34="","",COUNTIF('_DATA_Mappings'!$A:$A,$A34))</f>
        <v/>
      </c>
      <c r="BB34">
        <f>IF($A34="","",IFERROR(AVERAGEIF('_DATA_Mappings'!$A:$A,$A34,'_DATA_Mappings'!$G:$G),0))</f>
        <v/>
      </c>
      <c r="BC34">
        <f>IF($A34="","",MAX(0,MIN(5,(N($O34)*0.50)+(N($V34)*0.30)+(N($W34)*0.20))))</f>
        <v/>
      </c>
      <c r="BD34">
        <f>IF($A34="","",MAX(1,MIN(5,($Z34*0.45)+(MIN(5,$BB34/5)*0.35)+($BC34*0.20))))</f>
        <v/>
      </c>
      <c r="BE34">
        <f>IF($AB34=0,"",ROUND((N($X34)+N($Y34)+N($BD34)+N($AA34))/$AB34,2))</f>
        <v/>
      </c>
      <c r="BF34">
        <f>IF(OR($BE34="",$AY34="Done",$AY34="Not applicable"),"",ROUND($BE34*N($AS34),2))</f>
        <v/>
      </c>
      <c r="BG34">
        <f>IF($BF34="","",_xlfn.RANK.EQ($BF34,$BF$5:$BF$76,0)+COUNTIF($BF$5:$BF34,$BF34)-1)</f>
        <v/>
      </c>
      <c r="BH34">
        <f>IF($A34="","",IF($BB34&gt;20,"High P1 risk pressure",IF($BB34&gt;12,"Moderate P1 risk pressure","Lower P1 risk pressure")))</f>
        <v/>
      </c>
      <c r="BI34" s="25">
        <f>'_CONFIG_Model_Settings'!$B$103</f>
        <v/>
      </c>
      <c r="BJ34" s="25">
        <f>IFERROR(INDEX('_CONFIG_Model_Settings'!$B$109:$B$113,MATCH($BI34,'_CONFIG_Model_Settings'!$A$109:$A$113,0)),0.30)</f>
        <v/>
      </c>
      <c r="BK34" s="25">
        <f>IFERROR(INDEX('_CONFIG_Model_Settings'!$C$109:$C$113,MATCH($BI34,'_CONFIG_Model_Settings'!$A$109:$A$113,0)),0.20)</f>
        <v/>
      </c>
      <c r="BL34" s="25">
        <f>IFERROR(INDEX('_CONFIG_Model_Settings'!$D$109:$D$113,MATCH($BI34,'_CONFIG_Model_Settings'!$A$109:$A$113,0)),0.25)</f>
        <v/>
      </c>
      <c r="BM34" s="25">
        <f>IFERROR(INDEX('_CONFIG_Model_Settings'!$E$109:$E$113,MATCH($BI34,'_CONFIG_Model_Settings'!$A$109:$A$113,0)),0.25)</f>
        <v/>
      </c>
      <c r="BN34" s="25">
        <f>IFERROR(INDEX('_CONFIG_Model_Settings'!$B$117:$B$123,MATCH('_CONFIG_Model_Settings'!$B$104,'_CONFIG_Model_Settings'!$A$117:$A$123,0)),1)</f>
        <v/>
      </c>
      <c r="BO34" s="25">
        <f>IFERROR(INDEX('_CONFIG_Model_Settings'!$C$117:$C$123,MATCH('_CONFIG_Model_Settings'!$B$104,'_CONFIG_Model_Settings'!$A$117:$A$123,0)),1)</f>
        <v/>
      </c>
      <c r="BP34" s="25">
        <f>IFERROR(INDEX('_CONFIG_Model_Settings'!$D$117:$D$123,MATCH('_CONFIG_Model_Settings'!$B$104,'_CONFIG_Model_Settings'!$A$117:$A$123,0)),1)</f>
        <v/>
      </c>
      <c r="BQ34" s="25">
        <f>IFERROR(INDEX('_CONFIG_Model_Settings'!$E$117:$E$123,MATCH('_CONFIG_Model_Settings'!$B$104,'_CONFIG_Model_Settings'!$A$117:$A$123,0)),1)</f>
        <v/>
      </c>
      <c r="BR34" s="25">
        <f>IF($A34="","",MIN(5,IFERROR(SUMIF('_DATA_Mappings'!$A:$A,$A34,'_DATA_Mappings'!$K:$K)/MAX(1,'_CONFIG_Model_Settings'!$B$105),0)))</f>
        <v/>
      </c>
      <c r="BS34" s="25">
        <f>IF($A34="","",ROUND((N($X34)*N($BJ34)*N($BN34)+N($Y34)*N($BK34)*N($BO34)+N($BD34)*N($BL34)*N($BP34)+N($AA34)*N($BM34)*N($BQ34)+N($BR34)*N('_CONFIG_Model_Settings'!$B$106))/(N($BJ34)*N($BN34)+N($BK34)*N($BO34)+N($BL34)*N($BP34)+N($BM34)*N($BQ34)+N('_CONFIG_Model_Settings'!$B$106)),2))</f>
        <v/>
      </c>
      <c r="BT34" s="25">
        <f>IF($A34="","",MAX(1,N($AB34)))</f>
        <v/>
      </c>
      <c r="BU34" s="25">
        <f>IF(OR($BS34="",$BT34=0),"",ROUND($BS34/$BT34,2))</f>
        <v/>
      </c>
      <c r="BV34" s="25">
        <f>IF(OR($BU34="",$AY34="Done",$AY34="Not applicable"),"",ROUND($BU34*N($AS34),2))</f>
        <v/>
      </c>
      <c r="BW34" s="25">
        <f>IF($BV34="","",_xlfn.RANK.EQ($BV34,$BV$5:$BV$76,0)+COUNTIF($BV$5:$BV34,$BV34)-1)</f>
        <v/>
      </c>
      <c r="BX34" s="25">
        <f>IF($BW34="","",IF($BW34&lt;=cfg_TimelineBucket1,"0-90 days",IF($BW34&lt;=cfg_TimelineBucket2,"3-6 months",IF($BW34&lt;=cfg_TimelineBucket3,"6-12 months","12+ months"))))</f>
        <v/>
      </c>
      <c r="BY34" s="25">
        <f>IF($A34="","","P2: "&amp;$BI34&amp;" posture; objective="&amp;'_CONFIG_Model_Settings'!$B$104&amp;"; financial score="&amp;ROUND(N($BR34),1)&amp;"; CoD="&amp;$BS34)</f>
        <v/>
      </c>
    </row>
    <row r="35" ht="42" customHeight="1" s="209">
      <c r="A35" s="25" t="inlineStr">
        <is>
          <t>INI-031</t>
        </is>
      </c>
      <c r="B35" s="25" t="inlineStr">
        <is>
          <t>Delivery Ops</t>
        </is>
      </c>
      <c r="C35" s="25" t="inlineStr">
        <is>
          <t>Operational visibility</t>
        </is>
      </c>
      <c r="D35" s="25" t="inlineStr">
        <is>
          <t>Operational Excellence and Automation Strategy</t>
        </is>
      </c>
      <c r="E35" s="25" t="inlineStr">
        <is>
          <t>STR-07</t>
        </is>
      </c>
      <c r="F35" s="25" t="inlineStr">
        <is>
          <t>Implement operational visibility dashboards and early warning</t>
        </is>
      </c>
      <c r="G35" s="25" t="inlineStr">
        <is>
          <t>Close maturity gaps in operational visibility by assigning ownership, documenting the process, connecting it to evidence and systems, testing it against crisis scenarios and measuring improvement.</t>
        </is>
      </c>
      <c r="H35" s="25" t="inlineStr">
        <is>
          <t>Delivery, service continuity and operational execution</t>
        </is>
      </c>
      <c r="I35" s="25" t="inlineStr">
        <is>
          <t>War / security crisis; Supplier / logistics disruption; Demand shock; Physical site loss</t>
        </is>
      </c>
      <c r="J35" s="25" t="inlineStr">
        <is>
          <t>DELI-019; DELI-020; DELI-021; DELI-022; DELI-023; DELI-024</t>
        </is>
      </c>
      <c r="K35" s="25" t="n">
        <v>6</v>
      </c>
      <c r="L35" s="25">
        <f>COUNTIFS('_ENGINE_Risk'!$C$500:$C$923,$B35,'_ENGINE_Risk'!$D$500:$D$923,$C35,'_ENGINE_Risk'!$B$500:$B$923,"Yes")</f>
        <v/>
      </c>
      <c r="M35" s="25">
        <f>COUNTIFS('_ENGINE_Risk'!$C$500:$C$923,$B35,'_ENGINE_Risk'!$D$500:$D$923,$C35,'_ENGINE_Risk'!$B$500:$B$923,"Yes")</f>
        <v/>
      </c>
      <c r="N35" s="25">
        <f>IFERROR(AVERAGEIFS(_DATA_Assessment_Model!$H$5:$H$428,_DATA_Assessment_Model!$AW$5:$AW$428,$B35,_DATA_Assessment_Model!$B$5:$B$428,$C35),"")</f>
        <v/>
      </c>
      <c r="O35" s="25">
        <f>IF($N35="","",MAX(0,5-$N35))</f>
        <v/>
      </c>
      <c r="P35" s="25">
        <f>IFERROR(INDEX(_DATA_Dashboard_Facts!$H$5:$H$21,MATCH($B35,_DATA_Dashboard_Facts!$A$5:$A$21,0)),"")</f>
        <v/>
      </c>
      <c r="Q35" s="25">
        <f>IF($P35="","",MAX(0,5-$P35))</f>
        <v/>
      </c>
      <c r="R35" s="25">
        <f>IFERROR(SUMIFS(_ENGINE_Crisis!$D$5:$D$208,_ENGINE_Crisis!$A$5:$A$208,'Resilience &amp; Risk Scenario'!$B$6,_ENGINE_Crisis!$B$5:$B$208,$B35),1)</f>
        <v/>
      </c>
      <c r="S35" s="25">
        <f>IFERROR(INDEX('_ENGINE_Strategy'!$A$100:$A$113,MATCH($D35,'_ENGINE_Strategy'!$B$100:$B$113,0)),99)</f>
        <v/>
      </c>
      <c r="T35" s="25">
        <f>IFERROR(INDEX('_ENGINE_Strategy'!$J$100:$J$113,MATCH($D35,'_ENGINE_Strategy'!$B$100:$B$113,0)),0)</f>
        <v/>
      </c>
      <c r="U35" s="25" t="n">
        <v>4</v>
      </c>
      <c r="V35" s="25" t="n">
        <v>4</v>
      </c>
      <c r="W35" s="25" t="n">
        <v>5</v>
      </c>
      <c r="X35" s="25">
        <f>MAX(1,MIN(5,(N($O35)*0.50)+(N($Q35)*0.25)+((N($T35)/20)*0.25)))</f>
        <v/>
      </c>
      <c r="Y35" s="25">
        <f>MAX(1,MIN(5,(($R35-1)*1.6)+('Resilience &amp; Risk Scenario'!$B$7*0.45)+IF($S35&lt;=3,0.8,0)))</f>
        <v/>
      </c>
      <c r="Z35" s="25">
        <f>MAX(1,MIN(5,(N($O35)*0.45)+(MIN(5,5*N($M35)/MAX(1,N($K35)))*0.35)+(N($V35)*0.20)))</f>
        <v/>
      </c>
      <c r="AA35" s="25">
        <f>MAX(1,MIN(5,($U35*0.40)+($W35*0.30)+(($T35/20)*0.30)))</f>
        <v/>
      </c>
      <c r="AB35" s="25" t="n">
        <v>3</v>
      </c>
      <c r="AC35" s="25">
        <f>IF($AB35=0,"",ROUND((N($X35)+N($Y35)+N($Z35)+N($AA35))/$AB35,2))</f>
        <v/>
      </c>
      <c r="AD35" s="25">
        <f>IF($AC35="","",_xlfn.RANK.EQ($AC35,$AC$5:$AC$76,0)+COUNTIF($AC$5:$AC35,$AC35)-1)</f>
        <v/>
      </c>
      <c r="AE35" s="25">
        <f>IF($AD35="","",IF($AD35&lt;=cfg_TimelineBucket1,"0-90 days",IF($AD35&lt;=cfg_TimelineBucket2,"3-6 months",IF($AD35&lt;=cfg_TimelineBucket3,"6-12 months","12+ months"))))</f>
        <v/>
      </c>
      <c r="AF35" s="25" t="inlineStr">
        <is>
          <t>COO / Delivery Director</t>
        </is>
      </c>
      <c r="AG35" s="25" t="inlineStr">
        <is>
          <t>2-3 months</t>
        </is>
      </c>
      <c r="AH35" s="25" t="inlineStr">
        <is>
          <t>Executive sponsor; accountable process owner; baseline evidence; risk acceptance threshold; supplier/process map; operational data</t>
        </is>
      </c>
      <c r="AI35" s="25" t="inlineStr">
        <is>
          <t>maturity score improvement; open risk reduction; evidence completeness; control test pass rate</t>
        </is>
      </c>
      <c r="AJ35" s="25" t="inlineStr">
        <is>
          <t>Documented operational visibility operating model, owner/RACI, KPI set, evidence pack, tested crisis playbook and improvement backlog.</t>
        </is>
      </c>
      <c r="AK35" s="25" t="inlineStr">
        <is>
          <t>Counts active next-level recommendations for Delivery Ops / Operational visibility.</t>
        </is>
      </c>
      <c r="AL35" s="25" t="inlineStr">
        <is>
          <t>Counts active risks and risk scores for Delivery Ops / Operational visibility.</t>
        </is>
      </c>
      <c r="AM35" s="25" t="inlineStr">
        <is>
          <t>Uses the current rank and total score of Operational Excellence and Automation Strategy.</t>
        </is>
      </c>
      <c r="AN35" s="25" t="inlineStr">
        <is>
          <t>Trigger when avg score &lt; 4, active risk exists, active recommendation exists or strategy rank &lt;= 3.</t>
        </is>
      </c>
      <c r="AO35" s="25" t="inlineStr">
        <is>
          <t>Not started</t>
        </is>
      </c>
      <c r="AP35" s="25" t="inlineStr">
        <is>
          <t>Medium</t>
        </is>
      </c>
      <c r="AQ35" s="25" t="n"/>
      <c r="AR35" s="25" t="n"/>
      <c r="AS35" s="247">
        <f>IFERROR(IF(SUMIFS(_REF_Model_Content!$J$1:$J$157,_REF_Model_Content!$A$1:$A$157,'Company Profile'!$B$9,_REF_Model_Content!$B$1:$B$157,$B35)=0,1,SUMIFS(_REF_Model_Content!$J$1:$J$157,_REF_Model_Content!$A$1:$A$157,'Company Profile'!$B$9,_REF_Model_Content!$B$1:$B$157,$B35)),1)</f>
        <v/>
      </c>
      <c r="AT35" s="247">
        <f>IF(OR($AY35="Done",$AY35="Not applicable"),"",IF($AC35="","",ROUND(N($AC35)*N($AS35),2)))</f>
        <v/>
      </c>
      <c r="AU35" s="247">
        <f>IF($AT35="","",_xlfn.RANK.EQ($AT35,$AT$5:$AT$76,0)+COUNTIF($AT$5:AT35,$AT35)-1)</f>
        <v/>
      </c>
      <c r="AV35" s="247">
        <f>IFERROR(INDEX('_DATA_Dashboard_Facts'!$G$300:$G$316,MATCH($B35,'_DATA_Dashboard_Facts'!$A$300:$A$316,0)),"")</f>
        <v/>
      </c>
      <c r="AW35" s="247">
        <f>IF($AS35&gt;cfg_IndPriorityHigh,"Industry template increases priority",IF($AS35&lt;cfg_IndPriorityLow,"Industry template lowers priority","Industry-neutral priority"))</f>
        <v/>
      </c>
      <c r="AX35">
        <f>IFERROR(INDEX('Action Plan &amp; Roadmap'!$D$59:$D$130,MATCH($A35,'Action Plan &amp; Roadmap'!$A$59:$A$130,0)),"")</f>
      </c>
      <c r="AY35">
        <f>IF($AX35&lt;&gt;"",$AX35,IF($AO35="","Not started",$AO35))</f>
        <v/>
      </c>
      <c r="AZ35" t="inlineStr">
        <is>
          <t>Annual non-interest expense as a percentage of operating expense</t>
        </is>
      </c>
      <c r="BA35">
        <f>IF($A35="","",COUNTIF('_DATA_Mappings'!$A:$A,$A35))</f>
        <v/>
      </c>
      <c r="BB35">
        <f>IF($A35="","",IFERROR(AVERAGEIF('_DATA_Mappings'!$A:$A,$A35,'_DATA_Mappings'!$G:$G),0))</f>
        <v/>
      </c>
      <c r="BC35">
        <f>IF($A35="","",MAX(0,MIN(5,(N($O35)*0.50)+(N($V35)*0.30)+(N($W35)*0.20))))</f>
        <v/>
      </c>
      <c r="BD35">
        <f>IF($A35="","",MAX(1,MIN(5,($Z35*0.45)+(MIN(5,$BB35/5)*0.35)+($BC35*0.20))))</f>
        <v/>
      </c>
      <c r="BE35">
        <f>IF($AB35=0,"",ROUND((N($X35)+N($Y35)+N($BD35)+N($AA35))/$AB35,2))</f>
        <v/>
      </c>
      <c r="BF35">
        <f>IF(OR($BE35="",$AY35="Done",$AY35="Not applicable"),"",ROUND($BE35*N($AS35),2))</f>
        <v/>
      </c>
      <c r="BG35">
        <f>IF($BF35="","",_xlfn.RANK.EQ($BF35,$BF$5:$BF$76,0)+COUNTIF($BF$5:$BF35,$BF35)-1)</f>
        <v/>
      </c>
      <c r="BH35">
        <f>IF($A35="","",IF($BB35&gt;20,"High P1 risk pressure",IF($BB35&gt;12,"Moderate P1 risk pressure","Lower P1 risk pressure")))</f>
        <v/>
      </c>
      <c r="BI35" s="25">
        <f>'_CONFIG_Model_Settings'!$B$103</f>
        <v/>
      </c>
      <c r="BJ35" s="25">
        <f>IFERROR(INDEX('_CONFIG_Model_Settings'!$B$109:$B$113,MATCH($BI35,'_CONFIG_Model_Settings'!$A$109:$A$113,0)),0.30)</f>
        <v/>
      </c>
      <c r="BK35" s="25">
        <f>IFERROR(INDEX('_CONFIG_Model_Settings'!$C$109:$C$113,MATCH($BI35,'_CONFIG_Model_Settings'!$A$109:$A$113,0)),0.20)</f>
        <v/>
      </c>
      <c r="BL35" s="25">
        <f>IFERROR(INDEX('_CONFIG_Model_Settings'!$D$109:$D$113,MATCH($BI35,'_CONFIG_Model_Settings'!$A$109:$A$113,0)),0.25)</f>
        <v/>
      </c>
      <c r="BM35" s="25">
        <f>IFERROR(INDEX('_CONFIG_Model_Settings'!$E$109:$E$113,MATCH($BI35,'_CONFIG_Model_Settings'!$A$109:$A$113,0)),0.25)</f>
        <v/>
      </c>
      <c r="BN35" s="25">
        <f>IFERROR(INDEX('_CONFIG_Model_Settings'!$B$117:$B$123,MATCH('_CONFIG_Model_Settings'!$B$104,'_CONFIG_Model_Settings'!$A$117:$A$123,0)),1)</f>
        <v/>
      </c>
      <c r="BO35" s="25">
        <f>IFERROR(INDEX('_CONFIG_Model_Settings'!$C$117:$C$123,MATCH('_CONFIG_Model_Settings'!$B$104,'_CONFIG_Model_Settings'!$A$117:$A$123,0)),1)</f>
        <v/>
      </c>
      <c r="BP35" s="25">
        <f>IFERROR(INDEX('_CONFIG_Model_Settings'!$D$117:$D$123,MATCH('_CONFIG_Model_Settings'!$B$104,'_CONFIG_Model_Settings'!$A$117:$A$123,0)),1)</f>
        <v/>
      </c>
      <c r="BQ35" s="25">
        <f>IFERROR(INDEX('_CONFIG_Model_Settings'!$E$117:$E$123,MATCH('_CONFIG_Model_Settings'!$B$104,'_CONFIG_Model_Settings'!$A$117:$A$123,0)),1)</f>
        <v/>
      </c>
      <c r="BR35" s="25">
        <f>IF($A35="","",MIN(5,IFERROR(SUMIF('_DATA_Mappings'!$A:$A,$A35,'_DATA_Mappings'!$K:$K)/MAX(1,'_CONFIG_Model_Settings'!$B$105),0)))</f>
        <v/>
      </c>
      <c r="BS35" s="25">
        <f>IF($A35="","",ROUND((N($X35)*N($BJ35)*N($BN35)+N($Y35)*N($BK35)*N($BO35)+N($BD35)*N($BL35)*N($BP35)+N($AA35)*N($BM35)*N($BQ35)+N($BR35)*N('_CONFIG_Model_Settings'!$B$106))/(N($BJ35)*N($BN35)+N($BK35)*N($BO35)+N($BL35)*N($BP35)+N($BM35)*N($BQ35)+N('_CONFIG_Model_Settings'!$B$106)),2))</f>
        <v/>
      </c>
      <c r="BT35" s="25">
        <f>IF($A35="","",MAX(1,N($AB35)))</f>
        <v/>
      </c>
      <c r="BU35" s="25">
        <f>IF(OR($BS35="",$BT35=0),"",ROUND($BS35/$BT35,2))</f>
        <v/>
      </c>
      <c r="BV35" s="25">
        <f>IF(OR($BU35="",$AY35="Done",$AY35="Not applicable"),"",ROUND($BU35*N($AS35),2))</f>
        <v/>
      </c>
      <c r="BW35" s="25">
        <f>IF($BV35="","",_xlfn.RANK.EQ($BV35,$BV$5:$BV$76,0)+COUNTIF($BV$5:$BV35,$BV35)-1)</f>
        <v/>
      </c>
      <c r="BX35" s="25">
        <f>IF($BW35="","",IF($BW35&lt;=cfg_TimelineBucket1,"0-90 days",IF($BW35&lt;=cfg_TimelineBucket2,"3-6 months",IF($BW35&lt;=cfg_TimelineBucket3,"6-12 months","12+ months"))))</f>
        <v/>
      </c>
      <c r="BY35" s="25">
        <f>IF($A35="","","P2: "&amp;$BI35&amp;" posture; objective="&amp;'_CONFIG_Model_Settings'!$B$104&amp;"; financial score="&amp;ROUND(N($BR35),1)&amp;"; CoD="&amp;$BS35)</f>
        <v/>
      </c>
    </row>
    <row r="36" ht="42" customHeight="1" s="209">
      <c r="A36" s="25" t="inlineStr">
        <is>
          <t>INI-032</t>
        </is>
      </c>
      <c r="B36" s="25" t="inlineStr">
        <is>
          <t>Supply Chain</t>
        </is>
      </c>
      <c r="C36" s="25" t="inlineStr">
        <is>
          <t>Supply chain design</t>
        </is>
      </c>
      <c r="D36" s="25" t="inlineStr">
        <is>
          <t>Supply Chain and Delivery Resilience Strategy</t>
        </is>
      </c>
      <c r="E36" s="25" t="inlineStr">
        <is>
          <t>STR-08</t>
        </is>
      </c>
      <c r="F36" s="25" t="inlineStr">
        <is>
          <t>Redesign supply chain for resilience and alternative sourcing</t>
        </is>
      </c>
      <c r="G36" s="25" t="inlineStr">
        <is>
          <t>Close maturity gaps in supply chain design by assigning ownership, documenting the process, connecting it to evidence and systems, testing it against crisis scenarios and measuring improvement.</t>
        </is>
      </c>
      <c r="H36" s="25" t="inlineStr">
        <is>
          <t>Supply chain, logistics and supplier continuity</t>
        </is>
      </c>
      <c r="I36" s="25" t="inlineStr">
        <is>
          <t>Supplier / logistics disruption; Energy / utilities outage; War / security crisis</t>
        </is>
      </c>
      <c r="J36" s="25" t="inlineStr">
        <is>
          <t>SUPP-001; SUPP-002; SUPP-003; SUPP-004; SUPP-005; SUPP-006</t>
        </is>
      </c>
      <c r="K36" s="25" t="n">
        <v>6</v>
      </c>
      <c r="L36" s="25">
        <f>COUNTIFS('_ENGINE_Risk'!$C$500:$C$923,$B36,'_ENGINE_Risk'!$D$500:$D$923,$C36,'_ENGINE_Risk'!$B$500:$B$923,"Yes")</f>
        <v/>
      </c>
      <c r="M36" s="25">
        <f>COUNTIFS('_ENGINE_Risk'!$C$500:$C$923,$B36,'_ENGINE_Risk'!$D$500:$D$923,$C36,'_ENGINE_Risk'!$B$500:$B$923,"Yes")</f>
        <v/>
      </c>
      <c r="N36" s="25">
        <f>IFERROR(AVERAGEIFS(_DATA_Assessment_Model!$H$5:$H$428,_DATA_Assessment_Model!$AW$5:$AW$428,$B36,_DATA_Assessment_Model!$B$5:$B$428,$C36),"")</f>
        <v/>
      </c>
      <c r="O36" s="25">
        <f>IF($N36="","",MAX(0,5-$N36))</f>
        <v/>
      </c>
      <c r="P36" s="25">
        <f>IFERROR(INDEX(_DATA_Dashboard_Facts!$H$5:$H$21,MATCH($B36,_DATA_Dashboard_Facts!$A$5:$A$21,0)),"")</f>
        <v/>
      </c>
      <c r="Q36" s="25">
        <f>IF($P36="","",MAX(0,5-$P36))</f>
        <v/>
      </c>
      <c r="R36" s="25">
        <f>IFERROR(SUMIFS(_ENGINE_Crisis!$D$5:$D$208,_ENGINE_Crisis!$A$5:$A$208,'Resilience &amp; Risk Scenario'!$B$6,_ENGINE_Crisis!$B$5:$B$208,$B36),1)</f>
        <v/>
      </c>
      <c r="S36" s="25">
        <f>IFERROR(INDEX('_ENGINE_Strategy'!$A$100:$A$113,MATCH($D36,'_ENGINE_Strategy'!$B$100:$B$113,0)),99)</f>
        <v/>
      </c>
      <c r="T36" s="25">
        <f>IFERROR(INDEX('_ENGINE_Strategy'!$J$100:$J$113,MATCH($D36,'_ENGINE_Strategy'!$B$100:$B$113,0)),0)</f>
        <v/>
      </c>
      <c r="U36" s="25" t="n">
        <v>3</v>
      </c>
      <c r="V36" s="25" t="n">
        <v>5</v>
      </c>
      <c r="W36" s="25" t="n">
        <v>4</v>
      </c>
      <c r="X36" s="25">
        <f>MAX(1,MIN(5,(N($O36)*0.50)+(N($Q36)*0.25)+((N($T36)/20)*0.25)))</f>
        <v/>
      </c>
      <c r="Y36" s="25">
        <f>MAX(1,MIN(5,(($R36-1)*1.6)+('Resilience &amp; Risk Scenario'!$B$7*0.45)+IF($S36&lt;=3,0.8,0)))</f>
        <v/>
      </c>
      <c r="Z36" s="25">
        <f>MAX(1,MIN(5,(N($O36)*0.45)+(MIN(5,5*N($M36)/MAX(1,N($K36)))*0.35)+(N($V36)*0.20)))</f>
        <v/>
      </c>
      <c r="AA36" s="25">
        <f>MAX(1,MIN(5,($U36*0.40)+($W36*0.30)+(($T36/20)*0.30)))</f>
        <v/>
      </c>
      <c r="AB36" s="25" t="n">
        <v>3</v>
      </c>
      <c r="AC36" s="25">
        <f>IF($AB36=0,"",ROUND((N($X36)+N($Y36)+N($Z36)+N($AA36))/$AB36,2))</f>
        <v/>
      </c>
      <c r="AD36" s="25">
        <f>IF($AC36="","",_xlfn.RANK.EQ($AC36,$AC$5:$AC$76,0)+COUNTIF($AC$5:$AC36,$AC36)-1)</f>
        <v/>
      </c>
      <c r="AE36" s="25">
        <f>IF($AD36="","",IF($AD36&lt;=cfg_TimelineBucket1,"0-90 days",IF($AD36&lt;=cfg_TimelineBucket2,"3-6 months",IF($AD36&lt;=cfg_TimelineBucket3,"6-12 months","12+ months"))))</f>
        <v/>
      </c>
      <c r="AF36" s="25" t="inlineStr">
        <is>
          <t>COO / Supply Chain Lead</t>
        </is>
      </c>
      <c r="AG36" s="25" t="inlineStr">
        <is>
          <t>2-3 months</t>
        </is>
      </c>
      <c r="AH36" s="25" t="inlineStr">
        <is>
          <t>Executive sponsor; accountable process owner; baseline evidence; risk acceptance threshold; supplier/process map; operational data</t>
        </is>
      </c>
      <c r="AI36" s="25" t="inlineStr">
        <is>
          <t>maturity score improvement; open risk reduction; evidence completeness; control test pass rate; supplier diversification; on-time delivery; inventory visibility</t>
        </is>
      </c>
      <c r="AJ36" s="25" t="inlineStr">
        <is>
          <t>Documented supply chain design operating model, owner/RACI, KPI set, evidence pack, tested crisis playbook and improvement backlog.</t>
        </is>
      </c>
      <c r="AK36" s="25" t="inlineStr">
        <is>
          <t>Counts active next-level recommendations for Supply Chain / Supply chain design.</t>
        </is>
      </c>
      <c r="AL36" s="25" t="inlineStr">
        <is>
          <t>Counts active risks and risk scores for Supply Chain / Supply chain design.</t>
        </is>
      </c>
      <c r="AM36" s="25" t="inlineStr">
        <is>
          <t>Uses the current rank and total score of Supply Chain and Delivery Resilience Strategy.</t>
        </is>
      </c>
      <c r="AN36" s="25" t="inlineStr">
        <is>
          <t>Trigger when avg score &lt; 4, active risk exists, active recommendation exists or strategy rank &lt;= 3.</t>
        </is>
      </c>
      <c r="AO36" s="25" t="inlineStr">
        <is>
          <t>Not started</t>
        </is>
      </c>
      <c r="AP36" s="25" t="inlineStr">
        <is>
          <t>Medium</t>
        </is>
      </c>
      <c r="AQ36" s="25" t="n"/>
      <c r="AR36" s="25" t="n"/>
      <c r="AS36" s="247">
        <f>IFERROR(IF(SUMIFS(_REF_Model_Content!$J$1:$J$157,_REF_Model_Content!$A$1:$A$157,'Company Profile'!$B$9,_REF_Model_Content!$B$1:$B$157,$B36)=0,1,SUMIFS(_REF_Model_Content!$J$1:$J$157,_REF_Model_Content!$A$1:$A$157,'Company Profile'!$B$9,_REF_Model_Content!$B$1:$B$157,$B36)),1)</f>
        <v/>
      </c>
      <c r="AT36" s="247">
        <f>IF(OR($AY36="Done",$AY36="Not applicable"),"",IF($AC36="","",ROUND(N($AC36)*N($AS36),2)))</f>
        <v/>
      </c>
      <c r="AU36" s="247">
        <f>IF($AT36="","",_xlfn.RANK.EQ($AT36,$AT$5:$AT$76,0)+COUNTIF($AT$5:AT36,$AT36)-1)</f>
        <v/>
      </c>
      <c r="AV36" s="247">
        <f>IFERROR(INDEX('_DATA_Dashboard_Facts'!$G$300:$G$316,MATCH($B36,'_DATA_Dashboard_Facts'!$A$300:$A$316,0)),"")</f>
        <v/>
      </c>
      <c r="AW36" s="247">
        <f>IF($AS36&gt;cfg_IndPriorityHigh,"Industry template increases priority",IF($AS36&lt;cfg_IndPriorityLow,"Industry template lowers priority","Industry-neutral priority"))</f>
        <v/>
      </c>
      <c r="AX36">
        <f>IFERROR(INDEX('Action Plan &amp; Roadmap'!$D$59:$D$130,MATCH($A36,'Action Plan &amp; Roadmap'!$A$59:$A$130,0)),"")</f>
      </c>
      <c r="AY36">
        <f>IF($AX36&lt;&gt;"",$AX36,IF($AO36="","Not started",$AO36))</f>
        <v/>
      </c>
      <c r="AZ36" t="inlineStr">
        <is>
          <t>Percentage of supply chain FTEs added/hired in the past 12 months attributed to AI; Percentage change in finished goods inventory turns in the past 12 months</t>
        </is>
      </c>
      <c r="BA36">
        <f>IF($A36="","",COUNTIF('_DATA_Mappings'!$A:$A,$A36))</f>
        <v/>
      </c>
      <c r="BB36">
        <f>IF($A36="","",IFERROR(AVERAGEIF('_DATA_Mappings'!$A:$A,$A36,'_DATA_Mappings'!$G:$G),0))</f>
        <v/>
      </c>
      <c r="BC36">
        <f>IF($A36="","",MAX(0,MIN(5,(N($O36)*0.50)+(N($V36)*0.30)+(N($W36)*0.20))))</f>
        <v/>
      </c>
      <c r="BD36">
        <f>IF($A36="","",MAX(1,MIN(5,($Z36*0.45)+(MIN(5,$BB36/5)*0.35)+($BC36*0.20))))</f>
        <v/>
      </c>
      <c r="BE36">
        <f>IF($AB36=0,"",ROUND((N($X36)+N($Y36)+N($BD36)+N($AA36))/$AB36,2))</f>
        <v/>
      </c>
      <c r="BF36">
        <f>IF(OR($BE36="",$AY36="Done",$AY36="Not applicable"),"",ROUND($BE36*N($AS36),2))</f>
        <v/>
      </c>
      <c r="BG36">
        <f>IF($BF36="","",_xlfn.RANK.EQ($BF36,$BF$5:$BF$76,0)+COUNTIF($BF$5:$BF36,$BF36)-1)</f>
        <v/>
      </c>
      <c r="BH36">
        <f>IF($A36="","",IF($BB36&gt;20,"High P1 risk pressure",IF($BB36&gt;12,"Moderate P1 risk pressure","Lower P1 risk pressure")))</f>
        <v/>
      </c>
      <c r="BI36" s="25">
        <f>'_CONFIG_Model_Settings'!$B$103</f>
        <v/>
      </c>
      <c r="BJ36" s="25">
        <f>IFERROR(INDEX('_CONFIG_Model_Settings'!$B$109:$B$113,MATCH($BI36,'_CONFIG_Model_Settings'!$A$109:$A$113,0)),0.30)</f>
        <v/>
      </c>
      <c r="BK36" s="25">
        <f>IFERROR(INDEX('_CONFIG_Model_Settings'!$C$109:$C$113,MATCH($BI36,'_CONFIG_Model_Settings'!$A$109:$A$113,0)),0.20)</f>
        <v/>
      </c>
      <c r="BL36" s="25">
        <f>IFERROR(INDEX('_CONFIG_Model_Settings'!$D$109:$D$113,MATCH($BI36,'_CONFIG_Model_Settings'!$A$109:$A$113,0)),0.25)</f>
        <v/>
      </c>
      <c r="BM36" s="25">
        <f>IFERROR(INDEX('_CONFIG_Model_Settings'!$E$109:$E$113,MATCH($BI36,'_CONFIG_Model_Settings'!$A$109:$A$113,0)),0.25)</f>
        <v/>
      </c>
      <c r="BN36" s="25">
        <f>IFERROR(INDEX('_CONFIG_Model_Settings'!$B$117:$B$123,MATCH('_CONFIG_Model_Settings'!$B$104,'_CONFIG_Model_Settings'!$A$117:$A$123,0)),1)</f>
        <v/>
      </c>
      <c r="BO36" s="25">
        <f>IFERROR(INDEX('_CONFIG_Model_Settings'!$C$117:$C$123,MATCH('_CONFIG_Model_Settings'!$B$104,'_CONFIG_Model_Settings'!$A$117:$A$123,0)),1)</f>
        <v/>
      </c>
      <c r="BP36" s="25">
        <f>IFERROR(INDEX('_CONFIG_Model_Settings'!$D$117:$D$123,MATCH('_CONFIG_Model_Settings'!$B$104,'_CONFIG_Model_Settings'!$A$117:$A$123,0)),1)</f>
        <v/>
      </c>
      <c r="BQ36" s="25">
        <f>IFERROR(INDEX('_CONFIG_Model_Settings'!$E$117:$E$123,MATCH('_CONFIG_Model_Settings'!$B$104,'_CONFIG_Model_Settings'!$A$117:$A$123,0)),1)</f>
        <v/>
      </c>
      <c r="BR36" s="25">
        <f>IF($A36="","",MIN(5,IFERROR(SUMIF('_DATA_Mappings'!$A:$A,$A36,'_DATA_Mappings'!$K:$K)/MAX(1,'_CONFIG_Model_Settings'!$B$105),0)))</f>
        <v/>
      </c>
      <c r="BS36" s="25">
        <f>IF($A36="","",ROUND((N($X36)*N($BJ36)*N($BN36)+N($Y36)*N($BK36)*N($BO36)+N($BD36)*N($BL36)*N($BP36)+N($AA36)*N($BM36)*N($BQ36)+N($BR36)*N('_CONFIG_Model_Settings'!$B$106))/(N($BJ36)*N($BN36)+N($BK36)*N($BO36)+N($BL36)*N($BP36)+N($BM36)*N($BQ36)+N('_CONFIG_Model_Settings'!$B$106)),2))</f>
        <v/>
      </c>
      <c r="BT36" s="25">
        <f>IF($A36="","",MAX(1,N($AB36)))</f>
        <v/>
      </c>
      <c r="BU36" s="25">
        <f>IF(OR($BS36="",$BT36=0),"",ROUND($BS36/$BT36,2))</f>
        <v/>
      </c>
      <c r="BV36" s="25">
        <f>IF(OR($BU36="",$AY36="Done",$AY36="Not applicable"),"",ROUND($BU36*N($AS36),2))</f>
        <v/>
      </c>
      <c r="BW36" s="25">
        <f>IF($BV36="","",_xlfn.RANK.EQ($BV36,$BV$5:$BV$76,0)+COUNTIF($BV$5:$BV36,$BV36)-1)</f>
        <v/>
      </c>
      <c r="BX36" s="25">
        <f>IF($BW36="","",IF($BW36&lt;=cfg_TimelineBucket1,"0-90 days",IF($BW36&lt;=cfg_TimelineBucket2,"3-6 months",IF($BW36&lt;=cfg_TimelineBucket3,"6-12 months","12+ months"))))</f>
        <v/>
      </c>
      <c r="BY36" s="25">
        <f>IF($A36="","","P2: "&amp;$BI36&amp;" posture; objective="&amp;'_CONFIG_Model_Settings'!$B$104&amp;"; financial score="&amp;ROUND(N($BR36),1)&amp;"; CoD="&amp;$BS36)</f>
        <v/>
      </c>
    </row>
    <row r="37" ht="42" customHeight="1" s="209">
      <c r="A37" s="25" t="inlineStr">
        <is>
          <t>INI-033</t>
        </is>
      </c>
      <c r="B37" s="25" t="inlineStr">
        <is>
          <t>Supply Chain</t>
        </is>
      </c>
      <c r="C37" s="25" t="inlineStr">
        <is>
          <t>Logistics</t>
        </is>
      </c>
      <c r="D37" s="25" t="inlineStr">
        <is>
          <t>Supply Chain and Delivery Resilience Strategy</t>
        </is>
      </c>
      <c r="E37" s="25" t="inlineStr">
        <is>
          <t>STR-08</t>
        </is>
      </c>
      <c r="F37" s="25" t="inlineStr">
        <is>
          <t>Build logistics continuity and transport fallback options</t>
        </is>
      </c>
      <c r="G37" s="25" t="inlineStr">
        <is>
          <t>Close maturity gaps in logistics by assigning ownership, documenting the process, connecting it to evidence and systems, testing it against crisis scenarios and measuring improvement.</t>
        </is>
      </c>
      <c r="H37" s="25" t="inlineStr">
        <is>
          <t>Supply chain, logistics and supplier continuity</t>
        </is>
      </c>
      <c r="I37" s="25" t="inlineStr">
        <is>
          <t>Supplier / logistics disruption; Energy / utilities outage; War / security crisis</t>
        </is>
      </c>
      <c r="J37" s="25" t="inlineStr">
        <is>
          <t>SUPP-007; SUPP-008; SUPP-009; SUPP-010; SUPP-011; SUPP-012</t>
        </is>
      </c>
      <c r="K37" s="25" t="n">
        <v>6</v>
      </c>
      <c r="L37" s="25">
        <f>COUNTIFS('_ENGINE_Risk'!$C$500:$C$923,$B37,'_ENGINE_Risk'!$D$500:$D$923,$C37,'_ENGINE_Risk'!$B$500:$B$923,"Yes")</f>
        <v/>
      </c>
      <c r="M37" s="25">
        <f>COUNTIFS('_ENGINE_Risk'!$C$500:$C$923,$B37,'_ENGINE_Risk'!$D$500:$D$923,$C37,'_ENGINE_Risk'!$B$500:$B$923,"Yes")</f>
        <v/>
      </c>
      <c r="N37" s="25">
        <f>IFERROR(AVERAGEIFS(_DATA_Assessment_Model!$H$5:$H$428,_DATA_Assessment_Model!$AW$5:$AW$428,$B37,_DATA_Assessment_Model!$B$5:$B$428,$C37),"")</f>
        <v/>
      </c>
      <c r="O37" s="25">
        <f>IF($N37="","",MAX(0,5-$N37))</f>
        <v/>
      </c>
      <c r="P37" s="25">
        <f>IFERROR(INDEX(_DATA_Dashboard_Facts!$H$5:$H$21,MATCH($B37,_DATA_Dashboard_Facts!$A$5:$A$21,0)),"")</f>
        <v/>
      </c>
      <c r="Q37" s="25">
        <f>IF($P37="","",MAX(0,5-$P37))</f>
        <v/>
      </c>
      <c r="R37" s="25">
        <f>IFERROR(SUMIFS(_ENGINE_Crisis!$D$5:$D$208,_ENGINE_Crisis!$A$5:$A$208,'Resilience &amp; Risk Scenario'!$B$6,_ENGINE_Crisis!$B$5:$B$208,$B37),1)</f>
        <v/>
      </c>
      <c r="S37" s="25">
        <f>IFERROR(INDEX('_ENGINE_Strategy'!$A$100:$A$113,MATCH($D37,'_ENGINE_Strategy'!$B$100:$B$113,0)),99)</f>
        <v/>
      </c>
      <c r="T37" s="25">
        <f>IFERROR(INDEX('_ENGINE_Strategy'!$J$100:$J$113,MATCH($D37,'_ENGINE_Strategy'!$B$100:$B$113,0)),0)</f>
        <v/>
      </c>
      <c r="U37" s="25" t="n">
        <v>3</v>
      </c>
      <c r="V37" s="25" t="n">
        <v>5</v>
      </c>
      <c r="W37" s="25" t="n">
        <v>4</v>
      </c>
      <c r="X37" s="25">
        <f>MAX(1,MIN(5,(N($O37)*0.50)+(N($Q37)*0.25)+((N($T37)/20)*0.25)))</f>
        <v/>
      </c>
      <c r="Y37" s="25">
        <f>MAX(1,MIN(5,(($R37-1)*1.6)+('Resilience &amp; Risk Scenario'!$B$7*0.45)+IF($S37&lt;=3,0.8,0)))</f>
        <v/>
      </c>
      <c r="Z37" s="25">
        <f>MAX(1,MIN(5,(N($O37)*0.45)+(MIN(5,5*N($M37)/MAX(1,N($K37)))*0.35)+(N($V37)*0.20)))</f>
        <v/>
      </c>
      <c r="AA37" s="25">
        <f>MAX(1,MIN(5,($U37*0.40)+($W37*0.30)+(($T37/20)*0.30)))</f>
        <v/>
      </c>
      <c r="AB37" s="25" t="n">
        <v>3</v>
      </c>
      <c r="AC37" s="25">
        <f>IF($AB37=0,"",ROUND((N($X37)+N($Y37)+N($Z37)+N($AA37))/$AB37,2))</f>
        <v/>
      </c>
      <c r="AD37" s="25">
        <f>IF($AC37="","",_xlfn.RANK.EQ($AC37,$AC$5:$AC$76,0)+COUNTIF($AC$5:$AC37,$AC37)-1)</f>
        <v/>
      </c>
      <c r="AE37" s="25">
        <f>IF($AD37="","",IF($AD37&lt;=cfg_TimelineBucket1,"0-90 days",IF($AD37&lt;=cfg_TimelineBucket2,"3-6 months",IF($AD37&lt;=cfg_TimelineBucket3,"6-12 months","12+ months"))))</f>
        <v/>
      </c>
      <c r="AF37" s="25" t="inlineStr">
        <is>
          <t>COO / Supply Chain Lead</t>
        </is>
      </c>
      <c r="AG37" s="25" t="inlineStr">
        <is>
          <t>2-3 months</t>
        </is>
      </c>
      <c r="AH37" s="25" t="inlineStr">
        <is>
          <t>Executive sponsor; accountable process owner; baseline evidence; risk acceptance threshold; supplier/process map; operational data</t>
        </is>
      </c>
      <c r="AI37" s="25" t="inlineStr">
        <is>
          <t>maturity score improvement; open risk reduction; evidence completeness; control test pass rate; supplier diversification; on-time delivery; inventory visibility</t>
        </is>
      </c>
      <c r="AJ37" s="25" t="inlineStr">
        <is>
          <t>Documented logistics operating model, owner/RACI, KPI set, evidence pack, tested crisis playbook and improvement backlog.</t>
        </is>
      </c>
      <c r="AK37" s="25" t="inlineStr">
        <is>
          <t>Counts active next-level recommendations for Supply Chain / Logistics.</t>
        </is>
      </c>
      <c r="AL37" s="25" t="inlineStr">
        <is>
          <t>Counts active risks and risk scores for Supply Chain / Logistics.</t>
        </is>
      </c>
      <c r="AM37" s="25" t="inlineStr">
        <is>
          <t>Uses the current rank and total score of Supply Chain and Delivery Resilience Strategy.</t>
        </is>
      </c>
      <c r="AN37" s="25" t="inlineStr">
        <is>
          <t>Trigger when avg score &lt; 4, active risk exists, active recommendation exists or strategy rank &lt;= 3.</t>
        </is>
      </c>
      <c r="AO37" s="25" t="inlineStr">
        <is>
          <t>Not started</t>
        </is>
      </c>
      <c r="AP37" s="25" t="inlineStr">
        <is>
          <t>Medium</t>
        </is>
      </c>
      <c r="AQ37" s="25" t="n"/>
      <c r="AR37" s="25" t="n"/>
      <c r="AS37" s="247">
        <f>IFERROR(IF(SUMIFS(_REF_Model_Content!$J$1:$J$157,_REF_Model_Content!$A$1:$A$157,'Company Profile'!$B$9,_REF_Model_Content!$B$1:$B$157,$B37)=0,1,SUMIFS(_REF_Model_Content!$J$1:$J$157,_REF_Model_Content!$A$1:$A$157,'Company Profile'!$B$9,_REF_Model_Content!$B$1:$B$157,$B37)),1)</f>
        <v/>
      </c>
      <c r="AT37" s="247">
        <f>IF(OR($AY37="Done",$AY37="Not applicable"),"",IF($AC37="","",ROUND(N($AC37)*N($AS37),2)))</f>
        <v/>
      </c>
      <c r="AU37" s="247">
        <f>IF($AT37="","",_xlfn.RANK.EQ($AT37,$AT$5:$AT$76,0)+COUNTIF($AT$5:AT37,$AT37)-1)</f>
        <v/>
      </c>
      <c r="AV37" s="247">
        <f>IFERROR(INDEX('_DATA_Dashboard_Facts'!$G$300:$G$316,MATCH($B37,'_DATA_Dashboard_Facts'!$A$300:$A$316,0)),"")</f>
        <v/>
      </c>
      <c r="AW37" s="247">
        <f>IF($AS37&gt;cfg_IndPriorityHigh,"Industry template increases priority",IF($AS37&lt;cfg_IndPriorityLow,"Industry template lowers priority","Industry-neutral priority"))</f>
        <v/>
      </c>
      <c r="AX37">
        <f>IFERROR(INDEX('Action Plan &amp; Roadmap'!$D$59:$D$130,MATCH($A37,'Action Plan &amp; Roadmap'!$A$59:$A$130,0)),"")</f>
      </c>
      <c r="AY37">
        <f>IF($AX37&lt;&gt;"",$AX37,IF($AO37="","Not started",$AO37))</f>
        <v/>
      </c>
      <c r="AZ37" t="inlineStr">
        <is>
          <t>Percentage of supply chain FTEs added/hired in the past 12 months attributed to AI; Percentage change in finished goods inventory turns in the past 12 months</t>
        </is>
      </c>
      <c r="BA37">
        <f>IF($A37="","",COUNTIF('_DATA_Mappings'!$A:$A,$A37))</f>
        <v/>
      </c>
      <c r="BB37">
        <f>IF($A37="","",IFERROR(AVERAGEIF('_DATA_Mappings'!$A:$A,$A37,'_DATA_Mappings'!$G:$G),0))</f>
        <v/>
      </c>
      <c r="BC37">
        <f>IF($A37="","",MAX(0,MIN(5,(N($O37)*0.50)+(N($V37)*0.30)+(N($W37)*0.20))))</f>
        <v/>
      </c>
      <c r="BD37">
        <f>IF($A37="","",MAX(1,MIN(5,($Z37*0.45)+(MIN(5,$BB37/5)*0.35)+($BC37*0.20))))</f>
        <v/>
      </c>
      <c r="BE37">
        <f>IF($AB37=0,"",ROUND((N($X37)+N($Y37)+N($BD37)+N($AA37))/$AB37,2))</f>
        <v/>
      </c>
      <c r="BF37">
        <f>IF(OR($BE37="",$AY37="Done",$AY37="Not applicable"),"",ROUND($BE37*N($AS37),2))</f>
        <v/>
      </c>
      <c r="BG37">
        <f>IF($BF37="","",_xlfn.RANK.EQ($BF37,$BF$5:$BF$76,0)+COUNTIF($BF$5:$BF37,$BF37)-1)</f>
        <v/>
      </c>
      <c r="BH37">
        <f>IF($A37="","",IF($BB37&gt;20,"High P1 risk pressure",IF($BB37&gt;12,"Moderate P1 risk pressure","Lower P1 risk pressure")))</f>
        <v/>
      </c>
      <c r="BI37" s="25">
        <f>'_CONFIG_Model_Settings'!$B$103</f>
        <v/>
      </c>
      <c r="BJ37" s="25">
        <f>IFERROR(INDEX('_CONFIG_Model_Settings'!$B$109:$B$113,MATCH($BI37,'_CONFIG_Model_Settings'!$A$109:$A$113,0)),0.30)</f>
        <v/>
      </c>
      <c r="BK37" s="25">
        <f>IFERROR(INDEX('_CONFIG_Model_Settings'!$C$109:$C$113,MATCH($BI37,'_CONFIG_Model_Settings'!$A$109:$A$113,0)),0.20)</f>
        <v/>
      </c>
      <c r="BL37" s="25">
        <f>IFERROR(INDEX('_CONFIG_Model_Settings'!$D$109:$D$113,MATCH($BI37,'_CONFIG_Model_Settings'!$A$109:$A$113,0)),0.25)</f>
        <v/>
      </c>
      <c r="BM37" s="25">
        <f>IFERROR(INDEX('_CONFIG_Model_Settings'!$E$109:$E$113,MATCH($BI37,'_CONFIG_Model_Settings'!$A$109:$A$113,0)),0.25)</f>
        <v/>
      </c>
      <c r="BN37" s="25">
        <f>IFERROR(INDEX('_CONFIG_Model_Settings'!$B$117:$B$123,MATCH('_CONFIG_Model_Settings'!$B$104,'_CONFIG_Model_Settings'!$A$117:$A$123,0)),1)</f>
        <v/>
      </c>
      <c r="BO37" s="25">
        <f>IFERROR(INDEX('_CONFIG_Model_Settings'!$C$117:$C$123,MATCH('_CONFIG_Model_Settings'!$B$104,'_CONFIG_Model_Settings'!$A$117:$A$123,0)),1)</f>
        <v/>
      </c>
      <c r="BP37" s="25">
        <f>IFERROR(INDEX('_CONFIG_Model_Settings'!$D$117:$D$123,MATCH('_CONFIG_Model_Settings'!$B$104,'_CONFIG_Model_Settings'!$A$117:$A$123,0)),1)</f>
        <v/>
      </c>
      <c r="BQ37" s="25">
        <f>IFERROR(INDEX('_CONFIG_Model_Settings'!$E$117:$E$123,MATCH('_CONFIG_Model_Settings'!$B$104,'_CONFIG_Model_Settings'!$A$117:$A$123,0)),1)</f>
        <v/>
      </c>
      <c r="BR37" s="25">
        <f>IF($A37="","",MIN(5,IFERROR(SUMIF('_DATA_Mappings'!$A:$A,$A37,'_DATA_Mappings'!$K:$K)/MAX(1,'_CONFIG_Model_Settings'!$B$105),0)))</f>
        <v/>
      </c>
      <c r="BS37" s="25">
        <f>IF($A37="","",ROUND((N($X37)*N($BJ37)*N($BN37)+N($Y37)*N($BK37)*N($BO37)+N($BD37)*N($BL37)*N($BP37)+N($AA37)*N($BM37)*N($BQ37)+N($BR37)*N('_CONFIG_Model_Settings'!$B$106))/(N($BJ37)*N($BN37)+N($BK37)*N($BO37)+N($BL37)*N($BP37)+N($BM37)*N($BQ37)+N('_CONFIG_Model_Settings'!$B$106)),2))</f>
        <v/>
      </c>
      <c r="BT37" s="25">
        <f>IF($A37="","",MAX(1,N($AB37)))</f>
        <v/>
      </c>
      <c r="BU37" s="25">
        <f>IF(OR($BS37="",$BT37=0),"",ROUND($BS37/$BT37,2))</f>
        <v/>
      </c>
      <c r="BV37" s="25">
        <f>IF(OR($BU37="",$AY37="Done",$AY37="Not applicable"),"",ROUND($BU37*N($AS37),2))</f>
        <v/>
      </c>
      <c r="BW37" s="25">
        <f>IF($BV37="","",_xlfn.RANK.EQ($BV37,$BV$5:$BV$76,0)+COUNTIF($BV$5:$BV37,$BV37)-1)</f>
        <v/>
      </c>
      <c r="BX37" s="25">
        <f>IF($BW37="","",IF($BW37&lt;=cfg_TimelineBucket1,"0-90 days",IF($BW37&lt;=cfg_TimelineBucket2,"3-6 months",IF($BW37&lt;=cfg_TimelineBucket3,"6-12 months","12+ months"))))</f>
        <v/>
      </c>
      <c r="BY37" s="25">
        <f>IF($A37="","","P2: "&amp;$BI37&amp;" posture; objective="&amp;'_CONFIG_Model_Settings'!$B$104&amp;"; financial score="&amp;ROUND(N($BR37),1)&amp;"; CoD="&amp;$BS37)</f>
        <v/>
      </c>
    </row>
    <row r="38" ht="42" customHeight="1" s="209">
      <c r="A38" s="25" t="inlineStr">
        <is>
          <t>INI-034</t>
        </is>
      </c>
      <c r="B38" s="25" t="inlineStr">
        <is>
          <t>Supply Chain</t>
        </is>
      </c>
      <c r="C38" s="25" t="inlineStr">
        <is>
          <t>Inventory and planning</t>
        </is>
      </c>
      <c r="D38" s="25" t="inlineStr">
        <is>
          <t>Supply Chain and Delivery Resilience Strategy</t>
        </is>
      </c>
      <c r="E38" s="25" t="inlineStr">
        <is>
          <t>STR-08</t>
        </is>
      </c>
      <c r="F38" s="25" t="inlineStr">
        <is>
          <t>Implement inventory visibility and demand/supply planning</t>
        </is>
      </c>
      <c r="G38" s="25" t="inlineStr">
        <is>
          <t>Close maturity gaps in inventory and planning by assigning ownership, documenting the process, connecting it to evidence and systems, testing it against crisis scenarios and measuring improvement.</t>
        </is>
      </c>
      <c r="H38" s="25" t="inlineStr">
        <is>
          <t>Supply chain, logistics and supplier continuity</t>
        </is>
      </c>
      <c r="I38" s="25" t="inlineStr">
        <is>
          <t>Supplier / logistics disruption; Energy / utilities outage; War / security crisis</t>
        </is>
      </c>
      <c r="J38" s="25" t="inlineStr">
        <is>
          <t>SUPP-013; SUPP-014; SUPP-015; SUPP-016; SUPP-017; SUPP-018; SUPP-019</t>
        </is>
      </c>
      <c r="K38" s="25" t="n">
        <v>7</v>
      </c>
      <c r="L38" s="25">
        <f>COUNTIFS('_ENGINE_Risk'!$C$500:$C$923,$B38,'_ENGINE_Risk'!$D$500:$D$923,$C38,'_ENGINE_Risk'!$B$500:$B$923,"Yes")</f>
        <v/>
      </c>
      <c r="M38" s="25">
        <f>COUNTIFS('_ENGINE_Risk'!$C$500:$C$923,$B38,'_ENGINE_Risk'!$D$500:$D$923,$C38,'_ENGINE_Risk'!$B$500:$B$923,"Yes")</f>
        <v/>
      </c>
      <c r="N38" s="25">
        <f>IFERROR(AVERAGEIFS(_DATA_Assessment_Model!$H$5:$H$428,_DATA_Assessment_Model!$AW$5:$AW$428,$B38,_DATA_Assessment_Model!$B$5:$B$428,$C38),"")</f>
        <v/>
      </c>
      <c r="O38" s="25">
        <f>IF($N38="","",MAX(0,5-$N38))</f>
        <v/>
      </c>
      <c r="P38" s="25">
        <f>IFERROR(INDEX(_DATA_Dashboard_Facts!$H$5:$H$21,MATCH($B38,_DATA_Dashboard_Facts!$A$5:$A$21,0)),"")</f>
        <v/>
      </c>
      <c r="Q38" s="25">
        <f>IF($P38="","",MAX(0,5-$P38))</f>
        <v/>
      </c>
      <c r="R38" s="25">
        <f>IFERROR(SUMIFS(_ENGINE_Crisis!$D$5:$D$208,_ENGINE_Crisis!$A$5:$A$208,'Resilience &amp; Risk Scenario'!$B$6,_ENGINE_Crisis!$B$5:$B$208,$B38),1)</f>
        <v/>
      </c>
      <c r="S38" s="25">
        <f>IFERROR(INDEX('_ENGINE_Strategy'!$A$100:$A$113,MATCH($D38,'_ENGINE_Strategy'!$B$100:$B$113,0)),99)</f>
        <v/>
      </c>
      <c r="T38" s="25">
        <f>IFERROR(INDEX('_ENGINE_Strategy'!$J$100:$J$113,MATCH($D38,'_ENGINE_Strategy'!$B$100:$B$113,0)),0)</f>
        <v/>
      </c>
      <c r="U38" s="25" t="n">
        <v>3</v>
      </c>
      <c r="V38" s="25" t="n">
        <v>5</v>
      </c>
      <c r="W38" s="25" t="n">
        <v>4</v>
      </c>
      <c r="X38" s="25">
        <f>MAX(1,MIN(5,(N($O38)*0.50)+(N($Q38)*0.25)+((N($T38)/20)*0.25)))</f>
        <v/>
      </c>
      <c r="Y38" s="25">
        <f>MAX(1,MIN(5,(($R38-1)*1.6)+('Resilience &amp; Risk Scenario'!$B$7*0.45)+IF($S38&lt;=3,0.8,0)))</f>
        <v/>
      </c>
      <c r="Z38" s="25">
        <f>MAX(1,MIN(5,(N($O38)*0.45)+(MIN(5,5*N($M38)/MAX(1,N($K38)))*0.35)+(N($V38)*0.20)))</f>
        <v/>
      </c>
      <c r="AA38" s="25">
        <f>MAX(1,MIN(5,($U38*0.40)+($W38*0.30)+(($T38/20)*0.30)))</f>
        <v/>
      </c>
      <c r="AB38" s="25" t="n">
        <v>3</v>
      </c>
      <c r="AC38" s="25">
        <f>IF($AB38=0,"",ROUND((N($X38)+N($Y38)+N($Z38)+N($AA38))/$AB38,2))</f>
        <v/>
      </c>
      <c r="AD38" s="25">
        <f>IF($AC38="","",_xlfn.RANK.EQ($AC38,$AC$5:$AC$76,0)+COUNTIF($AC$5:$AC38,$AC38)-1)</f>
        <v/>
      </c>
      <c r="AE38" s="25">
        <f>IF($AD38="","",IF($AD38&lt;=cfg_TimelineBucket1,"0-90 days",IF($AD38&lt;=cfg_TimelineBucket2,"3-6 months",IF($AD38&lt;=cfg_TimelineBucket3,"6-12 months","12+ months"))))</f>
        <v/>
      </c>
      <c r="AF38" s="25" t="inlineStr">
        <is>
          <t>COO / Supply Chain Lead</t>
        </is>
      </c>
      <c r="AG38" s="25" t="inlineStr">
        <is>
          <t>2-3 months</t>
        </is>
      </c>
      <c r="AH38" s="25" t="inlineStr">
        <is>
          <t>Executive sponsor; accountable process owner; baseline evidence; risk acceptance threshold; supplier/process map; operational data</t>
        </is>
      </c>
      <c r="AI38" s="25" t="inlineStr">
        <is>
          <t>maturity score improvement; open risk reduction; evidence completeness; control test pass rate; supplier diversification; on-time delivery; inventory visibility</t>
        </is>
      </c>
      <c r="AJ38" s="25" t="inlineStr">
        <is>
          <t>Documented inventory and planning operating model, owner/RACI, KPI set, evidence pack, tested crisis playbook and improvement backlog.</t>
        </is>
      </c>
      <c r="AK38" s="25" t="inlineStr">
        <is>
          <t>Counts active next-level recommendations for Supply Chain / Inventory and planning.</t>
        </is>
      </c>
      <c r="AL38" s="25" t="inlineStr">
        <is>
          <t>Counts active risks and risk scores for Supply Chain / Inventory and planning.</t>
        </is>
      </c>
      <c r="AM38" s="25" t="inlineStr">
        <is>
          <t>Uses the current rank and total score of Supply Chain and Delivery Resilience Strategy.</t>
        </is>
      </c>
      <c r="AN38" s="25" t="inlineStr">
        <is>
          <t>Trigger when avg score &lt; 4, active risk exists, active recommendation exists or strategy rank &lt;= 3.</t>
        </is>
      </c>
      <c r="AO38" s="25" t="inlineStr">
        <is>
          <t>Not started</t>
        </is>
      </c>
      <c r="AP38" s="25" t="inlineStr">
        <is>
          <t>Medium</t>
        </is>
      </c>
      <c r="AQ38" s="25" t="n"/>
      <c r="AR38" s="25" t="n"/>
      <c r="AS38" s="247">
        <f>IFERROR(IF(SUMIFS(_REF_Model_Content!$J$1:$J$157,_REF_Model_Content!$A$1:$A$157,'Company Profile'!$B$9,_REF_Model_Content!$B$1:$B$157,$B38)=0,1,SUMIFS(_REF_Model_Content!$J$1:$J$157,_REF_Model_Content!$A$1:$A$157,'Company Profile'!$B$9,_REF_Model_Content!$B$1:$B$157,$B38)),1)</f>
        <v/>
      </c>
      <c r="AT38" s="247">
        <f>IF(OR($AY38="Done",$AY38="Not applicable"),"",IF($AC38="","",ROUND(N($AC38)*N($AS38),2)))</f>
        <v/>
      </c>
      <c r="AU38" s="247">
        <f>IF($AT38="","",_xlfn.RANK.EQ($AT38,$AT$5:$AT$76,0)+COUNTIF($AT$5:AT38,$AT38)-1)</f>
        <v/>
      </c>
      <c r="AV38" s="247">
        <f>IFERROR(INDEX('_DATA_Dashboard_Facts'!$G$300:$G$316,MATCH($B38,'_DATA_Dashboard_Facts'!$A$300:$A$316,0)),"")</f>
        <v/>
      </c>
      <c r="AW38" s="247">
        <f>IF($AS38&gt;cfg_IndPriorityHigh,"Industry template increases priority",IF($AS38&lt;cfg_IndPriorityLow,"Industry template lowers priority","Industry-neutral priority"))</f>
        <v/>
      </c>
      <c r="AX38">
        <f>IFERROR(INDEX('Action Plan &amp; Roadmap'!$D$59:$D$130,MATCH($A38,'Action Plan &amp; Roadmap'!$A$59:$A$130,0)),"")</f>
      </c>
      <c r="AY38">
        <f>IF($AX38&lt;&gt;"",$AX38,IF($AO38="","Not started",$AO38))</f>
        <v/>
      </c>
      <c r="AZ38" t="inlineStr">
        <is>
          <t>Percentage of supply chain FTEs added/hired in the past 12 months attributed to AI; Percentage change in finished goods inventory turns in the past 12 months</t>
        </is>
      </c>
      <c r="BA38">
        <f>IF($A38="","",COUNTIF('_DATA_Mappings'!$A:$A,$A38))</f>
        <v/>
      </c>
      <c r="BB38">
        <f>IF($A38="","",IFERROR(AVERAGEIF('_DATA_Mappings'!$A:$A,$A38,'_DATA_Mappings'!$G:$G),0))</f>
        <v/>
      </c>
      <c r="BC38">
        <f>IF($A38="","",MAX(0,MIN(5,(N($O38)*0.50)+(N($V38)*0.30)+(N($W38)*0.20))))</f>
        <v/>
      </c>
      <c r="BD38">
        <f>IF($A38="","",MAX(1,MIN(5,($Z38*0.45)+(MIN(5,$BB38/5)*0.35)+($BC38*0.20))))</f>
        <v/>
      </c>
      <c r="BE38">
        <f>IF($AB38=0,"",ROUND((N($X38)+N($Y38)+N($BD38)+N($AA38))/$AB38,2))</f>
        <v/>
      </c>
      <c r="BF38">
        <f>IF(OR($BE38="",$AY38="Done",$AY38="Not applicable"),"",ROUND($BE38*N($AS38),2))</f>
        <v/>
      </c>
      <c r="BG38">
        <f>IF($BF38="","",_xlfn.RANK.EQ($BF38,$BF$5:$BF$76,0)+COUNTIF($BF$5:$BF38,$BF38)-1)</f>
        <v/>
      </c>
      <c r="BH38">
        <f>IF($A38="","",IF($BB38&gt;20,"High P1 risk pressure",IF($BB38&gt;12,"Moderate P1 risk pressure","Lower P1 risk pressure")))</f>
        <v/>
      </c>
      <c r="BI38" s="25">
        <f>'_CONFIG_Model_Settings'!$B$103</f>
        <v/>
      </c>
      <c r="BJ38" s="25">
        <f>IFERROR(INDEX('_CONFIG_Model_Settings'!$B$109:$B$113,MATCH($BI38,'_CONFIG_Model_Settings'!$A$109:$A$113,0)),0.30)</f>
        <v/>
      </c>
      <c r="BK38" s="25">
        <f>IFERROR(INDEX('_CONFIG_Model_Settings'!$C$109:$C$113,MATCH($BI38,'_CONFIG_Model_Settings'!$A$109:$A$113,0)),0.20)</f>
        <v/>
      </c>
      <c r="BL38" s="25">
        <f>IFERROR(INDEX('_CONFIG_Model_Settings'!$D$109:$D$113,MATCH($BI38,'_CONFIG_Model_Settings'!$A$109:$A$113,0)),0.25)</f>
        <v/>
      </c>
      <c r="BM38" s="25">
        <f>IFERROR(INDEX('_CONFIG_Model_Settings'!$E$109:$E$113,MATCH($BI38,'_CONFIG_Model_Settings'!$A$109:$A$113,0)),0.25)</f>
        <v/>
      </c>
      <c r="BN38" s="25">
        <f>IFERROR(INDEX('_CONFIG_Model_Settings'!$B$117:$B$123,MATCH('_CONFIG_Model_Settings'!$B$104,'_CONFIG_Model_Settings'!$A$117:$A$123,0)),1)</f>
        <v/>
      </c>
      <c r="BO38" s="25">
        <f>IFERROR(INDEX('_CONFIG_Model_Settings'!$C$117:$C$123,MATCH('_CONFIG_Model_Settings'!$B$104,'_CONFIG_Model_Settings'!$A$117:$A$123,0)),1)</f>
        <v/>
      </c>
      <c r="BP38" s="25">
        <f>IFERROR(INDEX('_CONFIG_Model_Settings'!$D$117:$D$123,MATCH('_CONFIG_Model_Settings'!$B$104,'_CONFIG_Model_Settings'!$A$117:$A$123,0)),1)</f>
        <v/>
      </c>
      <c r="BQ38" s="25">
        <f>IFERROR(INDEX('_CONFIG_Model_Settings'!$E$117:$E$123,MATCH('_CONFIG_Model_Settings'!$B$104,'_CONFIG_Model_Settings'!$A$117:$A$123,0)),1)</f>
        <v/>
      </c>
      <c r="BR38" s="25">
        <f>IF($A38="","",MIN(5,IFERROR(SUMIF('_DATA_Mappings'!$A:$A,$A38,'_DATA_Mappings'!$K:$K)/MAX(1,'_CONFIG_Model_Settings'!$B$105),0)))</f>
        <v/>
      </c>
      <c r="BS38" s="25">
        <f>IF($A38="","",ROUND((N($X38)*N($BJ38)*N($BN38)+N($Y38)*N($BK38)*N($BO38)+N($BD38)*N($BL38)*N($BP38)+N($AA38)*N($BM38)*N($BQ38)+N($BR38)*N('_CONFIG_Model_Settings'!$B$106))/(N($BJ38)*N($BN38)+N($BK38)*N($BO38)+N($BL38)*N($BP38)+N($BM38)*N($BQ38)+N('_CONFIG_Model_Settings'!$B$106)),2))</f>
        <v/>
      </c>
      <c r="BT38" s="25">
        <f>IF($A38="","",MAX(1,N($AB38)))</f>
        <v/>
      </c>
      <c r="BU38" s="25">
        <f>IF(OR($BS38="",$BT38=0),"",ROUND($BS38/$BT38,2))</f>
        <v/>
      </c>
      <c r="BV38" s="25">
        <f>IF(OR($BU38="",$AY38="Done",$AY38="Not applicable"),"",ROUND($BU38*N($AS38),2))</f>
        <v/>
      </c>
      <c r="BW38" s="25">
        <f>IF($BV38="","",_xlfn.RANK.EQ($BV38,$BV$5:$BV$76,0)+COUNTIF($BV$5:$BV38,$BV38)-1)</f>
        <v/>
      </c>
      <c r="BX38" s="25">
        <f>IF($BW38="","",IF($BW38&lt;=cfg_TimelineBucket1,"0-90 days",IF($BW38&lt;=cfg_TimelineBucket2,"3-6 months",IF($BW38&lt;=cfg_TimelineBucket3,"6-12 months","12+ months"))))</f>
        <v/>
      </c>
      <c r="BY38" s="25">
        <f>IF($A38="","","P2: "&amp;$BI38&amp;" posture; objective="&amp;'_CONFIG_Model_Settings'!$B$104&amp;"; financial score="&amp;ROUND(N($BR38),1)&amp;"; CoD="&amp;$BS38)</f>
        <v/>
      </c>
    </row>
    <row r="39" ht="42" customHeight="1" s="209">
      <c r="A39" s="25" t="inlineStr">
        <is>
          <t>INI-035</t>
        </is>
      </c>
      <c r="B39" s="25" t="inlineStr">
        <is>
          <t>Supply Chain</t>
        </is>
      </c>
      <c r="C39" s="25" t="inlineStr">
        <is>
          <t>Technology and risk</t>
        </is>
      </c>
      <c r="D39" s="25" t="inlineStr">
        <is>
          <t>Supply Chain and Delivery Resilience Strategy</t>
        </is>
      </c>
      <c r="E39" s="25" t="inlineStr">
        <is>
          <t>STR-08</t>
        </is>
      </c>
      <c r="F39" s="25" t="inlineStr">
        <is>
          <t>Implement supply-chain technology, risk monitoring and supplier data</t>
        </is>
      </c>
      <c r="G39" s="25" t="inlineStr">
        <is>
          <t>Close maturity gaps in technology and risk by assigning ownership, documenting the process, connecting it to evidence and systems, testing it against crisis scenarios and measuring improvement.</t>
        </is>
      </c>
      <c r="H39" s="25" t="inlineStr">
        <is>
          <t>Supply chain, logistics and supplier continuity</t>
        </is>
      </c>
      <c r="I39" s="25" t="inlineStr">
        <is>
          <t>Supplier / logistics disruption; Energy / utilities outage; War / security crisis</t>
        </is>
      </c>
      <c r="J39" s="25" t="inlineStr">
        <is>
          <t>SUPP-020; SUPP-021; SUPP-022; SUPP-023; SUPP-024; SUPP-025</t>
        </is>
      </c>
      <c r="K39" s="25" t="n">
        <v>6</v>
      </c>
      <c r="L39" s="25">
        <f>COUNTIFS('_ENGINE_Risk'!$C$500:$C$923,$B39,'_ENGINE_Risk'!$D$500:$D$923,$C39,'_ENGINE_Risk'!$B$500:$B$923,"Yes")</f>
        <v/>
      </c>
      <c r="M39" s="25">
        <f>COUNTIFS('_ENGINE_Risk'!$C$500:$C$923,$B39,'_ENGINE_Risk'!$D$500:$D$923,$C39,'_ENGINE_Risk'!$B$500:$B$923,"Yes")</f>
        <v/>
      </c>
      <c r="N39" s="25">
        <f>IFERROR(AVERAGEIFS(_DATA_Assessment_Model!$H$5:$H$428,_DATA_Assessment_Model!$AW$5:$AW$428,$B39,_DATA_Assessment_Model!$B$5:$B$428,$C39),"")</f>
        <v/>
      </c>
      <c r="O39" s="25">
        <f>IF($N39="","",MAX(0,5-$N39))</f>
        <v/>
      </c>
      <c r="P39" s="25">
        <f>IFERROR(INDEX(_DATA_Dashboard_Facts!$H$5:$H$21,MATCH($B39,_DATA_Dashboard_Facts!$A$5:$A$21,0)),"")</f>
        <v/>
      </c>
      <c r="Q39" s="25">
        <f>IF($P39="","",MAX(0,5-$P39))</f>
        <v/>
      </c>
      <c r="R39" s="25">
        <f>IFERROR(SUMIFS(_ENGINE_Crisis!$D$5:$D$208,_ENGINE_Crisis!$A$5:$A$208,'Resilience &amp; Risk Scenario'!$B$6,_ENGINE_Crisis!$B$5:$B$208,$B39),1)</f>
        <v/>
      </c>
      <c r="S39" s="25">
        <f>IFERROR(INDEX('_ENGINE_Strategy'!$A$100:$A$113,MATCH($D39,'_ENGINE_Strategy'!$B$100:$B$113,0)),99)</f>
        <v/>
      </c>
      <c r="T39" s="25">
        <f>IFERROR(INDEX('_ENGINE_Strategy'!$J$100:$J$113,MATCH($D39,'_ENGINE_Strategy'!$B$100:$B$113,0)),0)</f>
        <v/>
      </c>
      <c r="U39" s="25" t="n">
        <v>3</v>
      </c>
      <c r="V39" s="25" t="n">
        <v>5</v>
      </c>
      <c r="W39" s="25" t="n">
        <v>4</v>
      </c>
      <c r="X39" s="25">
        <f>MAX(1,MIN(5,(N($O39)*0.50)+(N($Q39)*0.25)+((N($T39)/20)*0.25)))</f>
        <v/>
      </c>
      <c r="Y39" s="25">
        <f>MAX(1,MIN(5,(($R39-1)*1.6)+('Resilience &amp; Risk Scenario'!$B$7*0.45)+IF($S39&lt;=3,0.8,0)))</f>
        <v/>
      </c>
      <c r="Z39" s="25">
        <f>MAX(1,MIN(5,(N($O39)*0.45)+(MIN(5,5*N($M39)/MAX(1,N($K39)))*0.35)+(N($V39)*0.20)))</f>
        <v/>
      </c>
      <c r="AA39" s="25">
        <f>MAX(1,MIN(5,($U39*0.40)+($W39*0.30)+(($T39/20)*0.30)))</f>
        <v/>
      </c>
      <c r="AB39" s="25" t="n">
        <v>3</v>
      </c>
      <c r="AC39" s="25">
        <f>IF($AB39=0,"",ROUND((N($X39)+N($Y39)+N($Z39)+N($AA39))/$AB39,2))</f>
        <v/>
      </c>
      <c r="AD39" s="25">
        <f>IF($AC39="","",_xlfn.RANK.EQ($AC39,$AC$5:$AC$76,0)+COUNTIF($AC$5:$AC39,$AC39)-1)</f>
        <v/>
      </c>
      <c r="AE39" s="25">
        <f>IF($AD39="","",IF($AD39&lt;=cfg_TimelineBucket1,"0-90 days",IF($AD39&lt;=cfg_TimelineBucket2,"3-6 months",IF($AD39&lt;=cfg_TimelineBucket3,"6-12 months","12+ months"))))</f>
        <v/>
      </c>
      <c r="AF39" s="25" t="inlineStr">
        <is>
          <t>COO / Supply Chain Lead</t>
        </is>
      </c>
      <c r="AG39" s="25" t="inlineStr">
        <is>
          <t>2-3 months</t>
        </is>
      </c>
      <c r="AH39" s="25" t="inlineStr">
        <is>
          <t>Executive sponsor; accountable process owner; baseline evidence; risk acceptance threshold; supplier/process map; operational data</t>
        </is>
      </c>
      <c r="AI39" s="25" t="inlineStr">
        <is>
          <t>maturity score improvement; open risk reduction; evidence completeness; control test pass rate; supplier diversification; on-time delivery; inventory visibility</t>
        </is>
      </c>
      <c r="AJ39" s="25" t="inlineStr">
        <is>
          <t>Documented technology and risk operating model, owner/RACI, KPI set, evidence pack, tested crisis playbook and improvement backlog.</t>
        </is>
      </c>
      <c r="AK39" s="25" t="inlineStr">
        <is>
          <t>Counts active next-level recommendations for Supply Chain / Technology and risk.</t>
        </is>
      </c>
      <c r="AL39" s="25" t="inlineStr">
        <is>
          <t>Counts active risks and risk scores for Supply Chain / Technology and risk.</t>
        </is>
      </c>
      <c r="AM39" s="25" t="inlineStr">
        <is>
          <t>Uses the current rank and total score of Supply Chain and Delivery Resilience Strategy.</t>
        </is>
      </c>
      <c r="AN39" s="25" t="inlineStr">
        <is>
          <t>Trigger when avg score &lt; 4, active risk exists, active recommendation exists or strategy rank &lt;= 3.</t>
        </is>
      </c>
      <c r="AO39" s="25" t="inlineStr">
        <is>
          <t>Not started</t>
        </is>
      </c>
      <c r="AP39" s="25" t="inlineStr">
        <is>
          <t>Medium</t>
        </is>
      </c>
      <c r="AQ39" s="25" t="n"/>
      <c r="AR39" s="25" t="n"/>
      <c r="AS39" s="247">
        <f>IFERROR(IF(SUMIFS(_REF_Model_Content!$J$1:$J$157,_REF_Model_Content!$A$1:$A$157,'Company Profile'!$B$9,_REF_Model_Content!$B$1:$B$157,$B39)=0,1,SUMIFS(_REF_Model_Content!$J$1:$J$157,_REF_Model_Content!$A$1:$A$157,'Company Profile'!$B$9,_REF_Model_Content!$B$1:$B$157,$B39)),1)</f>
        <v/>
      </c>
      <c r="AT39" s="247">
        <f>IF(OR($AY39="Done",$AY39="Not applicable"),"",IF($AC39="","",ROUND(N($AC39)*N($AS39),2)))</f>
        <v/>
      </c>
      <c r="AU39" s="247">
        <f>IF($AT39="","",_xlfn.RANK.EQ($AT39,$AT$5:$AT$76,0)+COUNTIF($AT$5:AT39,$AT39)-1)</f>
        <v/>
      </c>
      <c r="AV39" s="247">
        <f>IFERROR(INDEX('_DATA_Dashboard_Facts'!$G$300:$G$316,MATCH($B39,'_DATA_Dashboard_Facts'!$A$300:$A$316,0)),"")</f>
        <v/>
      </c>
      <c r="AW39" s="247">
        <f>IF($AS39&gt;cfg_IndPriorityHigh,"Industry template increases priority",IF($AS39&lt;cfg_IndPriorityLow,"Industry template lowers priority","Industry-neutral priority"))</f>
        <v/>
      </c>
      <c r="AX39">
        <f>IFERROR(INDEX('Action Plan &amp; Roadmap'!$D$59:$D$130,MATCH($A39,'Action Plan &amp; Roadmap'!$A$59:$A$130,0)),"")</f>
      </c>
      <c r="AY39">
        <f>IF($AX39&lt;&gt;"",$AX39,IF($AO39="","Not started",$AO39))</f>
        <v/>
      </c>
      <c r="AZ39" t="inlineStr">
        <is>
          <t>Percentage of supply chain FTEs added/hired in the past 12 months attributed to AI; Percentage change in finished goods inventory turns in the past 12 months</t>
        </is>
      </c>
      <c r="BA39">
        <f>IF($A39="","",COUNTIF('_DATA_Mappings'!$A:$A,$A39))</f>
        <v/>
      </c>
      <c r="BB39">
        <f>IF($A39="","",IFERROR(AVERAGEIF('_DATA_Mappings'!$A:$A,$A39,'_DATA_Mappings'!$G:$G),0))</f>
        <v/>
      </c>
      <c r="BC39">
        <f>IF($A39="","",MAX(0,MIN(5,(N($O39)*0.50)+(N($V39)*0.30)+(N($W39)*0.20))))</f>
        <v/>
      </c>
      <c r="BD39">
        <f>IF($A39="","",MAX(1,MIN(5,($Z39*0.45)+(MIN(5,$BB39/5)*0.35)+($BC39*0.20))))</f>
        <v/>
      </c>
      <c r="BE39">
        <f>IF($AB39=0,"",ROUND((N($X39)+N($Y39)+N($BD39)+N($AA39))/$AB39,2))</f>
        <v/>
      </c>
      <c r="BF39">
        <f>IF(OR($BE39="",$AY39="Done",$AY39="Not applicable"),"",ROUND($BE39*N($AS39),2))</f>
        <v/>
      </c>
      <c r="BG39">
        <f>IF($BF39="","",_xlfn.RANK.EQ($BF39,$BF$5:$BF$76,0)+COUNTIF($BF$5:$BF39,$BF39)-1)</f>
        <v/>
      </c>
      <c r="BH39">
        <f>IF($A39="","",IF($BB39&gt;20,"High P1 risk pressure",IF($BB39&gt;12,"Moderate P1 risk pressure","Lower P1 risk pressure")))</f>
        <v/>
      </c>
      <c r="BI39" s="25">
        <f>'_CONFIG_Model_Settings'!$B$103</f>
        <v/>
      </c>
      <c r="BJ39" s="25">
        <f>IFERROR(INDEX('_CONFIG_Model_Settings'!$B$109:$B$113,MATCH($BI39,'_CONFIG_Model_Settings'!$A$109:$A$113,0)),0.30)</f>
        <v/>
      </c>
      <c r="BK39" s="25">
        <f>IFERROR(INDEX('_CONFIG_Model_Settings'!$C$109:$C$113,MATCH($BI39,'_CONFIG_Model_Settings'!$A$109:$A$113,0)),0.20)</f>
        <v/>
      </c>
      <c r="BL39" s="25">
        <f>IFERROR(INDEX('_CONFIG_Model_Settings'!$D$109:$D$113,MATCH($BI39,'_CONFIG_Model_Settings'!$A$109:$A$113,0)),0.25)</f>
        <v/>
      </c>
      <c r="BM39" s="25">
        <f>IFERROR(INDEX('_CONFIG_Model_Settings'!$E$109:$E$113,MATCH($BI39,'_CONFIG_Model_Settings'!$A$109:$A$113,0)),0.25)</f>
        <v/>
      </c>
      <c r="BN39" s="25">
        <f>IFERROR(INDEX('_CONFIG_Model_Settings'!$B$117:$B$123,MATCH('_CONFIG_Model_Settings'!$B$104,'_CONFIG_Model_Settings'!$A$117:$A$123,0)),1)</f>
        <v/>
      </c>
      <c r="BO39" s="25">
        <f>IFERROR(INDEX('_CONFIG_Model_Settings'!$C$117:$C$123,MATCH('_CONFIG_Model_Settings'!$B$104,'_CONFIG_Model_Settings'!$A$117:$A$123,0)),1)</f>
        <v/>
      </c>
      <c r="BP39" s="25">
        <f>IFERROR(INDEX('_CONFIG_Model_Settings'!$D$117:$D$123,MATCH('_CONFIG_Model_Settings'!$B$104,'_CONFIG_Model_Settings'!$A$117:$A$123,0)),1)</f>
        <v/>
      </c>
      <c r="BQ39" s="25">
        <f>IFERROR(INDEX('_CONFIG_Model_Settings'!$E$117:$E$123,MATCH('_CONFIG_Model_Settings'!$B$104,'_CONFIG_Model_Settings'!$A$117:$A$123,0)),1)</f>
        <v/>
      </c>
      <c r="BR39" s="25">
        <f>IF($A39="","",MIN(5,IFERROR(SUMIF('_DATA_Mappings'!$A:$A,$A39,'_DATA_Mappings'!$K:$K)/MAX(1,'_CONFIG_Model_Settings'!$B$105),0)))</f>
        <v/>
      </c>
      <c r="BS39" s="25">
        <f>IF($A39="","",ROUND((N($X39)*N($BJ39)*N($BN39)+N($Y39)*N($BK39)*N($BO39)+N($BD39)*N($BL39)*N($BP39)+N($AA39)*N($BM39)*N($BQ39)+N($BR39)*N('_CONFIG_Model_Settings'!$B$106))/(N($BJ39)*N($BN39)+N($BK39)*N($BO39)+N($BL39)*N($BP39)+N($BM39)*N($BQ39)+N('_CONFIG_Model_Settings'!$B$106)),2))</f>
        <v/>
      </c>
      <c r="BT39" s="25">
        <f>IF($A39="","",MAX(1,N($AB39)))</f>
        <v/>
      </c>
      <c r="BU39" s="25">
        <f>IF(OR($BS39="",$BT39=0),"",ROUND($BS39/$BT39,2))</f>
        <v/>
      </c>
      <c r="BV39" s="25">
        <f>IF(OR($BU39="",$AY39="Done",$AY39="Not applicable"),"",ROUND($BU39*N($AS39),2))</f>
        <v/>
      </c>
      <c r="BW39" s="25">
        <f>IF($BV39="","",_xlfn.RANK.EQ($BV39,$BV$5:$BV$76,0)+COUNTIF($BV$5:$BV39,$BV39)-1)</f>
        <v/>
      </c>
      <c r="BX39" s="25">
        <f>IF($BW39="","",IF($BW39&lt;=cfg_TimelineBucket1,"0-90 days",IF($BW39&lt;=cfg_TimelineBucket2,"3-6 months",IF($BW39&lt;=cfg_TimelineBucket3,"6-12 months","12+ months"))))</f>
        <v/>
      </c>
      <c r="BY39" s="25">
        <f>IF($A39="","","P2: "&amp;$BI39&amp;" posture; objective="&amp;'_CONFIG_Model_Settings'!$B$104&amp;"; financial score="&amp;ROUND(N($BR39),1)&amp;"; CoD="&amp;$BS39)</f>
        <v/>
      </c>
    </row>
    <row r="40" ht="42" customHeight="1" s="209">
      <c r="A40" s="25" t="inlineStr">
        <is>
          <t>INI-036</t>
        </is>
      </c>
      <c r="B40" s="25" t="inlineStr">
        <is>
          <t>Manufacturing MES</t>
        </is>
      </c>
      <c r="C40" s="25" t="inlineStr">
        <is>
          <t>Production footprint</t>
        </is>
      </c>
      <c r="D40" s="25" t="inlineStr">
        <is>
          <t>Manufacturing Continuity and MES Strategy</t>
        </is>
      </c>
      <c r="E40" s="25" t="inlineStr">
        <is>
          <t>STR-09</t>
        </is>
      </c>
      <c r="F40" s="25" t="inlineStr">
        <is>
          <t>Assess production footprint and build alternate production options</t>
        </is>
      </c>
      <c r="G40" s="25" t="inlineStr">
        <is>
          <t>Close maturity gaps in production footprint by assigning ownership, documenting the process, connecting it to evidence and systems, testing it against crisis scenarios and measuring improvement.</t>
        </is>
      </c>
      <c r="H40" s="25" t="inlineStr">
        <is>
          <t>Manufacturing, MES and production continuity</t>
        </is>
      </c>
      <c r="I40" s="25" t="inlineStr">
        <is>
          <t>Physical site loss; Energy / utilities outage; Supplier / logistics disruption; Cyberattack / ransomware</t>
        </is>
      </c>
      <c r="J40" s="25" t="inlineStr">
        <is>
          <t>MANU-001; MANU-002; MANU-003; MANU-004; MANU-005; MANU-006</t>
        </is>
      </c>
      <c r="K40" s="25" t="n">
        <v>6</v>
      </c>
      <c r="L40" s="25">
        <f>COUNTIFS('_ENGINE_Risk'!$C$500:$C$923,$B40,'_ENGINE_Risk'!$D$500:$D$923,$C40,'_ENGINE_Risk'!$B$500:$B$923,"Yes")</f>
        <v/>
      </c>
      <c r="M40" s="25">
        <f>COUNTIFS('_ENGINE_Risk'!$C$500:$C$923,$B40,'_ENGINE_Risk'!$D$500:$D$923,$C40,'_ENGINE_Risk'!$B$500:$B$923,"Yes")</f>
        <v/>
      </c>
      <c r="N40" s="25">
        <f>IFERROR(AVERAGEIFS(_DATA_Assessment_Model!$H$5:$H$428,_DATA_Assessment_Model!$AW$5:$AW$428,$B40,_DATA_Assessment_Model!$B$5:$B$428,$C40),"")</f>
        <v/>
      </c>
      <c r="O40" s="25">
        <f>IF($N40="","",MAX(0,5-$N40))</f>
        <v/>
      </c>
      <c r="P40" s="25">
        <f>IFERROR(INDEX(_DATA_Dashboard_Facts!$H$5:$H$21,MATCH($B40,_DATA_Dashboard_Facts!$A$5:$A$21,0)),"")</f>
        <v/>
      </c>
      <c r="Q40" s="25">
        <f>IF($P40="","",MAX(0,5-$P40))</f>
        <v/>
      </c>
      <c r="R40" s="25">
        <f>IFERROR(SUMIFS(_ENGINE_Crisis!$D$5:$D$208,_ENGINE_Crisis!$A$5:$A$208,'Resilience &amp; Risk Scenario'!$B$6,_ENGINE_Crisis!$B$5:$B$208,$B40),1)</f>
        <v/>
      </c>
      <c r="S40" s="25">
        <f>IFERROR(INDEX('_ENGINE_Strategy'!$A$100:$A$113,MATCH($D40,'_ENGINE_Strategy'!$B$100:$B$113,0)),99)</f>
        <v/>
      </c>
      <c r="T40" s="25">
        <f>IFERROR(INDEX('_ENGINE_Strategy'!$J$100:$J$113,MATCH($D40,'_ENGINE_Strategy'!$B$100:$B$113,0)),0)</f>
        <v/>
      </c>
      <c r="U40" s="25" t="n">
        <v>5</v>
      </c>
      <c r="V40" s="25" t="n">
        <v>5</v>
      </c>
      <c r="W40" s="25" t="n">
        <v>4</v>
      </c>
      <c r="X40" s="25">
        <f>MAX(1,MIN(5,(N($O40)*0.50)+(N($Q40)*0.25)+((N($T40)/20)*0.25)))</f>
        <v/>
      </c>
      <c r="Y40" s="25">
        <f>MAX(1,MIN(5,(($R40-1)*1.6)+('Resilience &amp; Risk Scenario'!$B$7*0.45)+IF($S40&lt;=3,0.8,0)))</f>
        <v/>
      </c>
      <c r="Z40" s="25">
        <f>MAX(1,MIN(5,(N($O40)*0.45)+(MIN(5,5*N($M40)/MAX(1,N($K40)))*0.35)+(N($V40)*0.20)))</f>
        <v/>
      </c>
      <c r="AA40" s="25">
        <f>MAX(1,MIN(5,($U40*0.40)+($W40*0.30)+(($T40/20)*0.30)))</f>
        <v/>
      </c>
      <c r="AB40" s="25" t="n">
        <v>4</v>
      </c>
      <c r="AC40" s="25">
        <f>IF($AB40=0,"",ROUND((N($X40)+N($Y40)+N($Z40)+N($AA40))/$AB40,2))</f>
        <v/>
      </c>
      <c r="AD40" s="25">
        <f>IF($AC40="","",_xlfn.RANK.EQ($AC40,$AC$5:$AC$76,0)+COUNTIF($AC$5:$AC40,$AC40)-1)</f>
        <v/>
      </c>
      <c r="AE40" s="25">
        <f>IF($AD40="","",IF($AD40&lt;=cfg_TimelineBucket1,"0-90 days",IF($AD40&lt;=cfg_TimelineBucket2,"3-6 months",IF($AD40&lt;=cfg_TimelineBucket3,"6-12 months","12+ months"))))</f>
        <v/>
      </c>
      <c r="AF40" s="25" t="inlineStr">
        <is>
          <t>COO / Plant Manager / MES Lead</t>
        </is>
      </c>
      <c r="AG40" s="25" t="inlineStr">
        <is>
          <t>3-6 months</t>
        </is>
      </c>
      <c r="AH40" s="25" t="inlineStr">
        <is>
          <t>Executive sponsor; accountable process owner; baseline evidence; risk acceptance threshold; supplier/process map; operational data</t>
        </is>
      </c>
      <c r="AI40" s="25" t="inlineStr">
        <is>
          <t>maturity score improvement; open risk reduction; evidence completeness; control test pass rate; OEE visibility; downtime reduction; OT security coverage</t>
        </is>
      </c>
      <c r="AJ40" s="25" t="inlineStr">
        <is>
          <t>Documented production footprint operating model, owner/RACI, KPI set, evidence pack, tested crisis playbook and improvement backlog.</t>
        </is>
      </c>
      <c r="AK40" s="25" t="inlineStr">
        <is>
          <t>Counts active next-level recommendations for Manufacturing MES / Production footprint.</t>
        </is>
      </c>
      <c r="AL40" s="25" t="inlineStr">
        <is>
          <t>Counts active risks and risk scores for Manufacturing MES / Production footprint.</t>
        </is>
      </c>
      <c r="AM40" s="25" t="inlineStr">
        <is>
          <t>Uses the current rank and total score of Manufacturing Continuity and MES Strategy.</t>
        </is>
      </c>
      <c r="AN40" s="25" t="inlineStr">
        <is>
          <t>Trigger when avg score &lt; 4, active risk exists, active recommendation exists or strategy rank &lt;= 3.</t>
        </is>
      </c>
      <c r="AO40" s="25" t="inlineStr">
        <is>
          <t>Not started</t>
        </is>
      </c>
      <c r="AP40" s="25" t="inlineStr">
        <is>
          <t>Medium-High</t>
        </is>
      </c>
      <c r="AQ40" s="25" t="n"/>
      <c r="AR40" s="25" t="n"/>
      <c r="AS40" s="247">
        <f>IFERROR(IF(SUMIFS(_REF_Model_Content!$J$1:$J$157,_REF_Model_Content!$A$1:$A$157,'Company Profile'!$B$9,_REF_Model_Content!$B$1:$B$157,$B40)=0,1,SUMIFS(_REF_Model_Content!$J$1:$J$157,_REF_Model_Content!$A$1:$A$157,'Company Profile'!$B$9,_REF_Model_Content!$B$1:$B$157,$B40)),1)</f>
        <v/>
      </c>
      <c r="AT40" s="247">
        <f>IF(OR($AY40="Done",$AY40="Not applicable"),"",IF($AC40="","",ROUND(N($AC40)*N($AS40),2)))</f>
        <v/>
      </c>
      <c r="AU40" s="247">
        <f>IF($AT40="","",_xlfn.RANK.EQ($AT40,$AT$5:$AT$76,0)+COUNTIF($AT$5:AT40,$AT40)-1)</f>
        <v/>
      </c>
      <c r="AV40" s="247">
        <f>IFERROR(INDEX('_DATA_Dashboard_Facts'!$G$300:$G$316,MATCH($B40,'_DATA_Dashboard_Facts'!$A$300:$A$316,0)),"")</f>
        <v/>
      </c>
      <c r="AW40" s="247">
        <f>IF($AS40&gt;cfg_IndPriorityHigh,"Industry template increases priority",IF($AS40&lt;cfg_IndPriorityLow,"Industry template lowers priority","Industry-neutral priority"))</f>
        <v/>
      </c>
      <c r="AX40">
        <f>IFERROR(INDEX('Action Plan &amp; Roadmap'!$D$59:$D$130,MATCH($A40,'Action Plan &amp; Roadmap'!$A$59:$A$130,0)),"")</f>
      </c>
      <c r="AY40">
        <f>IF($AX40&lt;&gt;"",$AX40,IF($AO40="","Not started",$AO40))</f>
        <v/>
      </c>
      <c r="AZ40" t="inlineStr">
        <is>
          <t>Percentage of supply chain FTEs added/hired in the past 12 months attributed to AI; Percentage change in finished goods inventory turns in the past 12 months</t>
        </is>
      </c>
      <c r="BA40">
        <f>IF($A40="","",COUNTIF('_DATA_Mappings'!$A:$A,$A40))</f>
        <v/>
      </c>
      <c r="BB40">
        <f>IF($A40="","",IFERROR(AVERAGEIF('_DATA_Mappings'!$A:$A,$A40,'_DATA_Mappings'!$G:$G),0))</f>
        <v/>
      </c>
      <c r="BC40">
        <f>IF($A40="","",MAX(0,MIN(5,(N($O40)*0.50)+(N($V40)*0.30)+(N($W40)*0.20))))</f>
        <v/>
      </c>
      <c r="BD40">
        <f>IF($A40="","",MAX(1,MIN(5,($Z40*0.45)+(MIN(5,$BB40/5)*0.35)+($BC40*0.20))))</f>
        <v/>
      </c>
      <c r="BE40">
        <f>IF($AB40=0,"",ROUND((N($X40)+N($Y40)+N($BD40)+N($AA40))/$AB40,2))</f>
        <v/>
      </c>
      <c r="BF40">
        <f>IF(OR($BE40="",$AY40="Done",$AY40="Not applicable"),"",ROUND($BE40*N($AS40),2))</f>
        <v/>
      </c>
      <c r="BG40">
        <f>IF($BF40="","",_xlfn.RANK.EQ($BF40,$BF$5:$BF$76,0)+COUNTIF($BF$5:$BF40,$BF40)-1)</f>
        <v/>
      </c>
      <c r="BH40">
        <f>IF($A40="","",IF($BB40&gt;20,"High P1 risk pressure",IF($BB40&gt;12,"Moderate P1 risk pressure","Lower P1 risk pressure")))</f>
        <v/>
      </c>
      <c r="BI40" s="25">
        <f>'_CONFIG_Model_Settings'!$B$103</f>
        <v/>
      </c>
      <c r="BJ40" s="25">
        <f>IFERROR(INDEX('_CONFIG_Model_Settings'!$B$109:$B$113,MATCH($BI40,'_CONFIG_Model_Settings'!$A$109:$A$113,0)),0.30)</f>
        <v/>
      </c>
      <c r="BK40" s="25">
        <f>IFERROR(INDEX('_CONFIG_Model_Settings'!$C$109:$C$113,MATCH($BI40,'_CONFIG_Model_Settings'!$A$109:$A$113,0)),0.20)</f>
        <v/>
      </c>
      <c r="BL40" s="25">
        <f>IFERROR(INDEX('_CONFIG_Model_Settings'!$D$109:$D$113,MATCH($BI40,'_CONFIG_Model_Settings'!$A$109:$A$113,0)),0.25)</f>
        <v/>
      </c>
      <c r="BM40" s="25">
        <f>IFERROR(INDEX('_CONFIG_Model_Settings'!$E$109:$E$113,MATCH($BI40,'_CONFIG_Model_Settings'!$A$109:$A$113,0)),0.25)</f>
        <v/>
      </c>
      <c r="BN40" s="25">
        <f>IFERROR(INDEX('_CONFIG_Model_Settings'!$B$117:$B$123,MATCH('_CONFIG_Model_Settings'!$B$104,'_CONFIG_Model_Settings'!$A$117:$A$123,0)),1)</f>
        <v/>
      </c>
      <c r="BO40" s="25">
        <f>IFERROR(INDEX('_CONFIG_Model_Settings'!$C$117:$C$123,MATCH('_CONFIG_Model_Settings'!$B$104,'_CONFIG_Model_Settings'!$A$117:$A$123,0)),1)</f>
        <v/>
      </c>
      <c r="BP40" s="25">
        <f>IFERROR(INDEX('_CONFIG_Model_Settings'!$D$117:$D$123,MATCH('_CONFIG_Model_Settings'!$B$104,'_CONFIG_Model_Settings'!$A$117:$A$123,0)),1)</f>
        <v/>
      </c>
      <c r="BQ40" s="25">
        <f>IFERROR(INDEX('_CONFIG_Model_Settings'!$E$117:$E$123,MATCH('_CONFIG_Model_Settings'!$B$104,'_CONFIG_Model_Settings'!$A$117:$A$123,0)),1)</f>
        <v/>
      </c>
      <c r="BR40" s="25">
        <f>IF($A40="","",MIN(5,IFERROR(SUMIF('_DATA_Mappings'!$A:$A,$A40,'_DATA_Mappings'!$K:$K)/MAX(1,'_CONFIG_Model_Settings'!$B$105),0)))</f>
        <v/>
      </c>
      <c r="BS40" s="25">
        <f>IF($A40="","",ROUND((N($X40)*N($BJ40)*N($BN40)+N($Y40)*N($BK40)*N($BO40)+N($BD40)*N($BL40)*N($BP40)+N($AA40)*N($BM40)*N($BQ40)+N($BR40)*N('_CONFIG_Model_Settings'!$B$106))/(N($BJ40)*N($BN40)+N($BK40)*N($BO40)+N($BL40)*N($BP40)+N($BM40)*N($BQ40)+N('_CONFIG_Model_Settings'!$B$106)),2))</f>
        <v/>
      </c>
      <c r="BT40" s="25">
        <f>IF($A40="","",MAX(1,N($AB40)))</f>
        <v/>
      </c>
      <c r="BU40" s="25">
        <f>IF(OR($BS40="",$BT40=0),"",ROUND($BS40/$BT40,2))</f>
        <v/>
      </c>
      <c r="BV40" s="25">
        <f>IF(OR($BU40="",$AY40="Done",$AY40="Not applicable"),"",ROUND($BU40*N($AS40),2))</f>
        <v/>
      </c>
      <c r="BW40" s="25">
        <f>IF($BV40="","",_xlfn.RANK.EQ($BV40,$BV$5:$BV$76,0)+COUNTIF($BV$5:$BV40,$BV40)-1)</f>
        <v/>
      </c>
      <c r="BX40" s="25">
        <f>IF($BW40="","",IF($BW40&lt;=cfg_TimelineBucket1,"0-90 days",IF($BW40&lt;=cfg_TimelineBucket2,"3-6 months",IF($BW40&lt;=cfg_TimelineBucket3,"6-12 months","12+ months"))))</f>
        <v/>
      </c>
      <c r="BY40" s="25">
        <f>IF($A40="","","P2: "&amp;$BI40&amp;" posture; objective="&amp;'_CONFIG_Model_Settings'!$B$104&amp;"; financial score="&amp;ROUND(N($BR40),1)&amp;"; CoD="&amp;$BS40)</f>
        <v/>
      </c>
    </row>
    <row r="41" ht="42" customHeight="1" s="209">
      <c r="A41" s="25" t="inlineStr">
        <is>
          <t>INI-037</t>
        </is>
      </c>
      <c r="B41" s="25" t="inlineStr">
        <is>
          <t>Manufacturing MES</t>
        </is>
      </c>
      <c r="C41" s="25" t="inlineStr">
        <is>
          <t>MES and shop floor</t>
        </is>
      </c>
      <c r="D41" s="25" t="inlineStr">
        <is>
          <t>Manufacturing Continuity and MES Strategy</t>
        </is>
      </c>
      <c r="E41" s="25" t="inlineStr">
        <is>
          <t>STR-09</t>
        </is>
      </c>
      <c r="F41" s="25" t="inlineStr">
        <is>
          <t>Implement MES and shop-floor digital control foundation</t>
        </is>
      </c>
      <c r="G41" s="25" t="inlineStr">
        <is>
          <t>Close maturity gaps in mes and shop floor by assigning ownership, documenting the process, connecting it to evidence and systems, testing it against crisis scenarios and measuring improvement.</t>
        </is>
      </c>
      <c r="H41" s="25" t="inlineStr">
        <is>
          <t>Manufacturing, MES and production continuity</t>
        </is>
      </c>
      <c r="I41" s="25" t="inlineStr">
        <is>
          <t>Physical site loss; Energy / utilities outage; Supplier / logistics disruption; Cyberattack / ransomware</t>
        </is>
      </c>
      <c r="J41" s="25" t="inlineStr">
        <is>
          <t>MANU-007; MANU-008; MANU-009; MANU-010; MANU-011; MANU-012</t>
        </is>
      </c>
      <c r="K41" s="25" t="n">
        <v>6</v>
      </c>
      <c r="L41" s="25">
        <f>COUNTIFS('_ENGINE_Risk'!$C$500:$C$923,$B41,'_ENGINE_Risk'!$D$500:$D$923,$C41,'_ENGINE_Risk'!$B$500:$B$923,"Yes")</f>
        <v/>
      </c>
      <c r="M41" s="25">
        <f>COUNTIFS('_ENGINE_Risk'!$C$500:$C$923,$B41,'_ENGINE_Risk'!$D$500:$D$923,$C41,'_ENGINE_Risk'!$B$500:$B$923,"Yes")</f>
        <v/>
      </c>
      <c r="N41" s="25">
        <f>IFERROR(AVERAGEIFS(_DATA_Assessment_Model!$H$5:$H$428,_DATA_Assessment_Model!$AW$5:$AW$428,$B41,_DATA_Assessment_Model!$B$5:$B$428,$C41),"")</f>
        <v/>
      </c>
      <c r="O41" s="25">
        <f>IF($N41="","",MAX(0,5-$N41))</f>
        <v/>
      </c>
      <c r="P41" s="25">
        <f>IFERROR(INDEX(_DATA_Dashboard_Facts!$H$5:$H$21,MATCH($B41,_DATA_Dashboard_Facts!$A$5:$A$21,0)),"")</f>
        <v/>
      </c>
      <c r="Q41" s="25">
        <f>IF($P41="","",MAX(0,5-$P41))</f>
        <v/>
      </c>
      <c r="R41" s="25">
        <f>IFERROR(SUMIFS(_ENGINE_Crisis!$D$5:$D$208,_ENGINE_Crisis!$A$5:$A$208,'Resilience &amp; Risk Scenario'!$B$6,_ENGINE_Crisis!$B$5:$B$208,$B41),1)</f>
        <v/>
      </c>
      <c r="S41" s="25">
        <f>IFERROR(INDEX('_ENGINE_Strategy'!$A$100:$A$113,MATCH($D41,'_ENGINE_Strategy'!$B$100:$B$113,0)),99)</f>
        <v/>
      </c>
      <c r="T41" s="25">
        <f>IFERROR(INDEX('_ENGINE_Strategy'!$J$100:$J$113,MATCH($D41,'_ENGINE_Strategy'!$B$100:$B$113,0)),0)</f>
        <v/>
      </c>
      <c r="U41" s="25" t="n">
        <v>5</v>
      </c>
      <c r="V41" s="25" t="n">
        <v>5</v>
      </c>
      <c r="W41" s="25" t="n">
        <v>4</v>
      </c>
      <c r="X41" s="25">
        <f>MAX(1,MIN(5,(N($O41)*0.50)+(N($Q41)*0.25)+((N($T41)/20)*0.25)))</f>
        <v/>
      </c>
      <c r="Y41" s="25">
        <f>MAX(1,MIN(5,(($R41-1)*1.6)+('Resilience &amp; Risk Scenario'!$B$7*0.45)+IF($S41&lt;=3,0.8,0)))</f>
        <v/>
      </c>
      <c r="Z41" s="25">
        <f>MAX(1,MIN(5,(N($O41)*0.45)+(MIN(5,5*N($M41)/MAX(1,N($K41)))*0.35)+(N($V41)*0.20)))</f>
        <v/>
      </c>
      <c r="AA41" s="25">
        <f>MAX(1,MIN(5,($U41*0.40)+($W41*0.30)+(($T41/20)*0.30)))</f>
        <v/>
      </c>
      <c r="AB41" s="25" t="n">
        <v>4</v>
      </c>
      <c r="AC41" s="25">
        <f>IF($AB41=0,"",ROUND((N($X41)+N($Y41)+N($Z41)+N($AA41))/$AB41,2))</f>
        <v/>
      </c>
      <c r="AD41" s="25">
        <f>IF($AC41="","",_xlfn.RANK.EQ($AC41,$AC$5:$AC$76,0)+COUNTIF($AC$5:$AC41,$AC41)-1)</f>
        <v/>
      </c>
      <c r="AE41" s="25">
        <f>IF($AD41="","",IF($AD41&lt;=cfg_TimelineBucket1,"0-90 days",IF($AD41&lt;=cfg_TimelineBucket2,"3-6 months",IF($AD41&lt;=cfg_TimelineBucket3,"6-12 months","12+ months"))))</f>
        <v/>
      </c>
      <c r="AF41" s="25" t="inlineStr">
        <is>
          <t>COO / Plant Manager / MES Lead</t>
        </is>
      </c>
      <c r="AG41" s="25" t="inlineStr">
        <is>
          <t>3-6 months</t>
        </is>
      </c>
      <c r="AH41" s="25" t="inlineStr">
        <is>
          <t>Executive sponsor; accountable process owner; baseline evidence; risk acceptance threshold; supplier/process map; operational data</t>
        </is>
      </c>
      <c r="AI41" s="25" t="inlineStr">
        <is>
          <t>maturity score improvement; open risk reduction; evidence completeness; control test pass rate; OEE visibility; downtime reduction; OT security coverage</t>
        </is>
      </c>
      <c r="AJ41" s="25" t="inlineStr">
        <is>
          <t>Documented mes and shop floor operating model, owner/RACI, KPI set, evidence pack, tested crisis playbook and improvement backlog.</t>
        </is>
      </c>
      <c r="AK41" s="25" t="inlineStr">
        <is>
          <t>Counts active next-level recommendations for Manufacturing MES / MES and shop floor.</t>
        </is>
      </c>
      <c r="AL41" s="25" t="inlineStr">
        <is>
          <t>Counts active risks and risk scores for Manufacturing MES / MES and shop floor.</t>
        </is>
      </c>
      <c r="AM41" s="25" t="inlineStr">
        <is>
          <t>Uses the current rank and total score of Manufacturing Continuity and MES Strategy.</t>
        </is>
      </c>
      <c r="AN41" s="25" t="inlineStr">
        <is>
          <t>Trigger when avg score &lt; 4, active risk exists, active recommendation exists or strategy rank &lt;= 3.</t>
        </is>
      </c>
      <c r="AO41" s="25" t="inlineStr">
        <is>
          <t>Not started</t>
        </is>
      </c>
      <c r="AP41" s="25" t="inlineStr">
        <is>
          <t>Medium-High</t>
        </is>
      </c>
      <c r="AQ41" s="25" t="n"/>
      <c r="AR41" s="25" t="n"/>
      <c r="AS41" s="247">
        <f>IFERROR(IF(SUMIFS(_REF_Model_Content!$J$1:$J$157,_REF_Model_Content!$A$1:$A$157,'Company Profile'!$B$9,_REF_Model_Content!$B$1:$B$157,$B41)=0,1,SUMIFS(_REF_Model_Content!$J$1:$J$157,_REF_Model_Content!$A$1:$A$157,'Company Profile'!$B$9,_REF_Model_Content!$B$1:$B$157,$B41)),1)</f>
        <v/>
      </c>
      <c r="AT41" s="247">
        <f>IF(OR($AY41="Done",$AY41="Not applicable"),"",IF($AC41="","",ROUND(N($AC41)*N($AS41),2)))</f>
        <v/>
      </c>
      <c r="AU41" s="247">
        <f>IF($AT41="","",_xlfn.RANK.EQ($AT41,$AT$5:$AT$76,0)+COUNTIF($AT$5:AT41,$AT41)-1)</f>
        <v/>
      </c>
      <c r="AV41" s="247">
        <f>IFERROR(INDEX('_DATA_Dashboard_Facts'!$G$300:$G$316,MATCH($B41,'_DATA_Dashboard_Facts'!$A$300:$A$316,0)),"")</f>
        <v/>
      </c>
      <c r="AW41" s="247">
        <f>IF($AS41&gt;cfg_IndPriorityHigh,"Industry template increases priority",IF($AS41&lt;cfg_IndPriorityLow,"Industry template lowers priority","Industry-neutral priority"))</f>
        <v/>
      </c>
      <c r="AX41">
        <f>IFERROR(INDEX('Action Plan &amp; Roadmap'!$D$59:$D$130,MATCH($A41,'Action Plan &amp; Roadmap'!$A$59:$A$130,0)),"")</f>
      </c>
      <c r="AY41">
        <f>IF($AX41&lt;&gt;"",$AX41,IF($AO41="","Not started",$AO41))</f>
        <v/>
      </c>
      <c r="AZ41" t="inlineStr">
        <is>
          <t>Percentage of supply chain FTEs added/hired in the past 12 months attributed to AI; Percentage change in finished goods inventory turns in the past 12 months</t>
        </is>
      </c>
      <c r="BA41">
        <f>IF($A41="","",COUNTIF('_DATA_Mappings'!$A:$A,$A41))</f>
        <v/>
      </c>
      <c r="BB41">
        <f>IF($A41="","",IFERROR(AVERAGEIF('_DATA_Mappings'!$A:$A,$A41,'_DATA_Mappings'!$G:$G),0))</f>
        <v/>
      </c>
      <c r="BC41">
        <f>IF($A41="","",MAX(0,MIN(5,(N($O41)*0.50)+(N($V41)*0.30)+(N($W41)*0.20))))</f>
        <v/>
      </c>
      <c r="BD41">
        <f>IF($A41="","",MAX(1,MIN(5,($Z41*0.45)+(MIN(5,$BB41/5)*0.35)+($BC41*0.20))))</f>
        <v/>
      </c>
      <c r="BE41">
        <f>IF($AB41=0,"",ROUND((N($X41)+N($Y41)+N($BD41)+N($AA41))/$AB41,2))</f>
        <v/>
      </c>
      <c r="BF41">
        <f>IF(OR($BE41="",$AY41="Done",$AY41="Not applicable"),"",ROUND($BE41*N($AS41),2))</f>
        <v/>
      </c>
      <c r="BG41">
        <f>IF($BF41="","",_xlfn.RANK.EQ($BF41,$BF$5:$BF$76,0)+COUNTIF($BF$5:$BF41,$BF41)-1)</f>
        <v/>
      </c>
      <c r="BH41">
        <f>IF($A41="","",IF($BB41&gt;20,"High P1 risk pressure",IF($BB41&gt;12,"Moderate P1 risk pressure","Lower P1 risk pressure")))</f>
        <v/>
      </c>
      <c r="BI41" s="25">
        <f>'_CONFIG_Model_Settings'!$B$103</f>
        <v/>
      </c>
      <c r="BJ41" s="25">
        <f>IFERROR(INDEX('_CONFIG_Model_Settings'!$B$109:$B$113,MATCH($BI41,'_CONFIG_Model_Settings'!$A$109:$A$113,0)),0.30)</f>
        <v/>
      </c>
      <c r="BK41" s="25">
        <f>IFERROR(INDEX('_CONFIG_Model_Settings'!$C$109:$C$113,MATCH($BI41,'_CONFIG_Model_Settings'!$A$109:$A$113,0)),0.20)</f>
        <v/>
      </c>
      <c r="BL41" s="25">
        <f>IFERROR(INDEX('_CONFIG_Model_Settings'!$D$109:$D$113,MATCH($BI41,'_CONFIG_Model_Settings'!$A$109:$A$113,0)),0.25)</f>
        <v/>
      </c>
      <c r="BM41" s="25">
        <f>IFERROR(INDEX('_CONFIG_Model_Settings'!$E$109:$E$113,MATCH($BI41,'_CONFIG_Model_Settings'!$A$109:$A$113,0)),0.25)</f>
        <v/>
      </c>
      <c r="BN41" s="25">
        <f>IFERROR(INDEX('_CONFIG_Model_Settings'!$B$117:$B$123,MATCH('_CONFIG_Model_Settings'!$B$104,'_CONFIG_Model_Settings'!$A$117:$A$123,0)),1)</f>
        <v/>
      </c>
      <c r="BO41" s="25">
        <f>IFERROR(INDEX('_CONFIG_Model_Settings'!$C$117:$C$123,MATCH('_CONFIG_Model_Settings'!$B$104,'_CONFIG_Model_Settings'!$A$117:$A$123,0)),1)</f>
        <v/>
      </c>
      <c r="BP41" s="25">
        <f>IFERROR(INDEX('_CONFIG_Model_Settings'!$D$117:$D$123,MATCH('_CONFIG_Model_Settings'!$B$104,'_CONFIG_Model_Settings'!$A$117:$A$123,0)),1)</f>
        <v/>
      </c>
      <c r="BQ41" s="25">
        <f>IFERROR(INDEX('_CONFIG_Model_Settings'!$E$117:$E$123,MATCH('_CONFIG_Model_Settings'!$B$104,'_CONFIG_Model_Settings'!$A$117:$A$123,0)),1)</f>
        <v/>
      </c>
      <c r="BR41" s="25">
        <f>IF($A41="","",MIN(5,IFERROR(SUMIF('_DATA_Mappings'!$A:$A,$A41,'_DATA_Mappings'!$K:$K)/MAX(1,'_CONFIG_Model_Settings'!$B$105),0)))</f>
        <v/>
      </c>
      <c r="BS41" s="25">
        <f>IF($A41="","",ROUND((N($X41)*N($BJ41)*N($BN41)+N($Y41)*N($BK41)*N($BO41)+N($BD41)*N($BL41)*N($BP41)+N($AA41)*N($BM41)*N($BQ41)+N($BR41)*N('_CONFIG_Model_Settings'!$B$106))/(N($BJ41)*N($BN41)+N($BK41)*N($BO41)+N($BL41)*N($BP41)+N($BM41)*N($BQ41)+N('_CONFIG_Model_Settings'!$B$106)),2))</f>
        <v/>
      </c>
      <c r="BT41" s="25">
        <f>IF($A41="","",MAX(1,N($AB41)))</f>
        <v/>
      </c>
      <c r="BU41" s="25">
        <f>IF(OR($BS41="",$BT41=0),"",ROUND($BS41/$BT41,2))</f>
        <v/>
      </c>
      <c r="BV41" s="25">
        <f>IF(OR($BU41="",$AY41="Done",$AY41="Not applicable"),"",ROUND($BU41*N($AS41),2))</f>
        <v/>
      </c>
      <c r="BW41" s="25">
        <f>IF($BV41="","",_xlfn.RANK.EQ($BV41,$BV$5:$BV$76,0)+COUNTIF($BV$5:$BV41,$BV41)-1)</f>
        <v/>
      </c>
      <c r="BX41" s="25">
        <f>IF($BW41="","",IF($BW41&lt;=cfg_TimelineBucket1,"0-90 days",IF($BW41&lt;=cfg_TimelineBucket2,"3-6 months",IF($BW41&lt;=cfg_TimelineBucket3,"6-12 months","12+ months"))))</f>
        <v/>
      </c>
      <c r="BY41" s="25">
        <f>IF($A41="","","P2: "&amp;$BI41&amp;" posture; objective="&amp;'_CONFIG_Model_Settings'!$B$104&amp;"; financial score="&amp;ROUND(N($BR41),1)&amp;"; CoD="&amp;$BS41)</f>
        <v/>
      </c>
    </row>
    <row r="42" ht="42" customHeight="1" s="209">
      <c r="A42" s="25" t="inlineStr">
        <is>
          <t>INI-038</t>
        </is>
      </c>
      <c r="B42" s="25" t="inlineStr">
        <is>
          <t>Manufacturing MES</t>
        </is>
      </c>
      <c r="C42" s="25" t="inlineStr">
        <is>
          <t>Maintenance and assets</t>
        </is>
      </c>
      <c r="D42" s="25" t="inlineStr">
        <is>
          <t>Manufacturing Continuity and MES Strategy</t>
        </is>
      </c>
      <c r="E42" s="25" t="inlineStr">
        <is>
          <t>STR-09</t>
        </is>
      </c>
      <c r="F42" s="25" t="inlineStr">
        <is>
          <t>Build maintenance, spare-parts and asset resilience program</t>
        </is>
      </c>
      <c r="G42" s="25" t="inlineStr">
        <is>
          <t>Close maturity gaps in maintenance and assets by assigning ownership, documenting the process, connecting it to evidence and systems, testing it against crisis scenarios and measuring improvement.</t>
        </is>
      </c>
      <c r="H42" s="25" t="inlineStr">
        <is>
          <t>Manufacturing, MES and production continuity</t>
        </is>
      </c>
      <c r="I42" s="25" t="inlineStr">
        <is>
          <t>Physical site loss; Energy / utilities outage; Supplier / logistics disruption; Cyberattack / ransomware</t>
        </is>
      </c>
      <c r="J42" s="25" t="inlineStr">
        <is>
          <t>MANU-013; MANU-014; MANU-015; MANU-016; MANU-017; MANU-018</t>
        </is>
      </c>
      <c r="K42" s="25" t="n">
        <v>6</v>
      </c>
      <c r="L42" s="25">
        <f>COUNTIFS('_ENGINE_Risk'!$C$500:$C$923,$B42,'_ENGINE_Risk'!$D$500:$D$923,$C42,'_ENGINE_Risk'!$B$500:$B$923,"Yes")</f>
        <v/>
      </c>
      <c r="M42" s="25">
        <f>COUNTIFS('_ENGINE_Risk'!$C$500:$C$923,$B42,'_ENGINE_Risk'!$D$500:$D$923,$C42,'_ENGINE_Risk'!$B$500:$B$923,"Yes")</f>
        <v/>
      </c>
      <c r="N42" s="25">
        <f>IFERROR(AVERAGEIFS(_DATA_Assessment_Model!$H$5:$H$428,_DATA_Assessment_Model!$AW$5:$AW$428,$B42,_DATA_Assessment_Model!$B$5:$B$428,$C42),"")</f>
        <v/>
      </c>
      <c r="O42" s="25">
        <f>IF($N42="","",MAX(0,5-$N42))</f>
        <v/>
      </c>
      <c r="P42" s="25">
        <f>IFERROR(INDEX(_DATA_Dashboard_Facts!$H$5:$H$21,MATCH($B42,_DATA_Dashboard_Facts!$A$5:$A$21,0)),"")</f>
        <v/>
      </c>
      <c r="Q42" s="25">
        <f>IF($P42="","",MAX(0,5-$P42))</f>
        <v/>
      </c>
      <c r="R42" s="25">
        <f>IFERROR(SUMIFS(_ENGINE_Crisis!$D$5:$D$208,_ENGINE_Crisis!$A$5:$A$208,'Resilience &amp; Risk Scenario'!$B$6,_ENGINE_Crisis!$B$5:$B$208,$B42),1)</f>
        <v/>
      </c>
      <c r="S42" s="25">
        <f>IFERROR(INDEX('_ENGINE_Strategy'!$A$100:$A$113,MATCH($D42,'_ENGINE_Strategy'!$B$100:$B$113,0)),99)</f>
        <v/>
      </c>
      <c r="T42" s="25">
        <f>IFERROR(INDEX('_ENGINE_Strategy'!$J$100:$J$113,MATCH($D42,'_ENGINE_Strategy'!$B$100:$B$113,0)),0)</f>
        <v/>
      </c>
      <c r="U42" s="25" t="n">
        <v>5</v>
      </c>
      <c r="V42" s="25" t="n">
        <v>5</v>
      </c>
      <c r="W42" s="25" t="n">
        <v>4</v>
      </c>
      <c r="X42" s="25">
        <f>MAX(1,MIN(5,(N($O42)*0.50)+(N($Q42)*0.25)+((N($T42)/20)*0.25)))</f>
        <v/>
      </c>
      <c r="Y42" s="25">
        <f>MAX(1,MIN(5,(($R42-1)*1.6)+('Resilience &amp; Risk Scenario'!$B$7*0.45)+IF($S42&lt;=3,0.8,0)))</f>
        <v/>
      </c>
      <c r="Z42" s="25">
        <f>MAX(1,MIN(5,(N($O42)*0.45)+(MIN(5,5*N($M42)/MAX(1,N($K42)))*0.35)+(N($V42)*0.20)))</f>
        <v/>
      </c>
      <c r="AA42" s="25">
        <f>MAX(1,MIN(5,($U42*0.40)+($W42*0.30)+(($T42/20)*0.30)))</f>
        <v/>
      </c>
      <c r="AB42" s="25" t="n">
        <v>4</v>
      </c>
      <c r="AC42" s="25">
        <f>IF($AB42=0,"",ROUND((N($X42)+N($Y42)+N($Z42)+N($AA42))/$AB42,2))</f>
        <v/>
      </c>
      <c r="AD42" s="25">
        <f>IF($AC42="","",_xlfn.RANK.EQ($AC42,$AC$5:$AC$76,0)+COUNTIF($AC$5:$AC42,$AC42)-1)</f>
        <v/>
      </c>
      <c r="AE42" s="25">
        <f>IF($AD42="","",IF($AD42&lt;=cfg_TimelineBucket1,"0-90 days",IF($AD42&lt;=cfg_TimelineBucket2,"3-6 months",IF($AD42&lt;=cfg_TimelineBucket3,"6-12 months","12+ months"))))</f>
        <v/>
      </c>
      <c r="AF42" s="25" t="inlineStr">
        <is>
          <t>COO / Plant Manager / MES Lead</t>
        </is>
      </c>
      <c r="AG42" s="25" t="inlineStr">
        <is>
          <t>3-6 months</t>
        </is>
      </c>
      <c r="AH42" s="25" t="inlineStr">
        <is>
          <t>Executive sponsor; accountable process owner; baseline evidence; risk acceptance threshold; supplier/process map; operational data</t>
        </is>
      </c>
      <c r="AI42" s="25" t="inlineStr">
        <is>
          <t>maturity score improvement; open risk reduction; evidence completeness; control test pass rate; OEE visibility; downtime reduction; OT security coverage</t>
        </is>
      </c>
      <c r="AJ42" s="25" t="inlineStr">
        <is>
          <t>Documented maintenance and assets operating model, owner/RACI, KPI set, evidence pack, tested crisis playbook and improvement backlog.</t>
        </is>
      </c>
      <c r="AK42" s="25" t="inlineStr">
        <is>
          <t>Counts active next-level recommendations for Manufacturing MES / Maintenance and assets.</t>
        </is>
      </c>
      <c r="AL42" s="25" t="inlineStr">
        <is>
          <t>Counts active risks and risk scores for Manufacturing MES / Maintenance and assets.</t>
        </is>
      </c>
      <c r="AM42" s="25" t="inlineStr">
        <is>
          <t>Uses the current rank and total score of Manufacturing Continuity and MES Strategy.</t>
        </is>
      </c>
      <c r="AN42" s="25" t="inlineStr">
        <is>
          <t>Trigger when avg score &lt; 4, active risk exists, active recommendation exists or strategy rank &lt;= 3.</t>
        </is>
      </c>
      <c r="AO42" s="25" t="inlineStr">
        <is>
          <t>Not started</t>
        </is>
      </c>
      <c r="AP42" s="25" t="inlineStr">
        <is>
          <t>Medium-High</t>
        </is>
      </c>
      <c r="AQ42" s="25" t="n"/>
      <c r="AR42" s="25" t="n"/>
      <c r="AS42" s="247">
        <f>IFERROR(IF(SUMIFS(_REF_Model_Content!$J$1:$J$157,_REF_Model_Content!$A$1:$A$157,'Company Profile'!$B$9,_REF_Model_Content!$B$1:$B$157,$B42)=0,1,SUMIFS(_REF_Model_Content!$J$1:$J$157,_REF_Model_Content!$A$1:$A$157,'Company Profile'!$B$9,_REF_Model_Content!$B$1:$B$157,$B42)),1)</f>
        <v/>
      </c>
      <c r="AT42" s="247">
        <f>IF(OR($AY42="Done",$AY42="Not applicable"),"",IF($AC42="","",ROUND(N($AC42)*N($AS42),2)))</f>
        <v/>
      </c>
      <c r="AU42" s="247">
        <f>IF($AT42="","",_xlfn.RANK.EQ($AT42,$AT$5:$AT$76,0)+COUNTIF($AT$5:AT42,$AT42)-1)</f>
        <v/>
      </c>
      <c r="AV42" s="247">
        <f>IFERROR(INDEX('_DATA_Dashboard_Facts'!$G$300:$G$316,MATCH($B42,'_DATA_Dashboard_Facts'!$A$300:$A$316,0)),"")</f>
        <v/>
      </c>
      <c r="AW42" s="247">
        <f>IF($AS42&gt;cfg_IndPriorityHigh,"Industry template increases priority",IF($AS42&lt;cfg_IndPriorityLow,"Industry template lowers priority","Industry-neutral priority"))</f>
        <v/>
      </c>
      <c r="AX42">
        <f>IFERROR(INDEX('Action Plan &amp; Roadmap'!$D$59:$D$130,MATCH($A42,'Action Plan &amp; Roadmap'!$A$59:$A$130,0)),"")</f>
      </c>
      <c r="AY42">
        <f>IF($AX42&lt;&gt;"",$AX42,IF($AO42="","Not started",$AO42))</f>
        <v/>
      </c>
      <c r="AZ42" t="inlineStr">
        <is>
          <t>Percentage of supply chain FTEs added/hired in the past 12 months attributed to AI; Percentage change in finished goods inventory turns in the past 12 months</t>
        </is>
      </c>
      <c r="BA42">
        <f>IF($A42="","",COUNTIF('_DATA_Mappings'!$A:$A,$A42))</f>
        <v/>
      </c>
      <c r="BB42">
        <f>IF($A42="","",IFERROR(AVERAGEIF('_DATA_Mappings'!$A:$A,$A42,'_DATA_Mappings'!$G:$G),0))</f>
        <v/>
      </c>
      <c r="BC42">
        <f>IF($A42="","",MAX(0,MIN(5,(N($O42)*0.50)+(N($V42)*0.30)+(N($W42)*0.20))))</f>
        <v/>
      </c>
      <c r="BD42">
        <f>IF($A42="","",MAX(1,MIN(5,($Z42*0.45)+(MIN(5,$BB42/5)*0.35)+($BC42*0.20))))</f>
        <v/>
      </c>
      <c r="BE42">
        <f>IF($AB42=0,"",ROUND((N($X42)+N($Y42)+N($BD42)+N($AA42))/$AB42,2))</f>
        <v/>
      </c>
      <c r="BF42">
        <f>IF(OR($BE42="",$AY42="Done",$AY42="Not applicable"),"",ROUND($BE42*N($AS42),2))</f>
        <v/>
      </c>
      <c r="BG42">
        <f>IF($BF42="","",_xlfn.RANK.EQ($BF42,$BF$5:$BF$76,0)+COUNTIF($BF$5:$BF42,$BF42)-1)</f>
        <v/>
      </c>
      <c r="BH42">
        <f>IF($A42="","",IF($BB42&gt;20,"High P1 risk pressure",IF($BB42&gt;12,"Moderate P1 risk pressure","Lower P1 risk pressure")))</f>
        <v/>
      </c>
      <c r="BI42" s="25">
        <f>'_CONFIG_Model_Settings'!$B$103</f>
        <v/>
      </c>
      <c r="BJ42" s="25">
        <f>IFERROR(INDEX('_CONFIG_Model_Settings'!$B$109:$B$113,MATCH($BI42,'_CONFIG_Model_Settings'!$A$109:$A$113,0)),0.30)</f>
        <v/>
      </c>
      <c r="BK42" s="25">
        <f>IFERROR(INDEX('_CONFIG_Model_Settings'!$C$109:$C$113,MATCH($BI42,'_CONFIG_Model_Settings'!$A$109:$A$113,0)),0.20)</f>
        <v/>
      </c>
      <c r="BL42" s="25">
        <f>IFERROR(INDEX('_CONFIG_Model_Settings'!$D$109:$D$113,MATCH($BI42,'_CONFIG_Model_Settings'!$A$109:$A$113,0)),0.25)</f>
        <v/>
      </c>
      <c r="BM42" s="25">
        <f>IFERROR(INDEX('_CONFIG_Model_Settings'!$E$109:$E$113,MATCH($BI42,'_CONFIG_Model_Settings'!$A$109:$A$113,0)),0.25)</f>
        <v/>
      </c>
      <c r="BN42" s="25">
        <f>IFERROR(INDEX('_CONFIG_Model_Settings'!$B$117:$B$123,MATCH('_CONFIG_Model_Settings'!$B$104,'_CONFIG_Model_Settings'!$A$117:$A$123,0)),1)</f>
        <v/>
      </c>
      <c r="BO42" s="25">
        <f>IFERROR(INDEX('_CONFIG_Model_Settings'!$C$117:$C$123,MATCH('_CONFIG_Model_Settings'!$B$104,'_CONFIG_Model_Settings'!$A$117:$A$123,0)),1)</f>
        <v/>
      </c>
      <c r="BP42" s="25">
        <f>IFERROR(INDEX('_CONFIG_Model_Settings'!$D$117:$D$123,MATCH('_CONFIG_Model_Settings'!$B$104,'_CONFIG_Model_Settings'!$A$117:$A$123,0)),1)</f>
        <v/>
      </c>
      <c r="BQ42" s="25">
        <f>IFERROR(INDEX('_CONFIG_Model_Settings'!$E$117:$E$123,MATCH('_CONFIG_Model_Settings'!$B$104,'_CONFIG_Model_Settings'!$A$117:$A$123,0)),1)</f>
        <v/>
      </c>
      <c r="BR42" s="25">
        <f>IF($A42="","",MIN(5,IFERROR(SUMIF('_DATA_Mappings'!$A:$A,$A42,'_DATA_Mappings'!$K:$K)/MAX(1,'_CONFIG_Model_Settings'!$B$105),0)))</f>
        <v/>
      </c>
      <c r="BS42" s="25">
        <f>IF($A42="","",ROUND((N($X42)*N($BJ42)*N($BN42)+N($Y42)*N($BK42)*N($BO42)+N($BD42)*N($BL42)*N($BP42)+N($AA42)*N($BM42)*N($BQ42)+N($BR42)*N('_CONFIG_Model_Settings'!$B$106))/(N($BJ42)*N($BN42)+N($BK42)*N($BO42)+N($BL42)*N($BP42)+N($BM42)*N($BQ42)+N('_CONFIG_Model_Settings'!$B$106)),2))</f>
        <v/>
      </c>
      <c r="BT42" s="25">
        <f>IF($A42="","",MAX(1,N($AB42)))</f>
        <v/>
      </c>
      <c r="BU42" s="25">
        <f>IF(OR($BS42="",$BT42=0),"",ROUND($BS42/$BT42,2))</f>
        <v/>
      </c>
      <c r="BV42" s="25">
        <f>IF(OR($BU42="",$AY42="Done",$AY42="Not applicable"),"",ROUND($BU42*N($AS42),2))</f>
        <v/>
      </c>
      <c r="BW42" s="25">
        <f>IF($BV42="","",_xlfn.RANK.EQ($BV42,$BV$5:$BV$76,0)+COUNTIF($BV$5:$BV42,$BV42)-1)</f>
        <v/>
      </c>
      <c r="BX42" s="25">
        <f>IF($BW42="","",IF($BW42&lt;=cfg_TimelineBucket1,"0-90 days",IF($BW42&lt;=cfg_TimelineBucket2,"3-6 months",IF($BW42&lt;=cfg_TimelineBucket3,"6-12 months","12+ months"))))</f>
        <v/>
      </c>
      <c r="BY42" s="25">
        <f>IF($A42="","","P2: "&amp;$BI42&amp;" posture; objective="&amp;'_CONFIG_Model_Settings'!$B$104&amp;"; financial score="&amp;ROUND(N($BR42),1)&amp;"; CoD="&amp;$BS42)</f>
        <v/>
      </c>
    </row>
    <row r="43" ht="42" customHeight="1" s="209">
      <c r="A43" s="25" t="inlineStr">
        <is>
          <t>INI-039</t>
        </is>
      </c>
      <c r="B43" s="25" t="inlineStr">
        <is>
          <t>Manufacturing MES</t>
        </is>
      </c>
      <c r="C43" s="25" t="inlineStr">
        <is>
          <t>Quality and safety</t>
        </is>
      </c>
      <c r="D43" s="25" t="inlineStr">
        <is>
          <t>Manufacturing Continuity and MES Strategy</t>
        </is>
      </c>
      <c r="E43" s="25" t="inlineStr">
        <is>
          <t>STR-09</t>
        </is>
      </c>
      <c r="F43" s="25" t="inlineStr">
        <is>
          <t>Strengthen manufacturing quality, safety and release controls</t>
        </is>
      </c>
      <c r="G43" s="25" t="inlineStr">
        <is>
          <t>Close maturity gaps in quality and safety by assigning ownership, documenting the process, connecting it to evidence and systems, testing it against crisis scenarios and measuring improvement.</t>
        </is>
      </c>
      <c r="H43" s="25" t="inlineStr">
        <is>
          <t>Manufacturing, MES and production continuity</t>
        </is>
      </c>
      <c r="I43" s="25" t="inlineStr">
        <is>
          <t>Physical site loss; Energy / utilities outage; Supplier / logistics disruption; Cyberattack / ransomware</t>
        </is>
      </c>
      <c r="J43" s="25" t="inlineStr">
        <is>
          <t>MANU-019; MANU-020; MANU-021; MANU-022; MANU-023; MANU-024</t>
        </is>
      </c>
      <c r="K43" s="25" t="n">
        <v>6</v>
      </c>
      <c r="L43" s="25">
        <f>COUNTIFS('_ENGINE_Risk'!$C$500:$C$923,$B43,'_ENGINE_Risk'!$D$500:$D$923,$C43,'_ENGINE_Risk'!$B$500:$B$923,"Yes")</f>
        <v/>
      </c>
      <c r="M43" s="25">
        <f>COUNTIFS('_ENGINE_Risk'!$C$500:$C$923,$B43,'_ENGINE_Risk'!$D$500:$D$923,$C43,'_ENGINE_Risk'!$B$500:$B$923,"Yes")</f>
        <v/>
      </c>
      <c r="N43" s="25">
        <f>IFERROR(AVERAGEIFS(_DATA_Assessment_Model!$H$5:$H$428,_DATA_Assessment_Model!$AW$5:$AW$428,$B43,_DATA_Assessment_Model!$B$5:$B$428,$C43),"")</f>
        <v/>
      </c>
      <c r="O43" s="25">
        <f>IF($N43="","",MAX(0,5-$N43))</f>
        <v/>
      </c>
      <c r="P43" s="25">
        <f>IFERROR(INDEX(_DATA_Dashboard_Facts!$H$5:$H$21,MATCH($B43,_DATA_Dashboard_Facts!$A$5:$A$21,0)),"")</f>
        <v/>
      </c>
      <c r="Q43" s="25">
        <f>IF($P43="","",MAX(0,5-$P43))</f>
        <v/>
      </c>
      <c r="R43" s="25">
        <f>IFERROR(SUMIFS(_ENGINE_Crisis!$D$5:$D$208,_ENGINE_Crisis!$A$5:$A$208,'Resilience &amp; Risk Scenario'!$B$6,_ENGINE_Crisis!$B$5:$B$208,$B43),1)</f>
        <v/>
      </c>
      <c r="S43" s="25">
        <f>IFERROR(INDEX('_ENGINE_Strategy'!$A$100:$A$113,MATCH($D43,'_ENGINE_Strategy'!$B$100:$B$113,0)),99)</f>
        <v/>
      </c>
      <c r="T43" s="25">
        <f>IFERROR(INDEX('_ENGINE_Strategy'!$J$100:$J$113,MATCH($D43,'_ENGINE_Strategy'!$B$100:$B$113,0)),0)</f>
        <v/>
      </c>
      <c r="U43" s="25" t="n">
        <v>5</v>
      </c>
      <c r="V43" s="25" t="n">
        <v>5</v>
      </c>
      <c r="W43" s="25" t="n">
        <v>4</v>
      </c>
      <c r="X43" s="25">
        <f>MAX(1,MIN(5,(N($O43)*0.50)+(N($Q43)*0.25)+((N($T43)/20)*0.25)))</f>
        <v/>
      </c>
      <c r="Y43" s="25">
        <f>MAX(1,MIN(5,(($R43-1)*1.6)+('Resilience &amp; Risk Scenario'!$B$7*0.45)+IF($S43&lt;=3,0.8,0)))</f>
        <v/>
      </c>
      <c r="Z43" s="25">
        <f>MAX(1,MIN(5,(N($O43)*0.45)+(MIN(5,5*N($M43)/MAX(1,N($K43)))*0.35)+(N($V43)*0.20)))</f>
        <v/>
      </c>
      <c r="AA43" s="25">
        <f>MAX(1,MIN(5,($U43*0.40)+($W43*0.30)+(($T43/20)*0.30)))</f>
        <v/>
      </c>
      <c r="AB43" s="25" t="n">
        <v>4</v>
      </c>
      <c r="AC43" s="25">
        <f>IF($AB43=0,"",ROUND((N($X43)+N($Y43)+N($Z43)+N($AA43))/$AB43,2))</f>
        <v/>
      </c>
      <c r="AD43" s="25">
        <f>IF($AC43="","",_xlfn.RANK.EQ($AC43,$AC$5:$AC$76,0)+COUNTIF($AC$5:$AC43,$AC43)-1)</f>
        <v/>
      </c>
      <c r="AE43" s="25">
        <f>IF($AD43="","",IF($AD43&lt;=cfg_TimelineBucket1,"0-90 days",IF($AD43&lt;=cfg_TimelineBucket2,"3-6 months",IF($AD43&lt;=cfg_TimelineBucket3,"6-12 months","12+ months"))))</f>
        <v/>
      </c>
      <c r="AF43" s="25" t="inlineStr">
        <is>
          <t>COO / Plant Manager / MES Lead</t>
        </is>
      </c>
      <c r="AG43" s="25" t="inlineStr">
        <is>
          <t>3-6 months</t>
        </is>
      </c>
      <c r="AH43" s="25" t="inlineStr">
        <is>
          <t>Executive sponsor; accountable process owner; baseline evidence; risk acceptance threshold; supplier/process map; operational data</t>
        </is>
      </c>
      <c r="AI43" s="25" t="inlineStr">
        <is>
          <t>maturity score improvement; open risk reduction; evidence completeness; control test pass rate; OEE visibility; downtime reduction; OT security coverage</t>
        </is>
      </c>
      <c r="AJ43" s="25" t="inlineStr">
        <is>
          <t>Documented quality and safety operating model, owner/RACI, KPI set, evidence pack, tested crisis playbook and improvement backlog.</t>
        </is>
      </c>
      <c r="AK43" s="25" t="inlineStr">
        <is>
          <t>Counts active next-level recommendations for Manufacturing MES / Quality and safety.</t>
        </is>
      </c>
      <c r="AL43" s="25" t="inlineStr">
        <is>
          <t>Counts active risks and risk scores for Manufacturing MES / Quality and safety.</t>
        </is>
      </c>
      <c r="AM43" s="25" t="inlineStr">
        <is>
          <t>Uses the current rank and total score of Manufacturing Continuity and MES Strategy.</t>
        </is>
      </c>
      <c r="AN43" s="25" t="inlineStr">
        <is>
          <t>Trigger when avg score &lt; 4, active risk exists, active recommendation exists or strategy rank &lt;= 3.</t>
        </is>
      </c>
      <c r="AO43" s="25" t="inlineStr">
        <is>
          <t>Not started</t>
        </is>
      </c>
      <c r="AP43" s="25" t="inlineStr">
        <is>
          <t>Medium-High</t>
        </is>
      </c>
      <c r="AQ43" s="25" t="n"/>
      <c r="AR43" s="25" t="n"/>
      <c r="AS43" s="247">
        <f>IFERROR(IF(SUMIFS(_REF_Model_Content!$J$1:$J$157,_REF_Model_Content!$A$1:$A$157,'Company Profile'!$B$9,_REF_Model_Content!$B$1:$B$157,$B43)=0,1,SUMIFS(_REF_Model_Content!$J$1:$J$157,_REF_Model_Content!$A$1:$A$157,'Company Profile'!$B$9,_REF_Model_Content!$B$1:$B$157,$B43)),1)</f>
        <v/>
      </c>
      <c r="AT43" s="247">
        <f>IF(OR($AY43="Done",$AY43="Not applicable"),"",IF($AC43="","",ROUND(N($AC43)*N($AS43),2)))</f>
        <v/>
      </c>
      <c r="AU43" s="247">
        <f>IF($AT43="","",_xlfn.RANK.EQ($AT43,$AT$5:$AT$76,0)+COUNTIF($AT$5:AT43,$AT43)-1)</f>
        <v/>
      </c>
      <c r="AV43" s="247">
        <f>IFERROR(INDEX('_DATA_Dashboard_Facts'!$G$300:$G$316,MATCH($B43,'_DATA_Dashboard_Facts'!$A$300:$A$316,0)),"")</f>
        <v/>
      </c>
      <c r="AW43" s="247">
        <f>IF($AS43&gt;cfg_IndPriorityHigh,"Industry template increases priority",IF($AS43&lt;cfg_IndPriorityLow,"Industry template lowers priority","Industry-neutral priority"))</f>
        <v/>
      </c>
      <c r="AX43">
        <f>IFERROR(INDEX('Action Plan &amp; Roadmap'!$D$59:$D$130,MATCH($A43,'Action Plan &amp; Roadmap'!$A$59:$A$130,0)),"")</f>
      </c>
      <c r="AY43">
        <f>IF($AX43&lt;&gt;"",$AX43,IF($AO43="","Not started",$AO43))</f>
        <v/>
      </c>
      <c r="AZ43" t="inlineStr">
        <is>
          <t>Percentage of supply chain FTEs added/hired in the past 12 months attributed to AI; Percentage change in finished goods inventory turns in the past 12 months</t>
        </is>
      </c>
      <c r="BA43">
        <f>IF($A43="","",COUNTIF('_DATA_Mappings'!$A:$A,$A43))</f>
        <v/>
      </c>
      <c r="BB43">
        <f>IF($A43="","",IFERROR(AVERAGEIF('_DATA_Mappings'!$A:$A,$A43,'_DATA_Mappings'!$G:$G),0))</f>
        <v/>
      </c>
      <c r="BC43">
        <f>IF($A43="","",MAX(0,MIN(5,(N($O43)*0.50)+(N($V43)*0.30)+(N($W43)*0.20))))</f>
        <v/>
      </c>
      <c r="BD43">
        <f>IF($A43="","",MAX(1,MIN(5,($Z43*0.45)+(MIN(5,$BB43/5)*0.35)+($BC43*0.20))))</f>
        <v/>
      </c>
      <c r="BE43">
        <f>IF($AB43=0,"",ROUND((N($X43)+N($Y43)+N($BD43)+N($AA43))/$AB43,2))</f>
        <v/>
      </c>
      <c r="BF43">
        <f>IF(OR($BE43="",$AY43="Done",$AY43="Not applicable"),"",ROUND($BE43*N($AS43),2))</f>
        <v/>
      </c>
      <c r="BG43">
        <f>IF($BF43="","",_xlfn.RANK.EQ($BF43,$BF$5:$BF$76,0)+COUNTIF($BF$5:$BF43,$BF43)-1)</f>
        <v/>
      </c>
      <c r="BH43">
        <f>IF($A43="","",IF($BB43&gt;20,"High P1 risk pressure",IF($BB43&gt;12,"Moderate P1 risk pressure","Lower P1 risk pressure")))</f>
        <v/>
      </c>
      <c r="BI43" s="25">
        <f>'_CONFIG_Model_Settings'!$B$103</f>
        <v/>
      </c>
      <c r="BJ43" s="25">
        <f>IFERROR(INDEX('_CONFIG_Model_Settings'!$B$109:$B$113,MATCH($BI43,'_CONFIG_Model_Settings'!$A$109:$A$113,0)),0.30)</f>
        <v/>
      </c>
      <c r="BK43" s="25">
        <f>IFERROR(INDEX('_CONFIG_Model_Settings'!$C$109:$C$113,MATCH($BI43,'_CONFIG_Model_Settings'!$A$109:$A$113,0)),0.20)</f>
        <v/>
      </c>
      <c r="BL43" s="25">
        <f>IFERROR(INDEX('_CONFIG_Model_Settings'!$D$109:$D$113,MATCH($BI43,'_CONFIG_Model_Settings'!$A$109:$A$113,0)),0.25)</f>
        <v/>
      </c>
      <c r="BM43" s="25">
        <f>IFERROR(INDEX('_CONFIG_Model_Settings'!$E$109:$E$113,MATCH($BI43,'_CONFIG_Model_Settings'!$A$109:$A$113,0)),0.25)</f>
        <v/>
      </c>
      <c r="BN43" s="25">
        <f>IFERROR(INDEX('_CONFIG_Model_Settings'!$B$117:$B$123,MATCH('_CONFIG_Model_Settings'!$B$104,'_CONFIG_Model_Settings'!$A$117:$A$123,0)),1)</f>
        <v/>
      </c>
      <c r="BO43" s="25">
        <f>IFERROR(INDEX('_CONFIG_Model_Settings'!$C$117:$C$123,MATCH('_CONFIG_Model_Settings'!$B$104,'_CONFIG_Model_Settings'!$A$117:$A$123,0)),1)</f>
        <v/>
      </c>
      <c r="BP43" s="25">
        <f>IFERROR(INDEX('_CONFIG_Model_Settings'!$D$117:$D$123,MATCH('_CONFIG_Model_Settings'!$B$104,'_CONFIG_Model_Settings'!$A$117:$A$123,0)),1)</f>
        <v/>
      </c>
      <c r="BQ43" s="25">
        <f>IFERROR(INDEX('_CONFIG_Model_Settings'!$E$117:$E$123,MATCH('_CONFIG_Model_Settings'!$B$104,'_CONFIG_Model_Settings'!$A$117:$A$123,0)),1)</f>
        <v/>
      </c>
      <c r="BR43" s="25">
        <f>IF($A43="","",MIN(5,IFERROR(SUMIF('_DATA_Mappings'!$A:$A,$A43,'_DATA_Mappings'!$K:$K)/MAX(1,'_CONFIG_Model_Settings'!$B$105),0)))</f>
        <v/>
      </c>
      <c r="BS43" s="25">
        <f>IF($A43="","",ROUND((N($X43)*N($BJ43)*N($BN43)+N($Y43)*N($BK43)*N($BO43)+N($BD43)*N($BL43)*N($BP43)+N($AA43)*N($BM43)*N($BQ43)+N($BR43)*N('_CONFIG_Model_Settings'!$B$106))/(N($BJ43)*N($BN43)+N($BK43)*N($BO43)+N($BL43)*N($BP43)+N($BM43)*N($BQ43)+N('_CONFIG_Model_Settings'!$B$106)),2))</f>
        <v/>
      </c>
      <c r="BT43" s="25">
        <f>IF($A43="","",MAX(1,N($AB43)))</f>
        <v/>
      </c>
      <c r="BU43" s="25">
        <f>IF(OR($BS43="",$BT43=0),"",ROUND($BS43/$BT43,2))</f>
        <v/>
      </c>
      <c r="BV43" s="25">
        <f>IF(OR($BU43="",$AY43="Done",$AY43="Not applicable"),"",ROUND($BU43*N($AS43),2))</f>
        <v/>
      </c>
      <c r="BW43" s="25">
        <f>IF($BV43="","",_xlfn.RANK.EQ($BV43,$BV$5:$BV$76,0)+COUNTIF($BV$5:$BV43,$BV43)-1)</f>
        <v/>
      </c>
      <c r="BX43" s="25">
        <f>IF($BW43="","",IF($BW43&lt;=cfg_TimelineBucket1,"0-90 days",IF($BW43&lt;=cfg_TimelineBucket2,"3-6 months",IF($BW43&lt;=cfg_TimelineBucket3,"6-12 months","12+ months"))))</f>
        <v/>
      </c>
      <c r="BY43" s="25">
        <f>IF($A43="","","P2: "&amp;$BI43&amp;" posture; objective="&amp;'_CONFIG_Model_Settings'!$B$104&amp;"; financial score="&amp;ROUND(N($BR43),1)&amp;"; CoD="&amp;$BS43)</f>
        <v/>
      </c>
    </row>
    <row r="44" ht="42" customHeight="1" s="209">
      <c r="A44" s="25" t="inlineStr">
        <is>
          <t>INI-040</t>
        </is>
      </c>
      <c r="B44" s="25" t="inlineStr">
        <is>
          <t>Manufacturing MES</t>
        </is>
      </c>
      <c r="C44" s="25" t="inlineStr">
        <is>
          <t>OT security</t>
        </is>
      </c>
      <c r="D44" s="25" t="inlineStr">
        <is>
          <t>Manufacturing Continuity and MES Strategy</t>
        </is>
      </c>
      <c r="E44" s="25" t="inlineStr">
        <is>
          <t>STR-09</t>
        </is>
      </c>
      <c r="F44" s="25" t="inlineStr">
        <is>
          <t>Implement OT security and industrial network resilience controls</t>
        </is>
      </c>
      <c r="G44" s="25" t="inlineStr">
        <is>
          <t>Close maturity gaps in ot security by assigning ownership, documenting the process, connecting it to evidence and systems, testing it against crisis scenarios and measuring improvement.</t>
        </is>
      </c>
      <c r="H44" s="25" t="inlineStr">
        <is>
          <t>Manufacturing, MES and production continuity</t>
        </is>
      </c>
      <c r="I44" s="25" t="inlineStr">
        <is>
          <t>Physical site loss; Energy / utilities outage; Supplier / logistics disruption; Cyberattack / ransomware</t>
        </is>
      </c>
      <c r="J44" s="25" t="inlineStr">
        <is>
          <t>MANU-025; MANU-026; MANU-027; MANU-028</t>
        </is>
      </c>
      <c r="K44" s="25" t="n">
        <v>4</v>
      </c>
      <c r="L44" s="25">
        <f>COUNTIFS('_ENGINE_Risk'!$C$500:$C$923,$B44,'_ENGINE_Risk'!$D$500:$D$923,$C44,'_ENGINE_Risk'!$B$500:$B$923,"Yes")</f>
        <v/>
      </c>
      <c r="M44" s="25">
        <f>COUNTIFS('_ENGINE_Risk'!$C$500:$C$923,$B44,'_ENGINE_Risk'!$D$500:$D$923,$C44,'_ENGINE_Risk'!$B$500:$B$923,"Yes")</f>
        <v/>
      </c>
      <c r="N44" s="25">
        <f>IFERROR(AVERAGEIFS(_DATA_Assessment_Model!$H$5:$H$428,_DATA_Assessment_Model!$AW$5:$AW$428,$B44,_DATA_Assessment_Model!$B$5:$B$428,$C44),"")</f>
        <v/>
      </c>
      <c r="O44" s="25">
        <f>IF($N44="","",MAX(0,5-$N44))</f>
        <v/>
      </c>
      <c r="P44" s="25">
        <f>IFERROR(INDEX(_DATA_Dashboard_Facts!$H$5:$H$21,MATCH($B44,_DATA_Dashboard_Facts!$A$5:$A$21,0)),"")</f>
        <v/>
      </c>
      <c r="Q44" s="25">
        <f>IF($P44="","",MAX(0,5-$P44))</f>
        <v/>
      </c>
      <c r="R44" s="25">
        <f>IFERROR(SUMIFS(_ENGINE_Crisis!$D$5:$D$208,_ENGINE_Crisis!$A$5:$A$208,'Resilience &amp; Risk Scenario'!$B$6,_ENGINE_Crisis!$B$5:$B$208,$B44),1)</f>
        <v/>
      </c>
      <c r="S44" s="25">
        <f>IFERROR(INDEX('_ENGINE_Strategy'!$A$100:$A$113,MATCH($D44,'_ENGINE_Strategy'!$B$100:$B$113,0)),99)</f>
        <v/>
      </c>
      <c r="T44" s="25">
        <f>IFERROR(INDEX('_ENGINE_Strategy'!$J$100:$J$113,MATCH($D44,'_ENGINE_Strategy'!$B$100:$B$113,0)),0)</f>
        <v/>
      </c>
      <c r="U44" s="25" t="n">
        <v>5</v>
      </c>
      <c r="V44" s="25" t="n">
        <v>5</v>
      </c>
      <c r="W44" s="25" t="n">
        <v>4</v>
      </c>
      <c r="X44" s="25">
        <f>MAX(1,MIN(5,(N($O44)*0.50)+(N($Q44)*0.25)+((N($T44)/20)*0.25)))</f>
        <v/>
      </c>
      <c r="Y44" s="25">
        <f>MAX(1,MIN(5,(($R44-1)*1.6)+('Resilience &amp; Risk Scenario'!$B$7*0.45)+IF($S44&lt;=3,0.8,0)))</f>
        <v/>
      </c>
      <c r="Z44" s="25">
        <f>MAX(1,MIN(5,(N($O44)*0.45)+(MIN(5,5*N($M44)/MAX(1,N($K44)))*0.35)+(N($V44)*0.20)))</f>
        <v/>
      </c>
      <c r="AA44" s="25">
        <f>MAX(1,MIN(5,($U44*0.40)+($W44*0.30)+(($T44/20)*0.30)))</f>
        <v/>
      </c>
      <c r="AB44" s="25" t="n">
        <v>4</v>
      </c>
      <c r="AC44" s="25">
        <f>IF($AB44=0,"",ROUND((N($X44)+N($Y44)+N($Z44)+N($AA44))/$AB44,2))</f>
        <v/>
      </c>
      <c r="AD44" s="25">
        <f>IF($AC44="","",_xlfn.RANK.EQ($AC44,$AC$5:$AC$76,0)+COUNTIF($AC$5:$AC44,$AC44)-1)</f>
        <v/>
      </c>
      <c r="AE44" s="25">
        <f>IF($AD44="","",IF($AD44&lt;=cfg_TimelineBucket1,"0-90 days",IF($AD44&lt;=cfg_TimelineBucket2,"3-6 months",IF($AD44&lt;=cfg_TimelineBucket3,"6-12 months","12+ months"))))</f>
        <v/>
      </c>
      <c r="AF44" s="25" t="inlineStr">
        <is>
          <t>COO / Plant Manager / MES Lead</t>
        </is>
      </c>
      <c r="AG44" s="25" t="inlineStr">
        <is>
          <t>3-6 months</t>
        </is>
      </c>
      <c r="AH44" s="25" t="inlineStr">
        <is>
          <t>Executive sponsor; accountable process owner; baseline evidence; risk acceptance threshold; supplier/process map; operational data</t>
        </is>
      </c>
      <c r="AI44" s="25" t="inlineStr">
        <is>
          <t>maturity score improvement; open risk reduction; evidence completeness; control test pass rate; OEE visibility; downtime reduction; OT security coverage</t>
        </is>
      </c>
      <c r="AJ44" s="25" t="inlineStr">
        <is>
          <t>Documented ot security operating model, owner/RACI, KPI set, evidence pack, tested crisis playbook and improvement backlog.</t>
        </is>
      </c>
      <c r="AK44" s="25" t="inlineStr">
        <is>
          <t>Counts active next-level recommendations for Manufacturing MES / OT security.</t>
        </is>
      </c>
      <c r="AL44" s="25" t="inlineStr">
        <is>
          <t>Counts active risks and risk scores for Manufacturing MES / OT security.</t>
        </is>
      </c>
      <c r="AM44" s="25" t="inlineStr">
        <is>
          <t>Uses the current rank and total score of Manufacturing Continuity and MES Strategy.</t>
        </is>
      </c>
      <c r="AN44" s="25" t="inlineStr">
        <is>
          <t>Trigger when avg score &lt; 4, active risk exists, active recommendation exists or strategy rank &lt;= 3.</t>
        </is>
      </c>
      <c r="AO44" s="25" t="inlineStr">
        <is>
          <t>Not started</t>
        </is>
      </c>
      <c r="AP44" s="25" t="inlineStr">
        <is>
          <t>Medium-High</t>
        </is>
      </c>
      <c r="AQ44" s="25" t="n"/>
      <c r="AR44" s="25" t="n"/>
      <c r="AS44" s="247">
        <f>IFERROR(IF(SUMIFS(_REF_Model_Content!$J$1:$J$157,_REF_Model_Content!$A$1:$A$157,'Company Profile'!$B$9,_REF_Model_Content!$B$1:$B$157,$B44)=0,1,SUMIFS(_REF_Model_Content!$J$1:$J$157,_REF_Model_Content!$A$1:$A$157,'Company Profile'!$B$9,_REF_Model_Content!$B$1:$B$157,$B44)),1)</f>
        <v/>
      </c>
      <c r="AT44" s="247">
        <f>IF(OR($AY44="Done",$AY44="Not applicable"),"",IF($AC44="","",ROUND(N($AC44)*N($AS44),2)))</f>
        <v/>
      </c>
      <c r="AU44" s="247">
        <f>IF($AT44="","",_xlfn.RANK.EQ($AT44,$AT$5:$AT$76,0)+COUNTIF($AT$5:AT44,$AT44)-1)</f>
        <v/>
      </c>
      <c r="AV44" s="247">
        <f>IFERROR(INDEX('_DATA_Dashboard_Facts'!$G$300:$G$316,MATCH($B44,'_DATA_Dashboard_Facts'!$A$300:$A$316,0)),"")</f>
        <v/>
      </c>
      <c r="AW44" s="247">
        <f>IF($AS44&gt;cfg_IndPriorityHigh,"Industry template increases priority",IF($AS44&lt;cfg_IndPriorityLow,"Industry template lowers priority","Industry-neutral priority"))</f>
        <v/>
      </c>
      <c r="AX44">
        <f>IFERROR(INDEX('Action Plan &amp; Roadmap'!$D$59:$D$130,MATCH($A44,'Action Plan &amp; Roadmap'!$A$59:$A$130,0)),"")</f>
      </c>
      <c r="AY44">
        <f>IF($AX44&lt;&gt;"",$AX44,IF($AO44="","Not started",$AO44))</f>
        <v/>
      </c>
      <c r="AZ44" t="inlineStr">
        <is>
          <t>Percentage of supply chain FTEs added/hired in the past 12 months attributed to AI; Percentage change in finished goods inventory turns in the past 12 months</t>
        </is>
      </c>
      <c r="BA44">
        <f>IF($A44="","",COUNTIF('_DATA_Mappings'!$A:$A,$A44))</f>
        <v/>
      </c>
      <c r="BB44">
        <f>IF($A44="","",IFERROR(AVERAGEIF('_DATA_Mappings'!$A:$A,$A44,'_DATA_Mappings'!$G:$G),0))</f>
        <v/>
      </c>
      <c r="BC44">
        <f>IF($A44="","",MAX(0,MIN(5,(N($O44)*0.50)+(N($V44)*0.30)+(N($W44)*0.20))))</f>
        <v/>
      </c>
      <c r="BD44">
        <f>IF($A44="","",MAX(1,MIN(5,($Z44*0.45)+(MIN(5,$BB44/5)*0.35)+($BC44*0.20))))</f>
        <v/>
      </c>
      <c r="BE44">
        <f>IF($AB44=0,"",ROUND((N($X44)+N($Y44)+N($BD44)+N($AA44))/$AB44,2))</f>
        <v/>
      </c>
      <c r="BF44">
        <f>IF(OR($BE44="",$AY44="Done",$AY44="Not applicable"),"",ROUND($BE44*N($AS44),2))</f>
        <v/>
      </c>
      <c r="BG44">
        <f>IF($BF44="","",_xlfn.RANK.EQ($BF44,$BF$5:$BF$76,0)+COUNTIF($BF$5:$BF44,$BF44)-1)</f>
        <v/>
      </c>
      <c r="BH44">
        <f>IF($A44="","",IF($BB44&gt;20,"High P1 risk pressure",IF($BB44&gt;12,"Moderate P1 risk pressure","Lower P1 risk pressure")))</f>
        <v/>
      </c>
      <c r="BI44" s="25">
        <f>'_CONFIG_Model_Settings'!$B$103</f>
        <v/>
      </c>
      <c r="BJ44" s="25">
        <f>IFERROR(INDEX('_CONFIG_Model_Settings'!$B$109:$B$113,MATCH($BI44,'_CONFIG_Model_Settings'!$A$109:$A$113,0)),0.30)</f>
        <v/>
      </c>
      <c r="BK44" s="25">
        <f>IFERROR(INDEX('_CONFIG_Model_Settings'!$C$109:$C$113,MATCH($BI44,'_CONFIG_Model_Settings'!$A$109:$A$113,0)),0.20)</f>
        <v/>
      </c>
      <c r="BL44" s="25">
        <f>IFERROR(INDEX('_CONFIG_Model_Settings'!$D$109:$D$113,MATCH($BI44,'_CONFIG_Model_Settings'!$A$109:$A$113,0)),0.25)</f>
        <v/>
      </c>
      <c r="BM44" s="25">
        <f>IFERROR(INDEX('_CONFIG_Model_Settings'!$E$109:$E$113,MATCH($BI44,'_CONFIG_Model_Settings'!$A$109:$A$113,0)),0.25)</f>
        <v/>
      </c>
      <c r="BN44" s="25">
        <f>IFERROR(INDEX('_CONFIG_Model_Settings'!$B$117:$B$123,MATCH('_CONFIG_Model_Settings'!$B$104,'_CONFIG_Model_Settings'!$A$117:$A$123,0)),1)</f>
        <v/>
      </c>
      <c r="BO44" s="25">
        <f>IFERROR(INDEX('_CONFIG_Model_Settings'!$C$117:$C$123,MATCH('_CONFIG_Model_Settings'!$B$104,'_CONFIG_Model_Settings'!$A$117:$A$123,0)),1)</f>
        <v/>
      </c>
      <c r="BP44" s="25">
        <f>IFERROR(INDEX('_CONFIG_Model_Settings'!$D$117:$D$123,MATCH('_CONFIG_Model_Settings'!$B$104,'_CONFIG_Model_Settings'!$A$117:$A$123,0)),1)</f>
        <v/>
      </c>
      <c r="BQ44" s="25">
        <f>IFERROR(INDEX('_CONFIG_Model_Settings'!$E$117:$E$123,MATCH('_CONFIG_Model_Settings'!$B$104,'_CONFIG_Model_Settings'!$A$117:$A$123,0)),1)</f>
        <v/>
      </c>
      <c r="BR44" s="25">
        <f>IF($A44="","",MIN(5,IFERROR(SUMIF('_DATA_Mappings'!$A:$A,$A44,'_DATA_Mappings'!$K:$K)/MAX(1,'_CONFIG_Model_Settings'!$B$105),0)))</f>
        <v/>
      </c>
      <c r="BS44" s="25">
        <f>IF($A44="","",ROUND((N($X44)*N($BJ44)*N($BN44)+N($Y44)*N($BK44)*N($BO44)+N($BD44)*N($BL44)*N($BP44)+N($AA44)*N($BM44)*N($BQ44)+N($BR44)*N('_CONFIG_Model_Settings'!$B$106))/(N($BJ44)*N($BN44)+N($BK44)*N($BO44)+N($BL44)*N($BP44)+N($BM44)*N($BQ44)+N('_CONFIG_Model_Settings'!$B$106)),2))</f>
        <v/>
      </c>
      <c r="BT44" s="25">
        <f>IF($A44="","",MAX(1,N($AB44)))</f>
        <v/>
      </c>
      <c r="BU44" s="25">
        <f>IF(OR($BS44="",$BT44=0),"",ROUND($BS44/$BT44,2))</f>
        <v/>
      </c>
      <c r="BV44" s="25">
        <f>IF(OR($BU44="",$AY44="Done",$AY44="Not applicable"),"",ROUND($BU44*N($AS44),2))</f>
        <v/>
      </c>
      <c r="BW44" s="25">
        <f>IF($BV44="","",_xlfn.RANK.EQ($BV44,$BV$5:$BV$76,0)+COUNTIF($BV$5:$BV44,$BV44)-1)</f>
        <v/>
      </c>
      <c r="BX44" s="25">
        <f>IF($BW44="","",IF($BW44&lt;=cfg_TimelineBucket1,"0-90 days",IF($BW44&lt;=cfg_TimelineBucket2,"3-6 months",IF($BW44&lt;=cfg_TimelineBucket3,"6-12 months","12+ months"))))</f>
        <v/>
      </c>
      <c r="BY44" s="25">
        <f>IF($A44="","","P2: "&amp;$BI44&amp;" posture; objective="&amp;'_CONFIG_Model_Settings'!$B$104&amp;"; financial score="&amp;ROUND(N($BR44),1)&amp;"; CoD="&amp;$BS44)</f>
        <v/>
      </c>
    </row>
    <row r="45" ht="42" customHeight="1" s="209">
      <c r="A45" s="25" t="inlineStr">
        <is>
          <t>INI-041</t>
        </is>
      </c>
      <c r="B45" s="25" t="inlineStr">
        <is>
          <t>Sales CRM</t>
        </is>
      </c>
      <c r="C45" s="25" t="inlineStr">
        <is>
          <t>CRM foundation</t>
        </is>
      </c>
      <c r="D45" s="25" t="inlineStr">
        <is>
          <t>Customer Retention and Revenue Protection Strategy</t>
        </is>
      </c>
      <c r="E45" s="25" t="inlineStr">
        <is>
          <t>STR-12</t>
        </is>
      </c>
      <c r="F45" s="25" t="inlineStr">
        <is>
          <t>Stabilize CRM data model, ownership and adoption</t>
        </is>
      </c>
      <c r="G45" s="25" t="inlineStr">
        <is>
          <t>Close maturity gaps in crm foundation by assigning ownership, documenting the process, connecting it to evidence and systems, testing it against crisis scenarios and measuring improvement.</t>
        </is>
      </c>
      <c r="H45" s="25" t="inlineStr">
        <is>
          <t>Revenue, sales pipeline and CRM continuity</t>
        </is>
      </c>
      <c r="I45" s="25" t="inlineStr">
        <is>
          <t>Demand shock; Key customer loss; Reputation crisis; Cloud / SaaS outage</t>
        </is>
      </c>
      <c r="J45" s="25" t="inlineStr">
        <is>
          <t>SALE-001; SALE-002; SALE-003; SALE-004; SALE-005</t>
        </is>
      </c>
      <c r="K45" s="25" t="n">
        <v>5</v>
      </c>
      <c r="L45" s="25">
        <f>COUNTIFS('_ENGINE_Risk'!$C$500:$C$923,$B45,'_ENGINE_Risk'!$D$500:$D$923,$C45,'_ENGINE_Risk'!$B$500:$B$923,"Yes")</f>
        <v/>
      </c>
      <c r="M45" s="25">
        <f>COUNTIFS('_ENGINE_Risk'!$C$500:$C$923,$B45,'_ENGINE_Risk'!$D$500:$D$923,$C45,'_ENGINE_Risk'!$B$500:$B$923,"Yes")</f>
        <v/>
      </c>
      <c r="N45" s="25">
        <f>IFERROR(AVERAGEIFS(_DATA_Assessment_Model!$H$5:$H$428,_DATA_Assessment_Model!$AW$5:$AW$428,$B45,_DATA_Assessment_Model!$B$5:$B$428,$C45),"")</f>
        <v/>
      </c>
      <c r="O45" s="25">
        <f>IF($N45="","",MAX(0,5-$N45))</f>
        <v/>
      </c>
      <c r="P45" s="25">
        <f>IFERROR(INDEX(_DATA_Dashboard_Facts!$H$5:$H$21,MATCH($B45,_DATA_Dashboard_Facts!$A$5:$A$21,0)),"")</f>
        <v/>
      </c>
      <c r="Q45" s="25">
        <f>IF($P45="","",MAX(0,5-$P45))</f>
        <v/>
      </c>
      <c r="R45" s="25">
        <f>IFERROR(SUMIFS(_ENGINE_Crisis!$D$5:$D$208,_ENGINE_Crisis!$A$5:$A$208,'Resilience &amp; Risk Scenario'!$B$6,_ENGINE_Crisis!$B$5:$B$208,$B45),1)</f>
        <v/>
      </c>
      <c r="S45" s="25">
        <f>IFERROR(INDEX('_ENGINE_Strategy'!$A$100:$A$113,MATCH($D45,'_ENGINE_Strategy'!$B$100:$B$113,0)),99)</f>
        <v/>
      </c>
      <c r="T45" s="25">
        <f>IFERROR(INDEX('_ENGINE_Strategy'!$J$100:$J$113,MATCH($D45,'_ENGINE_Strategy'!$B$100:$B$113,0)),0)</f>
        <v/>
      </c>
      <c r="U45" s="25" t="n">
        <v>4</v>
      </c>
      <c r="V45" s="25" t="n">
        <v>4</v>
      </c>
      <c r="W45" s="25" t="n">
        <v>4</v>
      </c>
      <c r="X45" s="25">
        <f>MAX(1,MIN(5,(N($O45)*0.50)+(N($Q45)*0.25)+((N($T45)/20)*0.25)))</f>
        <v/>
      </c>
      <c r="Y45" s="25">
        <f>MAX(1,MIN(5,(($R45-1)*1.6)+('Resilience &amp; Risk Scenario'!$B$7*0.45)+IF($S45&lt;=3,0.8,0)))</f>
        <v/>
      </c>
      <c r="Z45" s="25">
        <f>MAX(1,MIN(5,(N($O45)*0.45)+(MIN(5,5*N($M45)/MAX(1,N($K45)))*0.35)+(N($V45)*0.20)))</f>
        <v/>
      </c>
      <c r="AA45" s="25">
        <f>MAX(1,MIN(5,($U45*0.40)+($W45*0.30)+(($T45/20)*0.30)))</f>
        <v/>
      </c>
      <c r="AB45" s="25" t="n">
        <v>3</v>
      </c>
      <c r="AC45" s="25">
        <f>IF($AB45=0,"",ROUND((N($X45)+N($Y45)+N($Z45)+N($AA45))/$AB45,2))</f>
        <v/>
      </c>
      <c r="AD45" s="25">
        <f>IF($AC45="","",_xlfn.RANK.EQ($AC45,$AC$5:$AC$76,0)+COUNTIF($AC$5:$AC45,$AC45)-1)</f>
        <v/>
      </c>
      <c r="AE45" s="25">
        <f>IF($AD45="","",IF($AD45&lt;=cfg_TimelineBucket1,"0-90 days",IF($AD45&lt;=cfg_TimelineBucket2,"3-6 months",IF($AD45&lt;=cfg_TimelineBucket3,"6-12 months","12+ months"))))</f>
        <v/>
      </c>
      <c r="AF45" s="25" t="inlineStr">
        <is>
          <t>CRO / Head of Sales</t>
        </is>
      </c>
      <c r="AG45" s="25" t="inlineStr">
        <is>
          <t>2-3 months</t>
        </is>
      </c>
      <c r="AH45" s="25" t="inlineStr">
        <is>
          <t>Executive sponsor; accountable process owner; baseline evidence; risk acceptance threshold; customer and pipeline data; market assumptions</t>
        </is>
      </c>
      <c r="AI45" s="25" t="inlineStr">
        <is>
          <t>maturity score improvement; open risk reduction; evidence completeness; control test pass rate; forecast accuracy; customer concentration reduction</t>
        </is>
      </c>
      <c r="AJ45" s="25" t="inlineStr">
        <is>
          <t>Documented crm foundation operating model, owner/RACI, KPI set, evidence pack, tested crisis playbook and improvement backlog.</t>
        </is>
      </c>
      <c r="AK45" s="25" t="inlineStr">
        <is>
          <t>Counts active next-level recommendations for Sales CRM / CRM foundation.</t>
        </is>
      </c>
      <c r="AL45" s="25" t="inlineStr">
        <is>
          <t>Counts active risks and risk scores for Sales CRM / CRM foundation.</t>
        </is>
      </c>
      <c r="AM45" s="25" t="inlineStr">
        <is>
          <t>Uses the current rank and total score of Customer Retention and Revenue Protection Strategy.</t>
        </is>
      </c>
      <c r="AN45" s="25" t="inlineStr">
        <is>
          <t>Trigger when avg score &lt; 4, active risk exists, active recommendation exists or strategy rank &lt;= 3.</t>
        </is>
      </c>
      <c r="AO45" s="25" t="inlineStr">
        <is>
          <t>Not started</t>
        </is>
      </c>
      <c r="AP45" s="25" t="inlineStr">
        <is>
          <t>Medium</t>
        </is>
      </c>
      <c r="AQ45" s="25" t="n"/>
      <c r="AR45" s="25" t="n"/>
      <c r="AS45" s="247">
        <f>IFERROR(IF(SUMIFS(_REF_Model_Content!$J$1:$J$157,_REF_Model_Content!$A$1:$A$157,'Company Profile'!$B$9,_REF_Model_Content!$B$1:$B$157,$B45)=0,1,SUMIFS(_REF_Model_Content!$J$1:$J$157,_REF_Model_Content!$A$1:$A$157,'Company Profile'!$B$9,_REF_Model_Content!$B$1:$B$157,$B45)),1)</f>
        <v/>
      </c>
      <c r="AT45" s="247">
        <f>IF(OR($AY45="Done",$AY45="Not applicable"),"",IF($AC45="","",ROUND(N($AC45)*N($AS45),2)))</f>
        <v/>
      </c>
      <c r="AU45" s="247">
        <f>IF($AT45="","",_xlfn.RANK.EQ($AT45,$AT$5:$AT$76,0)+COUNTIF($AT$5:AT45,$AT45)-1)</f>
        <v/>
      </c>
      <c r="AV45" s="247">
        <f>IFERROR(INDEX('_DATA_Dashboard_Facts'!$G$300:$G$316,MATCH($B45,'_DATA_Dashboard_Facts'!$A$300:$A$316,0)),"")</f>
        <v/>
      </c>
      <c r="AW45" s="247">
        <f>IF($AS45&gt;cfg_IndPriorityHigh,"Industry template increases priority",IF($AS45&lt;cfg_IndPriorityLow,"Industry template lowers priority","Industry-neutral priority"))</f>
        <v/>
      </c>
      <c r="AX45">
        <f>IFERROR(INDEX('Action Plan &amp; Roadmap'!$D$59:$D$130,MATCH($A45,'Action Plan &amp; Roadmap'!$A$59:$A$130,0)),"")</f>
      </c>
      <c r="AY45">
        <f>IF($AX45&lt;&gt;"",$AX45,IF($AO45="","Not started",$AO45))</f>
        <v/>
      </c>
      <c r="AZ45" t="inlineStr">
        <is>
          <t>Number of sales &amp; marketing FTEs as a percentage of total business entity FTEs; B2B business customer one-year attrition rate</t>
        </is>
      </c>
      <c r="BA45">
        <f>IF($A45="","",COUNTIF('_DATA_Mappings'!$A:$A,$A45))</f>
        <v/>
      </c>
      <c r="BB45">
        <f>IF($A45="","",IFERROR(AVERAGEIF('_DATA_Mappings'!$A:$A,$A45,'_DATA_Mappings'!$G:$G),0))</f>
        <v/>
      </c>
      <c r="BC45">
        <f>IF($A45="","",MAX(0,MIN(5,(N($O45)*0.50)+(N($V45)*0.30)+(N($W45)*0.20))))</f>
        <v/>
      </c>
      <c r="BD45">
        <f>IF($A45="","",MAX(1,MIN(5,($Z45*0.45)+(MIN(5,$BB45/5)*0.35)+($BC45*0.20))))</f>
        <v/>
      </c>
      <c r="BE45">
        <f>IF($AB45=0,"",ROUND((N($X45)+N($Y45)+N($BD45)+N($AA45))/$AB45,2))</f>
        <v/>
      </c>
      <c r="BF45">
        <f>IF(OR($BE45="",$AY45="Done",$AY45="Not applicable"),"",ROUND($BE45*N($AS45),2))</f>
        <v/>
      </c>
      <c r="BG45">
        <f>IF($BF45="","",_xlfn.RANK.EQ($BF45,$BF$5:$BF$76,0)+COUNTIF($BF$5:$BF45,$BF45)-1)</f>
        <v/>
      </c>
      <c r="BH45">
        <f>IF($A45="","",IF($BB45&gt;20,"High P1 risk pressure",IF($BB45&gt;12,"Moderate P1 risk pressure","Lower P1 risk pressure")))</f>
        <v/>
      </c>
      <c r="BI45" s="25">
        <f>'_CONFIG_Model_Settings'!$B$103</f>
        <v/>
      </c>
      <c r="BJ45" s="25">
        <f>IFERROR(INDEX('_CONFIG_Model_Settings'!$B$109:$B$113,MATCH($BI45,'_CONFIG_Model_Settings'!$A$109:$A$113,0)),0.30)</f>
        <v/>
      </c>
      <c r="BK45" s="25">
        <f>IFERROR(INDEX('_CONFIG_Model_Settings'!$C$109:$C$113,MATCH($BI45,'_CONFIG_Model_Settings'!$A$109:$A$113,0)),0.20)</f>
        <v/>
      </c>
      <c r="BL45" s="25">
        <f>IFERROR(INDEX('_CONFIG_Model_Settings'!$D$109:$D$113,MATCH($BI45,'_CONFIG_Model_Settings'!$A$109:$A$113,0)),0.25)</f>
        <v/>
      </c>
      <c r="BM45" s="25">
        <f>IFERROR(INDEX('_CONFIG_Model_Settings'!$E$109:$E$113,MATCH($BI45,'_CONFIG_Model_Settings'!$A$109:$A$113,0)),0.25)</f>
        <v/>
      </c>
      <c r="BN45" s="25">
        <f>IFERROR(INDEX('_CONFIG_Model_Settings'!$B$117:$B$123,MATCH('_CONFIG_Model_Settings'!$B$104,'_CONFIG_Model_Settings'!$A$117:$A$123,0)),1)</f>
        <v/>
      </c>
      <c r="BO45" s="25">
        <f>IFERROR(INDEX('_CONFIG_Model_Settings'!$C$117:$C$123,MATCH('_CONFIG_Model_Settings'!$B$104,'_CONFIG_Model_Settings'!$A$117:$A$123,0)),1)</f>
        <v/>
      </c>
      <c r="BP45" s="25">
        <f>IFERROR(INDEX('_CONFIG_Model_Settings'!$D$117:$D$123,MATCH('_CONFIG_Model_Settings'!$B$104,'_CONFIG_Model_Settings'!$A$117:$A$123,0)),1)</f>
        <v/>
      </c>
      <c r="BQ45" s="25">
        <f>IFERROR(INDEX('_CONFIG_Model_Settings'!$E$117:$E$123,MATCH('_CONFIG_Model_Settings'!$B$104,'_CONFIG_Model_Settings'!$A$117:$A$123,0)),1)</f>
        <v/>
      </c>
      <c r="BR45" s="25">
        <f>IF($A45="","",MIN(5,IFERROR(SUMIF('_DATA_Mappings'!$A:$A,$A45,'_DATA_Mappings'!$K:$K)/MAX(1,'_CONFIG_Model_Settings'!$B$105),0)))</f>
        <v/>
      </c>
      <c r="BS45" s="25">
        <f>IF($A45="","",ROUND((N($X45)*N($BJ45)*N($BN45)+N($Y45)*N($BK45)*N($BO45)+N($BD45)*N($BL45)*N($BP45)+N($AA45)*N($BM45)*N($BQ45)+N($BR45)*N('_CONFIG_Model_Settings'!$B$106))/(N($BJ45)*N($BN45)+N($BK45)*N($BO45)+N($BL45)*N($BP45)+N($BM45)*N($BQ45)+N('_CONFIG_Model_Settings'!$B$106)),2))</f>
        <v/>
      </c>
      <c r="BT45" s="25">
        <f>IF($A45="","",MAX(1,N($AB45)))</f>
        <v/>
      </c>
      <c r="BU45" s="25">
        <f>IF(OR($BS45="",$BT45=0),"",ROUND($BS45/$BT45,2))</f>
        <v/>
      </c>
      <c r="BV45" s="25">
        <f>IF(OR($BU45="",$AY45="Done",$AY45="Not applicable"),"",ROUND($BU45*N($AS45),2))</f>
        <v/>
      </c>
      <c r="BW45" s="25">
        <f>IF($BV45="","",_xlfn.RANK.EQ($BV45,$BV$5:$BV$76,0)+COUNTIF($BV$5:$BV45,$BV45)-1)</f>
        <v/>
      </c>
      <c r="BX45" s="25">
        <f>IF($BW45="","",IF($BW45&lt;=cfg_TimelineBucket1,"0-90 days",IF($BW45&lt;=cfg_TimelineBucket2,"3-6 months",IF($BW45&lt;=cfg_TimelineBucket3,"6-12 months","12+ months"))))</f>
        <v/>
      </c>
      <c r="BY45" s="25">
        <f>IF($A45="","","P2: "&amp;$BI45&amp;" posture; objective="&amp;'_CONFIG_Model_Settings'!$B$104&amp;"; financial score="&amp;ROUND(N($BR45),1)&amp;"; CoD="&amp;$BS45)</f>
        <v/>
      </c>
    </row>
    <row r="46" ht="42" customHeight="1" s="209">
      <c r="A46" s="25" t="inlineStr">
        <is>
          <t>INI-042</t>
        </is>
      </c>
      <c r="B46" s="25" t="inlineStr">
        <is>
          <t>Sales CRM</t>
        </is>
      </c>
      <c r="C46" s="25" t="inlineStr">
        <is>
          <t>Pipeline and forecast</t>
        </is>
      </c>
      <c r="D46" s="25" t="inlineStr">
        <is>
          <t>Customer Retention and Revenue Protection Strategy</t>
        </is>
      </c>
      <c r="E46" s="25" t="inlineStr">
        <is>
          <t>STR-12</t>
        </is>
      </c>
      <c r="F46" s="25" t="inlineStr">
        <is>
          <t>Build pipeline visibility, forecast discipline and revenue scenarios</t>
        </is>
      </c>
      <c r="G46" s="25" t="inlineStr">
        <is>
          <t>Close maturity gaps in pipeline and forecast by assigning ownership, documenting the process, connecting it to evidence and systems, testing it against crisis scenarios and measuring improvement.</t>
        </is>
      </c>
      <c r="H46" s="25" t="inlineStr">
        <is>
          <t>Revenue, sales pipeline and CRM continuity</t>
        </is>
      </c>
      <c r="I46" s="25" t="inlineStr">
        <is>
          <t>Demand shock; Key customer loss; Reputation crisis; Cloud / SaaS outage</t>
        </is>
      </c>
      <c r="J46" s="25" t="inlineStr">
        <is>
          <t>SALE-006; SALE-007; SALE-008; SALE-009; SALE-010</t>
        </is>
      </c>
      <c r="K46" s="25" t="n">
        <v>5</v>
      </c>
      <c r="L46" s="25">
        <f>COUNTIFS('_ENGINE_Risk'!$C$500:$C$923,$B46,'_ENGINE_Risk'!$D$500:$D$923,$C46,'_ENGINE_Risk'!$B$500:$B$923,"Yes")</f>
        <v/>
      </c>
      <c r="M46" s="25">
        <f>COUNTIFS('_ENGINE_Risk'!$C$500:$C$923,$B46,'_ENGINE_Risk'!$D$500:$D$923,$C46,'_ENGINE_Risk'!$B$500:$B$923,"Yes")</f>
        <v/>
      </c>
      <c r="N46" s="25">
        <f>IFERROR(AVERAGEIFS(_DATA_Assessment_Model!$H$5:$H$428,_DATA_Assessment_Model!$AW$5:$AW$428,$B46,_DATA_Assessment_Model!$B$5:$B$428,$C46),"")</f>
        <v/>
      </c>
      <c r="O46" s="25">
        <f>IF($N46="","",MAX(0,5-$N46))</f>
        <v/>
      </c>
      <c r="P46" s="25">
        <f>IFERROR(INDEX(_DATA_Dashboard_Facts!$H$5:$H$21,MATCH($B46,_DATA_Dashboard_Facts!$A$5:$A$21,0)),"")</f>
        <v/>
      </c>
      <c r="Q46" s="25">
        <f>IF($P46="","",MAX(0,5-$P46))</f>
        <v/>
      </c>
      <c r="R46" s="25">
        <f>IFERROR(SUMIFS(_ENGINE_Crisis!$D$5:$D$208,_ENGINE_Crisis!$A$5:$A$208,'Resilience &amp; Risk Scenario'!$B$6,_ENGINE_Crisis!$B$5:$B$208,$B46),1)</f>
        <v/>
      </c>
      <c r="S46" s="25">
        <f>IFERROR(INDEX('_ENGINE_Strategy'!$A$100:$A$113,MATCH($D46,'_ENGINE_Strategy'!$B$100:$B$113,0)),99)</f>
        <v/>
      </c>
      <c r="T46" s="25">
        <f>IFERROR(INDEX('_ENGINE_Strategy'!$J$100:$J$113,MATCH($D46,'_ENGINE_Strategy'!$B$100:$B$113,0)),0)</f>
        <v/>
      </c>
      <c r="U46" s="25" t="n">
        <v>4</v>
      </c>
      <c r="V46" s="25" t="n">
        <v>4</v>
      </c>
      <c r="W46" s="25" t="n">
        <v>4</v>
      </c>
      <c r="X46" s="25">
        <f>MAX(1,MIN(5,(N($O46)*0.50)+(N($Q46)*0.25)+((N($T46)/20)*0.25)))</f>
        <v/>
      </c>
      <c r="Y46" s="25">
        <f>MAX(1,MIN(5,(($R46-1)*1.6)+('Resilience &amp; Risk Scenario'!$B$7*0.45)+IF($S46&lt;=3,0.8,0)))</f>
        <v/>
      </c>
      <c r="Z46" s="25">
        <f>MAX(1,MIN(5,(N($O46)*0.45)+(MIN(5,5*N($M46)/MAX(1,N($K46)))*0.35)+(N($V46)*0.20)))</f>
        <v/>
      </c>
      <c r="AA46" s="25">
        <f>MAX(1,MIN(5,($U46*0.40)+($W46*0.30)+(($T46/20)*0.30)))</f>
        <v/>
      </c>
      <c r="AB46" s="25" t="n">
        <v>3</v>
      </c>
      <c r="AC46" s="25">
        <f>IF($AB46=0,"",ROUND((N($X46)+N($Y46)+N($Z46)+N($AA46))/$AB46,2))</f>
        <v/>
      </c>
      <c r="AD46" s="25">
        <f>IF($AC46="","",_xlfn.RANK.EQ($AC46,$AC$5:$AC$76,0)+COUNTIF($AC$5:$AC46,$AC46)-1)</f>
        <v/>
      </c>
      <c r="AE46" s="25">
        <f>IF($AD46="","",IF($AD46&lt;=cfg_TimelineBucket1,"0-90 days",IF($AD46&lt;=cfg_TimelineBucket2,"3-6 months",IF($AD46&lt;=cfg_TimelineBucket3,"6-12 months","12+ months"))))</f>
        <v/>
      </c>
      <c r="AF46" s="25" t="inlineStr">
        <is>
          <t>CRO / Head of Sales</t>
        </is>
      </c>
      <c r="AG46" s="25" t="inlineStr">
        <is>
          <t>2-3 months</t>
        </is>
      </c>
      <c r="AH46" s="25" t="inlineStr">
        <is>
          <t>Executive sponsor; accountable process owner; baseline evidence; risk acceptance threshold; customer and pipeline data; market assumptions</t>
        </is>
      </c>
      <c r="AI46" s="25" t="inlineStr">
        <is>
          <t>maturity score improvement; open risk reduction; evidence completeness; control test pass rate; forecast accuracy; customer concentration reduction</t>
        </is>
      </c>
      <c r="AJ46" s="25" t="inlineStr">
        <is>
          <t>Documented pipeline and forecast operating model, owner/RACI, KPI set, evidence pack, tested crisis playbook and improvement backlog.</t>
        </is>
      </c>
      <c r="AK46" s="25" t="inlineStr">
        <is>
          <t>Counts active next-level recommendations for Sales CRM / Pipeline and forecast.</t>
        </is>
      </c>
      <c r="AL46" s="25" t="inlineStr">
        <is>
          <t>Counts active risks and risk scores for Sales CRM / Pipeline and forecast.</t>
        </is>
      </c>
      <c r="AM46" s="25" t="inlineStr">
        <is>
          <t>Uses the current rank and total score of Customer Retention and Revenue Protection Strategy.</t>
        </is>
      </c>
      <c r="AN46" s="25" t="inlineStr">
        <is>
          <t>Trigger when avg score &lt; 4, active risk exists, active recommendation exists or strategy rank &lt;= 3.</t>
        </is>
      </c>
      <c r="AO46" s="25" t="inlineStr">
        <is>
          <t>Not started</t>
        </is>
      </c>
      <c r="AP46" s="25" t="inlineStr">
        <is>
          <t>Medium</t>
        </is>
      </c>
      <c r="AQ46" s="25" t="n"/>
      <c r="AR46" s="25" t="n"/>
      <c r="AS46" s="247">
        <f>IFERROR(IF(SUMIFS(_REF_Model_Content!$J$1:$J$157,_REF_Model_Content!$A$1:$A$157,'Company Profile'!$B$9,_REF_Model_Content!$B$1:$B$157,$B46)=0,1,SUMIFS(_REF_Model_Content!$J$1:$J$157,_REF_Model_Content!$A$1:$A$157,'Company Profile'!$B$9,_REF_Model_Content!$B$1:$B$157,$B46)),1)</f>
        <v/>
      </c>
      <c r="AT46" s="247">
        <f>IF(OR($AY46="Done",$AY46="Not applicable"),"",IF($AC46="","",ROUND(N($AC46)*N($AS46),2)))</f>
        <v/>
      </c>
      <c r="AU46" s="247">
        <f>IF($AT46="","",_xlfn.RANK.EQ($AT46,$AT$5:$AT$76,0)+COUNTIF($AT$5:AT46,$AT46)-1)</f>
        <v/>
      </c>
      <c r="AV46" s="247">
        <f>IFERROR(INDEX('_DATA_Dashboard_Facts'!$G$300:$G$316,MATCH($B46,'_DATA_Dashboard_Facts'!$A$300:$A$316,0)),"")</f>
        <v/>
      </c>
      <c r="AW46" s="247">
        <f>IF($AS46&gt;cfg_IndPriorityHigh,"Industry template increases priority",IF($AS46&lt;cfg_IndPriorityLow,"Industry template lowers priority","Industry-neutral priority"))</f>
        <v/>
      </c>
      <c r="AX46">
        <f>IFERROR(INDEX('Action Plan &amp; Roadmap'!$D$59:$D$130,MATCH($A46,'Action Plan &amp; Roadmap'!$A$59:$A$130,0)),"")</f>
      </c>
      <c r="AY46">
        <f>IF($AX46&lt;&gt;"",$AX46,IF($AO46="","Not started",$AO46))</f>
        <v/>
      </c>
      <c r="AZ46" t="inlineStr">
        <is>
          <t>Number of sales &amp; marketing FTEs as a percentage of total business entity FTEs; B2B business customer one-year attrition rate</t>
        </is>
      </c>
      <c r="BA46">
        <f>IF($A46="","",COUNTIF('_DATA_Mappings'!$A:$A,$A46))</f>
        <v/>
      </c>
      <c r="BB46">
        <f>IF($A46="","",IFERROR(AVERAGEIF('_DATA_Mappings'!$A:$A,$A46,'_DATA_Mappings'!$G:$G),0))</f>
        <v/>
      </c>
      <c r="BC46">
        <f>IF($A46="","",MAX(0,MIN(5,(N($O46)*0.50)+(N($V46)*0.30)+(N($W46)*0.20))))</f>
        <v/>
      </c>
      <c r="BD46">
        <f>IF($A46="","",MAX(1,MIN(5,($Z46*0.45)+(MIN(5,$BB46/5)*0.35)+($BC46*0.20))))</f>
        <v/>
      </c>
      <c r="BE46">
        <f>IF($AB46=0,"",ROUND((N($X46)+N($Y46)+N($BD46)+N($AA46))/$AB46,2))</f>
        <v/>
      </c>
      <c r="BF46">
        <f>IF(OR($BE46="",$AY46="Done",$AY46="Not applicable"),"",ROUND($BE46*N($AS46),2))</f>
        <v/>
      </c>
      <c r="BG46">
        <f>IF($BF46="","",_xlfn.RANK.EQ($BF46,$BF$5:$BF$76,0)+COUNTIF($BF$5:$BF46,$BF46)-1)</f>
        <v/>
      </c>
      <c r="BH46">
        <f>IF($A46="","",IF($BB46&gt;20,"High P1 risk pressure",IF($BB46&gt;12,"Moderate P1 risk pressure","Lower P1 risk pressure")))</f>
        <v/>
      </c>
      <c r="BI46" s="25">
        <f>'_CONFIG_Model_Settings'!$B$103</f>
        <v/>
      </c>
      <c r="BJ46" s="25">
        <f>IFERROR(INDEX('_CONFIG_Model_Settings'!$B$109:$B$113,MATCH($BI46,'_CONFIG_Model_Settings'!$A$109:$A$113,0)),0.30)</f>
        <v/>
      </c>
      <c r="BK46" s="25">
        <f>IFERROR(INDEX('_CONFIG_Model_Settings'!$C$109:$C$113,MATCH($BI46,'_CONFIG_Model_Settings'!$A$109:$A$113,0)),0.20)</f>
        <v/>
      </c>
      <c r="BL46" s="25">
        <f>IFERROR(INDEX('_CONFIG_Model_Settings'!$D$109:$D$113,MATCH($BI46,'_CONFIG_Model_Settings'!$A$109:$A$113,0)),0.25)</f>
        <v/>
      </c>
      <c r="BM46" s="25">
        <f>IFERROR(INDEX('_CONFIG_Model_Settings'!$E$109:$E$113,MATCH($BI46,'_CONFIG_Model_Settings'!$A$109:$A$113,0)),0.25)</f>
        <v/>
      </c>
      <c r="BN46" s="25">
        <f>IFERROR(INDEX('_CONFIG_Model_Settings'!$B$117:$B$123,MATCH('_CONFIG_Model_Settings'!$B$104,'_CONFIG_Model_Settings'!$A$117:$A$123,0)),1)</f>
        <v/>
      </c>
      <c r="BO46" s="25">
        <f>IFERROR(INDEX('_CONFIG_Model_Settings'!$C$117:$C$123,MATCH('_CONFIG_Model_Settings'!$B$104,'_CONFIG_Model_Settings'!$A$117:$A$123,0)),1)</f>
        <v/>
      </c>
      <c r="BP46" s="25">
        <f>IFERROR(INDEX('_CONFIG_Model_Settings'!$D$117:$D$123,MATCH('_CONFIG_Model_Settings'!$B$104,'_CONFIG_Model_Settings'!$A$117:$A$123,0)),1)</f>
        <v/>
      </c>
      <c r="BQ46" s="25">
        <f>IFERROR(INDEX('_CONFIG_Model_Settings'!$E$117:$E$123,MATCH('_CONFIG_Model_Settings'!$B$104,'_CONFIG_Model_Settings'!$A$117:$A$123,0)),1)</f>
        <v/>
      </c>
      <c r="BR46" s="25">
        <f>IF($A46="","",MIN(5,IFERROR(SUMIF('_DATA_Mappings'!$A:$A,$A46,'_DATA_Mappings'!$K:$K)/MAX(1,'_CONFIG_Model_Settings'!$B$105),0)))</f>
        <v/>
      </c>
      <c r="BS46" s="25">
        <f>IF($A46="","",ROUND((N($X46)*N($BJ46)*N($BN46)+N($Y46)*N($BK46)*N($BO46)+N($BD46)*N($BL46)*N($BP46)+N($AA46)*N($BM46)*N($BQ46)+N($BR46)*N('_CONFIG_Model_Settings'!$B$106))/(N($BJ46)*N($BN46)+N($BK46)*N($BO46)+N($BL46)*N($BP46)+N($BM46)*N($BQ46)+N('_CONFIG_Model_Settings'!$B$106)),2))</f>
        <v/>
      </c>
      <c r="BT46" s="25">
        <f>IF($A46="","",MAX(1,N($AB46)))</f>
        <v/>
      </c>
      <c r="BU46" s="25">
        <f>IF(OR($BS46="",$BT46=0),"",ROUND($BS46/$BT46,2))</f>
        <v/>
      </c>
      <c r="BV46" s="25">
        <f>IF(OR($BU46="",$AY46="Done",$AY46="Not applicable"),"",ROUND($BU46*N($AS46),2))</f>
        <v/>
      </c>
      <c r="BW46" s="25">
        <f>IF($BV46="","",_xlfn.RANK.EQ($BV46,$BV$5:$BV$76,0)+COUNTIF($BV$5:$BV46,$BV46)-1)</f>
        <v/>
      </c>
      <c r="BX46" s="25">
        <f>IF($BW46="","",IF($BW46&lt;=cfg_TimelineBucket1,"0-90 days",IF($BW46&lt;=cfg_TimelineBucket2,"3-6 months",IF($BW46&lt;=cfg_TimelineBucket3,"6-12 months","12+ months"))))</f>
        <v/>
      </c>
      <c r="BY46" s="25">
        <f>IF($A46="","","P2: "&amp;$BI46&amp;" posture; objective="&amp;'_CONFIG_Model_Settings'!$B$104&amp;"; financial score="&amp;ROUND(N($BR46),1)&amp;"; CoD="&amp;$BS46)</f>
        <v/>
      </c>
    </row>
    <row r="47" ht="42" customHeight="1" s="209">
      <c r="A47" s="25" t="inlineStr">
        <is>
          <t>INI-043</t>
        </is>
      </c>
      <c r="B47" s="25" t="inlineStr">
        <is>
          <t>Sales CRM</t>
        </is>
      </c>
      <c r="C47" s="25" t="inlineStr">
        <is>
          <t>Customer continuity</t>
        </is>
      </c>
      <c r="D47" s="25" t="inlineStr">
        <is>
          <t>Customer Retention and Revenue Protection Strategy</t>
        </is>
      </c>
      <c r="E47" s="25" t="inlineStr">
        <is>
          <t>STR-12</t>
        </is>
      </c>
      <c r="F47" s="25" t="inlineStr">
        <is>
          <t>Implement customer continuity and key-account protection program</t>
        </is>
      </c>
      <c r="G47" s="25" t="inlineStr">
        <is>
          <t>Close maturity gaps in customer continuity by assigning ownership, documenting the process, connecting it to evidence and systems, testing it against crisis scenarios and measuring improvement.</t>
        </is>
      </c>
      <c r="H47" s="25" t="inlineStr">
        <is>
          <t>Revenue, sales pipeline and CRM continuity</t>
        </is>
      </c>
      <c r="I47" s="25" t="inlineStr">
        <is>
          <t>Demand shock; Key customer loss; Reputation crisis; Cloud / SaaS outage</t>
        </is>
      </c>
      <c r="J47" s="25" t="inlineStr">
        <is>
          <t>SALE-011; SALE-012; SALE-013; SALE-014; SALE-015; SALE-016</t>
        </is>
      </c>
      <c r="K47" s="25" t="n">
        <v>6</v>
      </c>
      <c r="L47" s="25">
        <f>COUNTIFS('_ENGINE_Risk'!$C$500:$C$923,$B47,'_ENGINE_Risk'!$D$500:$D$923,$C47,'_ENGINE_Risk'!$B$500:$B$923,"Yes")</f>
        <v/>
      </c>
      <c r="M47" s="25">
        <f>COUNTIFS('_ENGINE_Risk'!$C$500:$C$923,$B47,'_ENGINE_Risk'!$D$500:$D$923,$C47,'_ENGINE_Risk'!$B$500:$B$923,"Yes")</f>
        <v/>
      </c>
      <c r="N47" s="25">
        <f>IFERROR(AVERAGEIFS(_DATA_Assessment_Model!$H$5:$H$428,_DATA_Assessment_Model!$AW$5:$AW$428,$B47,_DATA_Assessment_Model!$B$5:$B$428,$C47),"")</f>
        <v/>
      </c>
      <c r="O47" s="25">
        <f>IF($N47="","",MAX(0,5-$N47))</f>
        <v/>
      </c>
      <c r="P47" s="25">
        <f>IFERROR(INDEX(_DATA_Dashboard_Facts!$H$5:$H$21,MATCH($B47,_DATA_Dashboard_Facts!$A$5:$A$21,0)),"")</f>
        <v/>
      </c>
      <c r="Q47" s="25">
        <f>IF($P47="","",MAX(0,5-$P47))</f>
        <v/>
      </c>
      <c r="R47" s="25">
        <f>IFERROR(SUMIFS(_ENGINE_Crisis!$D$5:$D$208,_ENGINE_Crisis!$A$5:$A$208,'Resilience &amp; Risk Scenario'!$B$6,_ENGINE_Crisis!$B$5:$B$208,$B47),1)</f>
        <v/>
      </c>
      <c r="S47" s="25">
        <f>IFERROR(INDEX('_ENGINE_Strategy'!$A$100:$A$113,MATCH($D47,'_ENGINE_Strategy'!$B$100:$B$113,0)),99)</f>
        <v/>
      </c>
      <c r="T47" s="25">
        <f>IFERROR(INDEX('_ENGINE_Strategy'!$J$100:$J$113,MATCH($D47,'_ENGINE_Strategy'!$B$100:$B$113,0)),0)</f>
        <v/>
      </c>
      <c r="U47" s="25" t="n">
        <v>4</v>
      </c>
      <c r="V47" s="25" t="n">
        <v>4</v>
      </c>
      <c r="W47" s="25" t="n">
        <v>4</v>
      </c>
      <c r="X47" s="25">
        <f>MAX(1,MIN(5,(N($O47)*0.50)+(N($Q47)*0.25)+((N($T47)/20)*0.25)))</f>
        <v/>
      </c>
      <c r="Y47" s="25">
        <f>MAX(1,MIN(5,(($R47-1)*1.6)+('Resilience &amp; Risk Scenario'!$B$7*0.45)+IF($S47&lt;=3,0.8,0)))</f>
        <v/>
      </c>
      <c r="Z47" s="25">
        <f>MAX(1,MIN(5,(N($O47)*0.45)+(MIN(5,5*N($M47)/MAX(1,N($K47)))*0.35)+(N($V47)*0.20)))</f>
        <v/>
      </c>
      <c r="AA47" s="25">
        <f>MAX(1,MIN(5,($U47*0.40)+($W47*0.30)+(($T47/20)*0.30)))</f>
        <v/>
      </c>
      <c r="AB47" s="25" t="n">
        <v>3</v>
      </c>
      <c r="AC47" s="25">
        <f>IF($AB47=0,"",ROUND((N($X47)+N($Y47)+N($Z47)+N($AA47))/$AB47,2))</f>
        <v/>
      </c>
      <c r="AD47" s="25">
        <f>IF($AC47="","",_xlfn.RANK.EQ($AC47,$AC$5:$AC$76,0)+COUNTIF($AC$5:$AC47,$AC47)-1)</f>
        <v/>
      </c>
      <c r="AE47" s="25">
        <f>IF($AD47="","",IF($AD47&lt;=cfg_TimelineBucket1,"0-90 days",IF($AD47&lt;=cfg_TimelineBucket2,"3-6 months",IF($AD47&lt;=cfg_TimelineBucket3,"6-12 months","12+ months"))))</f>
        <v/>
      </c>
      <c r="AF47" s="25" t="inlineStr">
        <is>
          <t>CRO / Head of Sales</t>
        </is>
      </c>
      <c r="AG47" s="25" t="inlineStr">
        <is>
          <t>2-3 months</t>
        </is>
      </c>
      <c r="AH47" s="25" t="inlineStr">
        <is>
          <t>Executive sponsor; accountable process owner; baseline evidence; risk acceptance threshold; customer and pipeline data; market assumptions</t>
        </is>
      </c>
      <c r="AI47" s="25" t="inlineStr">
        <is>
          <t>maturity score improvement; open risk reduction; evidence completeness; control test pass rate; forecast accuracy; customer concentration reduction</t>
        </is>
      </c>
      <c r="AJ47" s="25" t="inlineStr">
        <is>
          <t>Documented customer continuity operating model, owner/RACI, KPI set, evidence pack, tested crisis playbook and improvement backlog.</t>
        </is>
      </c>
      <c r="AK47" s="25" t="inlineStr">
        <is>
          <t>Counts active next-level recommendations for Sales CRM / Customer continuity.</t>
        </is>
      </c>
      <c r="AL47" s="25" t="inlineStr">
        <is>
          <t>Counts active risks and risk scores for Sales CRM / Customer continuity.</t>
        </is>
      </c>
      <c r="AM47" s="25" t="inlineStr">
        <is>
          <t>Uses the current rank and total score of Customer Retention and Revenue Protection Strategy.</t>
        </is>
      </c>
      <c r="AN47" s="25" t="inlineStr">
        <is>
          <t>Trigger when avg score &lt; 4, active risk exists, active recommendation exists or strategy rank &lt;= 3.</t>
        </is>
      </c>
      <c r="AO47" s="25" t="inlineStr">
        <is>
          <t>Not started</t>
        </is>
      </c>
      <c r="AP47" s="25" t="inlineStr">
        <is>
          <t>Medium</t>
        </is>
      </c>
      <c r="AQ47" s="25" t="n"/>
      <c r="AR47" s="25" t="n"/>
      <c r="AS47" s="247">
        <f>IFERROR(IF(SUMIFS(_REF_Model_Content!$J$1:$J$157,_REF_Model_Content!$A$1:$A$157,'Company Profile'!$B$9,_REF_Model_Content!$B$1:$B$157,$B47)=0,1,SUMIFS(_REF_Model_Content!$J$1:$J$157,_REF_Model_Content!$A$1:$A$157,'Company Profile'!$B$9,_REF_Model_Content!$B$1:$B$157,$B47)),1)</f>
        <v/>
      </c>
      <c r="AT47" s="247">
        <f>IF(OR($AY47="Done",$AY47="Not applicable"),"",IF($AC47="","",ROUND(N($AC47)*N($AS47),2)))</f>
        <v/>
      </c>
      <c r="AU47" s="247">
        <f>IF($AT47="","",_xlfn.RANK.EQ($AT47,$AT$5:$AT$76,0)+COUNTIF($AT$5:AT47,$AT47)-1)</f>
        <v/>
      </c>
      <c r="AV47" s="247">
        <f>IFERROR(INDEX('_DATA_Dashboard_Facts'!$G$300:$G$316,MATCH($B47,'_DATA_Dashboard_Facts'!$A$300:$A$316,0)),"")</f>
        <v/>
      </c>
      <c r="AW47" s="247">
        <f>IF($AS47&gt;cfg_IndPriorityHigh,"Industry template increases priority",IF($AS47&lt;cfg_IndPriorityLow,"Industry template lowers priority","Industry-neutral priority"))</f>
        <v/>
      </c>
      <c r="AX47">
        <f>IFERROR(INDEX('Action Plan &amp; Roadmap'!$D$59:$D$130,MATCH($A47,'Action Plan &amp; Roadmap'!$A$59:$A$130,0)),"")</f>
      </c>
      <c r="AY47">
        <f>IF($AX47&lt;&gt;"",$AX47,IF($AO47="","Not started",$AO47))</f>
        <v/>
      </c>
      <c r="AZ47" t="inlineStr">
        <is>
          <t>Number of sales &amp; marketing FTEs as a percentage of total business entity FTEs; B2B business customer one-year attrition rate</t>
        </is>
      </c>
      <c r="BA47">
        <f>IF($A47="","",COUNTIF('_DATA_Mappings'!$A:$A,$A47))</f>
        <v/>
      </c>
      <c r="BB47">
        <f>IF($A47="","",IFERROR(AVERAGEIF('_DATA_Mappings'!$A:$A,$A47,'_DATA_Mappings'!$G:$G),0))</f>
        <v/>
      </c>
      <c r="BC47">
        <f>IF($A47="","",MAX(0,MIN(5,(N($O47)*0.50)+(N($V47)*0.30)+(N($W47)*0.20))))</f>
        <v/>
      </c>
      <c r="BD47">
        <f>IF($A47="","",MAX(1,MIN(5,($Z47*0.45)+(MIN(5,$BB47/5)*0.35)+($BC47*0.20))))</f>
        <v/>
      </c>
      <c r="BE47">
        <f>IF($AB47=0,"",ROUND((N($X47)+N($Y47)+N($BD47)+N($AA47))/$AB47,2))</f>
        <v/>
      </c>
      <c r="BF47">
        <f>IF(OR($BE47="",$AY47="Done",$AY47="Not applicable"),"",ROUND($BE47*N($AS47),2))</f>
        <v/>
      </c>
      <c r="BG47">
        <f>IF($BF47="","",_xlfn.RANK.EQ($BF47,$BF$5:$BF$76,0)+COUNTIF($BF$5:$BF47,$BF47)-1)</f>
        <v/>
      </c>
      <c r="BH47">
        <f>IF($A47="","",IF($BB47&gt;20,"High P1 risk pressure",IF($BB47&gt;12,"Moderate P1 risk pressure","Lower P1 risk pressure")))</f>
        <v/>
      </c>
      <c r="BI47" s="25">
        <f>'_CONFIG_Model_Settings'!$B$103</f>
        <v/>
      </c>
      <c r="BJ47" s="25">
        <f>IFERROR(INDEX('_CONFIG_Model_Settings'!$B$109:$B$113,MATCH($BI47,'_CONFIG_Model_Settings'!$A$109:$A$113,0)),0.30)</f>
        <v/>
      </c>
      <c r="BK47" s="25">
        <f>IFERROR(INDEX('_CONFIG_Model_Settings'!$C$109:$C$113,MATCH($BI47,'_CONFIG_Model_Settings'!$A$109:$A$113,0)),0.20)</f>
        <v/>
      </c>
      <c r="BL47" s="25">
        <f>IFERROR(INDEX('_CONFIG_Model_Settings'!$D$109:$D$113,MATCH($BI47,'_CONFIG_Model_Settings'!$A$109:$A$113,0)),0.25)</f>
        <v/>
      </c>
      <c r="BM47" s="25">
        <f>IFERROR(INDEX('_CONFIG_Model_Settings'!$E$109:$E$113,MATCH($BI47,'_CONFIG_Model_Settings'!$A$109:$A$113,0)),0.25)</f>
        <v/>
      </c>
      <c r="BN47" s="25">
        <f>IFERROR(INDEX('_CONFIG_Model_Settings'!$B$117:$B$123,MATCH('_CONFIG_Model_Settings'!$B$104,'_CONFIG_Model_Settings'!$A$117:$A$123,0)),1)</f>
        <v/>
      </c>
      <c r="BO47" s="25">
        <f>IFERROR(INDEX('_CONFIG_Model_Settings'!$C$117:$C$123,MATCH('_CONFIG_Model_Settings'!$B$104,'_CONFIG_Model_Settings'!$A$117:$A$123,0)),1)</f>
        <v/>
      </c>
      <c r="BP47" s="25">
        <f>IFERROR(INDEX('_CONFIG_Model_Settings'!$D$117:$D$123,MATCH('_CONFIG_Model_Settings'!$B$104,'_CONFIG_Model_Settings'!$A$117:$A$123,0)),1)</f>
        <v/>
      </c>
      <c r="BQ47" s="25">
        <f>IFERROR(INDEX('_CONFIG_Model_Settings'!$E$117:$E$123,MATCH('_CONFIG_Model_Settings'!$B$104,'_CONFIG_Model_Settings'!$A$117:$A$123,0)),1)</f>
        <v/>
      </c>
      <c r="BR47" s="25">
        <f>IF($A47="","",MIN(5,IFERROR(SUMIF('_DATA_Mappings'!$A:$A,$A47,'_DATA_Mappings'!$K:$K)/MAX(1,'_CONFIG_Model_Settings'!$B$105),0)))</f>
        <v/>
      </c>
      <c r="BS47" s="25">
        <f>IF($A47="","",ROUND((N($X47)*N($BJ47)*N($BN47)+N($Y47)*N($BK47)*N($BO47)+N($BD47)*N($BL47)*N($BP47)+N($AA47)*N($BM47)*N($BQ47)+N($BR47)*N('_CONFIG_Model_Settings'!$B$106))/(N($BJ47)*N($BN47)+N($BK47)*N($BO47)+N($BL47)*N($BP47)+N($BM47)*N($BQ47)+N('_CONFIG_Model_Settings'!$B$106)),2))</f>
        <v/>
      </c>
      <c r="BT47" s="25">
        <f>IF($A47="","",MAX(1,N($AB47)))</f>
        <v/>
      </c>
      <c r="BU47" s="25">
        <f>IF(OR($BS47="",$BT47=0),"",ROUND($BS47/$BT47,2))</f>
        <v/>
      </c>
      <c r="BV47" s="25">
        <f>IF(OR($BU47="",$AY47="Done",$AY47="Not applicable"),"",ROUND($BU47*N($AS47),2))</f>
        <v/>
      </c>
      <c r="BW47" s="25">
        <f>IF($BV47="","",_xlfn.RANK.EQ($BV47,$BV$5:$BV$76,0)+COUNTIF($BV$5:$BV47,$BV47)-1)</f>
        <v/>
      </c>
      <c r="BX47" s="25">
        <f>IF($BW47="","",IF($BW47&lt;=cfg_TimelineBucket1,"0-90 days",IF($BW47&lt;=cfg_TimelineBucket2,"3-6 months",IF($BW47&lt;=cfg_TimelineBucket3,"6-12 months","12+ months"))))</f>
        <v/>
      </c>
      <c r="BY47" s="25">
        <f>IF($A47="","","P2: "&amp;$BI47&amp;" posture; objective="&amp;'_CONFIG_Model_Settings'!$B$104&amp;"; financial score="&amp;ROUND(N($BR47),1)&amp;"; CoD="&amp;$BS47)</f>
        <v/>
      </c>
    </row>
    <row r="48" ht="42" customHeight="1" s="209">
      <c r="A48" s="25" t="inlineStr">
        <is>
          <t>INI-044</t>
        </is>
      </c>
      <c r="B48" s="25" t="inlineStr">
        <is>
          <t>Sales CRM</t>
        </is>
      </c>
      <c r="C48" s="25" t="inlineStr">
        <is>
          <t>Revenue controls</t>
        </is>
      </c>
      <c r="D48" s="25" t="inlineStr">
        <is>
          <t>Customer Retention and Revenue Protection Strategy</t>
        </is>
      </c>
      <c r="E48" s="25" t="inlineStr">
        <is>
          <t>STR-12</t>
        </is>
      </c>
      <c r="F48" s="25" t="inlineStr">
        <is>
          <t>Strengthen pricing, discounting and revenue-control governance</t>
        </is>
      </c>
      <c r="G48" s="25" t="inlineStr">
        <is>
          <t>Close maturity gaps in revenue controls by assigning ownership, documenting the process, connecting it to evidence and systems, testing it against crisis scenarios and measuring improvement.</t>
        </is>
      </c>
      <c r="H48" s="25" t="inlineStr">
        <is>
          <t>Revenue, sales pipeline and CRM continuity</t>
        </is>
      </c>
      <c r="I48" s="25" t="inlineStr">
        <is>
          <t>Demand shock; Key customer loss; Reputation crisis; Cloud / SaaS outage</t>
        </is>
      </c>
      <c r="J48" s="25" t="inlineStr">
        <is>
          <t>SALE-017; SALE-018; SALE-019; SALE-020; SALE-021</t>
        </is>
      </c>
      <c r="K48" s="25" t="n">
        <v>5</v>
      </c>
      <c r="L48" s="25">
        <f>COUNTIFS('_ENGINE_Risk'!$C$500:$C$923,$B48,'_ENGINE_Risk'!$D$500:$D$923,$C48,'_ENGINE_Risk'!$B$500:$B$923,"Yes")</f>
        <v/>
      </c>
      <c r="M48" s="25">
        <f>COUNTIFS('_ENGINE_Risk'!$C$500:$C$923,$B48,'_ENGINE_Risk'!$D$500:$D$923,$C48,'_ENGINE_Risk'!$B$500:$B$923,"Yes")</f>
        <v/>
      </c>
      <c r="N48" s="25">
        <f>IFERROR(AVERAGEIFS(_DATA_Assessment_Model!$H$5:$H$428,_DATA_Assessment_Model!$AW$5:$AW$428,$B48,_DATA_Assessment_Model!$B$5:$B$428,$C48),"")</f>
        <v/>
      </c>
      <c r="O48" s="25">
        <f>IF($N48="","",MAX(0,5-$N48))</f>
        <v/>
      </c>
      <c r="P48" s="25">
        <f>IFERROR(INDEX(_DATA_Dashboard_Facts!$H$5:$H$21,MATCH($B48,_DATA_Dashboard_Facts!$A$5:$A$21,0)),"")</f>
        <v/>
      </c>
      <c r="Q48" s="25">
        <f>IF($P48="","",MAX(0,5-$P48))</f>
        <v/>
      </c>
      <c r="R48" s="25">
        <f>IFERROR(SUMIFS(_ENGINE_Crisis!$D$5:$D$208,_ENGINE_Crisis!$A$5:$A$208,'Resilience &amp; Risk Scenario'!$B$6,_ENGINE_Crisis!$B$5:$B$208,$B48),1)</f>
        <v/>
      </c>
      <c r="S48" s="25">
        <f>IFERROR(INDEX('_ENGINE_Strategy'!$A$100:$A$113,MATCH($D48,'_ENGINE_Strategy'!$B$100:$B$113,0)),99)</f>
        <v/>
      </c>
      <c r="T48" s="25">
        <f>IFERROR(INDEX('_ENGINE_Strategy'!$J$100:$J$113,MATCH($D48,'_ENGINE_Strategy'!$B$100:$B$113,0)),0)</f>
        <v/>
      </c>
      <c r="U48" s="25" t="n">
        <v>4</v>
      </c>
      <c r="V48" s="25" t="n">
        <v>4</v>
      </c>
      <c r="W48" s="25" t="n">
        <v>4</v>
      </c>
      <c r="X48" s="25">
        <f>MAX(1,MIN(5,(N($O48)*0.50)+(N($Q48)*0.25)+((N($T48)/20)*0.25)))</f>
        <v/>
      </c>
      <c r="Y48" s="25">
        <f>MAX(1,MIN(5,(($R48-1)*1.6)+('Resilience &amp; Risk Scenario'!$B$7*0.45)+IF($S48&lt;=3,0.8,0)))</f>
        <v/>
      </c>
      <c r="Z48" s="25">
        <f>MAX(1,MIN(5,(N($O48)*0.45)+(MIN(5,5*N($M48)/MAX(1,N($K48)))*0.35)+(N($V48)*0.20)))</f>
        <v/>
      </c>
      <c r="AA48" s="25">
        <f>MAX(1,MIN(5,($U48*0.40)+($W48*0.30)+(($T48/20)*0.30)))</f>
        <v/>
      </c>
      <c r="AB48" s="25" t="n">
        <v>3</v>
      </c>
      <c r="AC48" s="25">
        <f>IF($AB48=0,"",ROUND((N($X48)+N($Y48)+N($Z48)+N($AA48))/$AB48,2))</f>
        <v/>
      </c>
      <c r="AD48" s="25">
        <f>IF($AC48="","",_xlfn.RANK.EQ($AC48,$AC$5:$AC$76,0)+COUNTIF($AC$5:$AC48,$AC48)-1)</f>
        <v/>
      </c>
      <c r="AE48" s="25">
        <f>IF($AD48="","",IF($AD48&lt;=cfg_TimelineBucket1,"0-90 days",IF($AD48&lt;=cfg_TimelineBucket2,"3-6 months",IF($AD48&lt;=cfg_TimelineBucket3,"6-12 months","12+ months"))))</f>
        <v/>
      </c>
      <c r="AF48" s="25" t="inlineStr">
        <is>
          <t>CRO / Head of Sales</t>
        </is>
      </c>
      <c r="AG48" s="25" t="inlineStr">
        <is>
          <t>2-3 months</t>
        </is>
      </c>
      <c r="AH48" s="25" t="inlineStr">
        <is>
          <t>Executive sponsor; accountable process owner; baseline evidence; risk acceptance threshold; customer and pipeline data; market assumptions</t>
        </is>
      </c>
      <c r="AI48" s="25" t="inlineStr">
        <is>
          <t>maturity score improvement; open risk reduction; evidence completeness; control test pass rate; forecast accuracy; customer concentration reduction</t>
        </is>
      </c>
      <c r="AJ48" s="25" t="inlineStr">
        <is>
          <t>Documented revenue controls operating model, owner/RACI, KPI set, evidence pack, tested crisis playbook and improvement backlog.</t>
        </is>
      </c>
      <c r="AK48" s="25" t="inlineStr">
        <is>
          <t>Counts active next-level recommendations for Sales CRM / Revenue controls.</t>
        </is>
      </c>
      <c r="AL48" s="25" t="inlineStr">
        <is>
          <t>Counts active risks and risk scores for Sales CRM / Revenue controls.</t>
        </is>
      </c>
      <c r="AM48" s="25" t="inlineStr">
        <is>
          <t>Uses the current rank and total score of Customer Retention and Revenue Protection Strategy.</t>
        </is>
      </c>
      <c r="AN48" s="25" t="inlineStr">
        <is>
          <t>Trigger when avg score &lt; 4, active risk exists, active recommendation exists or strategy rank &lt;= 3.</t>
        </is>
      </c>
      <c r="AO48" s="25" t="inlineStr">
        <is>
          <t>Not started</t>
        </is>
      </c>
      <c r="AP48" s="25" t="inlineStr">
        <is>
          <t>Medium</t>
        </is>
      </c>
      <c r="AQ48" s="25" t="n"/>
      <c r="AR48" s="25" t="n"/>
      <c r="AS48" s="247">
        <f>IFERROR(IF(SUMIFS(_REF_Model_Content!$J$1:$J$157,_REF_Model_Content!$A$1:$A$157,'Company Profile'!$B$9,_REF_Model_Content!$B$1:$B$157,$B48)=0,1,SUMIFS(_REF_Model_Content!$J$1:$J$157,_REF_Model_Content!$A$1:$A$157,'Company Profile'!$B$9,_REF_Model_Content!$B$1:$B$157,$B48)),1)</f>
        <v/>
      </c>
      <c r="AT48" s="247">
        <f>IF(OR($AY48="Done",$AY48="Not applicable"),"",IF($AC48="","",ROUND(N($AC48)*N($AS48),2)))</f>
        <v/>
      </c>
      <c r="AU48" s="247">
        <f>IF($AT48="","",_xlfn.RANK.EQ($AT48,$AT$5:$AT$76,0)+COUNTIF($AT$5:AT48,$AT48)-1)</f>
        <v/>
      </c>
      <c r="AV48" s="247">
        <f>IFERROR(INDEX('_DATA_Dashboard_Facts'!$G$300:$G$316,MATCH($B48,'_DATA_Dashboard_Facts'!$A$300:$A$316,0)),"")</f>
        <v/>
      </c>
      <c r="AW48" s="247">
        <f>IF($AS48&gt;cfg_IndPriorityHigh,"Industry template increases priority",IF($AS48&lt;cfg_IndPriorityLow,"Industry template lowers priority","Industry-neutral priority"))</f>
        <v/>
      </c>
      <c r="AX48">
        <f>IFERROR(INDEX('Action Plan &amp; Roadmap'!$D$59:$D$130,MATCH($A48,'Action Plan &amp; Roadmap'!$A$59:$A$130,0)),"")</f>
      </c>
      <c r="AY48">
        <f>IF($AX48&lt;&gt;"",$AX48,IF($AO48="","Not started",$AO48))</f>
        <v/>
      </c>
      <c r="AZ48" t="inlineStr">
        <is>
          <t>Number of sales &amp; marketing FTEs as a percentage of total business entity FTEs; B2B business customer one-year attrition rate</t>
        </is>
      </c>
      <c r="BA48">
        <f>IF($A48="","",COUNTIF('_DATA_Mappings'!$A:$A,$A48))</f>
        <v/>
      </c>
      <c r="BB48">
        <f>IF($A48="","",IFERROR(AVERAGEIF('_DATA_Mappings'!$A:$A,$A48,'_DATA_Mappings'!$G:$G),0))</f>
        <v/>
      </c>
      <c r="BC48">
        <f>IF($A48="","",MAX(0,MIN(5,(N($O48)*0.50)+(N($V48)*0.30)+(N($W48)*0.20))))</f>
        <v/>
      </c>
      <c r="BD48">
        <f>IF($A48="","",MAX(1,MIN(5,($Z48*0.45)+(MIN(5,$BB48/5)*0.35)+($BC48*0.20))))</f>
        <v/>
      </c>
      <c r="BE48">
        <f>IF($AB48=0,"",ROUND((N($X48)+N($Y48)+N($BD48)+N($AA48))/$AB48,2))</f>
        <v/>
      </c>
      <c r="BF48">
        <f>IF(OR($BE48="",$AY48="Done",$AY48="Not applicable"),"",ROUND($BE48*N($AS48),2))</f>
        <v/>
      </c>
      <c r="BG48">
        <f>IF($BF48="","",_xlfn.RANK.EQ($BF48,$BF$5:$BF$76,0)+COUNTIF($BF$5:$BF48,$BF48)-1)</f>
        <v/>
      </c>
      <c r="BH48">
        <f>IF($A48="","",IF($BB48&gt;20,"High P1 risk pressure",IF($BB48&gt;12,"Moderate P1 risk pressure","Lower P1 risk pressure")))</f>
        <v/>
      </c>
      <c r="BI48" s="25">
        <f>'_CONFIG_Model_Settings'!$B$103</f>
        <v/>
      </c>
      <c r="BJ48" s="25">
        <f>IFERROR(INDEX('_CONFIG_Model_Settings'!$B$109:$B$113,MATCH($BI48,'_CONFIG_Model_Settings'!$A$109:$A$113,0)),0.30)</f>
        <v/>
      </c>
      <c r="BK48" s="25">
        <f>IFERROR(INDEX('_CONFIG_Model_Settings'!$C$109:$C$113,MATCH($BI48,'_CONFIG_Model_Settings'!$A$109:$A$113,0)),0.20)</f>
        <v/>
      </c>
      <c r="BL48" s="25">
        <f>IFERROR(INDEX('_CONFIG_Model_Settings'!$D$109:$D$113,MATCH($BI48,'_CONFIG_Model_Settings'!$A$109:$A$113,0)),0.25)</f>
        <v/>
      </c>
      <c r="BM48" s="25">
        <f>IFERROR(INDEX('_CONFIG_Model_Settings'!$E$109:$E$113,MATCH($BI48,'_CONFIG_Model_Settings'!$A$109:$A$113,0)),0.25)</f>
        <v/>
      </c>
      <c r="BN48" s="25">
        <f>IFERROR(INDEX('_CONFIG_Model_Settings'!$B$117:$B$123,MATCH('_CONFIG_Model_Settings'!$B$104,'_CONFIG_Model_Settings'!$A$117:$A$123,0)),1)</f>
        <v/>
      </c>
      <c r="BO48" s="25">
        <f>IFERROR(INDEX('_CONFIG_Model_Settings'!$C$117:$C$123,MATCH('_CONFIG_Model_Settings'!$B$104,'_CONFIG_Model_Settings'!$A$117:$A$123,0)),1)</f>
        <v/>
      </c>
      <c r="BP48" s="25">
        <f>IFERROR(INDEX('_CONFIG_Model_Settings'!$D$117:$D$123,MATCH('_CONFIG_Model_Settings'!$B$104,'_CONFIG_Model_Settings'!$A$117:$A$123,0)),1)</f>
        <v/>
      </c>
      <c r="BQ48" s="25">
        <f>IFERROR(INDEX('_CONFIG_Model_Settings'!$E$117:$E$123,MATCH('_CONFIG_Model_Settings'!$B$104,'_CONFIG_Model_Settings'!$A$117:$A$123,0)),1)</f>
        <v/>
      </c>
      <c r="BR48" s="25">
        <f>IF($A48="","",MIN(5,IFERROR(SUMIF('_DATA_Mappings'!$A:$A,$A48,'_DATA_Mappings'!$K:$K)/MAX(1,'_CONFIG_Model_Settings'!$B$105),0)))</f>
        <v/>
      </c>
      <c r="BS48" s="25">
        <f>IF($A48="","",ROUND((N($X48)*N($BJ48)*N($BN48)+N($Y48)*N($BK48)*N($BO48)+N($BD48)*N($BL48)*N($BP48)+N($AA48)*N($BM48)*N($BQ48)+N($BR48)*N('_CONFIG_Model_Settings'!$B$106))/(N($BJ48)*N($BN48)+N($BK48)*N($BO48)+N($BL48)*N($BP48)+N($BM48)*N($BQ48)+N('_CONFIG_Model_Settings'!$B$106)),2))</f>
        <v/>
      </c>
      <c r="BT48" s="25">
        <f>IF($A48="","",MAX(1,N($AB48)))</f>
        <v/>
      </c>
      <c r="BU48" s="25">
        <f>IF(OR($BS48="",$BT48=0),"",ROUND($BS48/$BT48,2))</f>
        <v/>
      </c>
      <c r="BV48" s="25">
        <f>IF(OR($BU48="",$AY48="Done",$AY48="Not applicable"),"",ROUND($BU48*N($AS48),2))</f>
        <v/>
      </c>
      <c r="BW48" s="25">
        <f>IF($BV48="","",_xlfn.RANK.EQ($BV48,$BV$5:$BV$76,0)+COUNTIF($BV$5:$BV48,$BV48)-1)</f>
        <v/>
      </c>
      <c r="BX48" s="25">
        <f>IF($BW48="","",IF($BW48&lt;=cfg_TimelineBucket1,"0-90 days",IF($BW48&lt;=cfg_TimelineBucket2,"3-6 months",IF($BW48&lt;=cfg_TimelineBucket3,"6-12 months","12+ months"))))</f>
        <v/>
      </c>
      <c r="BY48" s="25">
        <f>IF($A48="","","P2: "&amp;$BI48&amp;" posture; objective="&amp;'_CONFIG_Model_Settings'!$B$104&amp;"; financial score="&amp;ROUND(N($BR48),1)&amp;"; CoD="&amp;$BS48)</f>
        <v/>
      </c>
    </row>
    <row r="49" ht="42" customHeight="1" s="209">
      <c r="A49" s="25" t="inlineStr">
        <is>
          <t>INI-045</t>
        </is>
      </c>
      <c r="B49" s="25" t="inlineStr">
        <is>
          <t>Marketing Comms</t>
        </is>
      </c>
      <c r="C49" s="25" t="inlineStr">
        <is>
          <t>Brand and market presence</t>
        </is>
      </c>
      <c r="D49" s="25" t="inlineStr">
        <is>
          <t>Customer Retention and Revenue Protection Strategy</t>
        </is>
      </c>
      <c r="E49" s="25" t="inlineStr">
        <is>
          <t>STR-12</t>
        </is>
      </c>
      <c r="F49" s="25" t="inlineStr">
        <is>
          <t>Build resilient brand presence and digital demand generation</t>
        </is>
      </c>
      <c r="G49" s="25" t="inlineStr">
        <is>
          <t>Close maturity gaps in brand and market presence by assigning ownership, documenting the process, connecting it to evidence and systems, testing it against crisis scenarios and measuring improvement.</t>
        </is>
      </c>
      <c r="H49" s="25" t="inlineStr">
        <is>
          <t>Market communication and reputation resilience</t>
        </is>
      </c>
      <c r="I49" s="25" t="inlineStr">
        <is>
          <t>Demand shock; Reputation crisis; Regulatory / legal shock</t>
        </is>
      </c>
      <c r="J49" s="25" t="inlineStr">
        <is>
          <t>MARK-001; MARK-002; MARK-003; MARK-004; MARK-005</t>
        </is>
      </c>
      <c r="K49" s="25" t="n">
        <v>5</v>
      </c>
      <c r="L49" s="25">
        <f>COUNTIFS('_ENGINE_Risk'!$C$500:$C$923,$B49,'_ENGINE_Risk'!$D$500:$D$923,$C49,'_ENGINE_Risk'!$B$500:$B$923,"Yes")</f>
        <v/>
      </c>
      <c r="M49" s="25">
        <f>COUNTIFS('_ENGINE_Risk'!$C$500:$C$923,$B49,'_ENGINE_Risk'!$D$500:$D$923,$C49,'_ENGINE_Risk'!$B$500:$B$923,"Yes")</f>
        <v/>
      </c>
      <c r="N49" s="25">
        <f>IFERROR(AVERAGEIFS(_DATA_Assessment_Model!$H$5:$H$428,_DATA_Assessment_Model!$AW$5:$AW$428,$B49,_DATA_Assessment_Model!$B$5:$B$428,$C49),"")</f>
        <v/>
      </c>
      <c r="O49" s="25">
        <f>IF($N49="","",MAX(0,5-$N49))</f>
        <v/>
      </c>
      <c r="P49" s="25">
        <f>IFERROR(INDEX(_DATA_Dashboard_Facts!$H$5:$H$21,MATCH($B49,_DATA_Dashboard_Facts!$A$5:$A$21,0)),"")</f>
        <v/>
      </c>
      <c r="Q49" s="25">
        <f>IF($P49="","",MAX(0,5-$P49))</f>
        <v/>
      </c>
      <c r="R49" s="25">
        <f>IFERROR(SUMIFS(_ENGINE_Crisis!$D$5:$D$208,_ENGINE_Crisis!$A$5:$A$208,'Resilience &amp; Risk Scenario'!$B$6,_ENGINE_Crisis!$B$5:$B$208,$B49),1)</f>
        <v/>
      </c>
      <c r="S49" s="25">
        <f>IFERROR(INDEX('_ENGINE_Strategy'!$A$100:$A$113,MATCH($D49,'_ENGINE_Strategy'!$B$100:$B$113,0)),99)</f>
        <v/>
      </c>
      <c r="T49" s="25">
        <f>IFERROR(INDEX('_ENGINE_Strategy'!$J$100:$J$113,MATCH($D49,'_ENGINE_Strategy'!$B$100:$B$113,0)),0)</f>
        <v/>
      </c>
      <c r="U49" s="25" t="n">
        <v>4</v>
      </c>
      <c r="V49" s="25" t="n">
        <v>4</v>
      </c>
      <c r="W49" s="25" t="n">
        <v>4</v>
      </c>
      <c r="X49" s="25">
        <f>MAX(1,MIN(5,(N($O49)*0.50)+(N($Q49)*0.25)+((N($T49)/20)*0.25)))</f>
        <v/>
      </c>
      <c r="Y49" s="25">
        <f>MAX(1,MIN(5,(($R49-1)*1.6)+('Resilience &amp; Risk Scenario'!$B$7*0.45)+IF($S49&lt;=3,0.8,0)))</f>
        <v/>
      </c>
      <c r="Z49" s="25">
        <f>MAX(1,MIN(5,(N($O49)*0.45)+(MIN(5,5*N($M49)/MAX(1,N($K49)))*0.35)+(N($V49)*0.20)))</f>
        <v/>
      </c>
      <c r="AA49" s="25">
        <f>MAX(1,MIN(5,($U49*0.40)+($W49*0.30)+(($T49/20)*0.30)))</f>
        <v/>
      </c>
      <c r="AB49" s="25" t="n">
        <v>3</v>
      </c>
      <c r="AC49" s="25">
        <f>IF($AB49=0,"",ROUND((N($X49)+N($Y49)+N($Z49)+N($AA49))/$AB49,2))</f>
        <v/>
      </c>
      <c r="AD49" s="25">
        <f>IF($AC49="","",_xlfn.RANK.EQ($AC49,$AC$5:$AC$76,0)+COUNTIF($AC$5:$AC49,$AC49)-1)</f>
        <v/>
      </c>
      <c r="AE49" s="25">
        <f>IF($AD49="","",IF($AD49&lt;=cfg_TimelineBucket1,"0-90 days",IF($AD49&lt;=cfg_TimelineBucket2,"3-6 months",IF($AD49&lt;=cfg_TimelineBucket3,"6-12 months","12+ months"))))</f>
        <v/>
      </c>
      <c r="AF49" s="25" t="inlineStr">
        <is>
          <t>CMO / Communications Lead</t>
        </is>
      </c>
      <c r="AG49" s="25" t="inlineStr">
        <is>
          <t>2-3 months</t>
        </is>
      </c>
      <c r="AH49" s="25" t="inlineStr">
        <is>
          <t>Executive sponsor; accountable process owner; baseline evidence; risk acceptance threshold; customer and pipeline data; market assumptions</t>
        </is>
      </c>
      <c r="AI49" s="25" t="inlineStr">
        <is>
          <t>maturity score improvement; open risk reduction; evidence completeness; control test pass rate</t>
        </is>
      </c>
      <c r="AJ49" s="25" t="inlineStr">
        <is>
          <t>Documented brand and market presence operating model, owner/RACI, KPI set, evidence pack, tested crisis playbook and improvement backlog.</t>
        </is>
      </c>
      <c r="AK49" s="25" t="inlineStr">
        <is>
          <t>Counts active next-level recommendations for Marketing Comms / Brand and market presence.</t>
        </is>
      </c>
      <c r="AL49" s="25" t="inlineStr">
        <is>
          <t>Counts active risks and risk scores for Marketing Comms / Brand and market presence.</t>
        </is>
      </c>
      <c r="AM49" s="25" t="inlineStr">
        <is>
          <t>Uses the current rank and total score of Customer Retention and Revenue Protection Strategy.</t>
        </is>
      </c>
      <c r="AN49" s="25" t="inlineStr">
        <is>
          <t>Trigger when avg score &lt; 4, active risk exists, active recommendation exists or strategy rank &lt;= 3.</t>
        </is>
      </c>
      <c r="AO49" s="25" t="inlineStr">
        <is>
          <t>Not started</t>
        </is>
      </c>
      <c r="AP49" s="25" t="inlineStr">
        <is>
          <t>Medium</t>
        </is>
      </c>
      <c r="AQ49" s="25" t="n"/>
      <c r="AR49" s="25" t="n"/>
      <c r="AS49" s="247">
        <f>IFERROR(IF(SUMIFS(_REF_Model_Content!$J$1:$J$157,_REF_Model_Content!$A$1:$A$157,'Company Profile'!$B$9,_REF_Model_Content!$B$1:$B$157,$B49)=0,1,SUMIFS(_REF_Model_Content!$J$1:$J$157,_REF_Model_Content!$A$1:$A$157,'Company Profile'!$B$9,_REF_Model_Content!$B$1:$B$157,$B49)),1)</f>
        <v/>
      </c>
      <c r="AT49" s="247">
        <f>IF(OR($AY49="Done",$AY49="Not applicable"),"",IF($AC49="","",ROUND(N($AC49)*N($AS49),2)))</f>
        <v/>
      </c>
      <c r="AU49" s="247">
        <f>IF($AT49="","",_xlfn.RANK.EQ($AT49,$AT$5:$AT$76,0)+COUNTIF($AT$5:AT49,$AT49)-1)</f>
        <v/>
      </c>
      <c r="AV49" s="247">
        <f>IFERROR(INDEX('_DATA_Dashboard_Facts'!$G$300:$G$316,MATCH($B49,'_DATA_Dashboard_Facts'!$A$300:$A$316,0)),"")</f>
        <v/>
      </c>
      <c r="AW49" s="247">
        <f>IF($AS49&gt;cfg_IndPriorityHigh,"Industry template increases priority",IF($AS49&lt;cfg_IndPriorityLow,"Industry template lowers priority","Industry-neutral priority"))</f>
        <v/>
      </c>
      <c r="AX49">
        <f>IFERROR(INDEX('Action Plan &amp; Roadmap'!$D$59:$D$130,MATCH($A49,'Action Plan &amp; Roadmap'!$A$59:$A$130,0)),"")</f>
      </c>
      <c r="AY49">
        <f>IF($AX49&lt;&gt;"",$AX49,IF($AO49="","Not started",$AO49))</f>
        <v/>
      </c>
      <c r="AZ49" t="inlineStr">
        <is>
          <t>Number of sales &amp; marketing FTEs as a percentage of total business entity FTEs; B2B business customer one-year attrition rate</t>
        </is>
      </c>
      <c r="BA49">
        <f>IF($A49="","",COUNTIF('_DATA_Mappings'!$A:$A,$A49))</f>
        <v/>
      </c>
      <c r="BB49">
        <f>IF($A49="","",IFERROR(AVERAGEIF('_DATA_Mappings'!$A:$A,$A49,'_DATA_Mappings'!$G:$G),0))</f>
        <v/>
      </c>
      <c r="BC49">
        <f>IF($A49="","",MAX(0,MIN(5,(N($O49)*0.50)+(N($V49)*0.30)+(N($W49)*0.20))))</f>
        <v/>
      </c>
      <c r="BD49">
        <f>IF($A49="","",MAX(1,MIN(5,($Z49*0.45)+(MIN(5,$BB49/5)*0.35)+($BC49*0.20))))</f>
        <v/>
      </c>
      <c r="BE49">
        <f>IF($AB49=0,"",ROUND((N($X49)+N($Y49)+N($BD49)+N($AA49))/$AB49,2))</f>
        <v/>
      </c>
      <c r="BF49">
        <f>IF(OR($BE49="",$AY49="Done",$AY49="Not applicable"),"",ROUND($BE49*N($AS49),2))</f>
        <v/>
      </c>
      <c r="BG49">
        <f>IF($BF49="","",_xlfn.RANK.EQ($BF49,$BF$5:$BF$76,0)+COUNTIF($BF$5:$BF49,$BF49)-1)</f>
        <v/>
      </c>
      <c r="BH49">
        <f>IF($A49="","",IF($BB49&gt;20,"High P1 risk pressure",IF($BB49&gt;12,"Moderate P1 risk pressure","Lower P1 risk pressure")))</f>
        <v/>
      </c>
      <c r="BI49" s="25">
        <f>'_CONFIG_Model_Settings'!$B$103</f>
        <v/>
      </c>
      <c r="BJ49" s="25">
        <f>IFERROR(INDEX('_CONFIG_Model_Settings'!$B$109:$B$113,MATCH($BI49,'_CONFIG_Model_Settings'!$A$109:$A$113,0)),0.30)</f>
        <v/>
      </c>
      <c r="BK49" s="25">
        <f>IFERROR(INDEX('_CONFIG_Model_Settings'!$C$109:$C$113,MATCH($BI49,'_CONFIG_Model_Settings'!$A$109:$A$113,0)),0.20)</f>
        <v/>
      </c>
      <c r="BL49" s="25">
        <f>IFERROR(INDEX('_CONFIG_Model_Settings'!$D$109:$D$113,MATCH($BI49,'_CONFIG_Model_Settings'!$A$109:$A$113,0)),0.25)</f>
        <v/>
      </c>
      <c r="BM49" s="25">
        <f>IFERROR(INDEX('_CONFIG_Model_Settings'!$E$109:$E$113,MATCH($BI49,'_CONFIG_Model_Settings'!$A$109:$A$113,0)),0.25)</f>
        <v/>
      </c>
      <c r="BN49" s="25">
        <f>IFERROR(INDEX('_CONFIG_Model_Settings'!$B$117:$B$123,MATCH('_CONFIG_Model_Settings'!$B$104,'_CONFIG_Model_Settings'!$A$117:$A$123,0)),1)</f>
        <v/>
      </c>
      <c r="BO49" s="25">
        <f>IFERROR(INDEX('_CONFIG_Model_Settings'!$C$117:$C$123,MATCH('_CONFIG_Model_Settings'!$B$104,'_CONFIG_Model_Settings'!$A$117:$A$123,0)),1)</f>
        <v/>
      </c>
      <c r="BP49" s="25">
        <f>IFERROR(INDEX('_CONFIG_Model_Settings'!$D$117:$D$123,MATCH('_CONFIG_Model_Settings'!$B$104,'_CONFIG_Model_Settings'!$A$117:$A$123,0)),1)</f>
        <v/>
      </c>
      <c r="BQ49" s="25">
        <f>IFERROR(INDEX('_CONFIG_Model_Settings'!$E$117:$E$123,MATCH('_CONFIG_Model_Settings'!$B$104,'_CONFIG_Model_Settings'!$A$117:$A$123,0)),1)</f>
        <v/>
      </c>
      <c r="BR49" s="25">
        <f>IF($A49="","",MIN(5,IFERROR(SUMIF('_DATA_Mappings'!$A:$A,$A49,'_DATA_Mappings'!$K:$K)/MAX(1,'_CONFIG_Model_Settings'!$B$105),0)))</f>
        <v/>
      </c>
      <c r="BS49" s="25">
        <f>IF($A49="","",ROUND((N($X49)*N($BJ49)*N($BN49)+N($Y49)*N($BK49)*N($BO49)+N($BD49)*N($BL49)*N($BP49)+N($AA49)*N($BM49)*N($BQ49)+N($BR49)*N('_CONFIG_Model_Settings'!$B$106))/(N($BJ49)*N($BN49)+N($BK49)*N($BO49)+N($BL49)*N($BP49)+N($BM49)*N($BQ49)+N('_CONFIG_Model_Settings'!$B$106)),2))</f>
        <v/>
      </c>
      <c r="BT49" s="25">
        <f>IF($A49="","",MAX(1,N($AB49)))</f>
        <v/>
      </c>
      <c r="BU49" s="25">
        <f>IF(OR($BS49="",$BT49=0),"",ROUND($BS49/$BT49,2))</f>
        <v/>
      </c>
      <c r="BV49" s="25">
        <f>IF(OR($BU49="",$AY49="Done",$AY49="Not applicable"),"",ROUND($BU49*N($AS49),2))</f>
        <v/>
      </c>
      <c r="BW49" s="25">
        <f>IF($BV49="","",_xlfn.RANK.EQ($BV49,$BV$5:$BV$76,0)+COUNTIF($BV$5:$BV49,$BV49)-1)</f>
        <v/>
      </c>
      <c r="BX49" s="25">
        <f>IF($BW49="","",IF($BW49&lt;=cfg_TimelineBucket1,"0-90 days",IF($BW49&lt;=cfg_TimelineBucket2,"3-6 months",IF($BW49&lt;=cfg_TimelineBucket3,"6-12 months","12+ months"))))</f>
        <v/>
      </c>
      <c r="BY49" s="25">
        <f>IF($A49="","","P2: "&amp;$BI49&amp;" posture; objective="&amp;'_CONFIG_Model_Settings'!$B$104&amp;"; financial score="&amp;ROUND(N($BR49),1)&amp;"; CoD="&amp;$BS49)</f>
        <v/>
      </c>
    </row>
    <row r="50" ht="42" customHeight="1" s="209">
      <c r="A50" s="25" t="inlineStr">
        <is>
          <t>INI-046</t>
        </is>
      </c>
      <c r="B50" s="25" t="inlineStr">
        <is>
          <t>Marketing Comms</t>
        </is>
      </c>
      <c r="C50" s="25" t="inlineStr">
        <is>
          <t>Crisis communication</t>
        </is>
      </c>
      <c r="D50" s="25" t="inlineStr">
        <is>
          <t>Business Continuity and Resilience Strategy</t>
        </is>
      </c>
      <c r="E50" s="25" t="inlineStr">
        <is>
          <t>STR-02</t>
        </is>
      </c>
      <c r="F50" s="25" t="inlineStr">
        <is>
          <t>Prepare crisis communication playbooks and customer notification flows</t>
        </is>
      </c>
      <c r="G50" s="25" t="inlineStr">
        <is>
          <t>Close maturity gaps in crisis communication by assigning ownership, documenting the process, connecting it to evidence and systems, testing it against crisis scenarios and measuring improvement.</t>
        </is>
      </c>
      <c r="H50" s="25" t="inlineStr">
        <is>
          <t>Market communication and reputation resilience</t>
        </is>
      </c>
      <c r="I50" s="25" t="inlineStr">
        <is>
          <t>Demand shock; Reputation crisis; Regulatory / legal shock</t>
        </is>
      </c>
      <c r="J50" s="25" t="inlineStr">
        <is>
          <t>MARK-006; MARK-007; MARK-008; MARK-009; MARK-010; MARK-011</t>
        </is>
      </c>
      <c r="K50" s="25" t="n">
        <v>6</v>
      </c>
      <c r="L50" s="25">
        <f>COUNTIFS('_ENGINE_Risk'!$C$500:$C$923,$B50,'_ENGINE_Risk'!$D$500:$D$923,$C50,'_ENGINE_Risk'!$B$500:$B$923,"Yes")</f>
        <v/>
      </c>
      <c r="M50" s="25">
        <f>COUNTIFS('_ENGINE_Risk'!$C$500:$C$923,$B50,'_ENGINE_Risk'!$D$500:$D$923,$C50,'_ENGINE_Risk'!$B$500:$B$923,"Yes")</f>
        <v/>
      </c>
      <c r="N50" s="25">
        <f>IFERROR(AVERAGEIFS(_DATA_Assessment_Model!$H$5:$H$428,_DATA_Assessment_Model!$AW$5:$AW$428,$B50,_DATA_Assessment_Model!$B$5:$B$428,$C50),"")</f>
        <v/>
      </c>
      <c r="O50" s="25">
        <f>IF($N50="","",MAX(0,5-$N50))</f>
        <v/>
      </c>
      <c r="P50" s="25">
        <f>IFERROR(INDEX(_DATA_Dashboard_Facts!$H$5:$H$21,MATCH($B50,_DATA_Dashboard_Facts!$A$5:$A$21,0)),"")</f>
        <v/>
      </c>
      <c r="Q50" s="25">
        <f>IF($P50="","",MAX(0,5-$P50))</f>
        <v/>
      </c>
      <c r="R50" s="25">
        <f>IFERROR(SUMIFS(_ENGINE_Crisis!$D$5:$D$208,_ENGINE_Crisis!$A$5:$A$208,'Resilience &amp; Risk Scenario'!$B$6,_ENGINE_Crisis!$B$5:$B$208,$B50),1)</f>
        <v/>
      </c>
      <c r="S50" s="25">
        <f>IFERROR(INDEX('_ENGINE_Strategy'!$A$100:$A$113,MATCH($D50,'_ENGINE_Strategy'!$B$100:$B$113,0)),99)</f>
        <v/>
      </c>
      <c r="T50" s="25">
        <f>IFERROR(INDEX('_ENGINE_Strategy'!$J$100:$J$113,MATCH($D50,'_ENGINE_Strategy'!$B$100:$B$113,0)),0)</f>
        <v/>
      </c>
      <c r="U50" s="25" t="n">
        <v>2</v>
      </c>
      <c r="V50" s="25" t="n">
        <v>5</v>
      </c>
      <c r="W50" s="25" t="n">
        <v>4</v>
      </c>
      <c r="X50" s="25">
        <f>MAX(1,MIN(5,(N($O50)*0.50)+(N($Q50)*0.25)+((N($T50)/20)*0.25)))</f>
        <v/>
      </c>
      <c r="Y50" s="25">
        <f>MAX(1,MIN(5,(($R50-1)*1.6)+('Resilience &amp; Risk Scenario'!$B$7*0.45)+IF($S50&lt;=3,0.8,0)))</f>
        <v/>
      </c>
      <c r="Z50" s="25">
        <f>MAX(1,MIN(5,(N($O50)*0.45)+(MIN(5,5*N($M50)/MAX(1,N($K50)))*0.35)+(N($V50)*0.20)))</f>
        <v/>
      </c>
      <c r="AA50" s="25">
        <f>MAX(1,MIN(5,($U50*0.40)+($W50*0.30)+(($T50/20)*0.30)))</f>
        <v/>
      </c>
      <c r="AB50" s="25" t="n">
        <v>3</v>
      </c>
      <c r="AC50" s="25">
        <f>IF($AB50=0,"",ROUND((N($X50)+N($Y50)+N($Z50)+N($AA50))/$AB50,2))</f>
        <v/>
      </c>
      <c r="AD50" s="25">
        <f>IF($AC50="","",_xlfn.RANK.EQ($AC50,$AC$5:$AC$76,0)+COUNTIF($AC$5:$AC50,$AC50)-1)</f>
        <v/>
      </c>
      <c r="AE50" s="25">
        <f>IF($AD50="","",IF($AD50&lt;=cfg_TimelineBucket1,"0-90 days",IF($AD50&lt;=cfg_TimelineBucket2,"3-6 months",IF($AD50&lt;=cfg_TimelineBucket3,"6-12 months","12+ months"))))</f>
        <v/>
      </c>
      <c r="AF50" s="25" t="inlineStr">
        <is>
          <t>CMO / Communications Lead</t>
        </is>
      </c>
      <c r="AG50" s="25" t="inlineStr">
        <is>
          <t>2-3 months</t>
        </is>
      </c>
      <c r="AH50" s="25" t="inlineStr">
        <is>
          <t>Executive sponsor; accountable process owner; baseline evidence; risk acceptance threshold; customer and pipeline data; market assumptions</t>
        </is>
      </c>
      <c r="AI50" s="25" t="inlineStr">
        <is>
          <t>maturity score improvement; open risk reduction; evidence completeness; control test pass rate</t>
        </is>
      </c>
      <c r="AJ50" s="25" t="inlineStr">
        <is>
          <t>Documented crisis communication operating model, owner/RACI, KPI set, evidence pack, tested crisis playbook and improvement backlog.</t>
        </is>
      </c>
      <c r="AK50" s="25" t="inlineStr">
        <is>
          <t>Counts active next-level recommendations for Marketing Comms / Crisis communication.</t>
        </is>
      </c>
      <c r="AL50" s="25" t="inlineStr">
        <is>
          <t>Counts active risks and risk scores for Marketing Comms / Crisis communication.</t>
        </is>
      </c>
      <c r="AM50" s="25" t="inlineStr">
        <is>
          <t>Uses the current rank and total score of Business Continuity and Resilience Strategy.</t>
        </is>
      </c>
      <c r="AN50" s="25" t="inlineStr">
        <is>
          <t>Trigger when avg score &lt; 4, active risk exists, active recommendation exists or strategy rank &lt;= 3.</t>
        </is>
      </c>
      <c r="AO50" s="25" t="inlineStr">
        <is>
          <t>Not started</t>
        </is>
      </c>
      <c r="AP50" s="25" t="inlineStr">
        <is>
          <t>Medium</t>
        </is>
      </c>
      <c r="AQ50" s="25" t="n"/>
      <c r="AR50" s="25" t="n"/>
      <c r="AS50" s="247">
        <f>IFERROR(IF(SUMIFS(_REF_Model_Content!$J$1:$J$157,_REF_Model_Content!$A$1:$A$157,'Company Profile'!$B$9,_REF_Model_Content!$B$1:$B$157,$B50)=0,1,SUMIFS(_REF_Model_Content!$J$1:$J$157,_REF_Model_Content!$A$1:$A$157,'Company Profile'!$B$9,_REF_Model_Content!$B$1:$B$157,$B50)),1)</f>
        <v/>
      </c>
      <c r="AT50" s="247">
        <f>IF(OR($AY50="Done",$AY50="Not applicable"),"",IF($AC50="","",ROUND(N($AC50)*N($AS50),2)))</f>
        <v/>
      </c>
      <c r="AU50" s="247">
        <f>IF($AT50="","",_xlfn.RANK.EQ($AT50,$AT$5:$AT$76,0)+COUNTIF($AT$5:AT50,$AT50)-1)</f>
        <v/>
      </c>
      <c r="AV50" s="247">
        <f>IFERROR(INDEX('_DATA_Dashboard_Facts'!$G$300:$G$316,MATCH($B50,'_DATA_Dashboard_Facts'!$A$300:$A$316,0)),"")</f>
        <v/>
      </c>
      <c r="AW50" s="247">
        <f>IF($AS50&gt;cfg_IndPriorityHigh,"Industry template increases priority",IF($AS50&lt;cfg_IndPriorityLow,"Industry template lowers priority","Industry-neutral priority"))</f>
        <v/>
      </c>
      <c r="AX50">
        <f>IFERROR(INDEX('Action Plan &amp; Roadmap'!$D$59:$D$130,MATCH($A50,'Action Plan &amp; Roadmap'!$A$59:$A$130,0)),"")</f>
      </c>
      <c r="AY50">
        <f>IF($AX50&lt;&gt;"",$AX50,IF($AO50="","Not started",$AO50))</f>
        <v/>
      </c>
      <c r="AZ50" t="inlineStr">
        <is>
          <t>Percentage of legal services FTEs that perform other legal services processes; Total cost to perform the legal services function as a percentage of revenue</t>
        </is>
      </c>
      <c r="BA50">
        <f>IF($A50="","",COUNTIF('_DATA_Mappings'!$A:$A,$A50))</f>
        <v/>
      </c>
      <c r="BB50">
        <f>IF($A50="","",IFERROR(AVERAGEIF('_DATA_Mappings'!$A:$A,$A50,'_DATA_Mappings'!$G:$G),0))</f>
        <v/>
      </c>
      <c r="BC50">
        <f>IF($A50="","",MAX(0,MIN(5,(N($O50)*0.50)+(N($V50)*0.30)+(N($W50)*0.20))))</f>
        <v/>
      </c>
      <c r="BD50">
        <f>IF($A50="","",MAX(1,MIN(5,($Z50*0.45)+(MIN(5,$BB50/5)*0.35)+($BC50*0.20))))</f>
        <v/>
      </c>
      <c r="BE50">
        <f>IF($AB50=0,"",ROUND((N($X50)+N($Y50)+N($BD50)+N($AA50))/$AB50,2))</f>
        <v/>
      </c>
      <c r="BF50">
        <f>IF(OR($BE50="",$AY50="Done",$AY50="Not applicable"),"",ROUND($BE50*N($AS50),2))</f>
        <v/>
      </c>
      <c r="BG50">
        <f>IF($BF50="","",_xlfn.RANK.EQ($BF50,$BF$5:$BF$76,0)+COUNTIF($BF$5:$BF50,$BF50)-1)</f>
        <v/>
      </c>
      <c r="BH50">
        <f>IF($A50="","",IF($BB50&gt;20,"High P1 risk pressure",IF($BB50&gt;12,"Moderate P1 risk pressure","Lower P1 risk pressure")))</f>
        <v/>
      </c>
      <c r="BI50" s="25">
        <f>'_CONFIG_Model_Settings'!$B$103</f>
        <v/>
      </c>
      <c r="BJ50" s="25">
        <f>IFERROR(INDEX('_CONFIG_Model_Settings'!$B$109:$B$113,MATCH($BI50,'_CONFIG_Model_Settings'!$A$109:$A$113,0)),0.30)</f>
        <v/>
      </c>
      <c r="BK50" s="25">
        <f>IFERROR(INDEX('_CONFIG_Model_Settings'!$C$109:$C$113,MATCH($BI50,'_CONFIG_Model_Settings'!$A$109:$A$113,0)),0.20)</f>
        <v/>
      </c>
      <c r="BL50" s="25">
        <f>IFERROR(INDEX('_CONFIG_Model_Settings'!$D$109:$D$113,MATCH($BI50,'_CONFIG_Model_Settings'!$A$109:$A$113,0)),0.25)</f>
        <v/>
      </c>
      <c r="BM50" s="25">
        <f>IFERROR(INDEX('_CONFIG_Model_Settings'!$E$109:$E$113,MATCH($BI50,'_CONFIG_Model_Settings'!$A$109:$A$113,0)),0.25)</f>
        <v/>
      </c>
      <c r="BN50" s="25">
        <f>IFERROR(INDEX('_CONFIG_Model_Settings'!$B$117:$B$123,MATCH('_CONFIG_Model_Settings'!$B$104,'_CONFIG_Model_Settings'!$A$117:$A$123,0)),1)</f>
        <v/>
      </c>
      <c r="BO50" s="25">
        <f>IFERROR(INDEX('_CONFIG_Model_Settings'!$C$117:$C$123,MATCH('_CONFIG_Model_Settings'!$B$104,'_CONFIG_Model_Settings'!$A$117:$A$123,0)),1)</f>
        <v/>
      </c>
      <c r="BP50" s="25">
        <f>IFERROR(INDEX('_CONFIG_Model_Settings'!$D$117:$D$123,MATCH('_CONFIG_Model_Settings'!$B$104,'_CONFIG_Model_Settings'!$A$117:$A$123,0)),1)</f>
        <v/>
      </c>
      <c r="BQ50" s="25">
        <f>IFERROR(INDEX('_CONFIG_Model_Settings'!$E$117:$E$123,MATCH('_CONFIG_Model_Settings'!$B$104,'_CONFIG_Model_Settings'!$A$117:$A$123,0)),1)</f>
        <v/>
      </c>
      <c r="BR50" s="25">
        <f>IF($A50="","",MIN(5,IFERROR(SUMIF('_DATA_Mappings'!$A:$A,$A50,'_DATA_Mappings'!$K:$K)/MAX(1,'_CONFIG_Model_Settings'!$B$105),0)))</f>
        <v/>
      </c>
      <c r="BS50" s="25">
        <f>IF($A50="","",ROUND((N($X50)*N($BJ50)*N($BN50)+N($Y50)*N($BK50)*N($BO50)+N($BD50)*N($BL50)*N($BP50)+N($AA50)*N($BM50)*N($BQ50)+N($BR50)*N('_CONFIG_Model_Settings'!$B$106))/(N($BJ50)*N($BN50)+N($BK50)*N($BO50)+N($BL50)*N($BP50)+N($BM50)*N($BQ50)+N('_CONFIG_Model_Settings'!$B$106)),2))</f>
        <v/>
      </c>
      <c r="BT50" s="25">
        <f>IF($A50="","",MAX(1,N($AB50)))</f>
        <v/>
      </c>
      <c r="BU50" s="25">
        <f>IF(OR($BS50="",$BT50=0),"",ROUND($BS50/$BT50,2))</f>
        <v/>
      </c>
      <c r="BV50" s="25">
        <f>IF(OR($BU50="",$AY50="Done",$AY50="Not applicable"),"",ROUND($BU50*N($AS50),2))</f>
        <v/>
      </c>
      <c r="BW50" s="25">
        <f>IF($BV50="","",_xlfn.RANK.EQ($BV50,$BV$5:$BV$76,0)+COUNTIF($BV$5:$BV50,$BV50)-1)</f>
        <v/>
      </c>
      <c r="BX50" s="25">
        <f>IF($BW50="","",IF($BW50&lt;=cfg_TimelineBucket1,"0-90 days",IF($BW50&lt;=cfg_TimelineBucket2,"3-6 months",IF($BW50&lt;=cfg_TimelineBucket3,"6-12 months","12+ months"))))</f>
        <v/>
      </c>
      <c r="BY50" s="25">
        <f>IF($A50="","","P2: "&amp;$BI50&amp;" posture; objective="&amp;'_CONFIG_Model_Settings'!$B$104&amp;"; financial score="&amp;ROUND(N($BR50),1)&amp;"; CoD="&amp;$BS50)</f>
        <v/>
      </c>
    </row>
    <row r="51" ht="42" customHeight="1" s="209">
      <c r="A51" s="25" t="inlineStr">
        <is>
          <t>INI-047</t>
        </is>
      </c>
      <c r="B51" s="25" t="inlineStr">
        <is>
          <t>Marketing Comms</t>
        </is>
      </c>
      <c r="C51" s="25" t="inlineStr">
        <is>
          <t>Marketing operations</t>
        </is>
      </c>
      <c r="D51" s="25" t="inlineStr">
        <is>
          <t>Customer Retention and Revenue Protection Strategy</t>
        </is>
      </c>
      <c r="E51" s="25" t="inlineStr">
        <is>
          <t>STR-12</t>
        </is>
      </c>
      <c r="F51" s="25" t="inlineStr">
        <is>
          <t>Standardize marketing operations, content and analytics cadence</t>
        </is>
      </c>
      <c r="G51" s="25" t="inlineStr">
        <is>
          <t>Close maturity gaps in marketing operations by assigning ownership, documenting the process, connecting it to evidence and systems, testing it against crisis scenarios and measuring improvement.</t>
        </is>
      </c>
      <c r="H51" s="25" t="inlineStr">
        <is>
          <t>Market communication and reputation resilience</t>
        </is>
      </c>
      <c r="I51" s="25" t="inlineStr">
        <is>
          <t>Demand shock; Reputation crisis; Regulatory / legal shock</t>
        </is>
      </c>
      <c r="J51" s="25" t="inlineStr">
        <is>
          <t>MARK-012; MARK-013; MARK-014; MARK-015; MARK-016; MARK-017</t>
        </is>
      </c>
      <c r="K51" s="25" t="n">
        <v>6</v>
      </c>
      <c r="L51" s="25">
        <f>COUNTIFS('_ENGINE_Risk'!$C$500:$C$923,$B51,'_ENGINE_Risk'!$D$500:$D$923,$C51,'_ENGINE_Risk'!$B$500:$B$923,"Yes")</f>
        <v/>
      </c>
      <c r="M51" s="25">
        <f>COUNTIFS('_ENGINE_Risk'!$C$500:$C$923,$B51,'_ENGINE_Risk'!$D$500:$D$923,$C51,'_ENGINE_Risk'!$B$500:$B$923,"Yes")</f>
        <v/>
      </c>
      <c r="N51" s="25">
        <f>IFERROR(AVERAGEIFS(_DATA_Assessment_Model!$H$5:$H$428,_DATA_Assessment_Model!$AW$5:$AW$428,$B51,_DATA_Assessment_Model!$B$5:$B$428,$C51),"")</f>
        <v/>
      </c>
      <c r="O51" s="25">
        <f>IF($N51="","",MAX(0,5-$N51))</f>
        <v/>
      </c>
      <c r="P51" s="25">
        <f>IFERROR(INDEX(_DATA_Dashboard_Facts!$H$5:$H$21,MATCH($B51,_DATA_Dashboard_Facts!$A$5:$A$21,0)),"")</f>
        <v/>
      </c>
      <c r="Q51" s="25">
        <f>IF($P51="","",MAX(0,5-$P51))</f>
        <v/>
      </c>
      <c r="R51" s="25">
        <f>IFERROR(SUMIFS(_ENGINE_Crisis!$D$5:$D$208,_ENGINE_Crisis!$A$5:$A$208,'Resilience &amp; Risk Scenario'!$B$6,_ENGINE_Crisis!$B$5:$B$208,$B51),1)</f>
        <v/>
      </c>
      <c r="S51" s="25">
        <f>IFERROR(INDEX('_ENGINE_Strategy'!$A$100:$A$113,MATCH($D51,'_ENGINE_Strategy'!$B$100:$B$113,0)),99)</f>
        <v/>
      </c>
      <c r="T51" s="25">
        <f>IFERROR(INDEX('_ENGINE_Strategy'!$J$100:$J$113,MATCH($D51,'_ENGINE_Strategy'!$B$100:$B$113,0)),0)</f>
        <v/>
      </c>
      <c r="U51" s="25" t="n">
        <v>4</v>
      </c>
      <c r="V51" s="25" t="n">
        <v>4</v>
      </c>
      <c r="W51" s="25" t="n">
        <v>4</v>
      </c>
      <c r="X51" s="25">
        <f>MAX(1,MIN(5,(N($O51)*0.50)+(N($Q51)*0.25)+((N($T51)/20)*0.25)))</f>
        <v/>
      </c>
      <c r="Y51" s="25">
        <f>MAX(1,MIN(5,(($R51-1)*1.6)+('Resilience &amp; Risk Scenario'!$B$7*0.45)+IF($S51&lt;=3,0.8,0)))</f>
        <v/>
      </c>
      <c r="Z51" s="25">
        <f>MAX(1,MIN(5,(N($O51)*0.45)+(MIN(5,5*N($M51)/MAX(1,N($K51)))*0.35)+(N($V51)*0.20)))</f>
        <v/>
      </c>
      <c r="AA51" s="25">
        <f>MAX(1,MIN(5,($U51*0.40)+($W51*0.30)+(($T51/20)*0.30)))</f>
        <v/>
      </c>
      <c r="AB51" s="25" t="n">
        <v>3</v>
      </c>
      <c r="AC51" s="25">
        <f>IF($AB51=0,"",ROUND((N($X51)+N($Y51)+N($Z51)+N($AA51))/$AB51,2))</f>
        <v/>
      </c>
      <c r="AD51" s="25">
        <f>IF($AC51="","",_xlfn.RANK.EQ($AC51,$AC$5:$AC$76,0)+COUNTIF($AC$5:$AC51,$AC51)-1)</f>
        <v/>
      </c>
      <c r="AE51" s="25">
        <f>IF($AD51="","",IF($AD51&lt;=cfg_TimelineBucket1,"0-90 days",IF($AD51&lt;=cfg_TimelineBucket2,"3-6 months",IF($AD51&lt;=cfg_TimelineBucket3,"6-12 months","12+ months"))))</f>
        <v/>
      </c>
      <c r="AF51" s="25" t="inlineStr">
        <is>
          <t>CMO / Communications Lead</t>
        </is>
      </c>
      <c r="AG51" s="25" t="inlineStr">
        <is>
          <t>2-3 months</t>
        </is>
      </c>
      <c r="AH51" s="25" t="inlineStr">
        <is>
          <t>Executive sponsor; accountable process owner; baseline evidence; risk acceptance threshold; customer and pipeline data; market assumptions</t>
        </is>
      </c>
      <c r="AI51" s="25" t="inlineStr">
        <is>
          <t>maturity score improvement; open risk reduction; evidence completeness; control test pass rate</t>
        </is>
      </c>
      <c r="AJ51" s="25" t="inlineStr">
        <is>
          <t>Documented marketing operations operating model, owner/RACI, KPI set, evidence pack, tested crisis playbook and improvement backlog.</t>
        </is>
      </c>
      <c r="AK51" s="25" t="inlineStr">
        <is>
          <t>Counts active next-level recommendations for Marketing Comms / Marketing operations.</t>
        </is>
      </c>
      <c r="AL51" s="25" t="inlineStr">
        <is>
          <t>Counts active risks and risk scores for Marketing Comms / Marketing operations.</t>
        </is>
      </c>
      <c r="AM51" s="25" t="inlineStr">
        <is>
          <t>Uses the current rank and total score of Customer Retention and Revenue Protection Strategy.</t>
        </is>
      </c>
      <c r="AN51" s="25" t="inlineStr">
        <is>
          <t>Trigger when avg score &lt; 4, active risk exists, active recommendation exists or strategy rank &lt;= 3.</t>
        </is>
      </c>
      <c r="AO51" s="25" t="inlineStr">
        <is>
          <t>Not started</t>
        </is>
      </c>
      <c r="AP51" s="25" t="inlineStr">
        <is>
          <t>Medium</t>
        </is>
      </c>
      <c r="AQ51" s="25" t="n"/>
      <c r="AR51" s="25" t="n"/>
      <c r="AS51" s="247">
        <f>IFERROR(IF(SUMIFS(_REF_Model_Content!$J$1:$J$157,_REF_Model_Content!$A$1:$A$157,'Company Profile'!$B$9,_REF_Model_Content!$B$1:$B$157,$B51)=0,1,SUMIFS(_REF_Model_Content!$J$1:$J$157,_REF_Model_Content!$A$1:$A$157,'Company Profile'!$B$9,_REF_Model_Content!$B$1:$B$157,$B51)),1)</f>
        <v/>
      </c>
      <c r="AT51" s="247">
        <f>IF(OR($AY51="Done",$AY51="Not applicable"),"",IF($AC51="","",ROUND(N($AC51)*N($AS51),2)))</f>
        <v/>
      </c>
      <c r="AU51" s="247">
        <f>IF($AT51="","",_xlfn.RANK.EQ($AT51,$AT$5:$AT$76,0)+COUNTIF($AT$5:AT51,$AT51)-1)</f>
        <v/>
      </c>
      <c r="AV51" s="247">
        <f>IFERROR(INDEX('_DATA_Dashboard_Facts'!$G$300:$G$316,MATCH($B51,'_DATA_Dashboard_Facts'!$A$300:$A$316,0)),"")</f>
        <v/>
      </c>
      <c r="AW51" s="247">
        <f>IF($AS51&gt;cfg_IndPriorityHigh,"Industry template increases priority",IF($AS51&lt;cfg_IndPriorityLow,"Industry template lowers priority","Industry-neutral priority"))</f>
        <v/>
      </c>
      <c r="AX51">
        <f>IFERROR(INDEX('Action Plan &amp; Roadmap'!$D$59:$D$130,MATCH($A51,'Action Plan &amp; Roadmap'!$A$59:$A$130,0)),"")</f>
      </c>
      <c r="AY51">
        <f>IF($AX51&lt;&gt;"",$AX51,IF($AO51="","Not started",$AO51))</f>
        <v/>
      </c>
      <c r="AZ51" t="inlineStr">
        <is>
          <t>Number of sales &amp; marketing FTEs as a percentage of total business entity FTEs; B2B business customer one-year attrition rate</t>
        </is>
      </c>
      <c r="BA51">
        <f>IF($A51="","",COUNTIF('_DATA_Mappings'!$A:$A,$A51))</f>
        <v/>
      </c>
      <c r="BB51">
        <f>IF($A51="","",IFERROR(AVERAGEIF('_DATA_Mappings'!$A:$A,$A51,'_DATA_Mappings'!$G:$G),0))</f>
        <v/>
      </c>
      <c r="BC51">
        <f>IF($A51="","",MAX(0,MIN(5,(N($O51)*0.50)+(N($V51)*0.30)+(N($W51)*0.20))))</f>
        <v/>
      </c>
      <c r="BD51">
        <f>IF($A51="","",MAX(1,MIN(5,($Z51*0.45)+(MIN(5,$BB51/5)*0.35)+($BC51*0.20))))</f>
        <v/>
      </c>
      <c r="BE51">
        <f>IF($AB51=0,"",ROUND((N($X51)+N($Y51)+N($BD51)+N($AA51))/$AB51,2))</f>
        <v/>
      </c>
      <c r="BF51">
        <f>IF(OR($BE51="",$AY51="Done",$AY51="Not applicable"),"",ROUND($BE51*N($AS51),2))</f>
        <v/>
      </c>
      <c r="BG51">
        <f>IF($BF51="","",_xlfn.RANK.EQ($BF51,$BF$5:$BF$76,0)+COUNTIF($BF$5:$BF51,$BF51)-1)</f>
        <v/>
      </c>
      <c r="BH51">
        <f>IF($A51="","",IF($BB51&gt;20,"High P1 risk pressure",IF($BB51&gt;12,"Moderate P1 risk pressure","Lower P1 risk pressure")))</f>
        <v/>
      </c>
      <c r="BI51" s="25">
        <f>'_CONFIG_Model_Settings'!$B$103</f>
        <v/>
      </c>
      <c r="BJ51" s="25">
        <f>IFERROR(INDEX('_CONFIG_Model_Settings'!$B$109:$B$113,MATCH($BI51,'_CONFIG_Model_Settings'!$A$109:$A$113,0)),0.30)</f>
        <v/>
      </c>
      <c r="BK51" s="25">
        <f>IFERROR(INDEX('_CONFIG_Model_Settings'!$C$109:$C$113,MATCH($BI51,'_CONFIG_Model_Settings'!$A$109:$A$113,0)),0.20)</f>
        <v/>
      </c>
      <c r="BL51" s="25">
        <f>IFERROR(INDEX('_CONFIG_Model_Settings'!$D$109:$D$113,MATCH($BI51,'_CONFIG_Model_Settings'!$A$109:$A$113,0)),0.25)</f>
        <v/>
      </c>
      <c r="BM51" s="25">
        <f>IFERROR(INDEX('_CONFIG_Model_Settings'!$E$109:$E$113,MATCH($BI51,'_CONFIG_Model_Settings'!$A$109:$A$113,0)),0.25)</f>
        <v/>
      </c>
      <c r="BN51" s="25">
        <f>IFERROR(INDEX('_CONFIG_Model_Settings'!$B$117:$B$123,MATCH('_CONFIG_Model_Settings'!$B$104,'_CONFIG_Model_Settings'!$A$117:$A$123,0)),1)</f>
        <v/>
      </c>
      <c r="BO51" s="25">
        <f>IFERROR(INDEX('_CONFIG_Model_Settings'!$C$117:$C$123,MATCH('_CONFIG_Model_Settings'!$B$104,'_CONFIG_Model_Settings'!$A$117:$A$123,0)),1)</f>
        <v/>
      </c>
      <c r="BP51" s="25">
        <f>IFERROR(INDEX('_CONFIG_Model_Settings'!$D$117:$D$123,MATCH('_CONFIG_Model_Settings'!$B$104,'_CONFIG_Model_Settings'!$A$117:$A$123,0)),1)</f>
        <v/>
      </c>
      <c r="BQ51" s="25">
        <f>IFERROR(INDEX('_CONFIG_Model_Settings'!$E$117:$E$123,MATCH('_CONFIG_Model_Settings'!$B$104,'_CONFIG_Model_Settings'!$A$117:$A$123,0)),1)</f>
        <v/>
      </c>
      <c r="BR51" s="25">
        <f>IF($A51="","",MIN(5,IFERROR(SUMIF('_DATA_Mappings'!$A:$A,$A51,'_DATA_Mappings'!$K:$K)/MAX(1,'_CONFIG_Model_Settings'!$B$105),0)))</f>
        <v/>
      </c>
      <c r="BS51" s="25">
        <f>IF($A51="","",ROUND((N($X51)*N($BJ51)*N($BN51)+N($Y51)*N($BK51)*N($BO51)+N($BD51)*N($BL51)*N($BP51)+N($AA51)*N($BM51)*N($BQ51)+N($BR51)*N('_CONFIG_Model_Settings'!$B$106))/(N($BJ51)*N($BN51)+N($BK51)*N($BO51)+N($BL51)*N($BP51)+N($BM51)*N($BQ51)+N('_CONFIG_Model_Settings'!$B$106)),2))</f>
        <v/>
      </c>
      <c r="BT51" s="25">
        <f>IF($A51="","",MAX(1,N($AB51)))</f>
        <v/>
      </c>
      <c r="BU51" s="25">
        <f>IF(OR($BS51="",$BT51=0),"",ROUND($BS51/$BT51,2))</f>
        <v/>
      </c>
      <c r="BV51" s="25">
        <f>IF(OR($BU51="",$AY51="Done",$AY51="Not applicable"),"",ROUND($BU51*N($AS51),2))</f>
        <v/>
      </c>
      <c r="BW51" s="25">
        <f>IF($BV51="","",_xlfn.RANK.EQ($BV51,$BV$5:$BV$76,0)+COUNTIF($BV$5:$BV51,$BV51)-1)</f>
        <v/>
      </c>
      <c r="BX51" s="25">
        <f>IF($BW51="","",IF($BW51&lt;=cfg_TimelineBucket1,"0-90 days",IF($BW51&lt;=cfg_TimelineBucket2,"3-6 months",IF($BW51&lt;=cfg_TimelineBucket3,"6-12 months","12+ months"))))</f>
        <v/>
      </c>
      <c r="BY51" s="25">
        <f>IF($A51="","","P2: "&amp;$BI51&amp;" posture; objective="&amp;'_CONFIG_Model_Settings'!$B$104&amp;"; financial score="&amp;ROUND(N($BR51),1)&amp;"; CoD="&amp;$BS51)</f>
        <v/>
      </c>
    </row>
    <row r="52" ht="42" customHeight="1" s="209">
      <c r="A52" s="25" t="inlineStr">
        <is>
          <t>INI-048</t>
        </is>
      </c>
      <c r="B52" s="25" t="inlineStr">
        <is>
          <t>IT Cloud DR</t>
        </is>
      </c>
      <c r="C52" s="25" t="inlineStr">
        <is>
          <t>IT inventory and architecture</t>
        </is>
      </c>
      <c r="D52" s="25" t="inlineStr">
        <is>
          <t>Cloud and Infrastructure Resilience Strategy</t>
        </is>
      </c>
      <c r="E52" s="25" t="inlineStr">
        <is>
          <t>STR-03</t>
        </is>
      </c>
      <c r="F52" s="25" t="inlineStr">
        <is>
          <t>Create IT asset, application and architecture criticality map</t>
        </is>
      </c>
      <c r="G52" s="25" t="inlineStr">
        <is>
          <t>Close maturity gaps in it inventory and architecture by assigning ownership, documenting the process, connecting it to evidence and systems, testing it against crisis scenarios and measuring improvement.</t>
        </is>
      </c>
      <c r="H52" s="25" t="inlineStr">
        <is>
          <t>IT, cloud and disaster recovery</t>
        </is>
      </c>
      <c r="I52" s="25" t="inlineStr">
        <is>
          <t>Cloud / SaaS outage; Cyberattack / ransomware; Physical site loss; War / security crisis</t>
        </is>
      </c>
      <c r="J52" s="25" t="inlineStr">
        <is>
          <t>ITCL-001; ITCL-002; ITCL-003; ITCL-004; ITCL-005; ITCL-006</t>
        </is>
      </c>
      <c r="K52" s="25" t="n">
        <v>6</v>
      </c>
      <c r="L52" s="25">
        <f>COUNTIFS('_ENGINE_Risk'!$C$500:$C$923,$B52,'_ENGINE_Risk'!$D$500:$D$923,$C52,'_ENGINE_Risk'!$B$500:$B$923,"Yes")</f>
        <v/>
      </c>
      <c r="M52" s="25">
        <f>COUNTIFS('_ENGINE_Risk'!$C$500:$C$923,$B52,'_ENGINE_Risk'!$D$500:$D$923,$C52,'_ENGINE_Risk'!$B$500:$B$923,"Yes")</f>
        <v/>
      </c>
      <c r="N52" s="25">
        <f>IFERROR(AVERAGEIFS(_DATA_Assessment_Model!$H$5:$H$428,_DATA_Assessment_Model!$AW$5:$AW$428,$B52,_DATA_Assessment_Model!$B$5:$B$428,$C52),"")</f>
        <v/>
      </c>
      <c r="O52" s="25">
        <f>IF($N52="","",MAX(0,5-$N52))</f>
        <v/>
      </c>
      <c r="P52" s="25">
        <f>IFERROR(INDEX(_DATA_Dashboard_Facts!$H$5:$H$21,MATCH($B52,_DATA_Dashboard_Facts!$A$5:$A$21,0)),"")</f>
        <v/>
      </c>
      <c r="Q52" s="25">
        <f>IF($P52="","",MAX(0,5-$P52))</f>
        <v/>
      </c>
      <c r="R52" s="25">
        <f>IFERROR(SUMIFS(_ENGINE_Crisis!$D$5:$D$208,_ENGINE_Crisis!$A$5:$A$208,'Resilience &amp; Risk Scenario'!$B$6,_ENGINE_Crisis!$B$5:$B$208,$B52),1)</f>
        <v/>
      </c>
      <c r="S52" s="25">
        <f>IFERROR(INDEX('_ENGINE_Strategy'!$A$100:$A$113,MATCH($D52,'_ENGINE_Strategy'!$B$100:$B$113,0)),99)</f>
        <v/>
      </c>
      <c r="T52" s="25">
        <f>IFERROR(INDEX('_ENGINE_Strategy'!$J$100:$J$113,MATCH($D52,'_ENGINE_Strategy'!$B$100:$B$113,0)),0)</f>
        <v/>
      </c>
      <c r="U52" s="25" t="n">
        <v>5</v>
      </c>
      <c r="V52" s="25" t="n">
        <v>5</v>
      </c>
      <c r="W52" s="25" t="n">
        <v>3</v>
      </c>
      <c r="X52" s="25">
        <f>MAX(1,MIN(5,(N($O52)*0.50)+(N($Q52)*0.25)+((N($T52)/20)*0.25)))</f>
        <v/>
      </c>
      <c r="Y52" s="25">
        <f>MAX(1,MIN(5,(($R52-1)*1.6)+('Resilience &amp; Risk Scenario'!$B$7*0.45)+IF($S52&lt;=3,0.8,0)))</f>
        <v/>
      </c>
      <c r="Z52" s="25">
        <f>MAX(1,MIN(5,(N($O52)*0.45)+(MIN(5,5*N($M52)/MAX(1,N($K52)))*0.35)+(N($V52)*0.20)))</f>
        <v/>
      </c>
      <c r="AA52" s="25">
        <f>MAX(1,MIN(5,($U52*0.40)+($W52*0.30)+(($T52/20)*0.30)))</f>
        <v/>
      </c>
      <c r="AB52" s="25" t="n">
        <v>4</v>
      </c>
      <c r="AC52" s="25">
        <f>IF($AB52=0,"",ROUND((N($X52)+N($Y52)+N($Z52)+N($AA52))/$AB52,2))</f>
        <v/>
      </c>
      <c r="AD52" s="25">
        <f>IF($AC52="","",_xlfn.RANK.EQ($AC52,$AC$5:$AC$76,0)+COUNTIF($AC$5:$AC52,$AC52)-1)</f>
        <v/>
      </c>
      <c r="AE52" s="25">
        <f>IF($AD52="","",IF($AD52&lt;=cfg_TimelineBucket1,"0-90 days",IF($AD52&lt;=cfg_TimelineBucket2,"3-6 months",IF($AD52&lt;=cfg_TimelineBucket3,"6-12 months","12+ months"))))</f>
        <v/>
      </c>
      <c r="AF52" s="25" t="inlineStr">
        <is>
          <t>CIO / CTO / Infrastructure Lead</t>
        </is>
      </c>
      <c r="AG52" s="25" t="inlineStr">
        <is>
          <t>3-6 months</t>
        </is>
      </c>
      <c r="AH52" s="25" t="inlineStr">
        <is>
          <t>Executive sponsor; accountable process owner; baseline evidence; risk acceptance threshold; IT architecture inventory; data/system owners</t>
        </is>
      </c>
      <c r="AI52" s="25" t="inlineStr">
        <is>
          <t>maturity score improvement; open risk reduction; evidence completeness; control test pass rate; RTO/RPO achievement; backup test success; incident MTTR</t>
        </is>
      </c>
      <c r="AJ52" s="25" t="inlineStr">
        <is>
          <t>Documented it inventory and architecture operating model, owner/RACI, KPI set, evidence pack, tested crisis playbook and improvement backlog.</t>
        </is>
      </c>
      <c r="AK52" s="25" t="inlineStr">
        <is>
          <t>Counts active next-level recommendations for IT Cloud DR / IT inventory and architecture.</t>
        </is>
      </c>
      <c r="AL52" s="25" t="inlineStr">
        <is>
          <t>Counts active risks and risk scores for IT Cloud DR / IT inventory and architecture.</t>
        </is>
      </c>
      <c r="AM52" s="25" t="inlineStr">
        <is>
          <t>Uses the current rank and total score of Cloud and Infrastructure Resilience Strategy.</t>
        </is>
      </c>
      <c r="AN52" s="25" t="inlineStr">
        <is>
          <t>Trigger when avg score &lt; 4, active risk exists, active recommendation exists or strategy rank &lt;= 3.</t>
        </is>
      </c>
      <c r="AO52" s="25" t="inlineStr">
        <is>
          <t>Not started</t>
        </is>
      </c>
      <c r="AP52" s="25" t="inlineStr">
        <is>
          <t>Medium-High</t>
        </is>
      </c>
      <c r="AQ52" s="25" t="n"/>
      <c r="AR52" s="25" t="n"/>
      <c r="AS52" s="247">
        <f>IFERROR(IF(SUMIFS(_REF_Model_Content!$J$1:$J$157,_REF_Model_Content!$A$1:$A$157,'Company Profile'!$B$9,_REF_Model_Content!$B$1:$B$157,$B52)=0,1,SUMIFS(_REF_Model_Content!$J$1:$J$157,_REF_Model_Content!$A$1:$A$157,'Company Profile'!$B$9,_REF_Model_Content!$B$1:$B$157,$B52)),1)</f>
        <v/>
      </c>
      <c r="AT52" s="247">
        <f>IF(OR($AY52="Done",$AY52="Not applicable"),"",IF($AC52="","",ROUND(N($AC52)*N($AS52),2)))</f>
        <v/>
      </c>
      <c r="AU52" s="247">
        <f>IF($AT52="","",_xlfn.RANK.EQ($AT52,$AT$5:$AT$76,0)+COUNTIF($AT$5:AT52,$AT52)-1)</f>
        <v/>
      </c>
      <c r="AV52" s="247">
        <f>IFERROR(INDEX('_DATA_Dashboard_Facts'!$G$300:$G$316,MATCH($B52,'_DATA_Dashboard_Facts'!$A$300:$A$316,0)),"")</f>
        <v/>
      </c>
      <c r="AW52" s="247">
        <f>IF($AS52&gt;cfg_IndPriorityHigh,"Industry template increases priority",IF($AS52&lt;cfg_IndPriorityLow,"Industry template lowers priority","Industry-neutral priority"))</f>
        <v/>
      </c>
      <c r="AX52">
        <f>IFERROR(INDEX('Action Plan &amp; Roadmap'!$D$59:$D$130,MATCH($A52,'Action Plan &amp; Roadmap'!$A$59:$A$130,0)),"")</f>
      </c>
      <c r="AY52">
        <f>IF($AX52&lt;&gt;"",$AX52,IF($AO52="","Not started",$AO52))</f>
        <v/>
      </c>
      <c r="AZ52" t="inlineStr">
        <is>
          <t>Number of lines of code maintained each year per application maintenance FTE; Annual revenue impact through investment in robotic process automation</t>
        </is>
      </c>
      <c r="BA52">
        <f>IF($A52="","",COUNTIF('_DATA_Mappings'!$A:$A,$A52))</f>
        <v/>
      </c>
      <c r="BB52">
        <f>IF($A52="","",IFERROR(AVERAGEIF('_DATA_Mappings'!$A:$A,$A52,'_DATA_Mappings'!$G:$G),0))</f>
        <v/>
      </c>
      <c r="BC52">
        <f>IF($A52="","",MAX(0,MIN(5,(N($O52)*0.50)+(N($V52)*0.30)+(N($W52)*0.20))))</f>
        <v/>
      </c>
      <c r="BD52">
        <f>IF($A52="","",MAX(1,MIN(5,($Z52*0.45)+(MIN(5,$BB52/5)*0.35)+($BC52*0.20))))</f>
        <v/>
      </c>
      <c r="BE52">
        <f>IF($AB52=0,"",ROUND((N($X52)+N($Y52)+N($BD52)+N($AA52))/$AB52,2))</f>
        <v/>
      </c>
      <c r="BF52">
        <f>IF(OR($BE52="",$AY52="Done",$AY52="Not applicable"),"",ROUND($BE52*N($AS52),2))</f>
        <v/>
      </c>
      <c r="BG52">
        <f>IF($BF52="","",_xlfn.RANK.EQ($BF52,$BF$5:$BF$76,0)+COUNTIF($BF$5:$BF52,$BF52)-1)</f>
        <v/>
      </c>
      <c r="BH52">
        <f>IF($A52="","",IF($BB52&gt;20,"High P1 risk pressure",IF($BB52&gt;12,"Moderate P1 risk pressure","Lower P1 risk pressure")))</f>
        <v/>
      </c>
      <c r="BI52" s="25">
        <f>'_CONFIG_Model_Settings'!$B$103</f>
        <v/>
      </c>
      <c r="BJ52" s="25">
        <f>IFERROR(INDEX('_CONFIG_Model_Settings'!$B$109:$B$113,MATCH($BI52,'_CONFIG_Model_Settings'!$A$109:$A$113,0)),0.30)</f>
        <v/>
      </c>
      <c r="BK52" s="25">
        <f>IFERROR(INDEX('_CONFIG_Model_Settings'!$C$109:$C$113,MATCH($BI52,'_CONFIG_Model_Settings'!$A$109:$A$113,0)),0.20)</f>
        <v/>
      </c>
      <c r="BL52" s="25">
        <f>IFERROR(INDEX('_CONFIG_Model_Settings'!$D$109:$D$113,MATCH($BI52,'_CONFIG_Model_Settings'!$A$109:$A$113,0)),0.25)</f>
        <v/>
      </c>
      <c r="BM52" s="25">
        <f>IFERROR(INDEX('_CONFIG_Model_Settings'!$E$109:$E$113,MATCH($BI52,'_CONFIG_Model_Settings'!$A$109:$A$113,0)),0.25)</f>
        <v/>
      </c>
      <c r="BN52" s="25">
        <f>IFERROR(INDEX('_CONFIG_Model_Settings'!$B$117:$B$123,MATCH('_CONFIG_Model_Settings'!$B$104,'_CONFIG_Model_Settings'!$A$117:$A$123,0)),1)</f>
        <v/>
      </c>
      <c r="BO52" s="25">
        <f>IFERROR(INDEX('_CONFIG_Model_Settings'!$C$117:$C$123,MATCH('_CONFIG_Model_Settings'!$B$104,'_CONFIG_Model_Settings'!$A$117:$A$123,0)),1)</f>
        <v/>
      </c>
      <c r="BP52" s="25">
        <f>IFERROR(INDEX('_CONFIG_Model_Settings'!$D$117:$D$123,MATCH('_CONFIG_Model_Settings'!$B$104,'_CONFIG_Model_Settings'!$A$117:$A$123,0)),1)</f>
        <v/>
      </c>
      <c r="BQ52" s="25">
        <f>IFERROR(INDEX('_CONFIG_Model_Settings'!$E$117:$E$123,MATCH('_CONFIG_Model_Settings'!$B$104,'_CONFIG_Model_Settings'!$A$117:$A$123,0)),1)</f>
        <v/>
      </c>
      <c r="BR52" s="25">
        <f>IF($A52="","",MIN(5,IFERROR(SUMIF('_DATA_Mappings'!$A:$A,$A52,'_DATA_Mappings'!$K:$K)/MAX(1,'_CONFIG_Model_Settings'!$B$105),0)))</f>
        <v/>
      </c>
      <c r="BS52" s="25">
        <f>IF($A52="","",ROUND((N($X52)*N($BJ52)*N($BN52)+N($Y52)*N($BK52)*N($BO52)+N($BD52)*N($BL52)*N($BP52)+N($AA52)*N($BM52)*N($BQ52)+N($BR52)*N('_CONFIG_Model_Settings'!$B$106))/(N($BJ52)*N($BN52)+N($BK52)*N($BO52)+N($BL52)*N($BP52)+N($BM52)*N($BQ52)+N('_CONFIG_Model_Settings'!$B$106)),2))</f>
        <v/>
      </c>
      <c r="BT52" s="25">
        <f>IF($A52="","",MAX(1,N($AB52)))</f>
        <v/>
      </c>
      <c r="BU52" s="25">
        <f>IF(OR($BS52="",$BT52=0),"",ROUND($BS52/$BT52,2))</f>
        <v/>
      </c>
      <c r="BV52" s="25">
        <f>IF(OR($BU52="",$AY52="Done",$AY52="Not applicable"),"",ROUND($BU52*N($AS52),2))</f>
        <v/>
      </c>
      <c r="BW52" s="25">
        <f>IF($BV52="","",_xlfn.RANK.EQ($BV52,$BV$5:$BV$76,0)+COUNTIF($BV$5:$BV52,$BV52)-1)</f>
        <v/>
      </c>
      <c r="BX52" s="25">
        <f>IF($BW52="","",IF($BW52&lt;=cfg_TimelineBucket1,"0-90 days",IF($BW52&lt;=cfg_TimelineBucket2,"3-6 months",IF($BW52&lt;=cfg_TimelineBucket3,"6-12 months","12+ months"))))</f>
        <v/>
      </c>
      <c r="BY52" s="25">
        <f>IF($A52="","","P2: "&amp;$BI52&amp;" posture; objective="&amp;'_CONFIG_Model_Settings'!$B$104&amp;"; financial score="&amp;ROUND(N($BR52),1)&amp;"; CoD="&amp;$BS52)</f>
        <v/>
      </c>
    </row>
    <row r="53" ht="42" customHeight="1" s="209">
      <c r="A53" s="25" t="inlineStr">
        <is>
          <t>INI-049</t>
        </is>
      </c>
      <c r="B53" s="25" t="inlineStr">
        <is>
          <t>IT Cloud DR</t>
        </is>
      </c>
      <c r="C53" s="25" t="inlineStr">
        <is>
          <t>Cloud usage</t>
        </is>
      </c>
      <c r="D53" s="25" t="inlineStr">
        <is>
          <t>Cloud and Infrastructure Resilience Strategy</t>
        </is>
      </c>
      <c r="E53" s="25" t="inlineStr">
        <is>
          <t>STR-03</t>
        </is>
      </c>
      <c r="F53" s="25" t="inlineStr">
        <is>
          <t>Optimize cloud usage, landing zones and infrastructure resilience</t>
        </is>
      </c>
      <c r="G53" s="25" t="inlineStr">
        <is>
          <t>Close maturity gaps in cloud usage by assigning ownership, documenting the process, connecting it to evidence and systems, testing it against crisis scenarios and measuring improvement.</t>
        </is>
      </c>
      <c r="H53" s="25" t="inlineStr">
        <is>
          <t>IT, cloud and disaster recovery</t>
        </is>
      </c>
      <c r="I53" s="25" t="inlineStr">
        <is>
          <t>Cloud / SaaS outage; Cyberattack / ransomware; Physical site loss; War / security crisis</t>
        </is>
      </c>
      <c r="J53" s="25" t="inlineStr">
        <is>
          <t>ITCL-007; ITCL-008; ITCL-009; ITCL-010; ITCL-011; ITCL-012</t>
        </is>
      </c>
      <c r="K53" s="25" t="n">
        <v>6</v>
      </c>
      <c r="L53" s="25">
        <f>COUNTIFS('_ENGINE_Risk'!$C$500:$C$923,$B53,'_ENGINE_Risk'!$D$500:$D$923,$C53,'_ENGINE_Risk'!$B$500:$B$923,"Yes")</f>
        <v/>
      </c>
      <c r="M53" s="25">
        <f>COUNTIFS('_ENGINE_Risk'!$C$500:$C$923,$B53,'_ENGINE_Risk'!$D$500:$D$923,$C53,'_ENGINE_Risk'!$B$500:$B$923,"Yes")</f>
        <v/>
      </c>
      <c r="N53" s="25">
        <f>IFERROR(AVERAGEIFS(_DATA_Assessment_Model!$H$5:$H$428,_DATA_Assessment_Model!$AW$5:$AW$428,$B53,_DATA_Assessment_Model!$B$5:$B$428,$C53),"")</f>
        <v/>
      </c>
      <c r="O53" s="25">
        <f>IF($N53="","",MAX(0,5-$N53))</f>
        <v/>
      </c>
      <c r="P53" s="25">
        <f>IFERROR(INDEX(_DATA_Dashboard_Facts!$H$5:$H$21,MATCH($B53,_DATA_Dashboard_Facts!$A$5:$A$21,0)),"")</f>
        <v/>
      </c>
      <c r="Q53" s="25">
        <f>IF($P53="","",MAX(0,5-$P53))</f>
        <v/>
      </c>
      <c r="R53" s="25">
        <f>IFERROR(SUMIFS(_ENGINE_Crisis!$D$5:$D$208,_ENGINE_Crisis!$A$5:$A$208,'Resilience &amp; Risk Scenario'!$B$6,_ENGINE_Crisis!$B$5:$B$208,$B53),1)</f>
        <v/>
      </c>
      <c r="S53" s="25">
        <f>IFERROR(INDEX('_ENGINE_Strategy'!$A$100:$A$113,MATCH($D53,'_ENGINE_Strategy'!$B$100:$B$113,0)),99)</f>
        <v/>
      </c>
      <c r="T53" s="25">
        <f>IFERROR(INDEX('_ENGINE_Strategy'!$J$100:$J$113,MATCH($D53,'_ENGINE_Strategy'!$B$100:$B$113,0)),0)</f>
        <v/>
      </c>
      <c r="U53" s="25" t="n">
        <v>5</v>
      </c>
      <c r="V53" s="25" t="n">
        <v>5</v>
      </c>
      <c r="W53" s="25" t="n">
        <v>3</v>
      </c>
      <c r="X53" s="25">
        <f>MAX(1,MIN(5,(N($O53)*0.50)+(N($Q53)*0.25)+((N($T53)/20)*0.25)))</f>
        <v/>
      </c>
      <c r="Y53" s="25">
        <f>MAX(1,MIN(5,(($R53-1)*1.6)+('Resilience &amp; Risk Scenario'!$B$7*0.45)+IF($S53&lt;=3,0.8,0)))</f>
        <v/>
      </c>
      <c r="Z53" s="25">
        <f>MAX(1,MIN(5,(N($O53)*0.45)+(MIN(5,5*N($M53)/MAX(1,N($K53)))*0.35)+(N($V53)*0.20)))</f>
        <v/>
      </c>
      <c r="AA53" s="25">
        <f>MAX(1,MIN(5,($U53*0.40)+($W53*0.30)+(($T53/20)*0.30)))</f>
        <v/>
      </c>
      <c r="AB53" s="25" t="n">
        <v>4</v>
      </c>
      <c r="AC53" s="25">
        <f>IF($AB53=0,"",ROUND((N($X53)+N($Y53)+N($Z53)+N($AA53))/$AB53,2))</f>
        <v/>
      </c>
      <c r="AD53" s="25">
        <f>IF($AC53="","",_xlfn.RANK.EQ($AC53,$AC$5:$AC$76,0)+COUNTIF($AC$5:$AC53,$AC53)-1)</f>
        <v/>
      </c>
      <c r="AE53" s="25">
        <f>IF($AD53="","",IF($AD53&lt;=cfg_TimelineBucket1,"0-90 days",IF($AD53&lt;=cfg_TimelineBucket2,"3-6 months",IF($AD53&lt;=cfg_TimelineBucket3,"6-12 months","12+ months"))))</f>
        <v/>
      </c>
      <c r="AF53" s="25" t="inlineStr">
        <is>
          <t>CIO / CTO / Infrastructure Lead</t>
        </is>
      </c>
      <c r="AG53" s="25" t="inlineStr">
        <is>
          <t>3-6 months</t>
        </is>
      </c>
      <c r="AH53" s="25" t="inlineStr">
        <is>
          <t>Executive sponsor; accountable process owner; baseline evidence; risk acceptance threshold; IT architecture inventory; data/system owners</t>
        </is>
      </c>
      <c r="AI53" s="25" t="inlineStr">
        <is>
          <t>maturity score improvement; open risk reduction; evidence completeness; control test pass rate; RTO/RPO achievement; backup test success; incident MTTR</t>
        </is>
      </c>
      <c r="AJ53" s="25" t="inlineStr">
        <is>
          <t>Documented cloud usage operating model, owner/RACI, KPI set, evidence pack, tested crisis playbook and improvement backlog.</t>
        </is>
      </c>
      <c r="AK53" s="25" t="inlineStr">
        <is>
          <t>Counts active next-level recommendations for IT Cloud DR / Cloud usage.</t>
        </is>
      </c>
      <c r="AL53" s="25" t="inlineStr">
        <is>
          <t>Counts active risks and risk scores for IT Cloud DR / Cloud usage.</t>
        </is>
      </c>
      <c r="AM53" s="25" t="inlineStr">
        <is>
          <t>Uses the current rank and total score of Cloud and Infrastructure Resilience Strategy.</t>
        </is>
      </c>
      <c r="AN53" s="25" t="inlineStr">
        <is>
          <t>Trigger when avg score &lt; 4, active risk exists, active recommendation exists or strategy rank &lt;= 3.</t>
        </is>
      </c>
      <c r="AO53" s="25" t="inlineStr">
        <is>
          <t>Not started</t>
        </is>
      </c>
      <c r="AP53" s="25" t="inlineStr">
        <is>
          <t>Medium-High</t>
        </is>
      </c>
      <c r="AQ53" s="25" t="n"/>
      <c r="AR53" s="25" t="n"/>
      <c r="AS53" s="247">
        <f>IFERROR(IF(SUMIFS(_REF_Model_Content!$J$1:$J$157,_REF_Model_Content!$A$1:$A$157,'Company Profile'!$B$9,_REF_Model_Content!$B$1:$B$157,$B53)=0,1,SUMIFS(_REF_Model_Content!$J$1:$J$157,_REF_Model_Content!$A$1:$A$157,'Company Profile'!$B$9,_REF_Model_Content!$B$1:$B$157,$B53)),1)</f>
        <v/>
      </c>
      <c r="AT53" s="247">
        <f>IF(OR($AY53="Done",$AY53="Not applicable"),"",IF($AC53="","",ROUND(N($AC53)*N($AS53),2)))</f>
        <v/>
      </c>
      <c r="AU53" s="247">
        <f>IF($AT53="","",_xlfn.RANK.EQ($AT53,$AT$5:$AT$76,0)+COUNTIF($AT$5:AT53,$AT53)-1)</f>
        <v/>
      </c>
      <c r="AV53" s="247">
        <f>IFERROR(INDEX('_DATA_Dashboard_Facts'!$G$300:$G$316,MATCH($B53,'_DATA_Dashboard_Facts'!$A$300:$A$316,0)),"")</f>
        <v/>
      </c>
      <c r="AW53" s="247">
        <f>IF($AS53&gt;cfg_IndPriorityHigh,"Industry template increases priority",IF($AS53&lt;cfg_IndPriorityLow,"Industry template lowers priority","Industry-neutral priority"))</f>
        <v/>
      </c>
      <c r="AX53">
        <f>IFERROR(INDEX('Action Plan &amp; Roadmap'!$D$59:$D$130,MATCH($A53,'Action Plan &amp; Roadmap'!$A$59:$A$130,0)),"")</f>
      </c>
      <c r="AY53">
        <f>IF($AX53&lt;&gt;"",$AX53,IF($AO53="","Not started",$AO53))</f>
        <v/>
      </c>
      <c r="AZ53" t="inlineStr">
        <is>
          <t>Number of lines of code maintained each year per application maintenance FTE; Annual revenue impact through investment in robotic process automation</t>
        </is>
      </c>
      <c r="BA53">
        <f>IF($A53="","",COUNTIF('_DATA_Mappings'!$A:$A,$A53))</f>
        <v/>
      </c>
      <c r="BB53">
        <f>IF($A53="","",IFERROR(AVERAGEIF('_DATA_Mappings'!$A:$A,$A53,'_DATA_Mappings'!$G:$G),0))</f>
        <v/>
      </c>
      <c r="BC53">
        <f>IF($A53="","",MAX(0,MIN(5,(N($O53)*0.50)+(N($V53)*0.30)+(N($W53)*0.20))))</f>
        <v/>
      </c>
      <c r="BD53">
        <f>IF($A53="","",MAX(1,MIN(5,($Z53*0.45)+(MIN(5,$BB53/5)*0.35)+($BC53*0.20))))</f>
        <v/>
      </c>
      <c r="BE53">
        <f>IF($AB53=0,"",ROUND((N($X53)+N($Y53)+N($BD53)+N($AA53))/$AB53,2))</f>
        <v/>
      </c>
      <c r="BF53">
        <f>IF(OR($BE53="",$AY53="Done",$AY53="Not applicable"),"",ROUND($BE53*N($AS53),2))</f>
        <v/>
      </c>
      <c r="BG53">
        <f>IF($BF53="","",_xlfn.RANK.EQ($BF53,$BF$5:$BF$76,0)+COUNTIF($BF$5:$BF53,$BF53)-1)</f>
        <v/>
      </c>
      <c r="BH53">
        <f>IF($A53="","",IF($BB53&gt;20,"High P1 risk pressure",IF($BB53&gt;12,"Moderate P1 risk pressure","Lower P1 risk pressure")))</f>
        <v/>
      </c>
      <c r="BI53" s="25">
        <f>'_CONFIG_Model_Settings'!$B$103</f>
        <v/>
      </c>
      <c r="BJ53" s="25">
        <f>IFERROR(INDEX('_CONFIG_Model_Settings'!$B$109:$B$113,MATCH($BI53,'_CONFIG_Model_Settings'!$A$109:$A$113,0)),0.30)</f>
        <v/>
      </c>
      <c r="BK53" s="25">
        <f>IFERROR(INDEX('_CONFIG_Model_Settings'!$C$109:$C$113,MATCH($BI53,'_CONFIG_Model_Settings'!$A$109:$A$113,0)),0.20)</f>
        <v/>
      </c>
      <c r="BL53" s="25">
        <f>IFERROR(INDEX('_CONFIG_Model_Settings'!$D$109:$D$113,MATCH($BI53,'_CONFIG_Model_Settings'!$A$109:$A$113,0)),0.25)</f>
        <v/>
      </c>
      <c r="BM53" s="25">
        <f>IFERROR(INDEX('_CONFIG_Model_Settings'!$E$109:$E$113,MATCH($BI53,'_CONFIG_Model_Settings'!$A$109:$A$113,0)),0.25)</f>
        <v/>
      </c>
      <c r="BN53" s="25">
        <f>IFERROR(INDEX('_CONFIG_Model_Settings'!$B$117:$B$123,MATCH('_CONFIG_Model_Settings'!$B$104,'_CONFIG_Model_Settings'!$A$117:$A$123,0)),1)</f>
        <v/>
      </c>
      <c r="BO53" s="25">
        <f>IFERROR(INDEX('_CONFIG_Model_Settings'!$C$117:$C$123,MATCH('_CONFIG_Model_Settings'!$B$104,'_CONFIG_Model_Settings'!$A$117:$A$123,0)),1)</f>
        <v/>
      </c>
      <c r="BP53" s="25">
        <f>IFERROR(INDEX('_CONFIG_Model_Settings'!$D$117:$D$123,MATCH('_CONFIG_Model_Settings'!$B$104,'_CONFIG_Model_Settings'!$A$117:$A$123,0)),1)</f>
        <v/>
      </c>
      <c r="BQ53" s="25">
        <f>IFERROR(INDEX('_CONFIG_Model_Settings'!$E$117:$E$123,MATCH('_CONFIG_Model_Settings'!$B$104,'_CONFIG_Model_Settings'!$A$117:$A$123,0)),1)</f>
        <v/>
      </c>
      <c r="BR53" s="25">
        <f>IF($A53="","",MIN(5,IFERROR(SUMIF('_DATA_Mappings'!$A:$A,$A53,'_DATA_Mappings'!$K:$K)/MAX(1,'_CONFIG_Model_Settings'!$B$105),0)))</f>
        <v/>
      </c>
      <c r="BS53" s="25">
        <f>IF($A53="","",ROUND((N($X53)*N($BJ53)*N($BN53)+N($Y53)*N($BK53)*N($BO53)+N($BD53)*N($BL53)*N($BP53)+N($AA53)*N($BM53)*N($BQ53)+N($BR53)*N('_CONFIG_Model_Settings'!$B$106))/(N($BJ53)*N($BN53)+N($BK53)*N($BO53)+N($BL53)*N($BP53)+N($BM53)*N($BQ53)+N('_CONFIG_Model_Settings'!$B$106)),2))</f>
        <v/>
      </c>
      <c r="BT53" s="25">
        <f>IF($A53="","",MAX(1,N($AB53)))</f>
        <v/>
      </c>
      <c r="BU53" s="25">
        <f>IF(OR($BS53="",$BT53=0),"",ROUND($BS53/$BT53,2))</f>
        <v/>
      </c>
      <c r="BV53" s="25">
        <f>IF(OR($BU53="",$AY53="Done",$AY53="Not applicable"),"",ROUND($BU53*N($AS53),2))</f>
        <v/>
      </c>
      <c r="BW53" s="25">
        <f>IF($BV53="","",_xlfn.RANK.EQ($BV53,$BV$5:$BV$76,0)+COUNTIF($BV$5:$BV53,$BV53)-1)</f>
        <v/>
      </c>
      <c r="BX53" s="25">
        <f>IF($BW53="","",IF($BW53&lt;=cfg_TimelineBucket1,"0-90 days",IF($BW53&lt;=cfg_TimelineBucket2,"3-6 months",IF($BW53&lt;=cfg_TimelineBucket3,"6-12 months","12+ months"))))</f>
        <v/>
      </c>
      <c r="BY53" s="25">
        <f>IF($A53="","","P2: "&amp;$BI53&amp;" posture; objective="&amp;'_CONFIG_Model_Settings'!$B$104&amp;"; financial score="&amp;ROUND(N($BR53),1)&amp;"; CoD="&amp;$BS53)</f>
        <v/>
      </c>
    </row>
    <row r="54" ht="42" customHeight="1" s="209">
      <c r="A54" s="25" t="inlineStr">
        <is>
          <t>INI-050</t>
        </is>
      </c>
      <c r="B54" s="25" t="inlineStr">
        <is>
          <t>IT Cloud DR</t>
        </is>
      </c>
      <c r="C54" s="25" t="inlineStr">
        <is>
          <t>Resilience and DR</t>
        </is>
      </c>
      <c r="D54" s="25" t="inlineStr">
        <is>
          <t>Cloud and Infrastructure Resilience Strategy</t>
        </is>
      </c>
      <c r="E54" s="25" t="inlineStr">
        <is>
          <t>STR-03</t>
        </is>
      </c>
      <c r="F54" s="25" t="inlineStr">
        <is>
          <t>Implement disaster recovery, backup testing and RTO/RPO controls</t>
        </is>
      </c>
      <c r="G54" s="25" t="inlineStr">
        <is>
          <t>Close maturity gaps in resilience and dr by assigning ownership, documenting the process, connecting it to evidence and systems, testing it against crisis scenarios and measuring improvement.</t>
        </is>
      </c>
      <c r="H54" s="25" t="inlineStr">
        <is>
          <t>IT, cloud and disaster recovery</t>
        </is>
      </c>
      <c r="I54" s="25" t="inlineStr">
        <is>
          <t>Cloud / SaaS outage; Cyberattack / ransomware; Physical site loss; War / security crisis</t>
        </is>
      </c>
      <c r="J54" s="25" t="inlineStr">
        <is>
          <t>ITCL-013; ITCL-014; ITCL-015; ITCL-016; ITCL-017; ITCL-018</t>
        </is>
      </c>
      <c r="K54" s="25" t="n">
        <v>6</v>
      </c>
      <c r="L54" s="25">
        <f>COUNTIFS('_ENGINE_Risk'!$C$500:$C$923,$B54,'_ENGINE_Risk'!$D$500:$D$923,$C54,'_ENGINE_Risk'!$B$500:$B$923,"Yes")</f>
        <v/>
      </c>
      <c r="M54" s="25">
        <f>COUNTIFS('_ENGINE_Risk'!$C$500:$C$923,$B54,'_ENGINE_Risk'!$D$500:$D$923,$C54,'_ENGINE_Risk'!$B$500:$B$923,"Yes")</f>
        <v/>
      </c>
      <c r="N54" s="25">
        <f>IFERROR(AVERAGEIFS(_DATA_Assessment_Model!$H$5:$H$428,_DATA_Assessment_Model!$AW$5:$AW$428,$B54,_DATA_Assessment_Model!$B$5:$B$428,$C54),"")</f>
        <v/>
      </c>
      <c r="O54" s="25">
        <f>IF($N54="","",MAX(0,5-$N54))</f>
        <v/>
      </c>
      <c r="P54" s="25">
        <f>IFERROR(INDEX(_DATA_Dashboard_Facts!$H$5:$H$21,MATCH($B54,_DATA_Dashboard_Facts!$A$5:$A$21,0)),"")</f>
        <v/>
      </c>
      <c r="Q54" s="25">
        <f>IF($P54="","",MAX(0,5-$P54))</f>
        <v/>
      </c>
      <c r="R54" s="25">
        <f>IFERROR(SUMIFS(_ENGINE_Crisis!$D$5:$D$208,_ENGINE_Crisis!$A$5:$A$208,'Resilience &amp; Risk Scenario'!$B$6,_ENGINE_Crisis!$B$5:$B$208,$B54),1)</f>
        <v/>
      </c>
      <c r="S54" s="25">
        <f>IFERROR(INDEX('_ENGINE_Strategy'!$A$100:$A$113,MATCH($D54,'_ENGINE_Strategy'!$B$100:$B$113,0)),99)</f>
        <v/>
      </c>
      <c r="T54" s="25">
        <f>IFERROR(INDEX('_ENGINE_Strategy'!$J$100:$J$113,MATCH($D54,'_ENGINE_Strategy'!$B$100:$B$113,0)),0)</f>
        <v/>
      </c>
      <c r="U54" s="25" t="n">
        <v>5</v>
      </c>
      <c r="V54" s="25" t="n">
        <v>5</v>
      </c>
      <c r="W54" s="25" t="n">
        <v>3</v>
      </c>
      <c r="X54" s="25">
        <f>MAX(1,MIN(5,(N($O54)*0.50)+(N($Q54)*0.25)+((N($T54)/20)*0.25)))</f>
        <v/>
      </c>
      <c r="Y54" s="25">
        <f>MAX(1,MIN(5,(($R54-1)*1.6)+('Resilience &amp; Risk Scenario'!$B$7*0.45)+IF($S54&lt;=3,0.8,0)))</f>
        <v/>
      </c>
      <c r="Z54" s="25">
        <f>MAX(1,MIN(5,(N($O54)*0.45)+(MIN(5,5*N($M54)/MAX(1,N($K54)))*0.35)+(N($V54)*0.20)))</f>
        <v/>
      </c>
      <c r="AA54" s="25">
        <f>MAX(1,MIN(5,($U54*0.40)+($W54*0.30)+(($T54/20)*0.30)))</f>
        <v/>
      </c>
      <c r="AB54" s="25" t="n">
        <v>4</v>
      </c>
      <c r="AC54" s="25">
        <f>IF($AB54=0,"",ROUND((N($X54)+N($Y54)+N($Z54)+N($AA54))/$AB54,2))</f>
        <v/>
      </c>
      <c r="AD54" s="25">
        <f>IF($AC54="","",_xlfn.RANK.EQ($AC54,$AC$5:$AC$76,0)+COUNTIF($AC$5:$AC54,$AC54)-1)</f>
        <v/>
      </c>
      <c r="AE54" s="25">
        <f>IF($AD54="","",IF($AD54&lt;=cfg_TimelineBucket1,"0-90 days",IF($AD54&lt;=cfg_TimelineBucket2,"3-6 months",IF($AD54&lt;=cfg_TimelineBucket3,"6-12 months","12+ months"))))</f>
        <v/>
      </c>
      <c r="AF54" s="25" t="inlineStr">
        <is>
          <t>CIO / CTO / Infrastructure Lead</t>
        </is>
      </c>
      <c r="AG54" s="25" t="inlineStr">
        <is>
          <t>3-6 months</t>
        </is>
      </c>
      <c r="AH54" s="25" t="inlineStr">
        <is>
          <t>Executive sponsor; accountable process owner; baseline evidence; risk acceptance threshold; IT architecture inventory; data/system owners</t>
        </is>
      </c>
      <c r="AI54" s="25" t="inlineStr">
        <is>
          <t>maturity score improvement; open risk reduction; evidence completeness; control test pass rate; RTO/RPO achievement; backup test success; incident MTTR</t>
        </is>
      </c>
      <c r="AJ54" s="25" t="inlineStr">
        <is>
          <t>Documented resilience and dr operating model, owner/RACI, KPI set, evidence pack, tested crisis playbook and improvement backlog.</t>
        </is>
      </c>
      <c r="AK54" s="25" t="inlineStr">
        <is>
          <t>Counts active next-level recommendations for IT Cloud DR / Resilience and DR.</t>
        </is>
      </c>
      <c r="AL54" s="25" t="inlineStr">
        <is>
          <t>Counts active risks and risk scores for IT Cloud DR / Resilience and DR.</t>
        </is>
      </c>
      <c r="AM54" s="25" t="inlineStr">
        <is>
          <t>Uses the current rank and total score of Cloud and Infrastructure Resilience Strategy.</t>
        </is>
      </c>
      <c r="AN54" s="25" t="inlineStr">
        <is>
          <t>Trigger when avg score &lt; 4, active risk exists, active recommendation exists or strategy rank &lt;= 3.</t>
        </is>
      </c>
      <c r="AO54" s="25" t="inlineStr">
        <is>
          <t>Not started</t>
        </is>
      </c>
      <c r="AP54" s="25" t="inlineStr">
        <is>
          <t>Medium-High</t>
        </is>
      </c>
      <c r="AQ54" s="25" t="n"/>
      <c r="AR54" s="25" t="n"/>
      <c r="AS54" s="247">
        <f>IFERROR(IF(SUMIFS(_REF_Model_Content!$J$1:$J$157,_REF_Model_Content!$A$1:$A$157,'Company Profile'!$B$9,_REF_Model_Content!$B$1:$B$157,$B54)=0,1,SUMIFS(_REF_Model_Content!$J$1:$J$157,_REF_Model_Content!$A$1:$A$157,'Company Profile'!$B$9,_REF_Model_Content!$B$1:$B$157,$B54)),1)</f>
        <v/>
      </c>
      <c r="AT54" s="247">
        <f>IF(OR($AY54="Done",$AY54="Not applicable"),"",IF($AC54="","",ROUND(N($AC54)*N($AS54),2)))</f>
        <v/>
      </c>
      <c r="AU54" s="247">
        <f>IF($AT54="","",_xlfn.RANK.EQ($AT54,$AT$5:$AT$76,0)+COUNTIF($AT$5:AT54,$AT54)-1)</f>
        <v/>
      </c>
      <c r="AV54" s="247">
        <f>IFERROR(INDEX('_DATA_Dashboard_Facts'!$G$300:$G$316,MATCH($B54,'_DATA_Dashboard_Facts'!$A$300:$A$316,0)),"")</f>
        <v/>
      </c>
      <c r="AW54" s="247">
        <f>IF($AS54&gt;cfg_IndPriorityHigh,"Industry template increases priority",IF($AS54&lt;cfg_IndPriorityLow,"Industry template lowers priority","Industry-neutral priority"))</f>
        <v/>
      </c>
      <c r="AX54">
        <f>IFERROR(INDEX('Action Plan &amp; Roadmap'!$D$59:$D$130,MATCH($A54,'Action Plan &amp; Roadmap'!$A$59:$A$130,0)),"")</f>
      </c>
      <c r="AY54">
        <f>IF($AX54&lt;&gt;"",$AX54,IF($AO54="","Not started",$AO54))</f>
        <v/>
      </c>
      <c r="AZ54" t="inlineStr">
        <is>
          <t>Number of lines of code maintained each year per application maintenance FTE; Annual revenue impact through investment in robotic process automation</t>
        </is>
      </c>
      <c r="BA54">
        <f>IF($A54="","",COUNTIF('_DATA_Mappings'!$A:$A,$A54))</f>
        <v/>
      </c>
      <c r="BB54">
        <f>IF($A54="","",IFERROR(AVERAGEIF('_DATA_Mappings'!$A:$A,$A54,'_DATA_Mappings'!$G:$G),0))</f>
        <v/>
      </c>
      <c r="BC54">
        <f>IF($A54="","",MAX(0,MIN(5,(N($O54)*0.50)+(N($V54)*0.30)+(N($W54)*0.20))))</f>
        <v/>
      </c>
      <c r="BD54">
        <f>IF($A54="","",MAX(1,MIN(5,($Z54*0.45)+(MIN(5,$BB54/5)*0.35)+($BC54*0.20))))</f>
        <v/>
      </c>
      <c r="BE54">
        <f>IF($AB54=0,"",ROUND((N($X54)+N($Y54)+N($BD54)+N($AA54))/$AB54,2))</f>
        <v/>
      </c>
      <c r="BF54">
        <f>IF(OR($BE54="",$AY54="Done",$AY54="Not applicable"),"",ROUND($BE54*N($AS54),2))</f>
        <v/>
      </c>
      <c r="BG54">
        <f>IF($BF54="","",_xlfn.RANK.EQ($BF54,$BF$5:$BF$76,0)+COUNTIF($BF$5:$BF54,$BF54)-1)</f>
        <v/>
      </c>
      <c r="BH54">
        <f>IF($A54="","",IF($BB54&gt;20,"High P1 risk pressure",IF($BB54&gt;12,"Moderate P1 risk pressure","Lower P1 risk pressure")))</f>
        <v/>
      </c>
      <c r="BI54" s="25">
        <f>'_CONFIG_Model_Settings'!$B$103</f>
        <v/>
      </c>
      <c r="BJ54" s="25">
        <f>IFERROR(INDEX('_CONFIG_Model_Settings'!$B$109:$B$113,MATCH($BI54,'_CONFIG_Model_Settings'!$A$109:$A$113,0)),0.30)</f>
        <v/>
      </c>
      <c r="BK54" s="25">
        <f>IFERROR(INDEX('_CONFIG_Model_Settings'!$C$109:$C$113,MATCH($BI54,'_CONFIG_Model_Settings'!$A$109:$A$113,0)),0.20)</f>
        <v/>
      </c>
      <c r="BL54" s="25">
        <f>IFERROR(INDEX('_CONFIG_Model_Settings'!$D$109:$D$113,MATCH($BI54,'_CONFIG_Model_Settings'!$A$109:$A$113,0)),0.25)</f>
        <v/>
      </c>
      <c r="BM54" s="25">
        <f>IFERROR(INDEX('_CONFIG_Model_Settings'!$E$109:$E$113,MATCH($BI54,'_CONFIG_Model_Settings'!$A$109:$A$113,0)),0.25)</f>
        <v/>
      </c>
      <c r="BN54" s="25">
        <f>IFERROR(INDEX('_CONFIG_Model_Settings'!$B$117:$B$123,MATCH('_CONFIG_Model_Settings'!$B$104,'_CONFIG_Model_Settings'!$A$117:$A$123,0)),1)</f>
        <v/>
      </c>
      <c r="BO54" s="25">
        <f>IFERROR(INDEX('_CONFIG_Model_Settings'!$C$117:$C$123,MATCH('_CONFIG_Model_Settings'!$B$104,'_CONFIG_Model_Settings'!$A$117:$A$123,0)),1)</f>
        <v/>
      </c>
      <c r="BP54" s="25">
        <f>IFERROR(INDEX('_CONFIG_Model_Settings'!$D$117:$D$123,MATCH('_CONFIG_Model_Settings'!$B$104,'_CONFIG_Model_Settings'!$A$117:$A$123,0)),1)</f>
        <v/>
      </c>
      <c r="BQ54" s="25">
        <f>IFERROR(INDEX('_CONFIG_Model_Settings'!$E$117:$E$123,MATCH('_CONFIG_Model_Settings'!$B$104,'_CONFIG_Model_Settings'!$A$117:$A$123,0)),1)</f>
        <v/>
      </c>
      <c r="BR54" s="25">
        <f>IF($A54="","",MIN(5,IFERROR(SUMIF('_DATA_Mappings'!$A:$A,$A54,'_DATA_Mappings'!$K:$K)/MAX(1,'_CONFIG_Model_Settings'!$B$105),0)))</f>
        <v/>
      </c>
      <c r="BS54" s="25">
        <f>IF($A54="","",ROUND((N($X54)*N($BJ54)*N($BN54)+N($Y54)*N($BK54)*N($BO54)+N($BD54)*N($BL54)*N($BP54)+N($AA54)*N($BM54)*N($BQ54)+N($BR54)*N('_CONFIG_Model_Settings'!$B$106))/(N($BJ54)*N($BN54)+N($BK54)*N($BO54)+N($BL54)*N($BP54)+N($BM54)*N($BQ54)+N('_CONFIG_Model_Settings'!$B$106)),2))</f>
        <v/>
      </c>
      <c r="BT54" s="25">
        <f>IF($A54="","",MAX(1,N($AB54)))</f>
        <v/>
      </c>
      <c r="BU54" s="25">
        <f>IF(OR($BS54="",$BT54=0),"",ROUND($BS54/$BT54,2))</f>
        <v/>
      </c>
      <c r="BV54" s="25">
        <f>IF(OR($BU54="",$AY54="Done",$AY54="Not applicable"),"",ROUND($BU54*N($AS54),2))</f>
        <v/>
      </c>
      <c r="BW54" s="25">
        <f>IF($BV54="","",_xlfn.RANK.EQ($BV54,$BV$5:$BV$76,0)+COUNTIF($BV$5:$BV54,$BV54)-1)</f>
        <v/>
      </c>
      <c r="BX54" s="25">
        <f>IF($BW54="","",IF($BW54&lt;=cfg_TimelineBucket1,"0-90 days",IF($BW54&lt;=cfg_TimelineBucket2,"3-6 months",IF($BW54&lt;=cfg_TimelineBucket3,"6-12 months","12+ months"))))</f>
        <v/>
      </c>
      <c r="BY54" s="25">
        <f>IF($A54="","","P2: "&amp;$BI54&amp;" posture; objective="&amp;'_CONFIG_Model_Settings'!$B$104&amp;"; financial score="&amp;ROUND(N($BR54),1)&amp;"; CoD="&amp;$BS54)</f>
        <v/>
      </c>
    </row>
    <row r="55" ht="42" customHeight="1" s="209">
      <c r="A55" s="25" t="inlineStr">
        <is>
          <t>INI-051</t>
        </is>
      </c>
      <c r="B55" s="25" t="inlineStr">
        <is>
          <t>IT Cloud DR</t>
        </is>
      </c>
      <c r="C55" s="25" t="inlineStr">
        <is>
          <t>Operations</t>
        </is>
      </c>
      <c r="D55" s="25" t="inlineStr">
        <is>
          <t>Cloud and Infrastructure Resilience Strategy</t>
        </is>
      </c>
      <c r="E55" s="25" t="inlineStr">
        <is>
          <t>STR-03</t>
        </is>
      </c>
      <c r="F55" s="25" t="inlineStr">
        <is>
          <t>Strengthen IT operations, monitoring, incident and change management</t>
        </is>
      </c>
      <c r="G55" s="25" t="inlineStr">
        <is>
          <t>Close maturity gaps in operations by assigning ownership, documenting the process, connecting it to evidence and systems, testing it against crisis scenarios and measuring improvement.</t>
        </is>
      </c>
      <c r="H55" s="25" t="inlineStr">
        <is>
          <t>IT, cloud and disaster recovery</t>
        </is>
      </c>
      <c r="I55" s="25" t="inlineStr">
        <is>
          <t>Cloud / SaaS outage; Cyberattack / ransomware; Physical site loss; War / security crisis</t>
        </is>
      </c>
      <c r="J55" s="25" t="inlineStr">
        <is>
          <t>ITCL-019; ITCL-020; ITCL-021; ITCL-022; ITCL-023; ITCL-024</t>
        </is>
      </c>
      <c r="K55" s="25" t="n">
        <v>6</v>
      </c>
      <c r="L55" s="25">
        <f>COUNTIFS('_ENGINE_Risk'!$C$500:$C$923,$B55,'_ENGINE_Risk'!$D$500:$D$923,$C55,'_ENGINE_Risk'!$B$500:$B$923,"Yes")</f>
        <v/>
      </c>
      <c r="M55" s="25">
        <f>COUNTIFS('_ENGINE_Risk'!$C$500:$C$923,$B55,'_ENGINE_Risk'!$D$500:$D$923,$C55,'_ENGINE_Risk'!$B$500:$B$923,"Yes")</f>
        <v/>
      </c>
      <c r="N55" s="25">
        <f>IFERROR(AVERAGEIFS(_DATA_Assessment_Model!$H$5:$H$428,_DATA_Assessment_Model!$AW$5:$AW$428,$B55,_DATA_Assessment_Model!$B$5:$B$428,$C55),"")</f>
        <v/>
      </c>
      <c r="O55" s="25">
        <f>IF($N55="","",MAX(0,5-$N55))</f>
        <v/>
      </c>
      <c r="P55" s="25">
        <f>IFERROR(INDEX(_DATA_Dashboard_Facts!$H$5:$H$21,MATCH($B55,_DATA_Dashboard_Facts!$A$5:$A$21,0)),"")</f>
        <v/>
      </c>
      <c r="Q55" s="25">
        <f>IF($P55="","",MAX(0,5-$P55))</f>
        <v/>
      </c>
      <c r="R55" s="25">
        <f>IFERROR(SUMIFS(_ENGINE_Crisis!$D$5:$D$208,_ENGINE_Crisis!$A$5:$A$208,'Resilience &amp; Risk Scenario'!$B$6,_ENGINE_Crisis!$B$5:$B$208,$B55),1)</f>
        <v/>
      </c>
      <c r="S55" s="25">
        <f>IFERROR(INDEX('_ENGINE_Strategy'!$A$100:$A$113,MATCH($D55,'_ENGINE_Strategy'!$B$100:$B$113,0)),99)</f>
        <v/>
      </c>
      <c r="T55" s="25">
        <f>IFERROR(INDEX('_ENGINE_Strategy'!$J$100:$J$113,MATCH($D55,'_ENGINE_Strategy'!$B$100:$B$113,0)),0)</f>
        <v/>
      </c>
      <c r="U55" s="25" t="n">
        <v>5</v>
      </c>
      <c r="V55" s="25" t="n">
        <v>5</v>
      </c>
      <c r="W55" s="25" t="n">
        <v>3</v>
      </c>
      <c r="X55" s="25">
        <f>MAX(1,MIN(5,(N($O55)*0.50)+(N($Q55)*0.25)+((N($T55)/20)*0.25)))</f>
        <v/>
      </c>
      <c r="Y55" s="25">
        <f>MAX(1,MIN(5,(($R55-1)*1.6)+('Resilience &amp; Risk Scenario'!$B$7*0.45)+IF($S55&lt;=3,0.8,0)))</f>
        <v/>
      </c>
      <c r="Z55" s="25">
        <f>MAX(1,MIN(5,(N($O55)*0.45)+(MIN(5,5*N($M55)/MAX(1,N($K55)))*0.35)+(N($V55)*0.20)))</f>
        <v/>
      </c>
      <c r="AA55" s="25">
        <f>MAX(1,MIN(5,($U55*0.40)+($W55*0.30)+(($T55/20)*0.30)))</f>
        <v/>
      </c>
      <c r="AB55" s="25" t="n">
        <v>4</v>
      </c>
      <c r="AC55" s="25">
        <f>IF($AB55=0,"",ROUND((N($X55)+N($Y55)+N($Z55)+N($AA55))/$AB55,2))</f>
        <v/>
      </c>
      <c r="AD55" s="25">
        <f>IF($AC55="","",_xlfn.RANK.EQ($AC55,$AC$5:$AC$76,0)+COUNTIF($AC$5:$AC55,$AC55)-1)</f>
        <v/>
      </c>
      <c r="AE55" s="25">
        <f>IF($AD55="","",IF($AD55&lt;=cfg_TimelineBucket1,"0-90 days",IF($AD55&lt;=cfg_TimelineBucket2,"3-6 months",IF($AD55&lt;=cfg_TimelineBucket3,"6-12 months","12+ months"))))</f>
        <v/>
      </c>
      <c r="AF55" s="25" t="inlineStr">
        <is>
          <t>CIO / CTO / Infrastructure Lead</t>
        </is>
      </c>
      <c r="AG55" s="25" t="inlineStr">
        <is>
          <t>3-6 months</t>
        </is>
      </c>
      <c r="AH55" s="25" t="inlineStr">
        <is>
          <t>Executive sponsor; accountable process owner; baseline evidence; risk acceptance threshold; IT architecture inventory; data/system owners</t>
        </is>
      </c>
      <c r="AI55" s="25" t="inlineStr">
        <is>
          <t>maturity score improvement; open risk reduction; evidence completeness; control test pass rate; RTO/RPO achievement; backup test success; incident MTTR</t>
        </is>
      </c>
      <c r="AJ55" s="25" t="inlineStr">
        <is>
          <t>Documented operations operating model, owner/RACI, KPI set, evidence pack, tested crisis playbook and improvement backlog.</t>
        </is>
      </c>
      <c r="AK55" s="25" t="inlineStr">
        <is>
          <t>Counts active next-level recommendations for IT Cloud DR / Operations.</t>
        </is>
      </c>
      <c r="AL55" s="25" t="inlineStr">
        <is>
          <t>Counts active risks and risk scores for IT Cloud DR / Operations.</t>
        </is>
      </c>
      <c r="AM55" s="25" t="inlineStr">
        <is>
          <t>Uses the current rank and total score of Cloud and Infrastructure Resilience Strategy.</t>
        </is>
      </c>
      <c r="AN55" s="25" t="inlineStr">
        <is>
          <t>Trigger when avg score &lt; 4, active risk exists, active recommendation exists or strategy rank &lt;= 3.</t>
        </is>
      </c>
      <c r="AO55" s="25" t="inlineStr">
        <is>
          <t>Not started</t>
        </is>
      </c>
      <c r="AP55" s="25" t="inlineStr">
        <is>
          <t>Medium-High</t>
        </is>
      </c>
      <c r="AQ55" s="25" t="n"/>
      <c r="AR55" s="25" t="n"/>
      <c r="AS55" s="247">
        <f>IFERROR(IF(SUMIFS(_REF_Model_Content!$J$1:$J$157,_REF_Model_Content!$A$1:$A$157,'Company Profile'!$B$9,_REF_Model_Content!$B$1:$B$157,$B55)=0,1,SUMIFS(_REF_Model_Content!$J$1:$J$157,_REF_Model_Content!$A$1:$A$157,'Company Profile'!$B$9,_REF_Model_Content!$B$1:$B$157,$B55)),1)</f>
        <v/>
      </c>
      <c r="AT55" s="247">
        <f>IF(OR($AY55="Done",$AY55="Not applicable"),"",IF($AC55="","",ROUND(N($AC55)*N($AS55),2)))</f>
        <v/>
      </c>
      <c r="AU55" s="247">
        <f>IF($AT55="","",_xlfn.RANK.EQ($AT55,$AT$5:$AT$76,0)+COUNTIF($AT$5:AT55,$AT55)-1)</f>
        <v/>
      </c>
      <c r="AV55" s="247">
        <f>IFERROR(INDEX('_DATA_Dashboard_Facts'!$G$300:$G$316,MATCH($B55,'_DATA_Dashboard_Facts'!$A$300:$A$316,0)),"")</f>
        <v/>
      </c>
      <c r="AW55" s="247">
        <f>IF($AS55&gt;cfg_IndPriorityHigh,"Industry template increases priority",IF($AS55&lt;cfg_IndPriorityLow,"Industry template lowers priority","Industry-neutral priority"))</f>
        <v/>
      </c>
      <c r="AX55">
        <f>IFERROR(INDEX('Action Plan &amp; Roadmap'!$D$59:$D$130,MATCH($A55,'Action Plan &amp; Roadmap'!$A$59:$A$130,0)),"")</f>
      </c>
      <c r="AY55">
        <f>IF($AX55&lt;&gt;"",$AX55,IF($AO55="","Not started",$AO55))</f>
        <v/>
      </c>
      <c r="AZ55" t="inlineStr">
        <is>
          <t>Number of lines of code maintained each year per application maintenance FTE; Annual revenue impact through investment in robotic process automation</t>
        </is>
      </c>
      <c r="BA55">
        <f>IF($A55="","",COUNTIF('_DATA_Mappings'!$A:$A,$A55))</f>
        <v/>
      </c>
      <c r="BB55">
        <f>IF($A55="","",IFERROR(AVERAGEIF('_DATA_Mappings'!$A:$A,$A55,'_DATA_Mappings'!$G:$G),0))</f>
        <v/>
      </c>
      <c r="BC55">
        <f>IF($A55="","",MAX(0,MIN(5,(N($O55)*0.50)+(N($V55)*0.30)+(N($W55)*0.20))))</f>
        <v/>
      </c>
      <c r="BD55">
        <f>IF($A55="","",MAX(1,MIN(5,($Z55*0.45)+(MIN(5,$BB55/5)*0.35)+($BC55*0.20))))</f>
        <v/>
      </c>
      <c r="BE55">
        <f>IF($AB55=0,"",ROUND((N($X55)+N($Y55)+N($BD55)+N($AA55))/$AB55,2))</f>
        <v/>
      </c>
      <c r="BF55">
        <f>IF(OR($BE55="",$AY55="Done",$AY55="Not applicable"),"",ROUND($BE55*N($AS55),2))</f>
        <v/>
      </c>
      <c r="BG55">
        <f>IF($BF55="","",_xlfn.RANK.EQ($BF55,$BF$5:$BF$76,0)+COUNTIF($BF$5:$BF55,$BF55)-1)</f>
        <v/>
      </c>
      <c r="BH55">
        <f>IF($A55="","",IF($BB55&gt;20,"High P1 risk pressure",IF($BB55&gt;12,"Moderate P1 risk pressure","Lower P1 risk pressure")))</f>
        <v/>
      </c>
      <c r="BI55" s="25">
        <f>'_CONFIG_Model_Settings'!$B$103</f>
        <v/>
      </c>
      <c r="BJ55" s="25">
        <f>IFERROR(INDEX('_CONFIG_Model_Settings'!$B$109:$B$113,MATCH($BI55,'_CONFIG_Model_Settings'!$A$109:$A$113,0)),0.30)</f>
        <v/>
      </c>
      <c r="BK55" s="25">
        <f>IFERROR(INDEX('_CONFIG_Model_Settings'!$C$109:$C$113,MATCH($BI55,'_CONFIG_Model_Settings'!$A$109:$A$113,0)),0.20)</f>
        <v/>
      </c>
      <c r="BL55" s="25">
        <f>IFERROR(INDEX('_CONFIG_Model_Settings'!$D$109:$D$113,MATCH($BI55,'_CONFIG_Model_Settings'!$A$109:$A$113,0)),0.25)</f>
        <v/>
      </c>
      <c r="BM55" s="25">
        <f>IFERROR(INDEX('_CONFIG_Model_Settings'!$E$109:$E$113,MATCH($BI55,'_CONFIG_Model_Settings'!$A$109:$A$113,0)),0.25)</f>
        <v/>
      </c>
      <c r="BN55" s="25">
        <f>IFERROR(INDEX('_CONFIG_Model_Settings'!$B$117:$B$123,MATCH('_CONFIG_Model_Settings'!$B$104,'_CONFIG_Model_Settings'!$A$117:$A$123,0)),1)</f>
        <v/>
      </c>
      <c r="BO55" s="25">
        <f>IFERROR(INDEX('_CONFIG_Model_Settings'!$C$117:$C$123,MATCH('_CONFIG_Model_Settings'!$B$104,'_CONFIG_Model_Settings'!$A$117:$A$123,0)),1)</f>
        <v/>
      </c>
      <c r="BP55" s="25">
        <f>IFERROR(INDEX('_CONFIG_Model_Settings'!$D$117:$D$123,MATCH('_CONFIG_Model_Settings'!$B$104,'_CONFIG_Model_Settings'!$A$117:$A$123,0)),1)</f>
        <v/>
      </c>
      <c r="BQ55" s="25">
        <f>IFERROR(INDEX('_CONFIG_Model_Settings'!$E$117:$E$123,MATCH('_CONFIG_Model_Settings'!$B$104,'_CONFIG_Model_Settings'!$A$117:$A$123,0)),1)</f>
        <v/>
      </c>
      <c r="BR55" s="25">
        <f>IF($A55="","",MIN(5,IFERROR(SUMIF('_DATA_Mappings'!$A:$A,$A55,'_DATA_Mappings'!$K:$K)/MAX(1,'_CONFIG_Model_Settings'!$B$105),0)))</f>
        <v/>
      </c>
      <c r="BS55" s="25">
        <f>IF($A55="","",ROUND((N($X55)*N($BJ55)*N($BN55)+N($Y55)*N($BK55)*N($BO55)+N($BD55)*N($BL55)*N($BP55)+N($AA55)*N($BM55)*N($BQ55)+N($BR55)*N('_CONFIG_Model_Settings'!$B$106))/(N($BJ55)*N($BN55)+N($BK55)*N($BO55)+N($BL55)*N($BP55)+N($BM55)*N($BQ55)+N('_CONFIG_Model_Settings'!$B$106)),2))</f>
        <v/>
      </c>
      <c r="BT55" s="25">
        <f>IF($A55="","",MAX(1,N($AB55)))</f>
        <v/>
      </c>
      <c r="BU55" s="25">
        <f>IF(OR($BS55="",$BT55=0),"",ROUND($BS55/$BT55,2))</f>
        <v/>
      </c>
      <c r="BV55" s="25">
        <f>IF(OR($BU55="",$AY55="Done",$AY55="Not applicable"),"",ROUND($BU55*N($AS55),2))</f>
        <v/>
      </c>
      <c r="BW55" s="25">
        <f>IF($BV55="","",_xlfn.RANK.EQ($BV55,$BV$5:$BV$76,0)+COUNTIF($BV$5:$BV55,$BV55)-1)</f>
        <v/>
      </c>
      <c r="BX55" s="25">
        <f>IF($BW55="","",IF($BW55&lt;=cfg_TimelineBucket1,"0-90 days",IF($BW55&lt;=cfg_TimelineBucket2,"3-6 months",IF($BW55&lt;=cfg_TimelineBucket3,"6-12 months","12+ months"))))</f>
        <v/>
      </c>
      <c r="BY55" s="25">
        <f>IF($A55="","","P2: "&amp;$BI55&amp;" posture; objective="&amp;'_CONFIG_Model_Settings'!$B$104&amp;"; financial score="&amp;ROUND(N($BR55),1)&amp;"; CoD="&amp;$BS55)</f>
        <v/>
      </c>
    </row>
    <row r="56" ht="42" customHeight="1" s="209">
      <c r="A56" s="25" t="inlineStr">
        <is>
          <t>INI-052</t>
        </is>
      </c>
      <c r="B56" s="25" t="inlineStr">
        <is>
          <t>IT Cloud DR</t>
        </is>
      </c>
      <c r="C56" s="25" t="inlineStr">
        <is>
          <t>SaaS and integrations</t>
        </is>
      </c>
      <c r="D56" s="25" t="inlineStr">
        <is>
          <t>Cloud and Infrastructure Resilience Strategy</t>
        </is>
      </c>
      <c r="E56" s="25" t="inlineStr">
        <is>
          <t>STR-03</t>
        </is>
      </c>
      <c r="F56" s="25" t="inlineStr">
        <is>
          <t>Stabilize SaaS ownership, integrations and vendor continuity</t>
        </is>
      </c>
      <c r="G56" s="25" t="inlineStr">
        <is>
          <t>Close maturity gaps in saas and integrations by assigning ownership, documenting the process, connecting it to evidence and systems, testing it against crisis scenarios and measuring improvement.</t>
        </is>
      </c>
      <c r="H56" s="25" t="inlineStr">
        <is>
          <t>IT, cloud and disaster recovery</t>
        </is>
      </c>
      <c r="I56" s="25" t="inlineStr">
        <is>
          <t>Cloud / SaaS outage; Cyberattack / ransomware; Physical site loss; War / security crisis</t>
        </is>
      </c>
      <c r="J56" s="25" t="inlineStr">
        <is>
          <t>ITCL-025; ITCL-026; ITCL-027; ITCL-028; ITCL-029</t>
        </is>
      </c>
      <c r="K56" s="25" t="n">
        <v>5</v>
      </c>
      <c r="L56" s="25">
        <f>COUNTIFS('_ENGINE_Risk'!$C$500:$C$923,$B56,'_ENGINE_Risk'!$D$500:$D$923,$C56,'_ENGINE_Risk'!$B$500:$B$923,"Yes")</f>
        <v/>
      </c>
      <c r="M56" s="25">
        <f>COUNTIFS('_ENGINE_Risk'!$C$500:$C$923,$B56,'_ENGINE_Risk'!$D$500:$D$923,$C56,'_ENGINE_Risk'!$B$500:$B$923,"Yes")</f>
        <v/>
      </c>
      <c r="N56" s="25">
        <f>IFERROR(AVERAGEIFS(_DATA_Assessment_Model!$H$5:$H$428,_DATA_Assessment_Model!$AW$5:$AW$428,$B56,_DATA_Assessment_Model!$B$5:$B$428,$C56),"")</f>
        <v/>
      </c>
      <c r="O56" s="25">
        <f>IF($N56="","",MAX(0,5-$N56))</f>
        <v/>
      </c>
      <c r="P56" s="25">
        <f>IFERROR(INDEX(_DATA_Dashboard_Facts!$H$5:$H$21,MATCH($B56,_DATA_Dashboard_Facts!$A$5:$A$21,0)),"")</f>
        <v/>
      </c>
      <c r="Q56" s="25">
        <f>IF($P56="","",MAX(0,5-$P56))</f>
        <v/>
      </c>
      <c r="R56" s="25">
        <f>IFERROR(SUMIFS(_ENGINE_Crisis!$D$5:$D$208,_ENGINE_Crisis!$A$5:$A$208,'Resilience &amp; Risk Scenario'!$B$6,_ENGINE_Crisis!$B$5:$B$208,$B56),1)</f>
        <v/>
      </c>
      <c r="S56" s="25">
        <f>IFERROR(INDEX('_ENGINE_Strategy'!$A$100:$A$113,MATCH($D56,'_ENGINE_Strategy'!$B$100:$B$113,0)),99)</f>
        <v/>
      </c>
      <c r="T56" s="25">
        <f>IFERROR(INDEX('_ENGINE_Strategy'!$J$100:$J$113,MATCH($D56,'_ENGINE_Strategy'!$B$100:$B$113,0)),0)</f>
        <v/>
      </c>
      <c r="U56" s="25" t="n">
        <v>5</v>
      </c>
      <c r="V56" s="25" t="n">
        <v>5</v>
      </c>
      <c r="W56" s="25" t="n">
        <v>3</v>
      </c>
      <c r="X56" s="25">
        <f>MAX(1,MIN(5,(N($O56)*0.50)+(N($Q56)*0.25)+((N($T56)/20)*0.25)))</f>
        <v/>
      </c>
      <c r="Y56" s="25">
        <f>MAX(1,MIN(5,(($R56-1)*1.6)+('Resilience &amp; Risk Scenario'!$B$7*0.45)+IF($S56&lt;=3,0.8,0)))</f>
        <v/>
      </c>
      <c r="Z56" s="25">
        <f>MAX(1,MIN(5,(N($O56)*0.45)+(MIN(5,5*N($M56)/MAX(1,N($K56)))*0.35)+(N($V56)*0.20)))</f>
        <v/>
      </c>
      <c r="AA56" s="25">
        <f>MAX(1,MIN(5,($U56*0.40)+($W56*0.30)+(($T56/20)*0.30)))</f>
        <v/>
      </c>
      <c r="AB56" s="25" t="n">
        <v>4</v>
      </c>
      <c r="AC56" s="25">
        <f>IF($AB56=0,"",ROUND((N($X56)+N($Y56)+N($Z56)+N($AA56))/$AB56,2))</f>
        <v/>
      </c>
      <c r="AD56" s="25">
        <f>IF($AC56="","",_xlfn.RANK.EQ($AC56,$AC$5:$AC$76,0)+COUNTIF($AC$5:$AC56,$AC56)-1)</f>
        <v/>
      </c>
      <c r="AE56" s="25">
        <f>IF($AD56="","",IF($AD56&lt;=cfg_TimelineBucket1,"0-90 days",IF($AD56&lt;=cfg_TimelineBucket2,"3-6 months",IF($AD56&lt;=cfg_TimelineBucket3,"6-12 months","12+ months"))))</f>
        <v/>
      </c>
      <c r="AF56" s="25" t="inlineStr">
        <is>
          <t>CIO / CTO / Infrastructure Lead</t>
        </is>
      </c>
      <c r="AG56" s="25" t="inlineStr">
        <is>
          <t>3-6 months</t>
        </is>
      </c>
      <c r="AH56" s="25" t="inlineStr">
        <is>
          <t>Executive sponsor; accountable process owner; baseline evidence; risk acceptance threshold; IT architecture inventory; data/system owners</t>
        </is>
      </c>
      <c r="AI56" s="25" t="inlineStr">
        <is>
          <t>maturity score improvement; open risk reduction; evidence completeness; control test pass rate; RTO/RPO achievement; backup test success; incident MTTR</t>
        </is>
      </c>
      <c r="AJ56" s="25" t="inlineStr">
        <is>
          <t>Documented saas and integrations operating model, owner/RACI, KPI set, evidence pack, tested crisis playbook and improvement backlog.</t>
        </is>
      </c>
      <c r="AK56" s="25" t="inlineStr">
        <is>
          <t>Counts active next-level recommendations for IT Cloud DR / SaaS and integrations.</t>
        </is>
      </c>
      <c r="AL56" s="25" t="inlineStr">
        <is>
          <t>Counts active risks and risk scores for IT Cloud DR / SaaS and integrations.</t>
        </is>
      </c>
      <c r="AM56" s="25" t="inlineStr">
        <is>
          <t>Uses the current rank and total score of Cloud and Infrastructure Resilience Strategy.</t>
        </is>
      </c>
      <c r="AN56" s="25" t="inlineStr">
        <is>
          <t>Trigger when avg score &lt; 4, active risk exists, active recommendation exists or strategy rank &lt;= 3.</t>
        </is>
      </c>
      <c r="AO56" s="25" t="inlineStr">
        <is>
          <t>Not started</t>
        </is>
      </c>
      <c r="AP56" s="25" t="inlineStr">
        <is>
          <t>Medium-High</t>
        </is>
      </c>
      <c r="AQ56" s="25" t="n"/>
      <c r="AR56" s="25" t="n"/>
      <c r="AS56" s="247">
        <f>IFERROR(IF(SUMIFS(_REF_Model_Content!$J$1:$J$157,_REF_Model_Content!$A$1:$A$157,'Company Profile'!$B$9,_REF_Model_Content!$B$1:$B$157,$B56)=0,1,SUMIFS(_REF_Model_Content!$J$1:$J$157,_REF_Model_Content!$A$1:$A$157,'Company Profile'!$B$9,_REF_Model_Content!$B$1:$B$157,$B56)),1)</f>
        <v/>
      </c>
      <c r="AT56" s="247">
        <f>IF(OR($AY56="Done",$AY56="Not applicable"),"",IF($AC56="","",ROUND(N($AC56)*N($AS56),2)))</f>
        <v/>
      </c>
      <c r="AU56" s="247">
        <f>IF($AT56="","",_xlfn.RANK.EQ($AT56,$AT$5:$AT$76,0)+COUNTIF($AT$5:AT56,$AT56)-1)</f>
        <v/>
      </c>
      <c r="AV56" s="247">
        <f>IFERROR(INDEX('_DATA_Dashboard_Facts'!$G$300:$G$316,MATCH($B56,'_DATA_Dashboard_Facts'!$A$300:$A$316,0)),"")</f>
        <v/>
      </c>
      <c r="AW56" s="247">
        <f>IF($AS56&gt;cfg_IndPriorityHigh,"Industry template increases priority",IF($AS56&lt;cfg_IndPriorityLow,"Industry template lowers priority","Industry-neutral priority"))</f>
        <v/>
      </c>
      <c r="AX56">
        <f>IFERROR(INDEX('Action Plan &amp; Roadmap'!$D$59:$D$130,MATCH($A56,'Action Plan &amp; Roadmap'!$A$59:$A$130,0)),"")</f>
      </c>
      <c r="AY56">
        <f>IF($AX56&lt;&gt;"",$AX56,IF($AO56="","Not started",$AO56))</f>
        <v/>
      </c>
      <c r="AZ56" t="inlineStr">
        <is>
          <t>Number of lines of code maintained each year per application maintenance FTE; Annual revenue impact through investment in robotic process automation</t>
        </is>
      </c>
      <c r="BA56">
        <f>IF($A56="","",COUNTIF('_DATA_Mappings'!$A:$A,$A56))</f>
        <v/>
      </c>
      <c r="BB56">
        <f>IF($A56="","",IFERROR(AVERAGEIF('_DATA_Mappings'!$A:$A,$A56,'_DATA_Mappings'!$G:$G),0))</f>
        <v/>
      </c>
      <c r="BC56">
        <f>IF($A56="","",MAX(0,MIN(5,(N($O56)*0.50)+(N($V56)*0.30)+(N($W56)*0.20))))</f>
        <v/>
      </c>
      <c r="BD56">
        <f>IF($A56="","",MAX(1,MIN(5,($Z56*0.45)+(MIN(5,$BB56/5)*0.35)+($BC56*0.20))))</f>
        <v/>
      </c>
      <c r="BE56">
        <f>IF($AB56=0,"",ROUND((N($X56)+N($Y56)+N($BD56)+N($AA56))/$AB56,2))</f>
        <v/>
      </c>
      <c r="BF56">
        <f>IF(OR($BE56="",$AY56="Done",$AY56="Not applicable"),"",ROUND($BE56*N($AS56),2))</f>
        <v/>
      </c>
      <c r="BG56">
        <f>IF($BF56="","",_xlfn.RANK.EQ($BF56,$BF$5:$BF$76,0)+COUNTIF($BF$5:$BF56,$BF56)-1)</f>
        <v/>
      </c>
      <c r="BH56">
        <f>IF($A56="","",IF($BB56&gt;20,"High P1 risk pressure",IF($BB56&gt;12,"Moderate P1 risk pressure","Lower P1 risk pressure")))</f>
        <v/>
      </c>
      <c r="BI56" s="25">
        <f>'_CONFIG_Model_Settings'!$B$103</f>
        <v/>
      </c>
      <c r="BJ56" s="25">
        <f>IFERROR(INDEX('_CONFIG_Model_Settings'!$B$109:$B$113,MATCH($BI56,'_CONFIG_Model_Settings'!$A$109:$A$113,0)),0.30)</f>
        <v/>
      </c>
      <c r="BK56" s="25">
        <f>IFERROR(INDEX('_CONFIG_Model_Settings'!$C$109:$C$113,MATCH($BI56,'_CONFIG_Model_Settings'!$A$109:$A$113,0)),0.20)</f>
        <v/>
      </c>
      <c r="BL56" s="25">
        <f>IFERROR(INDEX('_CONFIG_Model_Settings'!$D$109:$D$113,MATCH($BI56,'_CONFIG_Model_Settings'!$A$109:$A$113,0)),0.25)</f>
        <v/>
      </c>
      <c r="BM56" s="25">
        <f>IFERROR(INDEX('_CONFIG_Model_Settings'!$E$109:$E$113,MATCH($BI56,'_CONFIG_Model_Settings'!$A$109:$A$113,0)),0.25)</f>
        <v/>
      </c>
      <c r="BN56" s="25">
        <f>IFERROR(INDEX('_CONFIG_Model_Settings'!$B$117:$B$123,MATCH('_CONFIG_Model_Settings'!$B$104,'_CONFIG_Model_Settings'!$A$117:$A$123,0)),1)</f>
        <v/>
      </c>
      <c r="BO56" s="25">
        <f>IFERROR(INDEX('_CONFIG_Model_Settings'!$C$117:$C$123,MATCH('_CONFIG_Model_Settings'!$B$104,'_CONFIG_Model_Settings'!$A$117:$A$123,0)),1)</f>
        <v/>
      </c>
      <c r="BP56" s="25">
        <f>IFERROR(INDEX('_CONFIG_Model_Settings'!$D$117:$D$123,MATCH('_CONFIG_Model_Settings'!$B$104,'_CONFIG_Model_Settings'!$A$117:$A$123,0)),1)</f>
        <v/>
      </c>
      <c r="BQ56" s="25">
        <f>IFERROR(INDEX('_CONFIG_Model_Settings'!$E$117:$E$123,MATCH('_CONFIG_Model_Settings'!$B$104,'_CONFIG_Model_Settings'!$A$117:$A$123,0)),1)</f>
        <v/>
      </c>
      <c r="BR56" s="25">
        <f>IF($A56="","",MIN(5,IFERROR(SUMIF('_DATA_Mappings'!$A:$A,$A56,'_DATA_Mappings'!$K:$K)/MAX(1,'_CONFIG_Model_Settings'!$B$105),0)))</f>
        <v/>
      </c>
      <c r="BS56" s="25">
        <f>IF($A56="","",ROUND((N($X56)*N($BJ56)*N($BN56)+N($Y56)*N($BK56)*N($BO56)+N($BD56)*N($BL56)*N($BP56)+N($AA56)*N($BM56)*N($BQ56)+N($BR56)*N('_CONFIG_Model_Settings'!$B$106))/(N($BJ56)*N($BN56)+N($BK56)*N($BO56)+N($BL56)*N($BP56)+N($BM56)*N($BQ56)+N('_CONFIG_Model_Settings'!$B$106)),2))</f>
        <v/>
      </c>
      <c r="BT56" s="25">
        <f>IF($A56="","",MAX(1,N($AB56)))</f>
        <v/>
      </c>
      <c r="BU56" s="25">
        <f>IF(OR($BS56="",$BT56=0),"",ROUND($BS56/$BT56,2))</f>
        <v/>
      </c>
      <c r="BV56" s="25">
        <f>IF(OR($BU56="",$AY56="Done",$AY56="Not applicable"),"",ROUND($BU56*N($AS56),2))</f>
        <v/>
      </c>
      <c r="BW56" s="25">
        <f>IF($BV56="","",_xlfn.RANK.EQ($BV56,$BV$5:$BV$76,0)+COUNTIF($BV$5:$BV56,$BV56)-1)</f>
        <v/>
      </c>
      <c r="BX56" s="25">
        <f>IF($BW56="","",IF($BW56&lt;=cfg_TimelineBucket1,"0-90 days",IF($BW56&lt;=cfg_TimelineBucket2,"3-6 months",IF($BW56&lt;=cfg_TimelineBucket3,"6-12 months","12+ months"))))</f>
        <v/>
      </c>
      <c r="BY56" s="25">
        <f>IF($A56="","","P2: "&amp;$BI56&amp;" posture; objective="&amp;'_CONFIG_Model_Settings'!$B$104&amp;"; financial score="&amp;ROUND(N($BR56),1)&amp;"; CoD="&amp;$BS56)</f>
        <v/>
      </c>
    </row>
    <row r="57" ht="42" customHeight="1" s="209">
      <c r="A57" s="25" t="inlineStr">
        <is>
          <t>INI-053</t>
        </is>
      </c>
      <c r="B57" s="25" t="inlineStr">
        <is>
          <t>Business Systems</t>
        </is>
      </c>
      <c r="C57" s="25" t="inlineStr">
        <is>
          <t>ERP</t>
        </is>
      </c>
      <c r="D57" s="25" t="inlineStr">
        <is>
          <t>Digital Foundation Strategy</t>
        </is>
      </c>
      <c r="E57" s="25" t="inlineStr">
        <is>
          <t>STR-01</t>
        </is>
      </c>
      <c r="F57" s="25" t="inlineStr">
        <is>
          <t>Stabilize ERP process ownership, master data and continuity controls</t>
        </is>
      </c>
      <c r="G57" s="25" t="inlineStr">
        <is>
          <t>Close maturity gaps in erp by assigning ownership, documenting the process, connecting it to evidence and systems, testing it against crisis scenarios and measuring improvement.</t>
        </is>
      </c>
      <c r="H57" s="25" t="inlineStr">
        <is>
          <t>Enterprise systems and application continuity</t>
        </is>
      </c>
      <c r="I57" s="25" t="inlineStr">
        <is>
          <t>Cloud / SaaS outage; Cyberattack / ransomware; Operational disruption</t>
        </is>
      </c>
      <c r="J57" s="25" t="inlineStr">
        <is>
          <t>BUSI-001; BUSI-002; BUSI-003; BUSI-004; BUSI-005</t>
        </is>
      </c>
      <c r="K57" s="25" t="n">
        <v>5</v>
      </c>
      <c r="L57" s="25">
        <f>COUNTIFS('_ENGINE_Risk'!$C$500:$C$923,$B57,'_ENGINE_Risk'!$D$500:$D$923,$C57,'_ENGINE_Risk'!$B$500:$B$923,"Yes")</f>
        <v/>
      </c>
      <c r="M57" s="25">
        <f>COUNTIFS('_ENGINE_Risk'!$C$500:$C$923,$B57,'_ENGINE_Risk'!$D$500:$D$923,$C57,'_ENGINE_Risk'!$B$500:$B$923,"Yes")</f>
        <v/>
      </c>
      <c r="N57" s="25">
        <f>IFERROR(AVERAGEIFS(_DATA_Assessment_Model!$H$5:$H$428,_DATA_Assessment_Model!$AW$5:$AW$428,$B57,_DATA_Assessment_Model!$B$5:$B$428,$C57),"")</f>
        <v/>
      </c>
      <c r="O57" s="25">
        <f>IF($N57="","",MAX(0,5-$N57))</f>
        <v/>
      </c>
      <c r="P57" s="25">
        <f>IFERROR(INDEX(_DATA_Dashboard_Facts!$H$5:$H$21,MATCH($B57,_DATA_Dashboard_Facts!$A$5:$A$21,0)),"")</f>
        <v/>
      </c>
      <c r="Q57" s="25">
        <f>IF($P57="","",MAX(0,5-$P57))</f>
        <v/>
      </c>
      <c r="R57" s="25">
        <f>IFERROR(SUMIFS(_ENGINE_Crisis!$D$5:$D$208,_ENGINE_Crisis!$A$5:$A$208,'Resilience &amp; Risk Scenario'!$B$6,_ENGINE_Crisis!$B$5:$B$208,$B57),1)</f>
        <v/>
      </c>
      <c r="S57" s="25">
        <f>IFERROR(INDEX('_ENGINE_Strategy'!$A$100:$A$113,MATCH($D57,'_ENGINE_Strategy'!$B$100:$B$113,0)),99)</f>
        <v/>
      </c>
      <c r="T57" s="25">
        <f>IFERROR(INDEX('_ENGINE_Strategy'!$J$100:$J$113,MATCH($D57,'_ENGINE_Strategy'!$B$100:$B$113,0)),0)</f>
        <v/>
      </c>
      <c r="U57" s="25" t="n">
        <v>5</v>
      </c>
      <c r="V57" s="25" t="n">
        <v>3</v>
      </c>
      <c r="W57" s="25" t="n">
        <v>4</v>
      </c>
      <c r="X57" s="25">
        <f>MAX(1,MIN(5,(N($O57)*0.50)+(N($Q57)*0.25)+((N($T57)/20)*0.25)))</f>
        <v/>
      </c>
      <c r="Y57" s="25">
        <f>MAX(1,MIN(5,(($R57-1)*1.6)+('Resilience &amp; Risk Scenario'!$B$7*0.45)+IF($S57&lt;=3,0.8,0)))</f>
        <v/>
      </c>
      <c r="Z57" s="25">
        <f>MAX(1,MIN(5,(N($O57)*0.45)+(MIN(5,5*N($M57)/MAX(1,N($K57)))*0.35)+(N($V57)*0.20)))</f>
        <v/>
      </c>
      <c r="AA57" s="25">
        <f>MAX(1,MIN(5,($U57*0.40)+($W57*0.30)+(($T57/20)*0.30)))</f>
        <v/>
      </c>
      <c r="AB57" s="25" t="n">
        <v>4</v>
      </c>
      <c r="AC57" s="25">
        <f>IF($AB57=0,"",ROUND((N($X57)+N($Y57)+N($Z57)+N($AA57))/$AB57,2))</f>
        <v/>
      </c>
      <c r="AD57" s="25">
        <f>IF($AC57="","",_xlfn.RANK.EQ($AC57,$AC$5:$AC$76,0)+COUNTIF($AC$5:$AC57,$AC57)-1)</f>
        <v/>
      </c>
      <c r="AE57" s="25">
        <f>IF($AD57="","",IF($AD57&lt;=cfg_TimelineBucket1,"0-90 days",IF($AD57&lt;=cfg_TimelineBucket2,"3-6 months",IF($AD57&lt;=cfg_TimelineBucket3,"6-12 months","12+ months"))))</f>
        <v/>
      </c>
      <c r="AF57" s="25" t="inlineStr">
        <is>
          <t>CIO / Business Applications Lead</t>
        </is>
      </c>
      <c r="AG57" s="25" t="inlineStr">
        <is>
          <t>3-6 months</t>
        </is>
      </c>
      <c r="AH57" s="25" t="inlineStr">
        <is>
          <t>Executive sponsor; accountable process owner; baseline evidence; risk acceptance threshold; IT architecture inventory; data/system owners</t>
        </is>
      </c>
      <c r="AI57" s="25" t="inlineStr">
        <is>
          <t>maturity score improvement; open risk reduction; evidence completeness; control test pass rate</t>
        </is>
      </c>
      <c r="AJ57" s="25" t="inlineStr">
        <is>
          <t>Documented erp operating model, owner/RACI, KPI set, evidence pack, tested crisis playbook and improvement backlog.</t>
        </is>
      </c>
      <c r="AK57" s="25" t="inlineStr">
        <is>
          <t>Counts active next-level recommendations for Business Systems / ERP.</t>
        </is>
      </c>
      <c r="AL57" s="25" t="inlineStr">
        <is>
          <t>Counts active risks and risk scores for Business Systems / ERP.</t>
        </is>
      </c>
      <c r="AM57" s="25" t="inlineStr">
        <is>
          <t>Uses the current rank and total score of Digital Foundation Strategy.</t>
        </is>
      </c>
      <c r="AN57" s="25" t="inlineStr">
        <is>
          <t>Trigger when avg score &lt; 4, active risk exists, active recommendation exists or strategy rank &lt;= 3.</t>
        </is>
      </c>
      <c r="AO57" s="25" t="inlineStr">
        <is>
          <t>Not started</t>
        </is>
      </c>
      <c r="AP57" s="25" t="inlineStr">
        <is>
          <t>Medium-High</t>
        </is>
      </c>
      <c r="AQ57" s="25" t="n"/>
      <c r="AR57" s="25" t="n"/>
      <c r="AS57" s="247">
        <f>IFERROR(IF(SUMIFS(_REF_Model_Content!$J$1:$J$157,_REF_Model_Content!$A$1:$A$157,'Company Profile'!$B$9,_REF_Model_Content!$B$1:$B$157,$B57)=0,1,SUMIFS(_REF_Model_Content!$J$1:$J$157,_REF_Model_Content!$A$1:$A$157,'Company Profile'!$B$9,_REF_Model_Content!$B$1:$B$157,$B57)),1)</f>
        <v/>
      </c>
      <c r="AT57" s="247">
        <f>IF(OR($AY57="Done",$AY57="Not applicable"),"",IF($AC57="","",ROUND(N($AC57)*N($AS57),2)))</f>
        <v/>
      </c>
      <c r="AU57" s="247">
        <f>IF($AT57="","",_xlfn.RANK.EQ($AT57,$AT$5:$AT$76,0)+COUNTIF($AT$5:AT57,$AT57)-1)</f>
        <v/>
      </c>
      <c r="AV57" s="247">
        <f>IFERROR(INDEX('_DATA_Dashboard_Facts'!$G$300:$G$316,MATCH($B57,'_DATA_Dashboard_Facts'!$A$300:$A$316,0)),"")</f>
        <v/>
      </c>
      <c r="AW57" s="247">
        <f>IF($AS57&gt;cfg_IndPriorityHigh,"Industry template increases priority",IF($AS57&lt;cfg_IndPriorityLow,"Industry template lowers priority","Industry-neutral priority"))</f>
        <v/>
      </c>
      <c r="AX57">
        <f>IFERROR(INDEX('Action Plan &amp; Roadmap'!$D$59:$D$130,MATCH($A57,'Action Plan &amp; Roadmap'!$A$59:$A$130,0)),"")</f>
      </c>
      <c r="AY57">
        <f>IF($AX57&lt;&gt;"",$AX57,IF($AO57="","Not started",$AO57))</f>
        <v/>
      </c>
      <c r="AZ57" t="inlineStr">
        <is>
          <t>Number of lines of code maintained each year per application maintenance FTE; Annual revenue impact through investment in robotic process automation</t>
        </is>
      </c>
      <c r="BA57">
        <f>IF($A57="","",COUNTIF('_DATA_Mappings'!$A:$A,$A57))</f>
        <v/>
      </c>
      <c r="BB57">
        <f>IF($A57="","",IFERROR(AVERAGEIF('_DATA_Mappings'!$A:$A,$A57,'_DATA_Mappings'!$G:$G),0))</f>
        <v/>
      </c>
      <c r="BC57">
        <f>IF($A57="","",MAX(0,MIN(5,(N($O57)*0.50)+(N($V57)*0.30)+(N($W57)*0.20))))</f>
        <v/>
      </c>
      <c r="BD57">
        <f>IF($A57="","",MAX(1,MIN(5,($Z57*0.45)+(MIN(5,$BB57/5)*0.35)+($BC57*0.20))))</f>
        <v/>
      </c>
      <c r="BE57">
        <f>IF($AB57=0,"",ROUND((N($X57)+N($Y57)+N($BD57)+N($AA57))/$AB57,2))</f>
        <v/>
      </c>
      <c r="BF57">
        <f>IF(OR($BE57="",$AY57="Done",$AY57="Not applicable"),"",ROUND($BE57*N($AS57),2))</f>
        <v/>
      </c>
      <c r="BG57">
        <f>IF($BF57="","",_xlfn.RANK.EQ($BF57,$BF$5:$BF$76,0)+COUNTIF($BF$5:$BF57,$BF57)-1)</f>
        <v/>
      </c>
      <c r="BH57">
        <f>IF($A57="","",IF($BB57&gt;20,"High P1 risk pressure",IF($BB57&gt;12,"Moderate P1 risk pressure","Lower P1 risk pressure")))</f>
        <v/>
      </c>
      <c r="BI57" s="25">
        <f>'_CONFIG_Model_Settings'!$B$103</f>
        <v/>
      </c>
      <c r="BJ57" s="25">
        <f>IFERROR(INDEX('_CONFIG_Model_Settings'!$B$109:$B$113,MATCH($BI57,'_CONFIG_Model_Settings'!$A$109:$A$113,0)),0.30)</f>
        <v/>
      </c>
      <c r="BK57" s="25">
        <f>IFERROR(INDEX('_CONFIG_Model_Settings'!$C$109:$C$113,MATCH($BI57,'_CONFIG_Model_Settings'!$A$109:$A$113,0)),0.20)</f>
        <v/>
      </c>
      <c r="BL57" s="25">
        <f>IFERROR(INDEX('_CONFIG_Model_Settings'!$D$109:$D$113,MATCH($BI57,'_CONFIG_Model_Settings'!$A$109:$A$113,0)),0.25)</f>
        <v/>
      </c>
      <c r="BM57" s="25">
        <f>IFERROR(INDEX('_CONFIG_Model_Settings'!$E$109:$E$113,MATCH($BI57,'_CONFIG_Model_Settings'!$A$109:$A$113,0)),0.25)</f>
        <v/>
      </c>
      <c r="BN57" s="25">
        <f>IFERROR(INDEX('_CONFIG_Model_Settings'!$B$117:$B$123,MATCH('_CONFIG_Model_Settings'!$B$104,'_CONFIG_Model_Settings'!$A$117:$A$123,0)),1)</f>
        <v/>
      </c>
      <c r="BO57" s="25">
        <f>IFERROR(INDEX('_CONFIG_Model_Settings'!$C$117:$C$123,MATCH('_CONFIG_Model_Settings'!$B$104,'_CONFIG_Model_Settings'!$A$117:$A$123,0)),1)</f>
        <v/>
      </c>
      <c r="BP57" s="25">
        <f>IFERROR(INDEX('_CONFIG_Model_Settings'!$D$117:$D$123,MATCH('_CONFIG_Model_Settings'!$B$104,'_CONFIG_Model_Settings'!$A$117:$A$123,0)),1)</f>
        <v/>
      </c>
      <c r="BQ57" s="25">
        <f>IFERROR(INDEX('_CONFIG_Model_Settings'!$E$117:$E$123,MATCH('_CONFIG_Model_Settings'!$B$104,'_CONFIG_Model_Settings'!$A$117:$A$123,0)),1)</f>
        <v/>
      </c>
      <c r="BR57" s="25">
        <f>IF($A57="","",MIN(5,IFERROR(SUMIF('_DATA_Mappings'!$A:$A,$A57,'_DATA_Mappings'!$K:$K)/MAX(1,'_CONFIG_Model_Settings'!$B$105),0)))</f>
        <v/>
      </c>
      <c r="BS57" s="25">
        <f>IF($A57="","",ROUND((N($X57)*N($BJ57)*N($BN57)+N($Y57)*N($BK57)*N($BO57)+N($BD57)*N($BL57)*N($BP57)+N($AA57)*N($BM57)*N($BQ57)+N($BR57)*N('_CONFIG_Model_Settings'!$B$106))/(N($BJ57)*N($BN57)+N($BK57)*N($BO57)+N($BL57)*N($BP57)+N($BM57)*N($BQ57)+N('_CONFIG_Model_Settings'!$B$106)),2))</f>
        <v/>
      </c>
      <c r="BT57" s="25">
        <f>IF($A57="","",MAX(1,N($AB57)))</f>
        <v/>
      </c>
      <c r="BU57" s="25">
        <f>IF(OR($BS57="",$BT57=0),"",ROUND($BS57/$BT57,2))</f>
        <v/>
      </c>
      <c r="BV57" s="25">
        <f>IF(OR($BU57="",$AY57="Done",$AY57="Not applicable"),"",ROUND($BU57*N($AS57),2))</f>
        <v/>
      </c>
      <c r="BW57" s="25">
        <f>IF($BV57="","",_xlfn.RANK.EQ($BV57,$BV$5:$BV$76,0)+COUNTIF($BV$5:$BV57,$BV57)-1)</f>
        <v/>
      </c>
      <c r="BX57" s="25">
        <f>IF($BW57="","",IF($BW57&lt;=cfg_TimelineBucket1,"0-90 days",IF($BW57&lt;=cfg_TimelineBucket2,"3-6 months",IF($BW57&lt;=cfg_TimelineBucket3,"6-12 months","12+ months"))))</f>
        <v/>
      </c>
      <c r="BY57" s="25">
        <f>IF($A57="","","P2: "&amp;$BI57&amp;" posture; objective="&amp;'_CONFIG_Model_Settings'!$B$104&amp;"; financial score="&amp;ROUND(N($BR57),1)&amp;"; CoD="&amp;$BS57)</f>
        <v/>
      </c>
    </row>
    <row r="58" ht="42" customHeight="1" s="209">
      <c r="A58" s="25" t="inlineStr">
        <is>
          <t>INI-054</t>
        </is>
      </c>
      <c r="B58" s="25" t="inlineStr">
        <is>
          <t>Business Systems</t>
        </is>
      </c>
      <c r="C58" s="25" t="inlineStr">
        <is>
          <t>CRM and commerce</t>
        </is>
      </c>
      <c r="D58" s="25" t="inlineStr">
        <is>
          <t>Customer Retention and Revenue Protection Strategy</t>
        </is>
      </c>
      <c r="E58" s="25" t="inlineStr">
        <is>
          <t>STR-12</t>
        </is>
      </c>
      <c r="F58" s="25" t="inlineStr">
        <is>
          <t>Integrate CRM, commerce and customer-service systems</t>
        </is>
      </c>
      <c r="G58" s="25" t="inlineStr">
        <is>
          <t>Close maturity gaps in crm and commerce by assigning ownership, documenting the process, connecting it to evidence and systems, testing it against crisis scenarios and measuring improvement.</t>
        </is>
      </c>
      <c r="H58" s="25" t="inlineStr">
        <is>
          <t>Enterprise systems and application continuity</t>
        </is>
      </c>
      <c r="I58" s="25" t="inlineStr">
        <is>
          <t>Cloud / SaaS outage; Cyberattack / ransomware; Operational disruption</t>
        </is>
      </c>
      <c r="J58" s="25" t="inlineStr">
        <is>
          <t>BUSI-006; BUSI-007; BUSI-008; BUSI-009</t>
        </is>
      </c>
      <c r="K58" s="25" t="n">
        <v>4</v>
      </c>
      <c r="L58" s="25">
        <f>COUNTIFS('_ENGINE_Risk'!$C$500:$C$923,$B58,'_ENGINE_Risk'!$D$500:$D$923,$C58,'_ENGINE_Risk'!$B$500:$B$923,"Yes")</f>
        <v/>
      </c>
      <c r="M58" s="25">
        <f>COUNTIFS('_ENGINE_Risk'!$C$500:$C$923,$B58,'_ENGINE_Risk'!$D$500:$D$923,$C58,'_ENGINE_Risk'!$B$500:$B$923,"Yes")</f>
        <v/>
      </c>
      <c r="N58" s="25">
        <f>IFERROR(AVERAGEIFS(_DATA_Assessment_Model!$H$5:$H$428,_DATA_Assessment_Model!$AW$5:$AW$428,$B58,_DATA_Assessment_Model!$B$5:$B$428,$C58),"")</f>
        <v/>
      </c>
      <c r="O58" s="25">
        <f>IF($N58="","",MAX(0,5-$N58))</f>
        <v/>
      </c>
      <c r="P58" s="25">
        <f>IFERROR(INDEX(_DATA_Dashboard_Facts!$H$5:$H$21,MATCH($B58,_DATA_Dashboard_Facts!$A$5:$A$21,0)),"")</f>
        <v/>
      </c>
      <c r="Q58" s="25">
        <f>IF($P58="","",MAX(0,5-$P58))</f>
        <v/>
      </c>
      <c r="R58" s="25">
        <f>IFERROR(SUMIFS(_ENGINE_Crisis!$D$5:$D$208,_ENGINE_Crisis!$A$5:$A$208,'Resilience &amp; Risk Scenario'!$B$6,_ENGINE_Crisis!$B$5:$B$208,$B58),1)</f>
        <v/>
      </c>
      <c r="S58" s="25">
        <f>IFERROR(INDEX('_ENGINE_Strategy'!$A$100:$A$113,MATCH($D58,'_ENGINE_Strategy'!$B$100:$B$113,0)),99)</f>
        <v/>
      </c>
      <c r="T58" s="25">
        <f>IFERROR(INDEX('_ENGINE_Strategy'!$J$100:$J$113,MATCH($D58,'_ENGINE_Strategy'!$B$100:$B$113,0)),0)</f>
        <v/>
      </c>
      <c r="U58" s="25" t="n">
        <v>4</v>
      </c>
      <c r="V58" s="25" t="n">
        <v>4</v>
      </c>
      <c r="W58" s="25" t="n">
        <v>4</v>
      </c>
      <c r="X58" s="25">
        <f>MAX(1,MIN(5,(N($O58)*0.50)+(N($Q58)*0.25)+((N($T58)/20)*0.25)))</f>
        <v/>
      </c>
      <c r="Y58" s="25">
        <f>MAX(1,MIN(5,(($R58-1)*1.6)+('Resilience &amp; Risk Scenario'!$B$7*0.45)+IF($S58&lt;=3,0.8,0)))</f>
        <v/>
      </c>
      <c r="Z58" s="25">
        <f>MAX(1,MIN(5,(N($O58)*0.45)+(MIN(5,5*N($M58)/MAX(1,N($K58)))*0.35)+(N($V58)*0.20)))</f>
        <v/>
      </c>
      <c r="AA58" s="25">
        <f>MAX(1,MIN(5,($U58*0.40)+($W58*0.30)+(($T58/20)*0.30)))</f>
        <v/>
      </c>
      <c r="AB58" s="25" t="n">
        <v>4</v>
      </c>
      <c r="AC58" s="25">
        <f>IF($AB58=0,"",ROUND((N($X58)+N($Y58)+N($Z58)+N($AA58))/$AB58,2))</f>
        <v/>
      </c>
      <c r="AD58" s="25">
        <f>IF($AC58="","",_xlfn.RANK.EQ($AC58,$AC$5:$AC$76,0)+COUNTIF($AC$5:$AC58,$AC58)-1)</f>
        <v/>
      </c>
      <c r="AE58" s="25">
        <f>IF($AD58="","",IF($AD58&lt;=cfg_TimelineBucket1,"0-90 days",IF($AD58&lt;=cfg_TimelineBucket2,"3-6 months",IF($AD58&lt;=cfg_TimelineBucket3,"6-12 months","12+ months"))))</f>
        <v/>
      </c>
      <c r="AF58" s="25" t="inlineStr">
        <is>
          <t>CIO / Business Applications Lead</t>
        </is>
      </c>
      <c r="AG58" s="25" t="inlineStr">
        <is>
          <t>3-6 months</t>
        </is>
      </c>
      <c r="AH58" s="25" t="inlineStr">
        <is>
          <t>Executive sponsor; accountable process owner; baseline evidence; risk acceptance threshold; IT architecture inventory; data/system owners</t>
        </is>
      </c>
      <c r="AI58" s="25" t="inlineStr">
        <is>
          <t>maturity score improvement; open risk reduction; evidence completeness; control test pass rate</t>
        </is>
      </c>
      <c r="AJ58" s="25" t="inlineStr">
        <is>
          <t>Documented crm and commerce operating model, owner/RACI, KPI set, evidence pack, tested crisis playbook and improvement backlog.</t>
        </is>
      </c>
      <c r="AK58" s="25" t="inlineStr">
        <is>
          <t>Counts active next-level recommendations for Business Systems / CRM and commerce.</t>
        </is>
      </c>
      <c r="AL58" s="25" t="inlineStr">
        <is>
          <t>Counts active risks and risk scores for Business Systems / CRM and commerce.</t>
        </is>
      </c>
      <c r="AM58" s="25" t="inlineStr">
        <is>
          <t>Uses the current rank and total score of Customer Retention and Revenue Protection Strategy.</t>
        </is>
      </c>
      <c r="AN58" s="25" t="inlineStr">
        <is>
          <t>Trigger when avg score &lt; 4, active risk exists, active recommendation exists or strategy rank &lt;= 3.</t>
        </is>
      </c>
      <c r="AO58" s="25" t="inlineStr">
        <is>
          <t>Not started</t>
        </is>
      </c>
      <c r="AP58" s="25" t="inlineStr">
        <is>
          <t>Medium-High</t>
        </is>
      </c>
      <c r="AQ58" s="25" t="n"/>
      <c r="AR58" s="25" t="n"/>
      <c r="AS58" s="247">
        <f>IFERROR(IF(SUMIFS(_REF_Model_Content!$J$1:$J$157,_REF_Model_Content!$A$1:$A$157,'Company Profile'!$B$9,_REF_Model_Content!$B$1:$B$157,$B58)=0,1,SUMIFS(_REF_Model_Content!$J$1:$J$157,_REF_Model_Content!$A$1:$A$157,'Company Profile'!$B$9,_REF_Model_Content!$B$1:$B$157,$B58)),1)</f>
        <v/>
      </c>
      <c r="AT58" s="247">
        <f>IF(OR($AY58="Done",$AY58="Not applicable"),"",IF($AC58="","",ROUND(N($AC58)*N($AS58),2)))</f>
        <v/>
      </c>
      <c r="AU58" s="247">
        <f>IF($AT58="","",_xlfn.RANK.EQ($AT58,$AT$5:$AT$76,0)+COUNTIF($AT$5:AT58,$AT58)-1)</f>
        <v/>
      </c>
      <c r="AV58" s="247">
        <f>IFERROR(INDEX('_DATA_Dashboard_Facts'!$G$300:$G$316,MATCH($B58,'_DATA_Dashboard_Facts'!$A$300:$A$316,0)),"")</f>
        <v/>
      </c>
      <c r="AW58" s="247">
        <f>IF($AS58&gt;cfg_IndPriorityHigh,"Industry template increases priority",IF($AS58&lt;cfg_IndPriorityLow,"Industry template lowers priority","Industry-neutral priority"))</f>
        <v/>
      </c>
      <c r="AX58">
        <f>IFERROR(INDEX('Action Plan &amp; Roadmap'!$D$59:$D$130,MATCH($A58,'Action Plan &amp; Roadmap'!$A$59:$A$130,0)),"")</f>
      </c>
      <c r="AY58">
        <f>IF($AX58&lt;&gt;"",$AX58,IF($AO58="","Not started",$AO58))</f>
        <v/>
      </c>
      <c r="AZ58" t="inlineStr">
        <is>
          <t>Number of lines of code maintained each year per application maintenance FTE; Annual revenue impact through investment in robotic process automation</t>
        </is>
      </c>
      <c r="BA58">
        <f>IF($A58="","",COUNTIF('_DATA_Mappings'!$A:$A,$A58))</f>
        <v/>
      </c>
      <c r="BB58">
        <f>IF($A58="","",IFERROR(AVERAGEIF('_DATA_Mappings'!$A:$A,$A58,'_DATA_Mappings'!$G:$G),0))</f>
        <v/>
      </c>
      <c r="BC58">
        <f>IF($A58="","",MAX(0,MIN(5,(N($O58)*0.50)+(N($V58)*0.30)+(N($W58)*0.20))))</f>
        <v/>
      </c>
      <c r="BD58">
        <f>IF($A58="","",MAX(1,MIN(5,($Z58*0.45)+(MIN(5,$BB58/5)*0.35)+($BC58*0.20))))</f>
        <v/>
      </c>
      <c r="BE58">
        <f>IF($AB58=0,"",ROUND((N($X58)+N($Y58)+N($BD58)+N($AA58))/$AB58,2))</f>
        <v/>
      </c>
      <c r="BF58">
        <f>IF(OR($BE58="",$AY58="Done",$AY58="Not applicable"),"",ROUND($BE58*N($AS58),2))</f>
        <v/>
      </c>
      <c r="BG58">
        <f>IF($BF58="","",_xlfn.RANK.EQ($BF58,$BF$5:$BF$76,0)+COUNTIF($BF$5:$BF58,$BF58)-1)</f>
        <v/>
      </c>
      <c r="BH58">
        <f>IF($A58="","",IF($BB58&gt;20,"High P1 risk pressure",IF($BB58&gt;12,"Moderate P1 risk pressure","Lower P1 risk pressure")))</f>
        <v/>
      </c>
      <c r="BI58" s="25">
        <f>'_CONFIG_Model_Settings'!$B$103</f>
        <v/>
      </c>
      <c r="BJ58" s="25">
        <f>IFERROR(INDEX('_CONFIG_Model_Settings'!$B$109:$B$113,MATCH($BI58,'_CONFIG_Model_Settings'!$A$109:$A$113,0)),0.30)</f>
        <v/>
      </c>
      <c r="BK58" s="25">
        <f>IFERROR(INDEX('_CONFIG_Model_Settings'!$C$109:$C$113,MATCH($BI58,'_CONFIG_Model_Settings'!$A$109:$A$113,0)),0.20)</f>
        <v/>
      </c>
      <c r="BL58" s="25">
        <f>IFERROR(INDEX('_CONFIG_Model_Settings'!$D$109:$D$113,MATCH($BI58,'_CONFIG_Model_Settings'!$A$109:$A$113,0)),0.25)</f>
        <v/>
      </c>
      <c r="BM58" s="25">
        <f>IFERROR(INDEX('_CONFIG_Model_Settings'!$E$109:$E$113,MATCH($BI58,'_CONFIG_Model_Settings'!$A$109:$A$113,0)),0.25)</f>
        <v/>
      </c>
      <c r="BN58" s="25">
        <f>IFERROR(INDEX('_CONFIG_Model_Settings'!$B$117:$B$123,MATCH('_CONFIG_Model_Settings'!$B$104,'_CONFIG_Model_Settings'!$A$117:$A$123,0)),1)</f>
        <v/>
      </c>
      <c r="BO58" s="25">
        <f>IFERROR(INDEX('_CONFIG_Model_Settings'!$C$117:$C$123,MATCH('_CONFIG_Model_Settings'!$B$104,'_CONFIG_Model_Settings'!$A$117:$A$123,0)),1)</f>
        <v/>
      </c>
      <c r="BP58" s="25">
        <f>IFERROR(INDEX('_CONFIG_Model_Settings'!$D$117:$D$123,MATCH('_CONFIG_Model_Settings'!$B$104,'_CONFIG_Model_Settings'!$A$117:$A$123,0)),1)</f>
        <v/>
      </c>
      <c r="BQ58" s="25">
        <f>IFERROR(INDEX('_CONFIG_Model_Settings'!$E$117:$E$123,MATCH('_CONFIG_Model_Settings'!$B$104,'_CONFIG_Model_Settings'!$A$117:$A$123,0)),1)</f>
        <v/>
      </c>
      <c r="BR58" s="25">
        <f>IF($A58="","",MIN(5,IFERROR(SUMIF('_DATA_Mappings'!$A:$A,$A58,'_DATA_Mappings'!$K:$K)/MAX(1,'_CONFIG_Model_Settings'!$B$105),0)))</f>
        <v/>
      </c>
      <c r="BS58" s="25">
        <f>IF($A58="","",ROUND((N($X58)*N($BJ58)*N($BN58)+N($Y58)*N($BK58)*N($BO58)+N($BD58)*N($BL58)*N($BP58)+N($AA58)*N($BM58)*N($BQ58)+N($BR58)*N('_CONFIG_Model_Settings'!$B$106))/(N($BJ58)*N($BN58)+N($BK58)*N($BO58)+N($BL58)*N($BP58)+N($BM58)*N($BQ58)+N('_CONFIG_Model_Settings'!$B$106)),2))</f>
        <v/>
      </c>
      <c r="BT58" s="25">
        <f>IF($A58="","",MAX(1,N($AB58)))</f>
        <v/>
      </c>
      <c r="BU58" s="25">
        <f>IF(OR($BS58="",$BT58=0),"",ROUND($BS58/$BT58,2))</f>
        <v/>
      </c>
      <c r="BV58" s="25">
        <f>IF(OR($BU58="",$AY58="Done",$AY58="Not applicable"),"",ROUND($BU58*N($AS58),2))</f>
        <v/>
      </c>
      <c r="BW58" s="25">
        <f>IF($BV58="","",_xlfn.RANK.EQ($BV58,$BV$5:$BV$76,0)+COUNTIF($BV$5:$BV58,$BV58)-1)</f>
        <v/>
      </c>
      <c r="BX58" s="25">
        <f>IF($BW58="","",IF($BW58&lt;=cfg_TimelineBucket1,"0-90 days",IF($BW58&lt;=cfg_TimelineBucket2,"3-6 months",IF($BW58&lt;=cfg_TimelineBucket3,"6-12 months","12+ months"))))</f>
        <v/>
      </c>
      <c r="BY58" s="25">
        <f>IF($A58="","","P2: "&amp;$BI58&amp;" posture; objective="&amp;'_CONFIG_Model_Settings'!$B$104&amp;"; financial score="&amp;ROUND(N($BR58),1)&amp;"; CoD="&amp;$BS58)</f>
        <v/>
      </c>
    </row>
    <row r="59" ht="42" customHeight="1" s="209">
      <c r="A59" s="25" t="inlineStr">
        <is>
          <t>INI-055</t>
        </is>
      </c>
      <c r="B59" s="25" t="inlineStr">
        <is>
          <t>Business Systems</t>
        </is>
      </c>
      <c r="C59" s="25" t="inlineStr">
        <is>
          <t>MES WMS TMS</t>
        </is>
      </c>
      <c r="D59" s="25" t="inlineStr">
        <is>
          <t>Manufacturing Continuity and MES Strategy</t>
        </is>
      </c>
      <c r="E59" s="25" t="inlineStr">
        <is>
          <t>STR-09</t>
        </is>
      </c>
      <c r="F59" s="25" t="inlineStr">
        <is>
          <t>Integrate MES, WMS and TMS into operational continuity model</t>
        </is>
      </c>
      <c r="G59" s="25" t="inlineStr">
        <is>
          <t>Close maturity gaps in mes wms tms by assigning ownership, documenting the process, connecting it to evidence and systems, testing it against crisis scenarios and measuring improvement.</t>
        </is>
      </c>
      <c r="H59" s="25" t="inlineStr">
        <is>
          <t>Enterprise systems and application continuity</t>
        </is>
      </c>
      <c r="I59" s="25" t="inlineStr">
        <is>
          <t>Cloud / SaaS outage; Cyberattack / ransomware; Operational disruption</t>
        </is>
      </c>
      <c r="J59" s="25" t="inlineStr">
        <is>
          <t>BUSI-010; BUSI-011; BUSI-012; BUSI-013</t>
        </is>
      </c>
      <c r="K59" s="25" t="n">
        <v>4</v>
      </c>
      <c r="L59" s="25">
        <f>COUNTIFS('_ENGINE_Risk'!$C$500:$C$923,$B59,'_ENGINE_Risk'!$D$500:$D$923,$C59,'_ENGINE_Risk'!$B$500:$B$923,"Yes")</f>
        <v/>
      </c>
      <c r="M59" s="25">
        <f>COUNTIFS('_ENGINE_Risk'!$C$500:$C$923,$B59,'_ENGINE_Risk'!$D$500:$D$923,$C59,'_ENGINE_Risk'!$B$500:$B$923,"Yes")</f>
        <v/>
      </c>
      <c r="N59" s="25">
        <f>IFERROR(AVERAGEIFS(_DATA_Assessment_Model!$H$5:$H$428,_DATA_Assessment_Model!$AW$5:$AW$428,$B59,_DATA_Assessment_Model!$B$5:$B$428,$C59),"")</f>
        <v/>
      </c>
      <c r="O59" s="25">
        <f>IF($N59="","",MAX(0,5-$N59))</f>
        <v/>
      </c>
      <c r="P59" s="25">
        <f>IFERROR(INDEX(_DATA_Dashboard_Facts!$H$5:$H$21,MATCH($B59,_DATA_Dashboard_Facts!$A$5:$A$21,0)),"")</f>
        <v/>
      </c>
      <c r="Q59" s="25">
        <f>IF($P59="","",MAX(0,5-$P59))</f>
        <v/>
      </c>
      <c r="R59" s="25">
        <f>IFERROR(SUMIFS(_ENGINE_Crisis!$D$5:$D$208,_ENGINE_Crisis!$A$5:$A$208,'Resilience &amp; Risk Scenario'!$B$6,_ENGINE_Crisis!$B$5:$B$208,$B59),1)</f>
        <v/>
      </c>
      <c r="S59" s="25">
        <f>IFERROR(INDEX('_ENGINE_Strategy'!$A$100:$A$113,MATCH($D59,'_ENGINE_Strategy'!$B$100:$B$113,0)),99)</f>
        <v/>
      </c>
      <c r="T59" s="25">
        <f>IFERROR(INDEX('_ENGINE_Strategy'!$J$100:$J$113,MATCH($D59,'_ENGINE_Strategy'!$B$100:$B$113,0)),0)</f>
        <v/>
      </c>
      <c r="U59" s="25" t="n">
        <v>5</v>
      </c>
      <c r="V59" s="25" t="n">
        <v>5</v>
      </c>
      <c r="W59" s="25" t="n">
        <v>4</v>
      </c>
      <c r="X59" s="25">
        <f>MAX(1,MIN(5,(N($O59)*0.50)+(N($Q59)*0.25)+((N($T59)/20)*0.25)))</f>
        <v/>
      </c>
      <c r="Y59" s="25">
        <f>MAX(1,MIN(5,(($R59-1)*1.6)+('Resilience &amp; Risk Scenario'!$B$7*0.45)+IF($S59&lt;=3,0.8,0)))</f>
        <v/>
      </c>
      <c r="Z59" s="25">
        <f>MAX(1,MIN(5,(N($O59)*0.45)+(MIN(5,5*N($M59)/MAX(1,N($K59)))*0.35)+(N($V59)*0.20)))</f>
        <v/>
      </c>
      <c r="AA59" s="25">
        <f>MAX(1,MIN(5,($U59*0.40)+($W59*0.30)+(($T59/20)*0.30)))</f>
        <v/>
      </c>
      <c r="AB59" s="25" t="n">
        <v>4</v>
      </c>
      <c r="AC59" s="25">
        <f>IF($AB59=0,"",ROUND((N($X59)+N($Y59)+N($Z59)+N($AA59))/$AB59,2))</f>
        <v/>
      </c>
      <c r="AD59" s="25">
        <f>IF($AC59="","",_xlfn.RANK.EQ($AC59,$AC$5:$AC$76,0)+COUNTIF($AC$5:$AC59,$AC59)-1)</f>
        <v/>
      </c>
      <c r="AE59" s="25">
        <f>IF($AD59="","",IF($AD59&lt;=cfg_TimelineBucket1,"0-90 days",IF($AD59&lt;=cfg_TimelineBucket2,"3-6 months",IF($AD59&lt;=cfg_TimelineBucket3,"6-12 months","12+ months"))))</f>
        <v/>
      </c>
      <c r="AF59" s="25" t="inlineStr">
        <is>
          <t>CIO / Business Applications Lead</t>
        </is>
      </c>
      <c r="AG59" s="25" t="inlineStr">
        <is>
          <t>3-6 months</t>
        </is>
      </c>
      <c r="AH59" s="25" t="inlineStr">
        <is>
          <t>Executive sponsor; accountable process owner; baseline evidence; risk acceptance threshold; IT architecture inventory; data/system owners</t>
        </is>
      </c>
      <c r="AI59" s="25" t="inlineStr">
        <is>
          <t>maturity score improvement; open risk reduction; evidence completeness; control test pass rate</t>
        </is>
      </c>
      <c r="AJ59" s="25" t="inlineStr">
        <is>
          <t>Documented mes wms tms operating model, owner/RACI, KPI set, evidence pack, tested crisis playbook and improvement backlog.</t>
        </is>
      </c>
      <c r="AK59" s="25" t="inlineStr">
        <is>
          <t>Counts active next-level recommendations for Business Systems / MES WMS TMS.</t>
        </is>
      </c>
      <c r="AL59" s="25" t="inlineStr">
        <is>
          <t>Counts active risks and risk scores for Business Systems / MES WMS TMS.</t>
        </is>
      </c>
      <c r="AM59" s="25" t="inlineStr">
        <is>
          <t>Uses the current rank and total score of Manufacturing Continuity and MES Strategy.</t>
        </is>
      </c>
      <c r="AN59" s="25" t="inlineStr">
        <is>
          <t>Trigger when avg score &lt; 4, active risk exists, active recommendation exists or strategy rank &lt;= 3.</t>
        </is>
      </c>
      <c r="AO59" s="25" t="inlineStr">
        <is>
          <t>Not started</t>
        </is>
      </c>
      <c r="AP59" s="25" t="inlineStr">
        <is>
          <t>Medium-High</t>
        </is>
      </c>
      <c r="AQ59" s="25" t="n"/>
      <c r="AR59" s="25" t="n"/>
      <c r="AS59" s="247">
        <f>IFERROR(IF(SUMIFS(_REF_Model_Content!$J$1:$J$157,_REF_Model_Content!$A$1:$A$157,'Company Profile'!$B$9,_REF_Model_Content!$B$1:$B$157,$B59)=0,1,SUMIFS(_REF_Model_Content!$J$1:$J$157,_REF_Model_Content!$A$1:$A$157,'Company Profile'!$B$9,_REF_Model_Content!$B$1:$B$157,$B59)),1)</f>
        <v/>
      </c>
      <c r="AT59" s="247">
        <f>IF(OR($AY59="Done",$AY59="Not applicable"),"",IF($AC59="","",ROUND(N($AC59)*N($AS59),2)))</f>
        <v/>
      </c>
      <c r="AU59" s="247">
        <f>IF($AT59="","",_xlfn.RANK.EQ($AT59,$AT$5:$AT$76,0)+COUNTIF($AT$5:AT59,$AT59)-1)</f>
        <v/>
      </c>
      <c r="AV59" s="247">
        <f>IFERROR(INDEX('_DATA_Dashboard_Facts'!$G$300:$G$316,MATCH($B59,'_DATA_Dashboard_Facts'!$A$300:$A$316,0)),"")</f>
        <v/>
      </c>
      <c r="AW59" s="247">
        <f>IF($AS59&gt;cfg_IndPriorityHigh,"Industry template increases priority",IF($AS59&lt;cfg_IndPriorityLow,"Industry template lowers priority","Industry-neutral priority"))</f>
        <v/>
      </c>
      <c r="AX59">
        <f>IFERROR(INDEX('Action Plan &amp; Roadmap'!$D$59:$D$130,MATCH($A59,'Action Plan &amp; Roadmap'!$A$59:$A$130,0)),"")</f>
      </c>
      <c r="AY59">
        <f>IF($AX59&lt;&gt;"",$AX59,IF($AO59="","Not started",$AO59))</f>
        <v/>
      </c>
      <c r="AZ59" t="inlineStr">
        <is>
          <t>Number of lines of code maintained each year per application maintenance FTE; Annual revenue impact through investment in robotic process automation</t>
        </is>
      </c>
      <c r="BA59">
        <f>IF($A59="","",COUNTIF('_DATA_Mappings'!$A:$A,$A59))</f>
        <v/>
      </c>
      <c r="BB59">
        <f>IF($A59="","",IFERROR(AVERAGEIF('_DATA_Mappings'!$A:$A,$A59,'_DATA_Mappings'!$G:$G),0))</f>
        <v/>
      </c>
      <c r="BC59">
        <f>IF($A59="","",MAX(0,MIN(5,(N($O59)*0.50)+(N($V59)*0.30)+(N($W59)*0.20))))</f>
        <v/>
      </c>
      <c r="BD59">
        <f>IF($A59="","",MAX(1,MIN(5,($Z59*0.45)+(MIN(5,$BB59/5)*0.35)+($BC59*0.20))))</f>
        <v/>
      </c>
      <c r="BE59">
        <f>IF($AB59=0,"",ROUND((N($X59)+N($Y59)+N($BD59)+N($AA59))/$AB59,2))</f>
        <v/>
      </c>
      <c r="BF59">
        <f>IF(OR($BE59="",$AY59="Done",$AY59="Not applicable"),"",ROUND($BE59*N($AS59),2))</f>
        <v/>
      </c>
      <c r="BG59">
        <f>IF($BF59="","",_xlfn.RANK.EQ($BF59,$BF$5:$BF$76,0)+COUNTIF($BF$5:$BF59,$BF59)-1)</f>
        <v/>
      </c>
      <c r="BH59">
        <f>IF($A59="","",IF($BB59&gt;20,"High P1 risk pressure",IF($BB59&gt;12,"Moderate P1 risk pressure","Lower P1 risk pressure")))</f>
        <v/>
      </c>
      <c r="BI59" s="25">
        <f>'_CONFIG_Model_Settings'!$B$103</f>
        <v/>
      </c>
      <c r="BJ59" s="25">
        <f>IFERROR(INDEX('_CONFIG_Model_Settings'!$B$109:$B$113,MATCH($BI59,'_CONFIG_Model_Settings'!$A$109:$A$113,0)),0.30)</f>
        <v/>
      </c>
      <c r="BK59" s="25">
        <f>IFERROR(INDEX('_CONFIG_Model_Settings'!$C$109:$C$113,MATCH($BI59,'_CONFIG_Model_Settings'!$A$109:$A$113,0)),0.20)</f>
        <v/>
      </c>
      <c r="BL59" s="25">
        <f>IFERROR(INDEX('_CONFIG_Model_Settings'!$D$109:$D$113,MATCH($BI59,'_CONFIG_Model_Settings'!$A$109:$A$113,0)),0.25)</f>
        <v/>
      </c>
      <c r="BM59" s="25">
        <f>IFERROR(INDEX('_CONFIG_Model_Settings'!$E$109:$E$113,MATCH($BI59,'_CONFIG_Model_Settings'!$A$109:$A$113,0)),0.25)</f>
        <v/>
      </c>
      <c r="BN59" s="25">
        <f>IFERROR(INDEX('_CONFIG_Model_Settings'!$B$117:$B$123,MATCH('_CONFIG_Model_Settings'!$B$104,'_CONFIG_Model_Settings'!$A$117:$A$123,0)),1)</f>
        <v/>
      </c>
      <c r="BO59" s="25">
        <f>IFERROR(INDEX('_CONFIG_Model_Settings'!$C$117:$C$123,MATCH('_CONFIG_Model_Settings'!$B$104,'_CONFIG_Model_Settings'!$A$117:$A$123,0)),1)</f>
        <v/>
      </c>
      <c r="BP59" s="25">
        <f>IFERROR(INDEX('_CONFIG_Model_Settings'!$D$117:$D$123,MATCH('_CONFIG_Model_Settings'!$B$104,'_CONFIG_Model_Settings'!$A$117:$A$123,0)),1)</f>
        <v/>
      </c>
      <c r="BQ59" s="25">
        <f>IFERROR(INDEX('_CONFIG_Model_Settings'!$E$117:$E$123,MATCH('_CONFIG_Model_Settings'!$B$104,'_CONFIG_Model_Settings'!$A$117:$A$123,0)),1)</f>
        <v/>
      </c>
      <c r="BR59" s="25">
        <f>IF($A59="","",MIN(5,IFERROR(SUMIF('_DATA_Mappings'!$A:$A,$A59,'_DATA_Mappings'!$K:$K)/MAX(1,'_CONFIG_Model_Settings'!$B$105),0)))</f>
        <v/>
      </c>
      <c r="BS59" s="25">
        <f>IF($A59="","",ROUND((N($X59)*N($BJ59)*N($BN59)+N($Y59)*N($BK59)*N($BO59)+N($BD59)*N($BL59)*N($BP59)+N($AA59)*N($BM59)*N($BQ59)+N($BR59)*N('_CONFIG_Model_Settings'!$B$106))/(N($BJ59)*N($BN59)+N($BK59)*N($BO59)+N($BL59)*N($BP59)+N($BM59)*N($BQ59)+N('_CONFIG_Model_Settings'!$B$106)),2))</f>
        <v/>
      </c>
      <c r="BT59" s="25">
        <f>IF($A59="","",MAX(1,N($AB59)))</f>
        <v/>
      </c>
      <c r="BU59" s="25">
        <f>IF(OR($BS59="",$BT59=0),"",ROUND($BS59/$BT59,2))</f>
        <v/>
      </c>
      <c r="BV59" s="25">
        <f>IF(OR($BU59="",$AY59="Done",$AY59="Not applicable"),"",ROUND($BU59*N($AS59),2))</f>
        <v/>
      </c>
      <c r="BW59" s="25">
        <f>IF($BV59="","",_xlfn.RANK.EQ($BV59,$BV$5:$BV$76,0)+COUNTIF($BV$5:$BV59,$BV59)-1)</f>
        <v/>
      </c>
      <c r="BX59" s="25">
        <f>IF($BW59="","",IF($BW59&lt;=cfg_TimelineBucket1,"0-90 days",IF($BW59&lt;=cfg_TimelineBucket2,"3-6 months",IF($BW59&lt;=cfg_TimelineBucket3,"6-12 months","12+ months"))))</f>
        <v/>
      </c>
      <c r="BY59" s="25">
        <f>IF($A59="","","P2: "&amp;$BI59&amp;" posture; objective="&amp;'_CONFIG_Model_Settings'!$B$104&amp;"; financial score="&amp;ROUND(N($BR59),1)&amp;"; CoD="&amp;$BS59)</f>
        <v/>
      </c>
    </row>
    <row r="60" ht="42" customHeight="1" s="209">
      <c r="A60" s="25" t="inlineStr">
        <is>
          <t>INI-056</t>
        </is>
      </c>
      <c r="B60" s="25" t="inlineStr">
        <is>
          <t>Business Systems</t>
        </is>
      </c>
      <c r="C60" s="25" t="inlineStr">
        <is>
          <t>HRMS and finance systems</t>
        </is>
      </c>
      <c r="D60" s="25" t="inlineStr">
        <is>
          <t>Digital Foundation Strategy</t>
        </is>
      </c>
      <c r="E60" s="25" t="inlineStr">
        <is>
          <t>STR-01</t>
        </is>
      </c>
      <c r="F60" s="25" t="inlineStr">
        <is>
          <t>Stabilize HRMS, finance systems and core administrative workflows</t>
        </is>
      </c>
      <c r="G60" s="25" t="inlineStr">
        <is>
          <t>Close maturity gaps in hrms and finance systems by assigning ownership, documenting the process, connecting it to evidence and systems, testing it against crisis scenarios and measuring improvement.</t>
        </is>
      </c>
      <c r="H60" s="25" t="inlineStr">
        <is>
          <t>Enterprise systems and application continuity</t>
        </is>
      </c>
      <c r="I60" s="25" t="inlineStr">
        <is>
          <t>Cloud / SaaS outage; Cyberattack / ransomware; Operational disruption</t>
        </is>
      </c>
      <c r="J60" s="25" t="inlineStr">
        <is>
          <t>BUSI-014; BUSI-015; BUSI-016; BUSI-017</t>
        </is>
      </c>
      <c r="K60" s="25" t="n">
        <v>4</v>
      </c>
      <c r="L60" s="25">
        <f>COUNTIFS('_ENGINE_Risk'!$C$500:$C$923,$B60,'_ENGINE_Risk'!$D$500:$D$923,$C60,'_ENGINE_Risk'!$B$500:$B$923,"Yes")</f>
        <v/>
      </c>
      <c r="M60" s="25">
        <f>COUNTIFS('_ENGINE_Risk'!$C$500:$C$923,$B60,'_ENGINE_Risk'!$D$500:$D$923,$C60,'_ENGINE_Risk'!$B$500:$B$923,"Yes")</f>
        <v/>
      </c>
      <c r="N60" s="25">
        <f>IFERROR(AVERAGEIFS(_DATA_Assessment_Model!$H$5:$H$428,_DATA_Assessment_Model!$AW$5:$AW$428,$B60,_DATA_Assessment_Model!$B$5:$B$428,$C60),"")</f>
        <v/>
      </c>
      <c r="O60" s="25">
        <f>IF($N60="","",MAX(0,5-$N60))</f>
        <v/>
      </c>
      <c r="P60" s="25">
        <f>IFERROR(INDEX(_DATA_Dashboard_Facts!$H$5:$H$21,MATCH($B60,_DATA_Dashboard_Facts!$A$5:$A$21,0)),"")</f>
        <v/>
      </c>
      <c r="Q60" s="25">
        <f>IF($P60="","",MAX(0,5-$P60))</f>
        <v/>
      </c>
      <c r="R60" s="25">
        <f>IFERROR(SUMIFS(_ENGINE_Crisis!$D$5:$D$208,_ENGINE_Crisis!$A$5:$A$208,'Resilience &amp; Risk Scenario'!$B$6,_ENGINE_Crisis!$B$5:$B$208,$B60),1)</f>
        <v/>
      </c>
      <c r="S60" s="25">
        <f>IFERROR(INDEX('_ENGINE_Strategy'!$A$100:$A$113,MATCH($D60,'_ENGINE_Strategy'!$B$100:$B$113,0)),99)</f>
        <v/>
      </c>
      <c r="T60" s="25">
        <f>IFERROR(INDEX('_ENGINE_Strategy'!$J$100:$J$113,MATCH($D60,'_ENGINE_Strategy'!$B$100:$B$113,0)),0)</f>
        <v/>
      </c>
      <c r="U60" s="25" t="n">
        <v>5</v>
      </c>
      <c r="V60" s="25" t="n">
        <v>3</v>
      </c>
      <c r="W60" s="25" t="n">
        <v>4</v>
      </c>
      <c r="X60" s="25">
        <f>MAX(1,MIN(5,(N($O60)*0.50)+(N($Q60)*0.25)+((N($T60)/20)*0.25)))</f>
        <v/>
      </c>
      <c r="Y60" s="25">
        <f>MAX(1,MIN(5,(($R60-1)*1.6)+('Resilience &amp; Risk Scenario'!$B$7*0.45)+IF($S60&lt;=3,0.8,0)))</f>
        <v/>
      </c>
      <c r="Z60" s="25">
        <f>MAX(1,MIN(5,(N($O60)*0.45)+(MIN(5,5*N($M60)/MAX(1,N($K60)))*0.35)+(N($V60)*0.20)))</f>
        <v/>
      </c>
      <c r="AA60" s="25">
        <f>MAX(1,MIN(5,($U60*0.40)+($W60*0.30)+(($T60/20)*0.30)))</f>
        <v/>
      </c>
      <c r="AB60" s="25" t="n">
        <v>4</v>
      </c>
      <c r="AC60" s="25">
        <f>IF($AB60=0,"",ROUND((N($X60)+N($Y60)+N($Z60)+N($AA60))/$AB60,2))</f>
        <v/>
      </c>
      <c r="AD60" s="25">
        <f>IF($AC60="","",_xlfn.RANK.EQ($AC60,$AC$5:$AC$76,0)+COUNTIF($AC$5:$AC60,$AC60)-1)</f>
        <v/>
      </c>
      <c r="AE60" s="25">
        <f>IF($AD60="","",IF($AD60&lt;=cfg_TimelineBucket1,"0-90 days",IF($AD60&lt;=cfg_TimelineBucket2,"3-6 months",IF($AD60&lt;=cfg_TimelineBucket3,"6-12 months","12+ months"))))</f>
        <v/>
      </c>
      <c r="AF60" s="25" t="inlineStr">
        <is>
          <t>CIO / Business Applications Lead</t>
        </is>
      </c>
      <c r="AG60" s="25" t="inlineStr">
        <is>
          <t>3-6 months</t>
        </is>
      </c>
      <c r="AH60" s="25" t="inlineStr">
        <is>
          <t>Executive sponsor; accountable process owner; baseline evidence; risk acceptance threshold; IT architecture inventory; data/system owners</t>
        </is>
      </c>
      <c r="AI60" s="25" t="inlineStr">
        <is>
          <t>maturity score improvement; open risk reduction; evidence completeness; control test pass rate</t>
        </is>
      </c>
      <c r="AJ60" s="25" t="inlineStr">
        <is>
          <t>Documented hrms and finance systems operating model, owner/RACI, KPI set, evidence pack, tested crisis playbook and improvement backlog.</t>
        </is>
      </c>
      <c r="AK60" s="25" t="inlineStr">
        <is>
          <t>Counts active next-level recommendations for Business Systems / HRMS and finance systems.</t>
        </is>
      </c>
      <c r="AL60" s="25" t="inlineStr">
        <is>
          <t>Counts active risks and risk scores for Business Systems / HRMS and finance systems.</t>
        </is>
      </c>
      <c r="AM60" s="25" t="inlineStr">
        <is>
          <t>Uses the current rank and total score of Digital Foundation Strategy.</t>
        </is>
      </c>
      <c r="AN60" s="25" t="inlineStr">
        <is>
          <t>Trigger when avg score &lt; 4, active risk exists, active recommendation exists or strategy rank &lt;= 3.</t>
        </is>
      </c>
      <c r="AO60" s="25" t="inlineStr">
        <is>
          <t>Not started</t>
        </is>
      </c>
      <c r="AP60" s="25" t="inlineStr">
        <is>
          <t>Medium-High</t>
        </is>
      </c>
      <c r="AQ60" s="25" t="n"/>
      <c r="AR60" s="25" t="n"/>
      <c r="AS60" s="247">
        <f>IFERROR(IF(SUMIFS(_REF_Model_Content!$J$1:$J$157,_REF_Model_Content!$A$1:$A$157,'Company Profile'!$B$9,_REF_Model_Content!$B$1:$B$157,$B60)=0,1,SUMIFS(_REF_Model_Content!$J$1:$J$157,_REF_Model_Content!$A$1:$A$157,'Company Profile'!$B$9,_REF_Model_Content!$B$1:$B$157,$B60)),1)</f>
        <v/>
      </c>
      <c r="AT60" s="247">
        <f>IF(OR($AY60="Done",$AY60="Not applicable"),"",IF($AC60="","",ROUND(N($AC60)*N($AS60),2)))</f>
        <v/>
      </c>
      <c r="AU60" s="247">
        <f>IF($AT60="","",_xlfn.RANK.EQ($AT60,$AT$5:$AT$76,0)+COUNTIF($AT$5:AT60,$AT60)-1)</f>
        <v/>
      </c>
      <c r="AV60" s="247">
        <f>IFERROR(INDEX('_DATA_Dashboard_Facts'!$G$300:$G$316,MATCH($B60,'_DATA_Dashboard_Facts'!$A$300:$A$316,0)),"")</f>
        <v/>
      </c>
      <c r="AW60" s="247">
        <f>IF($AS60&gt;cfg_IndPriorityHigh,"Industry template increases priority",IF($AS60&lt;cfg_IndPriorityLow,"Industry template lowers priority","Industry-neutral priority"))</f>
        <v/>
      </c>
      <c r="AX60">
        <f>IFERROR(INDEX('Action Plan &amp; Roadmap'!$D$59:$D$130,MATCH($A60,'Action Plan &amp; Roadmap'!$A$59:$A$130,0)),"")</f>
      </c>
      <c r="AY60">
        <f>IF($AX60&lt;&gt;"",$AX60,IF($AO60="","Not started",$AO60))</f>
        <v/>
      </c>
      <c r="AZ60" t="inlineStr">
        <is>
          <t>Number of lines of code maintained each year per application maintenance FTE; Annual revenue impact through investment in robotic process automation</t>
        </is>
      </c>
      <c r="BA60">
        <f>IF($A60="","",COUNTIF('_DATA_Mappings'!$A:$A,$A60))</f>
        <v/>
      </c>
      <c r="BB60">
        <f>IF($A60="","",IFERROR(AVERAGEIF('_DATA_Mappings'!$A:$A,$A60,'_DATA_Mappings'!$G:$G),0))</f>
        <v/>
      </c>
      <c r="BC60">
        <f>IF($A60="","",MAX(0,MIN(5,(N($O60)*0.50)+(N($V60)*0.30)+(N($W60)*0.20))))</f>
        <v/>
      </c>
      <c r="BD60">
        <f>IF($A60="","",MAX(1,MIN(5,($Z60*0.45)+(MIN(5,$BB60/5)*0.35)+($BC60*0.20))))</f>
        <v/>
      </c>
      <c r="BE60">
        <f>IF($AB60=0,"",ROUND((N($X60)+N($Y60)+N($BD60)+N($AA60))/$AB60,2))</f>
        <v/>
      </c>
      <c r="BF60">
        <f>IF(OR($BE60="",$AY60="Done",$AY60="Not applicable"),"",ROUND($BE60*N($AS60),2))</f>
        <v/>
      </c>
      <c r="BG60">
        <f>IF($BF60="","",_xlfn.RANK.EQ($BF60,$BF$5:$BF$76,0)+COUNTIF($BF$5:$BF60,$BF60)-1)</f>
        <v/>
      </c>
      <c r="BH60">
        <f>IF($A60="","",IF($BB60&gt;20,"High P1 risk pressure",IF($BB60&gt;12,"Moderate P1 risk pressure","Lower P1 risk pressure")))</f>
        <v/>
      </c>
      <c r="BI60" s="25">
        <f>'_CONFIG_Model_Settings'!$B$103</f>
        <v/>
      </c>
      <c r="BJ60" s="25">
        <f>IFERROR(INDEX('_CONFIG_Model_Settings'!$B$109:$B$113,MATCH($BI60,'_CONFIG_Model_Settings'!$A$109:$A$113,0)),0.30)</f>
        <v/>
      </c>
      <c r="BK60" s="25">
        <f>IFERROR(INDEX('_CONFIG_Model_Settings'!$C$109:$C$113,MATCH($BI60,'_CONFIG_Model_Settings'!$A$109:$A$113,0)),0.20)</f>
        <v/>
      </c>
      <c r="BL60" s="25">
        <f>IFERROR(INDEX('_CONFIG_Model_Settings'!$D$109:$D$113,MATCH($BI60,'_CONFIG_Model_Settings'!$A$109:$A$113,0)),0.25)</f>
        <v/>
      </c>
      <c r="BM60" s="25">
        <f>IFERROR(INDEX('_CONFIG_Model_Settings'!$E$109:$E$113,MATCH($BI60,'_CONFIG_Model_Settings'!$A$109:$A$113,0)),0.25)</f>
        <v/>
      </c>
      <c r="BN60" s="25">
        <f>IFERROR(INDEX('_CONFIG_Model_Settings'!$B$117:$B$123,MATCH('_CONFIG_Model_Settings'!$B$104,'_CONFIG_Model_Settings'!$A$117:$A$123,0)),1)</f>
        <v/>
      </c>
      <c r="BO60" s="25">
        <f>IFERROR(INDEX('_CONFIG_Model_Settings'!$C$117:$C$123,MATCH('_CONFIG_Model_Settings'!$B$104,'_CONFIG_Model_Settings'!$A$117:$A$123,0)),1)</f>
        <v/>
      </c>
      <c r="BP60" s="25">
        <f>IFERROR(INDEX('_CONFIG_Model_Settings'!$D$117:$D$123,MATCH('_CONFIG_Model_Settings'!$B$104,'_CONFIG_Model_Settings'!$A$117:$A$123,0)),1)</f>
        <v/>
      </c>
      <c r="BQ60" s="25">
        <f>IFERROR(INDEX('_CONFIG_Model_Settings'!$E$117:$E$123,MATCH('_CONFIG_Model_Settings'!$B$104,'_CONFIG_Model_Settings'!$A$117:$A$123,0)),1)</f>
        <v/>
      </c>
      <c r="BR60" s="25">
        <f>IF($A60="","",MIN(5,IFERROR(SUMIF('_DATA_Mappings'!$A:$A,$A60,'_DATA_Mappings'!$K:$K)/MAX(1,'_CONFIG_Model_Settings'!$B$105),0)))</f>
        <v/>
      </c>
      <c r="BS60" s="25">
        <f>IF($A60="","",ROUND((N($X60)*N($BJ60)*N($BN60)+N($Y60)*N($BK60)*N($BO60)+N($BD60)*N($BL60)*N($BP60)+N($AA60)*N($BM60)*N($BQ60)+N($BR60)*N('_CONFIG_Model_Settings'!$B$106))/(N($BJ60)*N($BN60)+N($BK60)*N($BO60)+N($BL60)*N($BP60)+N($BM60)*N($BQ60)+N('_CONFIG_Model_Settings'!$B$106)),2))</f>
        <v/>
      </c>
      <c r="BT60" s="25">
        <f>IF($A60="","",MAX(1,N($AB60)))</f>
        <v/>
      </c>
      <c r="BU60" s="25">
        <f>IF(OR($BS60="",$BT60=0),"",ROUND($BS60/$BT60,2))</f>
        <v/>
      </c>
      <c r="BV60" s="25">
        <f>IF(OR($BU60="",$AY60="Done",$AY60="Not applicable"),"",ROUND($BU60*N($AS60),2))</f>
        <v/>
      </c>
      <c r="BW60" s="25">
        <f>IF($BV60="","",_xlfn.RANK.EQ($BV60,$BV$5:$BV$76,0)+COUNTIF($BV$5:$BV60,$BV60)-1)</f>
        <v/>
      </c>
      <c r="BX60" s="25">
        <f>IF($BW60="","",IF($BW60&lt;=cfg_TimelineBucket1,"0-90 days",IF($BW60&lt;=cfg_TimelineBucket2,"3-6 months",IF($BW60&lt;=cfg_TimelineBucket3,"6-12 months","12+ months"))))</f>
        <v/>
      </c>
      <c r="BY60" s="25">
        <f>IF($A60="","","P2: "&amp;$BI60&amp;" posture; objective="&amp;'_CONFIG_Model_Settings'!$B$104&amp;"; financial score="&amp;ROUND(N($BR60),1)&amp;"; CoD="&amp;$BS60)</f>
        <v/>
      </c>
    </row>
    <row r="61" ht="42" customHeight="1" s="209">
      <c r="A61" s="25" t="inlineStr">
        <is>
          <t>INI-057</t>
        </is>
      </c>
      <c r="B61" s="25" t="inlineStr">
        <is>
          <t>Business Systems</t>
        </is>
      </c>
      <c r="C61" s="25" t="inlineStr">
        <is>
          <t>Governance and lifecycle</t>
        </is>
      </c>
      <c r="D61" s="25" t="inlineStr">
        <is>
          <t>Digital Foundation Strategy</t>
        </is>
      </c>
      <c r="E61" s="25" t="inlineStr">
        <is>
          <t>STR-01</t>
        </is>
      </c>
      <c r="F61" s="25" t="inlineStr">
        <is>
          <t>Implement business-system governance and lifecycle control</t>
        </is>
      </c>
      <c r="G61" s="25" t="inlineStr">
        <is>
          <t>Close maturity gaps in governance and lifecycle by assigning ownership, documenting the process, connecting it to evidence and systems, testing it against crisis scenarios and measuring improvement.</t>
        </is>
      </c>
      <c r="H61" s="25" t="inlineStr">
        <is>
          <t>Enterprise systems and application continuity</t>
        </is>
      </c>
      <c r="I61" s="25" t="inlineStr">
        <is>
          <t>Cloud / SaaS outage; Cyberattack / ransomware; Operational disruption</t>
        </is>
      </c>
      <c r="J61" s="25" t="inlineStr">
        <is>
          <t>BUSI-018; BUSI-019; BUSI-020; BUSI-021; BUSI-022; BUSI-023</t>
        </is>
      </c>
      <c r="K61" s="25" t="n">
        <v>6</v>
      </c>
      <c r="L61" s="25">
        <f>COUNTIFS('_ENGINE_Risk'!$C$500:$C$923,$B61,'_ENGINE_Risk'!$D$500:$D$923,$C61,'_ENGINE_Risk'!$B$500:$B$923,"Yes")</f>
        <v/>
      </c>
      <c r="M61" s="25">
        <f>COUNTIFS('_ENGINE_Risk'!$C$500:$C$923,$B61,'_ENGINE_Risk'!$D$500:$D$923,$C61,'_ENGINE_Risk'!$B$500:$B$923,"Yes")</f>
        <v/>
      </c>
      <c r="N61" s="25">
        <f>IFERROR(AVERAGEIFS(_DATA_Assessment_Model!$H$5:$H$428,_DATA_Assessment_Model!$AW$5:$AW$428,$B61,_DATA_Assessment_Model!$B$5:$B$428,$C61),"")</f>
        <v/>
      </c>
      <c r="O61" s="25">
        <f>IF($N61="","",MAX(0,5-$N61))</f>
        <v/>
      </c>
      <c r="P61" s="25">
        <f>IFERROR(INDEX(_DATA_Dashboard_Facts!$H$5:$H$21,MATCH($B61,_DATA_Dashboard_Facts!$A$5:$A$21,0)),"")</f>
        <v/>
      </c>
      <c r="Q61" s="25">
        <f>IF($P61="","",MAX(0,5-$P61))</f>
        <v/>
      </c>
      <c r="R61" s="25">
        <f>IFERROR(SUMIFS(_ENGINE_Crisis!$D$5:$D$208,_ENGINE_Crisis!$A$5:$A$208,'Resilience &amp; Risk Scenario'!$B$6,_ENGINE_Crisis!$B$5:$B$208,$B61),1)</f>
        <v/>
      </c>
      <c r="S61" s="25">
        <f>IFERROR(INDEX('_ENGINE_Strategy'!$A$100:$A$113,MATCH($D61,'_ENGINE_Strategy'!$B$100:$B$113,0)),99)</f>
        <v/>
      </c>
      <c r="T61" s="25">
        <f>IFERROR(INDEX('_ENGINE_Strategy'!$J$100:$J$113,MATCH($D61,'_ENGINE_Strategy'!$B$100:$B$113,0)),0)</f>
        <v/>
      </c>
      <c r="U61" s="25" t="n">
        <v>5</v>
      </c>
      <c r="V61" s="25" t="n">
        <v>3</v>
      </c>
      <c r="W61" s="25" t="n">
        <v>4</v>
      </c>
      <c r="X61" s="25">
        <f>MAX(1,MIN(5,(N($O61)*0.50)+(N($Q61)*0.25)+((N($T61)/20)*0.25)))</f>
        <v/>
      </c>
      <c r="Y61" s="25">
        <f>MAX(1,MIN(5,(($R61-1)*1.6)+('Resilience &amp; Risk Scenario'!$B$7*0.45)+IF($S61&lt;=3,0.8,0)))</f>
        <v/>
      </c>
      <c r="Z61" s="25">
        <f>MAX(1,MIN(5,(N($O61)*0.45)+(MIN(5,5*N($M61)/MAX(1,N($K61)))*0.35)+(N($V61)*0.20)))</f>
        <v/>
      </c>
      <c r="AA61" s="25">
        <f>MAX(1,MIN(5,($U61*0.40)+($W61*0.30)+(($T61/20)*0.30)))</f>
        <v/>
      </c>
      <c r="AB61" s="25" t="n">
        <v>4</v>
      </c>
      <c r="AC61" s="25">
        <f>IF($AB61=0,"",ROUND((N($X61)+N($Y61)+N($Z61)+N($AA61))/$AB61,2))</f>
        <v/>
      </c>
      <c r="AD61" s="25">
        <f>IF($AC61="","",_xlfn.RANK.EQ($AC61,$AC$5:$AC$76,0)+COUNTIF($AC$5:$AC61,$AC61)-1)</f>
        <v/>
      </c>
      <c r="AE61" s="25">
        <f>IF($AD61="","",IF($AD61&lt;=cfg_TimelineBucket1,"0-90 days",IF($AD61&lt;=cfg_TimelineBucket2,"3-6 months",IF($AD61&lt;=cfg_TimelineBucket3,"6-12 months","12+ months"))))</f>
        <v/>
      </c>
      <c r="AF61" s="25" t="inlineStr">
        <is>
          <t>CIO / Business Applications Lead</t>
        </is>
      </c>
      <c r="AG61" s="25" t="inlineStr">
        <is>
          <t>3-6 months</t>
        </is>
      </c>
      <c r="AH61" s="25" t="inlineStr">
        <is>
          <t>Executive sponsor; accountable process owner; baseline evidence; risk acceptance threshold; IT architecture inventory; data/system owners</t>
        </is>
      </c>
      <c r="AI61" s="25" t="inlineStr">
        <is>
          <t>maturity score improvement; open risk reduction; evidence completeness; control test pass rate</t>
        </is>
      </c>
      <c r="AJ61" s="25" t="inlineStr">
        <is>
          <t>Documented governance and lifecycle operating model, owner/RACI, KPI set, evidence pack, tested crisis playbook and improvement backlog.</t>
        </is>
      </c>
      <c r="AK61" s="25" t="inlineStr">
        <is>
          <t>Counts active next-level recommendations for Business Systems / Governance and lifecycle.</t>
        </is>
      </c>
      <c r="AL61" s="25" t="inlineStr">
        <is>
          <t>Counts active risks and risk scores for Business Systems / Governance and lifecycle.</t>
        </is>
      </c>
      <c r="AM61" s="25" t="inlineStr">
        <is>
          <t>Uses the current rank and total score of Digital Foundation Strategy.</t>
        </is>
      </c>
      <c r="AN61" s="25" t="inlineStr">
        <is>
          <t>Trigger when avg score &lt; 4, active risk exists, active recommendation exists or strategy rank &lt;= 3.</t>
        </is>
      </c>
      <c r="AO61" s="25" t="inlineStr">
        <is>
          <t>Not started</t>
        </is>
      </c>
      <c r="AP61" s="25" t="inlineStr">
        <is>
          <t>Medium-High</t>
        </is>
      </c>
      <c r="AQ61" s="25" t="n"/>
      <c r="AR61" s="25" t="n"/>
      <c r="AS61" s="247">
        <f>IFERROR(IF(SUMIFS(_REF_Model_Content!$J$1:$J$157,_REF_Model_Content!$A$1:$A$157,'Company Profile'!$B$9,_REF_Model_Content!$B$1:$B$157,$B61)=0,1,SUMIFS(_REF_Model_Content!$J$1:$J$157,_REF_Model_Content!$A$1:$A$157,'Company Profile'!$B$9,_REF_Model_Content!$B$1:$B$157,$B61)),1)</f>
        <v/>
      </c>
      <c r="AT61" s="247">
        <f>IF(OR($AY61="Done",$AY61="Not applicable"),"",IF($AC61="","",ROUND(N($AC61)*N($AS61),2)))</f>
        <v/>
      </c>
      <c r="AU61" s="247">
        <f>IF($AT61="","",_xlfn.RANK.EQ($AT61,$AT$5:$AT$76,0)+COUNTIF($AT$5:AT61,$AT61)-1)</f>
        <v/>
      </c>
      <c r="AV61" s="247">
        <f>IFERROR(INDEX('_DATA_Dashboard_Facts'!$G$300:$G$316,MATCH($B61,'_DATA_Dashboard_Facts'!$A$300:$A$316,0)),"")</f>
        <v/>
      </c>
      <c r="AW61" s="247">
        <f>IF($AS61&gt;cfg_IndPriorityHigh,"Industry template increases priority",IF($AS61&lt;cfg_IndPriorityLow,"Industry template lowers priority","Industry-neutral priority"))</f>
        <v/>
      </c>
      <c r="AX61">
        <f>IFERROR(INDEX('Action Plan &amp; Roadmap'!$D$59:$D$130,MATCH($A61,'Action Plan &amp; Roadmap'!$A$59:$A$130,0)),"")</f>
      </c>
      <c r="AY61">
        <f>IF($AX61&lt;&gt;"",$AX61,IF($AO61="","Not started",$AO61))</f>
        <v/>
      </c>
      <c r="AZ61" t="inlineStr">
        <is>
          <t>Number of lines of code maintained each year per application maintenance FTE; Annual revenue impact through investment in robotic process automation</t>
        </is>
      </c>
      <c r="BA61">
        <f>IF($A61="","",COUNTIF('_DATA_Mappings'!$A:$A,$A61))</f>
        <v/>
      </c>
      <c r="BB61">
        <f>IF($A61="","",IFERROR(AVERAGEIF('_DATA_Mappings'!$A:$A,$A61,'_DATA_Mappings'!$G:$G),0))</f>
        <v/>
      </c>
      <c r="BC61">
        <f>IF($A61="","",MAX(0,MIN(5,(N($O61)*0.50)+(N($V61)*0.30)+(N($W61)*0.20))))</f>
        <v/>
      </c>
      <c r="BD61">
        <f>IF($A61="","",MAX(1,MIN(5,($Z61*0.45)+(MIN(5,$BB61/5)*0.35)+($BC61*0.20))))</f>
        <v/>
      </c>
      <c r="BE61">
        <f>IF($AB61=0,"",ROUND((N($X61)+N($Y61)+N($BD61)+N($AA61))/$AB61,2))</f>
        <v/>
      </c>
      <c r="BF61">
        <f>IF(OR($BE61="",$AY61="Done",$AY61="Not applicable"),"",ROUND($BE61*N($AS61),2))</f>
        <v/>
      </c>
      <c r="BG61">
        <f>IF($BF61="","",_xlfn.RANK.EQ($BF61,$BF$5:$BF$76,0)+COUNTIF($BF$5:$BF61,$BF61)-1)</f>
        <v/>
      </c>
      <c r="BH61">
        <f>IF($A61="","",IF($BB61&gt;20,"High P1 risk pressure",IF($BB61&gt;12,"Moderate P1 risk pressure","Lower P1 risk pressure")))</f>
        <v/>
      </c>
      <c r="BI61" s="25">
        <f>'_CONFIG_Model_Settings'!$B$103</f>
        <v/>
      </c>
      <c r="BJ61" s="25">
        <f>IFERROR(INDEX('_CONFIG_Model_Settings'!$B$109:$B$113,MATCH($BI61,'_CONFIG_Model_Settings'!$A$109:$A$113,0)),0.30)</f>
        <v/>
      </c>
      <c r="BK61" s="25">
        <f>IFERROR(INDEX('_CONFIG_Model_Settings'!$C$109:$C$113,MATCH($BI61,'_CONFIG_Model_Settings'!$A$109:$A$113,0)),0.20)</f>
        <v/>
      </c>
      <c r="BL61" s="25">
        <f>IFERROR(INDEX('_CONFIG_Model_Settings'!$D$109:$D$113,MATCH($BI61,'_CONFIG_Model_Settings'!$A$109:$A$113,0)),0.25)</f>
        <v/>
      </c>
      <c r="BM61" s="25">
        <f>IFERROR(INDEX('_CONFIG_Model_Settings'!$E$109:$E$113,MATCH($BI61,'_CONFIG_Model_Settings'!$A$109:$A$113,0)),0.25)</f>
        <v/>
      </c>
      <c r="BN61" s="25">
        <f>IFERROR(INDEX('_CONFIG_Model_Settings'!$B$117:$B$123,MATCH('_CONFIG_Model_Settings'!$B$104,'_CONFIG_Model_Settings'!$A$117:$A$123,0)),1)</f>
        <v/>
      </c>
      <c r="BO61" s="25">
        <f>IFERROR(INDEX('_CONFIG_Model_Settings'!$C$117:$C$123,MATCH('_CONFIG_Model_Settings'!$B$104,'_CONFIG_Model_Settings'!$A$117:$A$123,0)),1)</f>
        <v/>
      </c>
      <c r="BP61" s="25">
        <f>IFERROR(INDEX('_CONFIG_Model_Settings'!$D$117:$D$123,MATCH('_CONFIG_Model_Settings'!$B$104,'_CONFIG_Model_Settings'!$A$117:$A$123,0)),1)</f>
        <v/>
      </c>
      <c r="BQ61" s="25">
        <f>IFERROR(INDEX('_CONFIG_Model_Settings'!$E$117:$E$123,MATCH('_CONFIG_Model_Settings'!$B$104,'_CONFIG_Model_Settings'!$A$117:$A$123,0)),1)</f>
        <v/>
      </c>
      <c r="BR61" s="25">
        <f>IF($A61="","",MIN(5,IFERROR(SUMIF('_DATA_Mappings'!$A:$A,$A61,'_DATA_Mappings'!$K:$K)/MAX(1,'_CONFIG_Model_Settings'!$B$105),0)))</f>
        <v/>
      </c>
      <c r="BS61" s="25">
        <f>IF($A61="","",ROUND((N($X61)*N($BJ61)*N($BN61)+N($Y61)*N($BK61)*N($BO61)+N($BD61)*N($BL61)*N($BP61)+N($AA61)*N($BM61)*N($BQ61)+N($BR61)*N('_CONFIG_Model_Settings'!$B$106))/(N($BJ61)*N($BN61)+N($BK61)*N($BO61)+N($BL61)*N($BP61)+N($BM61)*N($BQ61)+N('_CONFIG_Model_Settings'!$B$106)),2))</f>
        <v/>
      </c>
      <c r="BT61" s="25">
        <f>IF($A61="","",MAX(1,N($AB61)))</f>
        <v/>
      </c>
      <c r="BU61" s="25">
        <f>IF(OR($BS61="",$BT61=0),"",ROUND($BS61/$BT61,2))</f>
        <v/>
      </c>
      <c r="BV61" s="25">
        <f>IF(OR($BU61="",$AY61="Done",$AY61="Not applicable"),"",ROUND($BU61*N($AS61),2))</f>
        <v/>
      </c>
      <c r="BW61" s="25">
        <f>IF($BV61="","",_xlfn.RANK.EQ($BV61,$BV$5:$BV$76,0)+COUNTIF($BV$5:$BV61,$BV61)-1)</f>
        <v/>
      </c>
      <c r="BX61" s="25">
        <f>IF($BW61="","",IF($BW61&lt;=cfg_TimelineBucket1,"0-90 days",IF($BW61&lt;=cfg_TimelineBucket2,"3-6 months",IF($BW61&lt;=cfg_TimelineBucket3,"6-12 months","12+ months"))))</f>
        <v/>
      </c>
      <c r="BY61" s="25">
        <f>IF($A61="","","P2: "&amp;$BI61&amp;" posture; objective="&amp;'_CONFIG_Model_Settings'!$B$104&amp;"; financial score="&amp;ROUND(N($BR61),1)&amp;"; CoD="&amp;$BS61)</f>
        <v/>
      </c>
    </row>
    <row r="62" ht="42" customHeight="1" s="209">
      <c r="A62" s="25" t="inlineStr">
        <is>
          <t>INI-058</t>
        </is>
      </c>
      <c r="B62" s="25" t="inlineStr">
        <is>
          <t>Data BI AI</t>
        </is>
      </c>
      <c r="C62" s="25" t="inlineStr">
        <is>
          <t>Data governance</t>
        </is>
      </c>
      <c r="D62" s="25" t="inlineStr">
        <is>
          <t>Data Governance and AI Readiness Strategy</t>
        </is>
      </c>
      <c r="E62" s="25" t="inlineStr">
        <is>
          <t>STR-05</t>
        </is>
      </c>
      <c r="F62" s="25" t="inlineStr">
        <is>
          <t>Implement data ownership, quality and governance framework</t>
        </is>
      </c>
      <c r="G62" s="25" t="inlineStr">
        <is>
          <t>Close maturity gaps in data governance by assigning ownership, documenting the process, connecting it to evidence and systems, testing it against crisis scenarios and measuring improvement.</t>
        </is>
      </c>
      <c r="H62" s="25" t="inlineStr">
        <is>
          <t>Data, BI, analytics and AI governance</t>
        </is>
      </c>
      <c r="I62" s="25" t="inlineStr">
        <is>
          <t>Cyberattack / ransomware; Regulatory / legal shock; Demand shock</t>
        </is>
      </c>
      <c r="J62" s="25" t="inlineStr">
        <is>
          <t>DATA-001; DATA-002; DATA-003; DATA-004; DATA-005; DATA-006</t>
        </is>
      </c>
      <c r="K62" s="25" t="n">
        <v>6</v>
      </c>
      <c r="L62" s="25">
        <f>COUNTIFS('_ENGINE_Risk'!$C$500:$C$923,$B62,'_ENGINE_Risk'!$D$500:$D$923,$C62,'_ENGINE_Risk'!$B$500:$B$923,"Yes")</f>
        <v/>
      </c>
      <c r="M62" s="25">
        <f>COUNTIFS('_ENGINE_Risk'!$C$500:$C$923,$B62,'_ENGINE_Risk'!$D$500:$D$923,$C62,'_ENGINE_Risk'!$B$500:$B$923,"Yes")</f>
        <v/>
      </c>
      <c r="N62" s="25">
        <f>IFERROR(AVERAGEIFS(_DATA_Assessment_Model!$H$5:$H$428,_DATA_Assessment_Model!$AW$5:$AW$428,$B62,_DATA_Assessment_Model!$B$5:$B$428,$C62),"")</f>
        <v/>
      </c>
      <c r="O62" s="25">
        <f>IF($N62="","",MAX(0,5-$N62))</f>
        <v/>
      </c>
      <c r="P62" s="25">
        <f>IFERROR(INDEX(_DATA_Dashboard_Facts!$H$5:$H$21,MATCH($B62,_DATA_Dashboard_Facts!$A$5:$A$21,0)),"")</f>
        <v/>
      </c>
      <c r="Q62" s="25">
        <f>IF($P62="","",MAX(0,5-$P62))</f>
        <v/>
      </c>
      <c r="R62" s="25">
        <f>IFERROR(SUMIFS(_ENGINE_Crisis!$D$5:$D$208,_ENGINE_Crisis!$A$5:$A$208,'Resilience &amp; Risk Scenario'!$B$6,_ENGINE_Crisis!$B$5:$B$208,$B62),1)</f>
        <v/>
      </c>
      <c r="S62" s="25">
        <f>IFERROR(INDEX('_ENGINE_Strategy'!$A$100:$A$113,MATCH($D62,'_ENGINE_Strategy'!$B$100:$B$113,0)),99)</f>
        <v/>
      </c>
      <c r="T62" s="25">
        <f>IFERROR(INDEX('_ENGINE_Strategy'!$J$100:$J$113,MATCH($D62,'_ENGINE_Strategy'!$B$100:$B$113,0)),0)</f>
        <v/>
      </c>
      <c r="U62" s="25" t="n">
        <v>5</v>
      </c>
      <c r="V62" s="25" t="n">
        <v>3</v>
      </c>
      <c r="W62" s="25" t="n">
        <v>4</v>
      </c>
      <c r="X62" s="25">
        <f>MAX(1,MIN(5,(N($O62)*0.50)+(N($Q62)*0.25)+((N($T62)/20)*0.25)))</f>
        <v/>
      </c>
      <c r="Y62" s="25">
        <f>MAX(1,MIN(5,(($R62-1)*1.6)+('Resilience &amp; Risk Scenario'!$B$7*0.45)+IF($S62&lt;=3,0.8,0)))</f>
        <v/>
      </c>
      <c r="Z62" s="25">
        <f>MAX(1,MIN(5,(N($O62)*0.45)+(MIN(5,5*N($M62)/MAX(1,N($K62)))*0.35)+(N($V62)*0.20)))</f>
        <v/>
      </c>
      <c r="AA62" s="25">
        <f>MAX(1,MIN(5,($U62*0.40)+($W62*0.30)+(($T62/20)*0.30)))</f>
        <v/>
      </c>
      <c r="AB62" s="25" t="n">
        <v>4</v>
      </c>
      <c r="AC62" s="25">
        <f>IF($AB62=0,"",ROUND((N($X62)+N($Y62)+N($Z62)+N($AA62))/$AB62,2))</f>
        <v/>
      </c>
      <c r="AD62" s="25">
        <f>IF($AC62="","",_xlfn.RANK.EQ($AC62,$AC$5:$AC$76,0)+COUNTIF($AC$5:$AC62,$AC62)-1)</f>
        <v/>
      </c>
      <c r="AE62" s="25">
        <f>IF($AD62="","",IF($AD62&lt;=cfg_TimelineBucket1,"0-90 days",IF($AD62&lt;=cfg_TimelineBucket2,"3-6 months",IF($AD62&lt;=cfg_TimelineBucket3,"6-12 months","12+ months"))))</f>
        <v/>
      </c>
      <c r="AF62" s="25" t="inlineStr">
        <is>
          <t>CDO / Head of Data</t>
        </is>
      </c>
      <c r="AG62" s="25" t="inlineStr">
        <is>
          <t>3-6 months</t>
        </is>
      </c>
      <c r="AH62" s="25" t="inlineStr">
        <is>
          <t>Executive sponsor; accountable process owner; baseline evidence; risk acceptance threshold; IT architecture inventory; data/system owners</t>
        </is>
      </c>
      <c r="AI62" s="25" t="inlineStr">
        <is>
          <t>maturity score improvement; open risk reduction; evidence completeness; control test pass rate</t>
        </is>
      </c>
      <c r="AJ62" s="25" t="inlineStr">
        <is>
          <t>Documented data governance operating model, owner/RACI, KPI set, evidence pack, tested crisis playbook and improvement backlog.</t>
        </is>
      </c>
      <c r="AK62" s="25" t="inlineStr">
        <is>
          <t>Counts active next-level recommendations for Data BI AI / Data governance.</t>
        </is>
      </c>
      <c r="AL62" s="25" t="inlineStr">
        <is>
          <t>Counts active risks and risk scores for Data BI AI / Data governance.</t>
        </is>
      </c>
      <c r="AM62" s="25" t="inlineStr">
        <is>
          <t>Uses the current rank and total score of Data Governance and AI Readiness Strategy.</t>
        </is>
      </c>
      <c r="AN62" s="25" t="inlineStr">
        <is>
          <t>Trigger when avg score &lt; 4, active risk exists, active recommendation exists or strategy rank &lt;= 3.</t>
        </is>
      </c>
      <c r="AO62" s="25" t="inlineStr">
        <is>
          <t>Not started</t>
        </is>
      </c>
      <c r="AP62" s="25" t="inlineStr">
        <is>
          <t>Medium-High</t>
        </is>
      </c>
      <c r="AQ62" s="25" t="n"/>
      <c r="AR62" s="25" t="n"/>
      <c r="AS62" s="247">
        <f>IFERROR(IF(SUMIFS(_REF_Model_Content!$J$1:$J$157,_REF_Model_Content!$A$1:$A$157,'Company Profile'!$B$9,_REF_Model_Content!$B$1:$B$157,$B62)=0,1,SUMIFS(_REF_Model_Content!$J$1:$J$157,_REF_Model_Content!$A$1:$A$157,'Company Profile'!$B$9,_REF_Model_Content!$B$1:$B$157,$B62)),1)</f>
        <v/>
      </c>
      <c r="AT62" s="247">
        <f>IF(OR($AY62="Done",$AY62="Not applicable"),"",IF($AC62="","",ROUND(N($AC62)*N($AS62),2)))</f>
        <v/>
      </c>
      <c r="AU62" s="247">
        <f>IF($AT62="","",_xlfn.RANK.EQ($AT62,$AT$5:$AT$76,0)+COUNTIF($AT$5:AT62,$AT62)-1)</f>
        <v/>
      </c>
      <c r="AV62" s="247">
        <f>IFERROR(INDEX('_DATA_Dashboard_Facts'!$G$300:$G$316,MATCH($B62,'_DATA_Dashboard_Facts'!$A$300:$A$316,0)),"")</f>
        <v/>
      </c>
      <c r="AW62" s="247">
        <f>IF($AS62&gt;cfg_IndPriorityHigh,"Industry template increases priority",IF($AS62&lt;cfg_IndPriorityLow,"Industry template lowers priority","Industry-neutral priority"))</f>
        <v/>
      </c>
      <c r="AX62">
        <f>IFERROR(INDEX('Action Plan &amp; Roadmap'!$D$59:$D$130,MATCH($A62,'Action Plan &amp; Roadmap'!$A$59:$A$130,0)),"")</f>
      </c>
      <c r="AY62">
        <f>IF($AX62&lt;&gt;"",$AX62,IF($AO62="","Not started",$AO62))</f>
        <v/>
      </c>
      <c r="AZ62" t="inlineStr">
        <is>
          <t>Percentage achieved from supply chain generative AI use for: reduced accidents at work; Percentage achieved from supply chain generative AI use for: reduced production downtime</t>
        </is>
      </c>
      <c r="BA62">
        <f>IF($A62="","",COUNTIF('_DATA_Mappings'!$A:$A,$A62))</f>
        <v/>
      </c>
      <c r="BB62">
        <f>IF($A62="","",IFERROR(AVERAGEIF('_DATA_Mappings'!$A:$A,$A62,'_DATA_Mappings'!$G:$G),0))</f>
        <v/>
      </c>
      <c r="BC62">
        <f>IF($A62="","",MAX(0,MIN(5,(N($O62)*0.50)+(N($V62)*0.30)+(N($W62)*0.20))))</f>
        <v/>
      </c>
      <c r="BD62">
        <f>IF($A62="","",MAX(1,MIN(5,($Z62*0.45)+(MIN(5,$BB62/5)*0.35)+($BC62*0.20))))</f>
        <v/>
      </c>
      <c r="BE62">
        <f>IF($AB62=0,"",ROUND((N($X62)+N($Y62)+N($BD62)+N($AA62))/$AB62,2))</f>
        <v/>
      </c>
      <c r="BF62">
        <f>IF(OR($BE62="",$AY62="Done",$AY62="Not applicable"),"",ROUND($BE62*N($AS62),2))</f>
        <v/>
      </c>
      <c r="BG62">
        <f>IF($BF62="","",_xlfn.RANK.EQ($BF62,$BF$5:$BF$76,0)+COUNTIF($BF$5:$BF62,$BF62)-1)</f>
        <v/>
      </c>
      <c r="BH62">
        <f>IF($A62="","",IF($BB62&gt;20,"High P1 risk pressure",IF($BB62&gt;12,"Moderate P1 risk pressure","Lower P1 risk pressure")))</f>
        <v/>
      </c>
      <c r="BI62" s="25">
        <f>'_CONFIG_Model_Settings'!$B$103</f>
        <v/>
      </c>
      <c r="BJ62" s="25">
        <f>IFERROR(INDEX('_CONFIG_Model_Settings'!$B$109:$B$113,MATCH($BI62,'_CONFIG_Model_Settings'!$A$109:$A$113,0)),0.30)</f>
        <v/>
      </c>
      <c r="BK62" s="25">
        <f>IFERROR(INDEX('_CONFIG_Model_Settings'!$C$109:$C$113,MATCH($BI62,'_CONFIG_Model_Settings'!$A$109:$A$113,0)),0.20)</f>
        <v/>
      </c>
      <c r="BL62" s="25">
        <f>IFERROR(INDEX('_CONFIG_Model_Settings'!$D$109:$D$113,MATCH($BI62,'_CONFIG_Model_Settings'!$A$109:$A$113,0)),0.25)</f>
        <v/>
      </c>
      <c r="BM62" s="25">
        <f>IFERROR(INDEX('_CONFIG_Model_Settings'!$E$109:$E$113,MATCH($BI62,'_CONFIG_Model_Settings'!$A$109:$A$113,0)),0.25)</f>
        <v/>
      </c>
      <c r="BN62" s="25">
        <f>IFERROR(INDEX('_CONFIG_Model_Settings'!$B$117:$B$123,MATCH('_CONFIG_Model_Settings'!$B$104,'_CONFIG_Model_Settings'!$A$117:$A$123,0)),1)</f>
        <v/>
      </c>
      <c r="BO62" s="25">
        <f>IFERROR(INDEX('_CONFIG_Model_Settings'!$C$117:$C$123,MATCH('_CONFIG_Model_Settings'!$B$104,'_CONFIG_Model_Settings'!$A$117:$A$123,0)),1)</f>
        <v/>
      </c>
      <c r="BP62" s="25">
        <f>IFERROR(INDEX('_CONFIG_Model_Settings'!$D$117:$D$123,MATCH('_CONFIG_Model_Settings'!$B$104,'_CONFIG_Model_Settings'!$A$117:$A$123,0)),1)</f>
        <v/>
      </c>
      <c r="BQ62" s="25">
        <f>IFERROR(INDEX('_CONFIG_Model_Settings'!$E$117:$E$123,MATCH('_CONFIG_Model_Settings'!$B$104,'_CONFIG_Model_Settings'!$A$117:$A$123,0)),1)</f>
        <v/>
      </c>
      <c r="BR62" s="25">
        <f>IF($A62="","",MIN(5,IFERROR(SUMIF('_DATA_Mappings'!$A:$A,$A62,'_DATA_Mappings'!$K:$K)/MAX(1,'_CONFIG_Model_Settings'!$B$105),0)))</f>
        <v/>
      </c>
      <c r="BS62" s="25">
        <f>IF($A62="","",ROUND((N($X62)*N($BJ62)*N($BN62)+N($Y62)*N($BK62)*N($BO62)+N($BD62)*N($BL62)*N($BP62)+N($AA62)*N($BM62)*N($BQ62)+N($BR62)*N('_CONFIG_Model_Settings'!$B$106))/(N($BJ62)*N($BN62)+N($BK62)*N($BO62)+N($BL62)*N($BP62)+N($BM62)*N($BQ62)+N('_CONFIG_Model_Settings'!$B$106)),2))</f>
        <v/>
      </c>
      <c r="BT62" s="25">
        <f>IF($A62="","",MAX(1,N($AB62)))</f>
        <v/>
      </c>
      <c r="BU62" s="25">
        <f>IF(OR($BS62="",$BT62=0),"",ROUND($BS62/$BT62,2))</f>
        <v/>
      </c>
      <c r="BV62" s="25">
        <f>IF(OR($BU62="",$AY62="Done",$AY62="Not applicable"),"",ROUND($BU62*N($AS62),2))</f>
        <v/>
      </c>
      <c r="BW62" s="25">
        <f>IF($BV62="","",_xlfn.RANK.EQ($BV62,$BV$5:$BV$76,0)+COUNTIF($BV$5:$BV62,$BV62)-1)</f>
        <v/>
      </c>
      <c r="BX62" s="25">
        <f>IF($BW62="","",IF($BW62&lt;=cfg_TimelineBucket1,"0-90 days",IF($BW62&lt;=cfg_TimelineBucket2,"3-6 months",IF($BW62&lt;=cfg_TimelineBucket3,"6-12 months","12+ months"))))</f>
        <v/>
      </c>
      <c r="BY62" s="25">
        <f>IF($A62="","","P2: "&amp;$BI62&amp;" posture; objective="&amp;'_CONFIG_Model_Settings'!$B$104&amp;"; financial score="&amp;ROUND(N($BR62),1)&amp;"; CoD="&amp;$BS62)</f>
        <v/>
      </c>
    </row>
    <row r="63" ht="42" customHeight="1" s="209">
      <c r="A63" s="25" t="inlineStr">
        <is>
          <t>INI-059</t>
        </is>
      </c>
      <c r="B63" s="25" t="inlineStr">
        <is>
          <t>Data BI AI</t>
        </is>
      </c>
      <c r="C63" s="25" t="inlineStr">
        <is>
          <t>Data architecture</t>
        </is>
      </c>
      <c r="D63" s="25" t="inlineStr">
        <is>
          <t>Data Governance and AI Readiness Strategy</t>
        </is>
      </c>
      <c r="E63" s="25" t="inlineStr">
        <is>
          <t>STR-05</t>
        </is>
      </c>
      <c r="F63" s="25" t="inlineStr">
        <is>
          <t>Build resilient data architecture, integration and storage foundation</t>
        </is>
      </c>
      <c r="G63" s="25" t="inlineStr">
        <is>
          <t>Close maturity gaps in data architecture by assigning ownership, documenting the process, connecting it to evidence and systems, testing it against crisis scenarios and measuring improvement.</t>
        </is>
      </c>
      <c r="H63" s="25" t="inlineStr">
        <is>
          <t>Data, BI, analytics and AI governance</t>
        </is>
      </c>
      <c r="I63" s="25" t="inlineStr">
        <is>
          <t>Cyberattack / ransomware; Regulatory / legal shock; Demand shock</t>
        </is>
      </c>
      <c r="J63" s="25" t="inlineStr">
        <is>
          <t>DATA-007; DATA-008; DATA-009; DATA-010; DATA-011; DATA-012</t>
        </is>
      </c>
      <c r="K63" s="25" t="n">
        <v>6</v>
      </c>
      <c r="L63" s="25">
        <f>COUNTIFS('_ENGINE_Risk'!$C$500:$C$923,$B63,'_ENGINE_Risk'!$D$500:$D$923,$C63,'_ENGINE_Risk'!$B$500:$B$923,"Yes")</f>
        <v/>
      </c>
      <c r="M63" s="25">
        <f>COUNTIFS('_ENGINE_Risk'!$C$500:$C$923,$B63,'_ENGINE_Risk'!$D$500:$D$923,$C63,'_ENGINE_Risk'!$B$500:$B$923,"Yes")</f>
        <v/>
      </c>
      <c r="N63" s="25">
        <f>IFERROR(AVERAGEIFS(_DATA_Assessment_Model!$H$5:$H$428,_DATA_Assessment_Model!$AW$5:$AW$428,$B63,_DATA_Assessment_Model!$B$5:$B$428,$C63),"")</f>
        <v/>
      </c>
      <c r="O63" s="25">
        <f>IF($N63="","",MAX(0,5-$N63))</f>
        <v/>
      </c>
      <c r="P63" s="25">
        <f>IFERROR(INDEX(_DATA_Dashboard_Facts!$H$5:$H$21,MATCH($B63,_DATA_Dashboard_Facts!$A$5:$A$21,0)),"")</f>
        <v/>
      </c>
      <c r="Q63" s="25">
        <f>IF($P63="","",MAX(0,5-$P63))</f>
        <v/>
      </c>
      <c r="R63" s="25">
        <f>IFERROR(SUMIFS(_ENGINE_Crisis!$D$5:$D$208,_ENGINE_Crisis!$A$5:$A$208,'Resilience &amp; Risk Scenario'!$B$6,_ENGINE_Crisis!$B$5:$B$208,$B63),1)</f>
        <v/>
      </c>
      <c r="S63" s="25">
        <f>IFERROR(INDEX('_ENGINE_Strategy'!$A$100:$A$113,MATCH($D63,'_ENGINE_Strategy'!$B$100:$B$113,0)),99)</f>
        <v/>
      </c>
      <c r="T63" s="25">
        <f>IFERROR(INDEX('_ENGINE_Strategy'!$J$100:$J$113,MATCH($D63,'_ENGINE_Strategy'!$B$100:$B$113,0)),0)</f>
        <v/>
      </c>
      <c r="U63" s="25" t="n">
        <v>5</v>
      </c>
      <c r="V63" s="25" t="n">
        <v>3</v>
      </c>
      <c r="W63" s="25" t="n">
        <v>4</v>
      </c>
      <c r="X63" s="25">
        <f>MAX(1,MIN(5,(N($O63)*0.50)+(N($Q63)*0.25)+((N($T63)/20)*0.25)))</f>
        <v/>
      </c>
      <c r="Y63" s="25">
        <f>MAX(1,MIN(5,(($R63-1)*1.6)+('Resilience &amp; Risk Scenario'!$B$7*0.45)+IF($S63&lt;=3,0.8,0)))</f>
        <v/>
      </c>
      <c r="Z63" s="25">
        <f>MAX(1,MIN(5,(N($O63)*0.45)+(MIN(5,5*N($M63)/MAX(1,N($K63)))*0.35)+(N($V63)*0.20)))</f>
        <v/>
      </c>
      <c r="AA63" s="25">
        <f>MAX(1,MIN(5,($U63*0.40)+($W63*0.30)+(($T63/20)*0.30)))</f>
        <v/>
      </c>
      <c r="AB63" s="25" t="n">
        <v>4</v>
      </c>
      <c r="AC63" s="25">
        <f>IF($AB63=0,"",ROUND((N($X63)+N($Y63)+N($Z63)+N($AA63))/$AB63,2))</f>
        <v/>
      </c>
      <c r="AD63" s="25">
        <f>IF($AC63="","",_xlfn.RANK.EQ($AC63,$AC$5:$AC$76,0)+COUNTIF($AC$5:$AC63,$AC63)-1)</f>
        <v/>
      </c>
      <c r="AE63" s="25">
        <f>IF($AD63="","",IF($AD63&lt;=cfg_TimelineBucket1,"0-90 days",IF($AD63&lt;=cfg_TimelineBucket2,"3-6 months",IF($AD63&lt;=cfg_TimelineBucket3,"6-12 months","12+ months"))))</f>
        <v/>
      </c>
      <c r="AF63" s="25" t="inlineStr">
        <is>
          <t>CDO / Head of Data</t>
        </is>
      </c>
      <c r="AG63" s="25" t="inlineStr">
        <is>
          <t>3-6 months</t>
        </is>
      </c>
      <c r="AH63" s="25" t="inlineStr">
        <is>
          <t>Executive sponsor; accountable process owner; baseline evidence; risk acceptance threshold; IT architecture inventory; data/system owners</t>
        </is>
      </c>
      <c r="AI63" s="25" t="inlineStr">
        <is>
          <t>maturity score improvement; open risk reduction; evidence completeness; control test pass rate</t>
        </is>
      </c>
      <c r="AJ63" s="25" t="inlineStr">
        <is>
          <t>Documented data architecture operating model, owner/RACI, KPI set, evidence pack, tested crisis playbook and improvement backlog.</t>
        </is>
      </c>
      <c r="AK63" s="25" t="inlineStr">
        <is>
          <t>Counts active next-level recommendations for Data BI AI / Data architecture.</t>
        </is>
      </c>
      <c r="AL63" s="25" t="inlineStr">
        <is>
          <t>Counts active risks and risk scores for Data BI AI / Data architecture.</t>
        </is>
      </c>
      <c r="AM63" s="25" t="inlineStr">
        <is>
          <t>Uses the current rank and total score of Data Governance and AI Readiness Strategy.</t>
        </is>
      </c>
      <c r="AN63" s="25" t="inlineStr">
        <is>
          <t>Trigger when avg score &lt; 4, active risk exists, active recommendation exists or strategy rank &lt;= 3.</t>
        </is>
      </c>
      <c r="AO63" s="25" t="inlineStr">
        <is>
          <t>Not started</t>
        </is>
      </c>
      <c r="AP63" s="25" t="inlineStr">
        <is>
          <t>Medium-High</t>
        </is>
      </c>
      <c r="AQ63" s="25" t="n"/>
      <c r="AR63" s="25" t="n"/>
      <c r="AS63" s="247">
        <f>IFERROR(IF(SUMIFS(_REF_Model_Content!$J$1:$J$157,_REF_Model_Content!$A$1:$A$157,'Company Profile'!$B$9,_REF_Model_Content!$B$1:$B$157,$B63)=0,1,SUMIFS(_REF_Model_Content!$J$1:$J$157,_REF_Model_Content!$A$1:$A$157,'Company Profile'!$B$9,_REF_Model_Content!$B$1:$B$157,$B63)),1)</f>
        <v/>
      </c>
      <c r="AT63" s="247">
        <f>IF(OR($AY63="Done",$AY63="Not applicable"),"",IF($AC63="","",ROUND(N($AC63)*N($AS63),2)))</f>
        <v/>
      </c>
      <c r="AU63" s="247">
        <f>IF($AT63="","",_xlfn.RANK.EQ($AT63,$AT$5:$AT$76,0)+COUNTIF($AT$5:AT63,$AT63)-1)</f>
        <v/>
      </c>
      <c r="AV63" s="247">
        <f>IFERROR(INDEX('_DATA_Dashboard_Facts'!$G$300:$G$316,MATCH($B63,'_DATA_Dashboard_Facts'!$A$300:$A$316,0)),"")</f>
        <v/>
      </c>
      <c r="AW63" s="247">
        <f>IF($AS63&gt;cfg_IndPriorityHigh,"Industry template increases priority",IF($AS63&lt;cfg_IndPriorityLow,"Industry template lowers priority","Industry-neutral priority"))</f>
        <v/>
      </c>
      <c r="AX63">
        <f>IFERROR(INDEX('Action Plan &amp; Roadmap'!$D$59:$D$130,MATCH($A63,'Action Plan &amp; Roadmap'!$A$59:$A$130,0)),"")</f>
      </c>
      <c r="AY63">
        <f>IF($AX63&lt;&gt;"",$AX63,IF($AO63="","Not started",$AO63))</f>
        <v/>
      </c>
      <c r="AZ63" t="inlineStr">
        <is>
          <t>Percentage achieved from supply chain generative AI use for: reduced accidents at work; Percentage achieved from supply chain generative AI use for: reduced production downtime</t>
        </is>
      </c>
      <c r="BA63">
        <f>IF($A63="","",COUNTIF('_DATA_Mappings'!$A:$A,$A63))</f>
        <v/>
      </c>
      <c r="BB63">
        <f>IF($A63="","",IFERROR(AVERAGEIF('_DATA_Mappings'!$A:$A,$A63,'_DATA_Mappings'!$G:$G),0))</f>
        <v/>
      </c>
      <c r="BC63">
        <f>IF($A63="","",MAX(0,MIN(5,(N($O63)*0.50)+(N($V63)*0.30)+(N($W63)*0.20))))</f>
        <v/>
      </c>
      <c r="BD63">
        <f>IF($A63="","",MAX(1,MIN(5,($Z63*0.45)+(MIN(5,$BB63/5)*0.35)+($BC63*0.20))))</f>
        <v/>
      </c>
      <c r="BE63">
        <f>IF($AB63=0,"",ROUND((N($X63)+N($Y63)+N($BD63)+N($AA63))/$AB63,2))</f>
        <v/>
      </c>
      <c r="BF63">
        <f>IF(OR($BE63="",$AY63="Done",$AY63="Not applicable"),"",ROUND($BE63*N($AS63),2))</f>
        <v/>
      </c>
      <c r="BG63">
        <f>IF($BF63="","",_xlfn.RANK.EQ($BF63,$BF$5:$BF$76,0)+COUNTIF($BF$5:$BF63,$BF63)-1)</f>
        <v/>
      </c>
      <c r="BH63">
        <f>IF($A63="","",IF($BB63&gt;20,"High P1 risk pressure",IF($BB63&gt;12,"Moderate P1 risk pressure","Lower P1 risk pressure")))</f>
        <v/>
      </c>
      <c r="BI63" s="25">
        <f>'_CONFIG_Model_Settings'!$B$103</f>
        <v/>
      </c>
      <c r="BJ63" s="25">
        <f>IFERROR(INDEX('_CONFIG_Model_Settings'!$B$109:$B$113,MATCH($BI63,'_CONFIG_Model_Settings'!$A$109:$A$113,0)),0.30)</f>
        <v/>
      </c>
      <c r="BK63" s="25">
        <f>IFERROR(INDEX('_CONFIG_Model_Settings'!$C$109:$C$113,MATCH($BI63,'_CONFIG_Model_Settings'!$A$109:$A$113,0)),0.20)</f>
        <v/>
      </c>
      <c r="BL63" s="25">
        <f>IFERROR(INDEX('_CONFIG_Model_Settings'!$D$109:$D$113,MATCH($BI63,'_CONFIG_Model_Settings'!$A$109:$A$113,0)),0.25)</f>
        <v/>
      </c>
      <c r="BM63" s="25">
        <f>IFERROR(INDEX('_CONFIG_Model_Settings'!$E$109:$E$113,MATCH($BI63,'_CONFIG_Model_Settings'!$A$109:$A$113,0)),0.25)</f>
        <v/>
      </c>
      <c r="BN63" s="25">
        <f>IFERROR(INDEX('_CONFIG_Model_Settings'!$B$117:$B$123,MATCH('_CONFIG_Model_Settings'!$B$104,'_CONFIG_Model_Settings'!$A$117:$A$123,0)),1)</f>
        <v/>
      </c>
      <c r="BO63" s="25">
        <f>IFERROR(INDEX('_CONFIG_Model_Settings'!$C$117:$C$123,MATCH('_CONFIG_Model_Settings'!$B$104,'_CONFIG_Model_Settings'!$A$117:$A$123,0)),1)</f>
        <v/>
      </c>
      <c r="BP63" s="25">
        <f>IFERROR(INDEX('_CONFIG_Model_Settings'!$D$117:$D$123,MATCH('_CONFIG_Model_Settings'!$B$104,'_CONFIG_Model_Settings'!$A$117:$A$123,0)),1)</f>
        <v/>
      </c>
      <c r="BQ63" s="25">
        <f>IFERROR(INDEX('_CONFIG_Model_Settings'!$E$117:$E$123,MATCH('_CONFIG_Model_Settings'!$B$104,'_CONFIG_Model_Settings'!$A$117:$A$123,0)),1)</f>
        <v/>
      </c>
      <c r="BR63" s="25">
        <f>IF($A63="","",MIN(5,IFERROR(SUMIF('_DATA_Mappings'!$A:$A,$A63,'_DATA_Mappings'!$K:$K)/MAX(1,'_CONFIG_Model_Settings'!$B$105),0)))</f>
        <v/>
      </c>
      <c r="BS63" s="25">
        <f>IF($A63="","",ROUND((N($X63)*N($BJ63)*N($BN63)+N($Y63)*N($BK63)*N($BO63)+N($BD63)*N($BL63)*N($BP63)+N($AA63)*N($BM63)*N($BQ63)+N($BR63)*N('_CONFIG_Model_Settings'!$B$106))/(N($BJ63)*N($BN63)+N($BK63)*N($BO63)+N($BL63)*N($BP63)+N($BM63)*N($BQ63)+N('_CONFIG_Model_Settings'!$B$106)),2))</f>
        <v/>
      </c>
      <c r="BT63" s="25">
        <f>IF($A63="","",MAX(1,N($AB63)))</f>
        <v/>
      </c>
      <c r="BU63" s="25">
        <f>IF(OR($BS63="",$BT63=0),"",ROUND($BS63/$BT63,2))</f>
        <v/>
      </c>
      <c r="BV63" s="25">
        <f>IF(OR($BU63="",$AY63="Done",$AY63="Not applicable"),"",ROUND($BU63*N($AS63),2))</f>
        <v/>
      </c>
      <c r="BW63" s="25">
        <f>IF($BV63="","",_xlfn.RANK.EQ($BV63,$BV$5:$BV$76,0)+COUNTIF($BV$5:$BV63,$BV63)-1)</f>
        <v/>
      </c>
      <c r="BX63" s="25">
        <f>IF($BW63="","",IF($BW63&lt;=cfg_TimelineBucket1,"0-90 days",IF($BW63&lt;=cfg_TimelineBucket2,"3-6 months",IF($BW63&lt;=cfg_TimelineBucket3,"6-12 months","12+ months"))))</f>
        <v/>
      </c>
      <c r="BY63" s="25">
        <f>IF($A63="","","P2: "&amp;$BI63&amp;" posture; objective="&amp;'_CONFIG_Model_Settings'!$B$104&amp;"; financial score="&amp;ROUND(N($BR63),1)&amp;"; CoD="&amp;$BS63)</f>
        <v/>
      </c>
    </row>
    <row r="64" ht="42" customHeight="1" s="209">
      <c r="A64" s="25" t="inlineStr">
        <is>
          <t>INI-060</t>
        </is>
      </c>
      <c r="B64" s="25" t="inlineStr">
        <is>
          <t>Data BI AI</t>
        </is>
      </c>
      <c r="C64" s="25" t="inlineStr">
        <is>
          <t>BI and analytics</t>
        </is>
      </c>
      <c r="D64" s="25" t="inlineStr">
        <is>
          <t>Data Governance and AI Readiness Strategy</t>
        </is>
      </c>
      <c r="E64" s="25" t="inlineStr">
        <is>
          <t>STR-05</t>
        </is>
      </c>
      <c r="F64" s="25" t="inlineStr">
        <is>
          <t>Create BI analytics layer for crisis and operational decisions</t>
        </is>
      </c>
      <c r="G64" s="25" t="inlineStr">
        <is>
          <t>Close maturity gaps in bi and analytics by assigning ownership, documenting the process, connecting it to evidence and systems, testing it against crisis scenarios and measuring improvement.</t>
        </is>
      </c>
      <c r="H64" s="25" t="inlineStr">
        <is>
          <t>Data, BI, analytics and AI governance</t>
        </is>
      </c>
      <c r="I64" s="25" t="inlineStr">
        <is>
          <t>Cyberattack / ransomware; Regulatory / legal shock; Demand shock</t>
        </is>
      </c>
      <c r="J64" s="25" t="inlineStr">
        <is>
          <t>DATA-013; DATA-014; DATA-015; DATA-016; DATA-017; DATA-018</t>
        </is>
      </c>
      <c r="K64" s="25" t="n">
        <v>6</v>
      </c>
      <c r="L64" s="25">
        <f>COUNTIFS('_ENGINE_Risk'!$C$500:$C$923,$B64,'_ENGINE_Risk'!$D$500:$D$923,$C64,'_ENGINE_Risk'!$B$500:$B$923,"Yes")</f>
        <v/>
      </c>
      <c r="M64" s="25">
        <f>COUNTIFS('_ENGINE_Risk'!$C$500:$C$923,$B64,'_ENGINE_Risk'!$D$500:$D$923,$C64,'_ENGINE_Risk'!$B$500:$B$923,"Yes")</f>
        <v/>
      </c>
      <c r="N64" s="25">
        <f>IFERROR(AVERAGEIFS(_DATA_Assessment_Model!$H$5:$H$428,_DATA_Assessment_Model!$AW$5:$AW$428,$B64,_DATA_Assessment_Model!$B$5:$B$428,$C64),"")</f>
        <v/>
      </c>
      <c r="O64" s="25">
        <f>IF($N64="","",MAX(0,5-$N64))</f>
        <v/>
      </c>
      <c r="P64" s="25">
        <f>IFERROR(INDEX(_DATA_Dashboard_Facts!$H$5:$H$21,MATCH($B64,_DATA_Dashboard_Facts!$A$5:$A$21,0)),"")</f>
        <v/>
      </c>
      <c r="Q64" s="25">
        <f>IF($P64="","",MAX(0,5-$P64))</f>
        <v/>
      </c>
      <c r="R64" s="25">
        <f>IFERROR(SUMIFS(_ENGINE_Crisis!$D$5:$D$208,_ENGINE_Crisis!$A$5:$A$208,'Resilience &amp; Risk Scenario'!$B$6,_ENGINE_Crisis!$B$5:$B$208,$B64),1)</f>
        <v/>
      </c>
      <c r="S64" s="25">
        <f>IFERROR(INDEX('_ENGINE_Strategy'!$A$100:$A$113,MATCH($D64,'_ENGINE_Strategy'!$B$100:$B$113,0)),99)</f>
        <v/>
      </c>
      <c r="T64" s="25">
        <f>IFERROR(INDEX('_ENGINE_Strategy'!$J$100:$J$113,MATCH($D64,'_ENGINE_Strategy'!$B$100:$B$113,0)),0)</f>
        <v/>
      </c>
      <c r="U64" s="25" t="n">
        <v>5</v>
      </c>
      <c r="V64" s="25" t="n">
        <v>3</v>
      </c>
      <c r="W64" s="25" t="n">
        <v>4</v>
      </c>
      <c r="X64" s="25">
        <f>MAX(1,MIN(5,(N($O64)*0.50)+(N($Q64)*0.25)+((N($T64)/20)*0.25)))</f>
        <v/>
      </c>
      <c r="Y64" s="25">
        <f>MAX(1,MIN(5,(($R64-1)*1.6)+('Resilience &amp; Risk Scenario'!$B$7*0.45)+IF($S64&lt;=3,0.8,0)))</f>
        <v/>
      </c>
      <c r="Z64" s="25">
        <f>MAX(1,MIN(5,(N($O64)*0.45)+(MIN(5,5*N($M64)/MAX(1,N($K64)))*0.35)+(N($V64)*0.20)))</f>
        <v/>
      </c>
      <c r="AA64" s="25">
        <f>MAX(1,MIN(5,($U64*0.40)+($W64*0.30)+(($T64/20)*0.30)))</f>
        <v/>
      </c>
      <c r="AB64" s="25" t="n">
        <v>4</v>
      </c>
      <c r="AC64" s="25">
        <f>IF($AB64=0,"",ROUND((N($X64)+N($Y64)+N($Z64)+N($AA64))/$AB64,2))</f>
        <v/>
      </c>
      <c r="AD64" s="25">
        <f>IF($AC64="","",_xlfn.RANK.EQ($AC64,$AC$5:$AC$76,0)+COUNTIF($AC$5:$AC64,$AC64)-1)</f>
        <v/>
      </c>
      <c r="AE64" s="25">
        <f>IF($AD64="","",IF($AD64&lt;=cfg_TimelineBucket1,"0-90 days",IF($AD64&lt;=cfg_TimelineBucket2,"3-6 months",IF($AD64&lt;=cfg_TimelineBucket3,"6-12 months","12+ months"))))</f>
        <v/>
      </c>
      <c r="AF64" s="25" t="inlineStr">
        <is>
          <t>CDO / Head of Data</t>
        </is>
      </c>
      <c r="AG64" s="25" t="inlineStr">
        <is>
          <t>3-6 months</t>
        </is>
      </c>
      <c r="AH64" s="25" t="inlineStr">
        <is>
          <t>Executive sponsor; accountable process owner; baseline evidence; risk acceptance threshold; IT architecture inventory; data/system owners</t>
        </is>
      </c>
      <c r="AI64" s="25" t="inlineStr">
        <is>
          <t>maturity score improvement; open risk reduction; evidence completeness; control test pass rate</t>
        </is>
      </c>
      <c r="AJ64" s="25" t="inlineStr">
        <is>
          <t>Documented bi and analytics operating model, owner/RACI, KPI set, evidence pack, tested crisis playbook and improvement backlog.</t>
        </is>
      </c>
      <c r="AK64" s="25" t="inlineStr">
        <is>
          <t>Counts active next-level recommendations for Data BI AI / BI and analytics.</t>
        </is>
      </c>
      <c r="AL64" s="25" t="inlineStr">
        <is>
          <t>Counts active risks and risk scores for Data BI AI / BI and analytics.</t>
        </is>
      </c>
      <c r="AM64" s="25" t="inlineStr">
        <is>
          <t>Uses the current rank and total score of Data Governance and AI Readiness Strategy.</t>
        </is>
      </c>
      <c r="AN64" s="25" t="inlineStr">
        <is>
          <t>Trigger when avg score &lt; 4, active risk exists, active recommendation exists or strategy rank &lt;= 3.</t>
        </is>
      </c>
      <c r="AO64" s="25" t="inlineStr">
        <is>
          <t>Not started</t>
        </is>
      </c>
      <c r="AP64" s="25" t="inlineStr">
        <is>
          <t>Medium-High</t>
        </is>
      </c>
      <c r="AQ64" s="25" t="n"/>
      <c r="AR64" s="25" t="n"/>
      <c r="AS64" s="247">
        <f>IFERROR(IF(SUMIFS(_REF_Model_Content!$J$1:$J$157,_REF_Model_Content!$A$1:$A$157,'Company Profile'!$B$9,_REF_Model_Content!$B$1:$B$157,$B64)=0,1,SUMIFS(_REF_Model_Content!$J$1:$J$157,_REF_Model_Content!$A$1:$A$157,'Company Profile'!$B$9,_REF_Model_Content!$B$1:$B$157,$B64)),1)</f>
        <v/>
      </c>
      <c r="AT64" s="247">
        <f>IF(OR($AY64="Done",$AY64="Not applicable"),"",IF($AC64="","",ROUND(N($AC64)*N($AS64),2)))</f>
        <v/>
      </c>
      <c r="AU64" s="247">
        <f>IF($AT64="","",_xlfn.RANK.EQ($AT64,$AT$5:$AT$76,0)+COUNTIF($AT$5:AT64,$AT64)-1)</f>
        <v/>
      </c>
      <c r="AV64" s="247">
        <f>IFERROR(INDEX('_DATA_Dashboard_Facts'!$G$300:$G$316,MATCH($B64,'_DATA_Dashboard_Facts'!$A$300:$A$316,0)),"")</f>
        <v/>
      </c>
      <c r="AW64" s="247">
        <f>IF($AS64&gt;cfg_IndPriorityHigh,"Industry template increases priority",IF($AS64&lt;cfg_IndPriorityLow,"Industry template lowers priority","Industry-neutral priority"))</f>
        <v/>
      </c>
      <c r="AX64">
        <f>IFERROR(INDEX('Action Plan &amp; Roadmap'!$D$59:$D$130,MATCH($A64,'Action Plan &amp; Roadmap'!$A$59:$A$130,0)),"")</f>
      </c>
      <c r="AY64">
        <f>IF($AX64&lt;&gt;"",$AX64,IF($AO64="","Not started",$AO64))</f>
        <v/>
      </c>
      <c r="AZ64" t="inlineStr">
        <is>
          <t>Percentage achieved from supply chain generative AI use for: reduced accidents at work; Percentage achieved from supply chain generative AI use for: reduced production downtime</t>
        </is>
      </c>
      <c r="BA64">
        <f>IF($A64="","",COUNTIF('_DATA_Mappings'!$A:$A,$A64))</f>
        <v/>
      </c>
      <c r="BB64">
        <f>IF($A64="","",IFERROR(AVERAGEIF('_DATA_Mappings'!$A:$A,$A64,'_DATA_Mappings'!$G:$G),0))</f>
        <v/>
      </c>
      <c r="BC64">
        <f>IF($A64="","",MAX(0,MIN(5,(N($O64)*0.50)+(N($V64)*0.30)+(N($W64)*0.20))))</f>
        <v/>
      </c>
      <c r="BD64">
        <f>IF($A64="","",MAX(1,MIN(5,($Z64*0.45)+(MIN(5,$BB64/5)*0.35)+($BC64*0.20))))</f>
        <v/>
      </c>
      <c r="BE64">
        <f>IF($AB64=0,"",ROUND((N($X64)+N($Y64)+N($BD64)+N($AA64))/$AB64,2))</f>
        <v/>
      </c>
      <c r="BF64">
        <f>IF(OR($BE64="",$AY64="Done",$AY64="Not applicable"),"",ROUND($BE64*N($AS64),2))</f>
        <v/>
      </c>
      <c r="BG64">
        <f>IF($BF64="","",_xlfn.RANK.EQ($BF64,$BF$5:$BF$76,0)+COUNTIF($BF$5:$BF64,$BF64)-1)</f>
        <v/>
      </c>
      <c r="BH64">
        <f>IF($A64="","",IF($BB64&gt;20,"High P1 risk pressure",IF($BB64&gt;12,"Moderate P1 risk pressure","Lower P1 risk pressure")))</f>
        <v/>
      </c>
      <c r="BI64" s="25">
        <f>'_CONFIG_Model_Settings'!$B$103</f>
        <v/>
      </c>
      <c r="BJ64" s="25">
        <f>IFERROR(INDEX('_CONFIG_Model_Settings'!$B$109:$B$113,MATCH($BI64,'_CONFIG_Model_Settings'!$A$109:$A$113,0)),0.30)</f>
        <v/>
      </c>
      <c r="BK64" s="25">
        <f>IFERROR(INDEX('_CONFIG_Model_Settings'!$C$109:$C$113,MATCH($BI64,'_CONFIG_Model_Settings'!$A$109:$A$113,0)),0.20)</f>
        <v/>
      </c>
      <c r="BL64" s="25">
        <f>IFERROR(INDEX('_CONFIG_Model_Settings'!$D$109:$D$113,MATCH($BI64,'_CONFIG_Model_Settings'!$A$109:$A$113,0)),0.25)</f>
        <v/>
      </c>
      <c r="BM64" s="25">
        <f>IFERROR(INDEX('_CONFIG_Model_Settings'!$E$109:$E$113,MATCH($BI64,'_CONFIG_Model_Settings'!$A$109:$A$113,0)),0.25)</f>
        <v/>
      </c>
      <c r="BN64" s="25">
        <f>IFERROR(INDEX('_CONFIG_Model_Settings'!$B$117:$B$123,MATCH('_CONFIG_Model_Settings'!$B$104,'_CONFIG_Model_Settings'!$A$117:$A$123,0)),1)</f>
        <v/>
      </c>
      <c r="BO64" s="25">
        <f>IFERROR(INDEX('_CONFIG_Model_Settings'!$C$117:$C$123,MATCH('_CONFIG_Model_Settings'!$B$104,'_CONFIG_Model_Settings'!$A$117:$A$123,0)),1)</f>
        <v/>
      </c>
      <c r="BP64" s="25">
        <f>IFERROR(INDEX('_CONFIG_Model_Settings'!$D$117:$D$123,MATCH('_CONFIG_Model_Settings'!$B$104,'_CONFIG_Model_Settings'!$A$117:$A$123,0)),1)</f>
        <v/>
      </c>
      <c r="BQ64" s="25">
        <f>IFERROR(INDEX('_CONFIG_Model_Settings'!$E$117:$E$123,MATCH('_CONFIG_Model_Settings'!$B$104,'_CONFIG_Model_Settings'!$A$117:$A$123,0)),1)</f>
        <v/>
      </c>
      <c r="BR64" s="25">
        <f>IF($A64="","",MIN(5,IFERROR(SUMIF('_DATA_Mappings'!$A:$A,$A64,'_DATA_Mappings'!$K:$K)/MAX(1,'_CONFIG_Model_Settings'!$B$105),0)))</f>
        <v/>
      </c>
      <c r="BS64" s="25">
        <f>IF($A64="","",ROUND((N($X64)*N($BJ64)*N($BN64)+N($Y64)*N($BK64)*N($BO64)+N($BD64)*N($BL64)*N($BP64)+N($AA64)*N($BM64)*N($BQ64)+N($BR64)*N('_CONFIG_Model_Settings'!$B$106))/(N($BJ64)*N($BN64)+N($BK64)*N($BO64)+N($BL64)*N($BP64)+N($BM64)*N($BQ64)+N('_CONFIG_Model_Settings'!$B$106)),2))</f>
        <v/>
      </c>
      <c r="BT64" s="25">
        <f>IF($A64="","",MAX(1,N($AB64)))</f>
        <v/>
      </c>
      <c r="BU64" s="25">
        <f>IF(OR($BS64="",$BT64=0),"",ROUND($BS64/$BT64,2))</f>
        <v/>
      </c>
      <c r="BV64" s="25">
        <f>IF(OR($BU64="",$AY64="Done",$AY64="Not applicable"),"",ROUND($BU64*N($AS64),2))</f>
        <v/>
      </c>
      <c r="BW64" s="25">
        <f>IF($BV64="","",_xlfn.RANK.EQ($BV64,$BV$5:$BV$76,0)+COUNTIF($BV$5:$BV64,$BV64)-1)</f>
        <v/>
      </c>
      <c r="BX64" s="25">
        <f>IF($BW64="","",IF($BW64&lt;=cfg_TimelineBucket1,"0-90 days",IF($BW64&lt;=cfg_TimelineBucket2,"3-6 months",IF($BW64&lt;=cfg_TimelineBucket3,"6-12 months","12+ months"))))</f>
        <v/>
      </c>
      <c r="BY64" s="25">
        <f>IF($A64="","","P2: "&amp;$BI64&amp;" posture; objective="&amp;'_CONFIG_Model_Settings'!$B$104&amp;"; financial score="&amp;ROUND(N($BR64),1)&amp;"; CoD="&amp;$BS64)</f>
        <v/>
      </c>
    </row>
    <row r="65" ht="42" customHeight="1" s="209">
      <c r="A65" s="25" t="inlineStr">
        <is>
          <t>INI-061</t>
        </is>
      </c>
      <c r="B65" s="25" t="inlineStr">
        <is>
          <t>Data BI AI</t>
        </is>
      </c>
      <c r="C65" s="25" t="inlineStr">
        <is>
          <t>Forecasting and scenarios</t>
        </is>
      </c>
      <c r="D65" s="25" t="inlineStr">
        <is>
          <t>Data Governance and AI Readiness Strategy</t>
        </is>
      </c>
      <c r="E65" s="25" t="inlineStr">
        <is>
          <t>STR-05</t>
        </is>
      </c>
      <c r="F65" s="25" t="inlineStr">
        <is>
          <t>Build forecasting and scenario analytics capability</t>
        </is>
      </c>
      <c r="G65" s="25" t="inlineStr">
        <is>
          <t>Close maturity gaps in forecasting and scenarios by assigning ownership, documenting the process, connecting it to evidence and systems, testing it against crisis scenarios and measuring improvement.</t>
        </is>
      </c>
      <c r="H65" s="25" t="inlineStr">
        <is>
          <t>Data, BI, analytics and AI governance</t>
        </is>
      </c>
      <c r="I65" s="25" t="inlineStr">
        <is>
          <t>Cyberattack / ransomware; Regulatory / legal shock; Demand shock</t>
        </is>
      </c>
      <c r="J65" s="25" t="inlineStr">
        <is>
          <t>DATA-019; DATA-020; DATA-021; DATA-022</t>
        </is>
      </c>
      <c r="K65" s="25" t="n">
        <v>4</v>
      </c>
      <c r="L65" s="25">
        <f>COUNTIFS('_ENGINE_Risk'!$C$500:$C$923,$B65,'_ENGINE_Risk'!$D$500:$D$923,$C65,'_ENGINE_Risk'!$B$500:$B$923,"Yes")</f>
        <v/>
      </c>
      <c r="M65" s="25">
        <f>COUNTIFS('_ENGINE_Risk'!$C$500:$C$923,$B65,'_ENGINE_Risk'!$D$500:$D$923,$C65,'_ENGINE_Risk'!$B$500:$B$923,"Yes")</f>
        <v/>
      </c>
      <c r="N65" s="25">
        <f>IFERROR(AVERAGEIFS(_DATA_Assessment_Model!$H$5:$H$428,_DATA_Assessment_Model!$AW$5:$AW$428,$B65,_DATA_Assessment_Model!$B$5:$B$428,$C65),"")</f>
        <v/>
      </c>
      <c r="O65" s="25">
        <f>IF($N65="","",MAX(0,5-$N65))</f>
        <v/>
      </c>
      <c r="P65" s="25">
        <f>IFERROR(INDEX(_DATA_Dashboard_Facts!$H$5:$H$21,MATCH($B65,_DATA_Dashboard_Facts!$A$5:$A$21,0)),"")</f>
        <v/>
      </c>
      <c r="Q65" s="25">
        <f>IF($P65="","",MAX(0,5-$P65))</f>
        <v/>
      </c>
      <c r="R65" s="25">
        <f>IFERROR(SUMIFS(_ENGINE_Crisis!$D$5:$D$208,_ENGINE_Crisis!$A$5:$A$208,'Resilience &amp; Risk Scenario'!$B$6,_ENGINE_Crisis!$B$5:$B$208,$B65),1)</f>
        <v/>
      </c>
      <c r="S65" s="25">
        <f>IFERROR(INDEX('_ENGINE_Strategy'!$A$100:$A$113,MATCH($D65,'_ENGINE_Strategy'!$B$100:$B$113,0)),99)</f>
        <v/>
      </c>
      <c r="T65" s="25">
        <f>IFERROR(INDEX('_ENGINE_Strategy'!$J$100:$J$113,MATCH($D65,'_ENGINE_Strategy'!$B$100:$B$113,0)),0)</f>
        <v/>
      </c>
      <c r="U65" s="25" t="n">
        <v>5</v>
      </c>
      <c r="V65" s="25" t="n">
        <v>3</v>
      </c>
      <c r="W65" s="25" t="n">
        <v>4</v>
      </c>
      <c r="X65" s="25">
        <f>MAX(1,MIN(5,(N($O65)*0.50)+(N($Q65)*0.25)+((N($T65)/20)*0.25)))</f>
        <v/>
      </c>
      <c r="Y65" s="25">
        <f>MAX(1,MIN(5,(($R65-1)*1.6)+('Resilience &amp; Risk Scenario'!$B$7*0.45)+IF($S65&lt;=3,0.8,0)))</f>
        <v/>
      </c>
      <c r="Z65" s="25">
        <f>MAX(1,MIN(5,(N($O65)*0.45)+(MIN(5,5*N($M65)/MAX(1,N($K65)))*0.35)+(N($V65)*0.20)))</f>
        <v/>
      </c>
      <c r="AA65" s="25">
        <f>MAX(1,MIN(5,($U65*0.40)+($W65*0.30)+(($T65/20)*0.30)))</f>
        <v/>
      </c>
      <c r="AB65" s="25" t="n">
        <v>4</v>
      </c>
      <c r="AC65" s="25">
        <f>IF($AB65=0,"",ROUND((N($X65)+N($Y65)+N($Z65)+N($AA65))/$AB65,2))</f>
        <v/>
      </c>
      <c r="AD65" s="25">
        <f>IF($AC65="","",_xlfn.RANK.EQ($AC65,$AC$5:$AC$76,0)+COUNTIF($AC$5:$AC65,$AC65)-1)</f>
        <v/>
      </c>
      <c r="AE65" s="25">
        <f>IF($AD65="","",IF($AD65&lt;=cfg_TimelineBucket1,"0-90 days",IF($AD65&lt;=cfg_TimelineBucket2,"3-6 months",IF($AD65&lt;=cfg_TimelineBucket3,"6-12 months","12+ months"))))</f>
        <v/>
      </c>
      <c r="AF65" s="25" t="inlineStr">
        <is>
          <t>CDO / Head of Data</t>
        </is>
      </c>
      <c r="AG65" s="25" t="inlineStr">
        <is>
          <t>3-6 months</t>
        </is>
      </c>
      <c r="AH65" s="25" t="inlineStr">
        <is>
          <t>Executive sponsor; accountable process owner; baseline evidence; risk acceptance threshold; IT architecture inventory; data/system owners</t>
        </is>
      </c>
      <c r="AI65" s="25" t="inlineStr">
        <is>
          <t>maturity score improvement; open risk reduction; evidence completeness; control test pass rate</t>
        </is>
      </c>
      <c r="AJ65" s="25" t="inlineStr">
        <is>
          <t>Documented forecasting and scenarios operating model, owner/RACI, KPI set, evidence pack, tested crisis playbook and improvement backlog.</t>
        </is>
      </c>
      <c r="AK65" s="25" t="inlineStr">
        <is>
          <t>Counts active next-level recommendations for Data BI AI / Forecasting and scenarios.</t>
        </is>
      </c>
      <c r="AL65" s="25" t="inlineStr">
        <is>
          <t>Counts active risks and risk scores for Data BI AI / Forecasting and scenarios.</t>
        </is>
      </c>
      <c r="AM65" s="25" t="inlineStr">
        <is>
          <t>Uses the current rank and total score of Data Governance and AI Readiness Strategy.</t>
        </is>
      </c>
      <c r="AN65" s="25" t="inlineStr">
        <is>
          <t>Trigger when avg score &lt; 4, active risk exists, active recommendation exists or strategy rank &lt;= 3.</t>
        </is>
      </c>
      <c r="AO65" s="25" t="inlineStr">
        <is>
          <t>Not started</t>
        </is>
      </c>
      <c r="AP65" s="25" t="inlineStr">
        <is>
          <t>Medium-High</t>
        </is>
      </c>
      <c r="AQ65" s="25" t="n"/>
      <c r="AR65" s="25" t="n"/>
      <c r="AS65" s="247">
        <f>IFERROR(IF(SUMIFS(_REF_Model_Content!$J$1:$J$157,_REF_Model_Content!$A$1:$A$157,'Company Profile'!$B$9,_REF_Model_Content!$B$1:$B$157,$B65)=0,1,SUMIFS(_REF_Model_Content!$J$1:$J$157,_REF_Model_Content!$A$1:$A$157,'Company Profile'!$B$9,_REF_Model_Content!$B$1:$B$157,$B65)),1)</f>
        <v/>
      </c>
      <c r="AT65" s="247">
        <f>IF(OR($AY65="Done",$AY65="Not applicable"),"",IF($AC65="","",ROUND(N($AC65)*N($AS65),2)))</f>
        <v/>
      </c>
      <c r="AU65" s="247">
        <f>IF($AT65="","",_xlfn.RANK.EQ($AT65,$AT$5:$AT$76,0)+COUNTIF($AT$5:AT65,$AT65)-1)</f>
        <v/>
      </c>
      <c r="AV65" s="247">
        <f>IFERROR(INDEX('_DATA_Dashboard_Facts'!$G$300:$G$316,MATCH($B65,'_DATA_Dashboard_Facts'!$A$300:$A$316,0)),"")</f>
        <v/>
      </c>
      <c r="AW65" s="247">
        <f>IF($AS65&gt;cfg_IndPriorityHigh,"Industry template increases priority",IF($AS65&lt;cfg_IndPriorityLow,"Industry template lowers priority","Industry-neutral priority"))</f>
        <v/>
      </c>
      <c r="AX65">
        <f>IFERROR(INDEX('Action Plan &amp; Roadmap'!$D$59:$D$130,MATCH($A65,'Action Plan &amp; Roadmap'!$A$59:$A$130,0)),"")</f>
      </c>
      <c r="AY65">
        <f>IF($AX65&lt;&gt;"",$AX65,IF($AO65="","Not started",$AO65))</f>
        <v/>
      </c>
      <c r="AZ65" t="inlineStr">
        <is>
          <t>Percentage achieved from supply chain generative AI use for: reduced accidents at work; Percentage achieved from supply chain generative AI use for: reduced production downtime</t>
        </is>
      </c>
      <c r="BA65">
        <f>IF($A65="","",COUNTIF('_DATA_Mappings'!$A:$A,$A65))</f>
        <v/>
      </c>
      <c r="BB65">
        <f>IF($A65="","",IFERROR(AVERAGEIF('_DATA_Mappings'!$A:$A,$A65,'_DATA_Mappings'!$G:$G),0))</f>
        <v/>
      </c>
      <c r="BC65">
        <f>IF($A65="","",MAX(0,MIN(5,(N($O65)*0.50)+(N($V65)*0.30)+(N($W65)*0.20))))</f>
        <v/>
      </c>
      <c r="BD65">
        <f>IF($A65="","",MAX(1,MIN(5,($Z65*0.45)+(MIN(5,$BB65/5)*0.35)+($BC65*0.20))))</f>
        <v/>
      </c>
      <c r="BE65">
        <f>IF($AB65=0,"",ROUND((N($X65)+N($Y65)+N($BD65)+N($AA65))/$AB65,2))</f>
        <v/>
      </c>
      <c r="BF65">
        <f>IF(OR($BE65="",$AY65="Done",$AY65="Not applicable"),"",ROUND($BE65*N($AS65),2))</f>
        <v/>
      </c>
      <c r="BG65">
        <f>IF($BF65="","",_xlfn.RANK.EQ($BF65,$BF$5:$BF$76,0)+COUNTIF($BF$5:$BF65,$BF65)-1)</f>
        <v/>
      </c>
      <c r="BH65">
        <f>IF($A65="","",IF($BB65&gt;20,"High P1 risk pressure",IF($BB65&gt;12,"Moderate P1 risk pressure","Lower P1 risk pressure")))</f>
        <v/>
      </c>
      <c r="BI65" s="25">
        <f>'_CONFIG_Model_Settings'!$B$103</f>
        <v/>
      </c>
      <c r="BJ65" s="25">
        <f>IFERROR(INDEX('_CONFIG_Model_Settings'!$B$109:$B$113,MATCH($BI65,'_CONFIG_Model_Settings'!$A$109:$A$113,0)),0.30)</f>
        <v/>
      </c>
      <c r="BK65" s="25">
        <f>IFERROR(INDEX('_CONFIG_Model_Settings'!$C$109:$C$113,MATCH($BI65,'_CONFIG_Model_Settings'!$A$109:$A$113,0)),0.20)</f>
        <v/>
      </c>
      <c r="BL65" s="25">
        <f>IFERROR(INDEX('_CONFIG_Model_Settings'!$D$109:$D$113,MATCH($BI65,'_CONFIG_Model_Settings'!$A$109:$A$113,0)),0.25)</f>
        <v/>
      </c>
      <c r="BM65" s="25">
        <f>IFERROR(INDEX('_CONFIG_Model_Settings'!$E$109:$E$113,MATCH($BI65,'_CONFIG_Model_Settings'!$A$109:$A$113,0)),0.25)</f>
        <v/>
      </c>
      <c r="BN65" s="25">
        <f>IFERROR(INDEX('_CONFIG_Model_Settings'!$B$117:$B$123,MATCH('_CONFIG_Model_Settings'!$B$104,'_CONFIG_Model_Settings'!$A$117:$A$123,0)),1)</f>
        <v/>
      </c>
      <c r="BO65" s="25">
        <f>IFERROR(INDEX('_CONFIG_Model_Settings'!$C$117:$C$123,MATCH('_CONFIG_Model_Settings'!$B$104,'_CONFIG_Model_Settings'!$A$117:$A$123,0)),1)</f>
        <v/>
      </c>
      <c r="BP65" s="25">
        <f>IFERROR(INDEX('_CONFIG_Model_Settings'!$D$117:$D$123,MATCH('_CONFIG_Model_Settings'!$B$104,'_CONFIG_Model_Settings'!$A$117:$A$123,0)),1)</f>
        <v/>
      </c>
      <c r="BQ65" s="25">
        <f>IFERROR(INDEX('_CONFIG_Model_Settings'!$E$117:$E$123,MATCH('_CONFIG_Model_Settings'!$B$104,'_CONFIG_Model_Settings'!$A$117:$A$123,0)),1)</f>
        <v/>
      </c>
      <c r="BR65" s="25">
        <f>IF($A65="","",MIN(5,IFERROR(SUMIF('_DATA_Mappings'!$A:$A,$A65,'_DATA_Mappings'!$K:$K)/MAX(1,'_CONFIG_Model_Settings'!$B$105),0)))</f>
        <v/>
      </c>
      <c r="BS65" s="25">
        <f>IF($A65="","",ROUND((N($X65)*N($BJ65)*N($BN65)+N($Y65)*N($BK65)*N($BO65)+N($BD65)*N($BL65)*N($BP65)+N($AA65)*N($BM65)*N($BQ65)+N($BR65)*N('_CONFIG_Model_Settings'!$B$106))/(N($BJ65)*N($BN65)+N($BK65)*N($BO65)+N($BL65)*N($BP65)+N($BM65)*N($BQ65)+N('_CONFIG_Model_Settings'!$B$106)),2))</f>
        <v/>
      </c>
      <c r="BT65" s="25">
        <f>IF($A65="","",MAX(1,N($AB65)))</f>
        <v/>
      </c>
      <c r="BU65" s="25">
        <f>IF(OR($BS65="",$BT65=0),"",ROUND($BS65/$BT65,2))</f>
        <v/>
      </c>
      <c r="BV65" s="25">
        <f>IF(OR($BU65="",$AY65="Done",$AY65="Not applicable"),"",ROUND($BU65*N($AS65),2))</f>
        <v/>
      </c>
      <c r="BW65" s="25">
        <f>IF($BV65="","",_xlfn.RANK.EQ($BV65,$BV$5:$BV$76,0)+COUNTIF($BV$5:$BV65,$BV65)-1)</f>
        <v/>
      </c>
      <c r="BX65" s="25">
        <f>IF($BW65="","",IF($BW65&lt;=cfg_TimelineBucket1,"0-90 days",IF($BW65&lt;=cfg_TimelineBucket2,"3-6 months",IF($BW65&lt;=cfg_TimelineBucket3,"6-12 months","12+ months"))))</f>
        <v/>
      </c>
      <c r="BY65" s="25">
        <f>IF($A65="","","P2: "&amp;$BI65&amp;" posture; objective="&amp;'_CONFIG_Model_Settings'!$B$104&amp;"; financial score="&amp;ROUND(N($BR65),1)&amp;"; CoD="&amp;$BS65)</f>
        <v/>
      </c>
    </row>
    <row r="66" ht="42" customHeight="1" s="209">
      <c r="A66" s="25" t="inlineStr">
        <is>
          <t>INI-062</t>
        </is>
      </c>
      <c r="B66" s="25" t="inlineStr">
        <is>
          <t>Data BI AI</t>
        </is>
      </c>
      <c r="C66" s="25" t="inlineStr">
        <is>
          <t>AI readiness</t>
        </is>
      </c>
      <c r="D66" s="25" t="inlineStr">
        <is>
          <t>Data Governance and AI Readiness Strategy</t>
        </is>
      </c>
      <c r="E66" s="25" t="inlineStr">
        <is>
          <t>STR-05</t>
        </is>
      </c>
      <c r="F66" s="25" t="inlineStr">
        <is>
          <t>Implement AI readiness, governance and use-case portfolio</t>
        </is>
      </c>
      <c r="G66" s="25" t="inlineStr">
        <is>
          <t>Close maturity gaps in ai readiness by assigning ownership, documenting the process, connecting it to evidence and systems, testing it against crisis scenarios and measuring improvement.</t>
        </is>
      </c>
      <c r="H66" s="25" t="inlineStr">
        <is>
          <t>Data, BI, analytics and AI governance</t>
        </is>
      </c>
      <c r="I66" s="25" t="inlineStr">
        <is>
          <t>Cyberattack / ransomware; Regulatory / legal shock; Demand shock</t>
        </is>
      </c>
      <c r="J66" s="25" t="inlineStr">
        <is>
          <t>DATA-023; DATA-024; DATA-025; DATA-026; DATA-027</t>
        </is>
      </c>
      <c r="K66" s="25" t="n">
        <v>5</v>
      </c>
      <c r="L66" s="25">
        <f>COUNTIFS('_ENGINE_Risk'!$C$500:$C$923,$B66,'_ENGINE_Risk'!$D$500:$D$923,$C66,'_ENGINE_Risk'!$B$500:$B$923,"Yes")</f>
        <v/>
      </c>
      <c r="M66" s="25">
        <f>COUNTIFS('_ENGINE_Risk'!$C$500:$C$923,$B66,'_ENGINE_Risk'!$D$500:$D$923,$C66,'_ENGINE_Risk'!$B$500:$B$923,"Yes")</f>
        <v/>
      </c>
      <c r="N66" s="25">
        <f>IFERROR(AVERAGEIFS(_DATA_Assessment_Model!$H$5:$H$428,_DATA_Assessment_Model!$AW$5:$AW$428,$B66,_DATA_Assessment_Model!$B$5:$B$428,$C66),"")</f>
        <v/>
      </c>
      <c r="O66" s="25">
        <f>IF($N66="","",MAX(0,5-$N66))</f>
        <v/>
      </c>
      <c r="P66" s="25">
        <f>IFERROR(INDEX(_DATA_Dashboard_Facts!$H$5:$H$21,MATCH($B66,_DATA_Dashboard_Facts!$A$5:$A$21,0)),"")</f>
        <v/>
      </c>
      <c r="Q66" s="25">
        <f>IF($P66="","",MAX(0,5-$P66))</f>
        <v/>
      </c>
      <c r="R66" s="25">
        <f>IFERROR(SUMIFS(_ENGINE_Crisis!$D$5:$D$208,_ENGINE_Crisis!$A$5:$A$208,'Resilience &amp; Risk Scenario'!$B$6,_ENGINE_Crisis!$B$5:$B$208,$B66),1)</f>
        <v/>
      </c>
      <c r="S66" s="25">
        <f>IFERROR(INDEX('_ENGINE_Strategy'!$A$100:$A$113,MATCH($D66,'_ENGINE_Strategy'!$B$100:$B$113,0)),99)</f>
        <v/>
      </c>
      <c r="T66" s="25">
        <f>IFERROR(INDEX('_ENGINE_Strategy'!$J$100:$J$113,MATCH($D66,'_ENGINE_Strategy'!$B$100:$B$113,0)),0)</f>
        <v/>
      </c>
      <c r="U66" s="25" t="n">
        <v>5</v>
      </c>
      <c r="V66" s="25" t="n">
        <v>3</v>
      </c>
      <c r="W66" s="25" t="n">
        <v>4</v>
      </c>
      <c r="X66" s="25">
        <f>MAX(1,MIN(5,(N($O66)*0.50)+(N($Q66)*0.25)+((N($T66)/20)*0.25)))</f>
        <v/>
      </c>
      <c r="Y66" s="25">
        <f>MAX(1,MIN(5,(($R66-1)*1.6)+('Resilience &amp; Risk Scenario'!$B$7*0.45)+IF($S66&lt;=3,0.8,0)))</f>
        <v/>
      </c>
      <c r="Z66" s="25">
        <f>MAX(1,MIN(5,(N($O66)*0.45)+(MIN(5,5*N($M66)/MAX(1,N($K66)))*0.35)+(N($V66)*0.20)))</f>
        <v/>
      </c>
      <c r="AA66" s="25">
        <f>MAX(1,MIN(5,($U66*0.40)+($W66*0.30)+(($T66/20)*0.30)))</f>
        <v/>
      </c>
      <c r="AB66" s="25" t="n">
        <v>4</v>
      </c>
      <c r="AC66" s="25">
        <f>IF($AB66=0,"",ROUND((N($X66)+N($Y66)+N($Z66)+N($AA66))/$AB66,2))</f>
        <v/>
      </c>
      <c r="AD66" s="25">
        <f>IF($AC66="","",_xlfn.RANK.EQ($AC66,$AC$5:$AC$76,0)+COUNTIF($AC$5:$AC66,$AC66)-1)</f>
        <v/>
      </c>
      <c r="AE66" s="25">
        <f>IF($AD66="","",IF($AD66&lt;=cfg_TimelineBucket1,"0-90 days",IF($AD66&lt;=cfg_TimelineBucket2,"3-6 months",IF($AD66&lt;=cfg_TimelineBucket3,"6-12 months","12+ months"))))</f>
        <v/>
      </c>
      <c r="AF66" s="25" t="inlineStr">
        <is>
          <t>CDO / Head of Data</t>
        </is>
      </c>
      <c r="AG66" s="25" t="inlineStr">
        <is>
          <t>3-6 months</t>
        </is>
      </c>
      <c r="AH66" s="25" t="inlineStr">
        <is>
          <t>Executive sponsor; accountable process owner; baseline evidence; risk acceptance threshold; IT architecture inventory; data/system owners</t>
        </is>
      </c>
      <c r="AI66" s="25" t="inlineStr">
        <is>
          <t>maturity score improvement; open risk reduction; evidence completeness; control test pass rate</t>
        </is>
      </c>
      <c r="AJ66" s="25" t="inlineStr">
        <is>
          <t>Documented ai readiness operating model, owner/RACI, KPI set, evidence pack, tested crisis playbook and improvement backlog.</t>
        </is>
      </c>
      <c r="AK66" s="25" t="inlineStr">
        <is>
          <t>Counts active next-level recommendations for Data BI AI / AI readiness.</t>
        </is>
      </c>
      <c r="AL66" s="25" t="inlineStr">
        <is>
          <t>Counts active risks and risk scores for Data BI AI / AI readiness.</t>
        </is>
      </c>
      <c r="AM66" s="25" t="inlineStr">
        <is>
          <t>Uses the current rank and total score of Data Governance and AI Readiness Strategy.</t>
        </is>
      </c>
      <c r="AN66" s="25" t="inlineStr">
        <is>
          <t>Trigger when avg score &lt; 4, active risk exists, active recommendation exists or strategy rank &lt;= 3.</t>
        </is>
      </c>
      <c r="AO66" s="25" t="inlineStr">
        <is>
          <t>Not started</t>
        </is>
      </c>
      <c r="AP66" s="25" t="inlineStr">
        <is>
          <t>Medium-High</t>
        </is>
      </c>
      <c r="AQ66" s="25" t="n"/>
      <c r="AR66" s="25" t="n"/>
      <c r="AS66" s="247">
        <f>IFERROR(IF(SUMIFS(_REF_Model_Content!$J$1:$J$157,_REF_Model_Content!$A$1:$A$157,'Company Profile'!$B$9,_REF_Model_Content!$B$1:$B$157,$B66)=0,1,SUMIFS(_REF_Model_Content!$J$1:$J$157,_REF_Model_Content!$A$1:$A$157,'Company Profile'!$B$9,_REF_Model_Content!$B$1:$B$157,$B66)),1)</f>
        <v/>
      </c>
      <c r="AT66" s="247">
        <f>IF(OR($AY66="Done",$AY66="Not applicable"),"",IF($AC66="","",ROUND(N($AC66)*N($AS66),2)))</f>
        <v/>
      </c>
      <c r="AU66" s="247">
        <f>IF($AT66="","",_xlfn.RANK.EQ($AT66,$AT$5:$AT$76,0)+COUNTIF($AT$5:AT66,$AT66)-1)</f>
        <v/>
      </c>
      <c r="AV66" s="247">
        <f>IFERROR(INDEX('_DATA_Dashboard_Facts'!$G$300:$G$316,MATCH($B66,'_DATA_Dashboard_Facts'!$A$300:$A$316,0)),"")</f>
        <v/>
      </c>
      <c r="AW66" s="247">
        <f>IF($AS66&gt;cfg_IndPriorityHigh,"Industry template increases priority",IF($AS66&lt;cfg_IndPriorityLow,"Industry template lowers priority","Industry-neutral priority"))</f>
        <v/>
      </c>
      <c r="AX66">
        <f>IFERROR(INDEX('Action Plan &amp; Roadmap'!$D$59:$D$130,MATCH($A66,'Action Plan &amp; Roadmap'!$A$59:$A$130,0)),"")</f>
      </c>
      <c r="AY66">
        <f>IF($AX66&lt;&gt;"",$AX66,IF($AO66="","Not started",$AO66))</f>
        <v/>
      </c>
      <c r="AZ66" t="inlineStr">
        <is>
          <t>Percentage achieved from supply chain generative AI use for: reduced accidents at work; Percentage achieved from supply chain generative AI use for: reduced production downtime</t>
        </is>
      </c>
      <c r="BA66">
        <f>IF($A66="","",COUNTIF('_DATA_Mappings'!$A:$A,$A66))</f>
        <v/>
      </c>
      <c r="BB66">
        <f>IF($A66="","",IFERROR(AVERAGEIF('_DATA_Mappings'!$A:$A,$A66,'_DATA_Mappings'!$G:$G),0))</f>
        <v/>
      </c>
      <c r="BC66">
        <f>IF($A66="","",MAX(0,MIN(5,(N($O66)*0.50)+(N($V66)*0.30)+(N($W66)*0.20))))</f>
        <v/>
      </c>
      <c r="BD66">
        <f>IF($A66="","",MAX(1,MIN(5,($Z66*0.45)+(MIN(5,$BB66/5)*0.35)+($BC66*0.20))))</f>
        <v/>
      </c>
      <c r="BE66">
        <f>IF($AB66=0,"",ROUND((N($X66)+N($Y66)+N($BD66)+N($AA66))/$AB66,2))</f>
        <v/>
      </c>
      <c r="BF66">
        <f>IF(OR($BE66="",$AY66="Done",$AY66="Not applicable"),"",ROUND($BE66*N($AS66),2))</f>
        <v/>
      </c>
      <c r="BG66">
        <f>IF($BF66="","",_xlfn.RANK.EQ($BF66,$BF$5:$BF$76,0)+COUNTIF($BF$5:$BF66,$BF66)-1)</f>
        <v/>
      </c>
      <c r="BH66">
        <f>IF($A66="","",IF($BB66&gt;20,"High P1 risk pressure",IF($BB66&gt;12,"Moderate P1 risk pressure","Lower P1 risk pressure")))</f>
        <v/>
      </c>
      <c r="BI66" s="25">
        <f>'_CONFIG_Model_Settings'!$B$103</f>
        <v/>
      </c>
      <c r="BJ66" s="25">
        <f>IFERROR(INDEX('_CONFIG_Model_Settings'!$B$109:$B$113,MATCH($BI66,'_CONFIG_Model_Settings'!$A$109:$A$113,0)),0.30)</f>
        <v/>
      </c>
      <c r="BK66" s="25">
        <f>IFERROR(INDEX('_CONFIG_Model_Settings'!$C$109:$C$113,MATCH($BI66,'_CONFIG_Model_Settings'!$A$109:$A$113,0)),0.20)</f>
        <v/>
      </c>
      <c r="BL66" s="25">
        <f>IFERROR(INDEX('_CONFIG_Model_Settings'!$D$109:$D$113,MATCH($BI66,'_CONFIG_Model_Settings'!$A$109:$A$113,0)),0.25)</f>
        <v/>
      </c>
      <c r="BM66" s="25">
        <f>IFERROR(INDEX('_CONFIG_Model_Settings'!$E$109:$E$113,MATCH($BI66,'_CONFIG_Model_Settings'!$A$109:$A$113,0)),0.25)</f>
        <v/>
      </c>
      <c r="BN66" s="25">
        <f>IFERROR(INDEX('_CONFIG_Model_Settings'!$B$117:$B$123,MATCH('_CONFIG_Model_Settings'!$B$104,'_CONFIG_Model_Settings'!$A$117:$A$123,0)),1)</f>
        <v/>
      </c>
      <c r="BO66" s="25">
        <f>IFERROR(INDEX('_CONFIG_Model_Settings'!$C$117:$C$123,MATCH('_CONFIG_Model_Settings'!$B$104,'_CONFIG_Model_Settings'!$A$117:$A$123,0)),1)</f>
        <v/>
      </c>
      <c r="BP66" s="25">
        <f>IFERROR(INDEX('_CONFIG_Model_Settings'!$D$117:$D$123,MATCH('_CONFIG_Model_Settings'!$B$104,'_CONFIG_Model_Settings'!$A$117:$A$123,0)),1)</f>
        <v/>
      </c>
      <c r="BQ66" s="25">
        <f>IFERROR(INDEX('_CONFIG_Model_Settings'!$E$117:$E$123,MATCH('_CONFIG_Model_Settings'!$B$104,'_CONFIG_Model_Settings'!$A$117:$A$123,0)),1)</f>
        <v/>
      </c>
      <c r="BR66" s="25">
        <f>IF($A66="","",MIN(5,IFERROR(SUMIF('_DATA_Mappings'!$A:$A,$A66,'_DATA_Mappings'!$K:$K)/MAX(1,'_CONFIG_Model_Settings'!$B$105),0)))</f>
        <v/>
      </c>
      <c r="BS66" s="25">
        <f>IF($A66="","",ROUND((N($X66)*N($BJ66)*N($BN66)+N($Y66)*N($BK66)*N($BO66)+N($BD66)*N($BL66)*N($BP66)+N($AA66)*N($BM66)*N($BQ66)+N($BR66)*N('_CONFIG_Model_Settings'!$B$106))/(N($BJ66)*N($BN66)+N($BK66)*N($BO66)+N($BL66)*N($BP66)+N($BM66)*N($BQ66)+N('_CONFIG_Model_Settings'!$B$106)),2))</f>
        <v/>
      </c>
      <c r="BT66" s="25">
        <f>IF($A66="","",MAX(1,N($AB66)))</f>
        <v/>
      </c>
      <c r="BU66" s="25">
        <f>IF(OR($BS66="",$BT66=0),"",ROUND($BS66/$BT66,2))</f>
        <v/>
      </c>
      <c r="BV66" s="25">
        <f>IF(OR($BU66="",$AY66="Done",$AY66="Not applicable"),"",ROUND($BU66*N($AS66),2))</f>
        <v/>
      </c>
      <c r="BW66" s="25">
        <f>IF($BV66="","",_xlfn.RANK.EQ($BV66,$BV$5:$BV$76,0)+COUNTIF($BV$5:$BV66,$BV66)-1)</f>
        <v/>
      </c>
      <c r="BX66" s="25">
        <f>IF($BW66="","",IF($BW66&lt;=cfg_TimelineBucket1,"0-90 days",IF($BW66&lt;=cfg_TimelineBucket2,"3-6 months",IF($BW66&lt;=cfg_TimelineBucket3,"6-12 months","12+ months"))))</f>
        <v/>
      </c>
      <c r="BY66" s="25">
        <f>IF($A66="","","P2: "&amp;$BI66&amp;" posture; objective="&amp;'_CONFIG_Model_Settings'!$B$104&amp;"; financial score="&amp;ROUND(N($BR66),1)&amp;"; CoD="&amp;$BS66)</f>
        <v/>
      </c>
    </row>
    <row r="67" ht="42" customHeight="1" s="209">
      <c r="A67" s="25" t="inlineStr">
        <is>
          <t>INI-063</t>
        </is>
      </c>
      <c r="B67" s="25" t="inlineStr">
        <is>
          <t>Cyber Privacy</t>
        </is>
      </c>
      <c r="C67" s="25" t="inlineStr">
        <is>
          <t>Security governance</t>
        </is>
      </c>
      <c r="D67" s="25" t="inlineStr">
        <is>
          <t>Cyber Resilience Strategy</t>
        </is>
      </c>
      <c r="E67" s="25" t="inlineStr">
        <is>
          <t>STR-04</t>
        </is>
      </c>
      <c r="F67" s="25" t="inlineStr">
        <is>
          <t>Implement security governance and risk-management operating model</t>
        </is>
      </c>
      <c r="G67" s="25" t="inlineStr">
        <is>
          <t>Close maturity gaps in security governance by assigning ownership, documenting the process, connecting it to evidence and systems, testing it against crisis scenarios and measuring improvement.</t>
        </is>
      </c>
      <c r="H67" s="25" t="inlineStr">
        <is>
          <t>Cybersecurity, privacy and access control</t>
        </is>
      </c>
      <c r="I67" s="25" t="inlineStr">
        <is>
          <t>Cyberattack / ransomware; Regulatory / legal shock; Reputation crisis</t>
        </is>
      </c>
      <c r="J67" s="25" t="inlineStr">
        <is>
          <t>CYBE-001; CYBE-002; CYBE-003; CYBE-004; CYBE-005; CYBE-006</t>
        </is>
      </c>
      <c r="K67" s="25" t="n">
        <v>6</v>
      </c>
      <c r="L67" s="25">
        <f>COUNTIFS('_ENGINE_Risk'!$C$500:$C$923,$B67,'_ENGINE_Risk'!$D$500:$D$923,$C67,'_ENGINE_Risk'!$B$500:$B$923,"Yes")</f>
        <v/>
      </c>
      <c r="M67" s="25">
        <f>COUNTIFS('_ENGINE_Risk'!$C$500:$C$923,$B67,'_ENGINE_Risk'!$D$500:$D$923,$C67,'_ENGINE_Risk'!$B$500:$B$923,"Yes")</f>
        <v/>
      </c>
      <c r="N67" s="25">
        <f>IFERROR(AVERAGEIFS(_DATA_Assessment_Model!$H$5:$H$428,_DATA_Assessment_Model!$AW$5:$AW$428,$B67,_DATA_Assessment_Model!$B$5:$B$428,$C67),"")</f>
        <v/>
      </c>
      <c r="O67" s="25">
        <f>IF($N67="","",MAX(0,5-$N67))</f>
        <v/>
      </c>
      <c r="P67" s="25">
        <f>IFERROR(INDEX(_DATA_Dashboard_Facts!$H$5:$H$21,MATCH($B67,_DATA_Dashboard_Facts!$A$5:$A$21,0)),"")</f>
        <v/>
      </c>
      <c r="Q67" s="25">
        <f>IF($P67="","",MAX(0,5-$P67))</f>
        <v/>
      </c>
      <c r="R67" s="25">
        <f>IFERROR(SUMIFS(_ENGINE_Crisis!$D$5:$D$208,_ENGINE_Crisis!$A$5:$A$208,'Resilience &amp; Risk Scenario'!$B$6,_ENGINE_Crisis!$B$5:$B$208,$B67),1)</f>
        <v/>
      </c>
      <c r="S67" s="25">
        <f>IFERROR(INDEX('_ENGINE_Strategy'!$A$100:$A$113,MATCH($D67,'_ENGINE_Strategy'!$B$100:$B$113,0)),99)</f>
        <v/>
      </c>
      <c r="T67" s="25">
        <f>IFERROR(INDEX('_ENGINE_Strategy'!$J$100:$J$113,MATCH($D67,'_ENGINE_Strategy'!$B$100:$B$113,0)),0)</f>
        <v/>
      </c>
      <c r="U67" s="25" t="n">
        <v>4</v>
      </c>
      <c r="V67" s="25" t="n">
        <v>5</v>
      </c>
      <c r="W67" s="25" t="n">
        <v>4</v>
      </c>
      <c r="X67" s="25">
        <f>MAX(1,MIN(5,(N($O67)*0.50)+(N($Q67)*0.25)+((N($T67)/20)*0.25)))</f>
        <v/>
      </c>
      <c r="Y67" s="25">
        <f>MAX(1,MIN(5,(($R67-1)*1.6)+('Resilience &amp; Risk Scenario'!$B$7*0.45)+IF($S67&lt;=3,0.8,0)))</f>
        <v/>
      </c>
      <c r="Z67" s="25">
        <f>MAX(1,MIN(5,(N($O67)*0.45)+(MIN(5,5*N($M67)/MAX(1,N($K67)))*0.35)+(N($V67)*0.20)))</f>
        <v/>
      </c>
      <c r="AA67" s="25">
        <f>MAX(1,MIN(5,($U67*0.40)+($W67*0.30)+(($T67/20)*0.30)))</f>
        <v/>
      </c>
      <c r="AB67" s="25" t="n">
        <v>4</v>
      </c>
      <c r="AC67" s="25">
        <f>IF($AB67=0,"",ROUND((N($X67)+N($Y67)+N($Z67)+N($AA67))/$AB67,2))</f>
        <v/>
      </c>
      <c r="AD67" s="25">
        <f>IF($AC67="","",_xlfn.RANK.EQ($AC67,$AC$5:$AC$76,0)+COUNTIF($AC$5:$AC67,$AC67)-1)</f>
        <v/>
      </c>
      <c r="AE67" s="25">
        <f>IF($AD67="","",IF($AD67&lt;=cfg_TimelineBucket1,"0-90 days",IF($AD67&lt;=cfg_TimelineBucket2,"3-6 months",IF($AD67&lt;=cfg_TimelineBucket3,"6-12 months","12+ months"))))</f>
        <v/>
      </c>
      <c r="AF67" s="25" t="inlineStr">
        <is>
          <t>CISO / DPO</t>
        </is>
      </c>
      <c r="AG67" s="25" t="inlineStr">
        <is>
          <t>3-6 months</t>
        </is>
      </c>
      <c r="AH67" s="25" t="inlineStr">
        <is>
          <t>Executive sponsor; accountable process owner; baseline evidence; risk acceptance threshold; IT architecture inventory; data/system owners</t>
        </is>
      </c>
      <c r="AI67" s="25" t="inlineStr">
        <is>
          <t>maturity score improvement; open risk reduction; evidence completeness; control test pass rate; MFA coverage; vulnerabilities remediated; incident response exercise completion</t>
        </is>
      </c>
      <c r="AJ67" s="25" t="inlineStr">
        <is>
          <t>Documented security governance operating model, owner/RACI, KPI set, evidence pack, tested crisis playbook and improvement backlog.</t>
        </is>
      </c>
      <c r="AK67" s="25" t="inlineStr">
        <is>
          <t>Counts active next-level recommendations for Cyber Privacy / Security governance.</t>
        </is>
      </c>
      <c r="AL67" s="25" t="inlineStr">
        <is>
          <t>Counts active risks and risk scores for Cyber Privacy / Security governance.</t>
        </is>
      </c>
      <c r="AM67" s="25" t="inlineStr">
        <is>
          <t>Uses the current rank and total score of Cyber Resilience Strategy.</t>
        </is>
      </c>
      <c r="AN67" s="25" t="inlineStr">
        <is>
          <t>Trigger when avg score &lt; 4, active risk exists, active recommendation exists or strategy rank &lt;= 3.</t>
        </is>
      </c>
      <c r="AO67" s="25" t="inlineStr">
        <is>
          <t>Not started</t>
        </is>
      </c>
      <c r="AP67" s="25" t="inlineStr">
        <is>
          <t>Medium-High</t>
        </is>
      </c>
      <c r="AQ67" s="25" t="n"/>
      <c r="AR67" s="25" t="n"/>
      <c r="AS67" s="247">
        <f>IFERROR(IF(SUMIFS(_REF_Model_Content!$J$1:$J$157,_REF_Model_Content!$A$1:$A$157,'Company Profile'!$B$9,_REF_Model_Content!$B$1:$B$157,$B67)=0,1,SUMIFS(_REF_Model_Content!$J$1:$J$157,_REF_Model_Content!$A$1:$A$157,'Company Profile'!$B$9,_REF_Model_Content!$B$1:$B$157,$B67)),1)</f>
        <v/>
      </c>
      <c r="AT67" s="247">
        <f>IF(OR($AY67="Done",$AY67="Not applicable"),"",IF($AC67="","",ROUND(N($AC67)*N($AS67),2)))</f>
        <v/>
      </c>
      <c r="AU67" s="247">
        <f>IF($AT67="","",_xlfn.RANK.EQ($AT67,$AT$5:$AT$76,0)+COUNTIF($AT$5:AT67,$AT67)-1)</f>
        <v/>
      </c>
      <c r="AV67" s="247">
        <f>IFERROR(INDEX('_DATA_Dashboard_Facts'!$G$300:$G$316,MATCH($B67,'_DATA_Dashboard_Facts'!$A$300:$A$316,0)),"")</f>
        <v/>
      </c>
      <c r="AW67" s="247">
        <f>IF($AS67&gt;cfg_IndPriorityHigh,"Industry template increases priority",IF($AS67&lt;cfg_IndPriorityLow,"Industry template lowers priority","Industry-neutral priority"))</f>
        <v/>
      </c>
      <c r="AX67">
        <f>IFERROR(INDEX('Action Plan &amp; Roadmap'!$D$59:$D$130,MATCH($A67,'Action Plan &amp; Roadmap'!$A$59:$A$130,0)),"")</f>
      </c>
      <c r="AY67">
        <f>IF($AX67&lt;&gt;"",$AX67,IF($AO67="","Not started",$AO67))</f>
        <v/>
      </c>
      <c r="AZ67" t="inlineStr">
        <is>
          <t>Number of lines of code maintained each year per application maintenance FTE; Annual revenue impact through investment in robotic process automation</t>
        </is>
      </c>
      <c r="BA67">
        <f>IF($A67="","",COUNTIF('_DATA_Mappings'!$A:$A,$A67))</f>
        <v/>
      </c>
      <c r="BB67">
        <f>IF($A67="","",IFERROR(AVERAGEIF('_DATA_Mappings'!$A:$A,$A67,'_DATA_Mappings'!$G:$G),0))</f>
        <v/>
      </c>
      <c r="BC67">
        <f>IF($A67="","",MAX(0,MIN(5,(N($O67)*0.50)+(N($V67)*0.30)+(N($W67)*0.20))))</f>
        <v/>
      </c>
      <c r="BD67">
        <f>IF($A67="","",MAX(1,MIN(5,($Z67*0.45)+(MIN(5,$BB67/5)*0.35)+($BC67*0.20))))</f>
        <v/>
      </c>
      <c r="BE67">
        <f>IF($AB67=0,"",ROUND((N($X67)+N($Y67)+N($BD67)+N($AA67))/$AB67,2))</f>
        <v/>
      </c>
      <c r="BF67">
        <f>IF(OR($BE67="",$AY67="Done",$AY67="Not applicable"),"",ROUND($BE67*N($AS67),2))</f>
        <v/>
      </c>
      <c r="BG67">
        <f>IF($BF67="","",_xlfn.RANK.EQ($BF67,$BF$5:$BF$76,0)+COUNTIF($BF$5:$BF67,$BF67)-1)</f>
        <v/>
      </c>
      <c r="BH67">
        <f>IF($A67="","",IF($BB67&gt;20,"High P1 risk pressure",IF($BB67&gt;12,"Moderate P1 risk pressure","Lower P1 risk pressure")))</f>
        <v/>
      </c>
      <c r="BI67" s="25">
        <f>'_CONFIG_Model_Settings'!$B$103</f>
        <v/>
      </c>
      <c r="BJ67" s="25">
        <f>IFERROR(INDEX('_CONFIG_Model_Settings'!$B$109:$B$113,MATCH($BI67,'_CONFIG_Model_Settings'!$A$109:$A$113,0)),0.30)</f>
        <v/>
      </c>
      <c r="BK67" s="25">
        <f>IFERROR(INDEX('_CONFIG_Model_Settings'!$C$109:$C$113,MATCH($BI67,'_CONFIG_Model_Settings'!$A$109:$A$113,0)),0.20)</f>
        <v/>
      </c>
      <c r="BL67" s="25">
        <f>IFERROR(INDEX('_CONFIG_Model_Settings'!$D$109:$D$113,MATCH($BI67,'_CONFIG_Model_Settings'!$A$109:$A$113,0)),0.25)</f>
        <v/>
      </c>
      <c r="BM67" s="25">
        <f>IFERROR(INDEX('_CONFIG_Model_Settings'!$E$109:$E$113,MATCH($BI67,'_CONFIG_Model_Settings'!$A$109:$A$113,0)),0.25)</f>
        <v/>
      </c>
      <c r="BN67" s="25">
        <f>IFERROR(INDEX('_CONFIG_Model_Settings'!$B$117:$B$123,MATCH('_CONFIG_Model_Settings'!$B$104,'_CONFIG_Model_Settings'!$A$117:$A$123,0)),1)</f>
        <v/>
      </c>
      <c r="BO67" s="25">
        <f>IFERROR(INDEX('_CONFIG_Model_Settings'!$C$117:$C$123,MATCH('_CONFIG_Model_Settings'!$B$104,'_CONFIG_Model_Settings'!$A$117:$A$123,0)),1)</f>
        <v/>
      </c>
      <c r="BP67" s="25">
        <f>IFERROR(INDEX('_CONFIG_Model_Settings'!$D$117:$D$123,MATCH('_CONFIG_Model_Settings'!$B$104,'_CONFIG_Model_Settings'!$A$117:$A$123,0)),1)</f>
        <v/>
      </c>
      <c r="BQ67" s="25">
        <f>IFERROR(INDEX('_CONFIG_Model_Settings'!$E$117:$E$123,MATCH('_CONFIG_Model_Settings'!$B$104,'_CONFIG_Model_Settings'!$A$117:$A$123,0)),1)</f>
        <v/>
      </c>
      <c r="BR67" s="25">
        <f>IF($A67="","",MIN(5,IFERROR(SUMIF('_DATA_Mappings'!$A:$A,$A67,'_DATA_Mappings'!$K:$K)/MAX(1,'_CONFIG_Model_Settings'!$B$105),0)))</f>
        <v/>
      </c>
      <c r="BS67" s="25">
        <f>IF($A67="","",ROUND((N($X67)*N($BJ67)*N($BN67)+N($Y67)*N($BK67)*N($BO67)+N($BD67)*N($BL67)*N($BP67)+N($AA67)*N($BM67)*N($BQ67)+N($BR67)*N('_CONFIG_Model_Settings'!$B$106))/(N($BJ67)*N($BN67)+N($BK67)*N($BO67)+N($BL67)*N($BP67)+N($BM67)*N($BQ67)+N('_CONFIG_Model_Settings'!$B$106)),2))</f>
        <v/>
      </c>
      <c r="BT67" s="25">
        <f>IF($A67="","",MAX(1,N($AB67)))</f>
        <v/>
      </c>
      <c r="BU67" s="25">
        <f>IF(OR($BS67="",$BT67=0),"",ROUND($BS67/$BT67,2))</f>
        <v/>
      </c>
      <c r="BV67" s="25">
        <f>IF(OR($BU67="",$AY67="Done",$AY67="Not applicable"),"",ROUND($BU67*N($AS67),2))</f>
        <v/>
      </c>
      <c r="BW67" s="25">
        <f>IF($BV67="","",_xlfn.RANK.EQ($BV67,$BV$5:$BV$76,0)+COUNTIF($BV$5:$BV67,$BV67)-1)</f>
        <v/>
      </c>
      <c r="BX67" s="25">
        <f>IF($BW67="","",IF($BW67&lt;=cfg_TimelineBucket1,"0-90 days",IF($BW67&lt;=cfg_TimelineBucket2,"3-6 months",IF($BW67&lt;=cfg_TimelineBucket3,"6-12 months","12+ months"))))</f>
        <v/>
      </c>
      <c r="BY67" s="25">
        <f>IF($A67="","","P2: "&amp;$BI67&amp;" posture; objective="&amp;'_CONFIG_Model_Settings'!$B$104&amp;"; financial score="&amp;ROUND(N($BR67),1)&amp;"; CoD="&amp;$BS67)</f>
        <v/>
      </c>
    </row>
    <row r="68" ht="42" customHeight="1" s="209">
      <c r="A68" s="25" t="inlineStr">
        <is>
          <t>INI-064</t>
        </is>
      </c>
      <c r="B68" s="25" t="inlineStr">
        <is>
          <t>Cyber Privacy</t>
        </is>
      </c>
      <c r="C68" s="25" t="inlineStr">
        <is>
          <t>Identity and access</t>
        </is>
      </c>
      <c r="D68" s="25" t="inlineStr">
        <is>
          <t>Cyber Resilience Strategy</t>
        </is>
      </c>
      <c r="E68" s="25" t="inlineStr">
        <is>
          <t>STR-04</t>
        </is>
      </c>
      <c r="F68" s="25" t="inlineStr">
        <is>
          <t>Strengthen IAM, MFA, privileged access and joiner/mover/leaver controls</t>
        </is>
      </c>
      <c r="G68" s="25" t="inlineStr">
        <is>
          <t>Close maturity gaps in identity and access by assigning ownership, documenting the process, connecting it to evidence and systems, testing it against crisis scenarios and measuring improvement.</t>
        </is>
      </c>
      <c r="H68" s="25" t="inlineStr">
        <is>
          <t>Cybersecurity, privacy and access control</t>
        </is>
      </c>
      <c r="I68" s="25" t="inlineStr">
        <is>
          <t>Cyberattack / ransomware; Regulatory / legal shock; Reputation crisis</t>
        </is>
      </c>
      <c r="J68" s="25" t="inlineStr">
        <is>
          <t>CYBE-007; CYBE-008; CYBE-009; CYBE-010; CYBE-011; CYBE-012</t>
        </is>
      </c>
      <c r="K68" s="25" t="n">
        <v>6</v>
      </c>
      <c r="L68" s="25">
        <f>COUNTIFS('_ENGINE_Risk'!$C$500:$C$923,$B68,'_ENGINE_Risk'!$D$500:$D$923,$C68,'_ENGINE_Risk'!$B$500:$B$923,"Yes")</f>
        <v/>
      </c>
      <c r="M68" s="25">
        <f>COUNTIFS('_ENGINE_Risk'!$C$500:$C$923,$B68,'_ENGINE_Risk'!$D$500:$D$923,$C68,'_ENGINE_Risk'!$B$500:$B$923,"Yes")</f>
        <v/>
      </c>
      <c r="N68" s="25">
        <f>IFERROR(AVERAGEIFS(_DATA_Assessment_Model!$H$5:$H$428,_DATA_Assessment_Model!$AW$5:$AW$428,$B68,_DATA_Assessment_Model!$B$5:$B$428,$C68),"")</f>
        <v/>
      </c>
      <c r="O68" s="25">
        <f>IF($N68="","",MAX(0,5-$N68))</f>
        <v/>
      </c>
      <c r="P68" s="25">
        <f>IFERROR(INDEX(_DATA_Dashboard_Facts!$H$5:$H$21,MATCH($B68,_DATA_Dashboard_Facts!$A$5:$A$21,0)),"")</f>
        <v/>
      </c>
      <c r="Q68" s="25">
        <f>IF($P68="","",MAX(0,5-$P68))</f>
        <v/>
      </c>
      <c r="R68" s="25">
        <f>IFERROR(SUMIFS(_ENGINE_Crisis!$D$5:$D$208,_ENGINE_Crisis!$A$5:$A$208,'Resilience &amp; Risk Scenario'!$B$6,_ENGINE_Crisis!$B$5:$B$208,$B68),1)</f>
        <v/>
      </c>
      <c r="S68" s="25">
        <f>IFERROR(INDEX('_ENGINE_Strategy'!$A$100:$A$113,MATCH($D68,'_ENGINE_Strategy'!$B$100:$B$113,0)),99)</f>
        <v/>
      </c>
      <c r="T68" s="25">
        <f>IFERROR(INDEX('_ENGINE_Strategy'!$J$100:$J$113,MATCH($D68,'_ENGINE_Strategy'!$B$100:$B$113,0)),0)</f>
        <v/>
      </c>
      <c r="U68" s="25" t="n">
        <v>4</v>
      </c>
      <c r="V68" s="25" t="n">
        <v>5</v>
      </c>
      <c r="W68" s="25" t="n">
        <v>4</v>
      </c>
      <c r="X68" s="25">
        <f>MAX(1,MIN(5,(N($O68)*0.50)+(N($Q68)*0.25)+((N($T68)/20)*0.25)))</f>
        <v/>
      </c>
      <c r="Y68" s="25">
        <f>MAX(1,MIN(5,(($R68-1)*1.6)+('Resilience &amp; Risk Scenario'!$B$7*0.45)+IF($S68&lt;=3,0.8,0)))</f>
        <v/>
      </c>
      <c r="Z68" s="25">
        <f>MAX(1,MIN(5,(N($O68)*0.45)+(MIN(5,5*N($M68)/MAX(1,N($K68)))*0.35)+(N($V68)*0.20)))</f>
        <v/>
      </c>
      <c r="AA68" s="25">
        <f>MAX(1,MIN(5,($U68*0.40)+($W68*0.30)+(($T68/20)*0.30)))</f>
        <v/>
      </c>
      <c r="AB68" s="25" t="n">
        <v>4</v>
      </c>
      <c r="AC68" s="25">
        <f>IF($AB68=0,"",ROUND((N($X68)+N($Y68)+N($Z68)+N($AA68))/$AB68,2))</f>
        <v/>
      </c>
      <c r="AD68" s="25">
        <f>IF($AC68="","",_xlfn.RANK.EQ($AC68,$AC$5:$AC$76,0)+COUNTIF($AC$5:$AC68,$AC68)-1)</f>
        <v/>
      </c>
      <c r="AE68" s="25">
        <f>IF($AD68="","",IF($AD68&lt;=cfg_TimelineBucket1,"0-90 days",IF($AD68&lt;=cfg_TimelineBucket2,"3-6 months",IF($AD68&lt;=cfg_TimelineBucket3,"6-12 months","12+ months"))))</f>
        <v/>
      </c>
      <c r="AF68" s="25" t="inlineStr">
        <is>
          <t>CISO / DPO</t>
        </is>
      </c>
      <c r="AG68" s="25" t="inlineStr">
        <is>
          <t>3-6 months</t>
        </is>
      </c>
      <c r="AH68" s="25" t="inlineStr">
        <is>
          <t>Executive sponsor; accountable process owner; baseline evidence; risk acceptance threshold; IT architecture inventory; data/system owners</t>
        </is>
      </c>
      <c r="AI68" s="25" t="inlineStr">
        <is>
          <t>maturity score improvement; open risk reduction; evidence completeness; control test pass rate; MFA coverage; vulnerabilities remediated; incident response exercise completion</t>
        </is>
      </c>
      <c r="AJ68" s="25" t="inlineStr">
        <is>
          <t>Documented identity and access operating model, owner/RACI, KPI set, evidence pack, tested crisis playbook and improvement backlog.</t>
        </is>
      </c>
      <c r="AK68" s="25" t="inlineStr">
        <is>
          <t>Counts active next-level recommendations for Cyber Privacy / Identity and access.</t>
        </is>
      </c>
      <c r="AL68" s="25" t="inlineStr">
        <is>
          <t>Counts active risks and risk scores for Cyber Privacy / Identity and access.</t>
        </is>
      </c>
      <c r="AM68" s="25" t="inlineStr">
        <is>
          <t>Uses the current rank and total score of Cyber Resilience Strategy.</t>
        </is>
      </c>
      <c r="AN68" s="25" t="inlineStr">
        <is>
          <t>Trigger when avg score &lt; 4, active risk exists, active recommendation exists or strategy rank &lt;= 3.</t>
        </is>
      </c>
      <c r="AO68" s="25" t="inlineStr">
        <is>
          <t>Not started</t>
        </is>
      </c>
      <c r="AP68" s="25" t="inlineStr">
        <is>
          <t>Medium-High</t>
        </is>
      </c>
      <c r="AQ68" s="25" t="n"/>
      <c r="AR68" s="25" t="n"/>
      <c r="AS68" s="247">
        <f>IFERROR(IF(SUMIFS(_REF_Model_Content!$J$1:$J$157,_REF_Model_Content!$A$1:$A$157,'Company Profile'!$B$9,_REF_Model_Content!$B$1:$B$157,$B68)=0,1,SUMIFS(_REF_Model_Content!$J$1:$J$157,_REF_Model_Content!$A$1:$A$157,'Company Profile'!$B$9,_REF_Model_Content!$B$1:$B$157,$B68)),1)</f>
        <v/>
      </c>
      <c r="AT68" s="247">
        <f>IF(OR($AY68="Done",$AY68="Not applicable"),"",IF($AC68="","",ROUND(N($AC68)*N($AS68),2)))</f>
        <v/>
      </c>
      <c r="AU68" s="247">
        <f>IF($AT68="","",_xlfn.RANK.EQ($AT68,$AT$5:$AT$76,0)+COUNTIF($AT$5:AT68,$AT68)-1)</f>
        <v/>
      </c>
      <c r="AV68" s="247">
        <f>IFERROR(INDEX('_DATA_Dashboard_Facts'!$G$300:$G$316,MATCH($B68,'_DATA_Dashboard_Facts'!$A$300:$A$316,0)),"")</f>
        <v/>
      </c>
      <c r="AW68" s="247">
        <f>IF($AS68&gt;cfg_IndPriorityHigh,"Industry template increases priority",IF($AS68&lt;cfg_IndPriorityLow,"Industry template lowers priority","Industry-neutral priority"))</f>
        <v/>
      </c>
      <c r="AX68">
        <f>IFERROR(INDEX('Action Plan &amp; Roadmap'!$D$59:$D$130,MATCH($A68,'Action Plan &amp; Roadmap'!$A$59:$A$130,0)),"")</f>
      </c>
      <c r="AY68">
        <f>IF($AX68&lt;&gt;"",$AX68,IF($AO68="","Not started",$AO68))</f>
        <v/>
      </c>
      <c r="AZ68" t="inlineStr">
        <is>
          <t>Number of lines of code maintained each year per application maintenance FTE; Annual revenue impact through investment in robotic process automation</t>
        </is>
      </c>
      <c r="BA68">
        <f>IF($A68="","",COUNTIF('_DATA_Mappings'!$A:$A,$A68))</f>
        <v/>
      </c>
      <c r="BB68">
        <f>IF($A68="","",IFERROR(AVERAGEIF('_DATA_Mappings'!$A:$A,$A68,'_DATA_Mappings'!$G:$G),0))</f>
        <v/>
      </c>
      <c r="BC68">
        <f>IF($A68="","",MAX(0,MIN(5,(N($O68)*0.50)+(N($V68)*0.30)+(N($W68)*0.20))))</f>
        <v/>
      </c>
      <c r="BD68">
        <f>IF($A68="","",MAX(1,MIN(5,($Z68*0.45)+(MIN(5,$BB68/5)*0.35)+($BC68*0.20))))</f>
        <v/>
      </c>
      <c r="BE68">
        <f>IF($AB68=0,"",ROUND((N($X68)+N($Y68)+N($BD68)+N($AA68))/$AB68,2))</f>
        <v/>
      </c>
      <c r="BF68">
        <f>IF(OR($BE68="",$AY68="Done",$AY68="Not applicable"),"",ROUND($BE68*N($AS68),2))</f>
        <v/>
      </c>
      <c r="BG68">
        <f>IF($BF68="","",_xlfn.RANK.EQ($BF68,$BF$5:$BF$76,0)+COUNTIF($BF$5:$BF68,$BF68)-1)</f>
        <v/>
      </c>
      <c r="BH68">
        <f>IF($A68="","",IF($BB68&gt;20,"High P1 risk pressure",IF($BB68&gt;12,"Moderate P1 risk pressure","Lower P1 risk pressure")))</f>
        <v/>
      </c>
      <c r="BI68" s="25">
        <f>'_CONFIG_Model_Settings'!$B$103</f>
        <v/>
      </c>
      <c r="BJ68" s="25">
        <f>IFERROR(INDEX('_CONFIG_Model_Settings'!$B$109:$B$113,MATCH($BI68,'_CONFIG_Model_Settings'!$A$109:$A$113,0)),0.30)</f>
        <v/>
      </c>
      <c r="BK68" s="25">
        <f>IFERROR(INDEX('_CONFIG_Model_Settings'!$C$109:$C$113,MATCH($BI68,'_CONFIG_Model_Settings'!$A$109:$A$113,0)),0.20)</f>
        <v/>
      </c>
      <c r="BL68" s="25">
        <f>IFERROR(INDEX('_CONFIG_Model_Settings'!$D$109:$D$113,MATCH($BI68,'_CONFIG_Model_Settings'!$A$109:$A$113,0)),0.25)</f>
        <v/>
      </c>
      <c r="BM68" s="25">
        <f>IFERROR(INDEX('_CONFIG_Model_Settings'!$E$109:$E$113,MATCH($BI68,'_CONFIG_Model_Settings'!$A$109:$A$113,0)),0.25)</f>
        <v/>
      </c>
      <c r="BN68" s="25">
        <f>IFERROR(INDEX('_CONFIG_Model_Settings'!$B$117:$B$123,MATCH('_CONFIG_Model_Settings'!$B$104,'_CONFIG_Model_Settings'!$A$117:$A$123,0)),1)</f>
        <v/>
      </c>
      <c r="BO68" s="25">
        <f>IFERROR(INDEX('_CONFIG_Model_Settings'!$C$117:$C$123,MATCH('_CONFIG_Model_Settings'!$B$104,'_CONFIG_Model_Settings'!$A$117:$A$123,0)),1)</f>
        <v/>
      </c>
      <c r="BP68" s="25">
        <f>IFERROR(INDEX('_CONFIG_Model_Settings'!$D$117:$D$123,MATCH('_CONFIG_Model_Settings'!$B$104,'_CONFIG_Model_Settings'!$A$117:$A$123,0)),1)</f>
        <v/>
      </c>
      <c r="BQ68" s="25">
        <f>IFERROR(INDEX('_CONFIG_Model_Settings'!$E$117:$E$123,MATCH('_CONFIG_Model_Settings'!$B$104,'_CONFIG_Model_Settings'!$A$117:$A$123,0)),1)</f>
        <v/>
      </c>
      <c r="BR68" s="25">
        <f>IF($A68="","",MIN(5,IFERROR(SUMIF('_DATA_Mappings'!$A:$A,$A68,'_DATA_Mappings'!$K:$K)/MAX(1,'_CONFIG_Model_Settings'!$B$105),0)))</f>
        <v/>
      </c>
      <c r="BS68" s="25">
        <f>IF($A68="","",ROUND((N($X68)*N($BJ68)*N($BN68)+N($Y68)*N($BK68)*N($BO68)+N($BD68)*N($BL68)*N($BP68)+N($AA68)*N($BM68)*N($BQ68)+N($BR68)*N('_CONFIG_Model_Settings'!$B$106))/(N($BJ68)*N($BN68)+N($BK68)*N($BO68)+N($BL68)*N($BP68)+N($BM68)*N($BQ68)+N('_CONFIG_Model_Settings'!$B$106)),2))</f>
        <v/>
      </c>
      <c r="BT68" s="25">
        <f>IF($A68="","",MAX(1,N($AB68)))</f>
        <v/>
      </c>
      <c r="BU68" s="25">
        <f>IF(OR($BS68="",$BT68=0),"",ROUND($BS68/$BT68,2))</f>
        <v/>
      </c>
      <c r="BV68" s="25">
        <f>IF(OR($BU68="",$AY68="Done",$AY68="Not applicable"),"",ROUND($BU68*N($AS68),2))</f>
        <v/>
      </c>
      <c r="BW68" s="25">
        <f>IF($BV68="","",_xlfn.RANK.EQ($BV68,$BV$5:$BV$76,0)+COUNTIF($BV$5:$BV68,$BV68)-1)</f>
        <v/>
      </c>
      <c r="BX68" s="25">
        <f>IF($BW68="","",IF($BW68&lt;=cfg_TimelineBucket1,"0-90 days",IF($BW68&lt;=cfg_TimelineBucket2,"3-6 months",IF($BW68&lt;=cfg_TimelineBucket3,"6-12 months","12+ months"))))</f>
        <v/>
      </c>
      <c r="BY68" s="25">
        <f>IF($A68="","","P2: "&amp;$BI68&amp;" posture; objective="&amp;'_CONFIG_Model_Settings'!$B$104&amp;"; financial score="&amp;ROUND(N($BR68),1)&amp;"; CoD="&amp;$BS68)</f>
        <v/>
      </c>
    </row>
    <row r="69" ht="42" customHeight="1" s="209">
      <c r="A69" s="25" t="inlineStr">
        <is>
          <t>INI-065</t>
        </is>
      </c>
      <c r="B69" s="25" t="inlineStr">
        <is>
          <t>Cyber Privacy</t>
        </is>
      </c>
      <c r="C69" s="25" t="inlineStr">
        <is>
          <t>Protection</t>
        </is>
      </c>
      <c r="D69" s="25" t="inlineStr">
        <is>
          <t>Cyber Resilience Strategy</t>
        </is>
      </c>
      <c r="E69" s="25" t="inlineStr">
        <is>
          <t>STR-04</t>
        </is>
      </c>
      <c r="F69" s="25" t="inlineStr">
        <is>
          <t>Improve endpoint, network, backup and vulnerability protection</t>
        </is>
      </c>
      <c r="G69" s="25" t="inlineStr">
        <is>
          <t>Close maturity gaps in protection by assigning ownership, documenting the process, connecting it to evidence and systems, testing it against crisis scenarios and measuring improvement.</t>
        </is>
      </c>
      <c r="H69" s="25" t="inlineStr">
        <is>
          <t>Cybersecurity, privacy and access control</t>
        </is>
      </c>
      <c r="I69" s="25" t="inlineStr">
        <is>
          <t>Cyberattack / ransomware; Regulatory / legal shock; Reputation crisis</t>
        </is>
      </c>
      <c r="J69" s="25" t="inlineStr">
        <is>
          <t>CYBE-013; CYBE-014; CYBE-015; CYBE-016; CYBE-017; CYBE-018; CYBE-019; CYBE-020</t>
        </is>
      </c>
      <c r="K69" s="25" t="n">
        <v>8</v>
      </c>
      <c r="L69" s="25">
        <f>COUNTIFS('_ENGINE_Risk'!$C$500:$C$923,$B69,'_ENGINE_Risk'!$D$500:$D$923,$C69,'_ENGINE_Risk'!$B$500:$B$923,"Yes")</f>
        <v/>
      </c>
      <c r="M69" s="25">
        <f>COUNTIFS('_ENGINE_Risk'!$C$500:$C$923,$B69,'_ENGINE_Risk'!$D$500:$D$923,$C69,'_ENGINE_Risk'!$B$500:$B$923,"Yes")</f>
        <v/>
      </c>
      <c r="N69" s="25">
        <f>IFERROR(AVERAGEIFS(_DATA_Assessment_Model!$H$5:$H$428,_DATA_Assessment_Model!$AW$5:$AW$428,$B69,_DATA_Assessment_Model!$B$5:$B$428,$C69),"")</f>
        <v/>
      </c>
      <c r="O69" s="25">
        <f>IF($N69="","",MAX(0,5-$N69))</f>
        <v/>
      </c>
      <c r="P69" s="25">
        <f>IFERROR(INDEX(_DATA_Dashboard_Facts!$H$5:$H$21,MATCH($B69,_DATA_Dashboard_Facts!$A$5:$A$21,0)),"")</f>
        <v/>
      </c>
      <c r="Q69" s="25">
        <f>IF($P69="","",MAX(0,5-$P69))</f>
        <v/>
      </c>
      <c r="R69" s="25">
        <f>IFERROR(SUMIFS(_ENGINE_Crisis!$D$5:$D$208,_ENGINE_Crisis!$A$5:$A$208,'Resilience &amp; Risk Scenario'!$B$6,_ENGINE_Crisis!$B$5:$B$208,$B69),1)</f>
        <v/>
      </c>
      <c r="S69" s="25">
        <f>IFERROR(INDEX('_ENGINE_Strategy'!$A$100:$A$113,MATCH($D69,'_ENGINE_Strategy'!$B$100:$B$113,0)),99)</f>
        <v/>
      </c>
      <c r="T69" s="25">
        <f>IFERROR(INDEX('_ENGINE_Strategy'!$J$100:$J$113,MATCH($D69,'_ENGINE_Strategy'!$B$100:$B$113,0)),0)</f>
        <v/>
      </c>
      <c r="U69" s="25" t="n">
        <v>4</v>
      </c>
      <c r="V69" s="25" t="n">
        <v>5</v>
      </c>
      <c r="W69" s="25" t="n">
        <v>4</v>
      </c>
      <c r="X69" s="25">
        <f>MAX(1,MIN(5,(N($O69)*0.50)+(N($Q69)*0.25)+((N($T69)/20)*0.25)))</f>
        <v/>
      </c>
      <c r="Y69" s="25">
        <f>MAX(1,MIN(5,(($R69-1)*1.6)+('Resilience &amp; Risk Scenario'!$B$7*0.45)+IF($S69&lt;=3,0.8,0)))</f>
        <v/>
      </c>
      <c r="Z69" s="25">
        <f>MAX(1,MIN(5,(N($O69)*0.45)+(MIN(5,5*N($M69)/MAX(1,N($K69)))*0.35)+(N($V69)*0.20)))</f>
        <v/>
      </c>
      <c r="AA69" s="25">
        <f>MAX(1,MIN(5,($U69*0.40)+($W69*0.30)+(($T69/20)*0.30)))</f>
        <v/>
      </c>
      <c r="AB69" s="25" t="n">
        <v>4</v>
      </c>
      <c r="AC69" s="25">
        <f>IF($AB69=0,"",ROUND((N($X69)+N($Y69)+N($Z69)+N($AA69))/$AB69,2))</f>
        <v/>
      </c>
      <c r="AD69" s="25">
        <f>IF($AC69="","",_xlfn.RANK.EQ($AC69,$AC$5:$AC$76,0)+COUNTIF($AC$5:$AC69,$AC69)-1)</f>
        <v/>
      </c>
      <c r="AE69" s="25">
        <f>IF($AD69="","",IF($AD69&lt;=cfg_TimelineBucket1,"0-90 days",IF($AD69&lt;=cfg_TimelineBucket2,"3-6 months",IF($AD69&lt;=cfg_TimelineBucket3,"6-12 months","12+ months"))))</f>
        <v/>
      </c>
      <c r="AF69" s="25" t="inlineStr">
        <is>
          <t>CISO / DPO</t>
        </is>
      </c>
      <c r="AG69" s="25" t="inlineStr">
        <is>
          <t>3-6 months</t>
        </is>
      </c>
      <c r="AH69" s="25" t="inlineStr">
        <is>
          <t>Executive sponsor; accountable process owner; baseline evidence; risk acceptance threshold; IT architecture inventory; data/system owners</t>
        </is>
      </c>
      <c r="AI69" s="25" t="inlineStr">
        <is>
          <t>maturity score improvement; open risk reduction; evidence completeness; control test pass rate; MFA coverage; vulnerabilities remediated; incident response exercise completion</t>
        </is>
      </c>
      <c r="AJ69" s="25" t="inlineStr">
        <is>
          <t>Documented protection operating model, owner/RACI, KPI set, evidence pack, tested crisis playbook and improvement backlog.</t>
        </is>
      </c>
      <c r="AK69" s="25" t="inlineStr">
        <is>
          <t>Counts active next-level recommendations for Cyber Privacy / Protection.</t>
        </is>
      </c>
      <c r="AL69" s="25" t="inlineStr">
        <is>
          <t>Counts active risks and risk scores for Cyber Privacy / Protection.</t>
        </is>
      </c>
      <c r="AM69" s="25" t="inlineStr">
        <is>
          <t>Uses the current rank and total score of Cyber Resilience Strategy.</t>
        </is>
      </c>
      <c r="AN69" s="25" t="inlineStr">
        <is>
          <t>Trigger when avg score &lt; 4, active risk exists, active recommendation exists or strategy rank &lt;= 3.</t>
        </is>
      </c>
      <c r="AO69" s="25" t="inlineStr">
        <is>
          <t>Not started</t>
        </is>
      </c>
      <c r="AP69" s="25" t="inlineStr">
        <is>
          <t>Medium-High</t>
        </is>
      </c>
      <c r="AQ69" s="25" t="n"/>
      <c r="AR69" s="25" t="n"/>
      <c r="AS69" s="247">
        <f>IFERROR(IF(SUMIFS(_REF_Model_Content!$J$1:$J$157,_REF_Model_Content!$A$1:$A$157,'Company Profile'!$B$9,_REF_Model_Content!$B$1:$B$157,$B69)=0,1,SUMIFS(_REF_Model_Content!$J$1:$J$157,_REF_Model_Content!$A$1:$A$157,'Company Profile'!$B$9,_REF_Model_Content!$B$1:$B$157,$B69)),1)</f>
        <v/>
      </c>
      <c r="AT69" s="247">
        <f>IF(OR($AY69="Done",$AY69="Not applicable"),"",IF($AC69="","",ROUND(N($AC69)*N($AS69),2)))</f>
        <v/>
      </c>
      <c r="AU69" s="247">
        <f>IF($AT69="","",_xlfn.RANK.EQ($AT69,$AT$5:$AT$76,0)+COUNTIF($AT$5:AT69,$AT69)-1)</f>
        <v/>
      </c>
      <c r="AV69" s="247">
        <f>IFERROR(INDEX('_DATA_Dashboard_Facts'!$G$300:$G$316,MATCH($B69,'_DATA_Dashboard_Facts'!$A$300:$A$316,0)),"")</f>
        <v/>
      </c>
      <c r="AW69" s="247">
        <f>IF($AS69&gt;cfg_IndPriorityHigh,"Industry template increases priority",IF($AS69&lt;cfg_IndPriorityLow,"Industry template lowers priority","Industry-neutral priority"))</f>
        <v/>
      </c>
      <c r="AX69">
        <f>IFERROR(INDEX('Action Plan &amp; Roadmap'!$D$59:$D$130,MATCH($A69,'Action Plan &amp; Roadmap'!$A$59:$A$130,0)),"")</f>
      </c>
      <c r="AY69">
        <f>IF($AX69&lt;&gt;"",$AX69,IF($AO69="","Not started",$AO69))</f>
        <v/>
      </c>
      <c r="AZ69" t="inlineStr">
        <is>
          <t>Number of lines of code maintained each year per application maintenance FTE; Annual revenue impact through investment in robotic process automation</t>
        </is>
      </c>
      <c r="BA69">
        <f>IF($A69="","",COUNTIF('_DATA_Mappings'!$A:$A,$A69))</f>
        <v/>
      </c>
      <c r="BB69">
        <f>IF($A69="","",IFERROR(AVERAGEIF('_DATA_Mappings'!$A:$A,$A69,'_DATA_Mappings'!$G:$G),0))</f>
        <v/>
      </c>
      <c r="BC69">
        <f>IF($A69="","",MAX(0,MIN(5,(N($O69)*0.50)+(N($V69)*0.30)+(N($W69)*0.20))))</f>
        <v/>
      </c>
      <c r="BD69">
        <f>IF($A69="","",MAX(1,MIN(5,($Z69*0.45)+(MIN(5,$BB69/5)*0.35)+($BC69*0.20))))</f>
        <v/>
      </c>
      <c r="BE69">
        <f>IF($AB69=0,"",ROUND((N($X69)+N($Y69)+N($BD69)+N($AA69))/$AB69,2))</f>
        <v/>
      </c>
      <c r="BF69">
        <f>IF(OR($BE69="",$AY69="Done",$AY69="Not applicable"),"",ROUND($BE69*N($AS69),2))</f>
        <v/>
      </c>
      <c r="BG69">
        <f>IF($BF69="","",_xlfn.RANK.EQ($BF69,$BF$5:$BF$76,0)+COUNTIF($BF$5:$BF69,$BF69)-1)</f>
        <v/>
      </c>
      <c r="BH69">
        <f>IF($A69="","",IF($BB69&gt;20,"High P1 risk pressure",IF($BB69&gt;12,"Moderate P1 risk pressure","Lower P1 risk pressure")))</f>
        <v/>
      </c>
      <c r="BI69" s="25">
        <f>'_CONFIG_Model_Settings'!$B$103</f>
        <v/>
      </c>
      <c r="BJ69" s="25">
        <f>IFERROR(INDEX('_CONFIG_Model_Settings'!$B$109:$B$113,MATCH($BI69,'_CONFIG_Model_Settings'!$A$109:$A$113,0)),0.30)</f>
        <v/>
      </c>
      <c r="BK69" s="25">
        <f>IFERROR(INDEX('_CONFIG_Model_Settings'!$C$109:$C$113,MATCH($BI69,'_CONFIG_Model_Settings'!$A$109:$A$113,0)),0.20)</f>
        <v/>
      </c>
      <c r="BL69" s="25">
        <f>IFERROR(INDEX('_CONFIG_Model_Settings'!$D$109:$D$113,MATCH($BI69,'_CONFIG_Model_Settings'!$A$109:$A$113,0)),0.25)</f>
        <v/>
      </c>
      <c r="BM69" s="25">
        <f>IFERROR(INDEX('_CONFIG_Model_Settings'!$E$109:$E$113,MATCH($BI69,'_CONFIG_Model_Settings'!$A$109:$A$113,0)),0.25)</f>
        <v/>
      </c>
      <c r="BN69" s="25">
        <f>IFERROR(INDEX('_CONFIG_Model_Settings'!$B$117:$B$123,MATCH('_CONFIG_Model_Settings'!$B$104,'_CONFIG_Model_Settings'!$A$117:$A$123,0)),1)</f>
        <v/>
      </c>
      <c r="BO69" s="25">
        <f>IFERROR(INDEX('_CONFIG_Model_Settings'!$C$117:$C$123,MATCH('_CONFIG_Model_Settings'!$B$104,'_CONFIG_Model_Settings'!$A$117:$A$123,0)),1)</f>
        <v/>
      </c>
      <c r="BP69" s="25">
        <f>IFERROR(INDEX('_CONFIG_Model_Settings'!$D$117:$D$123,MATCH('_CONFIG_Model_Settings'!$B$104,'_CONFIG_Model_Settings'!$A$117:$A$123,0)),1)</f>
        <v/>
      </c>
      <c r="BQ69" s="25">
        <f>IFERROR(INDEX('_CONFIG_Model_Settings'!$E$117:$E$123,MATCH('_CONFIG_Model_Settings'!$B$104,'_CONFIG_Model_Settings'!$A$117:$A$123,0)),1)</f>
        <v/>
      </c>
      <c r="BR69" s="25">
        <f>IF($A69="","",MIN(5,IFERROR(SUMIF('_DATA_Mappings'!$A:$A,$A69,'_DATA_Mappings'!$K:$K)/MAX(1,'_CONFIG_Model_Settings'!$B$105),0)))</f>
        <v/>
      </c>
      <c r="BS69" s="25">
        <f>IF($A69="","",ROUND((N($X69)*N($BJ69)*N($BN69)+N($Y69)*N($BK69)*N($BO69)+N($BD69)*N($BL69)*N($BP69)+N($AA69)*N($BM69)*N($BQ69)+N($BR69)*N('_CONFIG_Model_Settings'!$B$106))/(N($BJ69)*N($BN69)+N($BK69)*N($BO69)+N($BL69)*N($BP69)+N($BM69)*N($BQ69)+N('_CONFIG_Model_Settings'!$B$106)),2))</f>
        <v/>
      </c>
      <c r="BT69" s="25">
        <f>IF($A69="","",MAX(1,N($AB69)))</f>
        <v/>
      </c>
      <c r="BU69" s="25">
        <f>IF(OR($BS69="",$BT69=0),"",ROUND($BS69/$BT69,2))</f>
        <v/>
      </c>
      <c r="BV69" s="25">
        <f>IF(OR($BU69="",$AY69="Done",$AY69="Not applicable"),"",ROUND($BU69*N($AS69),2))</f>
        <v/>
      </c>
      <c r="BW69" s="25">
        <f>IF($BV69="","",_xlfn.RANK.EQ($BV69,$BV$5:$BV$76,0)+COUNTIF($BV$5:$BV69,$BV69)-1)</f>
        <v/>
      </c>
      <c r="BX69" s="25">
        <f>IF($BW69="","",IF($BW69&lt;=cfg_TimelineBucket1,"0-90 days",IF($BW69&lt;=cfg_TimelineBucket2,"3-6 months",IF($BW69&lt;=cfg_TimelineBucket3,"6-12 months","12+ months"))))</f>
        <v/>
      </c>
      <c r="BY69" s="25">
        <f>IF($A69="","","P2: "&amp;$BI69&amp;" posture; objective="&amp;'_CONFIG_Model_Settings'!$B$104&amp;"; financial score="&amp;ROUND(N($BR69),1)&amp;"; CoD="&amp;$BS69)</f>
        <v/>
      </c>
    </row>
    <row r="70" ht="42" customHeight="1" s="209">
      <c r="A70" s="25" t="inlineStr">
        <is>
          <t>INI-066</t>
        </is>
      </c>
      <c r="B70" s="25" t="inlineStr">
        <is>
          <t>Cyber Privacy</t>
        </is>
      </c>
      <c r="C70" s="25" t="inlineStr">
        <is>
          <t>Detection and response</t>
        </is>
      </c>
      <c r="D70" s="25" t="inlineStr">
        <is>
          <t>Cyber Resilience Strategy</t>
        </is>
      </c>
      <c r="E70" s="25" t="inlineStr">
        <is>
          <t>STR-04</t>
        </is>
      </c>
      <c r="F70" s="25" t="inlineStr">
        <is>
          <t>Implement detection, response, logging and security incident exercises</t>
        </is>
      </c>
      <c r="G70" s="25" t="inlineStr">
        <is>
          <t>Close maturity gaps in detection and response by assigning ownership, documenting the process, connecting it to evidence and systems, testing it against crisis scenarios and measuring improvement.</t>
        </is>
      </c>
      <c r="H70" s="25" t="inlineStr">
        <is>
          <t>Cybersecurity, privacy and access control</t>
        </is>
      </c>
      <c r="I70" s="25" t="inlineStr">
        <is>
          <t>Cyberattack / ransomware; Regulatory / legal shock; Reputation crisis</t>
        </is>
      </c>
      <c r="J70" s="25" t="inlineStr">
        <is>
          <t>CYBE-021; CYBE-022; CYBE-023; CYBE-024; CYBE-025; CYBE-026</t>
        </is>
      </c>
      <c r="K70" s="25" t="n">
        <v>6</v>
      </c>
      <c r="L70" s="25">
        <f>COUNTIFS('_ENGINE_Risk'!$C$500:$C$923,$B70,'_ENGINE_Risk'!$D$500:$D$923,$C70,'_ENGINE_Risk'!$B$500:$B$923,"Yes")</f>
        <v/>
      </c>
      <c r="M70" s="25">
        <f>COUNTIFS('_ENGINE_Risk'!$C$500:$C$923,$B70,'_ENGINE_Risk'!$D$500:$D$923,$C70,'_ENGINE_Risk'!$B$500:$B$923,"Yes")</f>
        <v/>
      </c>
      <c r="N70" s="25">
        <f>IFERROR(AVERAGEIFS(_DATA_Assessment_Model!$H$5:$H$428,_DATA_Assessment_Model!$AW$5:$AW$428,$B70,_DATA_Assessment_Model!$B$5:$B$428,$C70),"")</f>
        <v/>
      </c>
      <c r="O70" s="25">
        <f>IF($N70="","",MAX(0,5-$N70))</f>
        <v/>
      </c>
      <c r="P70" s="25">
        <f>IFERROR(INDEX(_DATA_Dashboard_Facts!$H$5:$H$21,MATCH($B70,_DATA_Dashboard_Facts!$A$5:$A$21,0)),"")</f>
        <v/>
      </c>
      <c r="Q70" s="25">
        <f>IF($P70="","",MAX(0,5-$P70))</f>
        <v/>
      </c>
      <c r="R70" s="25">
        <f>IFERROR(SUMIFS(_ENGINE_Crisis!$D$5:$D$208,_ENGINE_Crisis!$A$5:$A$208,'Resilience &amp; Risk Scenario'!$B$6,_ENGINE_Crisis!$B$5:$B$208,$B70),1)</f>
        <v/>
      </c>
      <c r="S70" s="25">
        <f>IFERROR(INDEX('_ENGINE_Strategy'!$A$100:$A$113,MATCH($D70,'_ENGINE_Strategy'!$B$100:$B$113,0)),99)</f>
        <v/>
      </c>
      <c r="T70" s="25">
        <f>IFERROR(INDEX('_ENGINE_Strategy'!$J$100:$J$113,MATCH($D70,'_ENGINE_Strategy'!$B$100:$B$113,0)),0)</f>
        <v/>
      </c>
      <c r="U70" s="25" t="n">
        <v>4</v>
      </c>
      <c r="V70" s="25" t="n">
        <v>5</v>
      </c>
      <c r="W70" s="25" t="n">
        <v>4</v>
      </c>
      <c r="X70" s="25">
        <f>MAX(1,MIN(5,(N($O70)*0.50)+(N($Q70)*0.25)+((N($T70)/20)*0.25)))</f>
        <v/>
      </c>
      <c r="Y70" s="25">
        <f>MAX(1,MIN(5,(($R70-1)*1.6)+('Resilience &amp; Risk Scenario'!$B$7*0.45)+IF($S70&lt;=3,0.8,0)))</f>
        <v/>
      </c>
      <c r="Z70" s="25">
        <f>MAX(1,MIN(5,(N($O70)*0.45)+(MIN(5,5*N($M70)/MAX(1,N($K70)))*0.35)+(N($V70)*0.20)))</f>
        <v/>
      </c>
      <c r="AA70" s="25">
        <f>MAX(1,MIN(5,($U70*0.40)+($W70*0.30)+(($T70/20)*0.30)))</f>
        <v/>
      </c>
      <c r="AB70" s="25" t="n">
        <v>4</v>
      </c>
      <c r="AC70" s="25">
        <f>IF($AB70=0,"",ROUND((N($X70)+N($Y70)+N($Z70)+N($AA70))/$AB70,2))</f>
        <v/>
      </c>
      <c r="AD70" s="25">
        <f>IF($AC70="","",_xlfn.RANK.EQ($AC70,$AC$5:$AC$76,0)+COUNTIF($AC$5:$AC70,$AC70)-1)</f>
        <v/>
      </c>
      <c r="AE70" s="25">
        <f>IF($AD70="","",IF($AD70&lt;=cfg_TimelineBucket1,"0-90 days",IF($AD70&lt;=cfg_TimelineBucket2,"3-6 months",IF($AD70&lt;=cfg_TimelineBucket3,"6-12 months","12+ months"))))</f>
        <v/>
      </c>
      <c r="AF70" s="25" t="inlineStr">
        <is>
          <t>CISO / DPO</t>
        </is>
      </c>
      <c r="AG70" s="25" t="inlineStr">
        <is>
          <t>3-6 months</t>
        </is>
      </c>
      <c r="AH70" s="25" t="inlineStr">
        <is>
          <t>Executive sponsor; accountable process owner; baseline evidence; risk acceptance threshold; IT architecture inventory; data/system owners</t>
        </is>
      </c>
      <c r="AI70" s="25" t="inlineStr">
        <is>
          <t>maturity score improvement; open risk reduction; evidence completeness; control test pass rate; MFA coverage; vulnerabilities remediated; incident response exercise completion</t>
        </is>
      </c>
      <c r="AJ70" s="25" t="inlineStr">
        <is>
          <t>Documented detection and response operating model, owner/RACI, KPI set, evidence pack, tested crisis playbook and improvement backlog.</t>
        </is>
      </c>
      <c r="AK70" s="25" t="inlineStr">
        <is>
          <t>Counts active next-level recommendations for Cyber Privacy / Detection and response.</t>
        </is>
      </c>
      <c r="AL70" s="25" t="inlineStr">
        <is>
          <t>Counts active risks and risk scores for Cyber Privacy / Detection and response.</t>
        </is>
      </c>
      <c r="AM70" s="25" t="inlineStr">
        <is>
          <t>Uses the current rank and total score of Cyber Resilience Strategy.</t>
        </is>
      </c>
      <c r="AN70" s="25" t="inlineStr">
        <is>
          <t>Trigger when avg score &lt; 4, active risk exists, active recommendation exists or strategy rank &lt;= 3.</t>
        </is>
      </c>
      <c r="AO70" s="25" t="inlineStr">
        <is>
          <t>Not started</t>
        </is>
      </c>
      <c r="AP70" s="25" t="inlineStr">
        <is>
          <t>Medium-High</t>
        </is>
      </c>
      <c r="AQ70" s="25" t="n"/>
      <c r="AR70" s="25" t="n"/>
      <c r="AS70" s="247">
        <f>IFERROR(IF(SUMIFS(_REF_Model_Content!$J$1:$J$157,_REF_Model_Content!$A$1:$A$157,'Company Profile'!$B$9,_REF_Model_Content!$B$1:$B$157,$B70)=0,1,SUMIFS(_REF_Model_Content!$J$1:$J$157,_REF_Model_Content!$A$1:$A$157,'Company Profile'!$B$9,_REF_Model_Content!$B$1:$B$157,$B70)),1)</f>
        <v/>
      </c>
      <c r="AT70" s="247">
        <f>IF(OR($AY70="Done",$AY70="Not applicable"),"",IF($AC70="","",ROUND(N($AC70)*N($AS70),2)))</f>
        <v/>
      </c>
      <c r="AU70" s="247">
        <f>IF($AT70="","",_xlfn.RANK.EQ($AT70,$AT$5:$AT$76,0)+COUNTIF($AT$5:AT70,$AT70)-1)</f>
        <v/>
      </c>
      <c r="AV70" s="247">
        <f>IFERROR(INDEX('_DATA_Dashboard_Facts'!$G$300:$G$316,MATCH($B70,'_DATA_Dashboard_Facts'!$A$300:$A$316,0)),"")</f>
        <v/>
      </c>
      <c r="AW70" s="247">
        <f>IF($AS70&gt;cfg_IndPriorityHigh,"Industry template increases priority",IF($AS70&lt;cfg_IndPriorityLow,"Industry template lowers priority","Industry-neutral priority"))</f>
        <v/>
      </c>
      <c r="AX70">
        <f>IFERROR(INDEX('Action Plan &amp; Roadmap'!$D$59:$D$130,MATCH($A70,'Action Plan &amp; Roadmap'!$A$59:$A$130,0)),"")</f>
      </c>
      <c r="AY70">
        <f>IF($AX70&lt;&gt;"",$AX70,IF($AO70="","Not started",$AO70))</f>
        <v/>
      </c>
      <c r="AZ70" t="inlineStr">
        <is>
          <t>Number of lines of code maintained each year per application maintenance FTE; Annual revenue impact through investment in robotic process automation</t>
        </is>
      </c>
      <c r="BA70">
        <f>IF($A70="","",COUNTIF('_DATA_Mappings'!$A:$A,$A70))</f>
        <v/>
      </c>
      <c r="BB70">
        <f>IF($A70="","",IFERROR(AVERAGEIF('_DATA_Mappings'!$A:$A,$A70,'_DATA_Mappings'!$G:$G),0))</f>
        <v/>
      </c>
      <c r="BC70">
        <f>IF($A70="","",MAX(0,MIN(5,(N($O70)*0.50)+(N($V70)*0.30)+(N($W70)*0.20))))</f>
        <v/>
      </c>
      <c r="BD70">
        <f>IF($A70="","",MAX(1,MIN(5,($Z70*0.45)+(MIN(5,$BB70/5)*0.35)+($BC70*0.20))))</f>
        <v/>
      </c>
      <c r="BE70">
        <f>IF($AB70=0,"",ROUND((N($X70)+N($Y70)+N($BD70)+N($AA70))/$AB70,2))</f>
        <v/>
      </c>
      <c r="BF70">
        <f>IF(OR($BE70="",$AY70="Done",$AY70="Not applicable"),"",ROUND($BE70*N($AS70),2))</f>
        <v/>
      </c>
      <c r="BG70">
        <f>IF($BF70="","",_xlfn.RANK.EQ($BF70,$BF$5:$BF$76,0)+COUNTIF($BF$5:$BF70,$BF70)-1)</f>
        <v/>
      </c>
      <c r="BH70">
        <f>IF($A70="","",IF($BB70&gt;20,"High P1 risk pressure",IF($BB70&gt;12,"Moderate P1 risk pressure","Lower P1 risk pressure")))</f>
        <v/>
      </c>
      <c r="BI70" s="25">
        <f>'_CONFIG_Model_Settings'!$B$103</f>
        <v/>
      </c>
      <c r="BJ70" s="25">
        <f>IFERROR(INDEX('_CONFIG_Model_Settings'!$B$109:$B$113,MATCH($BI70,'_CONFIG_Model_Settings'!$A$109:$A$113,0)),0.30)</f>
        <v/>
      </c>
      <c r="BK70" s="25">
        <f>IFERROR(INDEX('_CONFIG_Model_Settings'!$C$109:$C$113,MATCH($BI70,'_CONFIG_Model_Settings'!$A$109:$A$113,0)),0.20)</f>
        <v/>
      </c>
      <c r="BL70" s="25">
        <f>IFERROR(INDEX('_CONFIG_Model_Settings'!$D$109:$D$113,MATCH($BI70,'_CONFIG_Model_Settings'!$A$109:$A$113,0)),0.25)</f>
        <v/>
      </c>
      <c r="BM70" s="25">
        <f>IFERROR(INDEX('_CONFIG_Model_Settings'!$E$109:$E$113,MATCH($BI70,'_CONFIG_Model_Settings'!$A$109:$A$113,0)),0.25)</f>
        <v/>
      </c>
      <c r="BN70" s="25">
        <f>IFERROR(INDEX('_CONFIG_Model_Settings'!$B$117:$B$123,MATCH('_CONFIG_Model_Settings'!$B$104,'_CONFIG_Model_Settings'!$A$117:$A$123,0)),1)</f>
        <v/>
      </c>
      <c r="BO70" s="25">
        <f>IFERROR(INDEX('_CONFIG_Model_Settings'!$C$117:$C$123,MATCH('_CONFIG_Model_Settings'!$B$104,'_CONFIG_Model_Settings'!$A$117:$A$123,0)),1)</f>
        <v/>
      </c>
      <c r="BP70" s="25">
        <f>IFERROR(INDEX('_CONFIG_Model_Settings'!$D$117:$D$123,MATCH('_CONFIG_Model_Settings'!$B$104,'_CONFIG_Model_Settings'!$A$117:$A$123,0)),1)</f>
        <v/>
      </c>
      <c r="BQ70" s="25">
        <f>IFERROR(INDEX('_CONFIG_Model_Settings'!$E$117:$E$123,MATCH('_CONFIG_Model_Settings'!$B$104,'_CONFIG_Model_Settings'!$A$117:$A$123,0)),1)</f>
        <v/>
      </c>
      <c r="BR70" s="25">
        <f>IF($A70="","",MIN(5,IFERROR(SUMIF('_DATA_Mappings'!$A:$A,$A70,'_DATA_Mappings'!$K:$K)/MAX(1,'_CONFIG_Model_Settings'!$B$105),0)))</f>
        <v/>
      </c>
      <c r="BS70" s="25">
        <f>IF($A70="","",ROUND((N($X70)*N($BJ70)*N($BN70)+N($Y70)*N($BK70)*N($BO70)+N($BD70)*N($BL70)*N($BP70)+N($AA70)*N($BM70)*N($BQ70)+N($BR70)*N('_CONFIG_Model_Settings'!$B$106))/(N($BJ70)*N($BN70)+N($BK70)*N($BO70)+N($BL70)*N($BP70)+N($BM70)*N($BQ70)+N('_CONFIG_Model_Settings'!$B$106)),2))</f>
        <v/>
      </c>
      <c r="BT70" s="25">
        <f>IF($A70="","",MAX(1,N($AB70)))</f>
        <v/>
      </c>
      <c r="BU70" s="25">
        <f>IF(OR($BS70="",$BT70=0),"",ROUND($BS70/$BT70,2))</f>
        <v/>
      </c>
      <c r="BV70" s="25">
        <f>IF(OR($BU70="",$AY70="Done",$AY70="Not applicable"),"",ROUND($BU70*N($AS70),2))</f>
        <v/>
      </c>
      <c r="BW70" s="25">
        <f>IF($BV70="","",_xlfn.RANK.EQ($BV70,$BV$5:$BV$76,0)+COUNTIF($BV$5:$BV70,$BV70)-1)</f>
        <v/>
      </c>
      <c r="BX70" s="25">
        <f>IF($BW70="","",IF($BW70&lt;=cfg_TimelineBucket1,"0-90 days",IF($BW70&lt;=cfg_TimelineBucket2,"3-6 months",IF($BW70&lt;=cfg_TimelineBucket3,"6-12 months","12+ months"))))</f>
        <v/>
      </c>
      <c r="BY70" s="25">
        <f>IF($A70="","","P2: "&amp;$BI70&amp;" posture; objective="&amp;'_CONFIG_Model_Settings'!$B$104&amp;"; financial score="&amp;ROUND(N($BR70),1)&amp;"; CoD="&amp;$BS70)</f>
        <v/>
      </c>
    </row>
    <row r="71" ht="42" customHeight="1" s="209">
      <c r="A71" s="25" t="inlineStr">
        <is>
          <t>INI-067</t>
        </is>
      </c>
      <c r="B71" s="25" t="inlineStr">
        <is>
          <t>Cyber Privacy</t>
        </is>
      </c>
      <c r="C71" s="25" t="inlineStr">
        <is>
          <t>Application and OT security</t>
        </is>
      </c>
      <c r="D71" s="25" t="inlineStr">
        <is>
          <t>Cyber Resilience Strategy</t>
        </is>
      </c>
      <c r="E71" s="25" t="inlineStr">
        <is>
          <t>STR-04</t>
        </is>
      </c>
      <c r="F71" s="25" t="inlineStr">
        <is>
          <t>Strengthen application, API and OT security controls</t>
        </is>
      </c>
      <c r="G71" s="25" t="inlineStr">
        <is>
          <t>Close maturity gaps in application and ot security by assigning ownership, documenting the process, connecting it to evidence and systems, testing it against crisis scenarios and measuring improvement.</t>
        </is>
      </c>
      <c r="H71" s="25" t="inlineStr">
        <is>
          <t>Cybersecurity, privacy and access control</t>
        </is>
      </c>
      <c r="I71" s="25" t="inlineStr">
        <is>
          <t>Cyberattack / ransomware; Regulatory / legal shock; Reputation crisis</t>
        </is>
      </c>
      <c r="J71" s="25" t="inlineStr">
        <is>
          <t>CYBE-027; CYBE-028; CYBE-029; CYBE-030; CYBE-031</t>
        </is>
      </c>
      <c r="K71" s="25" t="n">
        <v>5</v>
      </c>
      <c r="L71" s="25">
        <f>COUNTIFS('_ENGINE_Risk'!$C$500:$C$923,$B71,'_ENGINE_Risk'!$D$500:$D$923,$C71,'_ENGINE_Risk'!$B$500:$B$923,"Yes")</f>
        <v/>
      </c>
      <c r="M71" s="25">
        <f>COUNTIFS('_ENGINE_Risk'!$C$500:$C$923,$B71,'_ENGINE_Risk'!$D$500:$D$923,$C71,'_ENGINE_Risk'!$B$500:$B$923,"Yes")</f>
        <v/>
      </c>
      <c r="N71" s="25">
        <f>IFERROR(AVERAGEIFS(_DATA_Assessment_Model!$H$5:$H$428,_DATA_Assessment_Model!$AW$5:$AW$428,$B71,_DATA_Assessment_Model!$B$5:$B$428,$C71),"")</f>
        <v/>
      </c>
      <c r="O71" s="25">
        <f>IF($N71="","",MAX(0,5-$N71))</f>
        <v/>
      </c>
      <c r="P71" s="25">
        <f>IFERROR(INDEX(_DATA_Dashboard_Facts!$H$5:$H$21,MATCH($B71,_DATA_Dashboard_Facts!$A$5:$A$21,0)),"")</f>
        <v/>
      </c>
      <c r="Q71" s="25">
        <f>IF($P71="","",MAX(0,5-$P71))</f>
        <v/>
      </c>
      <c r="R71" s="25">
        <f>IFERROR(SUMIFS(_ENGINE_Crisis!$D$5:$D$208,_ENGINE_Crisis!$A$5:$A$208,'Resilience &amp; Risk Scenario'!$B$6,_ENGINE_Crisis!$B$5:$B$208,$B71),1)</f>
        <v/>
      </c>
      <c r="S71" s="25">
        <f>IFERROR(INDEX('_ENGINE_Strategy'!$A$100:$A$113,MATCH($D71,'_ENGINE_Strategy'!$B$100:$B$113,0)),99)</f>
        <v/>
      </c>
      <c r="T71" s="25">
        <f>IFERROR(INDEX('_ENGINE_Strategy'!$J$100:$J$113,MATCH($D71,'_ENGINE_Strategy'!$B$100:$B$113,0)),0)</f>
        <v/>
      </c>
      <c r="U71" s="25" t="n">
        <v>4</v>
      </c>
      <c r="V71" s="25" t="n">
        <v>5</v>
      </c>
      <c r="W71" s="25" t="n">
        <v>4</v>
      </c>
      <c r="X71" s="25">
        <f>MAX(1,MIN(5,(N($O71)*0.50)+(N($Q71)*0.25)+((N($T71)/20)*0.25)))</f>
        <v/>
      </c>
      <c r="Y71" s="25">
        <f>MAX(1,MIN(5,(($R71-1)*1.6)+('Resilience &amp; Risk Scenario'!$B$7*0.45)+IF($S71&lt;=3,0.8,0)))</f>
        <v/>
      </c>
      <c r="Z71" s="25">
        <f>MAX(1,MIN(5,(N($O71)*0.45)+(MIN(5,5*N($M71)/MAX(1,N($K71)))*0.35)+(N($V71)*0.20)))</f>
        <v/>
      </c>
      <c r="AA71" s="25">
        <f>MAX(1,MIN(5,($U71*0.40)+($W71*0.30)+(($T71/20)*0.30)))</f>
        <v/>
      </c>
      <c r="AB71" s="25" t="n">
        <v>4</v>
      </c>
      <c r="AC71" s="25">
        <f>IF($AB71=0,"",ROUND((N($X71)+N($Y71)+N($Z71)+N($AA71))/$AB71,2))</f>
        <v/>
      </c>
      <c r="AD71" s="25">
        <f>IF($AC71="","",_xlfn.RANK.EQ($AC71,$AC$5:$AC$76,0)+COUNTIF($AC$5:$AC71,$AC71)-1)</f>
        <v/>
      </c>
      <c r="AE71" s="25">
        <f>IF($AD71="","",IF($AD71&lt;=cfg_TimelineBucket1,"0-90 days",IF($AD71&lt;=cfg_TimelineBucket2,"3-6 months",IF($AD71&lt;=cfg_TimelineBucket3,"6-12 months","12+ months"))))</f>
        <v/>
      </c>
      <c r="AF71" s="25" t="inlineStr">
        <is>
          <t>CISO / DPO</t>
        </is>
      </c>
      <c r="AG71" s="25" t="inlineStr">
        <is>
          <t>3-6 months</t>
        </is>
      </c>
      <c r="AH71" s="25" t="inlineStr">
        <is>
          <t>Executive sponsor; accountable process owner; baseline evidence; risk acceptance threshold; IT architecture inventory; data/system owners</t>
        </is>
      </c>
      <c r="AI71" s="25" t="inlineStr">
        <is>
          <t>maturity score improvement; open risk reduction; evidence completeness; control test pass rate; MFA coverage; vulnerabilities remediated; incident response exercise completion</t>
        </is>
      </c>
      <c r="AJ71" s="25" t="inlineStr">
        <is>
          <t>Documented application and ot security operating model, owner/RACI, KPI set, evidence pack, tested crisis playbook and improvement backlog.</t>
        </is>
      </c>
      <c r="AK71" s="25" t="inlineStr">
        <is>
          <t>Counts active next-level recommendations for Cyber Privacy / Application and OT security.</t>
        </is>
      </c>
      <c r="AL71" s="25" t="inlineStr">
        <is>
          <t>Counts active risks and risk scores for Cyber Privacy / Application and OT security.</t>
        </is>
      </c>
      <c r="AM71" s="25" t="inlineStr">
        <is>
          <t>Uses the current rank and total score of Cyber Resilience Strategy.</t>
        </is>
      </c>
      <c r="AN71" s="25" t="inlineStr">
        <is>
          <t>Trigger when avg score &lt; 4, active risk exists, active recommendation exists or strategy rank &lt;= 3.</t>
        </is>
      </c>
      <c r="AO71" s="25" t="inlineStr">
        <is>
          <t>Not started</t>
        </is>
      </c>
      <c r="AP71" s="25" t="inlineStr">
        <is>
          <t>Medium-High</t>
        </is>
      </c>
      <c r="AQ71" s="25" t="n"/>
      <c r="AR71" s="25" t="n"/>
      <c r="AS71" s="247">
        <f>IFERROR(IF(SUMIFS(_REF_Model_Content!$J$1:$J$157,_REF_Model_Content!$A$1:$A$157,'Company Profile'!$B$9,_REF_Model_Content!$B$1:$B$157,$B71)=0,1,SUMIFS(_REF_Model_Content!$J$1:$J$157,_REF_Model_Content!$A$1:$A$157,'Company Profile'!$B$9,_REF_Model_Content!$B$1:$B$157,$B71)),1)</f>
        <v/>
      </c>
      <c r="AT71" s="247">
        <f>IF(OR($AY71="Done",$AY71="Not applicable"),"",IF($AC71="","",ROUND(N($AC71)*N($AS71),2)))</f>
        <v/>
      </c>
      <c r="AU71" s="247">
        <f>IF($AT71="","",_xlfn.RANK.EQ($AT71,$AT$5:$AT$76,0)+COUNTIF($AT$5:AT71,$AT71)-1)</f>
        <v/>
      </c>
      <c r="AV71" s="247">
        <f>IFERROR(INDEX('_DATA_Dashboard_Facts'!$G$300:$G$316,MATCH($B71,'_DATA_Dashboard_Facts'!$A$300:$A$316,0)),"")</f>
        <v/>
      </c>
      <c r="AW71" s="247">
        <f>IF($AS71&gt;cfg_IndPriorityHigh,"Industry template increases priority",IF($AS71&lt;cfg_IndPriorityLow,"Industry template lowers priority","Industry-neutral priority"))</f>
        <v/>
      </c>
      <c r="AX71">
        <f>IFERROR(INDEX('Action Plan &amp; Roadmap'!$D$59:$D$130,MATCH($A71,'Action Plan &amp; Roadmap'!$A$59:$A$130,0)),"")</f>
      </c>
      <c r="AY71">
        <f>IF($AX71&lt;&gt;"",$AX71,IF($AO71="","Not started",$AO71))</f>
        <v/>
      </c>
      <c r="AZ71" t="inlineStr">
        <is>
          <t>Number of lines of code maintained each year per application maintenance FTE; Annual revenue impact through investment in robotic process automation</t>
        </is>
      </c>
      <c r="BA71">
        <f>IF($A71="","",COUNTIF('_DATA_Mappings'!$A:$A,$A71))</f>
        <v/>
      </c>
      <c r="BB71">
        <f>IF($A71="","",IFERROR(AVERAGEIF('_DATA_Mappings'!$A:$A,$A71,'_DATA_Mappings'!$G:$G),0))</f>
        <v/>
      </c>
      <c r="BC71">
        <f>IF($A71="","",MAX(0,MIN(5,(N($O71)*0.50)+(N($V71)*0.30)+(N($W71)*0.20))))</f>
        <v/>
      </c>
      <c r="BD71">
        <f>IF($A71="","",MAX(1,MIN(5,($Z71*0.45)+(MIN(5,$BB71/5)*0.35)+($BC71*0.20))))</f>
        <v/>
      </c>
      <c r="BE71">
        <f>IF($AB71=0,"",ROUND((N($X71)+N($Y71)+N($BD71)+N($AA71))/$AB71,2))</f>
        <v/>
      </c>
      <c r="BF71">
        <f>IF(OR($BE71="",$AY71="Done",$AY71="Not applicable"),"",ROUND($BE71*N($AS71),2))</f>
        <v/>
      </c>
      <c r="BG71">
        <f>IF($BF71="","",_xlfn.RANK.EQ($BF71,$BF$5:$BF$76,0)+COUNTIF($BF$5:$BF71,$BF71)-1)</f>
        <v/>
      </c>
      <c r="BH71">
        <f>IF($A71="","",IF($BB71&gt;20,"High P1 risk pressure",IF($BB71&gt;12,"Moderate P1 risk pressure","Lower P1 risk pressure")))</f>
        <v/>
      </c>
      <c r="BI71" s="25">
        <f>'_CONFIG_Model_Settings'!$B$103</f>
        <v/>
      </c>
      <c r="BJ71" s="25">
        <f>IFERROR(INDEX('_CONFIG_Model_Settings'!$B$109:$B$113,MATCH($BI71,'_CONFIG_Model_Settings'!$A$109:$A$113,0)),0.30)</f>
        <v/>
      </c>
      <c r="BK71" s="25">
        <f>IFERROR(INDEX('_CONFIG_Model_Settings'!$C$109:$C$113,MATCH($BI71,'_CONFIG_Model_Settings'!$A$109:$A$113,0)),0.20)</f>
        <v/>
      </c>
      <c r="BL71" s="25">
        <f>IFERROR(INDEX('_CONFIG_Model_Settings'!$D$109:$D$113,MATCH($BI71,'_CONFIG_Model_Settings'!$A$109:$A$113,0)),0.25)</f>
        <v/>
      </c>
      <c r="BM71" s="25">
        <f>IFERROR(INDEX('_CONFIG_Model_Settings'!$E$109:$E$113,MATCH($BI71,'_CONFIG_Model_Settings'!$A$109:$A$113,0)),0.25)</f>
        <v/>
      </c>
      <c r="BN71" s="25">
        <f>IFERROR(INDEX('_CONFIG_Model_Settings'!$B$117:$B$123,MATCH('_CONFIG_Model_Settings'!$B$104,'_CONFIG_Model_Settings'!$A$117:$A$123,0)),1)</f>
        <v/>
      </c>
      <c r="BO71" s="25">
        <f>IFERROR(INDEX('_CONFIG_Model_Settings'!$C$117:$C$123,MATCH('_CONFIG_Model_Settings'!$B$104,'_CONFIG_Model_Settings'!$A$117:$A$123,0)),1)</f>
        <v/>
      </c>
      <c r="BP71" s="25">
        <f>IFERROR(INDEX('_CONFIG_Model_Settings'!$D$117:$D$123,MATCH('_CONFIG_Model_Settings'!$B$104,'_CONFIG_Model_Settings'!$A$117:$A$123,0)),1)</f>
        <v/>
      </c>
      <c r="BQ71" s="25">
        <f>IFERROR(INDEX('_CONFIG_Model_Settings'!$E$117:$E$123,MATCH('_CONFIG_Model_Settings'!$B$104,'_CONFIG_Model_Settings'!$A$117:$A$123,0)),1)</f>
        <v/>
      </c>
      <c r="BR71" s="25">
        <f>IF($A71="","",MIN(5,IFERROR(SUMIF('_DATA_Mappings'!$A:$A,$A71,'_DATA_Mappings'!$K:$K)/MAX(1,'_CONFIG_Model_Settings'!$B$105),0)))</f>
        <v/>
      </c>
      <c r="BS71" s="25">
        <f>IF($A71="","",ROUND((N($X71)*N($BJ71)*N($BN71)+N($Y71)*N($BK71)*N($BO71)+N($BD71)*N($BL71)*N($BP71)+N($AA71)*N($BM71)*N($BQ71)+N($BR71)*N('_CONFIG_Model_Settings'!$B$106))/(N($BJ71)*N($BN71)+N($BK71)*N($BO71)+N($BL71)*N($BP71)+N($BM71)*N($BQ71)+N('_CONFIG_Model_Settings'!$B$106)),2))</f>
        <v/>
      </c>
      <c r="BT71" s="25">
        <f>IF($A71="","",MAX(1,N($AB71)))</f>
        <v/>
      </c>
      <c r="BU71" s="25">
        <f>IF(OR($BS71="",$BT71=0),"",ROUND($BS71/$BT71,2))</f>
        <v/>
      </c>
      <c r="BV71" s="25">
        <f>IF(OR($BU71="",$AY71="Done",$AY71="Not applicable"),"",ROUND($BU71*N($AS71),2))</f>
        <v/>
      </c>
      <c r="BW71" s="25">
        <f>IF($BV71="","",_xlfn.RANK.EQ($BV71,$BV$5:$BV$76,0)+COUNTIF($BV$5:$BV71,$BV71)-1)</f>
        <v/>
      </c>
      <c r="BX71" s="25">
        <f>IF($BW71="","",IF($BW71&lt;=cfg_TimelineBucket1,"0-90 days",IF($BW71&lt;=cfg_TimelineBucket2,"3-6 months",IF($BW71&lt;=cfg_TimelineBucket3,"6-12 months","12+ months"))))</f>
        <v/>
      </c>
      <c r="BY71" s="25">
        <f>IF($A71="","","P2: "&amp;$BI71&amp;" posture; objective="&amp;'_CONFIG_Model_Settings'!$B$104&amp;"; financial score="&amp;ROUND(N($BR71),1)&amp;"; CoD="&amp;$BS71)</f>
        <v/>
      </c>
    </row>
    <row r="72" ht="42" customHeight="1" s="209">
      <c r="A72" s="25" t="inlineStr">
        <is>
          <t>INI-068</t>
        </is>
      </c>
      <c r="B72" s="25" t="inlineStr">
        <is>
          <t>Cyber Privacy</t>
        </is>
      </c>
      <c r="C72" s="25" t="inlineStr">
        <is>
          <t>Privacy</t>
        </is>
      </c>
      <c r="D72" s="25" t="inlineStr">
        <is>
          <t>Cyber Resilience Strategy</t>
        </is>
      </c>
      <c r="E72" s="25" t="inlineStr">
        <is>
          <t>STR-04</t>
        </is>
      </c>
      <c r="F72" s="25" t="inlineStr">
        <is>
          <t>Implement privacy governance, DPIA and personal-data controls</t>
        </is>
      </c>
      <c r="G72" s="25" t="inlineStr">
        <is>
          <t>Close maturity gaps in privacy by assigning ownership, documenting the process, connecting it to evidence and systems, testing it against crisis scenarios and measuring improvement.</t>
        </is>
      </c>
      <c r="H72" s="25" t="inlineStr">
        <is>
          <t>Cybersecurity, privacy and access control</t>
        </is>
      </c>
      <c r="I72" s="25" t="inlineStr">
        <is>
          <t>Cyberattack / ransomware; Regulatory / legal shock; Reputation crisis</t>
        </is>
      </c>
      <c r="J72" s="25" t="inlineStr">
        <is>
          <t>CYBE-032; CYBE-033; CYBE-034</t>
        </is>
      </c>
      <c r="K72" s="25" t="n">
        <v>3</v>
      </c>
      <c r="L72" s="25">
        <f>COUNTIFS('_ENGINE_Risk'!$C$500:$C$923,$B72,'_ENGINE_Risk'!$D$500:$D$923,$C72,'_ENGINE_Risk'!$B$500:$B$923,"Yes")</f>
        <v/>
      </c>
      <c r="M72" s="25">
        <f>COUNTIFS('_ENGINE_Risk'!$C$500:$C$923,$B72,'_ENGINE_Risk'!$D$500:$D$923,$C72,'_ENGINE_Risk'!$B$500:$B$923,"Yes")</f>
        <v/>
      </c>
      <c r="N72" s="25">
        <f>IFERROR(AVERAGEIFS(_DATA_Assessment_Model!$H$5:$H$428,_DATA_Assessment_Model!$AW$5:$AW$428,$B72,_DATA_Assessment_Model!$B$5:$B$428,$C72),"")</f>
        <v/>
      </c>
      <c r="O72" s="25">
        <f>IF($N72="","",MAX(0,5-$N72))</f>
        <v/>
      </c>
      <c r="P72" s="25">
        <f>IFERROR(INDEX(_DATA_Dashboard_Facts!$H$5:$H$21,MATCH($B72,_DATA_Dashboard_Facts!$A$5:$A$21,0)),"")</f>
        <v/>
      </c>
      <c r="Q72" s="25">
        <f>IF($P72="","",MAX(0,5-$P72))</f>
        <v/>
      </c>
      <c r="R72" s="25">
        <f>IFERROR(SUMIFS(_ENGINE_Crisis!$D$5:$D$208,_ENGINE_Crisis!$A$5:$A$208,'Resilience &amp; Risk Scenario'!$B$6,_ENGINE_Crisis!$B$5:$B$208,$B72),1)</f>
        <v/>
      </c>
      <c r="S72" s="25">
        <f>IFERROR(INDEX('_ENGINE_Strategy'!$A$100:$A$113,MATCH($D72,'_ENGINE_Strategy'!$B$100:$B$113,0)),99)</f>
        <v/>
      </c>
      <c r="T72" s="25">
        <f>IFERROR(INDEX('_ENGINE_Strategy'!$J$100:$J$113,MATCH($D72,'_ENGINE_Strategy'!$B$100:$B$113,0)),0)</f>
        <v/>
      </c>
      <c r="U72" s="25" t="n">
        <v>4</v>
      </c>
      <c r="V72" s="25" t="n">
        <v>5</v>
      </c>
      <c r="W72" s="25" t="n">
        <v>4</v>
      </c>
      <c r="X72" s="25">
        <f>MAX(1,MIN(5,(N($O72)*0.50)+(N($Q72)*0.25)+((N($T72)/20)*0.25)))</f>
        <v/>
      </c>
      <c r="Y72" s="25">
        <f>MAX(1,MIN(5,(($R72-1)*1.6)+('Resilience &amp; Risk Scenario'!$B$7*0.45)+IF($S72&lt;=3,0.8,0)))</f>
        <v/>
      </c>
      <c r="Z72" s="25">
        <f>MAX(1,MIN(5,(N($O72)*0.45)+(MIN(5,5*N($M72)/MAX(1,N($K72)))*0.35)+(N($V72)*0.20)))</f>
        <v/>
      </c>
      <c r="AA72" s="25">
        <f>MAX(1,MIN(5,($U72*0.40)+($W72*0.30)+(($T72/20)*0.30)))</f>
        <v/>
      </c>
      <c r="AB72" s="25" t="n">
        <v>4</v>
      </c>
      <c r="AC72" s="25">
        <f>IF($AB72=0,"",ROUND((N($X72)+N($Y72)+N($Z72)+N($AA72))/$AB72,2))</f>
        <v/>
      </c>
      <c r="AD72" s="25">
        <f>IF($AC72="","",_xlfn.RANK.EQ($AC72,$AC$5:$AC$76,0)+COUNTIF($AC$5:$AC72,$AC72)-1)</f>
        <v/>
      </c>
      <c r="AE72" s="25">
        <f>IF($AD72="","",IF($AD72&lt;=cfg_TimelineBucket1,"0-90 days",IF($AD72&lt;=cfg_TimelineBucket2,"3-6 months",IF($AD72&lt;=cfg_TimelineBucket3,"6-12 months","12+ months"))))</f>
        <v/>
      </c>
      <c r="AF72" s="25" t="inlineStr">
        <is>
          <t>CISO / DPO</t>
        </is>
      </c>
      <c r="AG72" s="25" t="inlineStr">
        <is>
          <t>3-6 months</t>
        </is>
      </c>
      <c r="AH72" s="25" t="inlineStr">
        <is>
          <t>Executive sponsor; accountable process owner; baseline evidence; risk acceptance threshold; IT architecture inventory; data/system owners</t>
        </is>
      </c>
      <c r="AI72" s="25" t="inlineStr">
        <is>
          <t>maturity score improvement; open risk reduction; evidence completeness; control test pass rate; MFA coverage; vulnerabilities remediated; incident response exercise completion</t>
        </is>
      </c>
      <c r="AJ72" s="25" t="inlineStr">
        <is>
          <t>Documented privacy operating model, owner/RACI, KPI set, evidence pack, tested crisis playbook and improvement backlog.</t>
        </is>
      </c>
      <c r="AK72" s="25" t="inlineStr">
        <is>
          <t>Counts active next-level recommendations for Cyber Privacy / Privacy.</t>
        </is>
      </c>
      <c r="AL72" s="25" t="inlineStr">
        <is>
          <t>Counts active risks and risk scores for Cyber Privacy / Privacy.</t>
        </is>
      </c>
      <c r="AM72" s="25" t="inlineStr">
        <is>
          <t>Uses the current rank and total score of Cyber Resilience Strategy.</t>
        </is>
      </c>
      <c r="AN72" s="25" t="inlineStr">
        <is>
          <t>Trigger when avg score &lt; 4, active risk exists, active recommendation exists or strategy rank &lt;= 3.</t>
        </is>
      </c>
      <c r="AO72" s="25" t="inlineStr">
        <is>
          <t>Not started</t>
        </is>
      </c>
      <c r="AP72" s="25" t="inlineStr">
        <is>
          <t>Medium-High</t>
        </is>
      </c>
      <c r="AQ72" s="25" t="n"/>
      <c r="AR72" s="25" t="n"/>
      <c r="AS72" s="247">
        <f>IFERROR(IF(SUMIFS(_REF_Model_Content!$J$1:$J$157,_REF_Model_Content!$A$1:$A$157,'Company Profile'!$B$9,_REF_Model_Content!$B$1:$B$157,$B72)=0,1,SUMIFS(_REF_Model_Content!$J$1:$J$157,_REF_Model_Content!$A$1:$A$157,'Company Profile'!$B$9,_REF_Model_Content!$B$1:$B$157,$B72)),1)</f>
        <v/>
      </c>
      <c r="AT72" s="247">
        <f>IF(OR($AY72="Done",$AY72="Not applicable"),"",IF($AC72="","",ROUND(N($AC72)*N($AS72),2)))</f>
        <v/>
      </c>
      <c r="AU72" s="247">
        <f>IF($AT72="","",_xlfn.RANK.EQ($AT72,$AT$5:$AT$76,0)+COUNTIF($AT$5:AT72,$AT72)-1)</f>
        <v/>
      </c>
      <c r="AV72" s="247">
        <f>IFERROR(INDEX('_DATA_Dashboard_Facts'!$G$300:$G$316,MATCH($B72,'_DATA_Dashboard_Facts'!$A$300:$A$316,0)),"")</f>
        <v/>
      </c>
      <c r="AW72" s="247">
        <f>IF($AS72&gt;cfg_IndPriorityHigh,"Industry template increases priority",IF($AS72&lt;cfg_IndPriorityLow,"Industry template lowers priority","Industry-neutral priority"))</f>
        <v/>
      </c>
      <c r="AX72">
        <f>IFERROR(INDEX('Action Plan &amp; Roadmap'!$D$59:$D$130,MATCH($A72,'Action Plan &amp; Roadmap'!$A$59:$A$130,0)),"")</f>
      </c>
      <c r="AY72">
        <f>IF($AX72&lt;&gt;"",$AX72,IF($AO72="","Not started",$AO72))</f>
        <v/>
      </c>
      <c r="AZ72" t="inlineStr">
        <is>
          <t>Incident loss ratio; Relative change in fraud losses since digital tools/technologies have been implemented</t>
        </is>
      </c>
      <c r="BA72">
        <f>IF($A72="","",COUNTIF('_DATA_Mappings'!$A:$A,$A72))</f>
        <v/>
      </c>
      <c r="BB72">
        <f>IF($A72="","",IFERROR(AVERAGEIF('_DATA_Mappings'!$A:$A,$A72,'_DATA_Mappings'!$G:$G),0))</f>
        <v/>
      </c>
      <c r="BC72">
        <f>IF($A72="","",MAX(0,MIN(5,(N($O72)*0.50)+(N($V72)*0.30)+(N($W72)*0.20))))</f>
        <v/>
      </c>
      <c r="BD72">
        <f>IF($A72="","",MAX(1,MIN(5,($Z72*0.45)+(MIN(5,$BB72/5)*0.35)+($BC72*0.20))))</f>
        <v/>
      </c>
      <c r="BE72">
        <f>IF($AB72=0,"",ROUND((N($X72)+N($Y72)+N($BD72)+N($AA72))/$AB72,2))</f>
        <v/>
      </c>
      <c r="BF72">
        <f>IF(OR($BE72="",$AY72="Done",$AY72="Not applicable"),"",ROUND($BE72*N($AS72),2))</f>
        <v/>
      </c>
      <c r="BG72">
        <f>IF($BF72="","",_xlfn.RANK.EQ($BF72,$BF$5:$BF$76,0)+COUNTIF($BF$5:$BF72,$BF72)-1)</f>
        <v/>
      </c>
      <c r="BH72">
        <f>IF($A72="","",IF($BB72&gt;20,"High P1 risk pressure",IF($BB72&gt;12,"Moderate P1 risk pressure","Lower P1 risk pressure")))</f>
        <v/>
      </c>
      <c r="BI72" s="25">
        <f>'_CONFIG_Model_Settings'!$B$103</f>
        <v/>
      </c>
      <c r="BJ72" s="25">
        <f>IFERROR(INDEX('_CONFIG_Model_Settings'!$B$109:$B$113,MATCH($BI72,'_CONFIG_Model_Settings'!$A$109:$A$113,0)),0.30)</f>
        <v/>
      </c>
      <c r="BK72" s="25">
        <f>IFERROR(INDEX('_CONFIG_Model_Settings'!$C$109:$C$113,MATCH($BI72,'_CONFIG_Model_Settings'!$A$109:$A$113,0)),0.20)</f>
        <v/>
      </c>
      <c r="BL72" s="25">
        <f>IFERROR(INDEX('_CONFIG_Model_Settings'!$D$109:$D$113,MATCH($BI72,'_CONFIG_Model_Settings'!$A$109:$A$113,0)),0.25)</f>
        <v/>
      </c>
      <c r="BM72" s="25">
        <f>IFERROR(INDEX('_CONFIG_Model_Settings'!$E$109:$E$113,MATCH($BI72,'_CONFIG_Model_Settings'!$A$109:$A$113,0)),0.25)</f>
        <v/>
      </c>
      <c r="BN72" s="25">
        <f>IFERROR(INDEX('_CONFIG_Model_Settings'!$B$117:$B$123,MATCH('_CONFIG_Model_Settings'!$B$104,'_CONFIG_Model_Settings'!$A$117:$A$123,0)),1)</f>
        <v/>
      </c>
      <c r="BO72" s="25">
        <f>IFERROR(INDEX('_CONFIG_Model_Settings'!$C$117:$C$123,MATCH('_CONFIG_Model_Settings'!$B$104,'_CONFIG_Model_Settings'!$A$117:$A$123,0)),1)</f>
        <v/>
      </c>
      <c r="BP72" s="25">
        <f>IFERROR(INDEX('_CONFIG_Model_Settings'!$D$117:$D$123,MATCH('_CONFIG_Model_Settings'!$B$104,'_CONFIG_Model_Settings'!$A$117:$A$123,0)),1)</f>
        <v/>
      </c>
      <c r="BQ72" s="25">
        <f>IFERROR(INDEX('_CONFIG_Model_Settings'!$E$117:$E$123,MATCH('_CONFIG_Model_Settings'!$B$104,'_CONFIG_Model_Settings'!$A$117:$A$123,0)),1)</f>
        <v/>
      </c>
      <c r="BR72" s="25">
        <f>IF($A72="","",MIN(5,IFERROR(SUMIF('_DATA_Mappings'!$A:$A,$A72,'_DATA_Mappings'!$K:$K)/MAX(1,'_CONFIG_Model_Settings'!$B$105),0)))</f>
        <v/>
      </c>
      <c r="BS72" s="25">
        <f>IF($A72="","",ROUND((N($X72)*N($BJ72)*N($BN72)+N($Y72)*N($BK72)*N($BO72)+N($BD72)*N($BL72)*N($BP72)+N($AA72)*N($BM72)*N($BQ72)+N($BR72)*N('_CONFIG_Model_Settings'!$B$106))/(N($BJ72)*N($BN72)+N($BK72)*N($BO72)+N($BL72)*N($BP72)+N($BM72)*N($BQ72)+N('_CONFIG_Model_Settings'!$B$106)),2))</f>
        <v/>
      </c>
      <c r="BT72" s="25">
        <f>IF($A72="","",MAX(1,N($AB72)))</f>
        <v/>
      </c>
      <c r="BU72" s="25">
        <f>IF(OR($BS72="",$BT72=0),"",ROUND($BS72/$BT72,2))</f>
        <v/>
      </c>
      <c r="BV72" s="25">
        <f>IF(OR($BU72="",$AY72="Done",$AY72="Not applicable"),"",ROUND($BU72*N($AS72),2))</f>
        <v/>
      </c>
      <c r="BW72" s="25">
        <f>IF($BV72="","",_xlfn.RANK.EQ($BV72,$BV$5:$BV$76,0)+COUNTIF($BV$5:$BV72,$BV72)-1)</f>
        <v/>
      </c>
      <c r="BX72" s="25">
        <f>IF($BW72="","",IF($BW72&lt;=cfg_TimelineBucket1,"0-90 days",IF($BW72&lt;=cfg_TimelineBucket2,"3-6 months",IF($BW72&lt;=cfg_TimelineBucket3,"6-12 months","12+ months"))))</f>
        <v/>
      </c>
      <c r="BY72" s="25">
        <f>IF($A72="","","P2: "&amp;$BI72&amp;" posture; objective="&amp;'_CONFIG_Model_Settings'!$B$104&amp;"; financial score="&amp;ROUND(N($BR72),1)&amp;"; CoD="&amp;$BS72)</f>
        <v/>
      </c>
    </row>
    <row r="73" ht="42" customHeight="1" s="209">
      <c r="A73" s="25" t="inlineStr">
        <is>
          <t>INI-069</t>
        </is>
      </c>
      <c r="B73" s="25" t="inlineStr">
        <is>
          <t>Quality Portfolio</t>
        </is>
      </c>
      <c r="C73" s="25" t="inlineStr">
        <is>
          <t>Process management</t>
        </is>
      </c>
      <c r="D73" s="25" t="inlineStr">
        <is>
          <t>Operational Excellence and Automation Strategy</t>
        </is>
      </c>
      <c r="E73" s="25" t="inlineStr">
        <is>
          <t>STR-07</t>
        </is>
      </c>
      <c r="F73" s="25" t="inlineStr">
        <is>
          <t>Build process ownership, SOP and continuous-improvement model</t>
        </is>
      </c>
      <c r="G73" s="25" t="inlineStr">
        <is>
          <t>Close maturity gaps in process management by assigning ownership, documenting the process, connecting it to evidence and systems, testing it against crisis scenarios and measuring improvement.</t>
        </is>
      </c>
      <c r="H73" s="25" t="inlineStr">
        <is>
          <t>Quality, portfolio and change execution risk</t>
        </is>
      </c>
      <c r="I73" s="25" t="inlineStr">
        <is>
          <t>Demand shock; Regulatory / legal shock; Operational disruption</t>
        </is>
      </c>
      <c r="J73" s="25" t="inlineStr">
        <is>
          <t>QUAL-001; QUAL-002; QUAL-003; QUAL-004; QUAL-005</t>
        </is>
      </c>
      <c r="K73" s="25" t="n">
        <v>5</v>
      </c>
      <c r="L73" s="25">
        <f>COUNTIFS('_ENGINE_Risk'!$C$500:$C$923,$B73,'_ENGINE_Risk'!$D$500:$D$923,$C73,'_ENGINE_Risk'!$B$500:$B$923,"Yes")</f>
        <v/>
      </c>
      <c r="M73" s="25">
        <f>COUNTIFS('_ENGINE_Risk'!$C$500:$C$923,$B73,'_ENGINE_Risk'!$D$500:$D$923,$C73,'_ENGINE_Risk'!$B$500:$B$923,"Yes")</f>
        <v/>
      </c>
      <c r="N73" s="25">
        <f>IFERROR(AVERAGEIFS(_DATA_Assessment_Model!$H$5:$H$428,_DATA_Assessment_Model!$AW$5:$AW$428,$B73,_DATA_Assessment_Model!$B$5:$B$428,$C73),"")</f>
        <v/>
      </c>
      <c r="O73" s="25">
        <f>IF($N73="","",MAX(0,5-$N73))</f>
        <v/>
      </c>
      <c r="P73" s="25">
        <f>IFERROR(INDEX(_DATA_Dashboard_Facts!$H$5:$H$21,MATCH($B73,_DATA_Dashboard_Facts!$A$5:$A$21,0)),"")</f>
        <v/>
      </c>
      <c r="Q73" s="25">
        <f>IF($P73="","",MAX(0,5-$P73))</f>
        <v/>
      </c>
      <c r="R73" s="25">
        <f>IFERROR(SUMIFS(_ENGINE_Crisis!$D$5:$D$208,_ENGINE_Crisis!$A$5:$A$208,'Resilience &amp; Risk Scenario'!$B$6,_ENGINE_Crisis!$B$5:$B$208,$B73),1)</f>
        <v/>
      </c>
      <c r="S73" s="25">
        <f>IFERROR(INDEX('_ENGINE_Strategy'!$A$100:$A$113,MATCH($D73,'_ENGINE_Strategy'!$B$100:$B$113,0)),99)</f>
        <v/>
      </c>
      <c r="T73" s="25">
        <f>IFERROR(INDEX('_ENGINE_Strategy'!$J$100:$J$113,MATCH($D73,'_ENGINE_Strategy'!$B$100:$B$113,0)),0)</f>
        <v/>
      </c>
      <c r="U73" s="25" t="n">
        <v>4</v>
      </c>
      <c r="V73" s="25" t="n">
        <v>4</v>
      </c>
      <c r="W73" s="25" t="n">
        <v>5</v>
      </c>
      <c r="X73" s="25">
        <f>MAX(1,MIN(5,(N($O73)*0.50)+(N($Q73)*0.25)+((N($T73)/20)*0.25)))</f>
        <v/>
      </c>
      <c r="Y73" s="25">
        <f>MAX(1,MIN(5,(($R73-1)*1.6)+('Resilience &amp; Risk Scenario'!$B$7*0.45)+IF($S73&lt;=3,0.8,0)))</f>
        <v/>
      </c>
      <c r="Z73" s="25">
        <f>MAX(1,MIN(5,(N($O73)*0.45)+(MIN(5,5*N($M73)/MAX(1,N($K73)))*0.35)+(N($V73)*0.20)))</f>
        <v/>
      </c>
      <c r="AA73" s="25">
        <f>MAX(1,MIN(5,($U73*0.40)+($W73*0.30)+(($T73/20)*0.30)))</f>
        <v/>
      </c>
      <c r="AB73" s="25" t="n">
        <v>2</v>
      </c>
      <c r="AC73" s="25">
        <f>IF($AB73=0,"",ROUND((N($X73)+N($Y73)+N($Z73)+N($AA73))/$AB73,2))</f>
        <v/>
      </c>
      <c r="AD73" s="25">
        <f>IF($AC73="","",_xlfn.RANK.EQ($AC73,$AC$5:$AC$76,0)+COUNTIF($AC$5:$AC73,$AC73)-1)</f>
        <v/>
      </c>
      <c r="AE73" s="25">
        <f>IF($AD73="","",IF($AD73&lt;=cfg_TimelineBucket1,"0-90 days",IF($AD73&lt;=cfg_TimelineBucket2,"3-6 months",IF($AD73&lt;=cfg_TimelineBucket3,"6-12 months","12+ months"))))</f>
        <v/>
      </c>
      <c r="AF73" s="25" t="inlineStr">
        <is>
          <t>COO / Transformation Lead</t>
        </is>
      </c>
      <c r="AG73" s="25" t="inlineStr">
        <is>
          <t>4-8 weeks</t>
        </is>
      </c>
      <c r="AH73" s="25" t="inlineStr">
        <is>
          <t>Executive sponsor; accountable process owner; baseline evidence; risk acceptance threshold</t>
        </is>
      </c>
      <c r="AI73" s="25" t="inlineStr">
        <is>
          <t>maturity score improvement; open risk reduction; evidence completeness; control test pass rate</t>
        </is>
      </c>
      <c r="AJ73" s="25" t="inlineStr">
        <is>
          <t>Documented process management operating model, owner/RACI, KPI set, evidence pack, tested crisis playbook and improvement backlog.</t>
        </is>
      </c>
      <c r="AK73" s="25" t="inlineStr">
        <is>
          <t>Counts active next-level recommendations for Quality Portfolio / Process management.</t>
        </is>
      </c>
      <c r="AL73" s="25" t="inlineStr">
        <is>
          <t>Counts active risks and risk scores for Quality Portfolio / Process management.</t>
        </is>
      </c>
      <c r="AM73" s="25" t="inlineStr">
        <is>
          <t>Uses the current rank and total score of Operational Excellence and Automation Strategy.</t>
        </is>
      </c>
      <c r="AN73" s="25" t="inlineStr">
        <is>
          <t>Trigger when avg score &lt; 4, active risk exists, active recommendation exists or strategy rank &lt;= 3.</t>
        </is>
      </c>
      <c r="AO73" s="25" t="inlineStr">
        <is>
          <t>Not started</t>
        </is>
      </c>
      <c r="AP73" s="25" t="inlineStr">
        <is>
          <t>Low-Medium</t>
        </is>
      </c>
      <c r="AQ73" s="25" t="n"/>
      <c r="AR73" s="25" t="n"/>
      <c r="AS73" s="247">
        <f>IFERROR(IF(SUMIFS(_REF_Model_Content!$J$1:$J$157,_REF_Model_Content!$A$1:$A$157,'Company Profile'!$B$9,_REF_Model_Content!$B$1:$B$157,$B73)=0,1,SUMIFS(_REF_Model_Content!$J$1:$J$157,_REF_Model_Content!$A$1:$A$157,'Company Profile'!$B$9,_REF_Model_Content!$B$1:$B$157,$B73)),1)</f>
        <v/>
      </c>
      <c r="AT73" s="247">
        <f>IF(OR($AY73="Done",$AY73="Not applicable"),"",IF($AC73="","",ROUND(N($AC73)*N($AS73),2)))</f>
        <v/>
      </c>
      <c r="AU73" s="247">
        <f>IF($AT73="","",_xlfn.RANK.EQ($AT73,$AT$5:$AT$76,0)+COUNTIF($AT$5:AT73,$AT73)-1)</f>
        <v/>
      </c>
      <c r="AV73" s="247">
        <f>IFERROR(INDEX('_DATA_Dashboard_Facts'!$G$300:$G$316,MATCH($B73,'_DATA_Dashboard_Facts'!$A$300:$A$316,0)),"")</f>
        <v/>
      </c>
      <c r="AW73" s="247">
        <f>IF($AS73&gt;cfg_IndPriorityHigh,"Industry template increases priority",IF($AS73&lt;cfg_IndPriorityLow,"Industry template lowers priority","Industry-neutral priority"))</f>
        <v/>
      </c>
      <c r="AX73">
        <f>IFERROR(INDEX('Action Plan &amp; Roadmap'!$D$59:$D$130,MATCH($A73,'Action Plan &amp; Roadmap'!$A$59:$A$130,0)),"")</f>
      </c>
      <c r="AY73">
        <f>IF($AX73&lt;&gt;"",$AX73,IF($AO73="","Not started",$AO73))</f>
        <v/>
      </c>
      <c r="AZ73" t="inlineStr">
        <is>
          <t>Percentage achieved from supply chain generative AI use for: reduced accidents at work; Percentage achieved from supply chain generative AI use for: reduced production downtime</t>
        </is>
      </c>
      <c r="BA73">
        <f>IF($A73="","",COUNTIF('_DATA_Mappings'!$A:$A,$A73))</f>
        <v/>
      </c>
      <c r="BB73">
        <f>IF($A73="","",IFERROR(AVERAGEIF('_DATA_Mappings'!$A:$A,$A73,'_DATA_Mappings'!$G:$G),0))</f>
        <v/>
      </c>
      <c r="BC73">
        <f>IF($A73="","",MAX(0,MIN(5,(N($O73)*0.50)+(N($V73)*0.30)+(N($W73)*0.20))))</f>
        <v/>
      </c>
      <c r="BD73">
        <f>IF($A73="","",MAX(1,MIN(5,($Z73*0.45)+(MIN(5,$BB73/5)*0.35)+($BC73*0.20))))</f>
        <v/>
      </c>
      <c r="BE73">
        <f>IF($AB73=0,"",ROUND((N($X73)+N($Y73)+N($BD73)+N($AA73))/$AB73,2))</f>
        <v/>
      </c>
      <c r="BF73">
        <f>IF(OR($BE73="",$AY73="Done",$AY73="Not applicable"),"",ROUND($BE73*N($AS73),2))</f>
        <v/>
      </c>
      <c r="BG73">
        <f>IF($BF73="","",_xlfn.RANK.EQ($BF73,$BF$5:$BF$76,0)+COUNTIF($BF$5:$BF73,$BF73)-1)</f>
        <v/>
      </c>
      <c r="BH73">
        <f>IF($A73="","",IF($BB73&gt;20,"High P1 risk pressure",IF($BB73&gt;12,"Moderate P1 risk pressure","Lower P1 risk pressure")))</f>
        <v/>
      </c>
      <c r="BI73" s="25">
        <f>'_CONFIG_Model_Settings'!$B$103</f>
        <v/>
      </c>
      <c r="BJ73" s="25">
        <f>IFERROR(INDEX('_CONFIG_Model_Settings'!$B$109:$B$113,MATCH($BI73,'_CONFIG_Model_Settings'!$A$109:$A$113,0)),0.30)</f>
        <v/>
      </c>
      <c r="BK73" s="25">
        <f>IFERROR(INDEX('_CONFIG_Model_Settings'!$C$109:$C$113,MATCH($BI73,'_CONFIG_Model_Settings'!$A$109:$A$113,0)),0.20)</f>
        <v/>
      </c>
      <c r="BL73" s="25">
        <f>IFERROR(INDEX('_CONFIG_Model_Settings'!$D$109:$D$113,MATCH($BI73,'_CONFIG_Model_Settings'!$A$109:$A$113,0)),0.25)</f>
        <v/>
      </c>
      <c r="BM73" s="25">
        <f>IFERROR(INDEX('_CONFIG_Model_Settings'!$E$109:$E$113,MATCH($BI73,'_CONFIG_Model_Settings'!$A$109:$A$113,0)),0.25)</f>
        <v/>
      </c>
      <c r="BN73" s="25">
        <f>IFERROR(INDEX('_CONFIG_Model_Settings'!$B$117:$B$123,MATCH('_CONFIG_Model_Settings'!$B$104,'_CONFIG_Model_Settings'!$A$117:$A$123,0)),1)</f>
        <v/>
      </c>
      <c r="BO73" s="25">
        <f>IFERROR(INDEX('_CONFIG_Model_Settings'!$C$117:$C$123,MATCH('_CONFIG_Model_Settings'!$B$104,'_CONFIG_Model_Settings'!$A$117:$A$123,0)),1)</f>
        <v/>
      </c>
      <c r="BP73" s="25">
        <f>IFERROR(INDEX('_CONFIG_Model_Settings'!$D$117:$D$123,MATCH('_CONFIG_Model_Settings'!$B$104,'_CONFIG_Model_Settings'!$A$117:$A$123,0)),1)</f>
        <v/>
      </c>
      <c r="BQ73" s="25">
        <f>IFERROR(INDEX('_CONFIG_Model_Settings'!$E$117:$E$123,MATCH('_CONFIG_Model_Settings'!$B$104,'_CONFIG_Model_Settings'!$A$117:$A$123,0)),1)</f>
        <v/>
      </c>
      <c r="BR73" s="25">
        <f>IF($A73="","",MIN(5,IFERROR(SUMIF('_DATA_Mappings'!$A:$A,$A73,'_DATA_Mappings'!$K:$K)/MAX(1,'_CONFIG_Model_Settings'!$B$105),0)))</f>
        <v/>
      </c>
      <c r="BS73" s="25">
        <f>IF($A73="","",ROUND((N($X73)*N($BJ73)*N($BN73)+N($Y73)*N($BK73)*N($BO73)+N($BD73)*N($BL73)*N($BP73)+N($AA73)*N($BM73)*N($BQ73)+N($BR73)*N('_CONFIG_Model_Settings'!$B$106))/(N($BJ73)*N($BN73)+N($BK73)*N($BO73)+N($BL73)*N($BP73)+N($BM73)*N($BQ73)+N('_CONFIG_Model_Settings'!$B$106)),2))</f>
        <v/>
      </c>
      <c r="BT73" s="25">
        <f>IF($A73="","",MAX(1,N($AB73)))</f>
        <v/>
      </c>
      <c r="BU73" s="25">
        <f>IF(OR($BS73="",$BT73=0),"",ROUND($BS73/$BT73,2))</f>
        <v/>
      </c>
      <c r="BV73" s="25">
        <f>IF(OR($BU73="",$AY73="Done",$AY73="Not applicable"),"",ROUND($BU73*N($AS73),2))</f>
        <v/>
      </c>
      <c r="BW73" s="25">
        <f>IF($BV73="","",_xlfn.RANK.EQ($BV73,$BV$5:$BV$76,0)+COUNTIF($BV$5:$BV73,$BV73)-1)</f>
        <v/>
      </c>
      <c r="BX73" s="25">
        <f>IF($BW73="","",IF($BW73&lt;=cfg_TimelineBucket1,"0-90 days",IF($BW73&lt;=cfg_TimelineBucket2,"3-6 months",IF($BW73&lt;=cfg_TimelineBucket3,"6-12 months","12+ months"))))</f>
        <v/>
      </c>
      <c r="BY73" s="25">
        <f>IF($A73="","","P2: "&amp;$BI73&amp;" posture; objective="&amp;'_CONFIG_Model_Settings'!$B$104&amp;"; financial score="&amp;ROUND(N($BR73),1)&amp;"; CoD="&amp;$BS73)</f>
        <v/>
      </c>
    </row>
    <row r="74" ht="42" customHeight="1" s="209">
      <c r="A74" s="25" t="inlineStr">
        <is>
          <t>INI-070</t>
        </is>
      </c>
      <c r="B74" s="25" t="inlineStr">
        <is>
          <t>Quality Portfolio</t>
        </is>
      </c>
      <c r="C74" s="25" t="inlineStr">
        <is>
          <t>Quality management</t>
        </is>
      </c>
      <c r="D74" s="25" t="inlineStr">
        <is>
          <t>Operational Excellence and Automation Strategy</t>
        </is>
      </c>
      <c r="E74" s="25" t="inlineStr">
        <is>
          <t>STR-07</t>
        </is>
      </c>
      <c r="F74" s="25" t="inlineStr">
        <is>
          <t>Strengthen quality management and audit readiness</t>
        </is>
      </c>
      <c r="G74" s="25" t="inlineStr">
        <is>
          <t>Close maturity gaps in quality management by assigning ownership, documenting the process, connecting it to evidence and systems, testing it against crisis scenarios and measuring improvement.</t>
        </is>
      </c>
      <c r="H74" s="25" t="inlineStr">
        <is>
          <t>Quality, portfolio and change execution risk</t>
        </is>
      </c>
      <c r="I74" s="25" t="inlineStr">
        <is>
          <t>Demand shock; Regulatory / legal shock; Operational disruption</t>
        </is>
      </c>
      <c r="J74" s="25" t="inlineStr">
        <is>
          <t>QUAL-006; QUAL-007; QUAL-008; QUAL-009; QUAL-010</t>
        </is>
      </c>
      <c r="K74" s="25" t="n">
        <v>5</v>
      </c>
      <c r="L74" s="25">
        <f>COUNTIFS('_ENGINE_Risk'!$C$500:$C$923,$B74,'_ENGINE_Risk'!$D$500:$D$923,$C74,'_ENGINE_Risk'!$B$500:$B$923,"Yes")</f>
        <v/>
      </c>
      <c r="M74" s="25">
        <f>COUNTIFS('_ENGINE_Risk'!$C$500:$C$923,$B74,'_ENGINE_Risk'!$D$500:$D$923,$C74,'_ENGINE_Risk'!$B$500:$B$923,"Yes")</f>
        <v/>
      </c>
      <c r="N74" s="25">
        <f>IFERROR(AVERAGEIFS(_DATA_Assessment_Model!$H$5:$H$428,_DATA_Assessment_Model!$AW$5:$AW$428,$B74,_DATA_Assessment_Model!$B$5:$B$428,$C74),"")</f>
        <v/>
      </c>
      <c r="O74" s="25">
        <f>IF($N74="","",MAX(0,5-$N74))</f>
        <v/>
      </c>
      <c r="P74" s="25">
        <f>IFERROR(INDEX(_DATA_Dashboard_Facts!$H$5:$H$21,MATCH($B74,_DATA_Dashboard_Facts!$A$5:$A$21,0)),"")</f>
        <v/>
      </c>
      <c r="Q74" s="25">
        <f>IF($P74="","",MAX(0,5-$P74))</f>
        <v/>
      </c>
      <c r="R74" s="25">
        <f>IFERROR(SUMIFS(_ENGINE_Crisis!$D$5:$D$208,_ENGINE_Crisis!$A$5:$A$208,'Resilience &amp; Risk Scenario'!$B$6,_ENGINE_Crisis!$B$5:$B$208,$B74),1)</f>
        <v/>
      </c>
      <c r="S74" s="25">
        <f>IFERROR(INDEX('_ENGINE_Strategy'!$A$100:$A$113,MATCH($D74,'_ENGINE_Strategy'!$B$100:$B$113,0)),99)</f>
        <v/>
      </c>
      <c r="T74" s="25">
        <f>IFERROR(INDEX('_ENGINE_Strategy'!$J$100:$J$113,MATCH($D74,'_ENGINE_Strategy'!$B$100:$B$113,0)),0)</f>
        <v/>
      </c>
      <c r="U74" s="25" t="n">
        <v>4</v>
      </c>
      <c r="V74" s="25" t="n">
        <v>4</v>
      </c>
      <c r="W74" s="25" t="n">
        <v>5</v>
      </c>
      <c r="X74" s="25">
        <f>MAX(1,MIN(5,(N($O74)*0.50)+(N($Q74)*0.25)+((N($T74)/20)*0.25)))</f>
        <v/>
      </c>
      <c r="Y74" s="25">
        <f>MAX(1,MIN(5,(($R74-1)*1.6)+('Resilience &amp; Risk Scenario'!$B$7*0.45)+IF($S74&lt;=3,0.8,0)))</f>
        <v/>
      </c>
      <c r="Z74" s="25">
        <f>MAX(1,MIN(5,(N($O74)*0.45)+(MIN(5,5*N($M74)/MAX(1,N($K74)))*0.35)+(N($V74)*0.20)))</f>
        <v/>
      </c>
      <c r="AA74" s="25">
        <f>MAX(1,MIN(5,($U74*0.40)+($W74*0.30)+(($T74/20)*0.30)))</f>
        <v/>
      </c>
      <c r="AB74" s="25" t="n">
        <v>2</v>
      </c>
      <c r="AC74" s="25">
        <f>IF($AB74=0,"",ROUND((N($X74)+N($Y74)+N($Z74)+N($AA74))/$AB74,2))</f>
        <v/>
      </c>
      <c r="AD74" s="25">
        <f>IF($AC74="","",_xlfn.RANK.EQ($AC74,$AC$5:$AC$76,0)+COUNTIF($AC$5:$AC74,$AC74)-1)</f>
        <v/>
      </c>
      <c r="AE74" s="25">
        <f>IF($AD74="","",IF($AD74&lt;=cfg_TimelineBucket1,"0-90 days",IF($AD74&lt;=cfg_TimelineBucket2,"3-6 months",IF($AD74&lt;=cfg_TimelineBucket3,"6-12 months","12+ months"))))</f>
        <v/>
      </c>
      <c r="AF74" s="25" t="inlineStr">
        <is>
          <t>COO / Transformation Lead</t>
        </is>
      </c>
      <c r="AG74" s="25" t="inlineStr">
        <is>
          <t>4-8 weeks</t>
        </is>
      </c>
      <c r="AH74" s="25" t="inlineStr">
        <is>
          <t>Executive sponsor; accountable process owner; baseline evidence; risk acceptance threshold</t>
        </is>
      </c>
      <c r="AI74" s="25" t="inlineStr">
        <is>
          <t>maturity score improvement; open risk reduction; evidence completeness; control test pass rate</t>
        </is>
      </c>
      <c r="AJ74" s="25" t="inlineStr">
        <is>
          <t>Documented quality management operating model, owner/RACI, KPI set, evidence pack, tested crisis playbook and improvement backlog.</t>
        </is>
      </c>
      <c r="AK74" s="25" t="inlineStr">
        <is>
          <t>Counts active next-level recommendations for Quality Portfolio / Quality management.</t>
        </is>
      </c>
      <c r="AL74" s="25" t="inlineStr">
        <is>
          <t>Counts active risks and risk scores for Quality Portfolio / Quality management.</t>
        </is>
      </c>
      <c r="AM74" s="25" t="inlineStr">
        <is>
          <t>Uses the current rank and total score of Operational Excellence and Automation Strategy.</t>
        </is>
      </c>
      <c r="AN74" s="25" t="inlineStr">
        <is>
          <t>Trigger when avg score &lt; 4, active risk exists, active recommendation exists or strategy rank &lt;= 3.</t>
        </is>
      </c>
      <c r="AO74" s="25" t="inlineStr">
        <is>
          <t>Not started</t>
        </is>
      </c>
      <c r="AP74" s="25" t="inlineStr">
        <is>
          <t>Low-Medium</t>
        </is>
      </c>
      <c r="AQ74" s="25" t="n"/>
      <c r="AR74" s="25" t="n"/>
      <c r="AS74" s="247">
        <f>IFERROR(IF(SUMIFS(_REF_Model_Content!$J$1:$J$157,_REF_Model_Content!$A$1:$A$157,'Company Profile'!$B$9,_REF_Model_Content!$B$1:$B$157,$B74)=0,1,SUMIFS(_REF_Model_Content!$J$1:$J$157,_REF_Model_Content!$A$1:$A$157,'Company Profile'!$B$9,_REF_Model_Content!$B$1:$B$157,$B74)),1)</f>
        <v/>
      </c>
      <c r="AT74" s="247">
        <f>IF(OR($AY74="Done",$AY74="Not applicable"),"",IF($AC74="","",ROUND(N($AC74)*N($AS74),2)))</f>
        <v/>
      </c>
      <c r="AU74" s="247">
        <f>IF($AT74="","",_xlfn.RANK.EQ($AT74,$AT$5:$AT$76,0)+COUNTIF($AT$5:AT74,$AT74)-1)</f>
        <v/>
      </c>
      <c r="AV74" s="247">
        <f>IFERROR(INDEX('_DATA_Dashboard_Facts'!$G$300:$G$316,MATCH($B74,'_DATA_Dashboard_Facts'!$A$300:$A$316,0)),"")</f>
        <v/>
      </c>
      <c r="AW74" s="247">
        <f>IF($AS74&gt;cfg_IndPriorityHigh,"Industry template increases priority",IF($AS74&lt;cfg_IndPriorityLow,"Industry template lowers priority","Industry-neutral priority"))</f>
        <v/>
      </c>
      <c r="AX74">
        <f>IFERROR(INDEX('Action Plan &amp; Roadmap'!$D$59:$D$130,MATCH($A74,'Action Plan &amp; Roadmap'!$A$59:$A$130,0)),"")</f>
      </c>
      <c r="AY74">
        <f>IF($AX74&lt;&gt;"",$AX74,IF($AO74="","Not started",$AO74))</f>
        <v/>
      </c>
      <c r="AZ74" t="inlineStr">
        <is>
          <t>Percentage achieved from supply chain generative AI use for: reduced accidents at work; Percentage achieved from supply chain generative AI use for: reduced production downtime</t>
        </is>
      </c>
      <c r="BA74">
        <f>IF($A74="","",COUNTIF('_DATA_Mappings'!$A:$A,$A74))</f>
        <v/>
      </c>
      <c r="BB74">
        <f>IF($A74="","",IFERROR(AVERAGEIF('_DATA_Mappings'!$A:$A,$A74,'_DATA_Mappings'!$G:$G),0))</f>
        <v/>
      </c>
      <c r="BC74">
        <f>IF($A74="","",MAX(0,MIN(5,(N($O74)*0.50)+(N($V74)*0.30)+(N($W74)*0.20))))</f>
        <v/>
      </c>
      <c r="BD74">
        <f>IF($A74="","",MAX(1,MIN(5,($Z74*0.45)+(MIN(5,$BB74/5)*0.35)+($BC74*0.20))))</f>
        <v/>
      </c>
      <c r="BE74">
        <f>IF($AB74=0,"",ROUND((N($X74)+N($Y74)+N($BD74)+N($AA74))/$AB74,2))</f>
        <v/>
      </c>
      <c r="BF74">
        <f>IF(OR($BE74="",$AY74="Done",$AY74="Not applicable"),"",ROUND($BE74*N($AS74),2))</f>
        <v/>
      </c>
      <c r="BG74">
        <f>IF($BF74="","",_xlfn.RANK.EQ($BF74,$BF$5:$BF$76,0)+COUNTIF($BF$5:$BF74,$BF74)-1)</f>
        <v/>
      </c>
      <c r="BH74">
        <f>IF($A74="","",IF($BB74&gt;20,"High P1 risk pressure",IF($BB74&gt;12,"Moderate P1 risk pressure","Lower P1 risk pressure")))</f>
        <v/>
      </c>
      <c r="BI74" s="25">
        <f>'_CONFIG_Model_Settings'!$B$103</f>
        <v/>
      </c>
      <c r="BJ74" s="25">
        <f>IFERROR(INDEX('_CONFIG_Model_Settings'!$B$109:$B$113,MATCH($BI74,'_CONFIG_Model_Settings'!$A$109:$A$113,0)),0.30)</f>
        <v/>
      </c>
      <c r="BK74" s="25">
        <f>IFERROR(INDEX('_CONFIG_Model_Settings'!$C$109:$C$113,MATCH($BI74,'_CONFIG_Model_Settings'!$A$109:$A$113,0)),0.20)</f>
        <v/>
      </c>
      <c r="BL74" s="25">
        <f>IFERROR(INDEX('_CONFIG_Model_Settings'!$D$109:$D$113,MATCH($BI74,'_CONFIG_Model_Settings'!$A$109:$A$113,0)),0.25)</f>
        <v/>
      </c>
      <c r="BM74" s="25">
        <f>IFERROR(INDEX('_CONFIG_Model_Settings'!$E$109:$E$113,MATCH($BI74,'_CONFIG_Model_Settings'!$A$109:$A$113,0)),0.25)</f>
        <v/>
      </c>
      <c r="BN74" s="25">
        <f>IFERROR(INDEX('_CONFIG_Model_Settings'!$B$117:$B$123,MATCH('_CONFIG_Model_Settings'!$B$104,'_CONFIG_Model_Settings'!$A$117:$A$123,0)),1)</f>
        <v/>
      </c>
      <c r="BO74" s="25">
        <f>IFERROR(INDEX('_CONFIG_Model_Settings'!$C$117:$C$123,MATCH('_CONFIG_Model_Settings'!$B$104,'_CONFIG_Model_Settings'!$A$117:$A$123,0)),1)</f>
        <v/>
      </c>
      <c r="BP74" s="25">
        <f>IFERROR(INDEX('_CONFIG_Model_Settings'!$D$117:$D$123,MATCH('_CONFIG_Model_Settings'!$B$104,'_CONFIG_Model_Settings'!$A$117:$A$123,0)),1)</f>
        <v/>
      </c>
      <c r="BQ74" s="25">
        <f>IFERROR(INDEX('_CONFIG_Model_Settings'!$E$117:$E$123,MATCH('_CONFIG_Model_Settings'!$B$104,'_CONFIG_Model_Settings'!$A$117:$A$123,0)),1)</f>
        <v/>
      </c>
      <c r="BR74" s="25">
        <f>IF($A74="","",MIN(5,IFERROR(SUMIF('_DATA_Mappings'!$A:$A,$A74,'_DATA_Mappings'!$K:$K)/MAX(1,'_CONFIG_Model_Settings'!$B$105),0)))</f>
        <v/>
      </c>
      <c r="BS74" s="25">
        <f>IF($A74="","",ROUND((N($X74)*N($BJ74)*N($BN74)+N($Y74)*N($BK74)*N($BO74)+N($BD74)*N($BL74)*N($BP74)+N($AA74)*N($BM74)*N($BQ74)+N($BR74)*N('_CONFIG_Model_Settings'!$B$106))/(N($BJ74)*N($BN74)+N($BK74)*N($BO74)+N($BL74)*N($BP74)+N($BM74)*N($BQ74)+N('_CONFIG_Model_Settings'!$B$106)),2))</f>
        <v/>
      </c>
      <c r="BT74" s="25">
        <f>IF($A74="","",MAX(1,N($AB74)))</f>
        <v/>
      </c>
      <c r="BU74" s="25">
        <f>IF(OR($BS74="",$BT74=0),"",ROUND($BS74/$BT74,2))</f>
        <v/>
      </c>
      <c r="BV74" s="25">
        <f>IF(OR($BU74="",$AY74="Done",$AY74="Not applicable"),"",ROUND($BU74*N($AS74),2))</f>
        <v/>
      </c>
      <c r="BW74" s="25">
        <f>IF($BV74="","",_xlfn.RANK.EQ($BV74,$BV$5:$BV$76,0)+COUNTIF($BV$5:$BV74,$BV74)-1)</f>
        <v/>
      </c>
      <c r="BX74" s="25">
        <f>IF($BW74="","",IF($BW74&lt;=cfg_TimelineBucket1,"0-90 days",IF($BW74&lt;=cfg_TimelineBucket2,"3-6 months",IF($BW74&lt;=cfg_TimelineBucket3,"6-12 months","12+ months"))))</f>
        <v/>
      </c>
      <c r="BY74" s="25">
        <f>IF($A74="","","P2: "&amp;$BI74&amp;" posture; objective="&amp;'_CONFIG_Model_Settings'!$B$104&amp;"; financial score="&amp;ROUND(N($BR74),1)&amp;"; CoD="&amp;$BS74)</f>
        <v/>
      </c>
    </row>
    <row r="75" ht="42" customHeight="1" s="209">
      <c r="A75" s="25" t="inlineStr">
        <is>
          <t>INI-071</t>
        </is>
      </c>
      <c r="B75" s="25" t="inlineStr">
        <is>
          <t>Quality Portfolio</t>
        </is>
      </c>
      <c r="C75" s="25" t="inlineStr">
        <is>
          <t>Portfolio and change</t>
        </is>
      </c>
      <c r="D75" s="25" t="inlineStr">
        <is>
          <t>Governance and Decision-Speed Strategy</t>
        </is>
      </c>
      <c r="E75" s="25" t="inlineStr">
        <is>
          <t>STR-14</t>
        </is>
      </c>
      <c r="F75" s="25" t="inlineStr">
        <is>
          <t>Implement portfolio governance, prioritization and change control</t>
        </is>
      </c>
      <c r="G75" s="25" t="inlineStr">
        <is>
          <t>Close maturity gaps in portfolio and change by assigning ownership, documenting the process, connecting it to evidence and systems, testing it against crisis scenarios and measuring improvement.</t>
        </is>
      </c>
      <c r="H75" s="25" t="inlineStr">
        <is>
          <t>Quality, portfolio and change execution risk</t>
        </is>
      </c>
      <c r="I75" s="25" t="inlineStr">
        <is>
          <t>Demand shock; Regulatory / legal shock; Operational disruption</t>
        </is>
      </c>
      <c r="J75" s="25" t="inlineStr">
        <is>
          <t>QUAL-011; QUAL-012; QUAL-013; QUAL-014; QUAL-015</t>
        </is>
      </c>
      <c r="K75" s="25" t="n">
        <v>5</v>
      </c>
      <c r="L75" s="25">
        <f>COUNTIFS('_ENGINE_Risk'!$C$500:$C$923,$B75,'_ENGINE_Risk'!$D$500:$D$923,$C75,'_ENGINE_Risk'!$B$500:$B$923,"Yes")</f>
        <v/>
      </c>
      <c r="M75" s="25">
        <f>COUNTIFS('_ENGINE_Risk'!$C$500:$C$923,$B75,'_ENGINE_Risk'!$D$500:$D$923,$C75,'_ENGINE_Risk'!$B$500:$B$923,"Yes")</f>
        <v/>
      </c>
      <c r="N75" s="25">
        <f>IFERROR(AVERAGEIFS(_DATA_Assessment_Model!$H$5:$H$428,_DATA_Assessment_Model!$AW$5:$AW$428,$B75,_DATA_Assessment_Model!$B$5:$B$428,$C75),"")</f>
        <v/>
      </c>
      <c r="O75" s="25">
        <f>IF($N75="","",MAX(0,5-$N75))</f>
        <v/>
      </c>
      <c r="P75" s="25">
        <f>IFERROR(INDEX(_DATA_Dashboard_Facts!$H$5:$H$21,MATCH($B75,_DATA_Dashboard_Facts!$A$5:$A$21,0)),"")</f>
        <v/>
      </c>
      <c r="Q75" s="25">
        <f>IF($P75="","",MAX(0,5-$P75))</f>
        <v/>
      </c>
      <c r="R75" s="25">
        <f>IFERROR(SUMIFS(_ENGINE_Crisis!$D$5:$D$208,_ENGINE_Crisis!$A$5:$A$208,'Resilience &amp; Risk Scenario'!$B$6,_ENGINE_Crisis!$B$5:$B$208,$B75),1)</f>
        <v/>
      </c>
      <c r="S75" s="25">
        <f>IFERROR(INDEX('_ENGINE_Strategy'!$A$100:$A$113,MATCH($D75,'_ENGINE_Strategy'!$B$100:$B$113,0)),99)</f>
        <v/>
      </c>
      <c r="T75" s="25">
        <f>IFERROR(INDEX('_ENGINE_Strategy'!$J$100:$J$113,MATCH($D75,'_ENGINE_Strategy'!$B$100:$B$113,0)),0)</f>
        <v/>
      </c>
      <c r="U75" s="25" t="n">
        <v>2</v>
      </c>
      <c r="V75" s="25" t="n">
        <v>4</v>
      </c>
      <c r="W75" s="25" t="n">
        <v>5</v>
      </c>
      <c r="X75" s="25">
        <f>MAX(1,MIN(5,(N($O75)*0.50)+(N($Q75)*0.25)+((N($T75)/20)*0.25)))</f>
        <v/>
      </c>
      <c r="Y75" s="25">
        <f>MAX(1,MIN(5,(($R75-1)*1.6)+('Resilience &amp; Risk Scenario'!$B$7*0.45)+IF($S75&lt;=3,0.8,0)))</f>
        <v/>
      </c>
      <c r="Z75" s="25">
        <f>MAX(1,MIN(5,(N($O75)*0.45)+(MIN(5,5*N($M75)/MAX(1,N($K75)))*0.35)+(N($V75)*0.20)))</f>
        <v/>
      </c>
      <c r="AA75" s="25">
        <f>MAX(1,MIN(5,($U75*0.40)+($W75*0.30)+(($T75/20)*0.30)))</f>
        <v/>
      </c>
      <c r="AB75" s="25" t="n">
        <v>2</v>
      </c>
      <c r="AC75" s="25">
        <f>IF($AB75=0,"",ROUND((N($X75)+N($Y75)+N($Z75)+N($AA75))/$AB75,2))</f>
        <v/>
      </c>
      <c r="AD75" s="25">
        <f>IF($AC75="","",_xlfn.RANK.EQ($AC75,$AC$5:$AC$76,0)+COUNTIF($AC$5:$AC75,$AC75)-1)</f>
        <v/>
      </c>
      <c r="AE75" s="25">
        <f>IF($AD75="","",IF($AD75&lt;=cfg_TimelineBucket1,"0-90 days",IF($AD75&lt;=cfg_TimelineBucket2,"3-6 months",IF($AD75&lt;=cfg_TimelineBucket3,"6-12 months","12+ months"))))</f>
        <v/>
      </c>
      <c r="AF75" s="25" t="inlineStr">
        <is>
          <t>COO / Transformation Lead</t>
        </is>
      </c>
      <c r="AG75" s="25" t="inlineStr">
        <is>
          <t>4-8 weeks</t>
        </is>
      </c>
      <c r="AH75" s="25" t="inlineStr">
        <is>
          <t>Executive sponsor; accountable process owner; baseline evidence; risk acceptance threshold</t>
        </is>
      </c>
      <c r="AI75" s="25" t="inlineStr">
        <is>
          <t>maturity score improvement; open risk reduction; evidence completeness; control test pass rate</t>
        </is>
      </c>
      <c r="AJ75" s="25" t="inlineStr">
        <is>
          <t>Documented portfolio and change operating model, owner/RACI, KPI set, evidence pack, tested crisis playbook and improvement backlog.</t>
        </is>
      </c>
      <c r="AK75" s="25" t="inlineStr">
        <is>
          <t>Counts active next-level recommendations for Quality Portfolio / Portfolio and change.</t>
        </is>
      </c>
      <c r="AL75" s="25" t="inlineStr">
        <is>
          <t>Counts active risks and risk scores for Quality Portfolio / Portfolio and change.</t>
        </is>
      </c>
      <c r="AM75" s="25" t="inlineStr">
        <is>
          <t>Uses the current rank and total score of Governance and Decision-Speed Strategy.</t>
        </is>
      </c>
      <c r="AN75" s="25" t="inlineStr">
        <is>
          <t>Trigger when avg score &lt; 4, active risk exists, active recommendation exists or strategy rank &lt;= 3.</t>
        </is>
      </c>
      <c r="AO75" s="25" t="inlineStr">
        <is>
          <t>Not started</t>
        </is>
      </c>
      <c r="AP75" s="25" t="inlineStr">
        <is>
          <t>Low-Medium</t>
        </is>
      </c>
      <c r="AQ75" s="25" t="n"/>
      <c r="AR75" s="25" t="n"/>
      <c r="AS75" s="247">
        <f>IFERROR(IF(SUMIFS(_REF_Model_Content!$J$1:$J$157,_REF_Model_Content!$A$1:$A$157,'Company Profile'!$B$9,_REF_Model_Content!$B$1:$B$157,$B75)=0,1,SUMIFS(_REF_Model_Content!$J$1:$J$157,_REF_Model_Content!$A$1:$A$157,'Company Profile'!$B$9,_REF_Model_Content!$B$1:$B$157,$B75)),1)</f>
        <v/>
      </c>
      <c r="AT75" s="247">
        <f>IF(OR($AY75="Done",$AY75="Not applicable"),"",IF($AC75="","",ROUND(N($AC75)*N($AS75),2)))</f>
        <v/>
      </c>
      <c r="AU75" s="247">
        <f>IF($AT75="","",_xlfn.RANK.EQ($AT75,$AT$5:$AT$76,0)+COUNTIF($AT$5:AT75,$AT75)-1)</f>
        <v/>
      </c>
      <c r="AV75" s="247">
        <f>IFERROR(INDEX('_DATA_Dashboard_Facts'!$G$300:$G$316,MATCH($B75,'_DATA_Dashboard_Facts'!$A$300:$A$316,0)),"")</f>
        <v/>
      </c>
      <c r="AW75" s="247">
        <f>IF($AS75&gt;cfg_IndPriorityHigh,"Industry template increases priority",IF($AS75&lt;cfg_IndPriorityLow,"Industry template lowers priority","Industry-neutral priority"))</f>
        <v/>
      </c>
      <c r="AX75">
        <f>IFERROR(INDEX('Action Plan &amp; Roadmap'!$D$59:$D$130,MATCH($A75,'Action Plan &amp; Roadmap'!$A$59:$A$130,0)),"")</f>
      </c>
      <c r="AY75">
        <f>IF($AX75&lt;&gt;"",$AX75,IF($AO75="","Not started",$AO75))</f>
        <v/>
      </c>
      <c r="AZ75" t="inlineStr">
        <is>
          <t>Percentage achieved from supply chain generative AI use for: reduced accidents at work; Percentage achieved from supply chain generative AI use for: reduced production downtime</t>
        </is>
      </c>
      <c r="BA75">
        <f>IF($A75="","",COUNTIF('_DATA_Mappings'!$A:$A,$A75))</f>
        <v/>
      </c>
      <c r="BB75">
        <f>IF($A75="","",IFERROR(AVERAGEIF('_DATA_Mappings'!$A:$A,$A75,'_DATA_Mappings'!$G:$G),0))</f>
        <v/>
      </c>
      <c r="BC75">
        <f>IF($A75="","",MAX(0,MIN(5,(N($O75)*0.50)+(N($V75)*0.30)+(N($W75)*0.20))))</f>
        <v/>
      </c>
      <c r="BD75">
        <f>IF($A75="","",MAX(1,MIN(5,($Z75*0.45)+(MIN(5,$BB75/5)*0.35)+($BC75*0.20))))</f>
        <v/>
      </c>
      <c r="BE75">
        <f>IF($AB75=0,"",ROUND((N($X75)+N($Y75)+N($BD75)+N($AA75))/$AB75,2))</f>
        <v/>
      </c>
      <c r="BF75">
        <f>IF(OR($BE75="",$AY75="Done",$AY75="Not applicable"),"",ROUND($BE75*N($AS75),2))</f>
        <v/>
      </c>
      <c r="BG75">
        <f>IF($BF75="","",_xlfn.RANK.EQ($BF75,$BF$5:$BF$76,0)+COUNTIF($BF$5:$BF75,$BF75)-1)</f>
        <v/>
      </c>
      <c r="BH75">
        <f>IF($A75="","",IF($BB75&gt;20,"High P1 risk pressure",IF($BB75&gt;12,"Moderate P1 risk pressure","Lower P1 risk pressure")))</f>
        <v/>
      </c>
      <c r="BI75" s="25">
        <f>'_CONFIG_Model_Settings'!$B$103</f>
        <v/>
      </c>
      <c r="BJ75" s="25">
        <f>IFERROR(INDEX('_CONFIG_Model_Settings'!$B$109:$B$113,MATCH($BI75,'_CONFIG_Model_Settings'!$A$109:$A$113,0)),0.30)</f>
        <v/>
      </c>
      <c r="BK75" s="25">
        <f>IFERROR(INDEX('_CONFIG_Model_Settings'!$C$109:$C$113,MATCH($BI75,'_CONFIG_Model_Settings'!$A$109:$A$113,0)),0.20)</f>
        <v/>
      </c>
      <c r="BL75" s="25">
        <f>IFERROR(INDEX('_CONFIG_Model_Settings'!$D$109:$D$113,MATCH($BI75,'_CONFIG_Model_Settings'!$A$109:$A$113,0)),0.25)</f>
        <v/>
      </c>
      <c r="BM75" s="25">
        <f>IFERROR(INDEX('_CONFIG_Model_Settings'!$E$109:$E$113,MATCH($BI75,'_CONFIG_Model_Settings'!$A$109:$A$113,0)),0.25)</f>
        <v/>
      </c>
      <c r="BN75" s="25">
        <f>IFERROR(INDEX('_CONFIG_Model_Settings'!$B$117:$B$123,MATCH('_CONFIG_Model_Settings'!$B$104,'_CONFIG_Model_Settings'!$A$117:$A$123,0)),1)</f>
        <v/>
      </c>
      <c r="BO75" s="25">
        <f>IFERROR(INDEX('_CONFIG_Model_Settings'!$C$117:$C$123,MATCH('_CONFIG_Model_Settings'!$B$104,'_CONFIG_Model_Settings'!$A$117:$A$123,0)),1)</f>
        <v/>
      </c>
      <c r="BP75" s="25">
        <f>IFERROR(INDEX('_CONFIG_Model_Settings'!$D$117:$D$123,MATCH('_CONFIG_Model_Settings'!$B$104,'_CONFIG_Model_Settings'!$A$117:$A$123,0)),1)</f>
        <v/>
      </c>
      <c r="BQ75" s="25">
        <f>IFERROR(INDEX('_CONFIG_Model_Settings'!$E$117:$E$123,MATCH('_CONFIG_Model_Settings'!$B$104,'_CONFIG_Model_Settings'!$A$117:$A$123,0)),1)</f>
        <v/>
      </c>
      <c r="BR75" s="25">
        <f>IF($A75="","",MIN(5,IFERROR(SUMIF('_DATA_Mappings'!$A:$A,$A75,'_DATA_Mappings'!$K:$K)/MAX(1,'_CONFIG_Model_Settings'!$B$105),0)))</f>
        <v/>
      </c>
      <c r="BS75" s="25">
        <f>IF($A75="","",ROUND((N($X75)*N($BJ75)*N($BN75)+N($Y75)*N($BK75)*N($BO75)+N($BD75)*N($BL75)*N($BP75)+N($AA75)*N($BM75)*N($BQ75)+N($BR75)*N('_CONFIG_Model_Settings'!$B$106))/(N($BJ75)*N($BN75)+N($BK75)*N($BO75)+N($BL75)*N($BP75)+N($BM75)*N($BQ75)+N('_CONFIG_Model_Settings'!$B$106)),2))</f>
        <v/>
      </c>
      <c r="BT75" s="25">
        <f>IF($A75="","",MAX(1,N($AB75)))</f>
        <v/>
      </c>
      <c r="BU75" s="25">
        <f>IF(OR($BS75="",$BT75=0),"",ROUND($BS75/$BT75,2))</f>
        <v/>
      </c>
      <c r="BV75" s="25">
        <f>IF(OR($BU75="",$AY75="Done",$AY75="Not applicable"),"",ROUND($BU75*N($AS75),2))</f>
        <v/>
      </c>
      <c r="BW75" s="25">
        <f>IF($BV75="","",_xlfn.RANK.EQ($BV75,$BV$5:$BV$76,0)+COUNTIF($BV$5:$BV75,$BV75)-1)</f>
        <v/>
      </c>
      <c r="BX75" s="25">
        <f>IF($BW75="","",IF($BW75&lt;=cfg_TimelineBucket1,"0-90 days",IF($BW75&lt;=cfg_TimelineBucket2,"3-6 months",IF($BW75&lt;=cfg_TimelineBucket3,"6-12 months","12+ months"))))</f>
        <v/>
      </c>
      <c r="BY75" s="25">
        <f>IF($A75="","","P2: "&amp;$BI75&amp;" posture; objective="&amp;'_CONFIG_Model_Settings'!$B$104&amp;"; financial score="&amp;ROUND(N($BR75),1)&amp;"; CoD="&amp;$BS75)</f>
        <v/>
      </c>
    </row>
    <row r="76" ht="42" customHeight="1" s="209">
      <c r="A76" s="25" t="inlineStr">
        <is>
          <t>INI-072</t>
        </is>
      </c>
      <c r="B76" s="25" t="inlineStr">
        <is>
          <t>Quality Portfolio</t>
        </is>
      </c>
      <c r="C76" s="25" t="inlineStr">
        <is>
          <t>Management system</t>
        </is>
      </c>
      <c r="D76" s="25" t="inlineStr">
        <is>
          <t>Compliance and Risk Control Strategy</t>
        </is>
      </c>
      <c r="E76" s="25" t="inlineStr">
        <is>
          <t>STR-13</t>
        </is>
      </c>
      <c r="F76" s="25" t="inlineStr">
        <is>
          <t>Integrate management system, KPIs and continual improvement cycle</t>
        </is>
      </c>
      <c r="G76" s="25" t="inlineStr">
        <is>
          <t>Close maturity gaps in management system by assigning ownership, documenting the process, connecting it to evidence and systems, testing it against crisis scenarios and measuring improvement.</t>
        </is>
      </c>
      <c r="H76" s="25" t="inlineStr">
        <is>
          <t>Quality, portfolio and change execution risk</t>
        </is>
      </c>
      <c r="I76" s="25" t="inlineStr">
        <is>
          <t>Demand shock; Regulatory / legal shock; Operational disruption</t>
        </is>
      </c>
      <c r="J76" s="25" t="inlineStr">
        <is>
          <t>QUAL-016; QUAL-017; QUAL-018; QUAL-019; QUAL-020</t>
        </is>
      </c>
      <c r="K76" s="25" t="n">
        <v>5</v>
      </c>
      <c r="L76" s="25">
        <f>COUNTIFS('_ENGINE_Risk'!$C$500:$C$923,$B76,'_ENGINE_Risk'!$D$500:$D$923,$C76,'_ENGINE_Risk'!$B$500:$B$923,"Yes")</f>
        <v/>
      </c>
      <c r="M76" s="25">
        <f>COUNTIFS('_ENGINE_Risk'!$C$500:$C$923,$B76,'_ENGINE_Risk'!$D$500:$D$923,$C76,'_ENGINE_Risk'!$B$500:$B$923,"Yes")</f>
        <v/>
      </c>
      <c r="N76" s="25">
        <f>IFERROR(AVERAGEIFS(_DATA_Assessment_Model!$H$5:$H$428,_DATA_Assessment_Model!$AW$5:$AW$428,$B76,_DATA_Assessment_Model!$B$5:$B$428,$C76),"")</f>
        <v/>
      </c>
      <c r="O76" s="25">
        <f>IF($N76="","",MAX(0,5-$N76))</f>
        <v/>
      </c>
      <c r="P76" s="25">
        <f>IFERROR(INDEX(_DATA_Dashboard_Facts!$H$5:$H$21,MATCH($B76,_DATA_Dashboard_Facts!$A$5:$A$21,0)),"")</f>
        <v/>
      </c>
      <c r="Q76" s="25">
        <f>IF($P76="","",MAX(0,5-$P76))</f>
        <v/>
      </c>
      <c r="R76" s="25">
        <f>IFERROR(SUMIFS(_ENGINE_Crisis!$D$5:$D$208,_ENGINE_Crisis!$A$5:$A$208,'Resilience &amp; Risk Scenario'!$B$6,_ENGINE_Crisis!$B$5:$B$208,$B76),1)</f>
        <v/>
      </c>
      <c r="S76" s="25">
        <f>IFERROR(INDEX('_ENGINE_Strategy'!$A$100:$A$113,MATCH($D76,'_ENGINE_Strategy'!$B$100:$B$113,0)),99)</f>
        <v/>
      </c>
      <c r="T76" s="25">
        <f>IFERROR(INDEX('_ENGINE_Strategy'!$J$100:$J$113,MATCH($D76,'_ENGINE_Strategy'!$B$100:$B$113,0)),0)</f>
        <v/>
      </c>
      <c r="U76" s="25" t="n">
        <v>2</v>
      </c>
      <c r="V76" s="25" t="n">
        <v>4</v>
      </c>
      <c r="W76" s="25" t="n">
        <v>5</v>
      </c>
      <c r="X76" s="25">
        <f>MAX(1,MIN(5,(N($O76)*0.50)+(N($Q76)*0.25)+((N($T76)/20)*0.25)))</f>
        <v/>
      </c>
      <c r="Y76" s="25">
        <f>MAX(1,MIN(5,(($R76-1)*1.6)+('Resilience &amp; Risk Scenario'!$B$7*0.45)+IF($S76&lt;=3,0.8,0)))</f>
        <v/>
      </c>
      <c r="Z76" s="25">
        <f>MAX(1,MIN(5,(N($O76)*0.45)+(MIN(5,5*N($M76)/MAX(1,N($K76)))*0.35)+(N($V76)*0.20)))</f>
        <v/>
      </c>
      <c r="AA76" s="25">
        <f>MAX(1,MIN(5,($U76*0.40)+($W76*0.30)+(($T76/20)*0.30)))</f>
        <v/>
      </c>
      <c r="AB76" s="25" t="n">
        <v>2</v>
      </c>
      <c r="AC76" s="25">
        <f>IF($AB76=0,"",ROUND((N($X76)+N($Y76)+N($Z76)+N($AA76))/$AB76,2))</f>
        <v/>
      </c>
      <c r="AD76" s="25">
        <f>IF($AC76="","",_xlfn.RANK.EQ($AC76,$AC$5:$AC$76,0)+COUNTIF($AC$5:$AC76,$AC76)-1)</f>
        <v/>
      </c>
      <c r="AE76" s="25">
        <f>IF($AD76="","",IF($AD76&lt;=cfg_TimelineBucket1,"0-90 days",IF($AD76&lt;=cfg_TimelineBucket2,"3-6 months",IF($AD76&lt;=cfg_TimelineBucket3,"6-12 months","12+ months"))))</f>
        <v/>
      </c>
      <c r="AF76" s="25" t="inlineStr">
        <is>
          <t>COO / Transformation Lead</t>
        </is>
      </c>
      <c r="AG76" s="25" t="inlineStr">
        <is>
          <t>4-8 weeks</t>
        </is>
      </c>
      <c r="AH76" s="25" t="inlineStr">
        <is>
          <t>Executive sponsor; accountable process owner; baseline evidence; risk acceptance threshold</t>
        </is>
      </c>
      <c r="AI76" s="25" t="inlineStr">
        <is>
          <t>maturity score improvement; open risk reduction; evidence completeness; control test pass rate</t>
        </is>
      </c>
      <c r="AJ76" s="25" t="inlineStr">
        <is>
          <t>Documented management system operating model, owner/RACI, KPI set, evidence pack, tested crisis playbook and improvement backlog.</t>
        </is>
      </c>
      <c r="AK76" s="25" t="inlineStr">
        <is>
          <t>Counts active next-level recommendations for Quality Portfolio / Management system.</t>
        </is>
      </c>
      <c r="AL76" s="25" t="inlineStr">
        <is>
          <t>Counts active risks and risk scores for Quality Portfolio / Management system.</t>
        </is>
      </c>
      <c r="AM76" s="25" t="inlineStr">
        <is>
          <t>Uses the current rank and total score of Compliance and Risk Control Strategy.</t>
        </is>
      </c>
      <c r="AN76" s="25" t="inlineStr">
        <is>
          <t>Trigger when avg score &lt; 4, active risk exists, active recommendation exists or strategy rank &lt;= 3.</t>
        </is>
      </c>
      <c r="AO76" s="25" t="inlineStr">
        <is>
          <t>Not started</t>
        </is>
      </c>
      <c r="AP76" s="25" t="inlineStr">
        <is>
          <t>Low-Medium</t>
        </is>
      </c>
      <c r="AQ76" s="25" t="n"/>
      <c r="AR76" s="25" t="n"/>
      <c r="AS76" s="247">
        <f>IFERROR(IF(SUMIFS(_REF_Model_Content!$J$1:$J$157,_REF_Model_Content!$A$1:$A$157,'Company Profile'!$B$9,_REF_Model_Content!$B$1:$B$157,$B76)=0,1,SUMIFS(_REF_Model_Content!$J$1:$J$157,_REF_Model_Content!$A$1:$A$157,'Company Profile'!$B$9,_REF_Model_Content!$B$1:$B$157,$B76)),1)</f>
        <v/>
      </c>
      <c r="AT76" s="247">
        <f>IF(OR($AY76="Done",$AY76="Not applicable"),"",IF($AC76="","",ROUND(N($AC76)*N($AS76),2)))</f>
        <v/>
      </c>
      <c r="AU76" s="247">
        <f>IF($AT76="","",_xlfn.RANK.EQ($AT76,$AT$5:$AT$76,0)+COUNTIF($AT$5:AT76,$AT76)-1)</f>
        <v/>
      </c>
      <c r="AV76" s="247">
        <f>IFERROR(INDEX('_DATA_Dashboard_Facts'!$G$300:$G$316,MATCH($B76,'_DATA_Dashboard_Facts'!$A$300:$A$316,0)),"")</f>
        <v/>
      </c>
      <c r="AW76" s="247">
        <f>IF($AS76&gt;cfg_IndPriorityHigh,"Industry template increases priority",IF($AS76&lt;cfg_IndPriorityLow,"Industry template lowers priority","Industry-neutral priority"))</f>
        <v/>
      </c>
      <c r="AX76">
        <f>IFERROR(INDEX('Action Plan &amp; Roadmap'!$D$59:$D$130,MATCH($A76,'Action Plan &amp; Roadmap'!$A$59:$A$130,0)),"")</f>
      </c>
      <c r="AY76">
        <f>IF($AX76&lt;&gt;"",$AX76,IF($AO76="","Not started",$AO76))</f>
        <v/>
      </c>
      <c r="AZ76" t="inlineStr">
        <is>
          <t>Percentage achieved from supply chain generative AI use for: reduced accidents at work; Percentage achieved from supply chain generative AI use for: reduced production downtime</t>
        </is>
      </c>
      <c r="BA76">
        <f>IF($A76="","",COUNTIF('_DATA_Mappings'!$A:$A,$A76))</f>
        <v/>
      </c>
      <c r="BB76">
        <f>IF($A76="","",IFERROR(AVERAGEIF('_DATA_Mappings'!$A:$A,$A76,'_DATA_Mappings'!$G:$G),0))</f>
        <v/>
      </c>
      <c r="BC76">
        <f>IF($A76="","",MAX(0,MIN(5,(N($O76)*0.50)+(N($V76)*0.30)+(N($W76)*0.20))))</f>
        <v/>
      </c>
      <c r="BD76">
        <f>IF($A76="","",MAX(1,MIN(5,($Z76*0.45)+(MIN(5,$BB76/5)*0.35)+($BC76*0.20))))</f>
        <v/>
      </c>
      <c r="BE76">
        <f>IF($AB76=0,"",ROUND((N($X76)+N($Y76)+N($BD76)+N($AA76))/$AB76,2))</f>
        <v/>
      </c>
      <c r="BF76">
        <f>IF(OR($BE76="",$AY76="Done",$AY76="Not applicable"),"",ROUND($BE76*N($AS76),2))</f>
        <v/>
      </c>
      <c r="BG76">
        <f>IF($BF76="","",_xlfn.RANK.EQ($BF76,$BF$5:$BF$76,0)+COUNTIF($BF$5:$BF76,$BF76)-1)</f>
        <v/>
      </c>
      <c r="BH76">
        <f>IF($A76="","",IF($BB76&gt;20,"High P1 risk pressure",IF($BB76&gt;12,"Moderate P1 risk pressure","Lower P1 risk pressure")))</f>
        <v/>
      </c>
      <c r="BI76" s="25">
        <f>'_CONFIG_Model_Settings'!$B$103</f>
        <v/>
      </c>
      <c r="BJ76" s="25">
        <f>IFERROR(INDEX('_CONFIG_Model_Settings'!$B$109:$B$113,MATCH($BI76,'_CONFIG_Model_Settings'!$A$109:$A$113,0)),0.30)</f>
        <v/>
      </c>
      <c r="BK76" s="25">
        <f>IFERROR(INDEX('_CONFIG_Model_Settings'!$C$109:$C$113,MATCH($BI76,'_CONFIG_Model_Settings'!$A$109:$A$113,0)),0.20)</f>
        <v/>
      </c>
      <c r="BL76" s="25">
        <f>IFERROR(INDEX('_CONFIG_Model_Settings'!$D$109:$D$113,MATCH($BI76,'_CONFIG_Model_Settings'!$A$109:$A$113,0)),0.25)</f>
        <v/>
      </c>
      <c r="BM76" s="25">
        <f>IFERROR(INDEX('_CONFIG_Model_Settings'!$E$109:$E$113,MATCH($BI76,'_CONFIG_Model_Settings'!$A$109:$A$113,0)),0.25)</f>
        <v/>
      </c>
      <c r="BN76" s="25">
        <f>IFERROR(INDEX('_CONFIG_Model_Settings'!$B$117:$B$123,MATCH('_CONFIG_Model_Settings'!$B$104,'_CONFIG_Model_Settings'!$A$117:$A$123,0)),1)</f>
        <v/>
      </c>
      <c r="BO76" s="25">
        <f>IFERROR(INDEX('_CONFIG_Model_Settings'!$C$117:$C$123,MATCH('_CONFIG_Model_Settings'!$B$104,'_CONFIG_Model_Settings'!$A$117:$A$123,0)),1)</f>
        <v/>
      </c>
      <c r="BP76" s="25">
        <f>IFERROR(INDEX('_CONFIG_Model_Settings'!$D$117:$D$123,MATCH('_CONFIG_Model_Settings'!$B$104,'_CONFIG_Model_Settings'!$A$117:$A$123,0)),1)</f>
        <v/>
      </c>
      <c r="BQ76" s="25">
        <f>IFERROR(INDEX('_CONFIG_Model_Settings'!$E$117:$E$123,MATCH('_CONFIG_Model_Settings'!$B$104,'_CONFIG_Model_Settings'!$A$117:$A$123,0)),1)</f>
        <v/>
      </c>
      <c r="BR76" s="25">
        <f>IF($A76="","",MIN(5,IFERROR(SUMIF('_DATA_Mappings'!$A:$A,$A76,'_DATA_Mappings'!$K:$K)/MAX(1,'_CONFIG_Model_Settings'!$B$105),0)))</f>
        <v/>
      </c>
      <c r="BS76" s="25">
        <f>IF($A76="","",ROUND((N($X76)*N($BJ76)*N($BN76)+N($Y76)*N($BK76)*N($BO76)+N($BD76)*N($BL76)*N($BP76)+N($AA76)*N($BM76)*N($BQ76)+N($BR76)*N('_CONFIG_Model_Settings'!$B$106))/(N($BJ76)*N($BN76)+N($BK76)*N($BO76)+N($BL76)*N($BP76)+N($BM76)*N($BQ76)+N('_CONFIG_Model_Settings'!$B$106)),2))</f>
        <v/>
      </c>
      <c r="BT76" s="25">
        <f>IF($A76="","",MAX(1,N($AB76)))</f>
        <v/>
      </c>
      <c r="BU76" s="25">
        <f>IF(OR($BS76="",$BT76=0),"",ROUND($BS76/$BT76,2))</f>
        <v/>
      </c>
      <c r="BV76" s="25">
        <f>IF(OR($BU76="",$AY76="Done",$AY76="Not applicable"),"",ROUND($BU76*N($AS76),2))</f>
        <v/>
      </c>
      <c r="BW76" s="25">
        <f>IF($BV76="","",_xlfn.RANK.EQ($BV76,$BV$5:$BV$76,0)+COUNTIF($BV$5:$BV76,$BV76)-1)</f>
        <v/>
      </c>
      <c r="BX76" s="25">
        <f>IF($BW76="","",IF($BW76&lt;=cfg_TimelineBucket1,"0-90 days",IF($BW76&lt;=cfg_TimelineBucket2,"3-6 months",IF($BW76&lt;=cfg_TimelineBucket3,"6-12 months","12+ months"))))</f>
        <v/>
      </c>
      <c r="BY76" s="25">
        <f>IF($A76="","","P2: "&amp;$BI76&amp;" posture; objective="&amp;'_CONFIG_Model_Settings'!$B$104&amp;"; financial score="&amp;ROUND(N($BR76),1)&amp;"; CoD="&amp;$BS76)</f>
        <v/>
      </c>
    </row>
  </sheetData>
  <mergeCells count="2">
    <mergeCell ref="A1:AR1"/>
    <mergeCell ref="A2:AR2"/>
  </mergeCells>
  <conditionalFormatting sqref="AC5:AC76">
    <cfRule type="colorScale" priority="1">
      <colorScale>
        <cfvo type="min"/>
        <cfvo type="percentile" val="50"/>
        <cfvo type="max"/>
        <color rgb="FFFCE4D6"/>
        <color rgb="FFFFF2CC"/>
        <color rgb="FFE2F0D9"/>
      </colorScale>
    </cfRule>
  </conditionalFormatting>
  <dataValidations count="1">
    <dataValidation sqref="AO5:AO76" showDropDown="0" showInputMessage="0" showErrorMessage="0" allowBlank="1" type="list">
      <formula1>"Not started,In progress,Blocked,Done,Deferred"</formula1>
    </dataValidation>
  </dataValidations>
  <pageMargins left="0.75" right="0.75" top="1" bottom="1" header="0.5" footer="0.5"/>
  <pageSetup orientation="landscape" fitToHeight="0"/>
  <headerFooter>
    <oddHeader/>
    <oddFooter>&amp;R© Roman Reznikov / RR-framework — CC BY-NC-SA 4.0 — For authorized use only</oddFooter>
    <evenHeader/>
    <evenFooter>&amp;R© Roman Reznikov / RR-framework — CC BY-NC-SA 4.0 — For authorized use only</evenFooter>
    <firstHeader/>
    <firstFooter>&amp;R© Roman Reznikov / RR-framework — CC BY-NC-SA 4.0 — For authorized use only</firstFooter>
  </headerFooter>
  <legacyDrawing r:id="anysvml"/>
  <tableParts count="1">
    <tablePart r:id="rId1"/>
  </tableParts>
</worksheet>
</file>

<file path=xl/worksheets/sheet16.xml><?xml version="1.0" encoding="utf-8"?>
<worksheet xmlns="http://schemas.openxmlformats.org/spreadsheetml/2006/main" xmlns:r="http://schemas.openxmlformats.org/officeDocument/2006/relationships">
  <sheetPr>
    <tabColor rgb="FF6B7280"/>
    <outlinePr summaryBelow="1" summaryRight="1"/>
    <pageSetUpPr fitToPage="1"/>
  </sheetPr>
  <dimension ref="A1:V850"/>
  <sheetViews>
    <sheetView showGridLines="0" workbookViewId="0">
      <pane ySplit="3" topLeftCell="A4" activePane="bottomLeft" state="frozen"/>
      <selection pane="bottomLeft" activeCell="A1" sqref="A1"/>
    </sheetView>
  </sheetViews>
  <sheetFormatPr baseColWidth="8" defaultRowHeight="13.8"/>
  <cols>
    <col width="14" customWidth="1" style="209" min="1" max="1"/>
    <col width="20" customWidth="1" style="209" min="2" max="2"/>
    <col width="24" customWidth="1" style="209" min="3" max="3"/>
    <col width="45" customWidth="1" style="209" min="4" max="4"/>
    <col width="42" customWidth="1" style="209" min="5" max="10"/>
    <col width="38" customWidth="1" style="209" min="11" max="11"/>
    <col width="13" customWidth="1" style="209" min="12" max="17"/>
    <col width="28" customWidth="1" style="209" min="18" max="18"/>
    <col width="36" customWidth="1" style="209" min="19" max="19"/>
    <col width="28" customWidth="1" style="209" min="20" max="20"/>
    <col width="22" customWidth="1" style="209" min="21" max="21"/>
    <col width="18" customWidth="1" style="209" min="22" max="22"/>
  </cols>
  <sheetData>
    <row r="1" ht="25.95" customHeight="1" s="209">
      <c r="A1" s="261" t="inlineStr">
        <is>
          <t>Recommendation Vocabulary / Matrix</t>
        </is>
      </c>
      <c r="B1" s="215" t="n"/>
      <c r="C1" s="215" t="n"/>
      <c r="D1" s="215" t="n"/>
      <c r="E1" s="215" t="n"/>
      <c r="F1" s="215" t="n"/>
      <c r="G1" s="215" t="n"/>
      <c r="H1" s="215" t="n"/>
      <c r="I1" s="215" t="n"/>
      <c r="J1" s="215" t="n"/>
      <c r="K1" s="215" t="n"/>
      <c r="L1" s="215" t="n"/>
      <c r="M1" s="215" t="n"/>
      <c r="N1" s="215" t="n"/>
      <c r="O1" s="215" t="n"/>
      <c r="P1" s="215" t="n"/>
      <c r="Q1" s="215" t="n"/>
      <c r="R1" s="215" t="n"/>
      <c r="S1" s="215" t="n"/>
      <c r="T1" s="215" t="n"/>
      <c r="U1" s="215" t="n"/>
      <c r="V1" s="216" t="n"/>
    </row>
    <row r="2" ht="34.05" customHeight="1" s="209">
      <c r="A2" s="302" t="inlineStr">
        <is>
          <t>Internal admin sheet. Each row is one questionnaire item; score columns contain the next-level recommendation used by the executive recommendation engine.</t>
        </is>
      </c>
    </row>
    <row r="4" ht="36" customHeight="1" s="209">
      <c r="A4" s="10" t="inlineStr">
        <is>
          <t>Question ID</t>
        </is>
      </c>
      <c r="B4" s="10" t="inlineStr">
        <is>
          <t>Domain</t>
        </is>
      </c>
      <c r="C4" s="10" t="inlineStr">
        <is>
          <t>Subdomain</t>
        </is>
      </c>
      <c r="D4" s="10" t="inlineStr">
        <is>
          <t>Question</t>
        </is>
      </c>
      <c r="E4" s="10" t="inlineStr">
        <is>
          <t>Score 0 → 1 recommendation</t>
        </is>
      </c>
      <c r="F4" s="10" t="inlineStr">
        <is>
          <t>Score 1 → 2 recommendation</t>
        </is>
      </c>
      <c r="G4" s="10" t="inlineStr">
        <is>
          <t>Score 2 → 3 recommendation</t>
        </is>
      </c>
      <c r="H4" s="10" t="inlineStr">
        <is>
          <t>Score 3 → 4 recommendation</t>
        </is>
      </c>
      <c r="I4" s="10" t="inlineStr">
        <is>
          <t>Score 4 → 5 recommendation</t>
        </is>
      </c>
      <c r="J4" s="10" t="inlineStr">
        <is>
          <t>Score 5 sustain recommendation</t>
        </is>
      </c>
      <c r="K4" s="10" t="inlineStr">
        <is>
          <t>Expected benefit</t>
        </is>
      </c>
      <c r="L4" s="10" t="inlineStr">
        <is>
          <t>Complexity if score 0</t>
        </is>
      </c>
      <c r="M4" s="10" t="inlineStr">
        <is>
          <t>Complexity if score 1</t>
        </is>
      </c>
      <c r="N4" s="10" t="inlineStr">
        <is>
          <t>Complexity if score 2</t>
        </is>
      </c>
      <c r="O4" s="10" t="inlineStr">
        <is>
          <t>Complexity if score 3</t>
        </is>
      </c>
      <c r="P4" s="10" t="inlineStr">
        <is>
          <t>Complexity if score 4</t>
        </is>
      </c>
      <c r="Q4" s="10" t="inlineStr">
        <is>
          <t>Complexity if score 5</t>
        </is>
      </c>
      <c r="R4" s="10" t="inlineStr">
        <is>
          <t>Standards / frameworks</t>
        </is>
      </c>
      <c r="S4" s="10" t="inlineStr">
        <is>
          <t>Evidence to request</t>
        </is>
      </c>
      <c r="T4" s="10" t="inlineStr">
        <is>
          <t>Crisis tags</t>
        </is>
      </c>
      <c r="U4" s="10" t="inlineStr">
        <is>
          <t>Owner / SME</t>
        </is>
      </c>
      <c r="V4" s="10" t="inlineStr">
        <is>
          <t>Source sheet row</t>
        </is>
      </c>
    </row>
    <row r="5" ht="71.25" customHeight="1" s="209">
      <c r="A5" s="3" t="inlineStr">
        <is>
          <t>COMP-001</t>
        </is>
      </c>
      <c r="B5" s="3" t="inlineStr">
        <is>
          <t>Company Geography</t>
        </is>
      </c>
      <c r="C5" s="3" t="inlineStr">
        <is>
          <t>Company profile</t>
        </is>
      </c>
      <c r="D5" s="3" t="inlineStr">
        <is>
          <t>How mature is the organization in managing legal entity structure, ownership, subsidiaries and operating countries, including ownership, evidence, metrics, fallback procedures and crisis stress testing?</t>
        </is>
      </c>
      <c r="E5" s="3" t="inlineStr">
        <is>
          <t>Establish a basic owner and inventory for legal entity structure, ownership, subsidiaries and operating countries. Define minimum policy, evidence location and immediate crisis relevance.</t>
        </is>
      </c>
      <c r="F5" s="3" t="inlineStr">
        <is>
          <t>Document legal entity structure, ownership, subsidiaries and operating countries, assign RACI, define minimum controls/KPIs and collect evidence across the main business units or sites.</t>
        </is>
      </c>
      <c r="G5" s="3" t="inlineStr">
        <is>
          <t>Standardize legal entity structure, ownership, subsidiaries and operating countries across the organization, close coverage gaps, link it to crisis scenarios and train accountable roles.</t>
        </is>
      </c>
      <c r="H5" s="3" t="inlineStr">
        <is>
          <t>Measure legal entity structure, ownership, subsidiaries and operating countries, review it periodically, test it against disruption scenarios and integrate it with dependent processes or systems.</t>
        </is>
      </c>
      <c r="I5" s="3" t="inlineStr">
        <is>
          <t>Optimize and automate legal entity structure, ownership, subsidiaries and operating countries where practical, use leading indicators, run periodic stress tests and update the crisis playbook.</t>
        </is>
      </c>
      <c r="J5" s="3" t="inlineStr">
        <is>
          <t>Maintain maturity for legal entity structure, ownership, subsidiaries and operating countries. Monitor drift, keep evidence current, benchmark externally and refresh tests after major changes.</t>
        </is>
      </c>
      <c r="K5" s="3" t="inlineStr">
        <is>
          <t>Reduces exposure to Geopolitical risk; Physical site loss; Regulatory/legal shock; improves Company profile maturity, continuity and management visibility.</t>
        </is>
      </c>
      <c r="L5" s="3" t="n">
        <v>3</v>
      </c>
      <c r="M5" s="3" t="n">
        <v>3</v>
      </c>
      <c r="N5" s="3" t="n">
        <v>2</v>
      </c>
      <c r="O5" s="3" t="n">
        <v>2</v>
      </c>
      <c r="P5" s="3" t="n">
        <v>1</v>
      </c>
      <c r="Q5" s="3" t="n">
        <v>1</v>
      </c>
      <c r="R5" s="3" t="inlineStr">
        <is>
          <t>ISO 22301; ISO 31000; ISO 9001; ISO 37000; PESTLE; Business Model Canvas</t>
        </is>
      </c>
      <c r="S5" s="3" t="inlineStr">
        <is>
          <t>Policy/SOP; owner/RACI; system report; dashboard; contracts; test records; incident history; interview evidence related to legal entity structure, ownership, subsidiaries and operating countries.</t>
        </is>
      </c>
      <c r="T5" s="3" t="inlineStr">
        <is>
          <t>Geopolitical risk; Physical site loss; Regulatory/legal shock</t>
        </is>
      </c>
      <c r="U5" s="3" t="inlineStr">
        <is>
          <t>CEO / COO / Risk</t>
        </is>
      </c>
      <c r="V5" s="3" t="inlineStr">
        <is>
          <t>Company Geography!5</t>
        </is>
      </c>
    </row>
    <row r="6" ht="71.25" customHeight="1" s="209">
      <c r="A6" s="3" t="inlineStr">
        <is>
          <t>COMP-002</t>
        </is>
      </c>
      <c r="B6" s="3" t="inlineStr">
        <is>
          <t>Company Geography</t>
        </is>
      </c>
      <c r="C6" s="3" t="inlineStr">
        <is>
          <t>Company profile</t>
        </is>
      </c>
      <c r="D6" s="3" t="inlineStr">
        <is>
          <t>How mature is the organization in managing business model, value proposition, revenue streams and cost drivers, including ownership, evidence, metrics, fallback procedures and crisis stress testing?</t>
        </is>
      </c>
      <c r="E6" s="3" t="inlineStr">
        <is>
          <t>Establish a basic owner and inventory for business model, value proposition, revenue streams and cost drivers. Define minimum policy, evidence location and immediate crisis relevance.</t>
        </is>
      </c>
      <c r="F6" s="3" t="inlineStr">
        <is>
          <t>Document business model, value proposition, revenue streams and cost drivers, assign RACI, define minimum controls/KPIs and collect evidence across the main business units or sites.</t>
        </is>
      </c>
      <c r="G6" s="3" t="inlineStr">
        <is>
          <t>Standardize business model, value proposition, revenue streams and cost drivers across the organization, close coverage gaps, link it to crisis scenarios and train accountable roles.</t>
        </is>
      </c>
      <c r="H6" s="3" t="inlineStr">
        <is>
          <t>Measure business model, value proposition, revenue streams and cost drivers, review it periodically, test it against disruption scenarios and integrate it with dependent processes or systems.</t>
        </is>
      </c>
      <c r="I6" s="3" t="inlineStr">
        <is>
          <t>Optimize and automate business model, value proposition, revenue streams and cost drivers where practical, use leading indicators, run periodic stress tests and update the crisis playbook.</t>
        </is>
      </c>
      <c r="J6" s="3" t="inlineStr">
        <is>
          <t>Maintain maturity for business model, value proposition, revenue streams and cost drivers. Monitor drift, keep evidence current, benchmark externally and refresh tests after major changes.</t>
        </is>
      </c>
      <c r="K6" s="3" t="inlineStr">
        <is>
          <t>Reduces exposure to Geopolitical risk; Physical site loss; Regulatory/legal shock; improves Company profile maturity, continuity and management visibility.</t>
        </is>
      </c>
      <c r="L6" s="3" t="n">
        <v>3</v>
      </c>
      <c r="M6" s="3" t="n">
        <v>3</v>
      </c>
      <c r="N6" s="3" t="n">
        <v>2</v>
      </c>
      <c r="O6" s="3" t="n">
        <v>2</v>
      </c>
      <c r="P6" s="3" t="n">
        <v>1</v>
      </c>
      <c r="Q6" s="3" t="n">
        <v>1</v>
      </c>
      <c r="R6" s="3" t="inlineStr">
        <is>
          <t>ISO 22301; ISO 31000; ISO 9001; ISO 37000; PESTLE; Business Model Canvas</t>
        </is>
      </c>
      <c r="S6" s="3" t="inlineStr">
        <is>
          <t>Policy/SOP; owner/RACI; system report; dashboard; contracts; test records; incident history; interview evidence related to business model, value proposition, revenue streams and cost drivers.</t>
        </is>
      </c>
      <c r="T6" s="3" t="inlineStr">
        <is>
          <t>Geopolitical risk; Physical site loss; Regulatory/legal shock</t>
        </is>
      </c>
      <c r="U6" s="3" t="inlineStr">
        <is>
          <t>CEO / COO / Risk</t>
        </is>
      </c>
      <c r="V6" s="3" t="inlineStr">
        <is>
          <t>Company Geography!6</t>
        </is>
      </c>
    </row>
    <row r="7" ht="71.25" customHeight="1" s="209">
      <c r="A7" s="3" t="inlineStr">
        <is>
          <t>COMP-003</t>
        </is>
      </c>
      <c r="B7" s="3" t="inlineStr">
        <is>
          <t>Company Geography</t>
        </is>
      </c>
      <c r="C7" s="3" t="inlineStr">
        <is>
          <t>Company profile</t>
        </is>
      </c>
      <c r="D7" s="3" t="inlineStr">
        <is>
          <t>How mature is the organization in managing critical products and services ranked by revenue, margin and continuity priority, including ownership, evidence, metrics, fallback procedures and crisis stress testing?</t>
        </is>
      </c>
      <c r="E7" s="3" t="inlineStr">
        <is>
          <t>Establish a basic owner and inventory for critical products and services ranked by revenue, margin and continuity priority. Define minimum policy, evidence location and immediate crisis relevance.</t>
        </is>
      </c>
      <c r="F7" s="3" t="inlineStr">
        <is>
          <t>Document critical products and services ranked by revenue, margin and continuity priority, assign RACI, define minimum controls/KPIs and collect evidence across the main business units or sites.</t>
        </is>
      </c>
      <c r="G7" s="3" t="inlineStr">
        <is>
          <t>Standardize critical products and services ranked by revenue, margin and continuity priority across the organization, close coverage gaps, link it to crisis scenarios and train accountable roles.</t>
        </is>
      </c>
      <c r="H7" s="3" t="inlineStr">
        <is>
          <t>Measure critical products and services ranked by revenue, margin and continuity priority, review it periodically, test it against disruption scenarios and integrate it with dependent processes or systems.</t>
        </is>
      </c>
      <c r="I7" s="3" t="inlineStr">
        <is>
          <t>Optimize and automate critical products and services ranked by revenue, margin and continuity priority where practical, use leading indicators, run periodic stress tests and update the crisis playbook.</t>
        </is>
      </c>
      <c r="J7" s="3" t="inlineStr">
        <is>
          <t>Maintain maturity for critical products and services ranked by revenue, margin and continuity priority. Monitor drift, keep evidence current, benchmark externally and refresh tests after major changes.</t>
        </is>
      </c>
      <c r="K7" s="3" t="inlineStr">
        <is>
          <t>Reduces exposure to Geopolitical risk; Physical site loss; Regulatory/legal shock; improves Company profile maturity, continuity and management visibility.</t>
        </is>
      </c>
      <c r="L7" s="3" t="n">
        <v>3</v>
      </c>
      <c r="M7" s="3" t="n">
        <v>3</v>
      </c>
      <c r="N7" s="3" t="n">
        <v>2</v>
      </c>
      <c r="O7" s="3" t="n">
        <v>2</v>
      </c>
      <c r="P7" s="3" t="n">
        <v>1</v>
      </c>
      <c r="Q7" s="3" t="n">
        <v>1</v>
      </c>
      <c r="R7" s="3" t="inlineStr">
        <is>
          <t>ISO 22301; ISO 31000; ISO 9001; ISO 37000; PESTLE; Business Model Canvas</t>
        </is>
      </c>
      <c r="S7" s="3" t="inlineStr">
        <is>
          <t>Policy/SOP; owner/RACI; system report; dashboard; contracts; test records; incident history; interview evidence related to critical products and services ranked by revenue, margin and continuity priority.</t>
        </is>
      </c>
      <c r="T7" s="3" t="inlineStr">
        <is>
          <t>Geopolitical risk; Physical site loss; Regulatory/legal shock</t>
        </is>
      </c>
      <c r="U7" s="3" t="inlineStr">
        <is>
          <t>CEO / COO / Risk</t>
        </is>
      </c>
      <c r="V7" s="3" t="inlineStr">
        <is>
          <t>Company Geography!7</t>
        </is>
      </c>
    </row>
    <row r="8" ht="71.25" customHeight="1" s="209">
      <c r="A8" s="3" t="inlineStr">
        <is>
          <t>COMP-004</t>
        </is>
      </c>
      <c r="B8" s="3" t="inlineStr">
        <is>
          <t>Company Geography</t>
        </is>
      </c>
      <c r="C8" s="3" t="inlineStr">
        <is>
          <t>Company profile</t>
        </is>
      </c>
      <c r="D8" s="3" t="inlineStr">
        <is>
          <t>How mature is the organization in managing operating model: centralized, distributed, outsourced, remote or hybrid, including ownership, evidence, metrics, fallback procedures and crisis stress testing?</t>
        </is>
      </c>
      <c r="E8" s="3" t="inlineStr">
        <is>
          <t>Establish a basic owner and inventory for operating model: centralized, distributed, outsourced, remote or hybrid. Define minimum policy, evidence location and immediate crisis relevance.</t>
        </is>
      </c>
      <c r="F8" s="3" t="inlineStr">
        <is>
          <t>Document operating model: centralized, distributed, outsourced, remote or hybrid, assign RACI, define minimum controls/KPIs and collect evidence across the main business units or sites.</t>
        </is>
      </c>
      <c r="G8" s="3" t="inlineStr">
        <is>
          <t>Standardize operating model: centralized, distributed, outsourced, remote or hybrid across the organization, close coverage gaps, link it to crisis scenarios and train accountable roles.</t>
        </is>
      </c>
      <c r="H8" s="3" t="inlineStr">
        <is>
          <t>Measure operating model: centralized, distributed, outsourced, remote or hybrid, review it periodically, test it against disruption scenarios and integrate it with dependent processes or systems.</t>
        </is>
      </c>
      <c r="I8" s="3" t="inlineStr">
        <is>
          <t>Optimize and automate operating model: centralized, distributed, outsourced, remote or hybrid where practical, use leading indicators, run periodic stress tests and update the crisis playbook.</t>
        </is>
      </c>
      <c r="J8" s="3" t="inlineStr">
        <is>
          <t>Maintain maturity for operating model: centralized, distributed, outsourced, remote or hybrid. Monitor drift, keep evidence current, benchmark externally and refresh tests after major changes.</t>
        </is>
      </c>
      <c r="K8" s="3" t="inlineStr">
        <is>
          <t>Reduces exposure to Geopolitical risk; Physical site loss; Regulatory/legal shock; improves Company profile maturity, continuity and management visibility.</t>
        </is>
      </c>
      <c r="L8" s="3" t="n">
        <v>3</v>
      </c>
      <c r="M8" s="3" t="n">
        <v>3</v>
      </c>
      <c r="N8" s="3" t="n">
        <v>2</v>
      </c>
      <c r="O8" s="3" t="n">
        <v>2</v>
      </c>
      <c r="P8" s="3" t="n">
        <v>1</v>
      </c>
      <c r="Q8" s="3" t="n">
        <v>1</v>
      </c>
      <c r="R8" s="3" t="inlineStr">
        <is>
          <t>ISO 22301; ISO 31000; ISO 9001; ISO 37000; PESTLE; Business Model Canvas</t>
        </is>
      </c>
      <c r="S8" s="3" t="inlineStr">
        <is>
          <t>Policy/SOP; owner/RACI; system report; dashboard; contracts; test records; incident history; interview evidence related to operating model: centralized, distributed, outsourced, remote or hybrid.</t>
        </is>
      </c>
      <c r="T8" s="3" t="inlineStr">
        <is>
          <t>Geopolitical risk; Physical site loss; Regulatory/legal shock</t>
        </is>
      </c>
      <c r="U8" s="3" t="inlineStr">
        <is>
          <t>CEO / COO / Risk</t>
        </is>
      </c>
      <c r="V8" s="3" t="inlineStr">
        <is>
          <t>Company Geography!8</t>
        </is>
      </c>
    </row>
    <row r="9" ht="85.5" customHeight="1" s="209">
      <c r="A9" s="3" t="inlineStr">
        <is>
          <t>COMP-005</t>
        </is>
      </c>
      <c r="B9" s="3" t="inlineStr">
        <is>
          <t>Company Geography</t>
        </is>
      </c>
      <c r="C9" s="3" t="inlineStr">
        <is>
          <t>Company profile</t>
        </is>
      </c>
      <c r="D9" s="3" t="inlineStr">
        <is>
          <t>How mature is the organization in managing critical assets: people, facilities, systems, data, equipment and intellectual property, including ownership, evidence, metrics, fallback procedures and crisis stress testing?</t>
        </is>
      </c>
      <c r="E9" s="3" t="inlineStr">
        <is>
          <t>Establish a basic owner and inventory for critical assets: people, facilities, systems, data, equipment and intellectual property. Define minimum policy, evidence location and immediate crisis relevance.</t>
        </is>
      </c>
      <c r="F9" s="3" t="inlineStr">
        <is>
          <t>Document critical assets: people, facilities, systems, data, equipment and intellectual property, assign RACI, define minimum controls/KPIs and collect evidence across the main business units or sites.</t>
        </is>
      </c>
      <c r="G9" s="3" t="inlineStr">
        <is>
          <t>Standardize critical assets: people, facilities, systems, data, equipment and intellectual property across the organization, close coverage gaps, link it to crisis scenarios and train accountable roles.</t>
        </is>
      </c>
      <c r="H9" s="3" t="inlineStr">
        <is>
          <t>Measure critical assets: people, facilities, systems, data, equipment and intellectual property, review it periodically, test it against disruption scenarios and integrate it with dependent processes or systems.</t>
        </is>
      </c>
      <c r="I9" s="3" t="inlineStr">
        <is>
          <t>Optimize and automate critical assets: people, facilities, systems, data, equipment and intellectual property where practical, use leading indicators, run periodic stress tests and update the crisis playbook.</t>
        </is>
      </c>
      <c r="J9" s="3" t="inlineStr">
        <is>
          <t>Maintain maturity for critical assets: people, facilities, systems, data, equipment and intellectual property. Monitor drift, keep evidence current, benchmark externally and refresh tests after major changes.</t>
        </is>
      </c>
      <c r="K9" s="3" t="inlineStr">
        <is>
          <t>Reduces exposure to Geopolitical risk; Physical site loss; Regulatory/legal shock; improves Company profile maturity, continuity and management visibility.</t>
        </is>
      </c>
      <c r="L9" s="3" t="n">
        <v>3</v>
      </c>
      <c r="M9" s="3" t="n">
        <v>3</v>
      </c>
      <c r="N9" s="3" t="n">
        <v>2</v>
      </c>
      <c r="O9" s="3" t="n">
        <v>2</v>
      </c>
      <c r="P9" s="3" t="n">
        <v>1</v>
      </c>
      <c r="Q9" s="3" t="n">
        <v>1</v>
      </c>
      <c r="R9" s="3" t="inlineStr">
        <is>
          <t>ISO 22301; ISO 31000; ISO 9001; ISO 37000; PESTLE; Business Model Canvas</t>
        </is>
      </c>
      <c r="S9" s="3" t="inlineStr">
        <is>
          <t>Policy/SOP; owner/RACI; system report; dashboard; contracts; test records; incident history; interview evidence related to critical assets: people, facilities, systems, data, equipment and intellectual property.</t>
        </is>
      </c>
      <c r="T9" s="3" t="inlineStr">
        <is>
          <t>Geopolitical risk; Physical site loss; Regulatory/legal shock</t>
        </is>
      </c>
      <c r="U9" s="3" t="inlineStr">
        <is>
          <t>CEO / COO / Risk</t>
        </is>
      </c>
      <c r="V9" s="3" t="inlineStr">
        <is>
          <t>Company Geography!9</t>
        </is>
      </c>
    </row>
    <row r="10" ht="71.25" customHeight="1" s="209">
      <c r="A10" s="3" t="inlineStr">
        <is>
          <t>COMP-006</t>
        </is>
      </c>
      <c r="B10" s="3" t="inlineStr">
        <is>
          <t>Company Geography</t>
        </is>
      </c>
      <c r="C10" s="3" t="inlineStr">
        <is>
          <t>Company profile</t>
        </is>
      </c>
      <c r="D10" s="3" t="inlineStr">
        <is>
          <t>How mature is the organization in managing regulatory exposure by country, market, product and customer type, including ownership, evidence, metrics, fallback procedures and crisis stress testing?</t>
        </is>
      </c>
      <c r="E10" s="3" t="inlineStr">
        <is>
          <t>Establish a basic owner and inventory for regulatory exposure by country, market, product and customer type. Define minimum policy, evidence location and immediate crisis relevance.</t>
        </is>
      </c>
      <c r="F10" s="3" t="inlineStr">
        <is>
          <t>Document regulatory exposure by country, market, product and customer type, assign RACI, define minimum controls/KPIs and collect evidence across the main business units or sites.</t>
        </is>
      </c>
      <c r="G10" s="3" t="inlineStr">
        <is>
          <t>Standardize regulatory exposure by country, market, product and customer type across the organization, close coverage gaps, link it to crisis scenarios and train accountable roles.</t>
        </is>
      </c>
      <c r="H10" s="3" t="inlineStr">
        <is>
          <t>Measure regulatory exposure by country, market, product and customer type, review it periodically, test it against disruption scenarios and integrate it with dependent processes or systems.</t>
        </is>
      </c>
      <c r="I10" s="3" t="inlineStr">
        <is>
          <t>Optimize and automate regulatory exposure by country, market, product and customer type where practical, use leading indicators, run periodic stress tests and update the crisis playbook.</t>
        </is>
      </c>
      <c r="J10" s="3" t="inlineStr">
        <is>
          <t>Maintain maturity for regulatory exposure by country, market, product and customer type. Monitor drift, keep evidence current, benchmark externally and refresh tests after major changes.</t>
        </is>
      </c>
      <c r="K10" s="3" t="inlineStr">
        <is>
          <t>Reduces exposure to Geopolitical risk; Physical site loss; Regulatory/legal shock; improves Company profile maturity, continuity and management visibility.</t>
        </is>
      </c>
      <c r="L10" s="3" t="n">
        <v>3</v>
      </c>
      <c r="M10" s="3" t="n">
        <v>3</v>
      </c>
      <c r="N10" s="3" t="n">
        <v>2</v>
      </c>
      <c r="O10" s="3" t="n">
        <v>2</v>
      </c>
      <c r="P10" s="3" t="n">
        <v>1</v>
      </c>
      <c r="Q10" s="3" t="n">
        <v>1</v>
      </c>
      <c r="R10" s="3" t="inlineStr">
        <is>
          <t>ISO 22301; ISO 31000; ISO 9001; ISO 37000; PESTLE; Business Model Canvas</t>
        </is>
      </c>
      <c r="S10" s="3" t="inlineStr">
        <is>
          <t>Policy/SOP; owner/RACI; system report; dashboard; contracts; test records; incident history; interview evidence related to regulatory exposure by country, market, product and customer type.</t>
        </is>
      </c>
      <c r="T10" s="3" t="inlineStr">
        <is>
          <t>Geopolitical risk; Physical site loss; Regulatory/legal shock</t>
        </is>
      </c>
      <c r="U10" s="3" t="inlineStr">
        <is>
          <t>CEO / COO / Risk</t>
        </is>
      </c>
      <c r="V10" s="3" t="inlineStr">
        <is>
          <t>Company Geography!10</t>
        </is>
      </c>
    </row>
    <row r="11" ht="85.5" customHeight="1" s="209">
      <c r="A11" s="3" t="inlineStr">
        <is>
          <t>COMP-007</t>
        </is>
      </c>
      <c r="B11" s="3" t="inlineStr">
        <is>
          <t>Company Geography</t>
        </is>
      </c>
      <c r="C11" s="3" t="inlineStr">
        <is>
          <t>Company profile</t>
        </is>
      </c>
      <c r="D11" s="3" t="inlineStr">
        <is>
          <t>How mature is the organization in managing insurance coverage for business interruption, cyber, liability, property and key assets, including ownership, evidence, metrics, fallback procedures and crisis stress testing?</t>
        </is>
      </c>
      <c r="E11" s="3" t="inlineStr">
        <is>
          <t>Establish a basic owner and inventory for insurance coverage for business interruption, cyber, liability, property and key assets. Define minimum policy, evidence location and immediate crisis relevance.</t>
        </is>
      </c>
      <c r="F11" s="3" t="inlineStr">
        <is>
          <t>Document insurance coverage for business interruption, cyber, liability, property and key assets, assign RACI, define minimum controls/KPIs and collect evidence across the main business units or sites.</t>
        </is>
      </c>
      <c r="G11" s="3" t="inlineStr">
        <is>
          <t>Standardize insurance coverage for business interruption, cyber, liability, property and key assets across the organization, close coverage gaps, link it to crisis scenarios and train accountable roles.</t>
        </is>
      </c>
      <c r="H11" s="3" t="inlineStr">
        <is>
          <t>Measure insurance coverage for business interruption, cyber, liability, property and key assets, review it periodically, test it against disruption scenarios and integrate it with dependent processes or systems.</t>
        </is>
      </c>
      <c r="I11" s="3" t="inlineStr">
        <is>
          <t>Optimize and automate insurance coverage for business interruption, cyber, liability, property and key assets where practical, use leading indicators, run periodic stress tests and update the crisis playbook.</t>
        </is>
      </c>
      <c r="J11" s="3" t="inlineStr">
        <is>
          <t>Maintain maturity for insurance coverage for business interruption, cyber, liability, property and key assets. Monitor drift, keep evidence current, benchmark externally and refresh tests after major changes.</t>
        </is>
      </c>
      <c r="K11" s="3" t="inlineStr">
        <is>
          <t>Reduces exposure to Geopolitical risk; Physical site loss; Regulatory/legal shock; improves Company profile maturity, continuity and management visibility.</t>
        </is>
      </c>
      <c r="L11" s="3" t="n">
        <v>4</v>
      </c>
      <c r="M11" s="3" t="n">
        <v>4</v>
      </c>
      <c r="N11" s="3" t="n">
        <v>3</v>
      </c>
      <c r="O11" s="3" t="n">
        <v>2</v>
      </c>
      <c r="P11" s="3" t="n">
        <v>1</v>
      </c>
      <c r="Q11" s="3" t="n">
        <v>1</v>
      </c>
      <c r="R11" s="3" t="inlineStr">
        <is>
          <t>ISO 22301; ISO 31000; ISO 9001; ISO 37000; PESTLE; Business Model Canvas</t>
        </is>
      </c>
      <c r="S11" s="3" t="inlineStr">
        <is>
          <t>Policy/SOP; owner/RACI; system report; dashboard; contracts; test records; incident history; interview evidence related to insurance coverage for business interruption, cyber, liability, property and key assets.</t>
        </is>
      </c>
      <c r="T11" s="3" t="inlineStr">
        <is>
          <t>Geopolitical risk; Physical site loss; Regulatory/legal shock</t>
        </is>
      </c>
      <c r="U11" s="3" t="inlineStr">
        <is>
          <t>CEO / COO / Risk</t>
        </is>
      </c>
      <c r="V11" s="3" t="inlineStr">
        <is>
          <t>Company Geography!11</t>
        </is>
      </c>
    </row>
    <row r="12" ht="71.25" customHeight="1" s="209">
      <c r="A12" s="3" t="inlineStr">
        <is>
          <t>COMP-008</t>
        </is>
      </c>
      <c r="B12" s="3" t="inlineStr">
        <is>
          <t>Company Geography</t>
        </is>
      </c>
      <c r="C12" s="3" t="inlineStr">
        <is>
          <t>Geographical distribution</t>
        </is>
      </c>
      <c r="D12" s="3" t="inlineStr">
        <is>
          <t>How mature is the organization in managing workforce distribution by country, city, function, contract type and criticality, including ownership, evidence, metrics, fallback procedures and crisis stress testing?</t>
        </is>
      </c>
      <c r="E12" s="3" t="inlineStr">
        <is>
          <t>Establish a basic owner and inventory for workforce distribution by country, city, function, contract type and criticality. Define minimum policy, evidence location and immediate crisis relevance.</t>
        </is>
      </c>
      <c r="F12" s="3" t="inlineStr">
        <is>
          <t>Document workforce distribution by country, city, function, contract type and criticality, assign RACI, define minimum controls/KPIs and collect evidence across the main business units or sites.</t>
        </is>
      </c>
      <c r="G12" s="3" t="inlineStr">
        <is>
          <t>Standardize workforce distribution by country, city, function, contract type and criticality across the organization, close coverage gaps, link it to crisis scenarios and train accountable roles.</t>
        </is>
      </c>
      <c r="H12" s="3" t="inlineStr">
        <is>
          <t>Measure workforce distribution by country, city, function, contract type and criticality, review it periodically, test it against disruption scenarios and integrate it with dependent processes or systems.</t>
        </is>
      </c>
      <c r="I12" s="3" t="inlineStr">
        <is>
          <t>Optimize and automate workforce distribution by country, city, function, contract type and criticality where practical, use leading indicators, run periodic stress tests and update the crisis playbook.</t>
        </is>
      </c>
      <c r="J12" s="3" t="inlineStr">
        <is>
          <t>Maintain maturity for workforce distribution by country, city, function, contract type and criticality. Monitor drift, keep evidence current, benchmark externally and refresh tests after major changes.</t>
        </is>
      </c>
      <c r="K12" s="3" t="inlineStr">
        <is>
          <t>Reduces exposure to Geopolitical risk; Physical site loss; Regulatory/legal shock; improves Geographical distribution maturity, continuity and management visibility.</t>
        </is>
      </c>
      <c r="L12" s="3" t="n">
        <v>5</v>
      </c>
      <c r="M12" s="3" t="n">
        <v>5</v>
      </c>
      <c r="N12" s="3" t="n">
        <v>5</v>
      </c>
      <c r="O12" s="3" t="n">
        <v>4</v>
      </c>
      <c r="P12" s="3" t="n">
        <v>3</v>
      </c>
      <c r="Q12" s="3" t="n">
        <v>1</v>
      </c>
      <c r="R12" s="3" t="inlineStr">
        <is>
          <t>ISO 22301; ISO 31000; ISO 9001; ISO 37000; PESTLE; Business Model Canvas</t>
        </is>
      </c>
      <c r="S12" s="3" t="inlineStr">
        <is>
          <t>Policy/SOP; owner/RACI; system report; dashboard; contracts; test records; incident history; interview evidence related to workforce distribution by country, city, function, contract type and criticality.</t>
        </is>
      </c>
      <c r="T12" s="3" t="inlineStr">
        <is>
          <t>Geopolitical risk; Physical site loss; Regulatory/legal shock</t>
        </is>
      </c>
      <c r="U12" s="3" t="inlineStr">
        <is>
          <t>CEO / COO / Risk</t>
        </is>
      </c>
      <c r="V12" s="3" t="inlineStr">
        <is>
          <t>Company Geography!12</t>
        </is>
      </c>
    </row>
    <row r="13" ht="85.5" customHeight="1" s="209">
      <c r="A13" s="3" t="inlineStr">
        <is>
          <t>COMP-009</t>
        </is>
      </c>
      <c r="B13" s="3" t="inlineStr">
        <is>
          <t>Company Geography</t>
        </is>
      </c>
      <c r="C13" s="3" t="inlineStr">
        <is>
          <t>Geographical distribution</t>
        </is>
      </c>
      <c r="D13" s="3" t="inlineStr">
        <is>
          <t>How mature is the organization in managing site distribution across offices, plants, warehouses, stores, labs and data centers, including ownership, evidence, metrics, fallback procedures and crisis stress testing?</t>
        </is>
      </c>
      <c r="E13" s="3" t="inlineStr">
        <is>
          <t>Establish a basic owner and inventory for site distribution across offices, plants, warehouses, stores, labs and data centers. Define minimum policy, evidence location and immediate crisis relevance.</t>
        </is>
      </c>
      <c r="F13" s="3" t="inlineStr">
        <is>
          <t>Document site distribution across offices, plants, warehouses, stores, labs and data centers, assign RACI, define minimum controls/KPIs and collect evidence across the main business units or sites.</t>
        </is>
      </c>
      <c r="G13" s="3" t="inlineStr">
        <is>
          <t>Standardize site distribution across offices, plants, warehouses, stores, labs and data centers across the organization, close coverage gaps, link it to crisis scenarios and train accountable roles.</t>
        </is>
      </c>
      <c r="H13" s="3" t="inlineStr">
        <is>
          <t>Measure site distribution across offices, plants, warehouses, stores, labs and data centers, review it periodically, test it against disruption scenarios and integrate it with dependent processes or systems.</t>
        </is>
      </c>
      <c r="I13" s="3" t="inlineStr">
        <is>
          <t>Optimize and automate site distribution across offices, plants, warehouses, stores, labs and data centers where practical, use leading indicators, run periodic stress tests and update the crisis playbook.</t>
        </is>
      </c>
      <c r="J13" s="3" t="inlineStr">
        <is>
          <t>Maintain maturity for site distribution across offices, plants, warehouses, stores, labs and data centers. Monitor drift, keep evidence current, benchmark externally and refresh tests after major changes.</t>
        </is>
      </c>
      <c r="K13" s="3" t="inlineStr">
        <is>
          <t>Reduces exposure to Geopolitical risk; Physical site loss; Regulatory/legal shock; improves Geographical distribution maturity, continuity and management visibility.</t>
        </is>
      </c>
      <c r="L13" s="3" t="n">
        <v>5</v>
      </c>
      <c r="M13" s="3" t="n">
        <v>5</v>
      </c>
      <c r="N13" s="3" t="n">
        <v>5</v>
      </c>
      <c r="O13" s="3" t="n">
        <v>4</v>
      </c>
      <c r="P13" s="3" t="n">
        <v>3</v>
      </c>
      <c r="Q13" s="3" t="n">
        <v>1</v>
      </c>
      <c r="R13" s="3" t="inlineStr">
        <is>
          <t>ISO 22301; ISO 31000; ISO 9001; ISO 37000; PESTLE; Business Model Canvas</t>
        </is>
      </c>
      <c r="S13" s="3" t="inlineStr">
        <is>
          <t>Policy/SOP; owner/RACI; system report; dashboard; contracts; test records; incident history; interview evidence related to site distribution across offices, plants, warehouses, stores, labs and data centers.</t>
        </is>
      </c>
      <c r="T13" s="3" t="inlineStr">
        <is>
          <t>Geopolitical risk; Physical site loss; Regulatory/legal shock</t>
        </is>
      </c>
      <c r="U13" s="3" t="inlineStr">
        <is>
          <t>CEO / COO / Risk</t>
        </is>
      </c>
      <c r="V13" s="3" t="inlineStr">
        <is>
          <t>Company Geography!13</t>
        </is>
      </c>
    </row>
    <row r="14" ht="85.5" customHeight="1" s="209">
      <c r="A14" s="3" t="inlineStr">
        <is>
          <t>COMP-010</t>
        </is>
      </c>
      <c r="B14" s="3" t="inlineStr">
        <is>
          <t>Company Geography</t>
        </is>
      </c>
      <c r="C14" s="3" t="inlineStr">
        <is>
          <t>Geographical distribution</t>
        </is>
      </c>
      <c r="D14" s="3" t="inlineStr">
        <is>
          <t>How mature is the organization in managing revenue distribution by country, currency, customer geography and market exposure, including ownership, evidence, metrics, fallback procedures and crisis stress testing?</t>
        </is>
      </c>
      <c r="E14" s="3" t="inlineStr">
        <is>
          <t>Establish a basic owner and inventory for revenue distribution by country, currency, customer geography and market exposure. Define minimum policy, evidence location and immediate crisis relevance.</t>
        </is>
      </c>
      <c r="F14" s="3" t="inlineStr">
        <is>
          <t>Document revenue distribution by country, currency, customer geography and market exposure, assign RACI, define minimum controls/KPIs and collect evidence across the main business units or sites.</t>
        </is>
      </c>
      <c r="G14" s="3" t="inlineStr">
        <is>
          <t>Standardize revenue distribution by country, currency, customer geography and market exposure across the organization, close coverage gaps, link it to crisis scenarios and train accountable roles.</t>
        </is>
      </c>
      <c r="H14" s="3" t="inlineStr">
        <is>
          <t>Measure revenue distribution by country, currency, customer geography and market exposure, review it periodically, test it against disruption scenarios and integrate it with dependent processes or systems.</t>
        </is>
      </c>
      <c r="I14" s="3" t="inlineStr">
        <is>
          <t>Optimize and automate revenue distribution by country, currency, customer geography and market exposure where practical, use leading indicators, run periodic stress tests and update the crisis playbook.</t>
        </is>
      </c>
      <c r="J14" s="3" t="inlineStr">
        <is>
          <t>Maintain maturity for revenue distribution by country, currency, customer geography and market exposure. Monitor drift, keep evidence current, benchmark externally and refresh tests after major changes.</t>
        </is>
      </c>
      <c r="K14" s="3" t="inlineStr">
        <is>
          <t>Reduces exposure to Geopolitical risk; Physical site loss; Regulatory/legal shock; improves Geographical distribution maturity, continuity and management visibility.</t>
        </is>
      </c>
      <c r="L14" s="3" t="n">
        <v>5</v>
      </c>
      <c r="M14" s="3" t="n">
        <v>5</v>
      </c>
      <c r="N14" s="3" t="n">
        <v>5</v>
      </c>
      <c r="O14" s="3" t="n">
        <v>4</v>
      </c>
      <c r="P14" s="3" t="n">
        <v>3</v>
      </c>
      <c r="Q14" s="3" t="n">
        <v>1</v>
      </c>
      <c r="R14" s="3" t="inlineStr">
        <is>
          <t>ISO 22301; ISO 31000; ISO 9001; ISO 37000; PESTLE; Business Model Canvas</t>
        </is>
      </c>
      <c r="S14" s="3" t="inlineStr">
        <is>
          <t>Policy/SOP; owner/RACI; system report; dashboard; contracts; test records; incident history; interview evidence related to revenue distribution by country, currency, customer geography and market exposure.</t>
        </is>
      </c>
      <c r="T14" s="3" t="inlineStr">
        <is>
          <t>Geopolitical risk; Physical site loss; Regulatory/legal shock</t>
        </is>
      </c>
      <c r="U14" s="3" t="inlineStr">
        <is>
          <t>CEO / COO / Risk</t>
        </is>
      </c>
      <c r="V14" s="3" t="inlineStr">
        <is>
          <t>Company Geography!14</t>
        </is>
      </c>
    </row>
    <row r="15" ht="71.25" customHeight="1" s="209">
      <c r="A15" s="3" t="inlineStr">
        <is>
          <t>COMP-011</t>
        </is>
      </c>
      <c r="B15" s="3" t="inlineStr">
        <is>
          <t>Company Geography</t>
        </is>
      </c>
      <c r="C15" s="3" t="inlineStr">
        <is>
          <t>Geographical distribution</t>
        </is>
      </c>
      <c r="D15" s="3" t="inlineStr">
        <is>
          <t>How mature is the organization in managing supplier distribution by country, tier, criticality and replacement options, including ownership, evidence, metrics, fallback procedures and crisis stress testing?</t>
        </is>
      </c>
      <c r="E15" s="3" t="inlineStr">
        <is>
          <t>Establish a basic owner and inventory for supplier distribution by country, tier, criticality and replacement options. Define minimum policy, evidence location and immediate crisis relevance.</t>
        </is>
      </c>
      <c r="F15" s="3" t="inlineStr">
        <is>
          <t>Document supplier distribution by country, tier, criticality and replacement options, assign RACI, define minimum controls/KPIs and collect evidence across the main business units or sites.</t>
        </is>
      </c>
      <c r="G15" s="3" t="inlineStr">
        <is>
          <t>Standardize supplier distribution by country, tier, criticality and replacement options across the organization, close coverage gaps, link it to crisis scenarios and train accountable roles.</t>
        </is>
      </c>
      <c r="H15" s="3" t="inlineStr">
        <is>
          <t>Measure supplier distribution by country, tier, criticality and replacement options, review it periodically, test it against disruption scenarios and integrate it with dependent processes or systems.</t>
        </is>
      </c>
      <c r="I15" s="3" t="inlineStr">
        <is>
          <t>Optimize and automate supplier distribution by country, tier, criticality and replacement options where practical, use leading indicators, run periodic stress tests and update the crisis playbook.</t>
        </is>
      </c>
      <c r="J15" s="3" t="inlineStr">
        <is>
          <t>Maintain maturity for supplier distribution by country, tier, criticality and replacement options. Monitor drift, keep evidence current, benchmark externally and refresh tests after major changes.</t>
        </is>
      </c>
      <c r="K15" s="3" t="inlineStr">
        <is>
          <t>Reduces exposure to Geopolitical risk; Physical site loss; Regulatory/legal shock; improves Geographical distribution maturity, continuity and management visibility.</t>
        </is>
      </c>
      <c r="L15" s="3" t="n">
        <v>5</v>
      </c>
      <c r="M15" s="3" t="n">
        <v>5</v>
      </c>
      <c r="N15" s="3" t="n">
        <v>5</v>
      </c>
      <c r="O15" s="3" t="n">
        <v>4</v>
      </c>
      <c r="P15" s="3" t="n">
        <v>3</v>
      </c>
      <c r="Q15" s="3" t="n">
        <v>1</v>
      </c>
      <c r="R15" s="3" t="inlineStr">
        <is>
          <t>ISO 22301; ISO 31000; ISO 9001; ISO 37000; PESTLE; Business Model Canvas</t>
        </is>
      </c>
      <c r="S15" s="3" t="inlineStr">
        <is>
          <t>Policy/SOP; owner/RACI; system report; dashboard; contracts; test records; incident history; interview evidence related to supplier distribution by country, tier, criticality and replacement options.</t>
        </is>
      </c>
      <c r="T15" s="3" t="inlineStr">
        <is>
          <t>Geopolitical risk; Physical site loss; Regulatory/legal shock</t>
        </is>
      </c>
      <c r="U15" s="3" t="inlineStr">
        <is>
          <t>CEO / COO / Risk</t>
        </is>
      </c>
      <c r="V15" s="3" t="inlineStr">
        <is>
          <t>Company Geography!15</t>
        </is>
      </c>
    </row>
    <row r="16" ht="71.25" customHeight="1" s="209">
      <c r="A16" s="3" t="inlineStr">
        <is>
          <t>COMP-012</t>
        </is>
      </c>
      <c r="B16" s="3" t="inlineStr">
        <is>
          <t>Company Geography</t>
        </is>
      </c>
      <c r="C16" s="3" t="inlineStr">
        <is>
          <t>Geographical distribution</t>
        </is>
      </c>
      <c r="D16" s="3" t="inlineStr">
        <is>
          <t>How mature is the organization in managing customer distribution by geography, industry, contract and crisis sensitivity, including ownership, evidence, metrics, fallback procedures and crisis stress testing?</t>
        </is>
      </c>
      <c r="E16" s="3" t="inlineStr">
        <is>
          <t>Establish a basic owner and inventory for customer distribution by geography, industry, contract and crisis sensitivity. Define minimum policy, evidence location and immediate crisis relevance.</t>
        </is>
      </c>
      <c r="F16" s="3" t="inlineStr">
        <is>
          <t>Document customer distribution by geography, industry, contract and crisis sensitivity, assign RACI, define minimum controls/KPIs and collect evidence across the main business units or sites.</t>
        </is>
      </c>
      <c r="G16" s="3" t="inlineStr">
        <is>
          <t>Standardize customer distribution by geography, industry, contract and crisis sensitivity across the organization, close coverage gaps, link it to crisis scenarios and train accountable roles.</t>
        </is>
      </c>
      <c r="H16" s="3" t="inlineStr">
        <is>
          <t>Measure customer distribution by geography, industry, contract and crisis sensitivity, review it periodically, test it against disruption scenarios and integrate it with dependent processes or systems.</t>
        </is>
      </c>
      <c r="I16" s="3" t="inlineStr">
        <is>
          <t>Optimize and automate customer distribution by geography, industry, contract and crisis sensitivity where practical, use leading indicators, run periodic stress tests and update the crisis playbook.</t>
        </is>
      </c>
      <c r="J16" s="3" t="inlineStr">
        <is>
          <t>Maintain maturity for customer distribution by geography, industry, contract and crisis sensitivity. Monitor drift, keep evidence current, benchmark externally and refresh tests after major changes.</t>
        </is>
      </c>
      <c r="K16" s="3" t="inlineStr">
        <is>
          <t>Reduces exposure to Geopolitical risk; Physical site loss; Regulatory/legal shock; improves Geographical distribution maturity, continuity and management visibility.</t>
        </is>
      </c>
      <c r="L16" s="3" t="n">
        <v>5</v>
      </c>
      <c r="M16" s="3" t="n">
        <v>5</v>
      </c>
      <c r="N16" s="3" t="n">
        <v>5</v>
      </c>
      <c r="O16" s="3" t="n">
        <v>4</v>
      </c>
      <c r="P16" s="3" t="n">
        <v>3</v>
      </c>
      <c r="Q16" s="3" t="n">
        <v>1</v>
      </c>
      <c r="R16" s="3" t="inlineStr">
        <is>
          <t>ISO 22301; ISO 31000; ISO 9001; ISO 37000; PESTLE; Business Model Canvas</t>
        </is>
      </c>
      <c r="S16" s="3" t="inlineStr">
        <is>
          <t>Policy/SOP; owner/RACI; system report; dashboard; contracts; test records; incident history; interview evidence related to customer distribution by geography, industry, contract and crisis sensitivity.</t>
        </is>
      </c>
      <c r="T16" s="3" t="inlineStr">
        <is>
          <t>Geopolitical risk; Physical site loss; Regulatory/legal shock</t>
        </is>
      </c>
      <c r="U16" s="3" t="inlineStr">
        <is>
          <t>CEO / COO / Risk</t>
        </is>
      </c>
      <c r="V16" s="3" t="inlineStr">
        <is>
          <t>Company Geography!16</t>
        </is>
      </c>
    </row>
    <row r="17" ht="85.5" customHeight="1" s="209">
      <c r="A17" s="3" t="inlineStr">
        <is>
          <t>COMP-013</t>
        </is>
      </c>
      <c r="B17" s="3" t="inlineStr">
        <is>
          <t>Company Geography</t>
        </is>
      </c>
      <c r="C17" s="3" t="inlineStr">
        <is>
          <t>Geographical distribution</t>
        </is>
      </c>
      <c r="D17" s="3" t="inlineStr">
        <is>
          <t>How mature is the organization in managing country risk monitoring for war, sanctions, political instability, natural disaster and energy risks, including ownership, evidence, metrics, fallback procedures and crisis stress testing?</t>
        </is>
      </c>
      <c r="E17" s="3" t="inlineStr">
        <is>
          <t>Establish a basic owner and inventory for country risk monitoring for war, sanctions, political instability, natural disaster and energy risks. Define minimum policy, evidence location and immediate crisis relevance.</t>
        </is>
      </c>
      <c r="F17" s="3" t="inlineStr">
        <is>
          <t>Document country risk monitoring for war, sanctions, political instability, natural disaster and energy risks, assign RACI, define minimum controls/KPIs and collect evidence across the main business units or sites.</t>
        </is>
      </c>
      <c r="G17" s="3" t="inlineStr">
        <is>
          <t>Standardize country risk monitoring for war, sanctions, political instability, natural disaster and energy risks across the organization, close coverage gaps, link it to crisis scenarios and train accountable roles.</t>
        </is>
      </c>
      <c r="H17" s="3" t="inlineStr">
        <is>
          <t>Measure country risk monitoring for war, sanctions, political instability, natural disaster and energy risks, review it periodically, test it against disruption scenarios and integrate it with dependent processes or systems.</t>
        </is>
      </c>
      <c r="I17" s="3" t="inlineStr">
        <is>
          <t>Optimize and automate country risk monitoring for war, sanctions, political instability, natural disaster and energy risks where practical, use leading indicators, run periodic stress tests and update the crisis playbook.</t>
        </is>
      </c>
      <c r="J17" s="3" t="inlineStr">
        <is>
          <t>Maintain maturity for country risk monitoring for war, sanctions, political instability, natural disaster and energy risks. Monitor drift, keep evidence current, benchmark externally and refresh tests after major changes.</t>
        </is>
      </c>
      <c r="K17" s="3" t="inlineStr">
        <is>
          <t>Reduces exposure to Geopolitical risk; Physical site loss; Regulatory/legal shock; improves Geographical distribution maturity, continuity and management visibility.</t>
        </is>
      </c>
      <c r="L17" s="3" t="n">
        <v>5</v>
      </c>
      <c r="M17" s="3" t="n">
        <v>5</v>
      </c>
      <c r="N17" s="3" t="n">
        <v>5</v>
      </c>
      <c r="O17" s="3" t="n">
        <v>4</v>
      </c>
      <c r="P17" s="3" t="n">
        <v>3</v>
      </c>
      <c r="Q17" s="3" t="n">
        <v>1</v>
      </c>
      <c r="R17" s="3" t="inlineStr">
        <is>
          <t>ISO 22301; ISO 31000; ISO 9001; ISO 37000; PESTLE; Business Model Canvas</t>
        </is>
      </c>
      <c r="S17" s="3" t="inlineStr">
        <is>
          <t>Policy/SOP; owner/RACI; system report; dashboard; contracts; test records; incident history; interview evidence related to country risk monitoring for war, sanctions, political instability, natural disaster and energy risks.</t>
        </is>
      </c>
      <c r="T17" s="3" t="inlineStr">
        <is>
          <t>Geopolitical risk; Physical site loss; Regulatory/legal shock</t>
        </is>
      </c>
      <c r="U17" s="3" t="inlineStr">
        <is>
          <t>CEO / COO / Risk</t>
        </is>
      </c>
      <c r="V17" s="3" t="inlineStr">
        <is>
          <t>Company Geography!17</t>
        </is>
      </c>
    </row>
    <row r="18" ht="71.25" customHeight="1" s="209">
      <c r="A18" s="3" t="inlineStr">
        <is>
          <t>COMP-014</t>
        </is>
      </c>
      <c r="B18" s="3" t="inlineStr">
        <is>
          <t>Company Geography</t>
        </is>
      </c>
      <c r="C18" s="3" t="inlineStr">
        <is>
          <t>Geographical distribution</t>
        </is>
      </c>
      <c r="D18" s="3" t="inlineStr">
        <is>
          <t>How mature is the organization in managing relocation and alternative location options for critical teams and operations, including ownership, evidence, metrics, fallback procedures and crisis stress testing?</t>
        </is>
      </c>
      <c r="E18" s="3" t="inlineStr">
        <is>
          <t>Establish a basic owner and inventory for relocation and alternative location options for critical teams and operations. Define minimum policy, evidence location and immediate crisis relevance.</t>
        </is>
      </c>
      <c r="F18" s="3" t="inlineStr">
        <is>
          <t>Document relocation and alternative location options for critical teams and operations, assign RACI, define minimum controls/KPIs and collect evidence across the main business units or sites.</t>
        </is>
      </c>
      <c r="G18" s="3" t="inlineStr">
        <is>
          <t>Standardize relocation and alternative location options for critical teams and operations across the organization, close coverage gaps, link it to crisis scenarios and train accountable roles.</t>
        </is>
      </c>
      <c r="H18" s="3" t="inlineStr">
        <is>
          <t>Measure relocation and alternative location options for critical teams and operations, review it periodically, test it against disruption scenarios and integrate it with dependent processes or systems.</t>
        </is>
      </c>
      <c r="I18" s="3" t="inlineStr">
        <is>
          <t>Optimize and automate relocation and alternative location options for critical teams and operations where practical, use leading indicators, run periodic stress tests and update the crisis playbook.</t>
        </is>
      </c>
      <c r="J18" s="3" t="inlineStr">
        <is>
          <t>Maintain maturity for relocation and alternative location options for critical teams and operations. Monitor drift, keep evidence current, benchmark externally and refresh tests after major changes.</t>
        </is>
      </c>
      <c r="K18" s="3" t="inlineStr">
        <is>
          <t>Reduces exposure to Geopolitical risk; Physical site loss; Regulatory/legal shock; improves Geographical distribution maturity, continuity and management visibility.</t>
        </is>
      </c>
      <c r="L18" s="3" t="n">
        <v>5</v>
      </c>
      <c r="M18" s="3" t="n">
        <v>5</v>
      </c>
      <c r="N18" s="3" t="n">
        <v>5</v>
      </c>
      <c r="O18" s="3" t="n">
        <v>4</v>
      </c>
      <c r="P18" s="3" t="n">
        <v>3</v>
      </c>
      <c r="Q18" s="3" t="n">
        <v>1</v>
      </c>
      <c r="R18" s="3" t="inlineStr">
        <is>
          <t>ISO 22301; ISO 31000; ISO 9001; ISO 37000; PESTLE; Business Model Canvas</t>
        </is>
      </c>
      <c r="S18" s="3" t="inlineStr">
        <is>
          <t>Policy/SOP; owner/RACI; system report; dashboard; contracts; test records; incident history; interview evidence related to relocation and alternative location options for critical teams and operations.</t>
        </is>
      </c>
      <c r="T18" s="3" t="inlineStr">
        <is>
          <t>Geopolitical risk; Physical site loss; Regulatory/legal shock</t>
        </is>
      </c>
      <c r="U18" s="3" t="inlineStr">
        <is>
          <t>CEO / COO / Risk</t>
        </is>
      </c>
      <c r="V18" s="3" t="inlineStr">
        <is>
          <t>Company Geography!18</t>
        </is>
      </c>
    </row>
    <row r="19" ht="71.25" customHeight="1" s="209">
      <c r="A19" s="3" t="inlineStr">
        <is>
          <t>COMP-016</t>
        </is>
      </c>
      <c r="B19" s="3" t="inlineStr">
        <is>
          <t>Company Geography</t>
        </is>
      </c>
      <c r="C19" s="3" t="inlineStr">
        <is>
          <t>Context and dependencies</t>
        </is>
      </c>
      <c r="D19" s="3" t="inlineStr">
        <is>
          <t>How mature is the organization in managing single-country, single-site and single-provider concentration risks, including ownership, evidence, metrics, fallback procedures and crisis stress testing?</t>
        </is>
      </c>
      <c r="E19" s="3" t="inlineStr">
        <is>
          <t>Establish a basic owner and inventory for single-country, single-site and single-provider concentration risks. Define minimum policy, evidence location and immediate crisis relevance.</t>
        </is>
      </c>
      <c r="F19" s="3" t="inlineStr">
        <is>
          <t>Document single-country, single-site and single-provider concentration risks, assign RACI, define minimum controls/KPIs and collect evidence across the main business units or sites.</t>
        </is>
      </c>
      <c r="G19" s="3" t="inlineStr">
        <is>
          <t>Standardize single-country, single-site and single-provider concentration risks across the organization, close coverage gaps, link it to crisis scenarios and train accountable roles.</t>
        </is>
      </c>
      <c r="H19" s="3" t="inlineStr">
        <is>
          <t>Measure single-country, single-site and single-provider concentration risks, review it periodically, test it against disruption scenarios and integrate it with dependent processes or systems.</t>
        </is>
      </c>
      <c r="I19" s="3" t="inlineStr">
        <is>
          <t>Optimize and automate single-country, single-site and single-provider concentration risks where practical, use leading indicators, run periodic stress tests and update the crisis playbook.</t>
        </is>
      </c>
      <c r="J19" s="3" t="inlineStr">
        <is>
          <t>Maintain maturity for single-country, single-site and single-provider concentration risks. Monitor drift, keep evidence current, benchmark externally and refresh tests after major changes.</t>
        </is>
      </c>
      <c r="K19" s="3" t="inlineStr">
        <is>
          <t>Reduces exposure to Geopolitical risk; Physical site loss; Regulatory/legal shock; improves Context and dependencies maturity, continuity and management visibility.</t>
        </is>
      </c>
      <c r="L19" s="3" t="n">
        <v>4</v>
      </c>
      <c r="M19" s="3" t="n">
        <v>4</v>
      </c>
      <c r="N19" s="3" t="n">
        <v>3</v>
      </c>
      <c r="O19" s="3" t="n">
        <v>2</v>
      </c>
      <c r="P19" s="3" t="n">
        <v>1</v>
      </c>
      <c r="Q19" s="3" t="n">
        <v>1</v>
      </c>
      <c r="R19" s="3" t="inlineStr">
        <is>
          <t>ISO 22301; ISO 31000; ISO 9001; ISO 37000; PESTLE; Business Model Canvas</t>
        </is>
      </c>
      <c r="S19" s="3" t="inlineStr">
        <is>
          <t>Policy/SOP; owner/RACI; system report; dashboard; contracts; test records; incident history; interview evidence related to single-country, single-site and single-provider concentration risks.</t>
        </is>
      </c>
      <c r="T19" s="3" t="inlineStr">
        <is>
          <t>Geopolitical risk; Physical site loss; Regulatory/legal shock</t>
        </is>
      </c>
      <c r="U19" s="3" t="inlineStr">
        <is>
          <t>CEO / COO / Risk</t>
        </is>
      </c>
      <c r="V19" s="3" t="inlineStr">
        <is>
          <t>Company Geography!19</t>
        </is>
      </c>
    </row>
    <row r="20" ht="85.5" customHeight="1" s="209">
      <c r="A20" s="3" t="inlineStr">
        <is>
          <t>COMP-017</t>
        </is>
      </c>
      <c r="B20" s="3" t="inlineStr">
        <is>
          <t>Company Geography</t>
        </is>
      </c>
      <c r="C20" s="3" t="inlineStr">
        <is>
          <t>Context and dependencies</t>
        </is>
      </c>
      <c r="D20" s="3" t="inlineStr">
        <is>
          <t>How mature is the organization in managing external stakeholder map: owners, banks, regulators, insurers, local authorities and strategic partners, including ownership, evidence, metrics, fallback procedures and crisis stress testing?</t>
        </is>
      </c>
      <c r="E20" s="3" t="inlineStr">
        <is>
          <t>Establish a basic owner and inventory for external stakeholder map: owners, banks, regulators, insurers, local authorities and strategic partners. Define minimum policy, evidence location and immediate crisis relevance.</t>
        </is>
      </c>
      <c r="F20" s="3" t="inlineStr">
        <is>
          <t>Document external stakeholder map: owners, banks, regulators, insurers, local authorities and strategic partners, assign RACI, define minimum controls/KPIs and collect evidence across the main business units or sites.</t>
        </is>
      </c>
      <c r="G20" s="3" t="inlineStr">
        <is>
          <t>Standardize external stakeholder map: owners, banks, regulators, insurers, local authorities and strategic partners across the organization, close coverage gaps, link it to crisis scenarios and train accountable roles.</t>
        </is>
      </c>
      <c r="H20" s="3" t="inlineStr">
        <is>
          <t>Measure external stakeholder map: owners, banks, regulators, insurers, local authorities and strategic partners, review it periodically, test it against disruption scenarios and integrate it with dependent processes or systems.</t>
        </is>
      </c>
      <c r="I20" s="3" t="inlineStr">
        <is>
          <t>Optimize and automate external stakeholder map: owners, banks, regulators, insurers, local authorities and strategic partners where practical, use leading indicators, run periodic stress tests and update the crisis playbook.</t>
        </is>
      </c>
      <c r="J20" s="3" t="inlineStr">
        <is>
          <t>Maintain maturity for external stakeholder map: owners, banks, regulators, insurers, local authorities and strategic partners. Monitor drift, keep evidence current, benchmark externally and refresh tests after major changes.</t>
        </is>
      </c>
      <c r="K20" s="3" t="inlineStr">
        <is>
          <t>Reduces exposure to Geopolitical risk; Physical site loss; Regulatory/legal shock; improves Context and dependencies maturity, continuity and management visibility.</t>
        </is>
      </c>
      <c r="L20" s="3" t="n">
        <v>4</v>
      </c>
      <c r="M20" s="3" t="n">
        <v>4</v>
      </c>
      <c r="N20" s="3" t="n">
        <v>3</v>
      </c>
      <c r="O20" s="3" t="n">
        <v>2</v>
      </c>
      <c r="P20" s="3" t="n">
        <v>1</v>
      </c>
      <c r="Q20" s="3" t="n">
        <v>1</v>
      </c>
      <c r="R20" s="3" t="inlineStr">
        <is>
          <t>ISO 22301; ISO 31000; ISO 9001; ISO 37000; PESTLE; Business Model Canvas</t>
        </is>
      </c>
      <c r="S20" s="3" t="inlineStr">
        <is>
          <t>Policy/SOP; owner/RACI; system report; dashboard; contracts; test records; incident history; interview evidence related to external stakeholder map: owners, banks, regulators, insurers, local authorities and strategic partners.</t>
        </is>
      </c>
      <c r="T20" s="3" t="inlineStr">
        <is>
          <t>Geopolitical risk; Physical site loss; Regulatory/legal shock</t>
        </is>
      </c>
      <c r="U20" s="3" t="inlineStr">
        <is>
          <t>CEO / COO / Risk</t>
        </is>
      </c>
      <c r="V20" s="3" t="inlineStr">
        <is>
          <t>Company Geography!20</t>
        </is>
      </c>
    </row>
    <row r="21" ht="85.5" customHeight="1" s="209">
      <c r="A21" s="3" t="inlineStr">
        <is>
          <t>COMP-018</t>
        </is>
      </c>
      <c r="B21" s="3" t="inlineStr">
        <is>
          <t>Company Geography</t>
        </is>
      </c>
      <c r="C21" s="3" t="inlineStr">
        <is>
          <t>Context and dependencies</t>
        </is>
      </c>
      <c r="D21" s="3" t="inlineStr">
        <is>
          <t>How mature is the organization in managing data residency and cross-border transfer exposure by system and geography, including ownership, evidence, metrics, fallback procedures and crisis stress testing?</t>
        </is>
      </c>
      <c r="E21" s="3" t="inlineStr">
        <is>
          <t>Establish a basic owner and inventory for data residency and cross-border transfer exposure by system and geography. Define minimum policy, evidence location and immediate crisis relevance.</t>
        </is>
      </c>
      <c r="F21" s="3" t="inlineStr">
        <is>
          <t>Document data residency and cross-border transfer exposure by system and geography, assign RACI, define minimum controls/KPIs and collect evidence across the main business units or sites.</t>
        </is>
      </c>
      <c r="G21" s="3" t="inlineStr">
        <is>
          <t>Standardize data residency and cross-border transfer exposure by system and geography across the organization, close coverage gaps, link it to crisis scenarios and train accountable roles.</t>
        </is>
      </c>
      <c r="H21" s="3" t="inlineStr">
        <is>
          <t>Measure data residency and cross-border transfer exposure by system and geography, review it periodically, test it against disruption scenarios and integrate it with dependent processes or systems.</t>
        </is>
      </c>
      <c r="I21" s="3" t="inlineStr">
        <is>
          <t>Optimize and automate data residency and cross-border transfer exposure by system and geography where practical, use leading indicators, run periodic stress tests and update the crisis playbook.</t>
        </is>
      </c>
      <c r="J21" s="3" t="inlineStr">
        <is>
          <t>Maintain maturity for data residency and cross-border transfer exposure by system and geography. Monitor drift, keep evidence current, benchmark externally and refresh tests after major changes.</t>
        </is>
      </c>
      <c r="K21" s="3" t="inlineStr">
        <is>
          <t>Reduces exposure to Geopolitical risk; Physical site loss; Regulatory/legal shock; improves Context and dependencies maturity, continuity and management visibility.</t>
        </is>
      </c>
      <c r="L21" s="3" t="n">
        <v>4</v>
      </c>
      <c r="M21" s="3" t="n">
        <v>4</v>
      </c>
      <c r="N21" s="3" t="n">
        <v>3</v>
      </c>
      <c r="O21" s="3" t="n">
        <v>2</v>
      </c>
      <c r="P21" s="3" t="n">
        <v>1</v>
      </c>
      <c r="Q21" s="3" t="n">
        <v>1</v>
      </c>
      <c r="R21" s="3" t="inlineStr">
        <is>
          <t>ISO 22301; ISO 31000; ISO 9001; ISO 37000; PESTLE; Business Model Canvas</t>
        </is>
      </c>
      <c r="S21" s="3" t="inlineStr">
        <is>
          <t>Policy/SOP; owner/RACI; system report; dashboard; contracts; test records; incident history; interview evidence related to data residency and cross-border transfer exposure by system and geography.</t>
        </is>
      </c>
      <c r="T21" s="3" t="inlineStr">
        <is>
          <t>Geopolitical risk; Physical site loss; Regulatory/legal shock</t>
        </is>
      </c>
      <c r="U21" s="3" t="inlineStr">
        <is>
          <t>CEO / COO / Risk</t>
        </is>
      </c>
      <c r="V21" s="3" t="inlineStr">
        <is>
          <t>Company Geography!21</t>
        </is>
      </c>
    </row>
    <row r="22" ht="85.5" customHeight="1" s="209">
      <c r="A22" s="3" t="inlineStr">
        <is>
          <t>COMP-019</t>
        </is>
      </c>
      <c r="B22" s="3" t="inlineStr">
        <is>
          <t>Company Geography</t>
        </is>
      </c>
      <c r="C22" s="3" t="inlineStr">
        <is>
          <t>Context and dependencies</t>
        </is>
      </c>
      <c r="D22" s="3" t="inlineStr">
        <is>
          <t>How mature is the organization in managing acceptable downtime thresholds by geography, function, customer and process, including ownership, evidence, metrics, fallback procedures and crisis stress testing?</t>
        </is>
      </c>
      <c r="E22" s="3" t="inlineStr">
        <is>
          <t>Establish a basic owner and inventory for acceptable downtime thresholds by geography, function, customer and process. Define minimum policy, evidence location and immediate crisis relevance.</t>
        </is>
      </c>
      <c r="F22" s="3" t="inlineStr">
        <is>
          <t>Document acceptable downtime thresholds by geography, function, customer and process, assign RACI, define minimum controls/KPIs and collect evidence across the main business units or sites.</t>
        </is>
      </c>
      <c r="G22" s="3" t="inlineStr">
        <is>
          <t>Standardize acceptable downtime thresholds by geography, function, customer and process across the organization, close coverage gaps, link it to crisis scenarios and train accountable roles.</t>
        </is>
      </c>
      <c r="H22" s="3" t="inlineStr">
        <is>
          <t>Measure acceptable downtime thresholds by geography, function, customer and process, review it periodically, test it against disruption scenarios and integrate it with dependent processes or systems.</t>
        </is>
      </c>
      <c r="I22" s="3" t="inlineStr">
        <is>
          <t>Optimize and automate acceptable downtime thresholds by geography, function, customer and process where practical, use leading indicators, run periodic stress tests and update the crisis playbook.</t>
        </is>
      </c>
      <c r="J22" s="3" t="inlineStr">
        <is>
          <t>Maintain maturity for acceptable downtime thresholds by geography, function, customer and process. Monitor drift, keep evidence current, benchmark externally and refresh tests after major changes.</t>
        </is>
      </c>
      <c r="K22" s="3" t="inlineStr">
        <is>
          <t>Reduces exposure to Geopolitical risk; Physical site loss; Regulatory/legal shock; improves Context and dependencies maturity, continuity and management visibility.</t>
        </is>
      </c>
      <c r="L22" s="3" t="n">
        <v>4</v>
      </c>
      <c r="M22" s="3" t="n">
        <v>4</v>
      </c>
      <c r="N22" s="3" t="n">
        <v>3</v>
      </c>
      <c r="O22" s="3" t="n">
        <v>2</v>
      </c>
      <c r="P22" s="3" t="n">
        <v>1</v>
      </c>
      <c r="Q22" s="3" t="n">
        <v>1</v>
      </c>
      <c r="R22" s="3" t="inlineStr">
        <is>
          <t>ISO 22301; ISO 31000; ISO 9001; ISO 37000; PESTLE; Business Model Canvas</t>
        </is>
      </c>
      <c r="S22" s="3" t="inlineStr">
        <is>
          <t>Policy/SOP; owner/RACI; system report; dashboard; contracts; test records; incident history; interview evidence related to acceptable downtime thresholds by geography, function, customer and process.</t>
        </is>
      </c>
      <c r="T22" s="3" t="inlineStr">
        <is>
          <t>Geopolitical risk; Physical site loss; Regulatory/legal shock</t>
        </is>
      </c>
      <c r="U22" s="3" t="inlineStr">
        <is>
          <t>CEO / COO / Risk</t>
        </is>
      </c>
      <c r="V22" s="3" t="inlineStr">
        <is>
          <t>Company Geography!22</t>
        </is>
      </c>
    </row>
    <row r="23" ht="85.5" customHeight="1" s="209">
      <c r="A23" s="3" t="inlineStr">
        <is>
          <t>COMP-021</t>
        </is>
      </c>
      <c r="B23" s="3" t="inlineStr">
        <is>
          <t>Company Geography</t>
        </is>
      </c>
      <c r="C23" s="3" t="inlineStr">
        <is>
          <t>Context and dependencies</t>
        </is>
      </c>
      <c r="D23" s="3" t="inlineStr">
        <is>
          <t>How mature is the organization in managing critical infrastructure status and government emergency obligations across operating geographies, including ownership, evidence, metrics, fallback procedures and crisis stress testing?</t>
        </is>
      </c>
      <c r="E23" s="3" t="inlineStr">
        <is>
          <t>Establish a basic owner and inventory for critical infrastructure status and government emergency obligations across operating geographies. Define minimum policy, evidence location and immediate crisis relevance.</t>
        </is>
      </c>
      <c r="F23" s="3" t="inlineStr">
        <is>
          <t>Document critical infrastructure status and government emergency obligations across operating geographies, assign RACI, define minimum controls/KPIs and collect evidence across the main business units or sites.</t>
        </is>
      </c>
      <c r="G23" s="3" t="inlineStr">
        <is>
          <t>Standardize critical infrastructure status and government emergency obligations across operating geographies across the organization, close coverage gaps, link it to crisis scenarios and train accountable roles.</t>
        </is>
      </c>
      <c r="H23" s="3" t="inlineStr">
        <is>
          <t>Measure critical infrastructure status and government emergency obligations across operating geographies, review it periodically, test it against disruption scenarios and integrate it with dependent processes or systems.</t>
        </is>
      </c>
      <c r="I23" s="3" t="inlineStr">
        <is>
          <t>Optimize and automate critical infrastructure status and government emergency obligations across operating geographies where practical, use leading indicators, run periodic stress tests and update the crisis playbook.</t>
        </is>
      </c>
      <c r="J23" s="3" t="inlineStr">
        <is>
          <t>Maintain maturity for critical infrastructure status and government emergency obligations across operating geographies. Monitor drift, keep evidence current, benchmark externally and refresh tests after major changes.</t>
        </is>
      </c>
      <c r="K23" s="3" t="inlineStr">
        <is>
          <t>Reduces exposure to War/security crisis; Energy/utilities outage; Regulatory/legal shock; improves Context and dependencies maturity, continuity and management visibility.</t>
        </is>
      </c>
      <c r="L23" s="3" t="n">
        <v>2</v>
      </c>
      <c r="M23" s="3" t="n">
        <v>2</v>
      </c>
      <c r="N23" s="3" t="n">
        <v>2</v>
      </c>
      <c r="O23" s="3" t="n">
        <v>2</v>
      </c>
      <c r="P23" s="3" t="n">
        <v>1</v>
      </c>
      <c r="Q23" s="3" t="n">
        <v>1</v>
      </c>
      <c r="R23" s="3" t="inlineStr">
        <is>
          <t>ISO 22301; NIS2; national critical infrastructure regulation</t>
        </is>
      </c>
      <c r="S23" s="3" t="inlineStr">
        <is>
          <t>Policy/SOP; owner/RACI; system report; dashboard; contracts; test records; incident history; interview evidence related to critical infrastructure status and government emergency obligations across operating geographies</t>
        </is>
      </c>
      <c r="T23" s="3" t="inlineStr">
        <is>
          <t>War/security crisis; Energy/utilities outage; Regulatory/legal shock</t>
        </is>
      </c>
      <c r="U23" s="3" t="inlineStr">
        <is>
          <t>CEO / Legal</t>
        </is>
      </c>
      <c r="V23" s="3" t="inlineStr">
        <is>
          <t>Company Geography!23</t>
        </is>
      </c>
    </row>
    <row r="24" ht="85.5" customHeight="1" s="209">
      <c r="A24" s="3" t="inlineStr">
        <is>
          <t>STRA-001</t>
        </is>
      </c>
      <c r="B24" s="3" t="inlineStr">
        <is>
          <t>Strategy GTM</t>
        </is>
      </c>
      <c r="C24" s="3" t="inlineStr">
        <is>
          <t>Corporate strategy</t>
        </is>
      </c>
      <c r="D24" s="3" t="inlineStr">
        <is>
          <t>How mature is the organization in managing documented strategy translated into objectives, KPIs, budgets and accountable owners, including ownership, evidence, metrics, fallback procedures and crisis stress testing?</t>
        </is>
      </c>
      <c r="E24" s="3" t="inlineStr">
        <is>
          <t>Establish a basic owner and inventory for documented strategy translated into objectives, KPIs, budgets and accountable owners. Define minimum policy, evidence location and immediate crisis relevance.</t>
        </is>
      </c>
      <c r="F24" s="3" t="inlineStr">
        <is>
          <t>Document documented strategy translated into objectives, KPIs, budgets and accountable owners, assign RACI, define minimum controls/KPIs and collect evidence across the main business units or sites.</t>
        </is>
      </c>
      <c r="G24" s="3" t="inlineStr">
        <is>
          <t>Standardize documented strategy translated into objectives, KPIs, budgets and accountable owners across the organization, close coverage gaps, link it to crisis scenarios and train accountable roles.</t>
        </is>
      </c>
      <c r="H24" s="3" t="inlineStr">
        <is>
          <t>Measure documented strategy translated into objectives, KPIs, budgets and accountable owners, review it periodically, test it against disruption scenarios and integrate it with dependent processes or systems.</t>
        </is>
      </c>
      <c r="I24" s="3" t="inlineStr">
        <is>
          <t>Optimize and automate documented strategy translated into objectives, KPIs, budgets and accountable owners where practical, use leading indicators, run periodic stress tests and update the crisis playbook.</t>
        </is>
      </c>
      <c r="J24" s="3" t="inlineStr">
        <is>
          <t>Maintain maturity for documented strategy translated into objectives, KPIs, budgets and accountable owners. Monitor drift, keep evidence current, benchmark externally and refresh tests after major changes.</t>
        </is>
      </c>
      <c r="K24" s="3" t="inlineStr">
        <is>
          <t>Reduces exposure to Demand shock; Financial liquidity crisis; Reputation crisis; improves Corporate strategy maturity, continuity and management visibility.</t>
        </is>
      </c>
      <c r="L24" s="3" t="n">
        <v>5</v>
      </c>
      <c r="M24" s="3" t="n">
        <v>5</v>
      </c>
      <c r="N24" s="3" t="n">
        <v>4</v>
      </c>
      <c r="O24" s="3" t="n">
        <v>3</v>
      </c>
      <c r="P24" s="3" t="n">
        <v>2</v>
      </c>
      <c r="Q24" s="3" t="n">
        <v>1</v>
      </c>
      <c r="R24" s="3" t="inlineStr">
        <is>
          <t>ISO 9001; ISO 31000; ISO 37000; McKinsey 7S; OHI; Bain Elements of Value; Jobs-to-be-Done; Porter Five Forces; OKR</t>
        </is>
      </c>
      <c r="S24" s="3" t="inlineStr">
        <is>
          <t>Policy/SOP; owner/RACI; system report; dashboard; contracts; test records; incident history; interview evidence related to documented strategy translated into objectives, KPIs, budgets and accountable owners.</t>
        </is>
      </c>
      <c r="T24" s="3" t="inlineStr">
        <is>
          <t>Demand shock; Financial liquidity crisis; Reputation crisis</t>
        </is>
      </c>
      <c r="U24" s="3" t="inlineStr">
        <is>
          <t>CEO / CSO / CCO</t>
        </is>
      </c>
      <c r="V24" s="3" t="inlineStr">
        <is>
          <t>Strategy GTM!5</t>
        </is>
      </c>
    </row>
    <row r="25" ht="71.25" customHeight="1" s="209">
      <c r="A25" s="3" t="inlineStr">
        <is>
          <t>STRA-002</t>
        </is>
      </c>
      <c r="B25" s="3" t="inlineStr">
        <is>
          <t>Strategy GTM</t>
        </is>
      </c>
      <c r="C25" s="3" t="inlineStr">
        <is>
          <t>Corporate strategy</t>
        </is>
      </c>
      <c r="D25" s="3" t="inlineStr">
        <is>
          <t>How mature is the organization in managing explicit strategic assumptions and periodic challenge of those assumptions, including ownership, evidence, metrics, fallback procedures and crisis stress testing?</t>
        </is>
      </c>
      <c r="E25" s="3" t="inlineStr">
        <is>
          <t>Establish a basic owner and inventory for explicit strategic assumptions and periodic challenge of those assumptions. Define minimum policy, evidence location and immediate crisis relevance.</t>
        </is>
      </c>
      <c r="F25" s="3" t="inlineStr">
        <is>
          <t>Document explicit strategic assumptions and periodic challenge of those assumptions, assign RACI, define minimum controls/KPIs and collect evidence across the main business units or sites.</t>
        </is>
      </c>
      <c r="G25" s="3" t="inlineStr">
        <is>
          <t>Standardize explicit strategic assumptions and periodic challenge of those assumptions across the organization, close coverage gaps, link it to crisis scenarios and train accountable roles.</t>
        </is>
      </c>
      <c r="H25" s="3" t="inlineStr">
        <is>
          <t>Measure explicit strategic assumptions and periodic challenge of those assumptions, review it periodically, test it against disruption scenarios and integrate it with dependent processes or systems.</t>
        </is>
      </c>
      <c r="I25" s="3" t="inlineStr">
        <is>
          <t>Optimize and automate explicit strategic assumptions and periodic challenge of those assumptions where practical, use leading indicators, run periodic stress tests and update the crisis playbook.</t>
        </is>
      </c>
      <c r="J25" s="3" t="inlineStr">
        <is>
          <t>Maintain maturity for explicit strategic assumptions and periodic challenge of those assumptions. Monitor drift, keep evidence current, benchmark externally and refresh tests after major changes.</t>
        </is>
      </c>
      <c r="K25" s="3" t="inlineStr">
        <is>
          <t>Reduces exposure to Demand shock; Financial liquidity crisis; Reputation crisis; improves Corporate strategy maturity, continuity and management visibility.</t>
        </is>
      </c>
      <c r="L25" s="3" t="n">
        <v>5</v>
      </c>
      <c r="M25" s="3" t="n">
        <v>5</v>
      </c>
      <c r="N25" s="3" t="n">
        <v>4</v>
      </c>
      <c r="O25" s="3" t="n">
        <v>3</v>
      </c>
      <c r="P25" s="3" t="n">
        <v>2</v>
      </c>
      <c r="Q25" s="3" t="n">
        <v>1</v>
      </c>
      <c r="R25" s="3" t="inlineStr">
        <is>
          <t>ISO 9001; ISO 31000; ISO 37000; McKinsey 7S; OHI; Bain Elements of Value; Jobs-to-be-Done; Porter Five Forces; OKR</t>
        </is>
      </c>
      <c r="S25" s="3" t="inlineStr">
        <is>
          <t>Policy/SOP; owner/RACI; system report; dashboard; contracts; test records; incident history; interview evidence related to explicit strategic assumptions and periodic challenge of those assumptions.</t>
        </is>
      </c>
      <c r="T25" s="3" t="inlineStr">
        <is>
          <t>Demand shock; Financial liquidity crisis; Reputation crisis</t>
        </is>
      </c>
      <c r="U25" s="3" t="inlineStr">
        <is>
          <t>CEO / CSO / CCO</t>
        </is>
      </c>
      <c r="V25" s="3" t="inlineStr">
        <is>
          <t>Strategy GTM!6</t>
        </is>
      </c>
    </row>
    <row r="26" ht="85.5" customHeight="1" s="209">
      <c r="A26" s="3" t="inlineStr">
        <is>
          <t>STRA-003</t>
        </is>
      </c>
      <c r="B26" s="3" t="inlineStr">
        <is>
          <t>Strategy GTM</t>
        </is>
      </c>
      <c r="C26" s="3" t="inlineStr">
        <is>
          <t>Corporate strategy</t>
        </is>
      </c>
      <c r="D26" s="3" t="inlineStr">
        <is>
          <t>How mature is the organization in managing crisis-resilient strategy including adaptation, continuity, digital enablement and recovery options, including ownership, evidence, metrics, fallback procedures and crisis stress testing?</t>
        </is>
      </c>
      <c r="E26" s="3" t="inlineStr">
        <is>
          <t>Establish a basic owner and inventory for crisis-resilient strategy including adaptation, continuity, digital enablement and recovery options. Define minimum policy, evidence location and immediate crisis relevance.</t>
        </is>
      </c>
      <c r="F26" s="3" t="inlineStr">
        <is>
          <t>Document crisis-resilient strategy including adaptation, continuity, digital enablement and recovery options, assign RACI, define minimum controls/KPIs and collect evidence across the main business units or sites.</t>
        </is>
      </c>
      <c r="G26" s="3" t="inlineStr">
        <is>
          <t>Standardize crisis-resilient strategy including adaptation, continuity, digital enablement and recovery options across the organization, close coverage gaps, link it to crisis scenarios and train accountable roles.</t>
        </is>
      </c>
      <c r="H26" s="3" t="inlineStr">
        <is>
          <t>Measure crisis-resilient strategy including adaptation, continuity, digital enablement and recovery options, review it periodically, test it against disruption scenarios and integrate it with dependent processes or systems.</t>
        </is>
      </c>
      <c r="I26" s="3" t="inlineStr">
        <is>
          <t>Optimize and automate crisis-resilient strategy including adaptation, continuity, digital enablement and recovery options where practical, use leading indicators, run periodic stress tests and update the crisis playbook.</t>
        </is>
      </c>
      <c r="J26" s="3" t="inlineStr">
        <is>
          <t>Maintain maturity for crisis-resilient strategy including adaptation, continuity, digital enablement and recovery options. Monitor drift, keep evidence current, benchmark externally and refresh tests after major changes.</t>
        </is>
      </c>
      <c r="K26" s="3" t="inlineStr">
        <is>
          <t>Reduces exposure to Demand shock; Financial liquidity crisis; Reputation crisis; improves Corporate strategy maturity, continuity and management visibility.</t>
        </is>
      </c>
      <c r="L26" s="3" t="n">
        <v>5</v>
      </c>
      <c r="M26" s="3" t="n">
        <v>5</v>
      </c>
      <c r="N26" s="3" t="n">
        <v>4</v>
      </c>
      <c r="O26" s="3" t="n">
        <v>3</v>
      </c>
      <c r="P26" s="3" t="n">
        <v>2</v>
      </c>
      <c r="Q26" s="3" t="n">
        <v>1</v>
      </c>
      <c r="R26" s="3" t="inlineStr">
        <is>
          <t>ISO 9001; ISO 31000; ISO 37000; McKinsey 7S; OHI; Bain Elements of Value; Jobs-to-be-Done; Porter Five Forces; OKR</t>
        </is>
      </c>
      <c r="S26" s="3" t="inlineStr">
        <is>
          <t>Policy/SOP; owner/RACI; system report; dashboard; contracts; test records; incident history; interview evidence related to crisis-resilient strategy including adaptation, continuity, digital enablement and recovery options.</t>
        </is>
      </c>
      <c r="T26" s="3" t="inlineStr">
        <is>
          <t>Demand shock; Financial liquidity crisis; Reputation crisis</t>
        </is>
      </c>
      <c r="U26" s="3" t="inlineStr">
        <is>
          <t>CEO / CSO / CCO</t>
        </is>
      </c>
      <c r="V26" s="3" t="inlineStr">
        <is>
          <t>Strategy GTM!7</t>
        </is>
      </c>
    </row>
    <row r="27" ht="85.5" customHeight="1" s="209">
      <c r="A27" s="3" t="inlineStr">
        <is>
          <t>STRA-004</t>
        </is>
      </c>
      <c r="B27" s="3" t="inlineStr">
        <is>
          <t>Strategy GTM</t>
        </is>
      </c>
      <c r="C27" s="3" t="inlineStr">
        <is>
          <t>Corporate strategy</t>
        </is>
      </c>
      <c r="D27" s="3" t="inlineStr">
        <is>
          <t>How mature is the organization in managing strategic priorities ranked by business value, urgency, risk and resource constraints, including ownership, evidence, metrics, fallback procedures and crisis stress testing?</t>
        </is>
      </c>
      <c r="E27" s="3" t="inlineStr">
        <is>
          <t>Establish a basic owner and inventory for strategic priorities ranked by business value, urgency, risk and resource constraints. Define minimum policy, evidence location and immediate crisis relevance.</t>
        </is>
      </c>
      <c r="F27" s="3" t="inlineStr">
        <is>
          <t>Document strategic priorities ranked by business value, urgency, risk and resource constraints, assign RACI, define minimum controls/KPIs and collect evidence across the main business units or sites.</t>
        </is>
      </c>
      <c r="G27" s="3" t="inlineStr">
        <is>
          <t>Standardize strategic priorities ranked by business value, urgency, risk and resource constraints across the organization, close coverage gaps, link it to crisis scenarios and train accountable roles.</t>
        </is>
      </c>
      <c r="H27" s="3" t="inlineStr">
        <is>
          <t>Measure strategic priorities ranked by business value, urgency, risk and resource constraints, review it periodically, test it against disruption scenarios and integrate it with dependent processes or systems.</t>
        </is>
      </c>
      <c r="I27" s="3" t="inlineStr">
        <is>
          <t>Optimize and automate strategic priorities ranked by business value, urgency, risk and resource constraints where practical, use leading indicators, run periodic stress tests and update the crisis playbook.</t>
        </is>
      </c>
      <c r="J27" s="3" t="inlineStr">
        <is>
          <t>Maintain maturity for strategic priorities ranked by business value, urgency, risk and resource constraints. Monitor drift, keep evidence current, benchmark externally and refresh tests after major changes.</t>
        </is>
      </c>
      <c r="K27" s="3" t="inlineStr">
        <is>
          <t>Reduces exposure to Demand shock; Financial liquidity crisis; Reputation crisis; improves Corporate strategy maturity, continuity and management visibility.</t>
        </is>
      </c>
      <c r="L27" s="3" t="n">
        <v>5</v>
      </c>
      <c r="M27" s="3" t="n">
        <v>5</v>
      </c>
      <c r="N27" s="3" t="n">
        <v>4</v>
      </c>
      <c r="O27" s="3" t="n">
        <v>3</v>
      </c>
      <c r="P27" s="3" t="n">
        <v>2</v>
      </c>
      <c r="Q27" s="3" t="n">
        <v>1</v>
      </c>
      <c r="R27" s="3" t="inlineStr">
        <is>
          <t>ISO 9001; ISO 31000; ISO 37000; McKinsey 7S; OHI; Bain Elements of Value; Jobs-to-be-Done; Porter Five Forces; OKR</t>
        </is>
      </c>
      <c r="S27" s="3" t="inlineStr">
        <is>
          <t>Policy/SOP; owner/RACI; system report; dashboard; contracts; test records; incident history; interview evidence related to strategic priorities ranked by business value, urgency, risk and resource constraints.</t>
        </is>
      </c>
      <c r="T27" s="3" t="inlineStr">
        <is>
          <t>Demand shock; Financial liquidity crisis; Reputation crisis</t>
        </is>
      </c>
      <c r="U27" s="3" t="inlineStr">
        <is>
          <t>CEO / CSO / CCO</t>
        </is>
      </c>
      <c r="V27" s="3" t="inlineStr">
        <is>
          <t>Strategy GTM!8</t>
        </is>
      </c>
    </row>
    <row r="28" ht="85.5" customHeight="1" s="209">
      <c r="A28" s="3" t="inlineStr">
        <is>
          <t>STRA-005</t>
        </is>
      </c>
      <c r="B28" s="3" t="inlineStr">
        <is>
          <t>Strategy GTM</t>
        </is>
      </c>
      <c r="C28" s="3" t="inlineStr">
        <is>
          <t>Corporate strategy</t>
        </is>
      </c>
      <c r="D28" s="3" t="inlineStr">
        <is>
          <t>How mature is the organization in managing strategic options for pivoting under demand shock, war, regulation, supply or liquidity crisis, including ownership, evidence, metrics, fallback procedures and crisis stress testing?</t>
        </is>
      </c>
      <c r="E28" s="3" t="inlineStr">
        <is>
          <t>Establish a basic owner and inventory for strategic options for pivoting under demand shock, war, regulation, supply or liquidity crisis. Define minimum policy, evidence location and immediate crisis relevance.</t>
        </is>
      </c>
      <c r="F28" s="3" t="inlineStr">
        <is>
          <t>Document strategic options for pivoting under demand shock, war, regulation, supply or liquidity crisis, assign RACI, define minimum controls/KPIs and collect evidence across the main business units or sites.</t>
        </is>
      </c>
      <c r="G28" s="3" t="inlineStr">
        <is>
          <t>Standardize strategic options for pivoting under demand shock, war, regulation, supply or liquidity crisis across the organization, close coverage gaps, link it to crisis scenarios and train accountable roles.</t>
        </is>
      </c>
      <c r="H28" s="3" t="inlineStr">
        <is>
          <t>Measure strategic options for pivoting under demand shock, war, regulation, supply or liquidity crisis, review it periodically, test it against disruption scenarios and integrate it with dependent processes or systems.</t>
        </is>
      </c>
      <c r="I28" s="3" t="inlineStr">
        <is>
          <t>Optimize and automate strategic options for pivoting under demand shock, war, regulation, supply or liquidity crisis where practical, use leading indicators, run periodic stress tests and update the crisis playbook.</t>
        </is>
      </c>
      <c r="J28" s="3" t="inlineStr">
        <is>
          <t>Maintain maturity for strategic options for pivoting under demand shock, war, regulation, supply or liquidity crisis. Monitor drift, keep evidence current, benchmark externally and refresh tests after major changes.</t>
        </is>
      </c>
      <c r="K28" s="3" t="inlineStr">
        <is>
          <t>Reduces exposure to Demand shock; Financial liquidity crisis; Reputation crisis; improves Corporate strategy maturity, continuity and management visibility.</t>
        </is>
      </c>
      <c r="L28" s="3" t="n">
        <v>5</v>
      </c>
      <c r="M28" s="3" t="n">
        <v>5</v>
      </c>
      <c r="N28" s="3" t="n">
        <v>4</v>
      </c>
      <c r="O28" s="3" t="n">
        <v>3</v>
      </c>
      <c r="P28" s="3" t="n">
        <v>2</v>
      </c>
      <c r="Q28" s="3" t="n">
        <v>1</v>
      </c>
      <c r="R28" s="3" t="inlineStr">
        <is>
          <t>ISO 9001; ISO 31000; ISO 37000; McKinsey 7S; OHI; Bain Elements of Value; Jobs-to-be-Done; Porter Five Forces; OKR</t>
        </is>
      </c>
      <c r="S28" s="3" t="inlineStr">
        <is>
          <t>Policy/SOP; owner/RACI; system report; dashboard; contracts; test records; incident history; interview evidence related to strategic options for pivoting under demand shock, war, regulation, supply or liquidity crisis.</t>
        </is>
      </c>
      <c r="T28" s="3" t="inlineStr">
        <is>
          <t>Demand shock; Financial liquidity crisis; Reputation crisis</t>
        </is>
      </c>
      <c r="U28" s="3" t="inlineStr">
        <is>
          <t>CEO / CSO / CCO</t>
        </is>
      </c>
      <c r="V28" s="3" t="inlineStr">
        <is>
          <t>Strategy GTM!9</t>
        </is>
      </c>
    </row>
    <row r="29" ht="85.5" customHeight="1" s="209">
      <c r="A29" s="3" t="inlineStr">
        <is>
          <t>STRA-006</t>
        </is>
      </c>
      <c r="B29" s="3" t="inlineStr">
        <is>
          <t>Strategy GTM</t>
        </is>
      </c>
      <c r="C29" s="3" t="inlineStr">
        <is>
          <t>Corporate strategy</t>
        </is>
      </c>
      <c r="D29" s="3" t="inlineStr">
        <is>
          <t>How mature is the organization in managing alignment between strategy, structure, systems, skills, staff, leadership style and culture, including ownership, evidence, metrics, fallback procedures and crisis stress testing?</t>
        </is>
      </c>
      <c r="E29" s="3" t="inlineStr">
        <is>
          <t>Establish a basic owner and inventory for alignment between strategy, structure, systems, skills, staff, leadership style and culture. Define minimum policy, evidence location and immediate crisis relevance.</t>
        </is>
      </c>
      <c r="F29" s="3" t="inlineStr">
        <is>
          <t>Document alignment between strategy, structure, systems, skills, staff, leadership style and culture, assign RACI, define minimum controls/KPIs and collect evidence across the main business units or sites.</t>
        </is>
      </c>
      <c r="G29" s="3" t="inlineStr">
        <is>
          <t>Standardize alignment between strategy, structure, systems, skills, staff, leadership style and culture across the organization, close coverage gaps, link it to crisis scenarios and train accountable roles.</t>
        </is>
      </c>
      <c r="H29" s="3" t="inlineStr">
        <is>
          <t>Measure alignment between strategy, structure, systems, skills, staff, leadership style and culture, review it periodically, test it against disruption scenarios and integrate it with dependent processes or systems.</t>
        </is>
      </c>
      <c r="I29" s="3" t="inlineStr">
        <is>
          <t>Optimize and automate alignment between strategy, structure, systems, skills, staff, leadership style and culture where practical, use leading indicators, run periodic stress tests and update the crisis playbook.</t>
        </is>
      </c>
      <c r="J29" s="3" t="inlineStr">
        <is>
          <t>Maintain maturity for alignment between strategy, structure, systems, skills, staff, leadership style and culture. Monitor drift, keep evidence current, benchmark externally and refresh tests after major changes.</t>
        </is>
      </c>
      <c r="K29" s="3" t="inlineStr">
        <is>
          <t>Reduces exposure to Demand shock; Financial liquidity crisis; Reputation crisis; improves Corporate strategy maturity, continuity and management visibility.</t>
        </is>
      </c>
      <c r="L29" s="3" t="n">
        <v>5</v>
      </c>
      <c r="M29" s="3" t="n">
        <v>5</v>
      </c>
      <c r="N29" s="3" t="n">
        <v>4</v>
      </c>
      <c r="O29" s="3" t="n">
        <v>3</v>
      </c>
      <c r="P29" s="3" t="n">
        <v>2</v>
      </c>
      <c r="Q29" s="3" t="n">
        <v>1</v>
      </c>
      <c r="R29" s="3" t="inlineStr">
        <is>
          <t>ISO 9001; ISO 31000; ISO 37000; McKinsey 7S; OHI; Bain Elements of Value; Jobs-to-be-Done; Porter Five Forces; OKR</t>
        </is>
      </c>
      <c r="S29" s="3" t="inlineStr">
        <is>
          <t>Policy/SOP; owner/RACI; system report; dashboard; contracts; test records; incident history; interview evidence related to alignment between strategy, structure, systems, skills, staff, leadership style and culture.</t>
        </is>
      </c>
      <c r="T29" s="3" t="inlineStr">
        <is>
          <t>Demand shock; Financial liquidity crisis; Reputation crisis</t>
        </is>
      </c>
      <c r="U29" s="3" t="inlineStr">
        <is>
          <t>CEO / CSO / CCO</t>
        </is>
      </c>
      <c r="V29" s="3" t="inlineStr">
        <is>
          <t>Strategy GTM!10</t>
        </is>
      </c>
    </row>
    <row r="30" ht="85.5" customHeight="1" s="209">
      <c r="A30" s="3" t="inlineStr">
        <is>
          <t>STRA-007</t>
        </is>
      </c>
      <c r="B30" s="3" t="inlineStr">
        <is>
          <t>Strategy GTM</t>
        </is>
      </c>
      <c r="C30" s="3" t="inlineStr">
        <is>
          <t>Market and ICP</t>
        </is>
      </c>
      <c r="D30" s="3" t="inlineStr">
        <is>
          <t>How mature is the organization in managing ideal customer profile by segment, geography, industry, company size, pain, budget and buying trigger, including ownership, evidence, metrics, fallback procedures and crisis stress testing?</t>
        </is>
      </c>
      <c r="E30" s="3" t="inlineStr">
        <is>
          <t>Establish a basic owner and inventory for ideal customer profile by segment, geography, industry, company size, pain, budget and buying trigger. Define minimum policy, evidence location and immediate crisis relevance.</t>
        </is>
      </c>
      <c r="F30" s="3" t="inlineStr">
        <is>
          <t>Document ideal customer profile by segment, geography, industry, company size, pain, budget and buying trigger, assign RACI, define minimum controls/KPIs and collect evidence across the main business units or sites.</t>
        </is>
      </c>
      <c r="G30" s="3" t="inlineStr">
        <is>
          <t>Standardize ideal customer profile by segment, geography, industry, company size, pain, budget and buying trigger across the organization, close coverage gaps, link it to crisis scenarios and train accountable roles.</t>
        </is>
      </c>
      <c r="H30" s="3" t="inlineStr">
        <is>
          <t>Measure ideal customer profile by segment, geography, industry, company size, pain, budget and buying trigger, review it periodically, test it against disruption scenarios and integrate it with dependent processes or systems.</t>
        </is>
      </c>
      <c r="I30" s="3" t="inlineStr">
        <is>
          <t>Optimize and automate ideal customer profile by segment, geography, industry, company size, pain, budget and buying trigger where practical, use leading indicators, run periodic stress tests and update the crisis playbook.</t>
        </is>
      </c>
      <c r="J30" s="3" t="inlineStr">
        <is>
          <t>Maintain maturity for ideal customer profile by segment, geography, industry, company size, pain, budget and buying trigger. Monitor drift, keep evidence current, benchmark externally and refresh tests after major changes.</t>
        </is>
      </c>
      <c r="K30" s="3" t="inlineStr">
        <is>
          <t>Reduces exposure to Demand shock; Financial liquidity crisis; Reputation crisis; improves Market and ICP maturity, continuity and management visibility.</t>
        </is>
      </c>
      <c r="L30" s="3" t="n">
        <v>4</v>
      </c>
      <c r="M30" s="3" t="n">
        <v>4</v>
      </c>
      <c r="N30" s="3" t="n">
        <v>3</v>
      </c>
      <c r="O30" s="3" t="n">
        <v>2</v>
      </c>
      <c r="P30" s="3" t="n">
        <v>1</v>
      </c>
      <c r="Q30" s="3" t="n">
        <v>1</v>
      </c>
      <c r="R30" s="3" t="inlineStr">
        <is>
          <t>ISO 9001; ISO 31000; ISO 37000; McKinsey 7S; OHI; Bain Elements of Value; Jobs-to-be-Done; Porter Five Forces; OKR</t>
        </is>
      </c>
      <c r="S30" s="3" t="inlineStr">
        <is>
          <t>Policy/SOP; owner/RACI; system report; dashboard; contracts; test records; incident history; interview evidence related to ideal customer profile by segment, geography, industry, company size, pain, budget and buying trigger.</t>
        </is>
      </c>
      <c r="T30" s="3" t="inlineStr">
        <is>
          <t>Demand shock; Financial liquidity crisis; Reputation crisis</t>
        </is>
      </c>
      <c r="U30" s="3" t="inlineStr">
        <is>
          <t>CEO / CSO / CCO</t>
        </is>
      </c>
      <c r="V30" s="3" t="inlineStr">
        <is>
          <t>Strategy GTM!11</t>
        </is>
      </c>
    </row>
    <row r="31" ht="85.5" customHeight="1" s="209">
      <c r="A31" s="3" t="inlineStr">
        <is>
          <t>STRA-008</t>
        </is>
      </c>
      <c r="B31" s="3" t="inlineStr">
        <is>
          <t>Strategy GTM</t>
        </is>
      </c>
      <c r="C31" s="3" t="inlineStr">
        <is>
          <t>Market and ICP</t>
        </is>
      </c>
      <c r="D31" s="3" t="inlineStr">
        <is>
          <t>How mature is the organization in managing buyer personas covering economic buyer, technical buyer, user, influencer and blocker, including ownership, evidence, metrics, fallback procedures and crisis stress testing?</t>
        </is>
      </c>
      <c r="E31" s="3" t="inlineStr">
        <is>
          <t>Establish a basic owner and inventory for buyer personas covering economic buyer, technical buyer, user, influencer and blocker. Define minimum policy, evidence location and immediate crisis relevance.</t>
        </is>
      </c>
      <c r="F31" s="3" t="inlineStr">
        <is>
          <t>Document buyer personas covering economic buyer, technical buyer, user, influencer and blocker, assign RACI, define minimum controls/KPIs and collect evidence across the main business units or sites.</t>
        </is>
      </c>
      <c r="G31" s="3" t="inlineStr">
        <is>
          <t>Standardize buyer personas covering economic buyer, technical buyer, user, influencer and blocker across the organization, close coverage gaps, link it to crisis scenarios and train accountable roles.</t>
        </is>
      </c>
      <c r="H31" s="3" t="inlineStr">
        <is>
          <t>Measure buyer personas covering economic buyer, technical buyer, user, influencer and blocker, review it periodically, test it against disruption scenarios and integrate it with dependent processes or systems.</t>
        </is>
      </c>
      <c r="I31" s="3" t="inlineStr">
        <is>
          <t>Optimize and automate buyer personas covering economic buyer, technical buyer, user, influencer and blocker where practical, use leading indicators, run periodic stress tests and update the crisis playbook.</t>
        </is>
      </c>
      <c r="J31" s="3" t="inlineStr">
        <is>
          <t>Maintain maturity for buyer personas covering economic buyer, technical buyer, user, influencer and blocker. Monitor drift, keep evidence current, benchmark externally and refresh tests after major changes.</t>
        </is>
      </c>
      <c r="K31" s="3" t="inlineStr">
        <is>
          <t>Reduces exposure to Demand shock; Financial liquidity crisis; Reputation crisis; improves Market and ICP maturity, continuity and management visibility.</t>
        </is>
      </c>
      <c r="L31" s="3" t="n">
        <v>4</v>
      </c>
      <c r="M31" s="3" t="n">
        <v>4</v>
      </c>
      <c r="N31" s="3" t="n">
        <v>3</v>
      </c>
      <c r="O31" s="3" t="n">
        <v>2</v>
      </c>
      <c r="P31" s="3" t="n">
        <v>1</v>
      </c>
      <c r="Q31" s="3" t="n">
        <v>1</v>
      </c>
      <c r="R31" s="3" t="inlineStr">
        <is>
          <t>ISO 9001; ISO 31000; ISO 37000; McKinsey 7S; OHI; Bain Elements of Value; Jobs-to-be-Done; Porter Five Forces; OKR</t>
        </is>
      </c>
      <c r="S31" s="3" t="inlineStr">
        <is>
          <t>Policy/SOP; owner/RACI; system report; dashboard; contracts; test records; incident history; interview evidence related to buyer personas covering economic buyer, technical buyer, user, influencer and blocker.</t>
        </is>
      </c>
      <c r="T31" s="3" t="inlineStr">
        <is>
          <t>Demand shock; Financial liquidity crisis; Reputation crisis</t>
        </is>
      </c>
      <c r="U31" s="3" t="inlineStr">
        <is>
          <t>CEO / CSO / CCO</t>
        </is>
      </c>
      <c r="V31" s="3" t="inlineStr">
        <is>
          <t>Strategy GTM!12</t>
        </is>
      </c>
    </row>
    <row r="32" ht="85.5" customHeight="1" s="209">
      <c r="A32" s="3" t="inlineStr">
        <is>
          <t>STRA-009</t>
        </is>
      </c>
      <c r="B32" s="3" t="inlineStr">
        <is>
          <t>Strategy GTM</t>
        </is>
      </c>
      <c r="C32" s="3" t="inlineStr">
        <is>
          <t>Market and ICP</t>
        </is>
      </c>
      <c r="D32" s="3" t="inlineStr">
        <is>
          <t>How mature is the organization in managing validated customer problems, jobs-to-be-done, urgency triggers and willingness to pay, including ownership, evidence, metrics, fallback procedures and crisis stress testing?</t>
        </is>
      </c>
      <c r="E32" s="3" t="inlineStr">
        <is>
          <t>Establish a basic owner and inventory for validated customer problems, jobs-to-be-done, urgency triggers and willingness to pay. Define minimum policy, evidence location and immediate crisis relevance.</t>
        </is>
      </c>
      <c r="F32" s="3" t="inlineStr">
        <is>
          <t>Document validated customer problems, jobs-to-be-done, urgency triggers and willingness to pay, assign RACI, define minimum controls/KPIs and collect evidence across the main business units or sites.</t>
        </is>
      </c>
      <c r="G32" s="3" t="inlineStr">
        <is>
          <t>Standardize validated customer problems, jobs-to-be-done, urgency triggers and willingness to pay across the organization, close coverage gaps, link it to crisis scenarios and train accountable roles.</t>
        </is>
      </c>
      <c r="H32" s="3" t="inlineStr">
        <is>
          <t>Measure validated customer problems, jobs-to-be-done, urgency triggers and willingness to pay, review it periodically, test it against disruption scenarios and integrate it with dependent processes or systems.</t>
        </is>
      </c>
      <c r="I32" s="3" t="inlineStr">
        <is>
          <t>Optimize and automate validated customer problems, jobs-to-be-done, urgency triggers and willingness to pay where practical, use leading indicators, run periodic stress tests and update the crisis playbook.</t>
        </is>
      </c>
      <c r="J32" s="3" t="inlineStr">
        <is>
          <t>Maintain maturity for validated customer problems, jobs-to-be-done, urgency triggers and willingness to pay. Monitor drift, keep evidence current, benchmark externally and refresh tests after major changes.</t>
        </is>
      </c>
      <c r="K32" s="3" t="inlineStr">
        <is>
          <t>Reduces exposure to Demand shock; Financial liquidity crisis; Reputation crisis; improves Market and ICP maturity, continuity and management visibility.</t>
        </is>
      </c>
      <c r="L32" s="3" t="n">
        <v>4</v>
      </c>
      <c r="M32" s="3" t="n">
        <v>4</v>
      </c>
      <c r="N32" s="3" t="n">
        <v>3</v>
      </c>
      <c r="O32" s="3" t="n">
        <v>2</v>
      </c>
      <c r="P32" s="3" t="n">
        <v>1</v>
      </c>
      <c r="Q32" s="3" t="n">
        <v>1</v>
      </c>
      <c r="R32" s="3" t="inlineStr">
        <is>
          <t>ISO 9001; ISO 31000; ISO 37000; McKinsey 7S; OHI; Bain Elements of Value; Jobs-to-be-Done; Porter Five Forces; OKR</t>
        </is>
      </c>
      <c r="S32" s="3" t="inlineStr">
        <is>
          <t>Policy/SOP; owner/RACI; system report; dashboard; contracts; test records; incident history; interview evidence related to validated customer problems, jobs-to-be-done, urgency triggers and willingness to pay.</t>
        </is>
      </c>
      <c r="T32" s="3" t="inlineStr">
        <is>
          <t>Demand shock; Financial liquidity crisis; Reputation crisis</t>
        </is>
      </c>
      <c r="U32" s="3" t="inlineStr">
        <is>
          <t>CEO / CSO / CCO</t>
        </is>
      </c>
      <c r="V32" s="3" t="inlineStr">
        <is>
          <t>Strategy GTM!13</t>
        </is>
      </c>
    </row>
    <row r="33" ht="85.5" customHeight="1" s="209">
      <c r="A33" s="3" t="inlineStr">
        <is>
          <t>STRA-010</t>
        </is>
      </c>
      <c r="B33" s="3" t="inlineStr">
        <is>
          <t>Strategy GTM</t>
        </is>
      </c>
      <c r="C33" s="3" t="inlineStr">
        <is>
          <t>Market and ICP</t>
        </is>
      </c>
      <c r="D33" s="3" t="inlineStr">
        <is>
          <t>How mature is the organization in managing market segmentation by attractiveness, accessibility, profitability and crisis sensitivity, including ownership, evidence, metrics, fallback procedures and crisis stress testing?</t>
        </is>
      </c>
      <c r="E33" s="3" t="inlineStr">
        <is>
          <t>Establish a basic owner and inventory for market segmentation by attractiveness, accessibility, profitability and crisis sensitivity. Define minimum policy, evidence location and immediate crisis relevance.</t>
        </is>
      </c>
      <c r="F33" s="3" t="inlineStr">
        <is>
          <t>Document market segmentation by attractiveness, accessibility, profitability and crisis sensitivity, assign RACI, define minimum controls/KPIs and collect evidence across the main business units or sites.</t>
        </is>
      </c>
      <c r="G33" s="3" t="inlineStr">
        <is>
          <t>Standardize market segmentation by attractiveness, accessibility, profitability and crisis sensitivity across the organization, close coverage gaps, link it to crisis scenarios and train accountable roles.</t>
        </is>
      </c>
      <c r="H33" s="3" t="inlineStr">
        <is>
          <t>Measure market segmentation by attractiveness, accessibility, profitability and crisis sensitivity, review it periodically, test it against disruption scenarios and integrate it with dependent processes or systems.</t>
        </is>
      </c>
      <c r="I33" s="3" t="inlineStr">
        <is>
          <t>Optimize and automate market segmentation by attractiveness, accessibility, profitability and crisis sensitivity where practical, use leading indicators, run periodic stress tests and update the crisis playbook.</t>
        </is>
      </c>
      <c r="J33" s="3" t="inlineStr">
        <is>
          <t>Maintain maturity for market segmentation by attractiveness, accessibility, profitability and crisis sensitivity. Monitor drift, keep evidence current, benchmark externally and refresh tests after major changes.</t>
        </is>
      </c>
      <c r="K33" s="3" t="inlineStr">
        <is>
          <t>Reduces exposure to Demand shock; Financial liquidity crisis; Reputation crisis; improves Market and ICP maturity, continuity and management visibility.</t>
        </is>
      </c>
      <c r="L33" s="3" t="n">
        <v>5</v>
      </c>
      <c r="M33" s="3" t="n">
        <v>5</v>
      </c>
      <c r="N33" s="3" t="n">
        <v>4</v>
      </c>
      <c r="O33" s="3" t="n">
        <v>3</v>
      </c>
      <c r="P33" s="3" t="n">
        <v>2</v>
      </c>
      <c r="Q33" s="3" t="n">
        <v>1</v>
      </c>
      <c r="R33" s="3" t="inlineStr">
        <is>
          <t>ISO 9001; ISO 31000; ISO 37000; McKinsey 7S; OHI; Bain Elements of Value; Jobs-to-be-Done; Porter Five Forces; OKR</t>
        </is>
      </c>
      <c r="S33" s="3" t="inlineStr">
        <is>
          <t>Policy/SOP; owner/RACI; system report; dashboard; contracts; test records; incident history; interview evidence related to market segmentation by attractiveness, accessibility, profitability and crisis sensitivity.</t>
        </is>
      </c>
      <c r="T33" s="3" t="inlineStr">
        <is>
          <t>Demand shock; Financial liquidity crisis; Reputation crisis</t>
        </is>
      </c>
      <c r="U33" s="3" t="inlineStr">
        <is>
          <t>CEO / CSO / CCO</t>
        </is>
      </c>
      <c r="V33" s="3" t="inlineStr">
        <is>
          <t>Strategy GTM!14</t>
        </is>
      </c>
    </row>
    <row r="34" ht="85.5" customHeight="1" s="209">
      <c r="A34" s="3" t="inlineStr">
        <is>
          <t>STRA-011</t>
        </is>
      </c>
      <c r="B34" s="3" t="inlineStr">
        <is>
          <t>Strategy GTM</t>
        </is>
      </c>
      <c r="C34" s="3" t="inlineStr">
        <is>
          <t>Market and ICP</t>
        </is>
      </c>
      <c r="D34" s="3" t="inlineStr">
        <is>
          <t>How mature is the organization in managing market size and growth assumptions with explicit evidence and uncertainty level, including ownership, evidence, metrics, fallback procedures and crisis stress testing?</t>
        </is>
      </c>
      <c r="E34" s="3" t="inlineStr">
        <is>
          <t>Establish a basic owner and inventory for market size and growth assumptions with explicit evidence and uncertainty level. Define minimum policy, evidence location and immediate crisis relevance.</t>
        </is>
      </c>
      <c r="F34" s="3" t="inlineStr">
        <is>
          <t>Document market size and growth assumptions with explicit evidence and uncertainty level, assign RACI, define minimum controls/KPIs and collect evidence across the main business units or sites.</t>
        </is>
      </c>
      <c r="G34" s="3" t="inlineStr">
        <is>
          <t>Standardize market size and growth assumptions with explicit evidence and uncertainty level across the organization, close coverage gaps, link it to crisis scenarios and train accountable roles.</t>
        </is>
      </c>
      <c r="H34" s="3" t="inlineStr">
        <is>
          <t>Measure market size and growth assumptions with explicit evidence and uncertainty level, review it periodically, test it against disruption scenarios and integrate it with dependent processes or systems.</t>
        </is>
      </c>
      <c r="I34" s="3" t="inlineStr">
        <is>
          <t>Optimize and automate market size and growth assumptions with explicit evidence and uncertainty level where practical, use leading indicators, run periodic stress tests and update the crisis playbook.</t>
        </is>
      </c>
      <c r="J34" s="3" t="inlineStr">
        <is>
          <t>Maintain maturity for market size and growth assumptions with explicit evidence and uncertainty level. Monitor drift, keep evidence current, benchmark externally and refresh tests after major changes.</t>
        </is>
      </c>
      <c r="K34" s="3" t="inlineStr">
        <is>
          <t>Reduces exposure to Demand shock; Financial liquidity crisis; Reputation crisis; improves Market and ICP maturity, continuity and management visibility.</t>
        </is>
      </c>
      <c r="L34" s="3" t="n">
        <v>4</v>
      </c>
      <c r="M34" s="3" t="n">
        <v>4</v>
      </c>
      <c r="N34" s="3" t="n">
        <v>3</v>
      </c>
      <c r="O34" s="3" t="n">
        <v>2</v>
      </c>
      <c r="P34" s="3" t="n">
        <v>1</v>
      </c>
      <c r="Q34" s="3" t="n">
        <v>1</v>
      </c>
      <c r="R34" s="3" t="inlineStr">
        <is>
          <t>ISO 9001; ISO 31000; ISO 37000; McKinsey 7S; OHI; Bain Elements of Value; Jobs-to-be-Done; Porter Five Forces; OKR</t>
        </is>
      </c>
      <c r="S34" s="3" t="inlineStr">
        <is>
          <t>Policy/SOP; owner/RACI; system report; dashboard; contracts; test records; incident history; interview evidence related to market size and growth assumptions with explicit evidence and uncertainty level.</t>
        </is>
      </c>
      <c r="T34" s="3" t="inlineStr">
        <is>
          <t>Demand shock; Financial liquidity crisis; Reputation crisis</t>
        </is>
      </c>
      <c r="U34" s="3" t="inlineStr">
        <is>
          <t>CEO / CSO / CCO</t>
        </is>
      </c>
      <c r="V34" s="3" t="inlineStr">
        <is>
          <t>Strategy GTM!15</t>
        </is>
      </c>
    </row>
    <row r="35" ht="85.5" customHeight="1" s="209">
      <c r="A35" s="3" t="inlineStr">
        <is>
          <t>STRA-012</t>
        </is>
      </c>
      <c r="B35" s="3" t="inlineStr">
        <is>
          <t>Strategy GTM</t>
        </is>
      </c>
      <c r="C35" s="3" t="inlineStr">
        <is>
          <t>Market and ICP</t>
        </is>
      </c>
      <c r="D35" s="3" t="inlineStr">
        <is>
          <t>How mature is the organization in managing customer concentration and exposure to specific industries, geographies or budget cycles, including ownership, evidence, metrics, fallback procedures and crisis stress testing?</t>
        </is>
      </c>
      <c r="E35" s="3" t="inlineStr">
        <is>
          <t>Establish a basic owner and inventory for customer concentration and exposure to specific industries, geographies or budget cycles. Define minimum policy, evidence location and immediate crisis relevance.</t>
        </is>
      </c>
      <c r="F35" s="3" t="inlineStr">
        <is>
          <t>Document customer concentration and exposure to specific industries, geographies or budget cycles, assign RACI, define minimum controls/KPIs and collect evidence across the main business units or sites.</t>
        </is>
      </c>
      <c r="G35" s="3" t="inlineStr">
        <is>
          <t>Standardize customer concentration and exposure to specific industries, geographies or budget cycles across the organization, close coverage gaps, link it to crisis scenarios and train accountable roles.</t>
        </is>
      </c>
      <c r="H35" s="3" t="inlineStr">
        <is>
          <t>Measure customer concentration and exposure to specific industries, geographies or budget cycles, review it periodically, test it against disruption scenarios and integrate it with dependent processes or systems.</t>
        </is>
      </c>
      <c r="I35" s="3" t="inlineStr">
        <is>
          <t>Optimize and automate customer concentration and exposure to specific industries, geographies or budget cycles where practical, use leading indicators, run periodic stress tests and update the crisis playbook.</t>
        </is>
      </c>
      <c r="J35" s="3" t="inlineStr">
        <is>
          <t>Maintain maturity for customer concentration and exposure to specific industries, geographies or budget cycles. Monitor drift, keep evidence current, benchmark externally and refresh tests after major changes.</t>
        </is>
      </c>
      <c r="K35" s="3" t="inlineStr">
        <is>
          <t>Reduces exposure to Demand shock; Financial liquidity crisis; Reputation crisis; improves Market and ICP maturity, continuity and management visibility.</t>
        </is>
      </c>
      <c r="L35" s="3" t="n">
        <v>4</v>
      </c>
      <c r="M35" s="3" t="n">
        <v>4</v>
      </c>
      <c r="N35" s="3" t="n">
        <v>3</v>
      </c>
      <c r="O35" s="3" t="n">
        <v>2</v>
      </c>
      <c r="P35" s="3" t="n">
        <v>1</v>
      </c>
      <c r="Q35" s="3" t="n">
        <v>1</v>
      </c>
      <c r="R35" s="3" t="inlineStr">
        <is>
          <t>ISO 9001; ISO 31000; ISO 37000; McKinsey 7S; OHI; Bain Elements of Value; Jobs-to-be-Done; Porter Five Forces; OKR</t>
        </is>
      </c>
      <c r="S35" s="3" t="inlineStr">
        <is>
          <t>Policy/SOP; owner/RACI; system report; dashboard; contracts; test records; incident history; interview evidence related to customer concentration and exposure to specific industries, geographies or budget cycles.</t>
        </is>
      </c>
      <c r="T35" s="3" t="inlineStr">
        <is>
          <t>Demand shock; Financial liquidity crisis; Reputation crisis</t>
        </is>
      </c>
      <c r="U35" s="3" t="inlineStr">
        <is>
          <t>CEO / CSO / CCO</t>
        </is>
      </c>
      <c r="V35" s="3" t="inlineStr">
        <is>
          <t>Strategy GTM!16</t>
        </is>
      </c>
    </row>
    <row r="36" ht="85.5" customHeight="1" s="209">
      <c r="A36" s="3" t="inlineStr">
        <is>
          <t>STRA-013</t>
        </is>
      </c>
      <c r="B36" s="3" t="inlineStr">
        <is>
          <t>Strategy GTM</t>
        </is>
      </c>
      <c r="C36" s="3" t="inlineStr">
        <is>
          <t>Offering and positioning</t>
        </is>
      </c>
      <c r="D36" s="3" t="inlineStr">
        <is>
          <t>How mature is the organization in managing structured offering catalog with packages, scope, outcomes, assumptions and delivery requirements, including ownership, evidence, metrics, fallback procedures and crisis stress testing?</t>
        </is>
      </c>
      <c r="E36" s="3" t="inlineStr">
        <is>
          <t>Establish a basic owner and inventory for structured offering catalog with packages, scope, outcomes, assumptions and delivery requirements. Define minimum policy, evidence location and immediate crisis relevance.</t>
        </is>
      </c>
      <c r="F36" s="3" t="inlineStr">
        <is>
          <t>Document structured offering catalog with packages, scope, outcomes, assumptions and delivery requirements, assign RACI, define minimum controls/KPIs and collect evidence across the main business units or sites.</t>
        </is>
      </c>
      <c r="G36" s="3" t="inlineStr">
        <is>
          <t>Standardize structured offering catalog with packages, scope, outcomes, assumptions and delivery requirements across the organization, close coverage gaps, link it to crisis scenarios and train accountable roles.</t>
        </is>
      </c>
      <c r="H36" s="3" t="inlineStr">
        <is>
          <t>Measure structured offering catalog with packages, scope, outcomes, assumptions and delivery requirements, review it periodically, test it against disruption scenarios and integrate it with dependent processes or systems.</t>
        </is>
      </c>
      <c r="I36" s="3" t="inlineStr">
        <is>
          <t>Optimize and automate structured offering catalog with packages, scope, outcomes, assumptions and delivery requirements where practical, use leading indicators, run periodic stress tests and update the crisis playbook.</t>
        </is>
      </c>
      <c r="J36" s="3" t="inlineStr">
        <is>
          <t>Maintain maturity for structured offering catalog with packages, scope, outcomes, assumptions and delivery requirements. Monitor drift, keep evidence current, benchmark externally and refresh tests after major changes.</t>
        </is>
      </c>
      <c r="K36" s="3" t="inlineStr">
        <is>
          <t>Reduces exposure to Demand shock; Financial liquidity crisis; Reputation crisis; improves Offering and positioning maturity, continuity and management visibility.</t>
        </is>
      </c>
      <c r="L36" s="3" t="n">
        <v>5</v>
      </c>
      <c r="M36" s="3" t="n">
        <v>5</v>
      </c>
      <c r="N36" s="3" t="n">
        <v>4</v>
      </c>
      <c r="O36" s="3" t="n">
        <v>3</v>
      </c>
      <c r="P36" s="3" t="n">
        <v>2</v>
      </c>
      <c r="Q36" s="3" t="n">
        <v>1</v>
      </c>
      <c r="R36" s="3" t="inlineStr">
        <is>
          <t>ISO 9001; ISO 31000; ISO 37000; McKinsey 7S; OHI; Bain Elements of Value; Jobs-to-be-Done; Porter Five Forces; OKR</t>
        </is>
      </c>
      <c r="S36" s="3" t="inlineStr">
        <is>
          <t>Policy/SOP; owner/RACI; system report; dashboard; contracts; test records; incident history; interview evidence related to structured offering catalog with packages, scope, outcomes, assumptions and delivery requirements.</t>
        </is>
      </c>
      <c r="T36" s="3" t="inlineStr">
        <is>
          <t>Demand shock; Financial liquidity crisis; Reputation crisis</t>
        </is>
      </c>
      <c r="U36" s="3" t="inlineStr">
        <is>
          <t>CEO / CSO / CCO</t>
        </is>
      </c>
      <c r="V36" s="3" t="inlineStr">
        <is>
          <t>Strategy GTM!17</t>
        </is>
      </c>
    </row>
    <row r="37" ht="85.5" customHeight="1" s="209">
      <c r="A37" s="3" t="inlineStr">
        <is>
          <t>STRA-014</t>
        </is>
      </c>
      <c r="B37" s="3" t="inlineStr">
        <is>
          <t>Strategy GTM</t>
        </is>
      </c>
      <c r="C37" s="3" t="inlineStr">
        <is>
          <t>Offering and positioning</t>
        </is>
      </c>
      <c r="D37" s="3" t="inlineStr">
        <is>
          <t>How mature is the organization in managing clear differentiation against direct competitors, substitutes and in-house alternatives, including ownership, evidence, metrics, fallback procedures and crisis stress testing?</t>
        </is>
      </c>
      <c r="E37" s="3" t="inlineStr">
        <is>
          <t>Establish a basic owner and inventory for clear differentiation against direct competitors, substitutes and in-house alternatives. Define minimum policy, evidence location and immediate crisis relevance.</t>
        </is>
      </c>
      <c r="F37" s="3" t="inlineStr">
        <is>
          <t>Document clear differentiation against direct competitors, substitutes and in-house alternatives, assign RACI, define minimum controls/KPIs and collect evidence across the main business units or sites.</t>
        </is>
      </c>
      <c r="G37" s="3" t="inlineStr">
        <is>
          <t>Standardize clear differentiation against direct competitors, substitutes and in-house alternatives across the organization, close coverage gaps, link it to crisis scenarios and train accountable roles.</t>
        </is>
      </c>
      <c r="H37" s="3" t="inlineStr">
        <is>
          <t>Measure clear differentiation against direct competitors, substitutes and in-house alternatives, review it periodically, test it against disruption scenarios and integrate it with dependent processes or systems.</t>
        </is>
      </c>
      <c r="I37" s="3" t="inlineStr">
        <is>
          <t>Optimize and automate clear differentiation against direct competitors, substitutes and in-house alternatives where practical, use leading indicators, run periodic stress tests and update the crisis playbook.</t>
        </is>
      </c>
      <c r="J37" s="3" t="inlineStr">
        <is>
          <t>Maintain maturity for clear differentiation against direct competitors, substitutes and in-house alternatives. Monitor drift, keep evidence current, benchmark externally and refresh tests after major changes.</t>
        </is>
      </c>
      <c r="K37" s="3" t="inlineStr">
        <is>
          <t>Reduces exposure to Demand shock; Financial liquidity crisis; Reputation crisis; improves Offering and positioning maturity, continuity and management visibility.</t>
        </is>
      </c>
      <c r="L37" s="3" t="n">
        <v>4</v>
      </c>
      <c r="M37" s="3" t="n">
        <v>4</v>
      </c>
      <c r="N37" s="3" t="n">
        <v>3</v>
      </c>
      <c r="O37" s="3" t="n">
        <v>2</v>
      </c>
      <c r="P37" s="3" t="n">
        <v>1</v>
      </c>
      <c r="Q37" s="3" t="n">
        <v>1</v>
      </c>
      <c r="R37" s="3" t="inlineStr">
        <is>
          <t>ISO 9001; ISO 31000; ISO 37000; McKinsey 7S; OHI; Bain Elements of Value; Jobs-to-be-Done; Porter Five Forces; OKR</t>
        </is>
      </c>
      <c r="S37" s="3" t="inlineStr">
        <is>
          <t>Policy/SOP; owner/RACI; system report; dashboard; contracts; test records; incident history; interview evidence related to clear differentiation against direct competitors, substitutes and in-house alternatives.</t>
        </is>
      </c>
      <c r="T37" s="3" t="inlineStr">
        <is>
          <t>Demand shock; Financial liquidity crisis; Reputation crisis</t>
        </is>
      </c>
      <c r="U37" s="3" t="inlineStr">
        <is>
          <t>CEO / CSO / CCO</t>
        </is>
      </c>
      <c r="V37" s="3" t="inlineStr">
        <is>
          <t>Strategy GTM!18</t>
        </is>
      </c>
    </row>
    <row r="38" ht="85.5" customHeight="1" s="209">
      <c r="A38" s="3" t="inlineStr">
        <is>
          <t>STRA-015</t>
        </is>
      </c>
      <c r="B38" s="3" t="inlineStr">
        <is>
          <t>Strategy GTM</t>
        </is>
      </c>
      <c r="C38" s="3" t="inlineStr">
        <is>
          <t>Offering and positioning</t>
        </is>
      </c>
      <c r="D38" s="3" t="inlineStr">
        <is>
          <t>How mature is the organization in managing value proposition linked to measurable customer economic value, risk reduction or continuity impact, including ownership, evidence, metrics, fallback procedures and crisis stress testing?</t>
        </is>
      </c>
      <c r="E38" s="3" t="inlineStr">
        <is>
          <t>Establish a basic owner and inventory for value proposition linked to measurable customer economic value, risk reduction or continuity impact. Define minimum policy, evidence location and immediate crisis relevance.</t>
        </is>
      </c>
      <c r="F38" s="3" t="inlineStr">
        <is>
          <t>Document value proposition linked to measurable customer economic value, risk reduction or continuity impact, assign RACI, define minimum controls/KPIs and collect evidence across the main business units or sites.</t>
        </is>
      </c>
      <c r="G38" s="3" t="inlineStr">
        <is>
          <t>Standardize value proposition linked to measurable customer economic value, risk reduction or continuity impact across the organization, close coverage gaps, link it to crisis scenarios and train accountable roles.</t>
        </is>
      </c>
      <c r="H38" s="3" t="inlineStr">
        <is>
          <t>Measure value proposition linked to measurable customer economic value, risk reduction or continuity impact, review it periodically, test it against disruption scenarios and integrate it with dependent processes or systems.</t>
        </is>
      </c>
      <c r="I38" s="3" t="inlineStr">
        <is>
          <t>Optimize and automate value proposition linked to measurable customer economic value, risk reduction or continuity impact where practical, use leading indicators, run periodic stress tests and update the crisis playbook.</t>
        </is>
      </c>
      <c r="J38" s="3" t="inlineStr">
        <is>
          <t>Maintain maturity for value proposition linked to measurable customer economic value, risk reduction or continuity impact. Monitor drift, keep evidence current, benchmark externally and refresh tests after major changes.</t>
        </is>
      </c>
      <c r="K38" s="3" t="inlineStr">
        <is>
          <t>Reduces exposure to Demand shock; Financial liquidity crisis; Reputation crisis; improves Offering and positioning maturity, continuity and management visibility.</t>
        </is>
      </c>
      <c r="L38" s="3" t="n">
        <v>4</v>
      </c>
      <c r="M38" s="3" t="n">
        <v>4</v>
      </c>
      <c r="N38" s="3" t="n">
        <v>3</v>
      </c>
      <c r="O38" s="3" t="n">
        <v>2</v>
      </c>
      <c r="P38" s="3" t="n">
        <v>1</v>
      </c>
      <c r="Q38" s="3" t="n">
        <v>1</v>
      </c>
      <c r="R38" s="3" t="inlineStr">
        <is>
          <t>ISO 9001; ISO 31000; ISO 37000; McKinsey 7S; OHI; Bain Elements of Value; Jobs-to-be-Done; Porter Five Forces; OKR</t>
        </is>
      </c>
      <c r="S38" s="3" t="inlineStr">
        <is>
          <t>Policy/SOP; owner/RACI; system report; dashboard; contracts; test records; incident history; interview evidence related to value proposition linked to measurable customer economic value, risk reduction or continuity impact.</t>
        </is>
      </c>
      <c r="T38" s="3" t="inlineStr">
        <is>
          <t>Demand shock; Financial liquidity crisis; Reputation crisis</t>
        </is>
      </c>
      <c r="U38" s="3" t="inlineStr">
        <is>
          <t>CEO / CSO / CCO</t>
        </is>
      </c>
      <c r="V38" s="3" t="inlineStr">
        <is>
          <t>Strategy GTM!19</t>
        </is>
      </c>
    </row>
    <row r="39" ht="85.5" customHeight="1" s="209">
      <c r="A39" s="3" t="inlineStr">
        <is>
          <t>STRA-016</t>
        </is>
      </c>
      <c r="B39" s="3" t="inlineStr">
        <is>
          <t>Strategy GTM</t>
        </is>
      </c>
      <c r="C39" s="3" t="inlineStr">
        <is>
          <t>Offering and positioning</t>
        </is>
      </c>
      <c r="D39" s="3" t="inlineStr">
        <is>
          <t>How mature is the organization in managing pricing strategy with margin thresholds, discount governance and crisis boundaries, including ownership, evidence, metrics, fallback procedures and crisis stress testing?</t>
        </is>
      </c>
      <c r="E39" s="3" t="inlineStr">
        <is>
          <t>Establish a basic owner and inventory for pricing strategy with margin thresholds, discount governance and crisis boundaries. Define minimum policy, evidence location and immediate crisis relevance.</t>
        </is>
      </c>
      <c r="F39" s="3" t="inlineStr">
        <is>
          <t>Document pricing strategy with margin thresholds, discount governance and crisis boundaries, assign RACI, define minimum controls/KPIs and collect evidence across the main business units or sites.</t>
        </is>
      </c>
      <c r="G39" s="3" t="inlineStr">
        <is>
          <t>Standardize pricing strategy with margin thresholds, discount governance and crisis boundaries across the organization, close coverage gaps, link it to crisis scenarios and train accountable roles.</t>
        </is>
      </c>
      <c r="H39" s="3" t="inlineStr">
        <is>
          <t>Measure pricing strategy with margin thresholds, discount governance and crisis boundaries, review it periodically, test it against disruption scenarios and integrate it with dependent processes or systems.</t>
        </is>
      </c>
      <c r="I39" s="3" t="inlineStr">
        <is>
          <t>Optimize and automate pricing strategy with margin thresholds, discount governance and crisis boundaries where practical, use leading indicators, run periodic stress tests and update the crisis playbook.</t>
        </is>
      </c>
      <c r="J39" s="3" t="inlineStr">
        <is>
          <t>Maintain maturity for pricing strategy with margin thresholds, discount governance and crisis boundaries. Monitor drift, keep evidence current, benchmark externally and refresh tests after major changes.</t>
        </is>
      </c>
      <c r="K39" s="3" t="inlineStr">
        <is>
          <t>Reduces exposure to Demand shock; Financial liquidity crisis; Reputation crisis; improves Offering and positioning maturity, continuity and management visibility.</t>
        </is>
      </c>
      <c r="L39" s="3" t="n">
        <v>4</v>
      </c>
      <c r="M39" s="3" t="n">
        <v>4</v>
      </c>
      <c r="N39" s="3" t="n">
        <v>3</v>
      </c>
      <c r="O39" s="3" t="n">
        <v>2</v>
      </c>
      <c r="P39" s="3" t="n">
        <v>1</v>
      </c>
      <c r="Q39" s="3" t="n">
        <v>1</v>
      </c>
      <c r="R39" s="3" t="inlineStr">
        <is>
          <t>ISO 9001; ISO 31000; ISO 37000; McKinsey 7S; OHI; Bain Elements of Value; Jobs-to-be-Done; Porter Five Forces; OKR</t>
        </is>
      </c>
      <c r="S39" s="3" t="inlineStr">
        <is>
          <t>Policy/SOP; owner/RACI; system report; dashboard; contracts; test records; incident history; interview evidence related to pricing strategy with margin thresholds, discount governance and crisis boundaries.</t>
        </is>
      </c>
      <c r="T39" s="3" t="inlineStr">
        <is>
          <t>Demand shock; Financial liquidity crisis; Reputation crisis</t>
        </is>
      </c>
      <c r="U39" s="3" t="inlineStr">
        <is>
          <t>CEO / CSO / CCO</t>
        </is>
      </c>
      <c r="V39" s="3" t="inlineStr">
        <is>
          <t>Strategy GTM!20</t>
        </is>
      </c>
    </row>
    <row r="40" ht="85.5" customHeight="1" s="209">
      <c r="A40" s="3" t="inlineStr">
        <is>
          <t>STRA-017</t>
        </is>
      </c>
      <c r="B40" s="3" t="inlineStr">
        <is>
          <t>Strategy GTM</t>
        </is>
      </c>
      <c r="C40" s="3" t="inlineStr">
        <is>
          <t>Offering and positioning</t>
        </is>
      </c>
      <c r="D40" s="3" t="inlineStr">
        <is>
          <t>How mature is the organization in managing proof assets such as case studies, references, certifications, security evidence and continuity commitments, including ownership, evidence, metrics, fallback procedures and crisis stress testing?</t>
        </is>
      </c>
      <c r="E40" s="3" t="inlineStr">
        <is>
          <t>Establish a basic owner and inventory for proof assets such as case studies, references, certifications, security evidence and continuity commitments. Define minimum policy, evidence location and immediate crisis relevance.</t>
        </is>
      </c>
      <c r="F40" s="3" t="inlineStr">
        <is>
          <t>Document proof assets such as case studies, references, certifications, security evidence and continuity commitments, assign RACI, define minimum controls/KPIs and collect evidence across the main business units or sites.</t>
        </is>
      </c>
      <c r="G40" s="3" t="inlineStr">
        <is>
          <t>Standardize proof assets such as case studies, references, certifications, security evidence and continuity commitments across the organization, close coverage gaps, link it to crisis scenarios and train accountable roles.</t>
        </is>
      </c>
      <c r="H40" s="3" t="inlineStr">
        <is>
          <t>Measure proof assets such as case studies, references, certifications, security evidence and continuity commitments, review it periodically, test it against disruption scenarios and integrate it with dependent processes or systems.</t>
        </is>
      </c>
      <c r="I40" s="3" t="inlineStr">
        <is>
          <t>Optimize and automate proof assets such as case studies, references, certifications, security evidence and continuity commitments where practical, use leading indicators, run periodic stress tests and update the crisis playbook.</t>
        </is>
      </c>
      <c r="J40" s="3" t="inlineStr">
        <is>
          <t>Maintain maturity for proof assets such as case studies, references, certifications, security evidence and continuity commitments. Monitor drift, keep evidence current, benchmark externally and refresh tests after major changes.</t>
        </is>
      </c>
      <c r="K40" s="3" t="inlineStr">
        <is>
          <t>Reduces exposure to Demand shock; Financial liquidity crisis; Reputation crisis; improves Offering and positioning maturity, continuity and management visibility.</t>
        </is>
      </c>
      <c r="L40" s="3" t="n">
        <v>4</v>
      </c>
      <c r="M40" s="3" t="n">
        <v>4</v>
      </c>
      <c r="N40" s="3" t="n">
        <v>3</v>
      </c>
      <c r="O40" s="3" t="n">
        <v>2</v>
      </c>
      <c r="P40" s="3" t="n">
        <v>1</v>
      </c>
      <c r="Q40" s="3" t="n">
        <v>1</v>
      </c>
      <c r="R40" s="3" t="inlineStr">
        <is>
          <t>ISO 9001; ISO 31000; ISO 37000; McKinsey 7S; OHI; Bain Elements of Value; Jobs-to-be-Done; Porter Five Forces; OKR</t>
        </is>
      </c>
      <c r="S40" s="3" t="inlineStr">
        <is>
          <t>Policy/SOP; owner/RACI; system report; dashboard; contracts; test records; incident history; interview evidence related to proof assets such as case studies, references, certifications, security evidence and continuity commitments.</t>
        </is>
      </c>
      <c r="T40" s="3" t="inlineStr">
        <is>
          <t>Demand shock; Financial liquidity crisis; Reputation crisis</t>
        </is>
      </c>
      <c r="U40" s="3" t="inlineStr">
        <is>
          <t>CEO / CSO / CCO</t>
        </is>
      </c>
      <c r="V40" s="3" t="inlineStr">
        <is>
          <t>Strategy GTM!21</t>
        </is>
      </c>
    </row>
    <row r="41" ht="85.5" customHeight="1" s="209">
      <c r="A41" s="3" t="inlineStr">
        <is>
          <t>STRA-018</t>
        </is>
      </c>
      <c r="B41" s="3" t="inlineStr">
        <is>
          <t>Strategy GTM</t>
        </is>
      </c>
      <c r="C41" s="3" t="inlineStr">
        <is>
          <t>Offering and positioning</t>
        </is>
      </c>
      <c r="D41" s="3" t="inlineStr">
        <is>
          <t>How mature is the organization in managing product or service modularity that allows budget-sensitive or crisis-driven adaptation, including ownership, evidence, metrics, fallback procedures and crisis stress testing?</t>
        </is>
      </c>
      <c r="E41" s="3" t="inlineStr">
        <is>
          <t>Establish a basic owner and inventory for product or service modularity that allows budget-sensitive or crisis-driven adaptation. Define minimum policy, evidence location and immediate crisis relevance.</t>
        </is>
      </c>
      <c r="F41" s="3" t="inlineStr">
        <is>
          <t>Document product or service modularity that allows budget-sensitive or crisis-driven adaptation, assign RACI, define minimum controls/KPIs and collect evidence across the main business units or sites.</t>
        </is>
      </c>
      <c r="G41" s="3" t="inlineStr">
        <is>
          <t>Standardize product or service modularity that allows budget-sensitive or crisis-driven adaptation across the organization, close coverage gaps, link it to crisis scenarios and train accountable roles.</t>
        </is>
      </c>
      <c r="H41" s="3" t="inlineStr">
        <is>
          <t>Measure product or service modularity that allows budget-sensitive or crisis-driven adaptation, review it periodically, test it against disruption scenarios and integrate it with dependent processes or systems.</t>
        </is>
      </c>
      <c r="I41" s="3" t="inlineStr">
        <is>
          <t>Optimize and automate product or service modularity that allows budget-sensitive or crisis-driven adaptation where practical, use leading indicators, run periodic stress tests and update the crisis playbook.</t>
        </is>
      </c>
      <c r="J41" s="3" t="inlineStr">
        <is>
          <t>Maintain maturity for product or service modularity that allows budget-sensitive or crisis-driven adaptation. Monitor drift, keep evidence current, benchmark externally and refresh tests after major changes.</t>
        </is>
      </c>
      <c r="K41" s="3" t="inlineStr">
        <is>
          <t>Reduces exposure to Demand shock; Financial liquidity crisis; Reputation crisis; improves Offering and positioning maturity, continuity and management visibility.</t>
        </is>
      </c>
      <c r="L41" s="3" t="n">
        <v>4</v>
      </c>
      <c r="M41" s="3" t="n">
        <v>4</v>
      </c>
      <c r="N41" s="3" t="n">
        <v>3</v>
      </c>
      <c r="O41" s="3" t="n">
        <v>2</v>
      </c>
      <c r="P41" s="3" t="n">
        <v>1</v>
      </c>
      <c r="Q41" s="3" t="n">
        <v>1</v>
      </c>
      <c r="R41" s="3" t="inlineStr">
        <is>
          <t>ISO 9001; ISO 31000; ISO 37000; McKinsey 7S; OHI; Bain Elements of Value; Jobs-to-be-Done; Porter Five Forces; OKR</t>
        </is>
      </c>
      <c r="S41" s="3" t="inlineStr">
        <is>
          <t>Policy/SOP; owner/RACI; system report; dashboard; contracts; test records; incident history; interview evidence related to product or service modularity that allows budget-sensitive or crisis-driven adaptation.</t>
        </is>
      </c>
      <c r="T41" s="3" t="inlineStr">
        <is>
          <t>Demand shock; Financial liquidity crisis; Reputation crisis</t>
        </is>
      </c>
      <c r="U41" s="3" t="inlineStr">
        <is>
          <t>CEO / CSO / CCO</t>
        </is>
      </c>
      <c r="V41" s="3" t="inlineStr">
        <is>
          <t>Strategy GTM!22</t>
        </is>
      </c>
    </row>
    <row r="42" ht="85.5" customHeight="1" s="209">
      <c r="A42" s="3" t="inlineStr">
        <is>
          <t>STRA-019</t>
        </is>
      </c>
      <c r="B42" s="3" t="inlineStr">
        <is>
          <t>Strategy GTM</t>
        </is>
      </c>
      <c r="C42" s="3" t="inlineStr">
        <is>
          <t>GTM execution</t>
        </is>
      </c>
      <c r="D42" s="3" t="inlineStr">
        <is>
          <t>How mature is the organization in managing sales playbooks for ICPs, offerings, objections, competitors and crisis-specific customer concerns, including ownership, evidence, metrics, fallback procedures and crisis stress testing?</t>
        </is>
      </c>
      <c r="E42" s="3" t="inlineStr">
        <is>
          <t>Establish a basic owner and inventory for sales playbooks for ICPs, offerings, objections, competitors and crisis-specific customer concerns. Define minimum policy, evidence location and immediate crisis relevance.</t>
        </is>
      </c>
      <c r="F42" s="3" t="inlineStr">
        <is>
          <t>Document sales playbooks for ICPs, offerings, objections, competitors and crisis-specific customer concerns, assign RACI, define minimum controls/KPIs and collect evidence across the main business units or sites.</t>
        </is>
      </c>
      <c r="G42" s="3" t="inlineStr">
        <is>
          <t>Standardize sales playbooks for ICPs, offerings, objections, competitors and crisis-specific customer concerns across the organization, close coverage gaps, link it to crisis scenarios and train accountable roles.</t>
        </is>
      </c>
      <c r="H42" s="3" t="inlineStr">
        <is>
          <t>Measure sales playbooks for ICPs, offerings, objections, competitors and crisis-specific customer concerns, review it periodically, test it against disruption scenarios and integrate it with dependent processes or systems.</t>
        </is>
      </c>
      <c r="I42" s="3" t="inlineStr">
        <is>
          <t>Optimize and automate sales playbooks for ICPs, offerings, objections, competitors and crisis-specific customer concerns where practical, use leading indicators, run periodic stress tests and update the crisis playbook.</t>
        </is>
      </c>
      <c r="J42" s="3" t="inlineStr">
        <is>
          <t>Maintain maturity for sales playbooks for ICPs, offerings, objections, competitors and crisis-specific customer concerns. Monitor drift, keep evidence current, benchmark externally and refresh tests after major changes.</t>
        </is>
      </c>
      <c r="K42" s="3" t="inlineStr">
        <is>
          <t>Reduces exposure to Demand shock; Financial liquidity crisis; Reputation crisis; improves GTM execution maturity, continuity and management visibility.</t>
        </is>
      </c>
      <c r="L42" s="3" t="n">
        <v>4</v>
      </c>
      <c r="M42" s="3" t="n">
        <v>4</v>
      </c>
      <c r="N42" s="3" t="n">
        <v>3</v>
      </c>
      <c r="O42" s="3" t="n">
        <v>2</v>
      </c>
      <c r="P42" s="3" t="n">
        <v>1</v>
      </c>
      <c r="Q42" s="3" t="n">
        <v>1</v>
      </c>
      <c r="R42" s="3" t="inlineStr">
        <is>
          <t>ISO 9001; ISO 31000; ISO 37000; McKinsey 7S; OHI; Bain Elements of Value; Jobs-to-be-Done; Porter Five Forces; OKR</t>
        </is>
      </c>
      <c r="S42" s="3" t="inlineStr">
        <is>
          <t>Policy/SOP; owner/RACI; system report; dashboard; contracts; test records; incident history; interview evidence related to sales playbooks for ICPs, offerings, objections, competitors and crisis-specific customer concerns.</t>
        </is>
      </c>
      <c r="T42" s="3" t="inlineStr">
        <is>
          <t>Demand shock; Financial liquidity crisis; Reputation crisis</t>
        </is>
      </c>
      <c r="U42" s="3" t="inlineStr">
        <is>
          <t>CEO / CSO / CCO</t>
        </is>
      </c>
      <c r="V42" s="3" t="inlineStr">
        <is>
          <t>Strategy GTM!23</t>
        </is>
      </c>
    </row>
    <row r="43" ht="85.5" customHeight="1" s="209">
      <c r="A43" s="3" t="inlineStr">
        <is>
          <t>STRA-020</t>
        </is>
      </c>
      <c r="B43" s="3" t="inlineStr">
        <is>
          <t>Strategy GTM</t>
        </is>
      </c>
      <c r="C43" s="3" t="inlineStr">
        <is>
          <t>GTM execution</t>
        </is>
      </c>
      <c r="D43" s="3" t="inlineStr">
        <is>
          <t>How mature is the organization in managing pipeline governance with clear stages, qualification criteria, forecast probability and CRM discipline, including ownership, evidence, metrics, fallback procedures and crisis stress testing?</t>
        </is>
      </c>
      <c r="E43" s="3" t="inlineStr">
        <is>
          <t>Establish a basic owner and inventory for pipeline governance with clear stages, qualification criteria, forecast probability and CRM discipline. Define minimum policy, evidence location and immediate crisis relevance.</t>
        </is>
      </c>
      <c r="F43" s="3" t="inlineStr">
        <is>
          <t>Document pipeline governance with clear stages, qualification criteria, forecast probability and CRM discipline, assign RACI, define minimum controls/KPIs and collect evidence across the main business units or sites.</t>
        </is>
      </c>
      <c r="G43" s="3" t="inlineStr">
        <is>
          <t>Standardize pipeline governance with clear stages, qualification criteria, forecast probability and CRM discipline across the organization, close coverage gaps, link it to crisis scenarios and train accountable roles.</t>
        </is>
      </c>
      <c r="H43" s="3" t="inlineStr">
        <is>
          <t>Measure pipeline governance with clear stages, qualification criteria, forecast probability and CRM discipline, review it periodically, test it against disruption scenarios and integrate it with dependent processes or systems.</t>
        </is>
      </c>
      <c r="I43" s="3" t="inlineStr">
        <is>
          <t>Optimize and automate pipeline governance with clear stages, qualification criteria, forecast probability and CRM discipline where practical, use leading indicators, run periodic stress tests and update the crisis playbook.</t>
        </is>
      </c>
      <c r="J43" s="3" t="inlineStr">
        <is>
          <t>Maintain maturity for pipeline governance with clear stages, qualification criteria, forecast probability and CRM discipline. Monitor drift, keep evidence current, benchmark externally and refresh tests after major changes.</t>
        </is>
      </c>
      <c r="K43" s="3" t="inlineStr">
        <is>
          <t>Reduces exposure to Demand shock; Financial liquidity crisis; Reputation crisis; improves GTM execution maturity, continuity and management visibility.</t>
        </is>
      </c>
      <c r="L43" s="3" t="n">
        <v>5</v>
      </c>
      <c r="M43" s="3" t="n">
        <v>5</v>
      </c>
      <c r="N43" s="3" t="n">
        <v>4</v>
      </c>
      <c r="O43" s="3" t="n">
        <v>3</v>
      </c>
      <c r="P43" s="3" t="n">
        <v>2</v>
      </c>
      <c r="Q43" s="3" t="n">
        <v>1</v>
      </c>
      <c r="R43" s="3" t="inlineStr">
        <is>
          <t>ISO 9001; ISO 31000; ISO 37000; McKinsey 7S; OHI; Bain Elements of Value; Jobs-to-be-Done; Porter Five Forces; OKR</t>
        </is>
      </c>
      <c r="S43" s="3" t="inlineStr">
        <is>
          <t>Policy/SOP; owner/RACI; system report; dashboard; contracts; test records; incident history; interview evidence related to pipeline governance with clear stages, qualification criteria, forecast probability and CRM discipline.</t>
        </is>
      </c>
      <c r="T43" s="3" t="inlineStr">
        <is>
          <t>Demand shock; Financial liquidity crisis; Reputation crisis</t>
        </is>
      </c>
      <c r="U43" s="3" t="inlineStr">
        <is>
          <t>CEO / CSO / CCO</t>
        </is>
      </c>
      <c r="V43" s="3" t="inlineStr">
        <is>
          <t>Strategy GTM!24</t>
        </is>
      </c>
    </row>
    <row r="44" ht="85.5" customHeight="1" s="209">
      <c r="A44" s="3" t="inlineStr">
        <is>
          <t>STRA-021</t>
        </is>
      </c>
      <c r="B44" s="3" t="inlineStr">
        <is>
          <t>Strategy GTM</t>
        </is>
      </c>
      <c r="C44" s="3" t="inlineStr">
        <is>
          <t>GTM execution</t>
        </is>
      </c>
      <c r="D44" s="3" t="inlineStr">
        <is>
          <t>How mature is the organization in managing channel strategy across direct sales, partners, ecommerce, marketplaces, distributors and digital channels, including ownership, evidence, metrics, fallback procedures and crisis stress testing?</t>
        </is>
      </c>
      <c r="E44" s="3" t="inlineStr">
        <is>
          <t>Establish a basic owner and inventory for channel strategy across direct sales, partners, ecommerce, marketplaces, distributors and digital channels. Define minimum policy, evidence location and immediate crisis relevance.</t>
        </is>
      </c>
      <c r="F44" s="3" t="inlineStr">
        <is>
          <t>Document channel strategy across direct sales, partners, ecommerce, marketplaces, distributors and digital channels, assign RACI, define minimum controls/KPIs and collect evidence across the main business units or sites.</t>
        </is>
      </c>
      <c r="G44" s="3" t="inlineStr">
        <is>
          <t>Standardize channel strategy across direct sales, partners, ecommerce, marketplaces, distributors and digital channels across the organization, close coverage gaps, link it to crisis scenarios and train accountable roles.</t>
        </is>
      </c>
      <c r="H44" s="3" t="inlineStr">
        <is>
          <t>Measure channel strategy across direct sales, partners, ecommerce, marketplaces, distributors and digital channels, review it periodically, test it against disruption scenarios and integrate it with dependent processes or systems.</t>
        </is>
      </c>
      <c r="I44" s="3" t="inlineStr">
        <is>
          <t>Optimize and automate channel strategy across direct sales, partners, ecommerce, marketplaces, distributors and digital channels where practical, use leading indicators, run periodic stress tests and update the crisis playbook.</t>
        </is>
      </c>
      <c r="J44" s="3" t="inlineStr">
        <is>
          <t>Maintain maturity for channel strategy across direct sales, partners, ecommerce, marketplaces, distributors and digital channels. Monitor drift, keep evidence current, benchmark externally and refresh tests after major changes.</t>
        </is>
      </c>
      <c r="K44" s="3" t="inlineStr">
        <is>
          <t>Reduces exposure to Demand shock; Financial liquidity crisis; Reputation crisis; improves GTM execution maturity, continuity and management visibility.</t>
        </is>
      </c>
      <c r="L44" s="3" t="n">
        <v>4</v>
      </c>
      <c r="M44" s="3" t="n">
        <v>4</v>
      </c>
      <c r="N44" s="3" t="n">
        <v>3</v>
      </c>
      <c r="O44" s="3" t="n">
        <v>2</v>
      </c>
      <c r="P44" s="3" t="n">
        <v>1</v>
      </c>
      <c r="Q44" s="3" t="n">
        <v>1</v>
      </c>
      <c r="R44" s="3" t="inlineStr">
        <is>
          <t>ISO 9001; ISO 31000; ISO 37000; McKinsey 7S; OHI; Bain Elements of Value; Jobs-to-be-Done; Porter Five Forces; OKR</t>
        </is>
      </c>
      <c r="S44" s="3" t="inlineStr">
        <is>
          <t>Policy/SOP; owner/RACI; system report; dashboard; contracts; test records; incident history; interview evidence related to channel strategy across direct sales, partners, ecommerce, marketplaces, distributors and digital channels.</t>
        </is>
      </c>
      <c r="T44" s="3" t="inlineStr">
        <is>
          <t>Demand shock; Financial liquidity crisis; Reputation crisis</t>
        </is>
      </c>
      <c r="U44" s="3" t="inlineStr">
        <is>
          <t>CEO / CSO / CCO</t>
        </is>
      </c>
      <c r="V44" s="3" t="inlineStr">
        <is>
          <t>Strategy GTM!25</t>
        </is>
      </c>
    </row>
    <row r="45" ht="71.25" customHeight="1" s="209">
      <c r="A45" s="3" t="inlineStr">
        <is>
          <t>STRA-022</t>
        </is>
      </c>
      <c r="B45" s="3" t="inlineStr">
        <is>
          <t>Strategy GTM</t>
        </is>
      </c>
      <c r="C45" s="3" t="inlineStr">
        <is>
          <t>GTM execution</t>
        </is>
      </c>
      <c r="D45" s="3" t="inlineStr">
        <is>
          <t>How mature is the organization in managing win/loss analysis feeding back into strategy, offering, pricing and messaging, including ownership, evidence, metrics, fallback procedures and crisis stress testing?</t>
        </is>
      </c>
      <c r="E45" s="3" t="inlineStr">
        <is>
          <t>Establish a basic owner and inventory for win/loss analysis feeding back into strategy, offering, pricing and messaging. Define minimum policy, evidence location and immediate crisis relevance.</t>
        </is>
      </c>
      <c r="F45" s="3" t="inlineStr">
        <is>
          <t>Document win/loss analysis feeding back into strategy, offering, pricing and messaging, assign RACI, define minimum controls/KPIs and collect evidence across the main business units or sites.</t>
        </is>
      </c>
      <c r="G45" s="3" t="inlineStr">
        <is>
          <t>Standardize win/loss analysis feeding back into strategy, offering, pricing and messaging across the organization, close coverage gaps, link it to crisis scenarios and train accountable roles.</t>
        </is>
      </c>
      <c r="H45" s="3" t="inlineStr">
        <is>
          <t>Measure win/loss analysis feeding back into strategy, offering, pricing and messaging, review it periodically, test it against disruption scenarios and integrate it with dependent processes or systems.</t>
        </is>
      </c>
      <c r="I45" s="3" t="inlineStr">
        <is>
          <t>Optimize and automate win/loss analysis feeding back into strategy, offering, pricing and messaging where practical, use leading indicators, run periodic stress tests and update the crisis playbook.</t>
        </is>
      </c>
      <c r="J45" s="3" t="inlineStr">
        <is>
          <t>Maintain maturity for win/loss analysis feeding back into strategy, offering, pricing and messaging. Monitor drift, keep evidence current, benchmark externally and refresh tests after major changes.</t>
        </is>
      </c>
      <c r="K45" s="3" t="inlineStr">
        <is>
          <t>Reduces exposure to Demand shock; Financial liquidity crisis; Reputation crisis; improves GTM execution maturity, continuity and management visibility.</t>
        </is>
      </c>
      <c r="L45" s="3" t="n">
        <v>5</v>
      </c>
      <c r="M45" s="3" t="n">
        <v>5</v>
      </c>
      <c r="N45" s="3" t="n">
        <v>4</v>
      </c>
      <c r="O45" s="3" t="n">
        <v>3</v>
      </c>
      <c r="P45" s="3" t="n">
        <v>2</v>
      </c>
      <c r="Q45" s="3" t="n">
        <v>1</v>
      </c>
      <c r="R45" s="3" t="inlineStr">
        <is>
          <t>ISO 9001; ISO 31000; ISO 37000; McKinsey 7S; OHI; Bain Elements of Value; Jobs-to-be-Done; Porter Five Forces; OKR</t>
        </is>
      </c>
      <c r="S45" s="3" t="inlineStr">
        <is>
          <t>Policy/SOP; owner/RACI; system report; dashboard; contracts; test records; incident history; interview evidence related to win/loss analysis feeding back into strategy, offering, pricing and messaging.</t>
        </is>
      </c>
      <c r="T45" s="3" t="inlineStr">
        <is>
          <t>Demand shock; Financial liquidity crisis; Reputation crisis</t>
        </is>
      </c>
      <c r="U45" s="3" t="inlineStr">
        <is>
          <t>CEO / CSO / CCO</t>
        </is>
      </c>
      <c r="V45" s="3" t="inlineStr">
        <is>
          <t>Strategy GTM!26</t>
        </is>
      </c>
    </row>
    <row r="46" ht="85.5" customHeight="1" s="209">
      <c r="A46" s="3" t="inlineStr">
        <is>
          <t>STRA-024</t>
        </is>
      </c>
      <c r="B46" s="3" t="inlineStr">
        <is>
          <t>Strategy GTM</t>
        </is>
      </c>
      <c r="C46" s="3" t="inlineStr">
        <is>
          <t>GTM execution</t>
        </is>
      </c>
      <c r="D46" s="3" t="inlineStr">
        <is>
          <t>How mature is the organization in managing leading indicators for demand, churn, pricing pressure, conversion, sales velocity and customer health, including ownership, evidence, metrics, fallback procedures and crisis stress testing?</t>
        </is>
      </c>
      <c r="E46" s="3" t="inlineStr">
        <is>
          <t>Establish a basic owner and inventory for leading indicators for demand, churn, pricing pressure, conversion, sales velocity and customer health. Define minimum policy, evidence location and immediate crisis relevance.</t>
        </is>
      </c>
      <c r="F46" s="3" t="inlineStr">
        <is>
          <t>Document leading indicators for demand, churn, pricing pressure, conversion, sales velocity and customer health, assign RACI, define minimum controls/KPIs and collect evidence across the main business units or sites.</t>
        </is>
      </c>
      <c r="G46" s="3" t="inlineStr">
        <is>
          <t>Standardize leading indicators for demand, churn, pricing pressure, conversion, sales velocity and customer health across the organization, close coverage gaps, link it to crisis scenarios and train accountable roles.</t>
        </is>
      </c>
      <c r="H46" s="3" t="inlineStr">
        <is>
          <t>Measure leading indicators for demand, churn, pricing pressure, conversion, sales velocity and customer health, review it periodically, test it against disruption scenarios and integrate it with dependent processes or systems.</t>
        </is>
      </c>
      <c r="I46" s="3" t="inlineStr">
        <is>
          <t>Optimize and automate leading indicators for demand, churn, pricing pressure, conversion, sales velocity and customer health where practical, use leading indicators, run periodic stress tests and update the crisis playbook.</t>
        </is>
      </c>
      <c r="J46" s="3" t="inlineStr">
        <is>
          <t>Maintain maturity for leading indicators for demand, churn, pricing pressure, conversion, sales velocity and customer health. Monitor drift, keep evidence current, benchmark externally and refresh tests after major changes.</t>
        </is>
      </c>
      <c r="K46" s="3" t="inlineStr">
        <is>
          <t>Reduces exposure to Demand shock; Financial liquidity crisis; Reputation crisis; improves GTM execution maturity, continuity and management visibility.</t>
        </is>
      </c>
      <c r="L46" s="3" t="n">
        <v>4</v>
      </c>
      <c r="M46" s="3" t="n">
        <v>4</v>
      </c>
      <c r="N46" s="3" t="n">
        <v>3</v>
      </c>
      <c r="O46" s="3" t="n">
        <v>2</v>
      </c>
      <c r="P46" s="3" t="n">
        <v>1</v>
      </c>
      <c r="Q46" s="3" t="n">
        <v>1</v>
      </c>
      <c r="R46" s="3" t="inlineStr">
        <is>
          <t>ISO 9001; ISO 31000; ISO 37000; McKinsey 7S; OHI; Bain Elements of Value; Jobs-to-be-Done; Porter Five Forces; OKR</t>
        </is>
      </c>
      <c r="S46" s="3" t="inlineStr">
        <is>
          <t>Policy/SOP; owner/RACI; system report; dashboard; contracts; test records; incident history; interview evidence related to leading indicators for demand, churn, pricing pressure, conversion, sales velocity and customer health.</t>
        </is>
      </c>
      <c r="T46" s="3" t="inlineStr">
        <is>
          <t>Demand shock; Financial liquidity crisis; Reputation crisis</t>
        </is>
      </c>
      <c r="U46" s="3" t="inlineStr">
        <is>
          <t>CEO / CSO / CCO</t>
        </is>
      </c>
      <c r="V46" s="3" t="inlineStr">
        <is>
          <t>Strategy GTM!27</t>
        </is>
      </c>
    </row>
    <row r="47" ht="99.75" customHeight="1" s="209">
      <c r="A47" s="3" t="inlineStr">
        <is>
          <t>STRA-025</t>
        </is>
      </c>
      <c r="B47" s="3" t="inlineStr">
        <is>
          <t>Strategy GTM</t>
        </is>
      </c>
      <c r="C47" s="3" t="inlineStr">
        <is>
          <t>External relations and partnerships</t>
        </is>
      </c>
      <c r="D47" s="3" t="inlineStr">
        <is>
          <t>How mature is the organization in managing partner and alliance portfolio management with selection criteria, contracts, performance review and dependency control, including ownership, evidence, metrics, fallback procedures and crisis stress testing?</t>
        </is>
      </c>
      <c r="E47" s="3" t="inlineStr">
        <is>
          <t>Establish a basic owner and inventory for partner and alliance portfolio management with selection criteria, contracts, performance review and dependency control. Define minimum policy, evidence location and immediate crisis relevance.</t>
        </is>
      </c>
      <c r="F47" s="3" t="inlineStr">
        <is>
          <t>Document partner and alliance portfolio management with selection criteria, contracts, performance review and dependency control, assign RACI, define minimum controls/KPIs and collect evidence across the main business units or sites.</t>
        </is>
      </c>
      <c r="G47" s="3" t="inlineStr">
        <is>
          <t>Standardize partner and alliance portfolio management with selection criteria, contracts, performance review and dependency control across the organization, close coverage gaps, link it to crisis scenarios and train accountable roles.</t>
        </is>
      </c>
      <c r="H47" s="3" t="inlineStr">
        <is>
          <t>Measure partner and alliance portfolio management with selection criteria, contracts, performance review and dependency control, review it periodically, test it against disruption scenarios and integrate it with dependent processes or systems.</t>
        </is>
      </c>
      <c r="I47" s="3" t="inlineStr">
        <is>
          <t>Optimize and automate partner and alliance portfolio management with selection criteria, contracts, performance review and dependency control where practical, use leading indicators, run periodic stress tests and update the crisis playbook.</t>
        </is>
      </c>
      <c r="J47" s="3" t="inlineStr">
        <is>
          <t>Maintain maturity for partner and alliance portfolio management with selection criteria, contracts, performance review and dependency control. Monitor drift, keep evidence current, benchmark externally and refresh tests after major changes.</t>
        </is>
      </c>
      <c r="K47" s="3" t="inlineStr">
        <is>
          <t>Reduces exposure to Demand shock; Supplier/logistics disruption; Reputation crisis; improves External relations and partnerships maturity, continuity and management visibility.</t>
        </is>
      </c>
      <c r="L47" s="3" t="n">
        <v>3</v>
      </c>
      <c r="M47" s="3" t="n">
        <v>3</v>
      </c>
      <c r="N47" s="3" t="n">
        <v>2</v>
      </c>
      <c r="O47" s="3" t="n">
        <v>2</v>
      </c>
      <c r="P47" s="3" t="n">
        <v>1</v>
      </c>
      <c r="Q47" s="3" t="n">
        <v>1</v>
      </c>
      <c r="R47" s="3" t="inlineStr">
        <is>
          <t>APQC PCF 12.0; EFQM 2025 3.5; ISO 44001</t>
        </is>
      </c>
      <c r="S47" s="3" t="inlineStr">
        <is>
          <t>Policy/SOP; owner/RACI; system report; dashboard; contracts; test records; incident history; interview evidence related to partner and alliance portfolio management with selection criteria, contracts, performance review and dependency control</t>
        </is>
      </c>
      <c r="T47" s="3" t="inlineStr">
        <is>
          <t>Demand shock; Supplier/logistics disruption; Reputation crisis</t>
        </is>
      </c>
      <c r="U47" s="3" t="inlineStr">
        <is>
          <t>CEO / Head of Partnerships</t>
        </is>
      </c>
      <c r="V47" s="3" t="inlineStr">
        <is>
          <t>Strategy GTM!28</t>
        </is>
      </c>
    </row>
    <row r="48" ht="85.5" customHeight="1" s="209">
      <c r="A48" s="3" t="inlineStr">
        <is>
          <t>STRA-026</t>
        </is>
      </c>
      <c r="B48" s="3" t="inlineStr">
        <is>
          <t>Strategy GTM</t>
        </is>
      </c>
      <c r="C48" s="3" t="inlineStr">
        <is>
          <t>External relations and partnerships</t>
        </is>
      </c>
      <c r="D48" s="3" t="inlineStr">
        <is>
          <t>How mature is the organization in managing government and regulator relations with named owners, engagement plan and crisis escalation contacts, including ownership, evidence, metrics, fallback procedures and crisis stress testing?</t>
        </is>
      </c>
      <c r="E48" s="3" t="inlineStr">
        <is>
          <t>Establish a basic owner and inventory for government and regulator relations with named owners, engagement plan and crisis escalation contacts. Define minimum policy, evidence location and immediate crisis relevance.</t>
        </is>
      </c>
      <c r="F48" s="3" t="inlineStr">
        <is>
          <t>Document government and regulator relations with named owners, engagement plan and crisis escalation contacts, assign RACI, define minimum controls/KPIs and collect evidence across the main business units or sites.</t>
        </is>
      </c>
      <c r="G48" s="3" t="inlineStr">
        <is>
          <t>Standardize government and regulator relations with named owners, engagement plan and crisis escalation contacts across the organization, close coverage gaps, link it to crisis scenarios and train accountable roles.</t>
        </is>
      </c>
      <c r="H48" s="3" t="inlineStr">
        <is>
          <t>Measure government and regulator relations with named owners, engagement plan and crisis escalation contacts, review it periodically, test it against disruption scenarios and integrate it with dependent processes or systems.</t>
        </is>
      </c>
      <c r="I48" s="3" t="inlineStr">
        <is>
          <t>Optimize and automate government and regulator relations with named owners, engagement plan and crisis escalation contacts where practical, use leading indicators, run periodic stress tests and update the crisis playbook.</t>
        </is>
      </c>
      <c r="J48" s="3" t="inlineStr">
        <is>
          <t>Maintain maturity for government and regulator relations with named owners, engagement plan and crisis escalation contacts. Monitor drift, keep evidence current, benchmark externally and refresh tests after major changes.</t>
        </is>
      </c>
      <c r="K48" s="3" t="inlineStr">
        <is>
          <t>Reduces exposure to Regulatory/legal shock; War/security crisis; improves External relations and partnerships maturity, continuity and management visibility.</t>
        </is>
      </c>
      <c r="L48" s="3" t="n">
        <v>2</v>
      </c>
      <c r="M48" s="3" t="n">
        <v>2</v>
      </c>
      <c r="N48" s="3" t="n">
        <v>2</v>
      </c>
      <c r="O48" s="3" t="n">
        <v>2</v>
      </c>
      <c r="P48" s="3" t="n">
        <v>1</v>
      </c>
      <c r="Q48" s="3" t="n">
        <v>1</v>
      </c>
      <c r="R48" s="3" t="inlineStr">
        <is>
          <t>APQC PCF 12.1; ISO 37301; PESTLE</t>
        </is>
      </c>
      <c r="S48" s="3" t="inlineStr">
        <is>
          <t>Policy/SOP; owner/RACI; system report; dashboard; contracts; test records; incident history; interview evidence related to government and regulator relations with named owners, engagement plan and crisis escalation contacts</t>
        </is>
      </c>
      <c r="T48" s="3" t="inlineStr">
        <is>
          <t>Regulatory/legal shock; War/security crisis</t>
        </is>
      </c>
      <c r="U48" s="3" t="inlineStr">
        <is>
          <t>CEO / Legal</t>
        </is>
      </c>
      <c r="V48" s="3" t="inlineStr">
        <is>
          <t>Strategy GTM!29</t>
        </is>
      </c>
    </row>
    <row r="49" ht="85.5" customHeight="1" s="209">
      <c r="A49" s="3" t="inlineStr">
        <is>
          <t>STRA-028</t>
        </is>
      </c>
      <c r="B49" s="3" t="inlineStr">
        <is>
          <t>Strategy GTM</t>
        </is>
      </c>
      <c r="C49" s="3" t="inlineStr">
        <is>
          <t>External relations and partnerships</t>
        </is>
      </c>
      <c r="D49" s="3" t="inlineStr">
        <is>
          <t>How mature is the organization in managing owner, investor and lender communication discipline including bad-news protocols and crisis updates, including ownership, evidence, metrics, fallback procedures and crisis stress testing?</t>
        </is>
      </c>
      <c r="E49" s="3" t="inlineStr">
        <is>
          <t>Establish a basic owner and inventory for owner, investor and lender communication discipline including bad-news protocols and crisis updates. Define minimum policy, evidence location and immediate crisis relevance.</t>
        </is>
      </c>
      <c r="F49" s="3" t="inlineStr">
        <is>
          <t>Document owner, investor and lender communication discipline including bad-news protocols and crisis updates, assign RACI, define minimum controls/KPIs and collect evidence across the main business units or sites.</t>
        </is>
      </c>
      <c r="G49" s="3" t="inlineStr">
        <is>
          <t>Standardize owner, investor and lender communication discipline including bad-news protocols and crisis updates across the organization, close coverage gaps, link it to crisis scenarios and train accountable roles.</t>
        </is>
      </c>
      <c r="H49" s="3" t="inlineStr">
        <is>
          <t>Measure owner, investor and lender communication discipline including bad-news protocols and crisis updates, review it periodically, test it against disruption scenarios and integrate it with dependent processes or systems.</t>
        </is>
      </c>
      <c r="I49" s="3" t="inlineStr">
        <is>
          <t>Optimize and automate owner, investor and lender communication discipline including bad-news protocols and crisis updates where practical, use leading indicators, run periodic stress tests and update the crisis playbook.</t>
        </is>
      </c>
      <c r="J49" s="3" t="inlineStr">
        <is>
          <t>Maintain maturity for owner, investor and lender communication discipline including bad-news protocols and crisis updates. Monitor drift, keep evidence current, benchmark externally and refresh tests after major changes.</t>
        </is>
      </c>
      <c r="K49" s="3" t="inlineStr">
        <is>
          <t>Reduces exposure to Financial/liquidity crisis; Reputation crisis; improves External relations and partnerships maturity, continuity and management visibility.</t>
        </is>
      </c>
      <c r="L49" s="3" t="n">
        <v>2</v>
      </c>
      <c r="M49" s="3" t="n">
        <v>2</v>
      </c>
      <c r="N49" s="3" t="n">
        <v>2</v>
      </c>
      <c r="O49" s="3" t="n">
        <v>2</v>
      </c>
      <c r="P49" s="3" t="n">
        <v>1</v>
      </c>
      <c r="Q49" s="3" t="n">
        <v>1</v>
      </c>
      <c r="R49" s="3" t="inlineStr">
        <is>
          <t>APQC PCF 12.2; ISO 37000; COSO</t>
        </is>
      </c>
      <c r="S49" s="3" t="inlineStr">
        <is>
          <t>Policy/SOP; owner/RACI; system report; dashboard; contracts; test records; incident history; interview evidence related to owner, investor and lender communication discipline including bad-news protocols and crisis updates</t>
        </is>
      </c>
      <c r="T49" s="3" t="inlineStr">
        <is>
          <t>Financial/liquidity crisis; Reputation crisis</t>
        </is>
      </c>
      <c r="U49" s="3" t="inlineStr">
        <is>
          <t>CEO / CFO</t>
        </is>
      </c>
      <c r="V49" s="3" t="inlineStr">
        <is>
          <t>Strategy GTM!30</t>
        </is>
      </c>
    </row>
    <row r="50" ht="85.5" customHeight="1" s="209">
      <c r="A50" s="3" t="inlineStr">
        <is>
          <t>GOVE-001</t>
        </is>
      </c>
      <c r="B50" s="3" t="inlineStr">
        <is>
          <t>Governance Crisis</t>
        </is>
      </c>
      <c r="C50" s="3" t="inlineStr">
        <is>
          <t>Crisis governance</t>
        </is>
      </c>
      <c r="D50" s="3" t="inlineStr">
        <is>
          <t>How mature is the organization in managing formal crisis management structure with named roles, deputies, escalation paths and decision authority, including ownership, evidence, metrics, fallback procedures and crisis stress testing?</t>
        </is>
      </c>
      <c r="E50" s="3" t="inlineStr">
        <is>
          <t>Establish a basic owner and inventory for formal crisis management structure with named roles, deputies, escalation paths and decision authority. Define minimum policy, evidence location and immediate crisis relevance.</t>
        </is>
      </c>
      <c r="F50" s="3" t="inlineStr">
        <is>
          <t>Document formal crisis management structure with named roles, deputies, escalation paths and decision authority, assign RACI, define minimum controls/KPIs and collect evidence across the main business units or sites.</t>
        </is>
      </c>
      <c r="G50" s="3" t="inlineStr">
        <is>
          <t>Standardize formal crisis management structure with named roles, deputies, escalation paths and decision authority across the organization, close coverage gaps, link it to crisis scenarios and train accountable roles.</t>
        </is>
      </c>
      <c r="H50" s="3" t="inlineStr">
        <is>
          <t>Measure formal crisis management structure with named roles, deputies, escalation paths and decision authority, review it periodically, test it against disruption scenarios and integrate it with dependent processes or systems.</t>
        </is>
      </c>
      <c r="I50" s="3" t="inlineStr">
        <is>
          <t>Optimize and automate formal crisis management structure with named roles, deputies, escalation paths and decision authority where practical, use leading indicators, run periodic stress tests and update the crisis playbook.</t>
        </is>
      </c>
      <c r="J50" s="3" t="inlineStr">
        <is>
          <t>Maintain maturity for formal crisis management structure with named roles, deputies, escalation paths and decision authority. Monitor drift, keep evidence current, benchmark externally and refresh tests after major changes.</t>
        </is>
      </c>
      <c r="K50" s="3" t="inlineStr">
        <is>
          <t>Reduces exposure to All crisis types; improves Crisis governance maturity, continuity and management visibility.</t>
        </is>
      </c>
      <c r="L50" s="3" t="n">
        <v>4</v>
      </c>
      <c r="M50" s="3" t="n">
        <v>4</v>
      </c>
      <c r="N50" s="3" t="n">
        <v>3</v>
      </c>
      <c r="O50" s="3" t="n">
        <v>2</v>
      </c>
      <c r="P50" s="3" t="n">
        <v>1</v>
      </c>
      <c r="Q50" s="3" t="n">
        <v>1</v>
      </c>
      <c r="R50" s="3" t="inlineStr">
        <is>
          <t>ISO 22301; ISO 22320; ISO 31000; ISO 37000; NIST SP 800-34; BCI Good Practice Guidelines; Bain RAPID</t>
        </is>
      </c>
      <c r="S50" s="3" t="inlineStr">
        <is>
          <t>Policy/SOP; owner/RACI; system report; dashboard; contracts; test records; incident history; interview evidence related to formal crisis management structure with named roles, deputies, escalation paths and decision authority.</t>
        </is>
      </c>
      <c r="T50" s="3" t="inlineStr">
        <is>
          <t>All crisis types</t>
        </is>
      </c>
      <c r="U50" s="3" t="inlineStr">
        <is>
          <t>CEO / COO / Risk</t>
        </is>
      </c>
      <c r="V50" s="3" t="inlineStr">
        <is>
          <t>Governance Crisis!5</t>
        </is>
      </c>
    </row>
    <row r="51" ht="71.25" customHeight="1" s="209">
      <c r="A51" s="3" t="inlineStr">
        <is>
          <t>GOVE-002</t>
        </is>
      </c>
      <c r="B51" s="3" t="inlineStr">
        <is>
          <t>Governance Crisis</t>
        </is>
      </c>
      <c r="C51" s="3" t="inlineStr">
        <is>
          <t>Crisis governance</t>
        </is>
      </c>
      <c r="D51" s="3" t="inlineStr">
        <is>
          <t>How mature is the organization in managing executive crisis team trained for cross-functional crisis response, including ownership, evidence, metrics, fallback procedures and crisis stress testing?</t>
        </is>
      </c>
      <c r="E51" s="3" t="inlineStr">
        <is>
          <t>Establish a basic owner and inventory for executive crisis team trained for cross-functional crisis response. Define minimum policy, evidence location and immediate crisis relevance.</t>
        </is>
      </c>
      <c r="F51" s="3" t="inlineStr">
        <is>
          <t>Document executive crisis team trained for cross-functional crisis response, assign RACI, define minimum controls/KPIs and collect evidence across the main business units or sites.</t>
        </is>
      </c>
      <c r="G51" s="3" t="inlineStr">
        <is>
          <t>Standardize executive crisis team trained for cross-functional crisis response across the organization, close coverage gaps, link it to crisis scenarios and train accountable roles.</t>
        </is>
      </c>
      <c r="H51" s="3" t="inlineStr">
        <is>
          <t>Measure executive crisis team trained for cross-functional crisis response, review it periodically, test it against disruption scenarios and integrate it with dependent processes or systems.</t>
        </is>
      </c>
      <c r="I51" s="3" t="inlineStr">
        <is>
          <t>Optimize and automate executive crisis team trained for cross-functional crisis response where practical, use leading indicators, run periodic stress tests and update the crisis playbook.</t>
        </is>
      </c>
      <c r="J51" s="3" t="inlineStr">
        <is>
          <t>Maintain maturity for executive crisis team trained for cross-functional crisis response. Monitor drift, keep evidence current, benchmark externally and refresh tests after major changes.</t>
        </is>
      </c>
      <c r="K51" s="3" t="inlineStr">
        <is>
          <t>Reduces exposure to All crisis types; improves Crisis governance maturity, continuity and management visibility.</t>
        </is>
      </c>
      <c r="L51" s="3" t="n">
        <v>4</v>
      </c>
      <c r="M51" s="3" t="n">
        <v>4</v>
      </c>
      <c r="N51" s="3" t="n">
        <v>3</v>
      </c>
      <c r="O51" s="3" t="n">
        <v>2</v>
      </c>
      <c r="P51" s="3" t="n">
        <v>1</v>
      </c>
      <c r="Q51" s="3" t="n">
        <v>1</v>
      </c>
      <c r="R51" s="3" t="inlineStr">
        <is>
          <t>ISO 22301; ISO 22320; ISO 31000; ISO 37000; NIST SP 800-34; BCI Good Practice Guidelines; Bain RAPID</t>
        </is>
      </c>
      <c r="S51" s="3" t="inlineStr">
        <is>
          <t>Policy/SOP; owner/RACI; system report; dashboard; contracts; test records; incident history; interview evidence related to executive crisis team trained for cross-functional crisis response.</t>
        </is>
      </c>
      <c r="T51" s="3" t="inlineStr">
        <is>
          <t>All crisis types</t>
        </is>
      </c>
      <c r="U51" s="3" t="inlineStr">
        <is>
          <t>CEO / COO / Risk</t>
        </is>
      </c>
      <c r="V51" s="3" t="inlineStr">
        <is>
          <t>Governance Crisis!6</t>
        </is>
      </c>
    </row>
    <row r="52" ht="85.5" customHeight="1" s="209">
      <c r="A52" s="3" t="inlineStr">
        <is>
          <t>GOVE-003</t>
        </is>
      </c>
      <c r="B52" s="3" t="inlineStr">
        <is>
          <t>Governance Crisis</t>
        </is>
      </c>
      <c r="C52" s="3" t="inlineStr">
        <is>
          <t>Crisis governance</t>
        </is>
      </c>
      <c r="D52" s="3" t="inlineStr">
        <is>
          <t>How mature is the organization in managing clear crisis decision rights for finance, people, operations, IT, legal, safety and communications, including ownership, evidence, metrics, fallback procedures and crisis stress testing?</t>
        </is>
      </c>
      <c r="E52" s="3" t="inlineStr">
        <is>
          <t>Establish a basic owner and inventory for clear crisis decision rights for finance, people, operations, IT, legal, safety and communications. Define minimum policy, evidence location and immediate crisis relevance.</t>
        </is>
      </c>
      <c r="F52" s="3" t="inlineStr">
        <is>
          <t>Document clear crisis decision rights for finance, people, operations, IT, legal, safety and communications, assign RACI, define minimum controls/KPIs and collect evidence across the main business units or sites.</t>
        </is>
      </c>
      <c r="G52" s="3" t="inlineStr">
        <is>
          <t>Standardize clear crisis decision rights for finance, people, operations, IT, legal, safety and communications across the organization, close coverage gaps, link it to crisis scenarios and train accountable roles.</t>
        </is>
      </c>
      <c r="H52" s="3" t="inlineStr">
        <is>
          <t>Measure clear crisis decision rights for finance, people, operations, IT, legal, safety and communications, review it periodically, test it against disruption scenarios and integrate it with dependent processes or systems.</t>
        </is>
      </c>
      <c r="I52" s="3" t="inlineStr">
        <is>
          <t>Optimize and automate clear crisis decision rights for finance, people, operations, IT, legal, safety and communications where practical, use leading indicators, run periodic stress tests and update the crisis playbook.</t>
        </is>
      </c>
      <c r="J52" s="3" t="inlineStr">
        <is>
          <t>Maintain maturity for clear crisis decision rights for finance, people, operations, IT, legal, safety and communications. Monitor drift, keep evidence current, benchmark externally and refresh tests after major changes.</t>
        </is>
      </c>
      <c r="K52" s="3" t="inlineStr">
        <is>
          <t>Reduces exposure to All crisis types; improves Crisis governance maturity, continuity and management visibility.</t>
        </is>
      </c>
      <c r="L52" s="3" t="n">
        <v>4</v>
      </c>
      <c r="M52" s="3" t="n">
        <v>4</v>
      </c>
      <c r="N52" s="3" t="n">
        <v>3</v>
      </c>
      <c r="O52" s="3" t="n">
        <v>2</v>
      </c>
      <c r="P52" s="3" t="n">
        <v>1</v>
      </c>
      <c r="Q52" s="3" t="n">
        <v>1</v>
      </c>
      <c r="R52" s="3" t="inlineStr">
        <is>
          <t>ISO 22301; ISO 22320; ISO 31000; ISO 37000; NIST SP 800-34; BCI Good Practice Guidelines; Bain RAPID</t>
        </is>
      </c>
      <c r="S52" s="3" t="inlineStr">
        <is>
          <t>Policy/SOP; owner/RACI; system report; dashboard; contracts; test records; incident history; interview evidence related to clear crisis decision rights for finance, people, operations, IT, legal, safety and communications.</t>
        </is>
      </c>
      <c r="T52" s="3" t="inlineStr">
        <is>
          <t>All crisis types</t>
        </is>
      </c>
      <c r="U52" s="3" t="inlineStr">
        <is>
          <t>CEO / COO / Risk</t>
        </is>
      </c>
      <c r="V52" s="3" t="inlineStr">
        <is>
          <t>Governance Crisis!7</t>
        </is>
      </c>
    </row>
    <row r="53" ht="85.5" customHeight="1" s="209">
      <c r="A53" s="3" t="inlineStr">
        <is>
          <t>GOVE-004</t>
        </is>
      </c>
      <c r="B53" s="3" t="inlineStr">
        <is>
          <t>Governance Crisis</t>
        </is>
      </c>
      <c r="C53" s="3" t="inlineStr">
        <is>
          <t>Crisis governance</t>
        </is>
      </c>
      <c r="D53" s="3" t="inlineStr">
        <is>
          <t>How mature is the organization in managing crisis cadence for situation reports, decisions, action owners, deadlines and follow-up, including ownership, evidence, metrics, fallback procedures and crisis stress testing?</t>
        </is>
      </c>
      <c r="E53" s="3" t="inlineStr">
        <is>
          <t>Establish a basic owner and inventory for crisis cadence for situation reports, decisions, action owners, deadlines and follow-up. Define minimum policy, evidence location and immediate crisis relevance.</t>
        </is>
      </c>
      <c r="F53" s="3" t="inlineStr">
        <is>
          <t>Document crisis cadence for situation reports, decisions, action owners, deadlines and follow-up, assign RACI, define minimum controls/KPIs and collect evidence across the main business units or sites.</t>
        </is>
      </c>
      <c r="G53" s="3" t="inlineStr">
        <is>
          <t>Standardize crisis cadence for situation reports, decisions, action owners, deadlines and follow-up across the organization, close coverage gaps, link it to crisis scenarios and train accountable roles.</t>
        </is>
      </c>
      <c r="H53" s="3" t="inlineStr">
        <is>
          <t>Measure crisis cadence for situation reports, decisions, action owners, deadlines and follow-up, review it periodically, test it against disruption scenarios and integrate it with dependent processes or systems.</t>
        </is>
      </c>
      <c r="I53" s="3" t="inlineStr">
        <is>
          <t>Optimize and automate crisis cadence for situation reports, decisions, action owners, deadlines and follow-up where practical, use leading indicators, run periodic stress tests and update the crisis playbook.</t>
        </is>
      </c>
      <c r="J53" s="3" t="inlineStr">
        <is>
          <t>Maintain maturity for crisis cadence for situation reports, decisions, action owners, deadlines and follow-up. Monitor drift, keep evidence current, benchmark externally and refresh tests after major changes.</t>
        </is>
      </c>
      <c r="K53" s="3" t="inlineStr">
        <is>
          <t>Reduces exposure to All crisis types; improves Crisis governance maturity, continuity and management visibility.</t>
        </is>
      </c>
      <c r="L53" s="3" t="n">
        <v>4</v>
      </c>
      <c r="M53" s="3" t="n">
        <v>4</v>
      </c>
      <c r="N53" s="3" t="n">
        <v>3</v>
      </c>
      <c r="O53" s="3" t="n">
        <v>2</v>
      </c>
      <c r="P53" s="3" t="n">
        <v>1</v>
      </c>
      <c r="Q53" s="3" t="n">
        <v>1</v>
      </c>
      <c r="R53" s="3" t="inlineStr">
        <is>
          <t>ISO 22301; ISO 22320; ISO 31000; ISO 37000; NIST SP 800-34; BCI Good Practice Guidelines; Bain RAPID</t>
        </is>
      </c>
      <c r="S53" s="3" t="inlineStr">
        <is>
          <t>Policy/SOP; owner/RACI; system report; dashboard; contracts; test records; incident history; interview evidence related to crisis cadence for situation reports, decisions, action owners, deadlines and follow-up.</t>
        </is>
      </c>
      <c r="T53" s="3" t="inlineStr">
        <is>
          <t>All crisis types</t>
        </is>
      </c>
      <c r="U53" s="3" t="inlineStr">
        <is>
          <t>CEO / COO / Risk</t>
        </is>
      </c>
      <c r="V53" s="3" t="inlineStr">
        <is>
          <t>Governance Crisis!8</t>
        </is>
      </c>
    </row>
    <row r="54" ht="71.25" customHeight="1" s="209">
      <c r="A54" s="3" t="inlineStr">
        <is>
          <t>GOVE-005</t>
        </is>
      </c>
      <c r="B54" s="3" t="inlineStr">
        <is>
          <t>Governance Crisis</t>
        </is>
      </c>
      <c r="C54" s="3" t="inlineStr">
        <is>
          <t>Crisis governance</t>
        </is>
      </c>
      <c r="D54" s="3" t="inlineStr">
        <is>
          <t>How mature is the organization in managing board or owner-level oversight of resilience, continuity and enterprise risk, including ownership, evidence, metrics, fallback procedures and crisis stress testing?</t>
        </is>
      </c>
      <c r="E54" s="3" t="inlineStr">
        <is>
          <t>Establish a basic owner and inventory for board or owner-level oversight of resilience, continuity and enterprise risk. Define minimum policy, evidence location and immediate crisis relevance.</t>
        </is>
      </c>
      <c r="F54" s="3" t="inlineStr">
        <is>
          <t>Document board or owner-level oversight of resilience, continuity and enterprise risk, assign RACI, define minimum controls/KPIs and collect evidence across the main business units or sites.</t>
        </is>
      </c>
      <c r="G54" s="3" t="inlineStr">
        <is>
          <t>Standardize board or owner-level oversight of resilience, continuity and enterprise risk across the organization, close coverage gaps, link it to crisis scenarios and train accountable roles.</t>
        </is>
      </c>
      <c r="H54" s="3" t="inlineStr">
        <is>
          <t>Measure board or owner-level oversight of resilience, continuity and enterprise risk, review it periodically, test it against disruption scenarios and integrate it with dependent processes or systems.</t>
        </is>
      </c>
      <c r="I54" s="3" t="inlineStr">
        <is>
          <t>Optimize and automate board or owner-level oversight of resilience, continuity and enterprise risk where practical, use leading indicators, run periodic stress tests and update the crisis playbook.</t>
        </is>
      </c>
      <c r="J54" s="3" t="inlineStr">
        <is>
          <t>Maintain maturity for board or owner-level oversight of resilience, continuity and enterprise risk. Monitor drift, keep evidence current, benchmark externally and refresh tests after major changes.</t>
        </is>
      </c>
      <c r="K54" s="3" t="inlineStr">
        <is>
          <t>Reduces exposure to All crisis types; improves Crisis governance maturity, continuity and management visibility.</t>
        </is>
      </c>
      <c r="L54" s="3" t="n">
        <v>5</v>
      </c>
      <c r="M54" s="3" t="n">
        <v>5</v>
      </c>
      <c r="N54" s="3" t="n">
        <v>4</v>
      </c>
      <c r="O54" s="3" t="n">
        <v>3</v>
      </c>
      <c r="P54" s="3" t="n">
        <v>2</v>
      </c>
      <c r="Q54" s="3" t="n">
        <v>1</v>
      </c>
      <c r="R54" s="3" t="inlineStr">
        <is>
          <t>ISO 22301; ISO 22320; ISO 31000; ISO 37000; NIST SP 800-34; BCI Good Practice Guidelines; Bain RAPID</t>
        </is>
      </c>
      <c r="S54" s="3" t="inlineStr">
        <is>
          <t>Policy/SOP; owner/RACI; system report; dashboard; contracts; test records; incident history; interview evidence related to board or owner-level oversight of resilience, continuity and enterprise risk.</t>
        </is>
      </c>
      <c r="T54" s="3" t="inlineStr">
        <is>
          <t>All crisis types</t>
        </is>
      </c>
      <c r="U54" s="3" t="inlineStr">
        <is>
          <t>CEO / COO / Risk</t>
        </is>
      </c>
      <c r="V54" s="3" t="inlineStr">
        <is>
          <t>Governance Crisis!9</t>
        </is>
      </c>
    </row>
    <row r="55" ht="71.25" customHeight="1" s="209">
      <c r="A55" s="3" t="inlineStr">
        <is>
          <t>GOVE-006</t>
        </is>
      </c>
      <c r="B55" s="3" t="inlineStr">
        <is>
          <t>Governance Crisis</t>
        </is>
      </c>
      <c r="C55" s="3" t="inlineStr">
        <is>
          <t>Crisis governance</t>
        </is>
      </c>
      <c r="D55" s="3" t="inlineStr">
        <is>
          <t>How mature is the organization in managing emergency spending authority and budget release rules, including ownership, evidence, metrics, fallback procedures and crisis stress testing?</t>
        </is>
      </c>
      <c r="E55" s="3" t="inlineStr">
        <is>
          <t>Establish a basic owner and inventory for emergency spending authority and budget release rules. Define minimum policy, evidence location and immediate crisis relevance.</t>
        </is>
      </c>
      <c r="F55" s="3" t="inlineStr">
        <is>
          <t>Document emergency spending authority and budget release rules, assign RACI, define minimum controls/KPIs and collect evidence across the main business units or sites.</t>
        </is>
      </c>
      <c r="G55" s="3" t="inlineStr">
        <is>
          <t>Standardize emergency spending authority and budget release rules across the organization, close coverage gaps, link it to crisis scenarios and train accountable roles.</t>
        </is>
      </c>
      <c r="H55" s="3" t="inlineStr">
        <is>
          <t>Measure emergency spending authority and budget release rules, review it periodically, test it against disruption scenarios and integrate it with dependent processes or systems.</t>
        </is>
      </c>
      <c r="I55" s="3" t="inlineStr">
        <is>
          <t>Optimize and automate emergency spending authority and budget release rules where practical, use leading indicators, run periodic stress tests and update the crisis playbook.</t>
        </is>
      </c>
      <c r="J55" s="3" t="inlineStr">
        <is>
          <t>Maintain maturity for emergency spending authority and budget release rules. Monitor drift, keep evidence current, benchmark externally and refresh tests after major changes.</t>
        </is>
      </c>
      <c r="K55" s="3" t="inlineStr">
        <is>
          <t>Reduces exposure to All crisis types; improves Crisis governance maturity, continuity and management visibility.</t>
        </is>
      </c>
      <c r="L55" s="3" t="n">
        <v>4</v>
      </c>
      <c r="M55" s="3" t="n">
        <v>4</v>
      </c>
      <c r="N55" s="3" t="n">
        <v>3</v>
      </c>
      <c r="O55" s="3" t="n">
        <v>2</v>
      </c>
      <c r="P55" s="3" t="n">
        <v>1</v>
      </c>
      <c r="Q55" s="3" t="n">
        <v>1</v>
      </c>
      <c r="R55" s="3" t="inlineStr">
        <is>
          <t>ISO 22301; ISO 22320; ISO 31000; ISO 37000; NIST SP 800-34; BCI Good Practice Guidelines; Bain RAPID</t>
        </is>
      </c>
      <c r="S55" s="3" t="inlineStr">
        <is>
          <t>Policy/SOP; owner/RACI; system report; dashboard; contracts; test records; incident history; interview evidence related to emergency spending authority and budget release rules.</t>
        </is>
      </c>
      <c r="T55" s="3" t="inlineStr">
        <is>
          <t>All crisis types</t>
        </is>
      </c>
      <c r="U55" s="3" t="inlineStr">
        <is>
          <t>CEO / COO / Risk</t>
        </is>
      </c>
      <c r="V55" s="3" t="inlineStr">
        <is>
          <t>Governance Crisis!10</t>
        </is>
      </c>
    </row>
    <row r="56" ht="85.5" customHeight="1" s="209">
      <c r="A56" s="3" t="inlineStr">
        <is>
          <t>GOVE-007</t>
        </is>
      </c>
      <c r="B56" s="3" t="inlineStr">
        <is>
          <t>Governance Crisis</t>
        </is>
      </c>
      <c r="C56" s="3" t="inlineStr">
        <is>
          <t>Risk and continuity</t>
        </is>
      </c>
      <c r="D56" s="3" t="inlineStr">
        <is>
          <t>How mature is the organization in managing enterprise risk register with owners, likelihood, impact, controls, triggers and residual risk, including ownership, evidence, metrics, fallback procedures and crisis stress testing?</t>
        </is>
      </c>
      <c r="E56" s="3" t="inlineStr">
        <is>
          <t>Establish a basic owner and inventory for enterprise risk register with owners, likelihood, impact, controls, triggers and residual risk. Define minimum policy, evidence location and immediate crisis relevance.</t>
        </is>
      </c>
      <c r="F56" s="3" t="inlineStr">
        <is>
          <t>Document enterprise risk register with owners, likelihood, impact, controls, triggers and residual risk, assign RACI, define minimum controls/KPIs and collect evidence across the main business units or sites.</t>
        </is>
      </c>
      <c r="G56" s="3" t="inlineStr">
        <is>
          <t>Standardize enterprise risk register with owners, likelihood, impact, controls, triggers and residual risk across the organization, close coverage gaps, link it to crisis scenarios and train accountable roles.</t>
        </is>
      </c>
      <c r="H56" s="3" t="inlineStr">
        <is>
          <t>Measure enterprise risk register with owners, likelihood, impact, controls, triggers and residual risk, review it periodically, test it against disruption scenarios and integrate it with dependent processes or systems.</t>
        </is>
      </c>
      <c r="I56" s="3" t="inlineStr">
        <is>
          <t>Optimize and automate enterprise risk register with owners, likelihood, impact, controls, triggers and residual risk where practical, use leading indicators, run periodic stress tests and update the crisis playbook.</t>
        </is>
      </c>
      <c r="J56" s="3" t="inlineStr">
        <is>
          <t>Maintain maturity for enterprise risk register with owners, likelihood, impact, controls, triggers and residual risk. Monitor drift, keep evidence current, benchmark externally and refresh tests after major changes.</t>
        </is>
      </c>
      <c r="K56" s="3" t="inlineStr">
        <is>
          <t>Reduces exposure to All crisis types; improves Risk and continuity maturity, continuity and management visibility.</t>
        </is>
      </c>
      <c r="L56" s="3" t="n">
        <v>5</v>
      </c>
      <c r="M56" s="3" t="n">
        <v>5</v>
      </c>
      <c r="N56" s="3" t="n">
        <v>4</v>
      </c>
      <c r="O56" s="3" t="n">
        <v>3</v>
      </c>
      <c r="P56" s="3" t="n">
        <v>2</v>
      </c>
      <c r="Q56" s="3" t="n">
        <v>1</v>
      </c>
      <c r="R56" s="3" t="inlineStr">
        <is>
          <t>ISO 22301; ISO 22320; ISO 31000; ISO 37000; NIST SP 800-34; BCI Good Practice Guidelines; Bain RAPID</t>
        </is>
      </c>
      <c r="S56" s="3" t="inlineStr">
        <is>
          <t>Policy/SOP; owner/RACI; system report; dashboard; contracts; test records; incident history; interview evidence related to enterprise risk register with owners, likelihood, impact, controls, triggers and residual risk.</t>
        </is>
      </c>
      <c r="T56" s="3" t="inlineStr">
        <is>
          <t>All crisis types</t>
        </is>
      </c>
      <c r="U56" s="3" t="inlineStr">
        <is>
          <t>CEO / COO / Risk</t>
        </is>
      </c>
      <c r="V56" s="3" t="inlineStr">
        <is>
          <t>Governance Crisis!11</t>
        </is>
      </c>
    </row>
    <row r="57" ht="85.5" customHeight="1" s="209">
      <c r="A57" s="3" t="inlineStr">
        <is>
          <t>GOVE-008</t>
        </is>
      </c>
      <c r="B57" s="3" t="inlineStr">
        <is>
          <t>Governance Crisis</t>
        </is>
      </c>
      <c r="C57" s="3" t="inlineStr">
        <is>
          <t>Risk and continuity</t>
        </is>
      </c>
      <c r="D57" s="3" t="inlineStr">
        <is>
          <t>How mature is the organization in managing risk appetite for safety, cash, cyber, delivery, compliance, reputation and operational continuity, including ownership, evidence, metrics, fallback procedures and crisis stress testing?</t>
        </is>
      </c>
      <c r="E57" s="3" t="inlineStr">
        <is>
          <t>Establish a basic owner and inventory for risk appetite for safety, cash, cyber, delivery, compliance, reputation and operational continuity. Define minimum policy, evidence location and immediate crisis relevance.</t>
        </is>
      </c>
      <c r="F57" s="3" t="inlineStr">
        <is>
          <t>Document risk appetite for safety, cash, cyber, delivery, compliance, reputation and operational continuity, assign RACI, define minimum controls/KPIs and collect evidence across the main business units or sites.</t>
        </is>
      </c>
      <c r="G57" s="3" t="inlineStr">
        <is>
          <t>Standardize risk appetite for safety, cash, cyber, delivery, compliance, reputation and operational continuity across the organization, close coverage gaps, link it to crisis scenarios and train accountable roles.</t>
        </is>
      </c>
      <c r="H57" s="3" t="inlineStr">
        <is>
          <t>Measure risk appetite for safety, cash, cyber, delivery, compliance, reputation and operational continuity, review it periodically, test it against disruption scenarios and integrate it with dependent processes or systems.</t>
        </is>
      </c>
      <c r="I57" s="3" t="inlineStr">
        <is>
          <t>Optimize and automate risk appetite for safety, cash, cyber, delivery, compliance, reputation and operational continuity where practical, use leading indicators, run periodic stress tests and update the crisis playbook.</t>
        </is>
      </c>
      <c r="J57" s="3" t="inlineStr">
        <is>
          <t>Maintain maturity for risk appetite for safety, cash, cyber, delivery, compliance, reputation and operational continuity. Monitor drift, keep evidence current, benchmark externally and refresh tests after major changes.</t>
        </is>
      </c>
      <c r="K57" s="3" t="inlineStr">
        <is>
          <t>Reduces exposure to All crisis types; improves Risk and continuity maturity, continuity and management visibility.</t>
        </is>
      </c>
      <c r="L57" s="3" t="n">
        <v>5</v>
      </c>
      <c r="M57" s="3" t="n">
        <v>5</v>
      </c>
      <c r="N57" s="3" t="n">
        <v>4</v>
      </c>
      <c r="O57" s="3" t="n">
        <v>3</v>
      </c>
      <c r="P57" s="3" t="n">
        <v>2</v>
      </c>
      <c r="Q57" s="3" t="n">
        <v>1</v>
      </c>
      <c r="R57" s="3" t="inlineStr">
        <is>
          <t>ISO 22301; ISO 22320; ISO 31000; ISO 37000; NIST SP 800-34; BCI Good Practice Guidelines; Bain RAPID</t>
        </is>
      </c>
      <c r="S57" s="3" t="inlineStr">
        <is>
          <t>Policy/SOP; owner/RACI; system report; dashboard; contracts; test records; incident history; interview evidence related to risk appetite for safety, cash, cyber, delivery, compliance, reputation and operational continuity.</t>
        </is>
      </c>
      <c r="T57" s="3" t="inlineStr">
        <is>
          <t>All crisis types</t>
        </is>
      </c>
      <c r="U57" s="3" t="inlineStr">
        <is>
          <t>CEO / COO / Risk</t>
        </is>
      </c>
      <c r="V57" s="3" t="inlineStr">
        <is>
          <t>Governance Crisis!12</t>
        </is>
      </c>
    </row>
    <row r="58" ht="85.5" customHeight="1" s="209">
      <c r="A58" s="3" t="inlineStr">
        <is>
          <t>GOVE-009</t>
        </is>
      </c>
      <c r="B58" s="3" t="inlineStr">
        <is>
          <t>Governance Crisis</t>
        </is>
      </c>
      <c r="C58" s="3" t="inlineStr">
        <is>
          <t>Risk and continuity</t>
        </is>
      </c>
      <c r="D58" s="3" t="inlineStr">
        <is>
          <t>How mature is the organization in managing early warning indicators for major crisis types and objective crisis activation triggers, including ownership, evidence, metrics, fallback procedures and crisis stress testing?</t>
        </is>
      </c>
      <c r="E58" s="3" t="inlineStr">
        <is>
          <t>Establish a basic owner and inventory for early warning indicators for major crisis types and objective crisis activation triggers. Define minimum policy, evidence location and immediate crisis relevance.</t>
        </is>
      </c>
      <c r="F58" s="3" t="inlineStr">
        <is>
          <t>Document early warning indicators for major crisis types and objective crisis activation triggers, assign RACI, define minimum controls/KPIs and collect evidence across the main business units or sites.</t>
        </is>
      </c>
      <c r="G58" s="3" t="inlineStr">
        <is>
          <t>Standardize early warning indicators for major crisis types and objective crisis activation triggers across the organization, close coverage gaps, link it to crisis scenarios and train accountable roles.</t>
        </is>
      </c>
      <c r="H58" s="3" t="inlineStr">
        <is>
          <t>Measure early warning indicators for major crisis types and objective crisis activation triggers, review it periodically, test it against disruption scenarios and integrate it with dependent processes or systems.</t>
        </is>
      </c>
      <c r="I58" s="3" t="inlineStr">
        <is>
          <t>Optimize and automate early warning indicators for major crisis types and objective crisis activation triggers where practical, use leading indicators, run periodic stress tests and update the crisis playbook.</t>
        </is>
      </c>
      <c r="J58" s="3" t="inlineStr">
        <is>
          <t>Maintain maturity for early warning indicators for major crisis types and objective crisis activation triggers. Monitor drift, keep evidence current, benchmark externally and refresh tests after major changes.</t>
        </is>
      </c>
      <c r="K58" s="3" t="inlineStr">
        <is>
          <t>Reduces exposure to All crisis types; improves Risk and continuity maturity, continuity and management visibility.</t>
        </is>
      </c>
      <c r="L58" s="3" t="n">
        <v>4</v>
      </c>
      <c r="M58" s="3" t="n">
        <v>4</v>
      </c>
      <c r="N58" s="3" t="n">
        <v>3</v>
      </c>
      <c r="O58" s="3" t="n">
        <v>2</v>
      </c>
      <c r="P58" s="3" t="n">
        <v>1</v>
      </c>
      <c r="Q58" s="3" t="n">
        <v>1</v>
      </c>
      <c r="R58" s="3" t="inlineStr">
        <is>
          <t>ISO 22301; ISO 22320; ISO 31000; ISO 37000; NIST SP 800-34; BCI Good Practice Guidelines; Bain RAPID</t>
        </is>
      </c>
      <c r="S58" s="3" t="inlineStr">
        <is>
          <t>Policy/SOP; owner/RACI; system report; dashboard; contracts; test records; incident history; interview evidence related to early warning indicators for major crisis types and objective crisis activation triggers.</t>
        </is>
      </c>
      <c r="T58" s="3" t="inlineStr">
        <is>
          <t>All crisis types</t>
        </is>
      </c>
      <c r="U58" s="3" t="inlineStr">
        <is>
          <t>CEO / COO / Risk</t>
        </is>
      </c>
      <c r="V58" s="3" t="inlineStr">
        <is>
          <t>Governance Crisis!13</t>
        </is>
      </c>
    </row>
    <row r="59" ht="85.5" customHeight="1" s="209">
      <c r="A59" s="3" t="inlineStr">
        <is>
          <t>GOVE-010</t>
        </is>
      </c>
      <c r="B59" s="3" t="inlineStr">
        <is>
          <t>Governance Crisis</t>
        </is>
      </c>
      <c r="C59" s="3" t="inlineStr">
        <is>
          <t>Risk and continuity</t>
        </is>
      </c>
      <c r="D59" s="3" t="inlineStr">
        <is>
          <t>How mature is the organization in managing business impact analysis across functions, sites, systems, people and suppliers, including ownership, evidence, metrics, fallback procedures and crisis stress testing?</t>
        </is>
      </c>
      <c r="E59" s="3" t="inlineStr">
        <is>
          <t>Establish a basic owner and inventory for business impact analysis across functions, sites, systems, people and suppliers. Define minimum policy, evidence location and immediate crisis relevance.</t>
        </is>
      </c>
      <c r="F59" s="3" t="inlineStr">
        <is>
          <t>Document business impact analysis across functions, sites, systems, people and suppliers, assign RACI, define minimum controls/KPIs and collect evidence across the main business units or sites.</t>
        </is>
      </c>
      <c r="G59" s="3" t="inlineStr">
        <is>
          <t>Standardize business impact analysis across functions, sites, systems, people and suppliers across the organization, close coverage gaps, link it to crisis scenarios and train accountable roles.</t>
        </is>
      </c>
      <c r="H59" s="3" t="inlineStr">
        <is>
          <t>Measure business impact analysis across functions, sites, systems, people and suppliers, review it periodically, test it against disruption scenarios and integrate it with dependent processes or systems.</t>
        </is>
      </c>
      <c r="I59" s="3" t="inlineStr">
        <is>
          <t>Optimize and automate business impact analysis across functions, sites, systems, people and suppliers where practical, use leading indicators, run periodic stress tests and update the crisis playbook.</t>
        </is>
      </c>
      <c r="J59" s="3" t="inlineStr">
        <is>
          <t>Maintain maturity for business impact analysis across functions, sites, systems, people and suppliers. Monitor drift, keep evidence current, benchmark externally and refresh tests after major changes.</t>
        </is>
      </c>
      <c r="K59" s="3" t="inlineStr">
        <is>
          <t>Reduces exposure to All crisis types; improves Risk and continuity maturity, continuity and management visibility.</t>
        </is>
      </c>
      <c r="L59" s="3" t="n">
        <v>4</v>
      </c>
      <c r="M59" s="3" t="n">
        <v>4</v>
      </c>
      <c r="N59" s="3" t="n">
        <v>3</v>
      </c>
      <c r="O59" s="3" t="n">
        <v>2</v>
      </c>
      <c r="P59" s="3" t="n">
        <v>1</v>
      </c>
      <c r="Q59" s="3" t="n">
        <v>1</v>
      </c>
      <c r="R59" s="3" t="inlineStr">
        <is>
          <t>ISO 22301; ISO 22320; ISO 31000; ISO 37000; NIST SP 800-34; BCI Good Practice Guidelines; Bain RAPID</t>
        </is>
      </c>
      <c r="S59" s="3" t="inlineStr">
        <is>
          <t>Policy/SOP; owner/RACI; system report; dashboard; contracts; test records; incident history; interview evidence related to business impact analysis across functions, sites, systems, people and suppliers.</t>
        </is>
      </c>
      <c r="T59" s="3" t="inlineStr">
        <is>
          <t>All crisis types</t>
        </is>
      </c>
      <c r="U59" s="3" t="inlineStr">
        <is>
          <t>CEO / COO / Risk</t>
        </is>
      </c>
      <c r="V59" s="3" t="inlineStr">
        <is>
          <t>Governance Crisis!14</t>
        </is>
      </c>
    </row>
    <row r="60" ht="85.5" customHeight="1" s="209">
      <c r="A60" s="3" t="inlineStr">
        <is>
          <t>GOVE-011</t>
        </is>
      </c>
      <c r="B60" s="3" t="inlineStr">
        <is>
          <t>Governance Crisis</t>
        </is>
      </c>
      <c r="C60" s="3" t="inlineStr">
        <is>
          <t>Risk and continuity</t>
        </is>
      </c>
      <c r="D60" s="3" t="inlineStr">
        <is>
          <t>How mature is the organization in managing business continuity plans covering critical processes, people, systems, sites, suppliers and communication, including ownership, evidence, metrics, fallback procedures and crisis stress testing?</t>
        </is>
      </c>
      <c r="E60" s="3" t="inlineStr">
        <is>
          <t>Establish a basic owner and inventory for business continuity plans covering critical processes, people, systems, sites, suppliers and communication. Define minimum policy, evidence location and immediate crisis relevance.</t>
        </is>
      </c>
      <c r="F60" s="3" t="inlineStr">
        <is>
          <t>Document business continuity plans covering critical processes, people, systems, sites, suppliers and communication, assign RACI, define minimum controls/KPIs and collect evidence across the main business units or sites.</t>
        </is>
      </c>
      <c r="G60" s="3" t="inlineStr">
        <is>
          <t>Standardize business continuity plans covering critical processes, people, systems, sites, suppliers and communication across the organization, close coverage gaps, link it to crisis scenarios and train accountable roles.</t>
        </is>
      </c>
      <c r="H60" s="3" t="inlineStr">
        <is>
          <t>Measure business continuity plans covering critical processes, people, systems, sites, suppliers and communication, review it periodically, test it against disruption scenarios and integrate it with dependent processes or systems.</t>
        </is>
      </c>
      <c r="I60" s="3" t="inlineStr">
        <is>
          <t>Optimize and automate business continuity plans covering critical processes, people, systems, sites, suppliers and communication where practical, use leading indicators, run periodic stress tests and update the crisis playbook.</t>
        </is>
      </c>
      <c r="J60" s="3" t="inlineStr">
        <is>
          <t>Maintain maturity for business continuity plans covering critical processes, people, systems, sites, suppliers and communication. Monitor drift, keep evidence current, benchmark externally and refresh tests after major changes.</t>
        </is>
      </c>
      <c r="K60" s="3" t="inlineStr">
        <is>
          <t>Reduces exposure to All crisis types; improves Risk and continuity maturity, continuity and management visibility.</t>
        </is>
      </c>
      <c r="L60" s="3" t="n">
        <v>5</v>
      </c>
      <c r="M60" s="3" t="n">
        <v>5</v>
      </c>
      <c r="N60" s="3" t="n">
        <v>5</v>
      </c>
      <c r="O60" s="3" t="n">
        <v>4</v>
      </c>
      <c r="P60" s="3" t="n">
        <v>3</v>
      </c>
      <c r="Q60" s="3" t="n">
        <v>1</v>
      </c>
      <c r="R60" s="3" t="inlineStr">
        <is>
          <t>ISO 22301; ISO 22320; ISO 31000; ISO 37000; NIST SP 800-34; BCI Good Practice Guidelines; Bain RAPID</t>
        </is>
      </c>
      <c r="S60" s="3" t="inlineStr">
        <is>
          <t>Policy/SOP; owner/RACI; system report; dashboard; contracts; test records; incident history; interview evidence related to business continuity plans covering critical processes, people, systems, sites, suppliers and communication.</t>
        </is>
      </c>
      <c r="T60" s="3" t="inlineStr">
        <is>
          <t>All crisis types</t>
        </is>
      </c>
      <c r="U60" s="3" t="inlineStr">
        <is>
          <t>CEO / COO / Risk</t>
        </is>
      </c>
      <c r="V60" s="3" t="inlineStr">
        <is>
          <t>Governance Crisis!15</t>
        </is>
      </c>
    </row>
    <row r="61" ht="99.75" customHeight="1" s="209">
      <c r="A61" s="3" t="inlineStr">
        <is>
          <t>GOVE-012</t>
        </is>
      </c>
      <c r="B61" s="3" t="inlineStr">
        <is>
          <t>Governance Crisis</t>
        </is>
      </c>
      <c r="C61" s="3" t="inlineStr">
        <is>
          <t>Risk and continuity</t>
        </is>
      </c>
      <c r="D61" s="3" t="inlineStr">
        <is>
          <t>How mature is the organization in managing scenario library covering cyberattack, war/security, site loss, supplier disruption, cloud outage, pandemic, demand shock and liquidity crisis, including ownership, evidence, metrics, fallback procedures and crisis stress testing?</t>
        </is>
      </c>
      <c r="E61" s="3" t="inlineStr">
        <is>
          <t>Establish a basic owner and inventory for scenario library covering cyberattack, war/security, site loss, supplier disruption, cloud outage, pandemic, demand shock and liquidity c.... Define minimum policy, evidence location and immediate crisis relevance.</t>
        </is>
      </c>
      <c r="F61" s="3" t="inlineStr">
        <is>
          <t>Document scenario library covering cyberattack, war/security, site loss, supplier disruption, cloud outage, pandemic, demand shock and liquidity c..., assign RACI, define minimum controls/KPIs and collect evidence across the main business units or sites.</t>
        </is>
      </c>
      <c r="G61" s="3" t="inlineStr">
        <is>
          <t>Standardize scenario library covering cyberattack, war/security, site loss, supplier disruption, cloud outage, pandemic, demand shock and liquidity c... across the organization, close coverage gaps, link it to crisis scenarios and train accountable roles.</t>
        </is>
      </c>
      <c r="H61" s="3" t="inlineStr">
        <is>
          <t>Measure scenario library covering cyberattack, war/security, site loss, supplier disruption, cloud outage, pandemic, demand shock and liquidity c..., review it periodically, test it against disruption scenarios and integrate it with dependent processes or systems.</t>
        </is>
      </c>
      <c r="I61" s="3" t="inlineStr">
        <is>
          <t>Optimize and automate scenario library covering cyberattack, war/security, site loss, supplier disruption, cloud outage, pandemic, demand shock and liquidity c... where practical, use leading indicators, run periodic stress tests and update the crisis playbook.</t>
        </is>
      </c>
      <c r="J61" s="3" t="inlineStr">
        <is>
          <t>Maintain maturity for scenario library covering cyberattack, war/security, site loss, supplier disruption, cloud outage, pandemic, demand shock and liquidity c.... Monitor drift, keep evidence current, benchmark externally and refresh tests after major changes.</t>
        </is>
      </c>
      <c r="K61" s="3" t="inlineStr">
        <is>
          <t>Reduces exposure to All crisis types; improves Risk and continuity maturity, continuity and management visibility.</t>
        </is>
      </c>
      <c r="L61" s="3" t="n">
        <v>5</v>
      </c>
      <c r="M61" s="3" t="n">
        <v>5</v>
      </c>
      <c r="N61" s="3" t="n">
        <v>4</v>
      </c>
      <c r="O61" s="3" t="n">
        <v>3</v>
      </c>
      <c r="P61" s="3" t="n">
        <v>2</v>
      </c>
      <c r="Q61" s="3" t="n">
        <v>1</v>
      </c>
      <c r="R61" s="3" t="inlineStr">
        <is>
          <t>ISO 22301; ISO 22320; ISO 31000; ISO 37000; NIST SP 800-34; BCI Good Practice Guidelines; Bain RAPID</t>
        </is>
      </c>
      <c r="S61" s="3" t="inlineStr">
        <is>
          <t>Policy/SOP; owner/RACI; system report; dashboard; contracts; test records; incident history; interview evidence related to scenario library covering cyberattack, war/security, site loss, supplier disruption, cloud outage, pandemic, demand shock and liquidity crisis.</t>
        </is>
      </c>
      <c r="T61" s="3" t="inlineStr">
        <is>
          <t>All crisis types</t>
        </is>
      </c>
      <c r="U61" s="3" t="inlineStr">
        <is>
          <t>CEO / COO / Risk</t>
        </is>
      </c>
      <c r="V61" s="3" t="inlineStr">
        <is>
          <t>Governance Crisis!16</t>
        </is>
      </c>
    </row>
    <row r="62" ht="85.5" customHeight="1" s="209">
      <c r="A62" s="3" t="inlineStr">
        <is>
          <t>GOVE-013</t>
        </is>
      </c>
      <c r="B62" s="3" t="inlineStr">
        <is>
          <t>Governance Crisis</t>
        </is>
      </c>
      <c r="C62" s="3" t="inlineStr">
        <is>
          <t>Risk and continuity</t>
        </is>
      </c>
      <c r="D62" s="3" t="inlineStr">
        <is>
          <t>How mature is the organization in managing continuity testing through tabletop exercises, simulations and real incident reviews, including ownership, evidence, metrics, fallback procedures and crisis stress testing?</t>
        </is>
      </c>
      <c r="E62" s="3" t="inlineStr">
        <is>
          <t>Establish a basic owner and inventory for continuity testing through tabletop exercises, simulations and real incident reviews. Define minimum policy, evidence location and immediate crisis relevance.</t>
        </is>
      </c>
      <c r="F62" s="3" t="inlineStr">
        <is>
          <t>Document continuity testing through tabletop exercises, simulations and real incident reviews, assign RACI, define minimum controls/KPIs and collect evidence across the main business units or sites.</t>
        </is>
      </c>
      <c r="G62" s="3" t="inlineStr">
        <is>
          <t>Standardize continuity testing through tabletop exercises, simulations and real incident reviews across the organization, close coverage gaps, link it to crisis scenarios and train accountable roles.</t>
        </is>
      </c>
      <c r="H62" s="3" t="inlineStr">
        <is>
          <t>Measure continuity testing through tabletop exercises, simulations and real incident reviews, review it periodically, test it against disruption scenarios and integrate it with dependent processes or systems.</t>
        </is>
      </c>
      <c r="I62" s="3" t="inlineStr">
        <is>
          <t>Optimize and automate continuity testing through tabletop exercises, simulations and real incident reviews where practical, use leading indicators, run periodic stress tests and update the crisis playbook.</t>
        </is>
      </c>
      <c r="J62" s="3" t="inlineStr">
        <is>
          <t>Maintain maturity for continuity testing through tabletop exercises, simulations and real incident reviews. Monitor drift, keep evidence current, benchmark externally and refresh tests after major changes.</t>
        </is>
      </c>
      <c r="K62" s="3" t="inlineStr">
        <is>
          <t>Reduces exposure to All crisis types; improves Risk and continuity maturity, continuity and management visibility.</t>
        </is>
      </c>
      <c r="L62" s="3" t="n">
        <v>4</v>
      </c>
      <c r="M62" s="3" t="n">
        <v>4</v>
      </c>
      <c r="N62" s="3" t="n">
        <v>3</v>
      </c>
      <c r="O62" s="3" t="n">
        <v>2</v>
      </c>
      <c r="P62" s="3" t="n">
        <v>1</v>
      </c>
      <c r="Q62" s="3" t="n">
        <v>1</v>
      </c>
      <c r="R62" s="3" t="inlineStr">
        <is>
          <t>ISO 22301; ISO 22320; ISO 31000; ISO 37000; NIST SP 800-34; BCI Good Practice Guidelines; Bain RAPID</t>
        </is>
      </c>
      <c r="S62" s="3" t="inlineStr">
        <is>
          <t>Policy/SOP; owner/RACI; system report; dashboard; contracts; test records; incident history; interview evidence related to continuity testing through tabletop exercises, simulations and real incident reviews.</t>
        </is>
      </c>
      <c r="T62" s="3" t="inlineStr">
        <is>
          <t>All crisis types</t>
        </is>
      </c>
      <c r="U62" s="3" t="inlineStr">
        <is>
          <t>CEO / COO / Risk</t>
        </is>
      </c>
      <c r="V62" s="3" t="inlineStr">
        <is>
          <t>Governance Crisis!17</t>
        </is>
      </c>
    </row>
    <row r="63" ht="85.5" customHeight="1" s="209">
      <c r="A63" s="3" t="inlineStr">
        <is>
          <t>GOVE-014</t>
        </is>
      </c>
      <c r="B63" s="3" t="inlineStr">
        <is>
          <t>Governance Crisis</t>
        </is>
      </c>
      <c r="C63" s="3" t="inlineStr">
        <is>
          <t>Incident management</t>
        </is>
      </c>
      <c r="D63" s="3" t="inlineStr">
        <is>
          <t>How mature is the organization in managing common incident classification model for severity, impact, escalation and communication, including ownership, evidence, metrics, fallback procedures and crisis stress testing?</t>
        </is>
      </c>
      <c r="E63" s="3" t="inlineStr">
        <is>
          <t>Establish a basic owner and inventory for common incident classification model for severity, impact, escalation and communication. Define minimum policy, evidence location and immediate crisis relevance.</t>
        </is>
      </c>
      <c r="F63" s="3" t="inlineStr">
        <is>
          <t>Document common incident classification model for severity, impact, escalation and communication, assign RACI, define minimum controls/KPIs and collect evidence across the main business units or sites.</t>
        </is>
      </c>
      <c r="G63" s="3" t="inlineStr">
        <is>
          <t>Standardize common incident classification model for severity, impact, escalation and communication across the organization, close coverage gaps, link it to crisis scenarios and train accountable roles.</t>
        </is>
      </c>
      <c r="H63" s="3" t="inlineStr">
        <is>
          <t>Measure common incident classification model for severity, impact, escalation and communication, review it periodically, test it against disruption scenarios and integrate it with dependent processes or systems.</t>
        </is>
      </c>
      <c r="I63" s="3" t="inlineStr">
        <is>
          <t>Optimize and automate common incident classification model for severity, impact, escalation and communication where practical, use leading indicators, run periodic stress tests and update the crisis playbook.</t>
        </is>
      </c>
      <c r="J63" s="3" t="inlineStr">
        <is>
          <t>Maintain maturity for common incident classification model for severity, impact, escalation and communication. Monitor drift, keep evidence current, benchmark externally and refresh tests after major changes.</t>
        </is>
      </c>
      <c r="K63" s="3" t="inlineStr">
        <is>
          <t>Reduces exposure to All crisis types; improves Incident management maturity, continuity and management visibility.</t>
        </is>
      </c>
      <c r="L63" s="3" t="n">
        <v>4</v>
      </c>
      <c r="M63" s="3" t="n">
        <v>4</v>
      </c>
      <c r="N63" s="3" t="n">
        <v>3</v>
      </c>
      <c r="O63" s="3" t="n">
        <v>2</v>
      </c>
      <c r="P63" s="3" t="n">
        <v>1</v>
      </c>
      <c r="Q63" s="3" t="n">
        <v>1</v>
      </c>
      <c r="R63" s="3" t="inlineStr">
        <is>
          <t>ISO 22301; ISO 22320; ISO 31000; ISO 37000; NIST SP 800-34; BCI Good Practice Guidelines; Bain RAPID</t>
        </is>
      </c>
      <c r="S63" s="3" t="inlineStr">
        <is>
          <t>Policy/SOP; owner/RACI; system report; dashboard; contracts; test records; incident history; interview evidence related to common incident classification model for severity, impact, escalation and communication.</t>
        </is>
      </c>
      <c r="T63" s="3" t="inlineStr">
        <is>
          <t>All crisis types</t>
        </is>
      </c>
      <c r="U63" s="3" t="inlineStr">
        <is>
          <t>CEO / COO / Risk</t>
        </is>
      </c>
      <c r="V63" s="3" t="inlineStr">
        <is>
          <t>Governance Crisis!18</t>
        </is>
      </c>
    </row>
    <row r="64" ht="85.5" customHeight="1" s="209">
      <c r="A64" s="3" t="inlineStr">
        <is>
          <t>GOVE-015</t>
        </is>
      </c>
      <c r="B64" s="3" t="inlineStr">
        <is>
          <t>Governance Crisis</t>
        </is>
      </c>
      <c r="C64" s="3" t="inlineStr">
        <is>
          <t>Incident management</t>
        </is>
      </c>
      <c r="D64" s="3" t="inlineStr">
        <is>
          <t>How mature is the organization in managing post-incident review process that converts incidents into corrective and preventive actions, including ownership, evidence, metrics, fallback procedures and crisis stress testing?</t>
        </is>
      </c>
      <c r="E64" s="3" t="inlineStr">
        <is>
          <t>Establish a basic owner and inventory for post-incident review process that converts incidents into corrective and preventive actions. Define minimum policy, evidence location and immediate crisis relevance.</t>
        </is>
      </c>
      <c r="F64" s="3" t="inlineStr">
        <is>
          <t>Document post-incident review process that converts incidents into corrective and preventive actions, assign RACI, define minimum controls/KPIs and collect evidence across the main business units or sites.</t>
        </is>
      </c>
      <c r="G64" s="3" t="inlineStr">
        <is>
          <t>Standardize post-incident review process that converts incidents into corrective and preventive actions across the organization, close coverage gaps, link it to crisis scenarios and train accountable roles.</t>
        </is>
      </c>
      <c r="H64" s="3" t="inlineStr">
        <is>
          <t>Measure post-incident review process that converts incidents into corrective and preventive actions, review it periodically, test it against disruption scenarios and integrate it with dependent processes or systems.</t>
        </is>
      </c>
      <c r="I64" s="3" t="inlineStr">
        <is>
          <t>Optimize and automate post-incident review process that converts incidents into corrective and preventive actions where practical, use leading indicators, run periodic stress tests and update the crisis playbook.</t>
        </is>
      </c>
      <c r="J64" s="3" t="inlineStr">
        <is>
          <t>Maintain maturity for post-incident review process that converts incidents into corrective and preventive actions. Monitor drift, keep evidence current, benchmark externally and refresh tests after major changes.</t>
        </is>
      </c>
      <c r="K64" s="3" t="inlineStr">
        <is>
          <t>Reduces exposure to All crisis types; improves Incident management maturity, continuity and management visibility.</t>
        </is>
      </c>
      <c r="L64" s="3" t="n">
        <v>4</v>
      </c>
      <c r="M64" s="3" t="n">
        <v>4</v>
      </c>
      <c r="N64" s="3" t="n">
        <v>3</v>
      </c>
      <c r="O64" s="3" t="n">
        <v>2</v>
      </c>
      <c r="P64" s="3" t="n">
        <v>1</v>
      </c>
      <c r="Q64" s="3" t="n">
        <v>1</v>
      </c>
      <c r="R64" s="3" t="inlineStr">
        <is>
          <t>ISO 22301; ISO 22320; ISO 31000; ISO 37000; NIST SP 800-34; BCI Good Practice Guidelines; Bain RAPID</t>
        </is>
      </c>
      <c r="S64" s="3" t="inlineStr">
        <is>
          <t>Policy/SOP; owner/RACI; system report; dashboard; contracts; test records; incident history; interview evidence related to post-incident review process that converts incidents into corrective and preventive actions.</t>
        </is>
      </c>
      <c r="T64" s="3" t="inlineStr">
        <is>
          <t>All crisis types</t>
        </is>
      </c>
      <c r="U64" s="3" t="inlineStr">
        <is>
          <t>CEO / COO / Risk</t>
        </is>
      </c>
      <c r="V64" s="3" t="inlineStr">
        <is>
          <t>Governance Crisis!19</t>
        </is>
      </c>
    </row>
    <row r="65" ht="85.5" customHeight="1" s="209">
      <c r="A65" s="3" t="inlineStr">
        <is>
          <t>GOVE-016</t>
        </is>
      </c>
      <c r="B65" s="3" t="inlineStr">
        <is>
          <t>Governance Crisis</t>
        </is>
      </c>
      <c r="C65" s="3" t="inlineStr">
        <is>
          <t>Incident management</t>
        </is>
      </c>
      <c r="D65" s="3" t="inlineStr">
        <is>
          <t>How mature is the organization in managing interdependency map linking functions, sites, systems, people, suppliers and customers, including ownership, evidence, metrics, fallback procedures and crisis stress testing?</t>
        </is>
      </c>
      <c r="E65" s="3" t="inlineStr">
        <is>
          <t>Establish a basic owner and inventory for interdependency map linking functions, sites, systems, people, suppliers and customers. Define minimum policy, evidence location and immediate crisis relevance.</t>
        </is>
      </c>
      <c r="F65" s="3" t="inlineStr">
        <is>
          <t>Document interdependency map linking functions, sites, systems, people, suppliers and customers, assign RACI, define minimum controls/KPIs and collect evidence across the main business units or sites.</t>
        </is>
      </c>
      <c r="G65" s="3" t="inlineStr">
        <is>
          <t>Standardize interdependency map linking functions, sites, systems, people, suppliers and customers across the organization, close coverage gaps, link it to crisis scenarios and train accountable roles.</t>
        </is>
      </c>
      <c r="H65" s="3" t="inlineStr">
        <is>
          <t>Measure interdependency map linking functions, sites, systems, people, suppliers and customers, review it periodically, test it against disruption scenarios and integrate it with dependent processes or systems.</t>
        </is>
      </c>
      <c r="I65" s="3" t="inlineStr">
        <is>
          <t>Optimize and automate interdependency map linking functions, sites, systems, people, suppliers and customers where practical, use leading indicators, run periodic stress tests and update the crisis playbook.</t>
        </is>
      </c>
      <c r="J65" s="3" t="inlineStr">
        <is>
          <t>Maintain maturity for interdependency map linking functions, sites, systems, people, suppliers and customers. Monitor drift, keep evidence current, benchmark externally and refresh tests after major changes.</t>
        </is>
      </c>
      <c r="K65" s="3" t="inlineStr">
        <is>
          <t>Reduces exposure to All crisis types; improves Incident management maturity, continuity and management visibility.</t>
        </is>
      </c>
      <c r="L65" s="3" t="n">
        <v>4</v>
      </c>
      <c r="M65" s="3" t="n">
        <v>4</v>
      </c>
      <c r="N65" s="3" t="n">
        <v>3</v>
      </c>
      <c r="O65" s="3" t="n">
        <v>2</v>
      </c>
      <c r="P65" s="3" t="n">
        <v>1</v>
      </c>
      <c r="Q65" s="3" t="n">
        <v>1</v>
      </c>
      <c r="R65" s="3" t="inlineStr">
        <is>
          <t>ISO 22301; ISO 22320; ISO 31000; ISO 37000; NIST SP 800-34; BCI Good Practice Guidelines; Bain RAPID</t>
        </is>
      </c>
      <c r="S65" s="3" t="inlineStr">
        <is>
          <t>Policy/SOP; owner/RACI; system report; dashboard; contracts; test records; incident history; interview evidence related to interdependency map linking functions, sites, systems, people, suppliers and customers.</t>
        </is>
      </c>
      <c r="T65" s="3" t="inlineStr">
        <is>
          <t>All crisis types</t>
        </is>
      </c>
      <c r="U65" s="3" t="inlineStr">
        <is>
          <t>CEO / COO / Risk</t>
        </is>
      </c>
      <c r="V65" s="3" t="inlineStr">
        <is>
          <t>Governance Crisis!20</t>
        </is>
      </c>
    </row>
    <row r="66" ht="85.5" customHeight="1" s="209">
      <c r="A66" s="3" t="inlineStr">
        <is>
          <t>GOVE-017</t>
        </is>
      </c>
      <c r="B66" s="3" t="inlineStr">
        <is>
          <t>Governance Crisis</t>
        </is>
      </c>
      <c r="C66" s="3" t="inlineStr">
        <is>
          <t>Incident management</t>
        </is>
      </c>
      <c r="D66" s="3" t="inlineStr">
        <is>
          <t>How mature is the organization in managing crisis communication protocol for employees, customers, suppliers, regulators, insurers and media, including ownership, evidence, metrics, fallback procedures and crisis stress testing?</t>
        </is>
      </c>
      <c r="E66" s="3" t="inlineStr">
        <is>
          <t>Establish a basic owner and inventory for crisis communication protocol for employees, customers, suppliers, regulators, insurers and media. Define minimum policy, evidence location and immediate crisis relevance.</t>
        </is>
      </c>
      <c r="F66" s="3" t="inlineStr">
        <is>
          <t>Document crisis communication protocol for employees, customers, suppliers, regulators, insurers and media, assign RACI, define minimum controls/KPIs and collect evidence across the main business units or sites.</t>
        </is>
      </c>
      <c r="G66" s="3" t="inlineStr">
        <is>
          <t>Standardize crisis communication protocol for employees, customers, suppliers, regulators, insurers and media across the organization, close coverage gaps, link it to crisis scenarios and train accountable roles.</t>
        </is>
      </c>
      <c r="H66" s="3" t="inlineStr">
        <is>
          <t>Measure crisis communication protocol for employees, customers, suppliers, regulators, insurers and media, review it periodically, test it against disruption scenarios and integrate it with dependent processes or systems.</t>
        </is>
      </c>
      <c r="I66" s="3" t="inlineStr">
        <is>
          <t>Optimize and automate crisis communication protocol for employees, customers, suppliers, regulators, insurers and media where practical, use leading indicators, run periodic stress tests and update the crisis playbook.</t>
        </is>
      </c>
      <c r="J66" s="3" t="inlineStr">
        <is>
          <t>Maintain maturity for crisis communication protocol for employees, customers, suppliers, regulators, insurers and media. Monitor drift, keep evidence current, benchmark externally and refresh tests after major changes.</t>
        </is>
      </c>
      <c r="K66" s="3" t="inlineStr">
        <is>
          <t>Reduces exposure to All crisis types; improves Incident management maturity, continuity and management visibility.</t>
        </is>
      </c>
      <c r="L66" s="3" t="n">
        <v>4</v>
      </c>
      <c r="M66" s="3" t="n">
        <v>4</v>
      </c>
      <c r="N66" s="3" t="n">
        <v>3</v>
      </c>
      <c r="O66" s="3" t="n">
        <v>2</v>
      </c>
      <c r="P66" s="3" t="n">
        <v>1</v>
      </c>
      <c r="Q66" s="3" t="n">
        <v>1</v>
      </c>
      <c r="R66" s="3" t="inlineStr">
        <is>
          <t>ISO 22301; ISO 22320; ISO 31000; ISO 37000; NIST SP 800-34; BCI Good Practice Guidelines; Bain RAPID</t>
        </is>
      </c>
      <c r="S66" s="3" t="inlineStr">
        <is>
          <t>Policy/SOP; owner/RACI; system report; dashboard; contracts; test records; incident history; interview evidence related to crisis communication protocol for employees, customers, suppliers, regulators, insurers and media.</t>
        </is>
      </c>
      <c r="T66" s="3" t="inlineStr">
        <is>
          <t>All crisis types</t>
        </is>
      </c>
      <c r="U66" s="3" t="inlineStr">
        <is>
          <t>CEO / COO / Risk</t>
        </is>
      </c>
      <c r="V66" s="3" t="inlineStr">
        <is>
          <t>Governance Crisis!21</t>
        </is>
      </c>
    </row>
    <row r="67" ht="71.25" customHeight="1" s="209">
      <c r="A67" s="3" t="inlineStr">
        <is>
          <t>GOVE-018</t>
        </is>
      </c>
      <c r="B67" s="3" t="inlineStr">
        <is>
          <t>Governance Crisis</t>
        </is>
      </c>
      <c r="C67" s="3" t="inlineStr">
        <is>
          <t>Incident management</t>
        </is>
      </c>
      <c r="D67" s="3" t="inlineStr">
        <is>
          <t>How mature is the organization in managing mass notification and emergency coordination tools, including ownership, evidence, metrics, fallback procedures and crisis stress testing?</t>
        </is>
      </c>
      <c r="E67" s="3" t="inlineStr">
        <is>
          <t>Establish a basic owner and inventory for mass notification and emergency coordination tools. Define minimum policy, evidence location and immediate crisis relevance.</t>
        </is>
      </c>
      <c r="F67" s="3" t="inlineStr">
        <is>
          <t>Document mass notification and emergency coordination tools, assign RACI, define minimum controls/KPIs and collect evidence across the main business units or sites.</t>
        </is>
      </c>
      <c r="G67" s="3" t="inlineStr">
        <is>
          <t>Standardize mass notification and emergency coordination tools across the organization, close coverage gaps, link it to crisis scenarios and train accountable roles.</t>
        </is>
      </c>
      <c r="H67" s="3" t="inlineStr">
        <is>
          <t>Measure mass notification and emergency coordination tools, review it periodically, test it against disruption scenarios and integrate it with dependent processes or systems.</t>
        </is>
      </c>
      <c r="I67" s="3" t="inlineStr">
        <is>
          <t>Optimize and automate mass notification and emergency coordination tools where practical, use leading indicators, run periodic stress tests and update the crisis playbook.</t>
        </is>
      </c>
      <c r="J67" s="3" t="inlineStr">
        <is>
          <t>Maintain maturity for mass notification and emergency coordination tools. Monitor drift, keep evidence current, benchmark externally and refresh tests after major changes.</t>
        </is>
      </c>
      <c r="K67" s="3" t="inlineStr">
        <is>
          <t>Reduces exposure to All crisis types; improves Incident management maturity, continuity and management visibility.</t>
        </is>
      </c>
      <c r="L67" s="3" t="n">
        <v>4</v>
      </c>
      <c r="M67" s="3" t="n">
        <v>4</v>
      </c>
      <c r="N67" s="3" t="n">
        <v>3</v>
      </c>
      <c r="O67" s="3" t="n">
        <v>2</v>
      </c>
      <c r="P67" s="3" t="n">
        <v>1</v>
      </c>
      <c r="Q67" s="3" t="n">
        <v>1</v>
      </c>
      <c r="R67" s="3" t="inlineStr">
        <is>
          <t>ISO 22301; ISO 22320; ISO 31000; ISO 37000; NIST SP 800-34; BCI Good Practice Guidelines; Bain RAPID</t>
        </is>
      </c>
      <c r="S67" s="3" t="inlineStr">
        <is>
          <t>Policy/SOP; owner/RACI; system report; dashboard; contracts; test records; incident history; interview evidence related to mass notification and emergency coordination tools.</t>
        </is>
      </c>
      <c r="T67" s="3" t="inlineStr">
        <is>
          <t>All crisis types</t>
        </is>
      </c>
      <c r="U67" s="3" t="inlineStr">
        <is>
          <t>CEO / COO / Risk</t>
        </is>
      </c>
      <c r="V67" s="3" t="inlineStr">
        <is>
          <t>Governance Crisis!22</t>
        </is>
      </c>
    </row>
    <row r="68" ht="85.5" customHeight="1" s="209">
      <c r="A68" s="3" t="inlineStr">
        <is>
          <t>GOVE-019</t>
        </is>
      </c>
      <c r="B68" s="3" t="inlineStr">
        <is>
          <t>Governance Crisis</t>
        </is>
      </c>
      <c r="C68" s="3" t="inlineStr">
        <is>
          <t>Incident management</t>
        </is>
      </c>
      <c r="D68" s="3" t="inlineStr">
        <is>
          <t>How mature is the organization in managing crisis lessons-learned process tied to improvement backlog and management review, including ownership, evidence, metrics, fallback procedures and crisis stress testing?</t>
        </is>
      </c>
      <c r="E68" s="3" t="inlineStr">
        <is>
          <t>Establish a basic owner and inventory for crisis lessons-learned process tied to improvement backlog and management review. Define minimum policy, evidence location and immediate crisis relevance.</t>
        </is>
      </c>
      <c r="F68" s="3" t="inlineStr">
        <is>
          <t>Document crisis lessons-learned process tied to improvement backlog and management review, assign RACI, define minimum controls/KPIs and collect evidence across the main business units or sites.</t>
        </is>
      </c>
      <c r="G68" s="3" t="inlineStr">
        <is>
          <t>Standardize crisis lessons-learned process tied to improvement backlog and management review across the organization, close coverage gaps, link it to crisis scenarios and train accountable roles.</t>
        </is>
      </c>
      <c r="H68" s="3" t="inlineStr">
        <is>
          <t>Measure crisis lessons-learned process tied to improvement backlog and management review, review it periodically, test it against disruption scenarios and integrate it with dependent processes or systems.</t>
        </is>
      </c>
      <c r="I68" s="3" t="inlineStr">
        <is>
          <t>Optimize and automate crisis lessons-learned process tied to improvement backlog and management review where practical, use leading indicators, run periodic stress tests and update the crisis playbook.</t>
        </is>
      </c>
      <c r="J68" s="3" t="inlineStr">
        <is>
          <t>Maintain maturity for crisis lessons-learned process tied to improvement backlog and management review. Monitor drift, keep evidence current, benchmark externally and refresh tests after major changes.</t>
        </is>
      </c>
      <c r="K68" s="3" t="inlineStr">
        <is>
          <t>Reduces exposure to All crisis types; improves Incident management maturity, continuity and management visibility.</t>
        </is>
      </c>
      <c r="L68" s="3" t="n">
        <v>4</v>
      </c>
      <c r="M68" s="3" t="n">
        <v>4</v>
      </c>
      <c r="N68" s="3" t="n">
        <v>3</v>
      </c>
      <c r="O68" s="3" t="n">
        <v>2</v>
      </c>
      <c r="P68" s="3" t="n">
        <v>1</v>
      </c>
      <c r="Q68" s="3" t="n">
        <v>1</v>
      </c>
      <c r="R68" s="3" t="inlineStr">
        <is>
          <t>ISO 22301; ISO 22320; ISO 31000; ISO 37000; NIST SP 800-34; BCI Good Practice Guidelines; Bain RAPID</t>
        </is>
      </c>
      <c r="S68" s="3" t="inlineStr">
        <is>
          <t>Policy/SOP; owner/RACI; system report; dashboard; contracts; test records; incident history; interview evidence related to crisis lessons-learned process tied to improvement backlog and management review.</t>
        </is>
      </c>
      <c r="T68" s="3" t="inlineStr">
        <is>
          <t>All crisis types</t>
        </is>
      </c>
      <c r="U68" s="3" t="inlineStr">
        <is>
          <t>CEO / COO / Risk</t>
        </is>
      </c>
      <c r="V68" s="3" t="inlineStr">
        <is>
          <t>Governance Crisis!23</t>
        </is>
      </c>
    </row>
    <row r="69" ht="85.5" customHeight="1" s="209">
      <c r="A69" s="3" t="inlineStr">
        <is>
          <t>GOVE-020</t>
        </is>
      </c>
      <c r="B69" s="3" t="inlineStr">
        <is>
          <t>Governance Crisis</t>
        </is>
      </c>
      <c r="C69" s="3" t="inlineStr">
        <is>
          <t>Risk and continuity</t>
        </is>
      </c>
      <c r="D69" s="3" t="inlineStr">
        <is>
          <t>How mature is the organization in managing offline availability of continuity plans, runbooks, contact lists and key contracts when core IT is unavailable, including ownership, evidence, metrics, fallback procedures and crisis stress testing?</t>
        </is>
      </c>
      <c r="E69" s="3" t="inlineStr">
        <is>
          <t>Establish a basic owner and inventory for offline availability of continuity plans, runbooks, contact lists and key contracts when core IT is unavailable. Define minimum policy, evidence location and immediate crisis relevance.</t>
        </is>
      </c>
      <c r="F69" s="3" t="inlineStr">
        <is>
          <t>Document offline availability of continuity plans, runbooks, contact lists and key contracts when core IT is unavailable, assign RACI, define minimum controls/KPIs and collect evidence across the main business units or sites.</t>
        </is>
      </c>
      <c r="G69" s="3" t="inlineStr">
        <is>
          <t>Standardize offline availability of continuity plans, runbooks, contact lists and key contracts when core IT is unavailable across the organization, close coverage gaps, link it to crisis scenarios and train accountable roles.</t>
        </is>
      </c>
      <c r="H69" s="3" t="inlineStr">
        <is>
          <t>Measure offline availability of continuity plans, runbooks, contact lists and key contracts when core IT is unavailable, review it periodically, test it against disruption scenarios and integrate it with dependent processes or systems.</t>
        </is>
      </c>
      <c r="I69" s="3" t="inlineStr">
        <is>
          <t>Optimize and automate offline availability of continuity plans, runbooks, contact lists and key contracts when core IT is unavailable where practical, use leading indicators, run periodic stress tests and update the crisis playbook.</t>
        </is>
      </c>
      <c r="J69" s="3" t="inlineStr">
        <is>
          <t>Maintain maturity for offline availability of continuity plans, runbooks, contact lists and key contracts when core IT is unavailable. Monitor drift, keep evidence current, benchmark externally and refresh tests after major changes.</t>
        </is>
      </c>
      <c r="K69" s="3" t="inlineStr">
        <is>
          <t>Reduces exposure to Cyberattack/ransomware; Energy/utilities outage; Cloud/SaaS outage; improves Risk and continuity maturity, continuity and management visibility.</t>
        </is>
      </c>
      <c r="L69" s="3" t="n">
        <v>2</v>
      </c>
      <c r="M69" s="3" t="n">
        <v>2</v>
      </c>
      <c r="N69" s="3" t="n">
        <v>2</v>
      </c>
      <c r="O69" s="3" t="n">
        <v>1</v>
      </c>
      <c r="P69" s="3" t="n">
        <v>1</v>
      </c>
      <c r="Q69" s="3" t="n">
        <v>1</v>
      </c>
      <c r="R69" s="3" t="inlineStr">
        <is>
          <t>ISO 22301; NIST SP 800-34</t>
        </is>
      </c>
      <c r="S69" s="3" t="inlineStr">
        <is>
          <t>Policy/SOP; owner/RACI; system report; dashboard; contracts; test records; incident history; interview evidence related to offline availability of continuity plans, runbooks, contact lists and key contracts when core IT is unavailable</t>
        </is>
      </c>
      <c r="T69" s="3" t="inlineStr">
        <is>
          <t>Cyberattack/ransomware; Energy/utilities outage; Cloud/SaaS outage</t>
        </is>
      </c>
      <c r="U69" s="3" t="inlineStr">
        <is>
          <t>COO / Risk</t>
        </is>
      </c>
      <c r="V69" s="3" t="inlineStr">
        <is>
          <t>Governance Crisis!24</t>
        </is>
      </c>
    </row>
    <row r="70" ht="99.75" customHeight="1" s="209">
      <c r="A70" s="3" t="inlineStr">
        <is>
          <t>GOVE-021</t>
        </is>
      </c>
      <c r="B70" s="3" t="inlineStr">
        <is>
          <t>Governance Crisis</t>
        </is>
      </c>
      <c r="C70" s="3" t="inlineStr">
        <is>
          <t>Crisis governance</t>
        </is>
      </c>
      <c r="D70" s="3" t="inlineStr">
        <is>
          <t>How mature is the organization in managing primary and alternate crisis command arrangements with independent communications and access to crisis tools, including ownership, evidence, metrics, fallback procedures and crisis stress testing?</t>
        </is>
      </c>
      <c r="E70" s="3" t="inlineStr">
        <is>
          <t>Establish a basic owner and inventory for primary and alternate crisis command arrangements with independent communications and access to crisis tools. Define minimum policy, evidence location and immediate crisis relevance.</t>
        </is>
      </c>
      <c r="F70" s="3" t="inlineStr">
        <is>
          <t>Document primary and alternate crisis command arrangements with independent communications and access to crisis tools, assign RACI, define minimum controls/KPIs and collect evidence across the main business units or sites.</t>
        </is>
      </c>
      <c r="G70" s="3" t="inlineStr">
        <is>
          <t>Standardize primary and alternate crisis command arrangements with independent communications and access to crisis tools across the organization, close coverage gaps, link it to crisis scenarios and train accountable roles.</t>
        </is>
      </c>
      <c r="H70" s="3" t="inlineStr">
        <is>
          <t>Measure primary and alternate crisis command arrangements with independent communications and access to crisis tools, review it periodically, test it against disruption scenarios and integrate it with dependent processes or systems.</t>
        </is>
      </c>
      <c r="I70" s="3" t="inlineStr">
        <is>
          <t>Optimize and automate primary and alternate crisis command arrangements with independent communications and access to crisis tools where practical, use leading indicators, run periodic stress tests and update the crisis playbook.</t>
        </is>
      </c>
      <c r="J70" s="3" t="inlineStr">
        <is>
          <t>Maintain maturity for primary and alternate crisis command arrangements with independent communications and access to crisis tools. Monitor drift, keep evidence current, benchmark externally and refresh tests after major changes.</t>
        </is>
      </c>
      <c r="K70" s="3" t="inlineStr">
        <is>
          <t>Reduces exposure to War/security crisis; Physical site loss; Energy/utilities outage; improves Crisis governance maturity, continuity and management visibility.</t>
        </is>
      </c>
      <c r="L70" s="3" t="n">
        <v>3</v>
      </c>
      <c r="M70" s="3" t="n">
        <v>3</v>
      </c>
      <c r="N70" s="3" t="n">
        <v>2</v>
      </c>
      <c r="O70" s="3" t="n">
        <v>2</v>
      </c>
      <c r="P70" s="3" t="n">
        <v>1</v>
      </c>
      <c r="Q70" s="3" t="n">
        <v>1</v>
      </c>
      <c r="R70" s="3" t="inlineStr">
        <is>
          <t>ISO 22301; ISO 22320</t>
        </is>
      </c>
      <c r="S70" s="3" t="inlineStr">
        <is>
          <t>Policy/SOP; owner/RACI; system report; dashboard; contracts; test records; incident history; interview evidence related to primary and alternate crisis command arrangements with independent communications and access to crisis tools</t>
        </is>
      </c>
      <c r="T70" s="3" t="inlineStr">
        <is>
          <t>War/security crisis; Physical site loss; Energy/utilities outage</t>
        </is>
      </c>
      <c r="U70" s="3" t="inlineStr">
        <is>
          <t>COO / Risk</t>
        </is>
      </c>
      <c r="V70" s="3" t="inlineStr">
        <is>
          <t>Governance Crisis!25</t>
        </is>
      </c>
    </row>
    <row r="71" ht="85.5" customHeight="1" s="209">
      <c r="A71" s="3" t="inlineStr">
        <is>
          <t>GOVE-022</t>
        </is>
      </c>
      <c r="B71" s="3" t="inlineStr">
        <is>
          <t>Governance Crisis</t>
        </is>
      </c>
      <c r="C71" s="3" t="inlineStr">
        <is>
          <t>Risk and continuity</t>
        </is>
      </c>
      <c r="D71" s="3" t="inlineStr">
        <is>
          <t>How mature is the organization in managing joint crisis exercises with critical suppliers, customers, authorities and insurers, including ownership, evidence, metrics, fallback procedures and crisis stress testing?</t>
        </is>
      </c>
      <c r="E71" s="3" t="inlineStr">
        <is>
          <t>Establish a basic owner and inventory for joint crisis exercises with critical suppliers, customers, authorities and insurers. Define minimum policy, evidence location and immediate crisis relevance.</t>
        </is>
      </c>
      <c r="F71" s="3" t="inlineStr">
        <is>
          <t>Document joint crisis exercises with critical suppliers, customers, authorities and insurers, assign RACI, define minimum controls/KPIs and collect evidence across the main business units or sites.</t>
        </is>
      </c>
      <c r="G71" s="3" t="inlineStr">
        <is>
          <t>Standardize joint crisis exercises with critical suppliers, customers, authorities and insurers across the organization, close coverage gaps, link it to crisis scenarios and train accountable roles.</t>
        </is>
      </c>
      <c r="H71" s="3" t="inlineStr">
        <is>
          <t>Measure joint crisis exercises with critical suppliers, customers, authorities and insurers, review it periodically, test it against disruption scenarios and integrate it with dependent processes or systems.</t>
        </is>
      </c>
      <c r="I71" s="3" t="inlineStr">
        <is>
          <t>Optimize and automate joint crisis exercises with critical suppliers, customers, authorities and insurers where practical, use leading indicators, run periodic stress tests and update the crisis playbook.</t>
        </is>
      </c>
      <c r="J71" s="3" t="inlineStr">
        <is>
          <t>Maintain maturity for joint crisis exercises with critical suppliers, customers, authorities and insurers. Monitor drift, keep evidence current, benchmark externally and refresh tests after major changes.</t>
        </is>
      </c>
      <c r="K71" s="3" t="inlineStr">
        <is>
          <t>Reduces exposure to Supplier/logistics disruption; War/security crisis; Cyberattack/ransomware; improves Risk and continuity maturity, continuity and management visibility.</t>
        </is>
      </c>
      <c r="L71" s="3" t="n">
        <v>3</v>
      </c>
      <c r="M71" s="3" t="n">
        <v>3</v>
      </c>
      <c r="N71" s="3" t="n">
        <v>2</v>
      </c>
      <c r="O71" s="3" t="n">
        <v>2</v>
      </c>
      <c r="P71" s="3" t="n">
        <v>2</v>
      </c>
      <c r="Q71" s="3" t="n">
        <v>1</v>
      </c>
      <c r="R71" s="3" t="inlineStr">
        <is>
          <t>ISO 22301; ISO 22398</t>
        </is>
      </c>
      <c r="S71" s="3" t="inlineStr">
        <is>
          <t>Policy/SOP; owner/RACI; system report; dashboard; contracts; test records; incident history; interview evidence related to joint crisis exercises with critical suppliers, customers, authorities and insurers</t>
        </is>
      </c>
      <c r="T71" s="3" t="inlineStr">
        <is>
          <t>Supplier/logistics disruption; War/security crisis; Cyberattack/ransomware</t>
        </is>
      </c>
      <c r="U71" s="3" t="inlineStr">
        <is>
          <t>COO / Risk</t>
        </is>
      </c>
      <c r="V71" s="3" t="inlineStr">
        <is>
          <t>Governance Crisis!26</t>
        </is>
      </c>
    </row>
    <row r="72" ht="85.5" customHeight="1" s="209">
      <c r="A72" s="3" t="inlineStr">
        <is>
          <t>HRWO-001</t>
        </is>
      </c>
      <c r="B72" s="3" t="inlineStr">
        <is>
          <t>HR Workforce</t>
        </is>
      </c>
      <c r="C72" s="3" t="inlineStr">
        <is>
          <t>Workforce visibility</t>
        </is>
      </c>
      <c r="D72" s="3" t="inlineStr">
        <is>
          <t>How mature is the organization in managing workforce inventory by role, location, manager, contract type, employment entity, skill and criticality, including ownership, evidence, metrics, fallback procedures and crisis stress testing?</t>
        </is>
      </c>
      <c r="E72" s="3" t="inlineStr">
        <is>
          <t>Establish a basic owner and inventory for workforce inventory by role, location, manager, contract type, employment entity, skill and criticality. Define minimum policy, evidence location and immediate crisis relevance.</t>
        </is>
      </c>
      <c r="F72" s="3" t="inlineStr">
        <is>
          <t>Document workforce inventory by role, location, manager, contract type, employment entity, skill and criticality, assign RACI, define minimum controls/KPIs and collect evidence across the main business units or sites.</t>
        </is>
      </c>
      <c r="G72" s="3" t="inlineStr">
        <is>
          <t>Standardize workforce inventory by role, location, manager, contract type, employment entity, skill and criticality across the organization, close coverage gaps, link it to crisis scenarios and train accountable roles.</t>
        </is>
      </c>
      <c r="H72" s="3" t="inlineStr">
        <is>
          <t>Measure workforce inventory by role, location, manager, contract type, employment entity, skill and criticality, review it periodically, test it against disruption scenarios and integrate it with dependent processes or systems.</t>
        </is>
      </c>
      <c r="I72" s="3" t="inlineStr">
        <is>
          <t>Optimize and automate workforce inventory by role, location, manager, contract type, employment entity, skill and criticality where practical, use leading indicators, run periodic stress tests and update the crisis playbook.</t>
        </is>
      </c>
      <c r="J72" s="3" t="inlineStr">
        <is>
          <t>Maintain maturity for workforce inventory by role, location, manager, contract type, employment entity, skill and criticality. Monitor drift, keep evidence current, benchmark externally and refresh tests after major changes.</t>
        </is>
      </c>
      <c r="K72" s="3" t="inlineStr">
        <is>
          <t>Reduces exposure to Workforce disruption; Pandemic/health crisis; War/security crisis; improves Workforce visibility maturity, continuity and management visibility.</t>
        </is>
      </c>
      <c r="L72" s="3" t="n">
        <v>5</v>
      </c>
      <c r="M72" s="3" t="n">
        <v>5</v>
      </c>
      <c r="N72" s="3" t="n">
        <v>4</v>
      </c>
      <c r="O72" s="3" t="n">
        <v>3</v>
      </c>
      <c r="P72" s="3" t="n">
        <v>2</v>
      </c>
      <c r="Q72" s="3" t="n">
        <v>1</v>
      </c>
      <c r="R72" s="3" t="inlineStr">
        <is>
          <t>ISO 30414; ISO 30405; ISO 45001; ISO 22301; CIPD; SHRM</t>
        </is>
      </c>
      <c r="S72" s="3" t="inlineStr">
        <is>
          <t>Policy/SOP; owner/RACI; system report; dashboard; contracts; test records; incident history; interview evidence related to workforce inventory by role, location, manager, contract type, employment entity, skill and criticality.</t>
        </is>
      </c>
      <c r="T72" s="3" t="inlineStr">
        <is>
          <t>Workforce disruption; Pandemic/health crisis; War/security crisis</t>
        </is>
      </c>
      <c r="U72" s="3" t="inlineStr">
        <is>
          <t>CHRO / HR</t>
        </is>
      </c>
      <c r="V72" s="3" t="inlineStr">
        <is>
          <t>HR Workforce!5</t>
        </is>
      </c>
    </row>
    <row r="73" ht="85.5" customHeight="1" s="209">
      <c r="A73" s="3" t="inlineStr">
        <is>
          <t>HRWO-002</t>
        </is>
      </c>
      <c r="B73" s="3" t="inlineStr">
        <is>
          <t>HR Workforce</t>
        </is>
      </c>
      <c r="C73" s="3" t="inlineStr">
        <is>
          <t>Workforce visibility</t>
        </is>
      </c>
      <c r="D73" s="3" t="inlineStr">
        <is>
          <t>How mature is the organization in managing critical role mapping by process dependency, customer impact, system access and knowledge concentration, including ownership, evidence, metrics, fallback procedures and crisis stress testing?</t>
        </is>
      </c>
      <c r="E73" s="3" t="inlineStr">
        <is>
          <t>Establish a basic owner and inventory for critical role mapping by process dependency, customer impact, system access and knowledge concentration. Define minimum policy, evidence location and immediate crisis relevance.</t>
        </is>
      </c>
      <c r="F73" s="3" t="inlineStr">
        <is>
          <t>Document critical role mapping by process dependency, customer impact, system access and knowledge concentration, assign RACI, define minimum controls/KPIs and collect evidence across the main business units or sites.</t>
        </is>
      </c>
      <c r="G73" s="3" t="inlineStr">
        <is>
          <t>Standardize critical role mapping by process dependency, customer impact, system access and knowledge concentration across the organization, close coverage gaps, link it to crisis scenarios and train accountable roles.</t>
        </is>
      </c>
      <c r="H73" s="3" t="inlineStr">
        <is>
          <t>Measure critical role mapping by process dependency, customer impact, system access and knowledge concentration, review it periodically, test it against disruption scenarios and integrate it with dependent processes or systems.</t>
        </is>
      </c>
      <c r="I73" s="3" t="inlineStr">
        <is>
          <t>Optimize and automate critical role mapping by process dependency, customer impact, system access and knowledge concentration where practical, use leading indicators, run periodic stress tests and update the crisis playbook.</t>
        </is>
      </c>
      <c r="J73" s="3" t="inlineStr">
        <is>
          <t>Maintain maturity for critical role mapping by process dependency, customer impact, system access and knowledge concentration. Monitor drift, keep evidence current, benchmark externally and refresh tests after major changes.</t>
        </is>
      </c>
      <c r="K73" s="3" t="inlineStr">
        <is>
          <t>Reduces exposure to Workforce disruption; Pandemic/health crisis; War/security crisis; improves Workforce visibility maturity, continuity and management visibility.</t>
        </is>
      </c>
      <c r="L73" s="3" t="n">
        <v>5</v>
      </c>
      <c r="M73" s="3" t="n">
        <v>5</v>
      </c>
      <c r="N73" s="3" t="n">
        <v>4</v>
      </c>
      <c r="O73" s="3" t="n">
        <v>3</v>
      </c>
      <c r="P73" s="3" t="n">
        <v>2</v>
      </c>
      <c r="Q73" s="3" t="n">
        <v>1</v>
      </c>
      <c r="R73" s="3" t="inlineStr">
        <is>
          <t>ISO 30414; ISO 30405; ISO 45001; ISO 22301; CIPD; SHRM</t>
        </is>
      </c>
      <c r="S73" s="3" t="inlineStr">
        <is>
          <t>Policy/SOP; owner/RACI; system report; dashboard; contracts; test records; incident history; interview evidence related to critical role mapping by process dependency, customer impact, system access and knowledge concentration.</t>
        </is>
      </c>
      <c r="T73" s="3" t="inlineStr">
        <is>
          <t>Workforce disruption; Pandemic/health crisis; War/security crisis</t>
        </is>
      </c>
      <c r="U73" s="3" t="inlineStr">
        <is>
          <t>CHRO / HR</t>
        </is>
      </c>
      <c r="V73" s="3" t="inlineStr">
        <is>
          <t>HR Workforce!6</t>
        </is>
      </c>
    </row>
    <row r="74" ht="85.5" customHeight="1" s="209">
      <c r="A74" s="3" t="inlineStr">
        <is>
          <t>HRWO-003</t>
        </is>
      </c>
      <c r="B74" s="3" t="inlineStr">
        <is>
          <t>HR Workforce</t>
        </is>
      </c>
      <c r="C74" s="3" t="inlineStr">
        <is>
          <t>Workforce visibility</t>
        </is>
      </c>
      <c r="D74" s="3" t="inlineStr">
        <is>
          <t>How mature is the organization in managing key-person risk for executives, founders, architects, plant specialists, client owners and finance signatories, including ownership, evidence, metrics, fallback procedures and crisis stress testing?</t>
        </is>
      </c>
      <c r="E74" s="3" t="inlineStr">
        <is>
          <t>Establish a basic owner and inventory for key-person risk for executives, founders, architects, plant specialists, client owners and finance signatories. Define minimum policy, evidence location and immediate crisis relevance.</t>
        </is>
      </c>
      <c r="F74" s="3" t="inlineStr">
        <is>
          <t>Document key-person risk for executives, founders, architects, plant specialists, client owners and finance signatories, assign RACI, define minimum controls/KPIs and collect evidence across the main business units or sites.</t>
        </is>
      </c>
      <c r="G74" s="3" t="inlineStr">
        <is>
          <t>Standardize key-person risk for executives, founders, architects, plant specialists, client owners and finance signatories across the organization, close coverage gaps, link it to crisis scenarios and train accountable roles.</t>
        </is>
      </c>
      <c r="H74" s="3" t="inlineStr">
        <is>
          <t>Measure key-person risk for executives, founders, architects, plant specialists, client owners and finance signatories, review it periodically, test it against disruption scenarios and integrate it with dependent processes or systems.</t>
        </is>
      </c>
      <c r="I74" s="3" t="inlineStr">
        <is>
          <t>Optimize and automate key-person risk for executives, founders, architects, plant specialists, client owners and finance signatories where practical, use leading indicators, run periodic stress tests and update the crisis playbook.</t>
        </is>
      </c>
      <c r="J74" s="3" t="inlineStr">
        <is>
          <t>Maintain maturity for key-person risk for executives, founders, architects, plant specialists, client owners and finance signatories. Monitor drift, keep evidence current, benchmark externally and refresh tests after major changes.</t>
        </is>
      </c>
      <c r="K74" s="3" t="inlineStr">
        <is>
          <t>Reduces exposure to Workforce disruption; Pandemic/health crisis; War/security crisis; improves Workforce visibility maturity, continuity and management visibility.</t>
        </is>
      </c>
      <c r="L74" s="3" t="n">
        <v>5</v>
      </c>
      <c r="M74" s="3" t="n">
        <v>5</v>
      </c>
      <c r="N74" s="3" t="n">
        <v>5</v>
      </c>
      <c r="O74" s="3" t="n">
        <v>4</v>
      </c>
      <c r="P74" s="3" t="n">
        <v>3</v>
      </c>
      <c r="Q74" s="3" t="n">
        <v>1</v>
      </c>
      <c r="R74" s="3" t="inlineStr">
        <is>
          <t>ISO 30414; ISO 30405; ISO 45001; ISO 22301; CIPD; SHRM</t>
        </is>
      </c>
      <c r="S74" s="3" t="inlineStr">
        <is>
          <t>Policy/SOP; owner/RACI; system report; dashboard; contracts; test records; incident history; interview evidence related to key-person risk for executives, founders, architects, plant specialists, client owners and finance signatories.</t>
        </is>
      </c>
      <c r="T74" s="3" t="inlineStr">
        <is>
          <t>Workforce disruption; Pandemic/health crisis; War/security crisis</t>
        </is>
      </c>
      <c r="U74" s="3" t="inlineStr">
        <is>
          <t>CHRO / HR</t>
        </is>
      </c>
      <c r="V74" s="3" t="inlineStr">
        <is>
          <t>HR Workforce!7</t>
        </is>
      </c>
    </row>
    <row r="75" ht="85.5" customHeight="1" s="209">
      <c r="A75" s="3" t="inlineStr">
        <is>
          <t>HRWO-004</t>
        </is>
      </c>
      <c r="B75" s="3" t="inlineStr">
        <is>
          <t>HR Workforce</t>
        </is>
      </c>
      <c r="C75" s="3" t="inlineStr">
        <is>
          <t>Workforce visibility</t>
        </is>
      </c>
      <c r="D75" s="3" t="inlineStr">
        <is>
          <t>How mature is the organization in managing skills matrix linked to critical processes, systems, products, sites and backup coverage, including ownership, evidence, metrics, fallback procedures and crisis stress testing?</t>
        </is>
      </c>
      <c r="E75" s="3" t="inlineStr">
        <is>
          <t>Establish a basic owner and inventory for skills matrix linked to critical processes, systems, products, sites and backup coverage. Define minimum policy, evidence location and immediate crisis relevance.</t>
        </is>
      </c>
      <c r="F75" s="3" t="inlineStr">
        <is>
          <t>Document skills matrix linked to critical processes, systems, products, sites and backup coverage, assign RACI, define minimum controls/KPIs and collect evidence across the main business units or sites.</t>
        </is>
      </c>
      <c r="G75" s="3" t="inlineStr">
        <is>
          <t>Standardize skills matrix linked to critical processes, systems, products, sites and backup coverage across the organization, close coverage gaps, link it to crisis scenarios and train accountable roles.</t>
        </is>
      </c>
      <c r="H75" s="3" t="inlineStr">
        <is>
          <t>Measure skills matrix linked to critical processes, systems, products, sites and backup coverage, review it periodically, test it against disruption scenarios and integrate it with dependent processes or systems.</t>
        </is>
      </c>
      <c r="I75" s="3" t="inlineStr">
        <is>
          <t>Optimize and automate skills matrix linked to critical processes, systems, products, sites and backup coverage where practical, use leading indicators, run periodic stress tests and update the crisis playbook.</t>
        </is>
      </c>
      <c r="J75" s="3" t="inlineStr">
        <is>
          <t>Maintain maturity for skills matrix linked to critical processes, systems, products, sites and backup coverage. Monitor drift, keep evidence current, benchmark externally and refresh tests after major changes.</t>
        </is>
      </c>
      <c r="K75" s="3" t="inlineStr">
        <is>
          <t>Reduces exposure to Workforce disruption; Pandemic/health crisis; War/security crisis; improves Workforce visibility maturity, continuity and management visibility.</t>
        </is>
      </c>
      <c r="L75" s="3" t="n">
        <v>5</v>
      </c>
      <c r="M75" s="3" t="n">
        <v>5</v>
      </c>
      <c r="N75" s="3" t="n">
        <v>4</v>
      </c>
      <c r="O75" s="3" t="n">
        <v>3</v>
      </c>
      <c r="P75" s="3" t="n">
        <v>2</v>
      </c>
      <c r="Q75" s="3" t="n">
        <v>1</v>
      </c>
      <c r="R75" s="3" t="inlineStr">
        <is>
          <t>ISO 30414; ISO 30405; ISO 45001; ISO 22301; CIPD; SHRM</t>
        </is>
      </c>
      <c r="S75" s="3" t="inlineStr">
        <is>
          <t>Policy/SOP; owner/RACI; system report; dashboard; contracts; test records; incident history; interview evidence related to skills matrix linked to critical processes, systems, products, sites and backup coverage.</t>
        </is>
      </c>
      <c r="T75" s="3" t="inlineStr">
        <is>
          <t>Workforce disruption; Pandemic/health crisis; War/security crisis</t>
        </is>
      </c>
      <c r="U75" s="3" t="inlineStr">
        <is>
          <t>CHRO / HR</t>
        </is>
      </c>
      <c r="V75" s="3" t="inlineStr">
        <is>
          <t>HR Workforce!8</t>
        </is>
      </c>
    </row>
    <row r="76" ht="85.5" customHeight="1" s="209">
      <c r="A76" s="3" t="inlineStr">
        <is>
          <t>HRWO-005</t>
        </is>
      </c>
      <c r="B76" s="3" t="inlineStr">
        <is>
          <t>HR Workforce</t>
        </is>
      </c>
      <c r="C76" s="3" t="inlineStr">
        <is>
          <t>Workforce visibility</t>
        </is>
      </c>
      <c r="D76" s="3" t="inlineStr">
        <is>
          <t>How mature is the organization in managing minimum staffing levels for critical functions, shifts, production lines and customer support, including ownership, evidence, metrics, fallback procedures and crisis stress testing?</t>
        </is>
      </c>
      <c r="E76" s="3" t="inlineStr">
        <is>
          <t>Establish a basic owner and inventory for minimum staffing levels for critical functions, shifts, production lines and customer support. Define minimum policy, evidence location and immediate crisis relevance.</t>
        </is>
      </c>
      <c r="F76" s="3" t="inlineStr">
        <is>
          <t>Document minimum staffing levels for critical functions, shifts, production lines and customer support, assign RACI, define minimum controls/KPIs and collect evidence across the main business units or sites.</t>
        </is>
      </c>
      <c r="G76" s="3" t="inlineStr">
        <is>
          <t>Standardize minimum staffing levels for critical functions, shifts, production lines and customer support across the organization, close coverage gaps, link it to crisis scenarios and train accountable roles.</t>
        </is>
      </c>
      <c r="H76" s="3" t="inlineStr">
        <is>
          <t>Measure minimum staffing levels for critical functions, shifts, production lines and customer support, review it periodically, test it against disruption scenarios and integrate it with dependent processes or systems.</t>
        </is>
      </c>
      <c r="I76" s="3" t="inlineStr">
        <is>
          <t>Optimize and automate minimum staffing levels for critical functions, shifts, production lines and customer support where practical, use leading indicators, run periodic stress tests and update the crisis playbook.</t>
        </is>
      </c>
      <c r="J76" s="3" t="inlineStr">
        <is>
          <t>Maintain maturity for minimum staffing levels for critical functions, shifts, production lines and customer support. Monitor drift, keep evidence current, benchmark externally and refresh tests after major changes.</t>
        </is>
      </c>
      <c r="K76" s="3" t="inlineStr">
        <is>
          <t>Reduces exposure to Workforce disruption; Pandemic/health crisis; War/security crisis; improves Workforce visibility maturity, continuity and management visibility.</t>
        </is>
      </c>
      <c r="L76" s="3" t="n">
        <v>5</v>
      </c>
      <c r="M76" s="3" t="n">
        <v>5</v>
      </c>
      <c r="N76" s="3" t="n">
        <v>4</v>
      </c>
      <c r="O76" s="3" t="n">
        <v>3</v>
      </c>
      <c r="P76" s="3" t="n">
        <v>2</v>
      </c>
      <c r="Q76" s="3" t="n">
        <v>1</v>
      </c>
      <c r="R76" s="3" t="inlineStr">
        <is>
          <t>ISO 30414; ISO 30405; ISO 45001; ISO 22301; CIPD; SHRM</t>
        </is>
      </c>
      <c r="S76" s="3" t="inlineStr">
        <is>
          <t>Policy/SOP; owner/RACI; system report; dashboard; contracts; test records; incident history; interview evidence related to minimum staffing levels for critical functions, shifts, production lines and customer support.</t>
        </is>
      </c>
      <c r="T76" s="3" t="inlineStr">
        <is>
          <t>Workforce disruption; Pandemic/health crisis; War/security crisis</t>
        </is>
      </c>
      <c r="U76" s="3" t="inlineStr">
        <is>
          <t>CHRO / HR</t>
        </is>
      </c>
      <c r="V76" s="3" t="inlineStr">
        <is>
          <t>HR Workforce!9</t>
        </is>
      </c>
    </row>
    <row r="77" ht="71.25" customHeight="1" s="209">
      <c r="A77" s="3" t="inlineStr">
        <is>
          <t>HRWO-006</t>
        </is>
      </c>
      <c r="B77" s="3" t="inlineStr">
        <is>
          <t>HR Workforce</t>
        </is>
      </c>
      <c r="C77" s="3" t="inlineStr">
        <is>
          <t>Workforce visibility</t>
        </is>
      </c>
      <c r="D77" s="3" t="inlineStr">
        <is>
          <t>How mature is the organization in managing absence trends, sick leave spikes and workforce availability monitoring, including ownership, evidence, metrics, fallback procedures and crisis stress testing?</t>
        </is>
      </c>
      <c r="E77" s="3" t="inlineStr">
        <is>
          <t>Establish a basic owner and inventory for absence trends, sick leave spikes and workforce availability monitoring. Define minimum policy, evidence location and immediate crisis relevance.</t>
        </is>
      </c>
      <c r="F77" s="3" t="inlineStr">
        <is>
          <t>Document absence trends, sick leave spikes and workforce availability monitoring, assign RACI, define minimum controls/KPIs and collect evidence across the main business units or sites.</t>
        </is>
      </c>
      <c r="G77" s="3" t="inlineStr">
        <is>
          <t>Standardize absence trends, sick leave spikes and workforce availability monitoring across the organization, close coverage gaps, link it to crisis scenarios and train accountable roles.</t>
        </is>
      </c>
      <c r="H77" s="3" t="inlineStr">
        <is>
          <t>Measure absence trends, sick leave spikes and workforce availability monitoring, review it periodically, test it against disruption scenarios and integrate it with dependent processes or systems.</t>
        </is>
      </c>
      <c r="I77" s="3" t="inlineStr">
        <is>
          <t>Optimize and automate absence trends, sick leave spikes and workforce availability monitoring where practical, use leading indicators, run periodic stress tests and update the crisis playbook.</t>
        </is>
      </c>
      <c r="J77" s="3" t="inlineStr">
        <is>
          <t>Maintain maturity for absence trends, sick leave spikes and workforce availability monitoring. Monitor drift, keep evidence current, benchmark externally and refresh tests after major changes.</t>
        </is>
      </c>
      <c r="K77" s="3" t="inlineStr">
        <is>
          <t>Reduces exposure to Workforce disruption; Pandemic/health crisis; War/security crisis; improves Workforce visibility maturity, continuity and management visibility.</t>
        </is>
      </c>
      <c r="L77" s="3" t="n">
        <v>5</v>
      </c>
      <c r="M77" s="3" t="n">
        <v>5</v>
      </c>
      <c r="N77" s="3" t="n">
        <v>4</v>
      </c>
      <c r="O77" s="3" t="n">
        <v>3</v>
      </c>
      <c r="P77" s="3" t="n">
        <v>2</v>
      </c>
      <c r="Q77" s="3" t="n">
        <v>1</v>
      </c>
      <c r="R77" s="3" t="inlineStr">
        <is>
          <t>ISO 30414; ISO 30405; ISO 45001; ISO 22301; CIPD; SHRM</t>
        </is>
      </c>
      <c r="S77" s="3" t="inlineStr">
        <is>
          <t>Policy/SOP; owner/RACI; system report; dashboard; contracts; test records; incident history; interview evidence related to absence trends, sick leave spikes and workforce availability monitoring.</t>
        </is>
      </c>
      <c r="T77" s="3" t="inlineStr">
        <is>
          <t>Workforce disruption; Pandemic/health crisis; War/security crisis</t>
        </is>
      </c>
      <c r="U77" s="3" t="inlineStr">
        <is>
          <t>CHRO / HR</t>
        </is>
      </c>
      <c r="V77" s="3" t="inlineStr">
        <is>
          <t>HR Workforce!10</t>
        </is>
      </c>
    </row>
    <row r="78" ht="85.5" customHeight="1" s="209">
      <c r="A78" s="3" t="inlineStr">
        <is>
          <t>HRWO-007</t>
        </is>
      </c>
      <c r="B78" s="3" t="inlineStr">
        <is>
          <t>HR Workforce</t>
        </is>
      </c>
      <c r="C78" s="3" t="inlineStr">
        <is>
          <t>Recruitment and retention</t>
        </is>
      </c>
      <c r="D78" s="3" t="inlineStr">
        <is>
          <t>How mature is the organization in managing hiring pipeline resilience for critical roles under market shortage or geographic disruption, including ownership, evidence, metrics, fallback procedures and crisis stress testing?</t>
        </is>
      </c>
      <c r="E78" s="3" t="inlineStr">
        <is>
          <t>Establish a basic owner and inventory for hiring pipeline resilience for critical roles under market shortage or geographic disruption. Define minimum policy, evidence location and immediate crisis relevance.</t>
        </is>
      </c>
      <c r="F78" s="3" t="inlineStr">
        <is>
          <t>Document hiring pipeline resilience for critical roles under market shortage or geographic disruption, assign RACI, define minimum controls/KPIs and collect evidence across the main business units or sites.</t>
        </is>
      </c>
      <c r="G78" s="3" t="inlineStr">
        <is>
          <t>Standardize hiring pipeline resilience for critical roles under market shortage or geographic disruption across the organization, close coverage gaps, link it to crisis scenarios and train accountable roles.</t>
        </is>
      </c>
      <c r="H78" s="3" t="inlineStr">
        <is>
          <t>Measure hiring pipeline resilience for critical roles under market shortage or geographic disruption, review it periodically, test it against disruption scenarios and integrate it with dependent processes or systems.</t>
        </is>
      </c>
      <c r="I78" s="3" t="inlineStr">
        <is>
          <t>Optimize and automate hiring pipeline resilience for critical roles under market shortage or geographic disruption where practical, use leading indicators, run periodic stress tests and update the crisis playbook.</t>
        </is>
      </c>
      <c r="J78" s="3" t="inlineStr">
        <is>
          <t>Maintain maturity for hiring pipeline resilience for critical roles under market shortage or geographic disruption. Monitor drift, keep evidence current, benchmark externally and refresh tests after major changes.</t>
        </is>
      </c>
      <c r="K78" s="3" t="inlineStr">
        <is>
          <t>Reduces exposure to Workforce disruption; Pandemic/health crisis; War/security crisis; improves Recruitment and retention maturity, continuity and management visibility.</t>
        </is>
      </c>
      <c r="L78" s="3" t="n">
        <v>4</v>
      </c>
      <c r="M78" s="3" t="n">
        <v>4</v>
      </c>
      <c r="N78" s="3" t="n">
        <v>3</v>
      </c>
      <c r="O78" s="3" t="n">
        <v>2</v>
      </c>
      <c r="P78" s="3" t="n">
        <v>1</v>
      </c>
      <c r="Q78" s="3" t="n">
        <v>1</v>
      </c>
      <c r="R78" s="3" t="inlineStr">
        <is>
          <t>ISO 30414; ISO 30405; ISO 45001; ISO 22301; CIPD; SHRM</t>
        </is>
      </c>
      <c r="S78" s="3" t="inlineStr">
        <is>
          <t>Policy/SOP; owner/RACI; system report; dashboard; contracts; test records; incident history; interview evidence related to hiring pipeline resilience for critical roles under market shortage or geographic disruption.</t>
        </is>
      </c>
      <c r="T78" s="3" t="inlineStr">
        <is>
          <t>Workforce disruption; Pandemic/health crisis; War/security crisis</t>
        </is>
      </c>
      <c r="U78" s="3" t="inlineStr">
        <is>
          <t>CHRO / HR</t>
        </is>
      </c>
      <c r="V78" s="3" t="inlineStr">
        <is>
          <t>HR Workforce!11</t>
        </is>
      </c>
    </row>
    <row r="79" ht="71.25" customHeight="1" s="209">
      <c r="A79" s="3" t="inlineStr">
        <is>
          <t>HRWO-008</t>
        </is>
      </c>
      <c r="B79" s="3" t="inlineStr">
        <is>
          <t>HR Workforce</t>
        </is>
      </c>
      <c r="C79" s="3" t="inlineStr">
        <is>
          <t>Recruitment and retention</t>
        </is>
      </c>
      <c r="D79" s="3" t="inlineStr">
        <is>
          <t>How mature is the organization in managing time-to-hire tracking by critical role, geography and seniority, including ownership, evidence, metrics, fallback procedures and crisis stress testing?</t>
        </is>
      </c>
      <c r="E79" s="3" t="inlineStr">
        <is>
          <t>Establish a basic owner and inventory for time-to-hire tracking by critical role, geography and seniority. Define minimum policy, evidence location and immediate crisis relevance.</t>
        </is>
      </c>
      <c r="F79" s="3" t="inlineStr">
        <is>
          <t>Document time-to-hire tracking by critical role, geography and seniority, assign RACI, define minimum controls/KPIs and collect evidence across the main business units or sites.</t>
        </is>
      </c>
      <c r="G79" s="3" t="inlineStr">
        <is>
          <t>Standardize time-to-hire tracking by critical role, geography and seniority across the organization, close coverage gaps, link it to crisis scenarios and train accountable roles.</t>
        </is>
      </c>
      <c r="H79" s="3" t="inlineStr">
        <is>
          <t>Measure time-to-hire tracking by critical role, geography and seniority, review it periodically, test it against disruption scenarios and integrate it with dependent processes or systems.</t>
        </is>
      </c>
      <c r="I79" s="3" t="inlineStr">
        <is>
          <t>Optimize and automate time-to-hire tracking by critical role, geography and seniority where practical, use leading indicators, run periodic stress tests and update the crisis playbook.</t>
        </is>
      </c>
      <c r="J79" s="3" t="inlineStr">
        <is>
          <t>Maintain maturity for time-to-hire tracking by critical role, geography and seniority. Monitor drift, keep evidence current, benchmark externally and refresh tests after major changes.</t>
        </is>
      </c>
      <c r="K79" s="3" t="inlineStr">
        <is>
          <t>Reduces exposure to Workforce disruption; Pandemic/health crisis; War/security crisis; improves Recruitment and retention maturity, continuity and management visibility.</t>
        </is>
      </c>
      <c r="L79" s="3" t="n">
        <v>4</v>
      </c>
      <c r="M79" s="3" t="n">
        <v>4</v>
      </c>
      <c r="N79" s="3" t="n">
        <v>3</v>
      </c>
      <c r="O79" s="3" t="n">
        <v>2</v>
      </c>
      <c r="P79" s="3" t="n">
        <v>1</v>
      </c>
      <c r="Q79" s="3" t="n">
        <v>1</v>
      </c>
      <c r="R79" s="3" t="inlineStr">
        <is>
          <t>ISO 30414; ISO 30405; ISO 45001; ISO 22301; CIPD; SHRM</t>
        </is>
      </c>
      <c r="S79" s="3" t="inlineStr">
        <is>
          <t>Policy/SOP; owner/RACI; system report; dashboard; contracts; test records; incident history; interview evidence related to time-to-hire tracking by critical role, geography and seniority.</t>
        </is>
      </c>
      <c r="T79" s="3" t="inlineStr">
        <is>
          <t>Workforce disruption; Pandemic/health crisis; War/security crisis</t>
        </is>
      </c>
      <c r="U79" s="3" t="inlineStr">
        <is>
          <t>CHRO / HR</t>
        </is>
      </c>
      <c r="V79" s="3" t="inlineStr">
        <is>
          <t>HR Workforce!12</t>
        </is>
      </c>
    </row>
    <row r="80" ht="71.25" customHeight="1" s="209">
      <c r="A80" s="3" t="inlineStr">
        <is>
          <t>HRWO-009</t>
        </is>
      </c>
      <c r="B80" s="3" t="inlineStr">
        <is>
          <t>HR Workforce</t>
        </is>
      </c>
      <c r="C80" s="3" t="inlineStr">
        <is>
          <t>Recruitment and retention</t>
        </is>
      </c>
      <c r="D80" s="3" t="inlineStr">
        <is>
          <t>How mature is the organization in managing alternative sourcing channels for critical roles, geographies and rare skills, including ownership, evidence, metrics, fallback procedures and crisis stress testing?</t>
        </is>
      </c>
      <c r="E80" s="3" t="inlineStr">
        <is>
          <t>Establish a basic owner and inventory for alternative sourcing channels for critical roles, geographies and rare skills. Define minimum policy, evidence location and immediate crisis relevance.</t>
        </is>
      </c>
      <c r="F80" s="3" t="inlineStr">
        <is>
          <t>Document alternative sourcing channels for critical roles, geographies and rare skills, assign RACI, define minimum controls/KPIs and collect evidence across the main business units or sites.</t>
        </is>
      </c>
      <c r="G80" s="3" t="inlineStr">
        <is>
          <t>Standardize alternative sourcing channels for critical roles, geographies and rare skills across the organization, close coverage gaps, link it to crisis scenarios and train accountable roles.</t>
        </is>
      </c>
      <c r="H80" s="3" t="inlineStr">
        <is>
          <t>Measure alternative sourcing channels for critical roles, geographies and rare skills, review it periodically, test it against disruption scenarios and integrate it with dependent processes or systems.</t>
        </is>
      </c>
      <c r="I80" s="3" t="inlineStr">
        <is>
          <t>Optimize and automate alternative sourcing channels for critical roles, geographies and rare skills where practical, use leading indicators, run periodic stress tests and update the crisis playbook.</t>
        </is>
      </c>
      <c r="J80" s="3" t="inlineStr">
        <is>
          <t>Maintain maturity for alternative sourcing channels for critical roles, geographies and rare skills. Monitor drift, keep evidence current, benchmark externally and refresh tests after major changes.</t>
        </is>
      </c>
      <c r="K80" s="3" t="inlineStr">
        <is>
          <t>Reduces exposure to Workforce disruption; Pandemic/health crisis; War/security crisis; improves Recruitment and retention maturity, continuity and management visibility.</t>
        </is>
      </c>
      <c r="L80" s="3" t="n">
        <v>4</v>
      </c>
      <c r="M80" s="3" t="n">
        <v>4</v>
      </c>
      <c r="N80" s="3" t="n">
        <v>3</v>
      </c>
      <c r="O80" s="3" t="n">
        <v>2</v>
      </c>
      <c r="P80" s="3" t="n">
        <v>1</v>
      </c>
      <c r="Q80" s="3" t="n">
        <v>1</v>
      </c>
      <c r="R80" s="3" t="inlineStr">
        <is>
          <t>ISO 30414; ISO 30405; ISO 45001; ISO 22301; CIPD; SHRM</t>
        </is>
      </c>
      <c r="S80" s="3" t="inlineStr">
        <is>
          <t>Policy/SOP; owner/RACI; system report; dashboard; contracts; test records; incident history; interview evidence related to alternative sourcing channels for critical roles, geographies and rare skills.</t>
        </is>
      </c>
      <c r="T80" s="3" t="inlineStr">
        <is>
          <t>Workforce disruption; Pandemic/health crisis; War/security crisis</t>
        </is>
      </c>
      <c r="U80" s="3" t="inlineStr">
        <is>
          <t>CHRO / HR</t>
        </is>
      </c>
      <c r="V80" s="3" t="inlineStr">
        <is>
          <t>HR Workforce!13</t>
        </is>
      </c>
    </row>
    <row r="81" ht="85.5" customHeight="1" s="209">
      <c r="A81" s="3" t="inlineStr">
        <is>
          <t>HRWO-010</t>
        </is>
      </c>
      <c r="B81" s="3" t="inlineStr">
        <is>
          <t>HR Workforce</t>
        </is>
      </c>
      <c r="C81" s="3" t="inlineStr">
        <is>
          <t>Recruitment and retention</t>
        </is>
      </c>
      <c r="D81" s="3" t="inlineStr">
        <is>
          <t>How mature is the organization in managing retention risk monitoring for critical people, high performers and scarce-skill roles, including ownership, evidence, metrics, fallback procedures and crisis stress testing?</t>
        </is>
      </c>
      <c r="E81" s="3" t="inlineStr">
        <is>
          <t>Establish a basic owner and inventory for retention risk monitoring for critical people, high performers and scarce-skill roles. Define minimum policy, evidence location and immediate crisis relevance.</t>
        </is>
      </c>
      <c r="F81" s="3" t="inlineStr">
        <is>
          <t>Document retention risk monitoring for critical people, high performers and scarce-skill roles, assign RACI, define minimum controls/KPIs and collect evidence across the main business units or sites.</t>
        </is>
      </c>
      <c r="G81" s="3" t="inlineStr">
        <is>
          <t>Standardize retention risk monitoring for critical people, high performers and scarce-skill roles across the organization, close coverage gaps, link it to crisis scenarios and train accountable roles.</t>
        </is>
      </c>
      <c r="H81" s="3" t="inlineStr">
        <is>
          <t>Measure retention risk monitoring for critical people, high performers and scarce-skill roles, review it periodically, test it against disruption scenarios and integrate it with dependent processes or systems.</t>
        </is>
      </c>
      <c r="I81" s="3" t="inlineStr">
        <is>
          <t>Optimize and automate retention risk monitoring for critical people, high performers and scarce-skill roles where practical, use leading indicators, run periodic stress tests and update the crisis playbook.</t>
        </is>
      </c>
      <c r="J81" s="3" t="inlineStr">
        <is>
          <t>Maintain maturity for retention risk monitoring for critical people, high performers and scarce-skill roles. Monitor drift, keep evidence current, benchmark externally and refresh tests after major changes.</t>
        </is>
      </c>
      <c r="K81" s="3" t="inlineStr">
        <is>
          <t>Reduces exposure to Workforce disruption; Pandemic/health crisis; War/security crisis; improves Recruitment and retention maturity, continuity and management visibility.</t>
        </is>
      </c>
      <c r="L81" s="3" t="n">
        <v>5</v>
      </c>
      <c r="M81" s="3" t="n">
        <v>5</v>
      </c>
      <c r="N81" s="3" t="n">
        <v>5</v>
      </c>
      <c r="O81" s="3" t="n">
        <v>4</v>
      </c>
      <c r="P81" s="3" t="n">
        <v>3</v>
      </c>
      <c r="Q81" s="3" t="n">
        <v>1</v>
      </c>
      <c r="R81" s="3" t="inlineStr">
        <is>
          <t>ISO 30414; ISO 30405; ISO 45001; ISO 22301; CIPD; SHRM</t>
        </is>
      </c>
      <c r="S81" s="3" t="inlineStr">
        <is>
          <t>Policy/SOP; owner/RACI; system report; dashboard; contracts; test records; incident history; interview evidence related to retention risk monitoring for critical people, high performers and scarce-skill roles.</t>
        </is>
      </c>
      <c r="T81" s="3" t="inlineStr">
        <is>
          <t>Workforce disruption; Pandemic/health crisis; War/security crisis</t>
        </is>
      </c>
      <c r="U81" s="3" t="inlineStr">
        <is>
          <t>CHRO / HR</t>
        </is>
      </c>
      <c r="V81" s="3" t="inlineStr">
        <is>
          <t>HR Workforce!14</t>
        </is>
      </c>
    </row>
    <row r="82" ht="71.25" customHeight="1" s="209">
      <c r="A82" s="3" t="inlineStr">
        <is>
          <t>HRWO-011</t>
        </is>
      </c>
      <c r="B82" s="3" t="inlineStr">
        <is>
          <t>HR Workforce</t>
        </is>
      </c>
      <c r="C82" s="3" t="inlineStr">
        <is>
          <t>Recruitment and retention</t>
        </is>
      </c>
      <c r="D82" s="3" t="inlineStr">
        <is>
          <t>How mature is the organization in managing compensation and payroll continuity during banking, legal or system disruption, including ownership, evidence, metrics, fallback procedures and crisis stress testing?</t>
        </is>
      </c>
      <c r="E82" s="3" t="inlineStr">
        <is>
          <t>Establish a basic owner and inventory for compensation and payroll continuity during banking, legal or system disruption. Define minimum policy, evidence location and immediate crisis relevance.</t>
        </is>
      </c>
      <c r="F82" s="3" t="inlineStr">
        <is>
          <t>Document compensation and payroll continuity during banking, legal or system disruption, assign RACI, define minimum controls/KPIs and collect evidence across the main business units or sites.</t>
        </is>
      </c>
      <c r="G82" s="3" t="inlineStr">
        <is>
          <t>Standardize compensation and payroll continuity during banking, legal or system disruption across the organization, close coverage gaps, link it to crisis scenarios and train accountable roles.</t>
        </is>
      </c>
      <c r="H82" s="3" t="inlineStr">
        <is>
          <t>Measure compensation and payroll continuity during banking, legal or system disruption, review it periodically, test it against disruption scenarios and integrate it with dependent processes or systems.</t>
        </is>
      </c>
      <c r="I82" s="3" t="inlineStr">
        <is>
          <t>Optimize and automate compensation and payroll continuity during banking, legal or system disruption where practical, use leading indicators, run periodic stress tests and update the crisis playbook.</t>
        </is>
      </c>
      <c r="J82" s="3" t="inlineStr">
        <is>
          <t>Maintain maturity for compensation and payroll continuity during banking, legal or system disruption. Monitor drift, keep evidence current, benchmark externally and refresh tests after major changes.</t>
        </is>
      </c>
      <c r="K82" s="3" t="inlineStr">
        <is>
          <t>Reduces exposure to Workforce disruption; Pandemic/health crisis; War/security crisis; improves Recruitment and retention maturity, continuity and management visibility.</t>
        </is>
      </c>
      <c r="L82" s="3" t="n">
        <v>4</v>
      </c>
      <c r="M82" s="3" t="n">
        <v>4</v>
      </c>
      <c r="N82" s="3" t="n">
        <v>3</v>
      </c>
      <c r="O82" s="3" t="n">
        <v>2</v>
      </c>
      <c r="P82" s="3" t="n">
        <v>1</v>
      </c>
      <c r="Q82" s="3" t="n">
        <v>1</v>
      </c>
      <c r="R82" s="3" t="inlineStr">
        <is>
          <t>ISO 30414; ISO 30405; ISO 45001; ISO 22301; CIPD; SHRM</t>
        </is>
      </c>
      <c r="S82" s="3" t="inlineStr">
        <is>
          <t>Policy/SOP; owner/RACI; system report; dashboard; contracts; test records; incident history; interview evidence related to compensation and payroll continuity during banking, legal or system disruption.</t>
        </is>
      </c>
      <c r="T82" s="3" t="inlineStr">
        <is>
          <t>Workforce disruption; Pandemic/health crisis; War/security crisis</t>
        </is>
      </c>
      <c r="U82" s="3" t="inlineStr">
        <is>
          <t>CHRO / HR</t>
        </is>
      </c>
      <c r="V82" s="3" t="inlineStr">
        <is>
          <t>HR Workforce!15</t>
        </is>
      </c>
    </row>
    <row r="83" ht="71.25" customHeight="1" s="209">
      <c r="A83" s="3" t="inlineStr">
        <is>
          <t>HRWO-012</t>
        </is>
      </c>
      <c r="B83" s="3" t="inlineStr">
        <is>
          <t>HR Workforce</t>
        </is>
      </c>
      <c r="C83" s="3" t="inlineStr">
        <is>
          <t>Recruitment and retention</t>
        </is>
      </c>
      <c r="D83" s="3" t="inlineStr">
        <is>
          <t>How mature is the organization in managing succession planning and deputies for all critical leadership and operational roles, including ownership, evidence, metrics, fallback procedures and crisis stress testing?</t>
        </is>
      </c>
      <c r="E83" s="3" t="inlineStr">
        <is>
          <t>Establish a basic owner and inventory for succession planning and deputies for all critical leadership and operational roles. Define minimum policy, evidence location and immediate crisis relevance.</t>
        </is>
      </c>
      <c r="F83" s="3" t="inlineStr">
        <is>
          <t>Document succession planning and deputies for all critical leadership and operational roles, assign RACI, define minimum controls/KPIs and collect evidence across the main business units or sites.</t>
        </is>
      </c>
      <c r="G83" s="3" t="inlineStr">
        <is>
          <t>Standardize succession planning and deputies for all critical leadership and operational roles across the organization, close coverage gaps, link it to crisis scenarios and train accountable roles.</t>
        </is>
      </c>
      <c r="H83" s="3" t="inlineStr">
        <is>
          <t>Measure succession planning and deputies for all critical leadership and operational roles, review it periodically, test it against disruption scenarios and integrate it with dependent processes or systems.</t>
        </is>
      </c>
      <c r="I83" s="3" t="inlineStr">
        <is>
          <t>Optimize and automate succession planning and deputies for all critical leadership and operational roles where practical, use leading indicators, run periodic stress tests and update the crisis playbook.</t>
        </is>
      </c>
      <c r="J83" s="3" t="inlineStr">
        <is>
          <t>Maintain maturity for succession planning and deputies for all critical leadership and operational roles. Monitor drift, keep evidence current, benchmark externally and refresh tests after major changes.</t>
        </is>
      </c>
      <c r="K83" s="3" t="inlineStr">
        <is>
          <t>Reduces exposure to Workforce disruption; Pandemic/health crisis; War/security crisis; improves Recruitment and retention maturity, continuity and management visibility.</t>
        </is>
      </c>
      <c r="L83" s="3" t="n">
        <v>4</v>
      </c>
      <c r="M83" s="3" t="n">
        <v>4</v>
      </c>
      <c r="N83" s="3" t="n">
        <v>3</v>
      </c>
      <c r="O83" s="3" t="n">
        <v>2</v>
      </c>
      <c r="P83" s="3" t="n">
        <v>1</v>
      </c>
      <c r="Q83" s="3" t="n">
        <v>1</v>
      </c>
      <c r="R83" s="3" t="inlineStr">
        <is>
          <t>ISO 30414; ISO 30405; ISO 45001; ISO 22301; CIPD; SHRM</t>
        </is>
      </c>
      <c r="S83" s="3" t="inlineStr">
        <is>
          <t>Policy/SOP; owner/RACI; system report; dashboard; contracts; test records; incident history; interview evidence related to succession planning and deputies for all critical leadership and operational roles.</t>
        </is>
      </c>
      <c r="T83" s="3" t="inlineStr">
        <is>
          <t>Workforce disruption; Pandemic/health crisis; War/security crisis</t>
        </is>
      </c>
      <c r="U83" s="3" t="inlineStr">
        <is>
          <t>CHRO / HR</t>
        </is>
      </c>
      <c r="V83" s="3" t="inlineStr">
        <is>
          <t>HR Workforce!16</t>
        </is>
      </c>
    </row>
    <row r="84" ht="71.25" customHeight="1" s="209">
      <c r="A84" s="3" t="inlineStr">
        <is>
          <t>HRWO-013</t>
        </is>
      </c>
      <c r="B84" s="3" t="inlineStr">
        <is>
          <t>HR Workforce</t>
        </is>
      </c>
      <c r="C84" s="3" t="inlineStr">
        <is>
          <t>Continuity and wellbeing</t>
        </is>
      </c>
      <c r="D84" s="3" t="inlineStr">
        <is>
          <t>How mature is the organization in managing remote onboarding with secure access, equipment, training and manager support, including ownership, evidence, metrics, fallback procedures and crisis stress testing?</t>
        </is>
      </c>
      <c r="E84" s="3" t="inlineStr">
        <is>
          <t>Establish a basic owner and inventory for remote onboarding with secure access, equipment, training and manager support. Define minimum policy, evidence location and immediate crisis relevance.</t>
        </is>
      </c>
      <c r="F84" s="3" t="inlineStr">
        <is>
          <t>Document remote onboarding with secure access, equipment, training and manager support, assign RACI, define minimum controls/KPIs and collect evidence across the main business units or sites.</t>
        </is>
      </c>
      <c r="G84" s="3" t="inlineStr">
        <is>
          <t>Standardize remote onboarding with secure access, equipment, training and manager support across the organization, close coverage gaps, link it to crisis scenarios and train accountable roles.</t>
        </is>
      </c>
      <c r="H84" s="3" t="inlineStr">
        <is>
          <t>Measure remote onboarding with secure access, equipment, training and manager support, review it periodically, test it against disruption scenarios and integrate it with dependent processes or systems.</t>
        </is>
      </c>
      <c r="I84" s="3" t="inlineStr">
        <is>
          <t>Optimize and automate remote onboarding with secure access, equipment, training and manager support where practical, use leading indicators, run periodic stress tests and update the crisis playbook.</t>
        </is>
      </c>
      <c r="J84" s="3" t="inlineStr">
        <is>
          <t>Maintain maturity for remote onboarding with secure access, equipment, training and manager support. Monitor drift, keep evidence current, benchmark externally and refresh tests after major changes.</t>
        </is>
      </c>
      <c r="K84" s="3" t="inlineStr">
        <is>
          <t>Reduces exposure to Workforce disruption; Pandemic/health crisis; War/security crisis; improves Continuity and wellbeing maturity, continuity and management visibility.</t>
        </is>
      </c>
      <c r="L84" s="3" t="n">
        <v>4</v>
      </c>
      <c r="M84" s="3" t="n">
        <v>4</v>
      </c>
      <c r="N84" s="3" t="n">
        <v>3</v>
      </c>
      <c r="O84" s="3" t="n">
        <v>2</v>
      </c>
      <c r="P84" s="3" t="n">
        <v>1</v>
      </c>
      <c r="Q84" s="3" t="n">
        <v>1</v>
      </c>
      <c r="R84" s="3" t="inlineStr">
        <is>
          <t>ISO 30414; ISO 30405; ISO 45001; ISO 22301; CIPD; SHRM</t>
        </is>
      </c>
      <c r="S84" s="3" t="inlineStr">
        <is>
          <t>Policy/SOP; owner/RACI; system report; dashboard; contracts; test records; incident history; interview evidence related to remote onboarding with secure access, equipment, training and manager support.</t>
        </is>
      </c>
      <c r="T84" s="3" t="inlineStr">
        <is>
          <t>Workforce disruption; Pandemic/health crisis; War/security crisis</t>
        </is>
      </c>
      <c r="U84" s="3" t="inlineStr">
        <is>
          <t>CHRO / HR</t>
        </is>
      </c>
      <c r="V84" s="3" t="inlineStr">
        <is>
          <t>HR Workforce!17</t>
        </is>
      </c>
    </row>
    <row r="85" ht="85.5" customHeight="1" s="209">
      <c r="A85" s="3" t="inlineStr">
        <is>
          <t>HRWO-014</t>
        </is>
      </c>
      <c r="B85" s="3" t="inlineStr">
        <is>
          <t>HR Workforce</t>
        </is>
      </c>
      <c r="C85" s="3" t="inlineStr">
        <is>
          <t>Continuity and wellbeing</t>
        </is>
      </c>
      <c r="D85" s="3" t="inlineStr">
        <is>
          <t>How mature is the organization in managing remote work capability with secure access, connectivity, equipment and documented procedures, including ownership, evidence, metrics, fallback procedures and crisis stress testing?</t>
        </is>
      </c>
      <c r="E85" s="3" t="inlineStr">
        <is>
          <t>Establish a basic owner and inventory for remote work capability with secure access, connectivity, equipment and documented procedures. Define minimum policy, evidence location and immediate crisis relevance.</t>
        </is>
      </c>
      <c r="F85" s="3" t="inlineStr">
        <is>
          <t>Document remote work capability with secure access, connectivity, equipment and documented procedures, assign RACI, define minimum controls/KPIs and collect evidence across the main business units or sites.</t>
        </is>
      </c>
      <c r="G85" s="3" t="inlineStr">
        <is>
          <t>Standardize remote work capability with secure access, connectivity, equipment and documented procedures across the organization, close coverage gaps, link it to crisis scenarios and train accountable roles.</t>
        </is>
      </c>
      <c r="H85" s="3" t="inlineStr">
        <is>
          <t>Measure remote work capability with secure access, connectivity, equipment and documented procedures, review it periodically, test it against disruption scenarios and integrate it with dependent processes or systems.</t>
        </is>
      </c>
      <c r="I85" s="3" t="inlineStr">
        <is>
          <t>Optimize and automate remote work capability with secure access, connectivity, equipment and documented procedures where practical, use leading indicators, run periodic stress tests and update the crisis playbook.</t>
        </is>
      </c>
      <c r="J85" s="3" t="inlineStr">
        <is>
          <t>Maintain maturity for remote work capability with secure access, connectivity, equipment and documented procedures. Monitor drift, keep evidence current, benchmark externally and refresh tests after major changes.</t>
        </is>
      </c>
      <c r="K85" s="3" t="inlineStr">
        <is>
          <t>Reduces exposure to Workforce disruption; Pandemic/health crisis; War/security crisis; improves Continuity and wellbeing maturity, continuity and management visibility.</t>
        </is>
      </c>
      <c r="L85" s="3" t="n">
        <v>5</v>
      </c>
      <c r="M85" s="3" t="n">
        <v>5</v>
      </c>
      <c r="N85" s="3" t="n">
        <v>4</v>
      </c>
      <c r="O85" s="3" t="n">
        <v>3</v>
      </c>
      <c r="P85" s="3" t="n">
        <v>2</v>
      </c>
      <c r="Q85" s="3" t="n">
        <v>1</v>
      </c>
      <c r="R85" s="3" t="inlineStr">
        <is>
          <t>ISO 30414; ISO 30405; ISO 45001; ISO 22301; CIPD; SHRM</t>
        </is>
      </c>
      <c r="S85" s="3" t="inlineStr">
        <is>
          <t>Policy/SOP; owner/RACI; system report; dashboard; contracts; test records; incident history; interview evidence related to remote work capability with secure access, connectivity, equipment and documented procedures.</t>
        </is>
      </c>
      <c r="T85" s="3" t="inlineStr">
        <is>
          <t>Workforce disruption; Pandemic/health crisis; War/security crisis</t>
        </is>
      </c>
      <c r="U85" s="3" t="inlineStr">
        <is>
          <t>CHRO / HR</t>
        </is>
      </c>
      <c r="V85" s="3" t="inlineStr">
        <is>
          <t>HR Workforce!18</t>
        </is>
      </c>
    </row>
    <row r="86" ht="71.25" customHeight="1" s="209">
      <c r="A86" s="3" t="inlineStr">
        <is>
          <t>HRWO-015</t>
        </is>
      </c>
      <c r="B86" s="3" t="inlineStr">
        <is>
          <t>HR Workforce</t>
        </is>
      </c>
      <c r="C86" s="3" t="inlineStr">
        <is>
          <t>Continuity and wellbeing</t>
        </is>
      </c>
      <c r="D86" s="3" t="inlineStr">
        <is>
          <t>How mature is the organization in managing backup connectivity options for critical staff and locations, including ownership, evidence, metrics, fallback procedures and crisis stress testing?</t>
        </is>
      </c>
      <c r="E86" s="3" t="inlineStr">
        <is>
          <t>Establish a basic owner and inventory for backup connectivity options for critical staff and locations. Define minimum policy, evidence location and immediate crisis relevance.</t>
        </is>
      </c>
      <c r="F86" s="3" t="inlineStr">
        <is>
          <t>Document backup connectivity options for critical staff and locations, assign RACI, define minimum controls/KPIs and collect evidence across the main business units or sites.</t>
        </is>
      </c>
      <c r="G86" s="3" t="inlineStr">
        <is>
          <t>Standardize backup connectivity options for critical staff and locations across the organization, close coverage gaps, link it to crisis scenarios and train accountable roles.</t>
        </is>
      </c>
      <c r="H86" s="3" t="inlineStr">
        <is>
          <t>Measure backup connectivity options for critical staff and locations, review it periodically, test it against disruption scenarios and integrate it with dependent processes or systems.</t>
        </is>
      </c>
      <c r="I86" s="3" t="inlineStr">
        <is>
          <t>Optimize and automate backup connectivity options for critical staff and locations where practical, use leading indicators, run periodic stress tests and update the crisis playbook.</t>
        </is>
      </c>
      <c r="J86" s="3" t="inlineStr">
        <is>
          <t>Maintain maturity for backup connectivity options for critical staff and locations. Monitor drift, keep evidence current, benchmark externally and refresh tests after major changes.</t>
        </is>
      </c>
      <c r="K86" s="3" t="inlineStr">
        <is>
          <t>Reduces exposure to Workforce disruption; Pandemic/health crisis; War/security crisis; improves Continuity and wellbeing maturity, continuity and management visibility.</t>
        </is>
      </c>
      <c r="L86" s="3" t="n">
        <v>5</v>
      </c>
      <c r="M86" s="3" t="n">
        <v>5</v>
      </c>
      <c r="N86" s="3" t="n">
        <v>4</v>
      </c>
      <c r="O86" s="3" t="n">
        <v>3</v>
      </c>
      <c r="P86" s="3" t="n">
        <v>2</v>
      </c>
      <c r="Q86" s="3" t="n">
        <v>1</v>
      </c>
      <c r="R86" s="3" t="inlineStr">
        <is>
          <t>ISO 30414; ISO 30405; ISO 45001; ISO 22301; CIPD; SHRM</t>
        </is>
      </c>
      <c r="S86" s="3" t="inlineStr">
        <is>
          <t>Policy/SOP; owner/RACI; system report; dashboard; contracts; test records; incident history; interview evidence related to backup connectivity options for critical staff and locations.</t>
        </is>
      </c>
      <c r="T86" s="3" t="inlineStr">
        <is>
          <t>Workforce disruption; Pandemic/health crisis; War/security crisis</t>
        </is>
      </c>
      <c r="U86" s="3" t="inlineStr">
        <is>
          <t>CHRO / HR</t>
        </is>
      </c>
      <c r="V86" s="3" t="inlineStr">
        <is>
          <t>HR Workforce!19</t>
        </is>
      </c>
    </row>
    <row r="87" ht="71.25" customHeight="1" s="209">
      <c r="A87" s="3" t="inlineStr">
        <is>
          <t>HRWO-016</t>
        </is>
      </c>
      <c r="B87" s="3" t="inlineStr">
        <is>
          <t>HR Workforce</t>
        </is>
      </c>
      <c r="C87" s="3" t="inlineStr">
        <is>
          <t>Continuity and wellbeing</t>
        </is>
      </c>
      <c r="D87" s="3" t="inlineStr">
        <is>
          <t>How mature is the organization in managing employee location and safety check process during severe incidents, including ownership, evidence, metrics, fallback procedures and crisis stress testing?</t>
        </is>
      </c>
      <c r="E87" s="3" t="inlineStr">
        <is>
          <t>Establish a basic owner and inventory for employee location and safety check process during severe incidents. Define minimum policy, evidence location and immediate crisis relevance.</t>
        </is>
      </c>
      <c r="F87" s="3" t="inlineStr">
        <is>
          <t>Document employee location and safety check process during severe incidents, assign RACI, define minimum controls/KPIs and collect evidence across the main business units or sites.</t>
        </is>
      </c>
      <c r="G87" s="3" t="inlineStr">
        <is>
          <t>Standardize employee location and safety check process during severe incidents across the organization, close coverage gaps, link it to crisis scenarios and train accountable roles.</t>
        </is>
      </c>
      <c r="H87" s="3" t="inlineStr">
        <is>
          <t>Measure employee location and safety check process during severe incidents, review it periodically, test it against disruption scenarios and integrate it with dependent processes or systems.</t>
        </is>
      </c>
      <c r="I87" s="3" t="inlineStr">
        <is>
          <t>Optimize and automate employee location and safety check process during severe incidents where practical, use leading indicators, run periodic stress tests and update the crisis playbook.</t>
        </is>
      </c>
      <c r="J87" s="3" t="inlineStr">
        <is>
          <t>Maintain maturity for employee location and safety check process during severe incidents. Monitor drift, keep evidence current, benchmark externally and refresh tests after major changes.</t>
        </is>
      </c>
      <c r="K87" s="3" t="inlineStr">
        <is>
          <t>Reduces exposure to Workforce disruption; Pandemic/health crisis; War/security crisis; improves Continuity and wellbeing maturity, continuity and management visibility.</t>
        </is>
      </c>
      <c r="L87" s="3" t="n">
        <v>4</v>
      </c>
      <c r="M87" s="3" t="n">
        <v>4</v>
      </c>
      <c r="N87" s="3" t="n">
        <v>3</v>
      </c>
      <c r="O87" s="3" t="n">
        <v>2</v>
      </c>
      <c r="P87" s="3" t="n">
        <v>1</v>
      </c>
      <c r="Q87" s="3" t="n">
        <v>1</v>
      </c>
      <c r="R87" s="3" t="inlineStr">
        <is>
          <t>ISO 30414; ISO 30405; ISO 45001; ISO 22301; CIPD; SHRM</t>
        </is>
      </c>
      <c r="S87" s="3" t="inlineStr">
        <is>
          <t>Policy/SOP; owner/RACI; system report; dashboard; contracts; test records; incident history; interview evidence related to employee location and safety check process during severe incidents.</t>
        </is>
      </c>
      <c r="T87" s="3" t="inlineStr">
        <is>
          <t>Workforce disruption; Pandemic/health crisis; War/security crisis</t>
        </is>
      </c>
      <c r="U87" s="3" t="inlineStr">
        <is>
          <t>CHRO / HR</t>
        </is>
      </c>
      <c r="V87" s="3" t="inlineStr">
        <is>
          <t>HR Workforce!20</t>
        </is>
      </c>
    </row>
    <row r="88" ht="85.5" customHeight="1" s="209">
      <c r="A88" s="3" t="inlineStr">
        <is>
          <t>HRWO-017</t>
        </is>
      </c>
      <c r="B88" s="3" t="inlineStr">
        <is>
          <t>HR Workforce</t>
        </is>
      </c>
      <c r="C88" s="3" t="inlineStr">
        <is>
          <t>Continuity and wellbeing</t>
        </is>
      </c>
      <c r="D88" s="3" t="inlineStr">
        <is>
          <t>How mature is the organization in managing wellbeing, fatigue, burnout and psychological safety monitoring during prolonged crisis, including ownership, evidence, metrics, fallback procedures and crisis stress testing?</t>
        </is>
      </c>
      <c r="E88" s="3" t="inlineStr">
        <is>
          <t>Establish a basic owner and inventory for wellbeing, fatigue, burnout and psychological safety monitoring during prolonged crisis. Define minimum policy, evidence location and immediate crisis relevance.</t>
        </is>
      </c>
      <c r="F88" s="3" t="inlineStr">
        <is>
          <t>Document wellbeing, fatigue, burnout and psychological safety monitoring during prolonged crisis, assign RACI, define minimum controls/KPIs and collect evidence across the main business units or sites.</t>
        </is>
      </c>
      <c r="G88" s="3" t="inlineStr">
        <is>
          <t>Standardize wellbeing, fatigue, burnout and psychological safety monitoring during prolonged crisis across the organization, close coverage gaps, link it to crisis scenarios and train accountable roles.</t>
        </is>
      </c>
      <c r="H88" s="3" t="inlineStr">
        <is>
          <t>Measure wellbeing, fatigue, burnout and psychological safety monitoring during prolonged crisis, review it periodically, test it against disruption scenarios and integrate it with dependent processes or systems.</t>
        </is>
      </c>
      <c r="I88" s="3" t="inlineStr">
        <is>
          <t>Optimize and automate wellbeing, fatigue, burnout and psychological safety monitoring during prolonged crisis where practical, use leading indicators, run periodic stress tests and update the crisis playbook.</t>
        </is>
      </c>
      <c r="J88" s="3" t="inlineStr">
        <is>
          <t>Maintain maturity for wellbeing, fatigue, burnout and psychological safety monitoring during prolonged crisis. Monitor drift, keep evidence current, benchmark externally and refresh tests after major changes.</t>
        </is>
      </c>
      <c r="K88" s="3" t="inlineStr">
        <is>
          <t>Reduces exposure to Workforce disruption; Pandemic/health crisis; War/security crisis; improves Continuity and wellbeing maturity, continuity and management visibility.</t>
        </is>
      </c>
      <c r="L88" s="3" t="n">
        <v>4</v>
      </c>
      <c r="M88" s="3" t="n">
        <v>4</v>
      </c>
      <c r="N88" s="3" t="n">
        <v>3</v>
      </c>
      <c r="O88" s="3" t="n">
        <v>2</v>
      </c>
      <c r="P88" s="3" t="n">
        <v>1</v>
      </c>
      <c r="Q88" s="3" t="n">
        <v>1</v>
      </c>
      <c r="R88" s="3" t="inlineStr">
        <is>
          <t>ISO 30414; ISO 30405; ISO 45001; ISO 22301; CIPD; SHRM</t>
        </is>
      </c>
      <c r="S88" s="3" t="inlineStr">
        <is>
          <t>Policy/SOP; owner/RACI; system report; dashboard; contracts; test records; incident history; interview evidence related to wellbeing, fatigue, burnout and psychological safety monitoring during prolonged crisis.</t>
        </is>
      </c>
      <c r="T88" s="3" t="inlineStr">
        <is>
          <t>Workforce disruption; Pandemic/health crisis; War/security crisis</t>
        </is>
      </c>
      <c r="U88" s="3" t="inlineStr">
        <is>
          <t>CHRO / HR</t>
        </is>
      </c>
      <c r="V88" s="3" t="inlineStr">
        <is>
          <t>HR Workforce!21</t>
        </is>
      </c>
    </row>
    <row r="89" ht="85.5" customHeight="1" s="209">
      <c r="A89" s="3" t="inlineStr">
        <is>
          <t>HRWO-018</t>
        </is>
      </c>
      <c r="B89" s="3" t="inlineStr">
        <is>
          <t>HR Workforce</t>
        </is>
      </c>
      <c r="C89" s="3" t="inlineStr">
        <is>
          <t>Continuity and wellbeing</t>
        </is>
      </c>
      <c r="D89" s="3" t="inlineStr">
        <is>
          <t>How mature is the organization in managing emergency HR policies for relocation, evacuation, hardship support, flexible work and temporary staffing, including ownership, evidence, metrics, fallback procedures and crisis stress testing?</t>
        </is>
      </c>
      <c r="E89" s="3" t="inlineStr">
        <is>
          <t>Establish a basic owner and inventory for emergency HR policies for relocation, evacuation, hardship support, flexible work and temporary staffing. Define minimum policy, evidence location and immediate crisis relevance.</t>
        </is>
      </c>
      <c r="F89" s="3" t="inlineStr">
        <is>
          <t>Document emergency HR policies for relocation, evacuation, hardship support, flexible work and temporary staffing, assign RACI, define minimum controls/KPIs and collect evidence across the main business units or sites.</t>
        </is>
      </c>
      <c r="G89" s="3" t="inlineStr">
        <is>
          <t>Standardize emergency HR policies for relocation, evacuation, hardship support, flexible work and temporary staffing across the organization, close coverage gaps, link it to crisis scenarios and train accountable roles.</t>
        </is>
      </c>
      <c r="H89" s="3" t="inlineStr">
        <is>
          <t>Measure emergency HR policies for relocation, evacuation, hardship support, flexible work and temporary staffing, review it periodically, test it against disruption scenarios and integrate it with dependent processes or systems.</t>
        </is>
      </c>
      <c r="I89" s="3" t="inlineStr">
        <is>
          <t>Optimize and automate emergency HR policies for relocation, evacuation, hardship support, flexible work and temporary staffing where practical, use leading indicators, run periodic stress tests and update the crisis playbook.</t>
        </is>
      </c>
      <c r="J89" s="3" t="inlineStr">
        <is>
          <t>Maintain maturity for emergency HR policies for relocation, evacuation, hardship support, flexible work and temporary staffing. Monitor drift, keep evidence current, benchmark externally and refresh tests after major changes.</t>
        </is>
      </c>
      <c r="K89" s="3" t="inlineStr">
        <is>
          <t>Reduces exposure to Workforce disruption; Pandemic/health crisis; War/security crisis; improves Continuity and wellbeing maturity, continuity and management visibility.</t>
        </is>
      </c>
      <c r="L89" s="3" t="n">
        <v>4</v>
      </c>
      <c r="M89" s="3" t="n">
        <v>4</v>
      </c>
      <c r="N89" s="3" t="n">
        <v>3</v>
      </c>
      <c r="O89" s="3" t="n">
        <v>2</v>
      </c>
      <c r="P89" s="3" t="n">
        <v>1</v>
      </c>
      <c r="Q89" s="3" t="n">
        <v>1</v>
      </c>
      <c r="R89" s="3" t="inlineStr">
        <is>
          <t>ISO 30414; ISO 30405; ISO 45001; ISO 22301; CIPD; SHRM</t>
        </is>
      </c>
      <c r="S89" s="3" t="inlineStr">
        <is>
          <t>Policy/SOP; owner/RACI; system report; dashboard; contracts; test records; incident history; interview evidence related to emergency HR policies for relocation, evacuation, hardship support, flexible work and temporary staffing.</t>
        </is>
      </c>
      <c r="T89" s="3" t="inlineStr">
        <is>
          <t>Workforce disruption; Pandemic/health crisis; War/security crisis</t>
        </is>
      </c>
      <c r="U89" s="3" t="inlineStr">
        <is>
          <t>CHRO / HR</t>
        </is>
      </c>
      <c r="V89" s="3" t="inlineStr">
        <is>
          <t>HR Workforce!22</t>
        </is>
      </c>
    </row>
    <row r="90" ht="71.25" customHeight="1" s="209">
      <c r="A90" s="3" t="inlineStr">
        <is>
          <t>HRWO-019</t>
        </is>
      </c>
      <c r="B90" s="3" t="inlineStr">
        <is>
          <t>HR Workforce</t>
        </is>
      </c>
      <c r="C90" s="3" t="inlineStr">
        <is>
          <t>Continuity and wellbeing</t>
        </is>
      </c>
      <c r="D90" s="3" t="inlineStr">
        <is>
          <t>How mature is the organization in managing cross-training and knowledge transfer for critical operations and rare skills, including ownership, evidence, metrics, fallback procedures and crisis stress testing?</t>
        </is>
      </c>
      <c r="E90" s="3" t="inlineStr">
        <is>
          <t>Establish a basic owner and inventory for cross-training and knowledge transfer for critical operations and rare skills. Define minimum policy, evidence location and immediate crisis relevance.</t>
        </is>
      </c>
      <c r="F90" s="3" t="inlineStr">
        <is>
          <t>Document cross-training and knowledge transfer for critical operations and rare skills, assign RACI, define minimum controls/KPIs and collect evidence across the main business units or sites.</t>
        </is>
      </c>
      <c r="G90" s="3" t="inlineStr">
        <is>
          <t>Standardize cross-training and knowledge transfer for critical operations and rare skills across the organization, close coverage gaps, link it to crisis scenarios and train accountable roles.</t>
        </is>
      </c>
      <c r="H90" s="3" t="inlineStr">
        <is>
          <t>Measure cross-training and knowledge transfer for critical operations and rare skills, review it periodically, test it against disruption scenarios and integrate it with dependent processes or systems.</t>
        </is>
      </c>
      <c r="I90" s="3" t="inlineStr">
        <is>
          <t>Optimize and automate cross-training and knowledge transfer for critical operations and rare skills where practical, use leading indicators, run periodic stress tests and update the crisis playbook.</t>
        </is>
      </c>
      <c r="J90" s="3" t="inlineStr">
        <is>
          <t>Maintain maturity for cross-training and knowledge transfer for critical operations and rare skills. Monitor drift, keep evidence current, benchmark externally and refresh tests after major changes.</t>
        </is>
      </c>
      <c r="K90" s="3" t="inlineStr">
        <is>
          <t>Reduces exposure to Workforce disruption; Pandemic/health crisis; War/security crisis; improves Continuity and wellbeing maturity, continuity and management visibility.</t>
        </is>
      </c>
      <c r="L90" s="3" t="n">
        <v>4</v>
      </c>
      <c r="M90" s="3" t="n">
        <v>4</v>
      </c>
      <c r="N90" s="3" t="n">
        <v>3</v>
      </c>
      <c r="O90" s="3" t="n">
        <v>2</v>
      </c>
      <c r="P90" s="3" t="n">
        <v>1</v>
      </c>
      <c r="Q90" s="3" t="n">
        <v>1</v>
      </c>
      <c r="R90" s="3" t="inlineStr">
        <is>
          <t>ISO 30414; ISO 30405; ISO 45001; ISO 22301; CIPD; SHRM</t>
        </is>
      </c>
      <c r="S90" s="3" t="inlineStr">
        <is>
          <t>Policy/SOP; owner/RACI; system report; dashboard; contracts; test records; incident history; interview evidence related to cross-training and knowledge transfer for critical operations and rare skills.</t>
        </is>
      </c>
      <c r="T90" s="3" t="inlineStr">
        <is>
          <t>Workforce disruption; Pandemic/health crisis; War/security crisis</t>
        </is>
      </c>
      <c r="U90" s="3" t="inlineStr">
        <is>
          <t>CHRO / HR</t>
        </is>
      </c>
      <c r="V90" s="3" t="inlineStr">
        <is>
          <t>HR Workforce!23</t>
        </is>
      </c>
    </row>
    <row r="91" ht="85.5" customHeight="1" s="209">
      <c r="A91" s="3" t="inlineStr">
        <is>
          <t>HRWO-020</t>
        </is>
      </c>
      <c r="B91" s="3" t="inlineStr">
        <is>
          <t>HR Workforce</t>
        </is>
      </c>
      <c r="C91" s="3" t="inlineStr">
        <is>
          <t>HR systems and compliance</t>
        </is>
      </c>
      <c r="D91" s="3" t="inlineStr">
        <is>
          <t>How mature is the organization in managing HRMS reliability, backup, manual fallback and data quality for employee records and emergency contacts, including ownership, evidence, metrics, fallback procedures and crisis stress testing?</t>
        </is>
      </c>
      <c r="E91" s="3" t="inlineStr">
        <is>
          <t>Establish a basic owner and inventory for HRMS reliability, backup, manual fallback and data quality for employee records and emergency contacts. Define minimum policy, evidence location and immediate crisis relevance.</t>
        </is>
      </c>
      <c r="F91" s="3" t="inlineStr">
        <is>
          <t>Document HRMS reliability, backup, manual fallback and data quality for employee records and emergency contacts, assign RACI, define minimum controls/KPIs and collect evidence across the main business units or sites.</t>
        </is>
      </c>
      <c r="G91" s="3" t="inlineStr">
        <is>
          <t>Standardize HRMS reliability, backup, manual fallback and data quality for employee records and emergency contacts across the organization, close coverage gaps, link it to crisis scenarios and train accountable roles.</t>
        </is>
      </c>
      <c r="H91" s="3" t="inlineStr">
        <is>
          <t>Measure HRMS reliability, backup, manual fallback and data quality for employee records and emergency contacts, review it periodically, test it against disruption scenarios and integrate it with dependent processes or systems.</t>
        </is>
      </c>
      <c r="I91" s="3" t="inlineStr">
        <is>
          <t>Optimize and automate HRMS reliability, backup, manual fallback and data quality for employee records and emergency contacts where practical, use leading indicators, run periodic stress tests and update the crisis playbook.</t>
        </is>
      </c>
      <c r="J91" s="3" t="inlineStr">
        <is>
          <t>Maintain maturity for HRMS reliability, backup, manual fallback and data quality for employee records and emergency contacts. Monitor drift, keep evidence current, benchmark externally and refresh tests after major changes.</t>
        </is>
      </c>
      <c r="K91" s="3" t="inlineStr">
        <is>
          <t>Reduces exposure to Workforce disruption; Pandemic/health crisis; War/security crisis; improves HR systems and compliance maturity, continuity and management visibility.</t>
        </is>
      </c>
      <c r="L91" s="3" t="n">
        <v>5</v>
      </c>
      <c r="M91" s="3" t="n">
        <v>5</v>
      </c>
      <c r="N91" s="3" t="n">
        <v>4</v>
      </c>
      <c r="O91" s="3" t="n">
        <v>3</v>
      </c>
      <c r="P91" s="3" t="n">
        <v>2</v>
      </c>
      <c r="Q91" s="3" t="n">
        <v>1</v>
      </c>
      <c r="R91" s="3" t="inlineStr">
        <is>
          <t>ISO 30414; ISO 30405; ISO 45001; ISO 22301; CIPD; SHRM</t>
        </is>
      </c>
      <c r="S91" s="3" t="inlineStr">
        <is>
          <t>Policy/SOP; owner/RACI; system report; dashboard; contracts; test records; incident history; interview evidence related to HRMS reliability, backup, manual fallback and data quality for employee records and emergency contacts.</t>
        </is>
      </c>
      <c r="T91" s="3" t="inlineStr">
        <is>
          <t>Workforce disruption; Pandemic/health crisis; War/security crisis</t>
        </is>
      </c>
      <c r="U91" s="3" t="inlineStr">
        <is>
          <t>CHRO / HR</t>
        </is>
      </c>
      <c r="V91" s="3" t="inlineStr">
        <is>
          <t>HR Workforce!24</t>
        </is>
      </c>
    </row>
    <row r="92" ht="85.5" customHeight="1" s="209">
      <c r="A92" s="3" t="inlineStr">
        <is>
          <t>HRWO-022</t>
        </is>
      </c>
      <c r="B92" s="3" t="inlineStr">
        <is>
          <t>HR Workforce</t>
        </is>
      </c>
      <c r="C92" s="3" t="inlineStr">
        <is>
          <t>HR systems and compliance</t>
        </is>
      </c>
      <c r="D92" s="3" t="inlineStr">
        <is>
          <t>How mature is the organization in managing employment compliance by country, contract type, working hours and emergency measures, including ownership, evidence, metrics, fallback procedures and crisis stress testing?</t>
        </is>
      </c>
      <c r="E92" s="3" t="inlineStr">
        <is>
          <t>Establish a basic owner and inventory for employment compliance by country, contract type, working hours and emergency measures. Define minimum policy, evidence location and immediate crisis relevance.</t>
        </is>
      </c>
      <c r="F92" s="3" t="inlineStr">
        <is>
          <t>Document employment compliance by country, contract type, working hours and emergency measures, assign RACI, define minimum controls/KPIs and collect evidence across the main business units or sites.</t>
        </is>
      </c>
      <c r="G92" s="3" t="inlineStr">
        <is>
          <t>Standardize employment compliance by country, contract type, working hours and emergency measures across the organization, close coverage gaps, link it to crisis scenarios and train accountable roles.</t>
        </is>
      </c>
      <c r="H92" s="3" t="inlineStr">
        <is>
          <t>Measure employment compliance by country, contract type, working hours and emergency measures, review it periodically, test it against disruption scenarios and integrate it with dependent processes or systems.</t>
        </is>
      </c>
      <c r="I92" s="3" t="inlineStr">
        <is>
          <t>Optimize and automate employment compliance by country, contract type, working hours and emergency measures where practical, use leading indicators, run periodic stress tests and update the crisis playbook.</t>
        </is>
      </c>
      <c r="J92" s="3" t="inlineStr">
        <is>
          <t>Maintain maturity for employment compliance by country, contract type, working hours and emergency measures. Monitor drift, keep evidence current, benchmark externally and refresh tests after major changes.</t>
        </is>
      </c>
      <c r="K92" s="3" t="inlineStr">
        <is>
          <t>Reduces exposure to Workforce disruption; Pandemic/health crisis; War/security crisis; improves HR systems and compliance maturity, continuity and management visibility.</t>
        </is>
      </c>
      <c r="L92" s="3" t="n">
        <v>4</v>
      </c>
      <c r="M92" s="3" t="n">
        <v>4</v>
      </c>
      <c r="N92" s="3" t="n">
        <v>3</v>
      </c>
      <c r="O92" s="3" t="n">
        <v>2</v>
      </c>
      <c r="P92" s="3" t="n">
        <v>1</v>
      </c>
      <c r="Q92" s="3" t="n">
        <v>1</v>
      </c>
      <c r="R92" s="3" t="inlineStr">
        <is>
          <t>ISO 30414; ISO 30405; ISO 45001; ISO 22301; CIPD; SHRM</t>
        </is>
      </c>
      <c r="S92" s="3" t="inlineStr">
        <is>
          <t>Policy/SOP; owner/RACI; system report; dashboard; contracts; test records; incident history; interview evidence related to employment compliance by country, contract type, working hours and emergency measures.</t>
        </is>
      </c>
      <c r="T92" s="3" t="inlineStr">
        <is>
          <t>Workforce disruption; Pandemic/health crisis; War/security crisis</t>
        </is>
      </c>
      <c r="U92" s="3" t="inlineStr">
        <is>
          <t>CHRO / HR</t>
        </is>
      </c>
      <c r="V92" s="3" t="inlineStr">
        <is>
          <t>HR Workforce!25</t>
        </is>
      </c>
    </row>
    <row r="93" ht="85.5" customHeight="1" s="209">
      <c r="A93" s="3" t="inlineStr">
        <is>
          <t>HRWO-024</t>
        </is>
      </c>
      <c r="B93" s="3" t="inlineStr">
        <is>
          <t>HR Workforce</t>
        </is>
      </c>
      <c r="C93" s="3" t="inlineStr">
        <is>
          <t>HR systems and compliance</t>
        </is>
      </c>
      <c r="D93" s="3" t="inlineStr">
        <is>
          <t>How mature is the organization in managing health emergency protocols for infectious disease, injury, evacuation and return-to-work, including ownership, evidence, metrics, fallback procedures and crisis stress testing?</t>
        </is>
      </c>
      <c r="E93" s="3" t="inlineStr">
        <is>
          <t>Establish a basic owner and inventory for health emergency protocols for infectious disease, injury, evacuation and return-to-work. Define minimum policy, evidence location and immediate crisis relevance.</t>
        </is>
      </c>
      <c r="F93" s="3" t="inlineStr">
        <is>
          <t>Document health emergency protocols for infectious disease, injury, evacuation and return-to-work, assign RACI, define minimum controls/KPIs and collect evidence across the main business units or sites.</t>
        </is>
      </c>
      <c r="G93" s="3" t="inlineStr">
        <is>
          <t>Standardize health emergency protocols for infectious disease, injury, evacuation and return-to-work across the organization, close coverage gaps, link it to crisis scenarios and train accountable roles.</t>
        </is>
      </c>
      <c r="H93" s="3" t="inlineStr">
        <is>
          <t>Measure health emergency protocols for infectious disease, injury, evacuation and return-to-work, review it periodically, test it against disruption scenarios and integrate it with dependent processes or systems.</t>
        </is>
      </c>
      <c r="I93" s="3" t="inlineStr">
        <is>
          <t>Optimize and automate health emergency protocols for infectious disease, injury, evacuation and return-to-work where practical, use leading indicators, run periodic stress tests and update the crisis playbook.</t>
        </is>
      </c>
      <c r="J93" s="3" t="inlineStr">
        <is>
          <t>Maintain maturity for health emergency protocols for infectious disease, injury, evacuation and return-to-work. Monitor drift, keep evidence current, benchmark externally and refresh tests after major changes.</t>
        </is>
      </c>
      <c r="K93" s="3" t="inlineStr">
        <is>
          <t>Reduces exposure to Workforce disruption; Pandemic/health crisis; War/security crisis; improves HR systems and compliance maturity, continuity and management visibility.</t>
        </is>
      </c>
      <c r="L93" s="3" t="n">
        <v>4</v>
      </c>
      <c r="M93" s="3" t="n">
        <v>4</v>
      </c>
      <c r="N93" s="3" t="n">
        <v>3</v>
      </c>
      <c r="O93" s="3" t="n">
        <v>2</v>
      </c>
      <c r="P93" s="3" t="n">
        <v>1</v>
      </c>
      <c r="Q93" s="3" t="n">
        <v>1</v>
      </c>
      <c r="R93" s="3" t="inlineStr">
        <is>
          <t>ISO 30414; ISO 30405; ISO 45001; ISO 22301; CIPD; SHRM</t>
        </is>
      </c>
      <c r="S93" s="3" t="inlineStr">
        <is>
          <t>Policy/SOP; owner/RACI; system report; dashboard; contracts; test records; incident history; interview evidence related to health emergency protocols for infectious disease, injury, evacuation and return-to-work.</t>
        </is>
      </c>
      <c r="T93" s="3" t="inlineStr">
        <is>
          <t>Workforce disruption; Pandemic/health crisis; War/security crisis</t>
        </is>
      </c>
      <c r="U93" s="3" t="inlineStr">
        <is>
          <t>CHRO / HR</t>
        </is>
      </c>
      <c r="V93" s="3" t="inlineStr">
        <is>
          <t>HR Workforce!26</t>
        </is>
      </c>
    </row>
    <row r="94" ht="85.5" customHeight="1" s="209">
      <c r="A94" s="3" t="inlineStr">
        <is>
          <t>HRWO-025</t>
        </is>
      </c>
      <c r="B94" s="3" t="inlineStr">
        <is>
          <t>HR Workforce</t>
        </is>
      </c>
      <c r="C94" s="3" t="inlineStr">
        <is>
          <t>HR systems and compliance</t>
        </is>
      </c>
      <c r="D94" s="3" t="inlineStr">
        <is>
          <t>How mature is the organization in managing background verification and vetting for roles with access to funds, sensitive data or critical systems, including ownership, evidence, metrics, fallback procedures and crisis stress testing?</t>
        </is>
      </c>
      <c r="E94" s="3" t="inlineStr">
        <is>
          <t>Establish a basic owner and inventory for background verification and vetting for roles with access to funds, sensitive data or critical systems. Define minimum policy, evidence location and immediate crisis relevance.</t>
        </is>
      </c>
      <c r="F94" s="3" t="inlineStr">
        <is>
          <t>Document background verification and vetting for roles with access to funds, sensitive data or critical systems, assign RACI, define minimum controls/KPIs and collect evidence across the main business units or sites.</t>
        </is>
      </c>
      <c r="G94" s="3" t="inlineStr">
        <is>
          <t>Standardize background verification and vetting for roles with access to funds, sensitive data or critical systems across the organization, close coverage gaps, link it to crisis scenarios and train accountable roles.</t>
        </is>
      </c>
      <c r="H94" s="3" t="inlineStr">
        <is>
          <t>Measure background verification and vetting for roles with access to funds, sensitive data or critical systems, review it periodically, test it against disruption scenarios and integrate it with dependent processes or systems.</t>
        </is>
      </c>
      <c r="I94" s="3" t="inlineStr">
        <is>
          <t>Optimize and automate background verification and vetting for roles with access to funds, sensitive data or critical systems where practical, use leading indicators, run periodic stress tests and update the crisis playbook.</t>
        </is>
      </c>
      <c r="J94" s="3" t="inlineStr">
        <is>
          <t>Maintain maturity for background verification and vetting for roles with access to funds, sensitive data or critical systems. Monitor drift, keep evidence current, benchmark externally and refresh tests after major changes.</t>
        </is>
      </c>
      <c r="K94" s="3" t="inlineStr">
        <is>
          <t>Reduces exposure to Cyberattack/ransomware; Regulatory/legal shock; improves HR systems and compliance maturity, continuity and management visibility.</t>
        </is>
      </c>
      <c r="L94" s="3" t="n">
        <v>2</v>
      </c>
      <c r="M94" s="3" t="n">
        <v>2</v>
      </c>
      <c r="N94" s="3" t="n">
        <v>2</v>
      </c>
      <c r="O94" s="3" t="n">
        <v>2</v>
      </c>
      <c r="P94" s="3" t="n">
        <v>1</v>
      </c>
      <c r="Q94" s="3" t="n">
        <v>1</v>
      </c>
      <c r="R94" s="3" t="inlineStr">
        <is>
          <t>C2M2 WORKFORCE; ISO 27001 HR security; customer audit requirements</t>
        </is>
      </c>
      <c r="S94" s="3" t="inlineStr">
        <is>
          <t>Policy/SOP; owner/RACI; system report; dashboard; contracts; test records; incident history; interview evidence related to background verification and vetting for roles with access to funds, sensitive data or critical systems</t>
        </is>
      </c>
      <c r="T94" s="3" t="inlineStr">
        <is>
          <t>Cyberattack/ransomware; Regulatory/legal shock</t>
        </is>
      </c>
      <c r="U94" s="3" t="inlineStr">
        <is>
          <t>CHRO / CISO</t>
        </is>
      </c>
      <c r="V94" s="3" t="inlineStr">
        <is>
          <t>HR Workforce!27</t>
        </is>
      </c>
    </row>
    <row r="95" ht="85.5" customHeight="1" s="209">
      <c r="A95" s="3" t="inlineStr">
        <is>
          <t>HRWO-026</t>
        </is>
      </c>
      <c r="B95" s="3" t="inlineStr">
        <is>
          <t>HR Workforce</t>
        </is>
      </c>
      <c r="C95" s="3" t="inlineStr">
        <is>
          <t>HR systems and compliance</t>
        </is>
      </c>
      <c r="D95" s="3" t="inlineStr">
        <is>
          <t>How mature is the organization in managing role-specific security responsibilities embedded in job descriptions with specialized training for high-risk roles, including ownership, evidence, metrics, fallback procedures and crisis stress testing?</t>
        </is>
      </c>
      <c r="E95" s="3" t="inlineStr">
        <is>
          <t>Establish a basic owner and inventory for role-specific security responsibilities embedded in job descriptions with specialized training for high-risk roles. Define minimum policy, evidence location and immediate crisis relevance.</t>
        </is>
      </c>
      <c r="F95" s="3" t="inlineStr">
        <is>
          <t>Document role-specific security responsibilities embedded in job descriptions with specialized training for high-risk roles, assign RACI, define minimum controls/KPIs and collect evidence across the main business units or sites.</t>
        </is>
      </c>
      <c r="G95" s="3" t="inlineStr">
        <is>
          <t>Standardize role-specific security responsibilities embedded in job descriptions with specialized training for high-risk roles across the organization, close coverage gaps, link it to crisis scenarios and train accountable roles.</t>
        </is>
      </c>
      <c r="H95" s="3" t="inlineStr">
        <is>
          <t>Measure role-specific security responsibilities embedded in job descriptions with specialized training for high-risk roles, review it periodically, test it against disruption scenarios and integrate it with dependent processes or systems.</t>
        </is>
      </c>
      <c r="I95" s="3" t="inlineStr">
        <is>
          <t>Optimize and automate role-specific security responsibilities embedded in job descriptions with specialized training for high-risk roles where practical, use leading indicators, run periodic stress tests and update the crisis playbook.</t>
        </is>
      </c>
      <c r="J95" s="3" t="inlineStr">
        <is>
          <t>Maintain maturity for role-specific security responsibilities embedded in job descriptions with specialized training for high-risk roles. Monitor drift, keep evidence current, benchmark externally and refresh tests after major changes.</t>
        </is>
      </c>
      <c r="K95" s="3" t="inlineStr">
        <is>
          <t>Reduces exposure to Cyberattack/ransomware; Workforce disruption; improves HR systems and compliance maturity, continuity and management visibility.</t>
        </is>
      </c>
      <c r="L95" s="3" t="n">
        <v>2</v>
      </c>
      <c r="M95" s="3" t="n">
        <v>2</v>
      </c>
      <c r="N95" s="3" t="n">
        <v>2</v>
      </c>
      <c r="O95" s="3" t="n">
        <v>2</v>
      </c>
      <c r="P95" s="3" t="n">
        <v>1</v>
      </c>
      <c r="Q95" s="3" t="n">
        <v>1</v>
      </c>
      <c r="R95" s="3" t="inlineStr">
        <is>
          <t>C2M2 WORKFORCE; NIST CSF 2.0 PR.AT-02; ISO 27001</t>
        </is>
      </c>
      <c r="S95" s="3" t="inlineStr">
        <is>
          <t>Policy/SOP; owner/RACI; system report; dashboard; contracts; test records; incident history; interview evidence related to role-specific security responsibilities embedded in job descriptions with specialized training for high-risk roles</t>
        </is>
      </c>
      <c r="T95" s="3" t="inlineStr">
        <is>
          <t>Cyberattack/ransomware; Workforce disruption</t>
        </is>
      </c>
      <c r="U95" s="3" t="inlineStr">
        <is>
          <t>CHRO / CISO</t>
        </is>
      </c>
      <c r="V95" s="3" t="inlineStr">
        <is>
          <t>HR Workforce!28</t>
        </is>
      </c>
    </row>
    <row r="96" ht="85.5" customHeight="1" s="209">
      <c r="A96" s="3" t="inlineStr">
        <is>
          <t>HRWO-027</t>
        </is>
      </c>
      <c r="B96" s="3" t="inlineStr">
        <is>
          <t>HR Workforce</t>
        </is>
      </c>
      <c r="C96" s="3" t="inlineStr">
        <is>
          <t>Continuity and wellbeing</t>
        </is>
      </c>
      <c r="D96" s="3" t="inlineStr">
        <is>
          <t>How mature is the organization in managing systematic employee engagement measurement with trends, segmentation and follow-up actions, including ownership, evidence, metrics, fallback procedures and crisis stress testing?</t>
        </is>
      </c>
      <c r="E96" s="3" t="inlineStr">
        <is>
          <t>Establish a basic owner and inventory for systematic employee engagement measurement with trends, segmentation and follow-up actions. Define minimum policy, evidence location and immediate crisis relevance.</t>
        </is>
      </c>
      <c r="F96" s="3" t="inlineStr">
        <is>
          <t>Document systematic employee engagement measurement with trends, segmentation and follow-up actions, assign RACI, define minimum controls/KPIs and collect evidence across the main business units or sites.</t>
        </is>
      </c>
      <c r="G96" s="3" t="inlineStr">
        <is>
          <t>Standardize systematic employee engagement measurement with trends, segmentation and follow-up actions across the organization, close coverage gaps, link it to crisis scenarios and train accountable roles.</t>
        </is>
      </c>
      <c r="H96" s="3" t="inlineStr">
        <is>
          <t>Measure systematic employee engagement measurement with trends, segmentation and follow-up actions, review it periodically, test it against disruption scenarios and integrate it with dependent processes or systems.</t>
        </is>
      </c>
      <c r="I96" s="3" t="inlineStr">
        <is>
          <t>Optimize and automate systematic employee engagement measurement with trends, segmentation and follow-up actions where practical, use leading indicators, run periodic stress tests and update the crisis playbook.</t>
        </is>
      </c>
      <c r="J96" s="3" t="inlineStr">
        <is>
          <t>Maintain maturity for systematic employee engagement measurement with trends, segmentation and follow-up actions. Monitor drift, keep evidence current, benchmark externally and refresh tests after major changes.</t>
        </is>
      </c>
      <c r="K96" s="3" t="inlineStr">
        <is>
          <t>Reduces exposure to Workforce disruption; Pandemic/health crisis; improves Continuity and wellbeing maturity, continuity and management visibility.</t>
        </is>
      </c>
      <c r="L96" s="3" t="n">
        <v>2</v>
      </c>
      <c r="M96" s="3" t="n">
        <v>2</v>
      </c>
      <c r="N96" s="3" t="n">
        <v>2</v>
      </c>
      <c r="O96" s="3" t="n">
        <v>2</v>
      </c>
      <c r="P96" s="3" t="n">
        <v>1</v>
      </c>
      <c r="Q96" s="3" t="n">
        <v>1</v>
      </c>
      <c r="R96" s="3" t="inlineStr">
        <is>
          <t>EFQM 2025 3.2 and Results; ISO 30414</t>
        </is>
      </c>
      <c r="S96" s="3" t="inlineStr">
        <is>
          <t>Policy/SOP; owner/RACI; system report; dashboard; contracts; test records; incident history; interview evidence related to systematic employee engagement measurement with trends, segmentation and follow-up actions</t>
        </is>
      </c>
      <c r="T96" s="3" t="inlineStr">
        <is>
          <t>Workforce disruption; Pandemic/health crisis</t>
        </is>
      </c>
      <c r="U96" s="3" t="inlineStr">
        <is>
          <t>CHRO</t>
        </is>
      </c>
      <c r="V96" s="3" t="inlineStr">
        <is>
          <t>HR Workforce!29</t>
        </is>
      </c>
    </row>
    <row r="97" ht="114" customHeight="1" s="209">
      <c r="A97" s="3" t="inlineStr">
        <is>
          <t>HRWO-028</t>
        </is>
      </c>
      <c r="B97" s="3" t="inlineStr">
        <is>
          <t>HR Workforce</t>
        </is>
      </c>
      <c r="C97" s="3" t="inlineStr">
        <is>
          <t>Workforce visibility</t>
        </is>
      </c>
      <c r="D97" s="3" t="inlineStr">
        <is>
          <t>How mature is the organization in managing workforce exposure to national emergency duties such as conscription, reservist service or civil mobilization, including exemption processes and continuity planning, including ownership, evidence, metrics, fallback procedures and crisis stress testing?</t>
        </is>
      </c>
      <c r="E97" s="3" t="inlineStr">
        <is>
          <t>Establish a basic owner and inventory for workforce exposure to national emergency duties such as conscription, reservist service or civil mobilization, including exemption processes and continuity planning. Define minimum policy, evidence location and immediate crisis relevance.</t>
        </is>
      </c>
      <c r="F97" s="3" t="inlineStr">
        <is>
          <t>Document workforce exposure to national emergency duties such as conscription, reservist service or civil mobilization, including exemption processes and continuity planning, assign RACI, define minimum controls/KPIs and collect evidence across the main business units or sites.</t>
        </is>
      </c>
      <c r="G97" s="3" t="inlineStr">
        <is>
          <t>Standardize workforce exposure to national emergency duties such as conscription, reservist service or civil mobilization, including exemption processes and continuity planning across the organization, close coverage gaps, link it to crisis scenarios and train accountable roles.</t>
        </is>
      </c>
      <c r="H97" s="3" t="inlineStr">
        <is>
          <t>Measure workforce exposure to national emergency duties such as conscription, reservist service or civil mobilization, including exemption processes and continuity planning, review it periodically, test it against disruption scenarios and integrate it with dependent processes or systems.</t>
        </is>
      </c>
      <c r="I97" s="3" t="inlineStr">
        <is>
          <t>Optimize and automate workforce exposure to national emergency duties such as conscription, reservist service or civil mobilization, including exemption processes and continuity planning where practical, use leading indicators, run periodic stress tests and update the crisis playbook.</t>
        </is>
      </c>
      <c r="J97" s="3" t="inlineStr">
        <is>
          <t>Maintain maturity for workforce exposure to national emergency duties such as conscription, reservist service or civil mobilization, including exemption processes and continuity planning. Monitor drift, keep evidence current, benchmark externally and refresh tests after major changes.</t>
        </is>
      </c>
      <c r="K97" s="3" t="inlineStr">
        <is>
          <t>Reduces exposure to War/security crisis; Workforce disruption; improves Workforce visibility maturity, continuity and management visibility.</t>
        </is>
      </c>
      <c r="L97" s="3" t="n">
        <v>3</v>
      </c>
      <c r="M97" s="3" t="n">
        <v>3</v>
      </c>
      <c r="N97" s="3" t="n">
        <v>2</v>
      </c>
      <c r="O97" s="3" t="n">
        <v>2</v>
      </c>
      <c r="P97" s="3" t="n">
        <v>2</v>
      </c>
      <c r="Q97" s="3" t="n">
        <v>1</v>
      </c>
      <c r="R97" s="3" t="inlineStr">
        <is>
          <t>ISO 22301; national emergency and labor legislation; workforce planning</t>
        </is>
      </c>
      <c r="S97" s="3" t="inlineStr">
        <is>
          <t>Policy/SOP; owner/RACI; system report; dashboard; contracts; test records; incident history; interview evidence related to workforce exposure to national emergency duties such as conscription, reservist service or civil mobilization, including exemption processes and continuity planning</t>
        </is>
      </c>
      <c r="T97" s="3" t="inlineStr">
        <is>
          <t>War/security crisis; Workforce disruption</t>
        </is>
      </c>
      <c r="U97" s="3" t="inlineStr">
        <is>
          <t>CHRO / Legal</t>
        </is>
      </c>
      <c r="V97" s="3" t="inlineStr">
        <is>
          <t>HR Workforce!30</t>
        </is>
      </c>
    </row>
    <row r="98" ht="85.5" customHeight="1" s="209">
      <c r="A98" s="3" t="inlineStr">
        <is>
          <t>FINA-001</t>
        </is>
      </c>
      <c r="B98" s="3" t="inlineStr">
        <is>
          <t>Finance Procurement</t>
        </is>
      </c>
      <c r="C98" s="3" t="inlineStr">
        <is>
          <t>Financial resilience</t>
        </is>
      </c>
      <c r="D98" s="3" t="inlineStr">
        <is>
          <t>How mature is the organization in managing cash visibility by legal entity, bank, currency, restrictions and emergency access, including ownership, evidence, metrics, fallback procedures and crisis stress testing?</t>
        </is>
      </c>
      <c r="E98" s="3" t="inlineStr">
        <is>
          <t>Establish a basic owner and inventory for cash visibility by legal entity, bank, currency, restrictions and emergency access. Define minimum policy, evidence location and immediate crisis relevance.</t>
        </is>
      </c>
      <c r="F98" s="3" t="inlineStr">
        <is>
          <t>Document cash visibility by legal entity, bank, currency, restrictions and emergency access, assign RACI, define minimum controls/KPIs and collect evidence across the main business units or sites.</t>
        </is>
      </c>
      <c r="G98" s="3" t="inlineStr">
        <is>
          <t>Standardize cash visibility by legal entity, bank, currency, restrictions and emergency access across the organization, close coverage gaps, link it to crisis scenarios and train accountable roles.</t>
        </is>
      </c>
      <c r="H98" s="3" t="inlineStr">
        <is>
          <t>Measure cash visibility by legal entity, bank, currency, restrictions and emergency access, review it periodically, test it against disruption scenarios and integrate it with dependent processes or systems.</t>
        </is>
      </c>
      <c r="I98" s="3" t="inlineStr">
        <is>
          <t>Optimize and automate cash visibility by legal entity, bank, currency, restrictions and emergency access where practical, use leading indicators, run periodic stress tests and update the crisis playbook.</t>
        </is>
      </c>
      <c r="J98" s="3" t="inlineStr">
        <is>
          <t>Maintain maturity for cash visibility by legal entity, bank, currency, restrictions and emergency access. Monitor drift, keep evidence current, benchmark externally and refresh tests after major changes.</t>
        </is>
      </c>
      <c r="K98" s="3" t="inlineStr">
        <is>
          <t>Reduces exposure to Financial liquidity crisis; Supplier disruption; Fraud risk; improves Financial resilience maturity, continuity and management visibility.</t>
        </is>
      </c>
      <c r="L98" s="3" t="n">
        <v>5</v>
      </c>
      <c r="M98" s="3" t="n">
        <v>5</v>
      </c>
      <c r="N98" s="3" t="n">
        <v>4</v>
      </c>
      <c r="O98" s="3" t="n">
        <v>3</v>
      </c>
      <c r="P98" s="3" t="n">
        <v>2</v>
      </c>
      <c r="Q98" s="3" t="n">
        <v>1</v>
      </c>
      <c r="R98" s="3" t="inlineStr">
        <is>
          <t>COSO Internal Control; COSO ERM; IFRS; ISO 20400; ISO 37001; CIPS</t>
        </is>
      </c>
      <c r="S98" s="3" t="inlineStr">
        <is>
          <t>Policy/SOP; owner/RACI; system report; dashboard; contracts; test records; incident history; interview evidence related to cash visibility by legal entity, bank, currency, restrictions and emergency access.</t>
        </is>
      </c>
      <c r="T98" s="3" t="inlineStr">
        <is>
          <t>Financial liquidity crisis; Supplier disruption; Fraud risk</t>
        </is>
      </c>
      <c r="U98" s="3" t="inlineStr">
        <is>
          <t>CFO / Procurement</t>
        </is>
      </c>
      <c r="V98" s="3" t="inlineStr">
        <is>
          <t>Finance Procurement!5</t>
        </is>
      </c>
    </row>
    <row r="99" ht="71.25" customHeight="1" s="209">
      <c r="A99" s="3" t="inlineStr">
        <is>
          <t>FINA-002</t>
        </is>
      </c>
      <c r="B99" s="3" t="inlineStr">
        <is>
          <t>Finance Procurement</t>
        </is>
      </c>
      <c r="C99" s="3" t="inlineStr">
        <is>
          <t>Financial resilience</t>
        </is>
      </c>
      <c r="D99" s="3" t="inlineStr">
        <is>
          <t>How mature is the organization in managing cash-flow forecasting under base, downside and severe crisis scenarios, including ownership, evidence, metrics, fallback procedures and crisis stress testing?</t>
        </is>
      </c>
      <c r="E99" s="3" t="inlineStr">
        <is>
          <t>Establish a basic owner and inventory for cash-flow forecasting under base, downside and severe crisis scenarios. Define minimum policy, evidence location and immediate crisis relevance.</t>
        </is>
      </c>
      <c r="F99" s="3" t="inlineStr">
        <is>
          <t>Document cash-flow forecasting under base, downside and severe crisis scenarios, assign RACI, define minimum controls/KPIs and collect evidence across the main business units or sites.</t>
        </is>
      </c>
      <c r="G99" s="3" t="inlineStr">
        <is>
          <t>Standardize cash-flow forecasting under base, downside and severe crisis scenarios across the organization, close coverage gaps, link it to crisis scenarios and train accountable roles.</t>
        </is>
      </c>
      <c r="H99" s="3" t="inlineStr">
        <is>
          <t>Measure cash-flow forecasting under base, downside and severe crisis scenarios, review it periodically, test it against disruption scenarios and integrate it with dependent processes or systems.</t>
        </is>
      </c>
      <c r="I99" s="3" t="inlineStr">
        <is>
          <t>Optimize and automate cash-flow forecasting under base, downside and severe crisis scenarios where practical, use leading indicators, run periodic stress tests and update the crisis playbook.</t>
        </is>
      </c>
      <c r="J99" s="3" t="inlineStr">
        <is>
          <t>Maintain maturity for cash-flow forecasting under base, downside and severe crisis scenarios. Monitor drift, keep evidence current, benchmark externally and refresh tests after major changes.</t>
        </is>
      </c>
      <c r="K99" s="3" t="inlineStr">
        <is>
          <t>Reduces exposure to Financial liquidity crisis; Supplier disruption; Fraud risk; improves Financial resilience maturity, continuity and management visibility.</t>
        </is>
      </c>
      <c r="L99" s="3" t="n">
        <v>4</v>
      </c>
      <c r="M99" s="3" t="n">
        <v>4</v>
      </c>
      <c r="N99" s="3" t="n">
        <v>3</v>
      </c>
      <c r="O99" s="3" t="n">
        <v>2</v>
      </c>
      <c r="P99" s="3" t="n">
        <v>1</v>
      </c>
      <c r="Q99" s="3" t="n">
        <v>1</v>
      </c>
      <c r="R99" s="3" t="inlineStr">
        <is>
          <t>COSO Internal Control; COSO ERM; IFRS; ISO 20400; ISO 37001; CIPS</t>
        </is>
      </c>
      <c r="S99" s="3" t="inlineStr">
        <is>
          <t>Policy/SOP; owner/RACI; system report; dashboard; contracts; test records; incident history; interview evidence related to cash-flow forecasting under base, downside and severe crisis scenarios.</t>
        </is>
      </c>
      <c r="T99" s="3" t="inlineStr">
        <is>
          <t>Financial liquidity crisis; Supplier disruption; Fraud risk</t>
        </is>
      </c>
      <c r="U99" s="3" t="inlineStr">
        <is>
          <t>CFO / Procurement</t>
        </is>
      </c>
      <c r="V99" s="3" t="inlineStr">
        <is>
          <t>Finance Procurement!6</t>
        </is>
      </c>
    </row>
    <row r="100" ht="71.25" customHeight="1" s="209">
      <c r="A100" s="3" t="inlineStr">
        <is>
          <t>FINA-003</t>
        </is>
      </c>
      <c r="B100" s="3" t="inlineStr">
        <is>
          <t>Finance Procurement</t>
        </is>
      </c>
      <c r="C100" s="3" t="inlineStr">
        <is>
          <t>Financial resilience</t>
        </is>
      </c>
      <c r="D100" s="3" t="inlineStr">
        <is>
          <t>How mature is the organization in managing liquidity buffers, credit lines, emergency funding options and covenant monitoring, including ownership, evidence, metrics, fallback procedures and crisis stress testing?</t>
        </is>
      </c>
      <c r="E100" s="3" t="inlineStr">
        <is>
          <t>Establish a basic owner and inventory for liquidity buffers, credit lines, emergency funding options and covenant monitoring. Define minimum policy, evidence location and immediate crisis relevance.</t>
        </is>
      </c>
      <c r="F100" s="3" t="inlineStr">
        <is>
          <t>Document liquidity buffers, credit lines, emergency funding options and covenant monitoring, assign RACI, define minimum controls/KPIs and collect evidence across the main business units or sites.</t>
        </is>
      </c>
      <c r="G100" s="3" t="inlineStr">
        <is>
          <t>Standardize liquidity buffers, credit lines, emergency funding options and covenant monitoring across the organization, close coverage gaps, link it to crisis scenarios and train accountable roles.</t>
        </is>
      </c>
      <c r="H100" s="3" t="inlineStr">
        <is>
          <t>Measure liquidity buffers, credit lines, emergency funding options and covenant monitoring, review it periodically, test it against disruption scenarios and integrate it with dependent processes or systems.</t>
        </is>
      </c>
      <c r="I100" s="3" t="inlineStr">
        <is>
          <t>Optimize and automate liquidity buffers, credit lines, emergency funding options and covenant monitoring where practical, use leading indicators, run periodic stress tests and update the crisis playbook.</t>
        </is>
      </c>
      <c r="J100" s="3" t="inlineStr">
        <is>
          <t>Maintain maturity for liquidity buffers, credit lines, emergency funding options and covenant monitoring. Monitor drift, keep evidence current, benchmark externally and refresh tests after major changes.</t>
        </is>
      </c>
      <c r="K100" s="3" t="inlineStr">
        <is>
          <t>Reduces exposure to Financial liquidity crisis; Supplier disruption; Fraud risk; improves Financial resilience maturity, continuity and management visibility.</t>
        </is>
      </c>
      <c r="L100" s="3" t="n">
        <v>4</v>
      </c>
      <c r="M100" s="3" t="n">
        <v>4</v>
      </c>
      <c r="N100" s="3" t="n">
        <v>3</v>
      </c>
      <c r="O100" s="3" t="n">
        <v>2</v>
      </c>
      <c r="P100" s="3" t="n">
        <v>1</v>
      </c>
      <c r="Q100" s="3" t="n">
        <v>1</v>
      </c>
      <c r="R100" s="3" t="inlineStr">
        <is>
          <t>COSO Internal Control; COSO ERM; IFRS; ISO 20400; ISO 37001; CIPS</t>
        </is>
      </c>
      <c r="S100" s="3" t="inlineStr">
        <is>
          <t>Policy/SOP; owner/RACI; system report; dashboard; contracts; test records; incident history; interview evidence related to liquidity buffers, credit lines, emergency funding options and covenant monitoring.</t>
        </is>
      </c>
      <c r="T100" s="3" t="inlineStr">
        <is>
          <t>Financial liquidity crisis; Supplier disruption; Fraud risk</t>
        </is>
      </c>
      <c r="U100" s="3" t="inlineStr">
        <is>
          <t>CFO / Procurement</t>
        </is>
      </c>
      <c r="V100" s="3" t="inlineStr">
        <is>
          <t>Finance Procurement!7</t>
        </is>
      </c>
    </row>
    <row r="101" ht="85.5" customHeight="1" s="209">
      <c r="A101" s="3" t="inlineStr">
        <is>
          <t>FINA-004</t>
        </is>
      </c>
      <c r="B101" s="3" t="inlineStr">
        <is>
          <t>Finance Procurement</t>
        </is>
      </c>
      <c r="C101" s="3" t="inlineStr">
        <is>
          <t>Financial resilience</t>
        </is>
      </c>
      <c r="D101" s="3" t="inlineStr">
        <is>
          <t>How mature is the organization in managing driver-based financial forecasting linked to sales, delivery, workforce, inventory and production, including ownership, evidence, metrics, fallback procedures and crisis stress testing?</t>
        </is>
      </c>
      <c r="E101" s="3" t="inlineStr">
        <is>
          <t>Establish a basic owner and inventory for driver-based financial forecasting linked to sales, delivery, workforce, inventory and production. Define minimum policy, evidence location and immediate crisis relevance.</t>
        </is>
      </c>
      <c r="F101" s="3" t="inlineStr">
        <is>
          <t>Document driver-based financial forecasting linked to sales, delivery, workforce, inventory and production, assign RACI, define minimum controls/KPIs and collect evidence across the main business units or sites.</t>
        </is>
      </c>
      <c r="G101" s="3" t="inlineStr">
        <is>
          <t>Standardize driver-based financial forecasting linked to sales, delivery, workforce, inventory and production across the organization, close coverage gaps, link it to crisis scenarios and train accountable roles.</t>
        </is>
      </c>
      <c r="H101" s="3" t="inlineStr">
        <is>
          <t>Measure driver-based financial forecasting linked to sales, delivery, workforce, inventory and production, review it periodically, test it against disruption scenarios and integrate it with dependent processes or systems.</t>
        </is>
      </c>
      <c r="I101" s="3" t="inlineStr">
        <is>
          <t>Optimize and automate driver-based financial forecasting linked to sales, delivery, workforce, inventory and production where practical, use leading indicators, run periodic stress tests and update the crisis playbook.</t>
        </is>
      </c>
      <c r="J101" s="3" t="inlineStr">
        <is>
          <t>Maintain maturity for driver-based financial forecasting linked to sales, delivery, workforce, inventory and production. Monitor drift, keep evidence current, benchmark externally and refresh tests after major changes.</t>
        </is>
      </c>
      <c r="K101" s="3" t="inlineStr">
        <is>
          <t>Reduces exposure to Financial liquidity crisis; Supplier disruption; Fraud risk; improves Financial resilience maturity, continuity and management visibility.</t>
        </is>
      </c>
      <c r="L101" s="3" t="n">
        <v>4</v>
      </c>
      <c r="M101" s="3" t="n">
        <v>4</v>
      </c>
      <c r="N101" s="3" t="n">
        <v>3</v>
      </c>
      <c r="O101" s="3" t="n">
        <v>2</v>
      </c>
      <c r="P101" s="3" t="n">
        <v>1</v>
      </c>
      <c r="Q101" s="3" t="n">
        <v>1</v>
      </c>
      <c r="R101" s="3" t="inlineStr">
        <is>
          <t>COSO Internal Control; COSO ERM; IFRS; ISO 20400; ISO 37001; CIPS</t>
        </is>
      </c>
      <c r="S101" s="3" t="inlineStr">
        <is>
          <t>Policy/SOP; owner/RACI; system report; dashboard; contracts; test records; incident history; interview evidence related to driver-based financial forecasting linked to sales, delivery, workforce, inventory and production.</t>
        </is>
      </c>
      <c r="T101" s="3" t="inlineStr">
        <is>
          <t>Financial liquidity crisis; Supplier disruption; Fraud risk</t>
        </is>
      </c>
      <c r="U101" s="3" t="inlineStr">
        <is>
          <t>CFO / Procurement</t>
        </is>
      </c>
      <c r="V101" s="3" t="inlineStr">
        <is>
          <t>Finance Procurement!8</t>
        </is>
      </c>
    </row>
    <row r="102" ht="71.25" customHeight="1" s="209">
      <c r="A102" s="3" t="inlineStr">
        <is>
          <t>FINA-005</t>
        </is>
      </c>
      <c r="B102" s="3" t="inlineStr">
        <is>
          <t>Finance Procurement</t>
        </is>
      </c>
      <c r="C102" s="3" t="inlineStr">
        <is>
          <t>Financial resilience</t>
        </is>
      </c>
      <c r="D102" s="3" t="inlineStr">
        <is>
          <t>How mature is the organization in managing budget flexibility and emergency reallocation rules, including ownership, evidence, metrics, fallback procedures and crisis stress testing?</t>
        </is>
      </c>
      <c r="E102" s="3" t="inlineStr">
        <is>
          <t>Establish a basic owner and inventory for budget flexibility and emergency reallocation rules. Define minimum policy, evidence location and immediate crisis relevance.</t>
        </is>
      </c>
      <c r="F102" s="3" t="inlineStr">
        <is>
          <t>Document budget flexibility and emergency reallocation rules, assign RACI, define minimum controls/KPIs and collect evidence across the main business units or sites.</t>
        </is>
      </c>
      <c r="G102" s="3" t="inlineStr">
        <is>
          <t>Standardize budget flexibility and emergency reallocation rules across the organization, close coverage gaps, link it to crisis scenarios and train accountable roles.</t>
        </is>
      </c>
      <c r="H102" s="3" t="inlineStr">
        <is>
          <t>Measure budget flexibility and emergency reallocation rules, review it periodically, test it against disruption scenarios and integrate it with dependent processes or systems.</t>
        </is>
      </c>
      <c r="I102" s="3" t="inlineStr">
        <is>
          <t>Optimize and automate budget flexibility and emergency reallocation rules where practical, use leading indicators, run periodic stress tests and update the crisis playbook.</t>
        </is>
      </c>
      <c r="J102" s="3" t="inlineStr">
        <is>
          <t>Maintain maturity for budget flexibility and emergency reallocation rules. Monitor drift, keep evidence current, benchmark externally and refresh tests after major changes.</t>
        </is>
      </c>
      <c r="K102" s="3" t="inlineStr">
        <is>
          <t>Reduces exposure to Financial liquidity crisis; Supplier disruption; Fraud risk; improves Financial resilience maturity, continuity and management visibility.</t>
        </is>
      </c>
      <c r="L102" s="3" t="n">
        <v>5</v>
      </c>
      <c r="M102" s="3" t="n">
        <v>5</v>
      </c>
      <c r="N102" s="3" t="n">
        <v>4</v>
      </c>
      <c r="O102" s="3" t="n">
        <v>3</v>
      </c>
      <c r="P102" s="3" t="n">
        <v>2</v>
      </c>
      <c r="Q102" s="3" t="n">
        <v>1</v>
      </c>
      <c r="R102" s="3" t="inlineStr">
        <is>
          <t>COSO Internal Control; COSO ERM; IFRS; ISO 20400; ISO 37001; CIPS</t>
        </is>
      </c>
      <c r="S102" s="3" t="inlineStr">
        <is>
          <t>Policy/SOP; owner/RACI; system report; dashboard; contracts; test records; incident history; interview evidence related to budget flexibility and emergency reallocation rules.</t>
        </is>
      </c>
      <c r="T102" s="3" t="inlineStr">
        <is>
          <t>Financial liquidity crisis; Supplier disruption; Fraud risk</t>
        </is>
      </c>
      <c r="U102" s="3" t="inlineStr">
        <is>
          <t>CFO / Procurement</t>
        </is>
      </c>
      <c r="V102" s="3" t="inlineStr">
        <is>
          <t>Finance Procurement!9</t>
        </is>
      </c>
    </row>
    <row r="103" ht="99.75" customHeight="1" s="209">
      <c r="A103" s="3" t="inlineStr">
        <is>
          <t>FINA-006</t>
        </is>
      </c>
      <c r="B103" s="3" t="inlineStr">
        <is>
          <t>Finance Procurement</t>
        </is>
      </c>
      <c r="C103" s="3" t="inlineStr">
        <is>
          <t>Financial resilience</t>
        </is>
      </c>
      <c r="D103" s="3" t="inlineStr">
        <is>
          <t>How mature is the organization in managing financial stress tests for revenue collapse, currency shock, supplier price spikes, debt pressure and delayed receivables, including ownership, evidence, metrics, fallback procedures and crisis stress testing?</t>
        </is>
      </c>
      <c r="E103" s="3" t="inlineStr">
        <is>
          <t>Establish a basic owner and inventory for financial stress tests for revenue collapse, currency shock, supplier price spikes, debt pressure and delayed receivables. Define minimum policy, evidence location and immediate crisis relevance.</t>
        </is>
      </c>
      <c r="F103" s="3" t="inlineStr">
        <is>
          <t>Document financial stress tests for revenue collapse, currency shock, supplier price spikes, debt pressure and delayed receivables, assign RACI, define minimum controls/KPIs and collect evidence across the main business units or sites.</t>
        </is>
      </c>
      <c r="G103" s="3" t="inlineStr">
        <is>
          <t>Standardize financial stress tests for revenue collapse, currency shock, supplier price spikes, debt pressure and delayed receivables across the organization, close coverage gaps, link it to crisis scenarios and train accountable roles.</t>
        </is>
      </c>
      <c r="H103" s="3" t="inlineStr">
        <is>
          <t>Measure financial stress tests for revenue collapse, currency shock, supplier price spikes, debt pressure and delayed receivables, review it periodically, test it against disruption scenarios and integrate it with dependent processes or systems.</t>
        </is>
      </c>
      <c r="I103" s="3" t="inlineStr">
        <is>
          <t>Optimize and automate financial stress tests for revenue collapse, currency shock, supplier price spikes, debt pressure and delayed receivables where practical, use leading indicators, run periodic stress tests and update the crisis playbook.</t>
        </is>
      </c>
      <c r="J103" s="3" t="inlineStr">
        <is>
          <t>Maintain maturity for financial stress tests for revenue collapse, currency shock, supplier price spikes, debt pressure and delayed receivables. Monitor drift, keep evidence current, benchmark externally and refresh tests after major changes.</t>
        </is>
      </c>
      <c r="K103" s="3" t="inlineStr">
        <is>
          <t>Reduces exposure to Financial liquidity crisis; Supplier disruption; Fraud risk; improves Financial resilience maturity, continuity and management visibility.</t>
        </is>
      </c>
      <c r="L103" s="3" t="n">
        <v>4</v>
      </c>
      <c r="M103" s="3" t="n">
        <v>4</v>
      </c>
      <c r="N103" s="3" t="n">
        <v>3</v>
      </c>
      <c r="O103" s="3" t="n">
        <v>2</v>
      </c>
      <c r="P103" s="3" t="n">
        <v>1</v>
      </c>
      <c r="Q103" s="3" t="n">
        <v>1</v>
      </c>
      <c r="R103" s="3" t="inlineStr">
        <is>
          <t>COSO Internal Control; COSO ERM; IFRS; ISO 20400; ISO 37001; CIPS</t>
        </is>
      </c>
      <c r="S103" s="3" t="inlineStr">
        <is>
          <t>Policy/SOP; owner/RACI; system report; dashboard; contracts; test records; incident history; interview evidence related to financial stress tests for revenue collapse, currency shock, supplier price spikes, debt pressure and delayed receivables.</t>
        </is>
      </c>
      <c r="T103" s="3" t="inlineStr">
        <is>
          <t>Financial liquidity crisis; Supplier disruption; Fraud risk</t>
        </is>
      </c>
      <c r="U103" s="3" t="inlineStr">
        <is>
          <t>CFO / Procurement</t>
        </is>
      </c>
      <c r="V103" s="3" t="inlineStr">
        <is>
          <t>Finance Procurement!10</t>
        </is>
      </c>
    </row>
    <row r="104" ht="85.5" customHeight="1" s="209">
      <c r="A104" s="3" t="inlineStr">
        <is>
          <t>FINA-007</t>
        </is>
      </c>
      <c r="B104" s="3" t="inlineStr">
        <is>
          <t>Finance Procurement</t>
        </is>
      </c>
      <c r="C104" s="3" t="inlineStr">
        <is>
          <t>Controls and accounting</t>
        </is>
      </c>
      <c r="D104" s="3" t="inlineStr">
        <is>
          <t>How mature is the organization in managing approval limits and emergency approvals resilient if key approvers are unavailable, including ownership, evidence, metrics, fallback procedures and crisis stress testing?</t>
        </is>
      </c>
      <c r="E104" s="3" t="inlineStr">
        <is>
          <t>Establish a basic owner and inventory for approval limits and emergency approvals resilient if key approvers are unavailable. Define minimum policy, evidence location and immediate crisis relevance.</t>
        </is>
      </c>
      <c r="F104" s="3" t="inlineStr">
        <is>
          <t>Document approval limits and emergency approvals resilient if key approvers are unavailable, assign RACI, define minimum controls/KPIs and collect evidence across the main business units or sites.</t>
        </is>
      </c>
      <c r="G104" s="3" t="inlineStr">
        <is>
          <t>Standardize approval limits and emergency approvals resilient if key approvers are unavailable across the organization, close coverage gaps, link it to crisis scenarios and train accountable roles.</t>
        </is>
      </c>
      <c r="H104" s="3" t="inlineStr">
        <is>
          <t>Measure approval limits and emergency approvals resilient if key approvers are unavailable, review it periodically, test it against disruption scenarios and integrate it with dependent processes or systems.</t>
        </is>
      </c>
      <c r="I104" s="3" t="inlineStr">
        <is>
          <t>Optimize and automate approval limits and emergency approvals resilient if key approvers are unavailable where practical, use leading indicators, run periodic stress tests and update the crisis playbook.</t>
        </is>
      </c>
      <c r="J104" s="3" t="inlineStr">
        <is>
          <t>Maintain maturity for approval limits and emergency approvals resilient if key approvers are unavailable. Monitor drift, keep evidence current, benchmark externally and refresh tests after major changes.</t>
        </is>
      </c>
      <c r="K104" s="3" t="inlineStr">
        <is>
          <t>Reduces exposure to Financial liquidity crisis; Supplier disruption; Fraud risk; improves Controls and accounting maturity, continuity and management visibility.</t>
        </is>
      </c>
      <c r="L104" s="3" t="n">
        <v>4</v>
      </c>
      <c r="M104" s="3" t="n">
        <v>4</v>
      </c>
      <c r="N104" s="3" t="n">
        <v>3</v>
      </c>
      <c r="O104" s="3" t="n">
        <v>2</v>
      </c>
      <c r="P104" s="3" t="n">
        <v>1</v>
      </c>
      <c r="Q104" s="3" t="n">
        <v>1</v>
      </c>
      <c r="R104" s="3" t="inlineStr">
        <is>
          <t>COSO Internal Control; COSO ERM; IFRS; ISO 20400; ISO 37001; CIPS</t>
        </is>
      </c>
      <c r="S104" s="3" t="inlineStr">
        <is>
          <t>Policy/SOP; owner/RACI; system report; dashboard; contracts; test records; incident history; interview evidence related to approval limits and emergency approvals resilient if key approvers are unavailable.</t>
        </is>
      </c>
      <c r="T104" s="3" t="inlineStr">
        <is>
          <t>Financial liquidity crisis; Supplier disruption; Fraud risk</t>
        </is>
      </c>
      <c r="U104" s="3" t="inlineStr">
        <is>
          <t>CFO / Procurement</t>
        </is>
      </c>
      <c r="V104" s="3" t="inlineStr">
        <is>
          <t>Finance Procurement!11</t>
        </is>
      </c>
    </row>
    <row r="105" ht="85.5" customHeight="1" s="209">
      <c r="A105" s="3" t="inlineStr">
        <is>
          <t>FINA-008</t>
        </is>
      </c>
      <c r="B105" s="3" t="inlineStr">
        <is>
          <t>Finance Procurement</t>
        </is>
      </c>
      <c r="C105" s="3" t="inlineStr">
        <is>
          <t>Controls and accounting</t>
        </is>
      </c>
      <c r="D105" s="3" t="inlineStr">
        <is>
          <t>How mature is the organization in managing segregation of duties in finance, procurement, ERP and payment processes, including ownership, evidence, metrics, fallback procedures and crisis stress testing?</t>
        </is>
      </c>
      <c r="E105" s="3" t="inlineStr">
        <is>
          <t>Establish a basic owner and inventory for segregation of duties in finance, procurement, ERP and payment processes. Define minimum policy, evidence location and immediate crisis relevance.</t>
        </is>
      </c>
      <c r="F105" s="3" t="inlineStr">
        <is>
          <t>Document segregation of duties in finance, procurement, ERP and payment processes, assign RACI, define minimum controls/KPIs and collect evidence across the main business units or sites.</t>
        </is>
      </c>
      <c r="G105" s="3" t="inlineStr">
        <is>
          <t>Standardize segregation of duties in finance, procurement, ERP and payment processes across the organization, close coverage gaps, link it to crisis scenarios and train accountable roles.</t>
        </is>
      </c>
      <c r="H105" s="3" t="inlineStr">
        <is>
          <t>Measure segregation of duties in finance, procurement, ERP and payment processes, review it periodically, test it against disruption scenarios and integrate it with dependent processes or systems.</t>
        </is>
      </c>
      <c r="I105" s="3" t="inlineStr">
        <is>
          <t>Optimize and automate segregation of duties in finance, procurement, ERP and payment processes where practical, use leading indicators, run periodic stress tests and update the crisis playbook.</t>
        </is>
      </c>
      <c r="J105" s="3" t="inlineStr">
        <is>
          <t>Maintain maturity for segregation of duties in finance, procurement, ERP and payment processes. Monitor drift, keep evidence current, benchmark externally and refresh tests after major changes.</t>
        </is>
      </c>
      <c r="K105" s="3" t="inlineStr">
        <is>
          <t>Reduces exposure to Financial liquidity crisis; Supplier disruption; Fraud risk; improves Controls and accounting maturity, continuity and management visibility.</t>
        </is>
      </c>
      <c r="L105" s="3" t="n">
        <v>5</v>
      </c>
      <c r="M105" s="3" t="n">
        <v>5</v>
      </c>
      <c r="N105" s="3" t="n">
        <v>4</v>
      </c>
      <c r="O105" s="3" t="n">
        <v>3</v>
      </c>
      <c r="P105" s="3" t="n">
        <v>2</v>
      </c>
      <c r="Q105" s="3" t="n">
        <v>1</v>
      </c>
      <c r="R105" s="3" t="inlineStr">
        <is>
          <t>COSO Internal Control; COSO ERM; IFRS; ISO 20400; ISO 37001; CIPS</t>
        </is>
      </c>
      <c r="S105" s="3" t="inlineStr">
        <is>
          <t>Policy/SOP; owner/RACI; system report; dashboard; contracts; test records; incident history; interview evidence related to segregation of duties in finance, procurement, ERP and payment processes.</t>
        </is>
      </c>
      <c r="T105" s="3" t="inlineStr">
        <is>
          <t>Financial liquidity crisis; Supplier disruption; Fraud risk</t>
        </is>
      </c>
      <c r="U105" s="3" t="inlineStr">
        <is>
          <t>CFO / Procurement</t>
        </is>
      </c>
      <c r="V105" s="3" t="inlineStr">
        <is>
          <t>Finance Procurement!12</t>
        </is>
      </c>
    </row>
    <row r="106" ht="85.5" customHeight="1" s="209">
      <c r="A106" s="3" t="inlineStr">
        <is>
          <t>FINA-009</t>
        </is>
      </c>
      <c r="B106" s="3" t="inlineStr">
        <is>
          <t>Finance Procurement</t>
        </is>
      </c>
      <c r="C106" s="3" t="inlineStr">
        <is>
          <t>Controls and accounting</t>
        </is>
      </c>
      <c r="D106" s="3" t="inlineStr">
        <is>
          <t>How mature is the organization in managing month-end close continuity under remote work, system outage or unavailable finance staff, including ownership, evidence, metrics, fallback procedures and crisis stress testing?</t>
        </is>
      </c>
      <c r="E106" s="3" t="inlineStr">
        <is>
          <t>Establish a basic owner and inventory for month-end close continuity under remote work, system outage or unavailable finance staff. Define minimum policy, evidence location and immediate crisis relevance.</t>
        </is>
      </c>
      <c r="F106" s="3" t="inlineStr">
        <is>
          <t>Document month-end close continuity under remote work, system outage or unavailable finance staff, assign RACI, define minimum controls/KPIs and collect evidence across the main business units or sites.</t>
        </is>
      </c>
      <c r="G106" s="3" t="inlineStr">
        <is>
          <t>Standardize month-end close continuity under remote work, system outage or unavailable finance staff across the organization, close coverage gaps, link it to crisis scenarios and train accountable roles.</t>
        </is>
      </c>
      <c r="H106" s="3" t="inlineStr">
        <is>
          <t>Measure month-end close continuity under remote work, system outage or unavailable finance staff, review it periodically, test it against disruption scenarios and integrate it with dependent processes or systems.</t>
        </is>
      </c>
      <c r="I106" s="3" t="inlineStr">
        <is>
          <t>Optimize and automate month-end close continuity under remote work, system outage or unavailable finance staff where practical, use leading indicators, run periodic stress tests and update the crisis playbook.</t>
        </is>
      </c>
      <c r="J106" s="3" t="inlineStr">
        <is>
          <t>Maintain maturity for month-end close continuity under remote work, system outage or unavailable finance staff. Monitor drift, keep evidence current, benchmark externally and refresh tests after major changes.</t>
        </is>
      </c>
      <c r="K106" s="3" t="inlineStr">
        <is>
          <t>Reduces exposure to Financial liquidity crisis; Supplier disruption; Fraud risk; improves Controls and accounting maturity, continuity and management visibility.</t>
        </is>
      </c>
      <c r="L106" s="3" t="n">
        <v>4</v>
      </c>
      <c r="M106" s="3" t="n">
        <v>4</v>
      </c>
      <c r="N106" s="3" t="n">
        <v>3</v>
      </c>
      <c r="O106" s="3" t="n">
        <v>2</v>
      </c>
      <c r="P106" s="3" t="n">
        <v>1</v>
      </c>
      <c r="Q106" s="3" t="n">
        <v>1</v>
      </c>
      <c r="R106" s="3" t="inlineStr">
        <is>
          <t>COSO Internal Control; COSO ERM; IFRS; ISO 20400; ISO 37001; CIPS</t>
        </is>
      </c>
      <c r="S106" s="3" t="inlineStr">
        <is>
          <t>Policy/SOP; owner/RACI; system report; dashboard; contracts; test records; incident history; interview evidence related to month-end close continuity under remote work, system outage or unavailable finance staff.</t>
        </is>
      </c>
      <c r="T106" s="3" t="inlineStr">
        <is>
          <t>Financial liquidity crisis; Supplier disruption; Fraud risk</t>
        </is>
      </c>
      <c r="U106" s="3" t="inlineStr">
        <is>
          <t>CFO / Procurement</t>
        </is>
      </c>
      <c r="V106" s="3" t="inlineStr">
        <is>
          <t>Finance Procurement!13</t>
        </is>
      </c>
    </row>
    <row r="107" ht="85.5" customHeight="1" s="209">
      <c r="A107" s="3" t="inlineStr">
        <is>
          <t>FINA-010</t>
        </is>
      </c>
      <c r="B107" s="3" t="inlineStr">
        <is>
          <t>Finance Procurement</t>
        </is>
      </c>
      <c r="C107" s="3" t="inlineStr">
        <is>
          <t>Controls and accounting</t>
        </is>
      </c>
      <c r="D107" s="3" t="inlineStr">
        <is>
          <t>How mature is the organization in managing manual fallback procedures for billing, payments, payroll, procurement and accounting close, including ownership, evidence, metrics, fallback procedures and crisis stress testing?</t>
        </is>
      </c>
      <c r="E107" s="3" t="inlineStr">
        <is>
          <t>Establish a basic owner and inventory for manual fallback procedures for billing, payments, payroll, procurement and accounting close. Define minimum policy, evidence location and immediate crisis relevance.</t>
        </is>
      </c>
      <c r="F107" s="3" t="inlineStr">
        <is>
          <t>Document manual fallback procedures for billing, payments, payroll, procurement and accounting close, assign RACI, define minimum controls/KPIs and collect evidence across the main business units or sites.</t>
        </is>
      </c>
      <c r="G107" s="3" t="inlineStr">
        <is>
          <t>Standardize manual fallback procedures for billing, payments, payroll, procurement and accounting close across the organization, close coverage gaps, link it to crisis scenarios and train accountable roles.</t>
        </is>
      </c>
      <c r="H107" s="3" t="inlineStr">
        <is>
          <t>Measure manual fallback procedures for billing, payments, payroll, procurement and accounting close, review it periodically, test it against disruption scenarios and integrate it with dependent processes or systems.</t>
        </is>
      </c>
      <c r="I107" s="3" t="inlineStr">
        <is>
          <t>Optimize and automate manual fallback procedures for billing, payments, payroll, procurement and accounting close where practical, use leading indicators, run periodic stress tests and update the crisis playbook.</t>
        </is>
      </c>
      <c r="J107" s="3" t="inlineStr">
        <is>
          <t>Maintain maturity for manual fallback procedures for billing, payments, payroll, procurement and accounting close. Monitor drift, keep evidence current, benchmark externally and refresh tests after major changes.</t>
        </is>
      </c>
      <c r="K107" s="3" t="inlineStr">
        <is>
          <t>Reduces exposure to Financial liquidity crisis; Supplier disruption; Fraud risk; improves Controls and accounting maturity, continuity and management visibility.</t>
        </is>
      </c>
      <c r="L107" s="3" t="n">
        <v>5</v>
      </c>
      <c r="M107" s="3" t="n">
        <v>5</v>
      </c>
      <c r="N107" s="3" t="n">
        <v>4</v>
      </c>
      <c r="O107" s="3" t="n">
        <v>3</v>
      </c>
      <c r="P107" s="3" t="n">
        <v>2</v>
      </c>
      <c r="Q107" s="3" t="n">
        <v>1</v>
      </c>
      <c r="R107" s="3" t="inlineStr">
        <is>
          <t>COSO Internal Control; COSO ERM; IFRS; ISO 20400; ISO 37001; CIPS</t>
        </is>
      </c>
      <c r="S107" s="3" t="inlineStr">
        <is>
          <t>Policy/SOP; owner/RACI; system report; dashboard; contracts; test records; incident history; interview evidence related to manual fallback procedures for billing, payments, payroll, procurement and accounting close.</t>
        </is>
      </c>
      <c r="T107" s="3" t="inlineStr">
        <is>
          <t>Financial liquidity crisis; Supplier disruption; Fraud risk</t>
        </is>
      </c>
      <c r="U107" s="3" t="inlineStr">
        <is>
          <t>CFO / Procurement</t>
        </is>
      </c>
      <c r="V107" s="3" t="inlineStr">
        <is>
          <t>Finance Procurement!14</t>
        </is>
      </c>
    </row>
    <row r="108" ht="85.5" customHeight="1" s="209">
      <c r="A108" s="3" t="inlineStr">
        <is>
          <t>FINA-011</t>
        </is>
      </c>
      <c r="B108" s="3" t="inlineStr">
        <is>
          <t>Finance Procurement</t>
        </is>
      </c>
      <c r="C108" s="3" t="inlineStr">
        <is>
          <t>Controls and accounting</t>
        </is>
      </c>
      <c r="D108" s="3" t="inlineStr">
        <is>
          <t>How mature is the organization in managing fraud risk controls for fake invoices, payment diversion, supplier impersonation and business email compromise, including ownership, evidence, metrics, fallback procedures and crisis stress testing?</t>
        </is>
      </c>
      <c r="E108" s="3" t="inlineStr">
        <is>
          <t>Establish a basic owner and inventory for fraud risk controls for fake invoices, payment diversion, supplier impersonation and business email compromise. Define minimum policy, evidence location and immediate crisis relevance.</t>
        </is>
      </c>
      <c r="F108" s="3" t="inlineStr">
        <is>
          <t>Document fraud risk controls for fake invoices, payment diversion, supplier impersonation and business email compromise, assign RACI, define minimum controls/KPIs and collect evidence across the main business units or sites.</t>
        </is>
      </c>
      <c r="G108" s="3" t="inlineStr">
        <is>
          <t>Standardize fraud risk controls for fake invoices, payment diversion, supplier impersonation and business email compromise across the organization, close coverage gaps, link it to crisis scenarios and train accountable roles.</t>
        </is>
      </c>
      <c r="H108" s="3" t="inlineStr">
        <is>
          <t>Measure fraud risk controls for fake invoices, payment diversion, supplier impersonation and business email compromise, review it periodically, test it against disruption scenarios and integrate it with dependent processes or systems.</t>
        </is>
      </c>
      <c r="I108" s="3" t="inlineStr">
        <is>
          <t>Optimize and automate fraud risk controls for fake invoices, payment diversion, supplier impersonation and business email compromise where practical, use leading indicators, run periodic stress tests and update the crisis playbook.</t>
        </is>
      </c>
      <c r="J108" s="3" t="inlineStr">
        <is>
          <t>Maintain maturity for fraud risk controls for fake invoices, payment diversion, supplier impersonation and business email compromise. Monitor drift, keep evidence current, benchmark externally and refresh tests after major changes.</t>
        </is>
      </c>
      <c r="K108" s="3" t="inlineStr">
        <is>
          <t>Reduces exposure to Financial liquidity crisis; Supplier disruption; Fraud risk; improves Controls and accounting maturity, continuity and management visibility.</t>
        </is>
      </c>
      <c r="L108" s="3" t="n">
        <v>4</v>
      </c>
      <c r="M108" s="3" t="n">
        <v>4</v>
      </c>
      <c r="N108" s="3" t="n">
        <v>3</v>
      </c>
      <c r="O108" s="3" t="n">
        <v>2</v>
      </c>
      <c r="P108" s="3" t="n">
        <v>1</v>
      </c>
      <c r="Q108" s="3" t="n">
        <v>1</v>
      </c>
      <c r="R108" s="3" t="inlineStr">
        <is>
          <t>COSO Internal Control; COSO ERM; IFRS; ISO 20400; ISO 37001; CIPS</t>
        </is>
      </c>
      <c r="S108" s="3" t="inlineStr">
        <is>
          <t>Policy/SOP; owner/RACI; system report; dashboard; contracts; test records; incident history; interview evidence related to fraud risk controls for fake invoices, payment diversion, supplier impersonation and business email compromise.</t>
        </is>
      </c>
      <c r="T108" s="3" t="inlineStr">
        <is>
          <t>Financial liquidity crisis; Supplier disruption; Fraud risk</t>
        </is>
      </c>
      <c r="U108" s="3" t="inlineStr">
        <is>
          <t>CFO / Procurement</t>
        </is>
      </c>
      <c r="V108" s="3" t="inlineStr">
        <is>
          <t>Finance Procurement!15</t>
        </is>
      </c>
    </row>
    <row r="109" ht="85.5" customHeight="1" s="209">
      <c r="A109" s="3" t="inlineStr">
        <is>
          <t>FINA-012</t>
        </is>
      </c>
      <c r="B109" s="3" t="inlineStr">
        <is>
          <t>Finance Procurement</t>
        </is>
      </c>
      <c r="C109" s="3" t="inlineStr">
        <is>
          <t>Controls and accounting</t>
        </is>
      </c>
      <c r="D109" s="3" t="inlineStr">
        <is>
          <t>How mature is the organization in managing finance master data controls for chart of accounts, cost centers, vendors, customers and reporting dimensions, including ownership, evidence, metrics, fallback procedures and crisis stress testing?</t>
        </is>
      </c>
      <c r="E109" s="3" t="inlineStr">
        <is>
          <t>Establish a basic owner and inventory for finance master data controls for chart of accounts, cost centers, vendors, customers and reporting dimensions. Define minimum policy, evidence location and immediate crisis relevance.</t>
        </is>
      </c>
      <c r="F109" s="3" t="inlineStr">
        <is>
          <t>Document finance master data controls for chart of accounts, cost centers, vendors, customers and reporting dimensions, assign RACI, define minimum controls/KPIs and collect evidence across the main business units or sites.</t>
        </is>
      </c>
      <c r="G109" s="3" t="inlineStr">
        <is>
          <t>Standardize finance master data controls for chart of accounts, cost centers, vendors, customers and reporting dimensions across the organization, close coverage gaps, link it to crisis scenarios and train accountable roles.</t>
        </is>
      </c>
      <c r="H109" s="3" t="inlineStr">
        <is>
          <t>Measure finance master data controls for chart of accounts, cost centers, vendors, customers and reporting dimensions, review it periodically, test it against disruption scenarios and integrate it with dependent processes or systems.</t>
        </is>
      </c>
      <c r="I109" s="3" t="inlineStr">
        <is>
          <t>Optimize and automate finance master data controls for chart of accounts, cost centers, vendors, customers and reporting dimensions where practical, use leading indicators, run periodic stress tests and update the crisis playbook.</t>
        </is>
      </c>
      <c r="J109" s="3" t="inlineStr">
        <is>
          <t>Maintain maturity for finance master data controls for chart of accounts, cost centers, vendors, customers and reporting dimensions. Monitor drift, keep evidence current, benchmark externally and refresh tests after major changes.</t>
        </is>
      </c>
      <c r="K109" s="3" t="inlineStr">
        <is>
          <t>Reduces exposure to Financial liquidity crisis; Supplier disruption; Fraud risk; improves Controls and accounting maturity, continuity and management visibility.</t>
        </is>
      </c>
      <c r="L109" s="3" t="n">
        <v>4</v>
      </c>
      <c r="M109" s="3" t="n">
        <v>4</v>
      </c>
      <c r="N109" s="3" t="n">
        <v>3</v>
      </c>
      <c r="O109" s="3" t="n">
        <v>2</v>
      </c>
      <c r="P109" s="3" t="n">
        <v>1</v>
      </c>
      <c r="Q109" s="3" t="n">
        <v>1</v>
      </c>
      <c r="R109" s="3" t="inlineStr">
        <is>
          <t>COSO Internal Control; COSO ERM; IFRS; ISO 20400; ISO 37001; CIPS</t>
        </is>
      </c>
      <c r="S109" s="3" t="inlineStr">
        <is>
          <t>Policy/SOP; owner/RACI; system report; dashboard; contracts; test records; incident history; interview evidence related to finance master data controls for chart of accounts, cost centers, vendors, customers and reporting dimensions.</t>
        </is>
      </c>
      <c r="T109" s="3" t="inlineStr">
        <is>
          <t>Financial liquidity crisis; Supplier disruption; Fraud risk</t>
        </is>
      </c>
      <c r="U109" s="3" t="inlineStr">
        <is>
          <t>CFO / Procurement</t>
        </is>
      </c>
      <c r="V109" s="3" t="inlineStr">
        <is>
          <t>Finance Procurement!16</t>
        </is>
      </c>
    </row>
    <row r="110" ht="85.5" customHeight="1" s="209">
      <c r="A110" s="3" t="inlineStr">
        <is>
          <t>FINA-013</t>
        </is>
      </c>
      <c r="B110" s="3" t="inlineStr">
        <is>
          <t>Finance Procurement</t>
        </is>
      </c>
      <c r="C110" s="3" t="inlineStr">
        <is>
          <t>Procurement and suppliers</t>
        </is>
      </c>
      <c r="D110" s="3" t="inlineStr">
        <is>
          <t>How mature is the organization in managing procurement policy covering sourcing, approvals, conflicts of interest and emergency purchasing, including ownership, evidence, metrics, fallback procedures and crisis stress testing?</t>
        </is>
      </c>
      <c r="E110" s="3" t="inlineStr">
        <is>
          <t>Establish a basic owner and inventory for procurement policy covering sourcing, approvals, conflicts of interest and emergency purchasing. Define minimum policy, evidence location and immediate crisis relevance.</t>
        </is>
      </c>
      <c r="F110" s="3" t="inlineStr">
        <is>
          <t>Document procurement policy covering sourcing, approvals, conflicts of interest and emergency purchasing, assign RACI, define minimum controls/KPIs and collect evidence across the main business units or sites.</t>
        </is>
      </c>
      <c r="G110" s="3" t="inlineStr">
        <is>
          <t>Standardize procurement policy covering sourcing, approvals, conflicts of interest and emergency purchasing across the organization, close coverage gaps, link it to crisis scenarios and train accountable roles.</t>
        </is>
      </c>
      <c r="H110" s="3" t="inlineStr">
        <is>
          <t>Measure procurement policy covering sourcing, approvals, conflicts of interest and emergency purchasing, review it periodically, test it against disruption scenarios and integrate it with dependent processes or systems.</t>
        </is>
      </c>
      <c r="I110" s="3" t="inlineStr">
        <is>
          <t>Optimize and automate procurement policy covering sourcing, approvals, conflicts of interest and emergency purchasing where practical, use leading indicators, run periodic stress tests and update the crisis playbook.</t>
        </is>
      </c>
      <c r="J110" s="3" t="inlineStr">
        <is>
          <t>Maintain maturity for procurement policy covering sourcing, approvals, conflicts of interest and emergency purchasing. Monitor drift, keep evidence current, benchmark externally and refresh tests after major changes.</t>
        </is>
      </c>
      <c r="K110" s="3" t="inlineStr">
        <is>
          <t>Reduces exposure to Financial liquidity crisis; Supplier disruption; Fraud risk; improves Procurement and suppliers maturity, continuity and management visibility.</t>
        </is>
      </c>
      <c r="L110" s="3" t="n">
        <v>4</v>
      </c>
      <c r="M110" s="3" t="n">
        <v>4</v>
      </c>
      <c r="N110" s="3" t="n">
        <v>3</v>
      </c>
      <c r="O110" s="3" t="n">
        <v>2</v>
      </c>
      <c r="P110" s="3" t="n">
        <v>1</v>
      </c>
      <c r="Q110" s="3" t="n">
        <v>1</v>
      </c>
      <c r="R110" s="3" t="inlineStr">
        <is>
          <t>COSO Internal Control; COSO ERM; IFRS; ISO 20400; ISO 37001; CIPS</t>
        </is>
      </c>
      <c r="S110" s="3" t="inlineStr">
        <is>
          <t>Policy/SOP; owner/RACI; system report; dashboard; contracts; test records; incident history; interview evidence related to procurement policy covering sourcing, approvals, conflicts of interest and emergency purchasing.</t>
        </is>
      </c>
      <c r="T110" s="3" t="inlineStr">
        <is>
          <t>Financial liquidity crisis; Supplier disruption; Fraud risk</t>
        </is>
      </c>
      <c r="U110" s="3" t="inlineStr">
        <is>
          <t>CFO / Procurement</t>
        </is>
      </c>
      <c r="V110" s="3" t="inlineStr">
        <is>
          <t>Finance Procurement!17</t>
        </is>
      </c>
    </row>
    <row r="111" ht="85.5" customHeight="1" s="209">
      <c r="A111" s="3" t="inlineStr">
        <is>
          <t>FINA-014</t>
        </is>
      </c>
      <c r="B111" s="3" t="inlineStr">
        <is>
          <t>Finance Procurement</t>
        </is>
      </c>
      <c r="C111" s="3" t="inlineStr">
        <is>
          <t>Procurement and suppliers</t>
        </is>
      </c>
      <c r="D111" s="3" t="inlineStr">
        <is>
          <t>How mature is the organization in managing critical supplier classification by business impact, replaceability, geography, financial health and SLA, including ownership, evidence, metrics, fallback procedures and crisis stress testing?</t>
        </is>
      </c>
      <c r="E111" s="3" t="inlineStr">
        <is>
          <t>Establish a basic owner and inventory for critical supplier classification by business impact, replaceability, geography, financial health and SLA. Define minimum policy, evidence location and immediate crisis relevance.</t>
        </is>
      </c>
      <c r="F111" s="3" t="inlineStr">
        <is>
          <t>Document critical supplier classification by business impact, replaceability, geography, financial health and SLA, assign RACI, define minimum controls/KPIs and collect evidence across the main business units or sites.</t>
        </is>
      </c>
      <c r="G111" s="3" t="inlineStr">
        <is>
          <t>Standardize critical supplier classification by business impact, replaceability, geography, financial health and SLA across the organization, close coverage gaps, link it to crisis scenarios and train accountable roles.</t>
        </is>
      </c>
      <c r="H111" s="3" t="inlineStr">
        <is>
          <t>Measure critical supplier classification by business impact, replaceability, geography, financial health and SLA, review it periodically, test it against disruption scenarios and integrate it with dependent processes or systems.</t>
        </is>
      </c>
      <c r="I111" s="3" t="inlineStr">
        <is>
          <t>Optimize and automate critical supplier classification by business impact, replaceability, geography, financial health and SLA where practical, use leading indicators, run periodic stress tests and update the crisis playbook.</t>
        </is>
      </c>
      <c r="J111" s="3" t="inlineStr">
        <is>
          <t>Maintain maturity for critical supplier classification by business impact, replaceability, geography, financial health and SLA. Monitor drift, keep evidence current, benchmark externally and refresh tests after major changes.</t>
        </is>
      </c>
      <c r="K111" s="3" t="inlineStr">
        <is>
          <t>Reduces exposure to Financial liquidity crisis; Supplier disruption; Fraud risk; improves Procurement and suppliers maturity, continuity and management visibility.</t>
        </is>
      </c>
      <c r="L111" s="3" t="n">
        <v>5</v>
      </c>
      <c r="M111" s="3" t="n">
        <v>5</v>
      </c>
      <c r="N111" s="3" t="n">
        <v>4</v>
      </c>
      <c r="O111" s="3" t="n">
        <v>3</v>
      </c>
      <c r="P111" s="3" t="n">
        <v>2</v>
      </c>
      <c r="Q111" s="3" t="n">
        <v>1</v>
      </c>
      <c r="R111" s="3" t="inlineStr">
        <is>
          <t>COSO Internal Control; COSO ERM; IFRS; ISO 20400; ISO 37001; CIPS</t>
        </is>
      </c>
      <c r="S111" s="3" t="inlineStr">
        <is>
          <t>Policy/SOP; owner/RACI; system report; dashboard; contracts; test records; incident history; interview evidence related to critical supplier classification by business impact, replaceability, geography, financial health and SLA.</t>
        </is>
      </c>
      <c r="T111" s="3" t="inlineStr">
        <is>
          <t>Financial liquidity crisis; Supplier disruption; Fraud risk</t>
        </is>
      </c>
      <c r="U111" s="3" t="inlineStr">
        <is>
          <t>CFO / Procurement</t>
        </is>
      </c>
      <c r="V111" s="3" t="inlineStr">
        <is>
          <t>Finance Procurement!18</t>
        </is>
      </c>
    </row>
    <row r="112" ht="71.25" customHeight="1" s="209">
      <c r="A112" s="3" t="inlineStr">
        <is>
          <t>FINA-015</t>
        </is>
      </c>
      <c r="B112" s="3" t="inlineStr">
        <is>
          <t>Finance Procurement</t>
        </is>
      </c>
      <c r="C112" s="3" t="inlineStr">
        <is>
          <t>Procurement and suppliers</t>
        </is>
      </c>
      <c r="D112" s="3" t="inlineStr">
        <is>
          <t>How mature is the organization in managing single-source and sole-source supplier exposure and mitigation plans, including ownership, evidence, metrics, fallback procedures and crisis stress testing?</t>
        </is>
      </c>
      <c r="E112" s="3" t="inlineStr">
        <is>
          <t>Establish a basic owner and inventory for single-source and sole-source supplier exposure and mitigation plans. Define minimum policy, evidence location and immediate crisis relevance.</t>
        </is>
      </c>
      <c r="F112" s="3" t="inlineStr">
        <is>
          <t>Document single-source and sole-source supplier exposure and mitigation plans, assign RACI, define minimum controls/KPIs and collect evidence across the main business units or sites.</t>
        </is>
      </c>
      <c r="G112" s="3" t="inlineStr">
        <is>
          <t>Standardize single-source and sole-source supplier exposure and mitigation plans across the organization, close coverage gaps, link it to crisis scenarios and train accountable roles.</t>
        </is>
      </c>
      <c r="H112" s="3" t="inlineStr">
        <is>
          <t>Measure single-source and sole-source supplier exposure and mitigation plans, review it periodically, test it against disruption scenarios and integrate it with dependent processes or systems.</t>
        </is>
      </c>
      <c r="I112" s="3" t="inlineStr">
        <is>
          <t>Optimize and automate single-source and sole-source supplier exposure and mitigation plans where practical, use leading indicators, run periodic stress tests and update the crisis playbook.</t>
        </is>
      </c>
      <c r="J112" s="3" t="inlineStr">
        <is>
          <t>Maintain maturity for single-source and sole-source supplier exposure and mitigation plans. Monitor drift, keep evidence current, benchmark externally and refresh tests after major changes.</t>
        </is>
      </c>
      <c r="K112" s="3" t="inlineStr">
        <is>
          <t>Reduces exposure to Financial liquidity crisis; Supplier disruption; Fraud risk; improves Procurement and suppliers maturity, continuity and management visibility.</t>
        </is>
      </c>
      <c r="L112" s="3" t="n">
        <v>4</v>
      </c>
      <c r="M112" s="3" t="n">
        <v>4</v>
      </c>
      <c r="N112" s="3" t="n">
        <v>3</v>
      </c>
      <c r="O112" s="3" t="n">
        <v>2</v>
      </c>
      <c r="P112" s="3" t="n">
        <v>1</v>
      </c>
      <c r="Q112" s="3" t="n">
        <v>1</v>
      </c>
      <c r="R112" s="3" t="inlineStr">
        <is>
          <t>COSO Internal Control; COSO ERM; IFRS; ISO 20400; ISO 37001; CIPS</t>
        </is>
      </c>
      <c r="S112" s="3" t="inlineStr">
        <is>
          <t>Policy/SOP; owner/RACI; system report; dashboard; contracts; test records; incident history; interview evidence related to single-source and sole-source supplier exposure and mitigation plans.</t>
        </is>
      </c>
      <c r="T112" s="3" t="inlineStr">
        <is>
          <t>Financial liquidity crisis; Supplier disruption; Fraud risk</t>
        </is>
      </c>
      <c r="U112" s="3" t="inlineStr">
        <is>
          <t>CFO / Procurement</t>
        </is>
      </c>
      <c r="V112" s="3" t="inlineStr">
        <is>
          <t>Finance Procurement!19</t>
        </is>
      </c>
    </row>
    <row r="113" ht="85.5" customHeight="1" s="209">
      <c r="A113" s="3" t="inlineStr">
        <is>
          <t>FINA-016</t>
        </is>
      </c>
      <c r="B113" s="3" t="inlineStr">
        <is>
          <t>Finance Procurement</t>
        </is>
      </c>
      <c r="C113" s="3" t="inlineStr">
        <is>
          <t>Procurement and suppliers</t>
        </is>
      </c>
      <c r="D113" s="3" t="inlineStr">
        <is>
          <t>How mature is the organization in managing supplier financial health, sanctions, insurance, delivery reliability and crisis exposure monitoring, including ownership, evidence, metrics, fallback procedures and crisis stress testing?</t>
        </is>
      </c>
      <c r="E113" s="3" t="inlineStr">
        <is>
          <t>Establish a basic owner and inventory for supplier financial health, sanctions, insurance, delivery reliability and crisis exposure monitoring. Define minimum policy, evidence location and immediate crisis relevance.</t>
        </is>
      </c>
      <c r="F113" s="3" t="inlineStr">
        <is>
          <t>Document supplier financial health, sanctions, insurance, delivery reliability and crisis exposure monitoring, assign RACI, define minimum controls/KPIs and collect evidence across the main business units or sites.</t>
        </is>
      </c>
      <c r="G113" s="3" t="inlineStr">
        <is>
          <t>Standardize supplier financial health, sanctions, insurance, delivery reliability and crisis exposure monitoring across the organization, close coverage gaps, link it to crisis scenarios and train accountable roles.</t>
        </is>
      </c>
      <c r="H113" s="3" t="inlineStr">
        <is>
          <t>Measure supplier financial health, sanctions, insurance, delivery reliability and crisis exposure monitoring, review it periodically, test it against disruption scenarios and integrate it with dependent processes or systems.</t>
        </is>
      </c>
      <c r="I113" s="3" t="inlineStr">
        <is>
          <t>Optimize and automate supplier financial health, sanctions, insurance, delivery reliability and crisis exposure monitoring where practical, use leading indicators, run periodic stress tests and update the crisis playbook.</t>
        </is>
      </c>
      <c r="J113" s="3" t="inlineStr">
        <is>
          <t>Maintain maturity for supplier financial health, sanctions, insurance, delivery reliability and crisis exposure monitoring. Monitor drift, keep evidence current, benchmark externally and refresh tests after major changes.</t>
        </is>
      </c>
      <c r="K113" s="3" t="inlineStr">
        <is>
          <t>Reduces exposure to Financial liquidity crisis; Supplier disruption; Fraud risk; improves Procurement and suppliers maturity, continuity and management visibility.</t>
        </is>
      </c>
      <c r="L113" s="3" t="n">
        <v>5</v>
      </c>
      <c r="M113" s="3" t="n">
        <v>5</v>
      </c>
      <c r="N113" s="3" t="n">
        <v>4</v>
      </c>
      <c r="O113" s="3" t="n">
        <v>3</v>
      </c>
      <c r="P113" s="3" t="n">
        <v>2</v>
      </c>
      <c r="Q113" s="3" t="n">
        <v>1</v>
      </c>
      <c r="R113" s="3" t="inlineStr">
        <is>
          <t>COSO Internal Control; COSO ERM; IFRS; ISO 20400; ISO 37001; CIPS</t>
        </is>
      </c>
      <c r="S113" s="3" t="inlineStr">
        <is>
          <t>Policy/SOP; owner/RACI; system report; dashboard; contracts; test records; incident history; interview evidence related to supplier financial health, sanctions, insurance, delivery reliability and crisis exposure monitoring.</t>
        </is>
      </c>
      <c r="T113" s="3" t="inlineStr">
        <is>
          <t>Financial liquidity crisis; Supplier disruption; Fraud risk</t>
        </is>
      </c>
      <c r="U113" s="3" t="inlineStr">
        <is>
          <t>CFO / Procurement</t>
        </is>
      </c>
      <c r="V113" s="3" t="inlineStr">
        <is>
          <t>Finance Procurement!20</t>
        </is>
      </c>
    </row>
    <row r="114" ht="85.5" customHeight="1" s="209">
      <c r="A114" s="3" t="inlineStr">
        <is>
          <t>FINA-018</t>
        </is>
      </c>
      <c r="B114" s="3" t="inlineStr">
        <is>
          <t>Finance Procurement</t>
        </is>
      </c>
      <c r="C114" s="3" t="inlineStr">
        <is>
          <t>Procurement and suppliers</t>
        </is>
      </c>
      <c r="D114" s="3" t="inlineStr">
        <is>
          <t>How mature is the organization in managing emergency purchasing process that preserves essential controls and fraud prevention, including ownership, evidence, metrics, fallback procedures and crisis stress testing?</t>
        </is>
      </c>
      <c r="E114" s="3" t="inlineStr">
        <is>
          <t>Establish a basic owner and inventory for emergency purchasing process that preserves essential controls and fraud prevention. Define minimum policy, evidence location and immediate crisis relevance.</t>
        </is>
      </c>
      <c r="F114" s="3" t="inlineStr">
        <is>
          <t>Document emergency purchasing process that preserves essential controls and fraud prevention, assign RACI, define minimum controls/KPIs and collect evidence across the main business units or sites.</t>
        </is>
      </c>
      <c r="G114" s="3" t="inlineStr">
        <is>
          <t>Standardize emergency purchasing process that preserves essential controls and fraud prevention across the organization, close coverage gaps, link it to crisis scenarios and train accountable roles.</t>
        </is>
      </c>
      <c r="H114" s="3" t="inlineStr">
        <is>
          <t>Measure emergency purchasing process that preserves essential controls and fraud prevention, review it periodically, test it against disruption scenarios and integrate it with dependent processes or systems.</t>
        </is>
      </c>
      <c r="I114" s="3" t="inlineStr">
        <is>
          <t>Optimize and automate emergency purchasing process that preserves essential controls and fraud prevention where practical, use leading indicators, run periodic stress tests and update the crisis playbook.</t>
        </is>
      </c>
      <c r="J114" s="3" t="inlineStr">
        <is>
          <t>Maintain maturity for emergency purchasing process that preserves essential controls and fraud prevention. Monitor drift, keep evidence current, benchmark externally and refresh tests after major changes.</t>
        </is>
      </c>
      <c r="K114" s="3" t="inlineStr">
        <is>
          <t>Reduces exposure to Financial liquidity crisis; Supplier disruption; Fraud risk; improves Procurement and suppliers maturity, continuity and management visibility.</t>
        </is>
      </c>
      <c r="L114" s="3" t="n">
        <v>4</v>
      </c>
      <c r="M114" s="3" t="n">
        <v>4</v>
      </c>
      <c r="N114" s="3" t="n">
        <v>3</v>
      </c>
      <c r="O114" s="3" t="n">
        <v>2</v>
      </c>
      <c r="P114" s="3" t="n">
        <v>1</v>
      </c>
      <c r="Q114" s="3" t="n">
        <v>1</v>
      </c>
      <c r="R114" s="3" t="inlineStr">
        <is>
          <t>COSO Internal Control; COSO ERM; IFRS; ISO 20400; ISO 37001; CIPS</t>
        </is>
      </c>
      <c r="S114" s="3" t="inlineStr">
        <is>
          <t>Policy/SOP; owner/RACI; system report; dashboard; contracts; test records; incident history; interview evidence related to emergency purchasing process that preserves essential controls and fraud prevention.</t>
        </is>
      </c>
      <c r="T114" s="3" t="inlineStr">
        <is>
          <t>Financial liquidity crisis; Supplier disruption; Fraud risk</t>
        </is>
      </c>
      <c r="U114" s="3" t="inlineStr">
        <is>
          <t>CFO / Procurement</t>
        </is>
      </c>
      <c r="V114" s="3" t="inlineStr">
        <is>
          <t>Finance Procurement!21</t>
        </is>
      </c>
    </row>
    <row r="115" ht="85.5" customHeight="1" s="209">
      <c r="A115" s="3" t="inlineStr">
        <is>
          <t>FINA-019</t>
        </is>
      </c>
      <c r="B115" s="3" t="inlineStr">
        <is>
          <t>Finance Procurement</t>
        </is>
      </c>
      <c r="C115" s="3" t="inlineStr">
        <is>
          <t>Procurement and suppliers</t>
        </is>
      </c>
      <c r="D115" s="3" t="inlineStr">
        <is>
          <t>How mature is the organization in managing purchasing triggers linked to demand, lead time, minimum stock and crisis buffers, including ownership, evidence, metrics, fallback procedures and crisis stress testing?</t>
        </is>
      </c>
      <c r="E115" s="3" t="inlineStr">
        <is>
          <t>Establish a basic owner and inventory for purchasing triggers linked to demand, lead time, minimum stock and crisis buffers. Define minimum policy, evidence location and immediate crisis relevance.</t>
        </is>
      </c>
      <c r="F115" s="3" t="inlineStr">
        <is>
          <t>Document purchasing triggers linked to demand, lead time, minimum stock and crisis buffers, assign RACI, define minimum controls/KPIs and collect evidence across the main business units or sites.</t>
        </is>
      </c>
      <c r="G115" s="3" t="inlineStr">
        <is>
          <t>Standardize purchasing triggers linked to demand, lead time, minimum stock and crisis buffers across the organization, close coverage gaps, link it to crisis scenarios and train accountable roles.</t>
        </is>
      </c>
      <c r="H115" s="3" t="inlineStr">
        <is>
          <t>Measure purchasing triggers linked to demand, lead time, minimum stock and crisis buffers, review it periodically, test it against disruption scenarios and integrate it with dependent processes or systems.</t>
        </is>
      </c>
      <c r="I115" s="3" t="inlineStr">
        <is>
          <t>Optimize and automate purchasing triggers linked to demand, lead time, minimum stock and crisis buffers where practical, use leading indicators, run periodic stress tests and update the crisis playbook.</t>
        </is>
      </c>
      <c r="J115" s="3" t="inlineStr">
        <is>
          <t>Maintain maturity for purchasing triggers linked to demand, lead time, minimum stock and crisis buffers. Monitor drift, keep evidence current, benchmark externally and refresh tests after major changes.</t>
        </is>
      </c>
      <c r="K115" s="3" t="inlineStr">
        <is>
          <t>Reduces exposure to Financial liquidity crisis; Supplier disruption; Fraud risk; improves Procurement and suppliers maturity, continuity and management visibility.</t>
        </is>
      </c>
      <c r="L115" s="3" t="n">
        <v>4</v>
      </c>
      <c r="M115" s="3" t="n">
        <v>4</v>
      </c>
      <c r="N115" s="3" t="n">
        <v>3</v>
      </c>
      <c r="O115" s="3" t="n">
        <v>2</v>
      </c>
      <c r="P115" s="3" t="n">
        <v>1</v>
      </c>
      <c r="Q115" s="3" t="n">
        <v>1</v>
      </c>
      <c r="R115" s="3" t="inlineStr">
        <is>
          <t>COSO Internal Control; COSO ERM; IFRS; ISO 20400; ISO 37001; CIPS</t>
        </is>
      </c>
      <c r="S115" s="3" t="inlineStr">
        <is>
          <t>Policy/SOP; owner/RACI; system report; dashboard; contracts; test records; incident history; interview evidence related to purchasing triggers linked to demand, lead time, minimum stock and crisis buffers.</t>
        </is>
      </c>
      <c r="T115" s="3" t="inlineStr">
        <is>
          <t>Financial liquidity crisis; Supplier disruption; Fraud risk</t>
        </is>
      </c>
      <c r="U115" s="3" t="inlineStr">
        <is>
          <t>CFO / Procurement</t>
        </is>
      </c>
      <c r="V115" s="3" t="inlineStr">
        <is>
          <t>Finance Procurement!22</t>
        </is>
      </c>
    </row>
    <row r="116" ht="71.25" customHeight="1" s="209">
      <c r="A116" s="3" t="inlineStr">
        <is>
          <t>FINA-020</t>
        </is>
      </c>
      <c r="B116" s="3" t="inlineStr">
        <is>
          <t>Finance Procurement</t>
        </is>
      </c>
      <c r="C116" s="3" t="inlineStr">
        <is>
          <t>Working capital</t>
        </is>
      </c>
      <c r="D116" s="3" t="inlineStr">
        <is>
          <t>How mature is the organization in managing receivables aging, customer payment risk and collection scenarios, including ownership, evidence, metrics, fallback procedures and crisis stress testing?</t>
        </is>
      </c>
      <c r="E116" s="3" t="inlineStr">
        <is>
          <t>Establish a basic owner and inventory for receivables aging, customer payment risk and collection scenarios. Define minimum policy, evidence location and immediate crisis relevance.</t>
        </is>
      </c>
      <c r="F116" s="3" t="inlineStr">
        <is>
          <t>Document receivables aging, customer payment risk and collection scenarios, assign RACI, define minimum controls/KPIs and collect evidence across the main business units or sites.</t>
        </is>
      </c>
      <c r="G116" s="3" t="inlineStr">
        <is>
          <t>Standardize receivables aging, customer payment risk and collection scenarios across the organization, close coverage gaps, link it to crisis scenarios and train accountable roles.</t>
        </is>
      </c>
      <c r="H116" s="3" t="inlineStr">
        <is>
          <t>Measure receivables aging, customer payment risk and collection scenarios, review it periodically, test it against disruption scenarios and integrate it with dependent processes or systems.</t>
        </is>
      </c>
      <c r="I116" s="3" t="inlineStr">
        <is>
          <t>Optimize and automate receivables aging, customer payment risk and collection scenarios where practical, use leading indicators, run periodic stress tests and update the crisis playbook.</t>
        </is>
      </c>
      <c r="J116" s="3" t="inlineStr">
        <is>
          <t>Maintain maturity for receivables aging, customer payment risk and collection scenarios. Monitor drift, keep evidence current, benchmark externally and refresh tests after major changes.</t>
        </is>
      </c>
      <c r="K116" s="3" t="inlineStr">
        <is>
          <t>Reduces exposure to Financial liquidity crisis; Supplier disruption; Fraud risk; improves Working capital maturity, continuity and management visibility.</t>
        </is>
      </c>
      <c r="L116" s="3" t="n">
        <v>4</v>
      </c>
      <c r="M116" s="3" t="n">
        <v>4</v>
      </c>
      <c r="N116" s="3" t="n">
        <v>3</v>
      </c>
      <c r="O116" s="3" t="n">
        <v>2</v>
      </c>
      <c r="P116" s="3" t="n">
        <v>1</v>
      </c>
      <c r="Q116" s="3" t="n">
        <v>1</v>
      </c>
      <c r="R116" s="3" t="inlineStr">
        <is>
          <t>COSO Internal Control; COSO ERM; IFRS; ISO 20400; ISO 37001; CIPS</t>
        </is>
      </c>
      <c r="S116" s="3" t="inlineStr">
        <is>
          <t>Policy/SOP; owner/RACI; system report; dashboard; contracts; test records; incident history; interview evidence related to receivables aging, customer payment risk and collection scenarios.</t>
        </is>
      </c>
      <c r="T116" s="3" t="inlineStr">
        <is>
          <t>Financial liquidity crisis; Supplier disruption; Fraud risk</t>
        </is>
      </c>
      <c r="U116" s="3" t="inlineStr">
        <is>
          <t>CFO / Procurement</t>
        </is>
      </c>
      <c r="V116" s="3" t="inlineStr">
        <is>
          <t>Finance Procurement!23</t>
        </is>
      </c>
    </row>
    <row r="117" ht="71.25" customHeight="1" s="209">
      <c r="A117" s="3" t="inlineStr">
        <is>
          <t>FINA-021</t>
        </is>
      </c>
      <c r="B117" s="3" t="inlineStr">
        <is>
          <t>Finance Procurement</t>
        </is>
      </c>
      <c r="C117" s="3" t="inlineStr">
        <is>
          <t>Working capital</t>
        </is>
      </c>
      <c r="D117" s="3" t="inlineStr">
        <is>
          <t>How mature is the organization in managing supplier payment priority rules during cash constraint, including ownership, evidence, metrics, fallback procedures and crisis stress testing?</t>
        </is>
      </c>
      <c r="E117" s="3" t="inlineStr">
        <is>
          <t>Establish a basic owner and inventory for supplier payment priority rules during cash constraint. Define minimum policy, evidence location and immediate crisis relevance.</t>
        </is>
      </c>
      <c r="F117" s="3" t="inlineStr">
        <is>
          <t>Document supplier payment priority rules during cash constraint, assign RACI, define minimum controls/KPIs and collect evidence across the main business units or sites.</t>
        </is>
      </c>
      <c r="G117" s="3" t="inlineStr">
        <is>
          <t>Standardize supplier payment priority rules during cash constraint across the organization, close coverage gaps, link it to crisis scenarios and train accountable roles.</t>
        </is>
      </c>
      <c r="H117" s="3" t="inlineStr">
        <is>
          <t>Measure supplier payment priority rules during cash constraint, review it periodically, test it against disruption scenarios and integrate it with dependent processes or systems.</t>
        </is>
      </c>
      <c r="I117" s="3" t="inlineStr">
        <is>
          <t>Optimize and automate supplier payment priority rules during cash constraint where practical, use leading indicators, run periodic stress tests and update the crisis playbook.</t>
        </is>
      </c>
      <c r="J117" s="3" t="inlineStr">
        <is>
          <t>Maintain maturity for supplier payment priority rules during cash constraint. Monitor drift, keep evidence current, benchmark externally and refresh tests after major changes.</t>
        </is>
      </c>
      <c r="K117" s="3" t="inlineStr">
        <is>
          <t>Reduces exposure to Financial liquidity crisis; Supplier disruption; Fraud risk; improves Working capital maturity, continuity and management visibility.</t>
        </is>
      </c>
      <c r="L117" s="3" t="n">
        <v>4</v>
      </c>
      <c r="M117" s="3" t="n">
        <v>4</v>
      </c>
      <c r="N117" s="3" t="n">
        <v>3</v>
      </c>
      <c r="O117" s="3" t="n">
        <v>2</v>
      </c>
      <c r="P117" s="3" t="n">
        <v>1</v>
      </c>
      <c r="Q117" s="3" t="n">
        <v>1</v>
      </c>
      <c r="R117" s="3" t="inlineStr">
        <is>
          <t>COSO Internal Control; COSO ERM; IFRS; ISO 20400; ISO 37001; CIPS</t>
        </is>
      </c>
      <c r="S117" s="3" t="inlineStr">
        <is>
          <t>Policy/SOP; owner/RACI; system report; dashboard; contracts; test records; incident history; interview evidence related to supplier payment priority rules during cash constraint.</t>
        </is>
      </c>
      <c r="T117" s="3" t="inlineStr">
        <is>
          <t>Financial liquidity crisis; Supplier disruption; Fraud risk</t>
        </is>
      </c>
      <c r="U117" s="3" t="inlineStr">
        <is>
          <t>CFO / Procurement</t>
        </is>
      </c>
      <c r="V117" s="3" t="inlineStr">
        <is>
          <t>Finance Procurement!24</t>
        </is>
      </c>
    </row>
    <row r="118" ht="85.5" customHeight="1" s="209">
      <c r="A118" s="3" t="inlineStr">
        <is>
          <t>FINA-022</t>
        </is>
      </c>
      <c r="B118" s="3" t="inlineStr">
        <is>
          <t>Finance Procurement</t>
        </is>
      </c>
      <c r="C118" s="3" t="inlineStr">
        <is>
          <t>Working capital</t>
        </is>
      </c>
      <c r="D118" s="3" t="inlineStr">
        <is>
          <t>How mature is the organization in managing banking resilience with backup banks, signatories, online access and payment release fallback, including ownership, evidence, metrics, fallback procedures and crisis stress testing?</t>
        </is>
      </c>
      <c r="E118" s="3" t="inlineStr">
        <is>
          <t>Establish a basic owner and inventory for banking resilience with backup banks, signatories, online access and payment release fallback. Define minimum policy, evidence location and immediate crisis relevance.</t>
        </is>
      </c>
      <c r="F118" s="3" t="inlineStr">
        <is>
          <t>Document banking resilience with backup banks, signatories, online access and payment release fallback, assign RACI, define minimum controls/KPIs and collect evidence across the main business units or sites.</t>
        </is>
      </c>
      <c r="G118" s="3" t="inlineStr">
        <is>
          <t>Standardize banking resilience with backup banks, signatories, online access and payment release fallback across the organization, close coverage gaps, link it to crisis scenarios and train accountable roles.</t>
        </is>
      </c>
      <c r="H118" s="3" t="inlineStr">
        <is>
          <t>Measure banking resilience with backup banks, signatories, online access and payment release fallback, review it periodically, test it against disruption scenarios and integrate it with dependent processes or systems.</t>
        </is>
      </c>
      <c r="I118" s="3" t="inlineStr">
        <is>
          <t>Optimize and automate banking resilience with backup banks, signatories, online access and payment release fallback where practical, use leading indicators, run periodic stress tests and update the crisis playbook.</t>
        </is>
      </c>
      <c r="J118" s="3" t="inlineStr">
        <is>
          <t>Maintain maturity for banking resilience with backup banks, signatories, online access and payment release fallback. Monitor drift, keep evidence current, benchmark externally and refresh tests after major changes.</t>
        </is>
      </c>
      <c r="K118" s="3" t="inlineStr">
        <is>
          <t>Reduces exposure to Financial liquidity crisis; Supplier disruption; Fraud risk; improves Working capital maturity, continuity and management visibility.</t>
        </is>
      </c>
      <c r="L118" s="3" t="n">
        <v>5</v>
      </c>
      <c r="M118" s="3" t="n">
        <v>5</v>
      </c>
      <c r="N118" s="3" t="n">
        <v>4</v>
      </c>
      <c r="O118" s="3" t="n">
        <v>3</v>
      </c>
      <c r="P118" s="3" t="n">
        <v>2</v>
      </c>
      <c r="Q118" s="3" t="n">
        <v>1</v>
      </c>
      <c r="R118" s="3" t="inlineStr">
        <is>
          <t>COSO Internal Control; COSO ERM; IFRS; ISO 20400; ISO 37001; CIPS</t>
        </is>
      </c>
      <c r="S118" s="3" t="inlineStr">
        <is>
          <t>Policy/SOP; owner/RACI; system report; dashboard; contracts; test records; incident history; interview evidence related to banking resilience with backup banks, signatories, online access and payment release fallback.</t>
        </is>
      </c>
      <c r="T118" s="3" t="inlineStr">
        <is>
          <t>Financial liquidity crisis; Supplier disruption; Fraud risk</t>
        </is>
      </c>
      <c r="U118" s="3" t="inlineStr">
        <is>
          <t>CFO / Procurement</t>
        </is>
      </c>
      <c r="V118" s="3" t="inlineStr">
        <is>
          <t>Finance Procurement!25</t>
        </is>
      </c>
    </row>
    <row r="119" ht="71.25" customHeight="1" s="209">
      <c r="A119" s="3" t="inlineStr">
        <is>
          <t>FINA-023</t>
        </is>
      </c>
      <c r="B119" s="3" t="inlineStr">
        <is>
          <t>Finance Procurement</t>
        </is>
      </c>
      <c r="C119" s="3" t="inlineStr">
        <is>
          <t>Working capital</t>
        </is>
      </c>
      <c r="D119" s="3" t="inlineStr">
        <is>
          <t>How mature is the organization in managing tax compliance calendar and statutory reporting continuity, including ownership, evidence, metrics, fallback procedures and crisis stress testing?</t>
        </is>
      </c>
      <c r="E119" s="3" t="inlineStr">
        <is>
          <t>Establish a basic owner and inventory for tax compliance calendar and statutory reporting continuity. Define minimum policy, evidence location and immediate crisis relevance.</t>
        </is>
      </c>
      <c r="F119" s="3" t="inlineStr">
        <is>
          <t>Document tax compliance calendar and statutory reporting continuity, assign RACI, define minimum controls/KPIs and collect evidence across the main business units or sites.</t>
        </is>
      </c>
      <c r="G119" s="3" t="inlineStr">
        <is>
          <t>Standardize tax compliance calendar and statutory reporting continuity across the organization, close coverage gaps, link it to crisis scenarios and train accountable roles.</t>
        </is>
      </c>
      <c r="H119" s="3" t="inlineStr">
        <is>
          <t>Measure tax compliance calendar and statutory reporting continuity, review it periodically, test it against disruption scenarios and integrate it with dependent processes or systems.</t>
        </is>
      </c>
      <c r="I119" s="3" t="inlineStr">
        <is>
          <t>Optimize and automate tax compliance calendar and statutory reporting continuity where practical, use leading indicators, run periodic stress tests and update the crisis playbook.</t>
        </is>
      </c>
      <c r="J119" s="3" t="inlineStr">
        <is>
          <t>Maintain maturity for tax compliance calendar and statutory reporting continuity. Monitor drift, keep evidence current, benchmark externally and refresh tests after major changes.</t>
        </is>
      </c>
      <c r="K119" s="3" t="inlineStr">
        <is>
          <t>Reduces exposure to Financial liquidity crisis; Supplier disruption; Fraud risk; improves Working capital maturity, continuity and management visibility.</t>
        </is>
      </c>
      <c r="L119" s="3" t="n">
        <v>4</v>
      </c>
      <c r="M119" s="3" t="n">
        <v>4</v>
      </c>
      <c r="N119" s="3" t="n">
        <v>3</v>
      </c>
      <c r="O119" s="3" t="n">
        <v>2</v>
      </c>
      <c r="P119" s="3" t="n">
        <v>1</v>
      </c>
      <c r="Q119" s="3" t="n">
        <v>1</v>
      </c>
      <c r="R119" s="3" t="inlineStr">
        <is>
          <t>COSO Internal Control; COSO ERM; IFRS; ISO 20400; ISO 37001; CIPS</t>
        </is>
      </c>
      <c r="S119" s="3" t="inlineStr">
        <is>
          <t>Policy/SOP; owner/RACI; system report; dashboard; contracts; test records; incident history; interview evidence related to tax compliance calendar and statutory reporting continuity.</t>
        </is>
      </c>
      <c r="T119" s="3" t="inlineStr">
        <is>
          <t>Financial liquidity crisis; Supplier disruption; Fraud risk</t>
        </is>
      </c>
      <c r="U119" s="3" t="inlineStr">
        <is>
          <t>CFO / Procurement</t>
        </is>
      </c>
      <c r="V119" s="3" t="inlineStr">
        <is>
          <t>Finance Procurement!26</t>
        </is>
      </c>
    </row>
    <row r="120" ht="71.25" customHeight="1" s="209">
      <c r="A120" s="3" t="inlineStr">
        <is>
          <t>FINA-024</t>
        </is>
      </c>
      <c r="B120" s="3" t="inlineStr">
        <is>
          <t>Finance Procurement</t>
        </is>
      </c>
      <c r="C120" s="3" t="inlineStr">
        <is>
          <t>Working capital</t>
        </is>
      </c>
      <c r="D120" s="3" t="inlineStr">
        <is>
          <t>How mature is the organization in managing business interruption insurance fit against realistic recovery scenarios, including ownership, evidence, metrics, fallback procedures and crisis stress testing?</t>
        </is>
      </c>
      <c r="E120" s="3" t="inlineStr">
        <is>
          <t>Establish a basic owner and inventory for business interruption insurance fit against realistic recovery scenarios. Define minimum policy, evidence location and immediate crisis relevance.</t>
        </is>
      </c>
      <c r="F120" s="3" t="inlineStr">
        <is>
          <t>Document business interruption insurance fit against realistic recovery scenarios, assign RACI, define minimum controls/KPIs and collect evidence across the main business units or sites.</t>
        </is>
      </c>
      <c r="G120" s="3" t="inlineStr">
        <is>
          <t>Standardize business interruption insurance fit against realistic recovery scenarios across the organization, close coverage gaps, link it to crisis scenarios and train accountable roles.</t>
        </is>
      </c>
      <c r="H120" s="3" t="inlineStr">
        <is>
          <t>Measure business interruption insurance fit against realistic recovery scenarios, review it periodically, test it against disruption scenarios and integrate it with dependent processes or systems.</t>
        </is>
      </c>
      <c r="I120" s="3" t="inlineStr">
        <is>
          <t>Optimize and automate business interruption insurance fit against realistic recovery scenarios where practical, use leading indicators, run periodic stress tests and update the crisis playbook.</t>
        </is>
      </c>
      <c r="J120" s="3" t="inlineStr">
        <is>
          <t>Maintain maturity for business interruption insurance fit against realistic recovery scenarios. Monitor drift, keep evidence current, benchmark externally and refresh tests after major changes.</t>
        </is>
      </c>
      <c r="K120" s="3" t="inlineStr">
        <is>
          <t>Reduces exposure to Financial liquidity crisis; Supplier disruption; Fraud risk; improves Working capital maturity, continuity and management visibility.</t>
        </is>
      </c>
      <c r="L120" s="3" t="n">
        <v>4</v>
      </c>
      <c r="M120" s="3" t="n">
        <v>4</v>
      </c>
      <c r="N120" s="3" t="n">
        <v>3</v>
      </c>
      <c r="O120" s="3" t="n">
        <v>2</v>
      </c>
      <c r="P120" s="3" t="n">
        <v>1</v>
      </c>
      <c r="Q120" s="3" t="n">
        <v>1</v>
      </c>
      <c r="R120" s="3" t="inlineStr">
        <is>
          <t>COSO Internal Control; COSO ERM; IFRS; ISO 20400; ISO 37001; CIPS</t>
        </is>
      </c>
      <c r="S120" s="3" t="inlineStr">
        <is>
          <t>Policy/SOP; owner/RACI; system report; dashboard; contracts; test records; incident history; interview evidence related to business interruption insurance fit against realistic recovery scenarios.</t>
        </is>
      </c>
      <c r="T120" s="3" t="inlineStr">
        <is>
          <t>Financial liquidity crisis; Supplier disruption; Fraud risk</t>
        </is>
      </c>
      <c r="U120" s="3" t="inlineStr">
        <is>
          <t>CFO / Procurement</t>
        </is>
      </c>
      <c r="V120" s="3" t="inlineStr">
        <is>
          <t>Finance Procurement!27</t>
        </is>
      </c>
    </row>
    <row r="121" ht="85.5" customHeight="1" s="209">
      <c r="A121" s="3" t="inlineStr">
        <is>
          <t>FINA-025</t>
        </is>
      </c>
      <c r="B121" s="3" t="inlineStr">
        <is>
          <t>Finance Procurement</t>
        </is>
      </c>
      <c r="C121" s="3" t="inlineStr">
        <is>
          <t>Financial resilience</t>
        </is>
      </c>
      <c r="D121" s="3" t="inlineStr">
        <is>
          <t>How mature is the organization in managing currency risk management using natural hedges, contract indexation or hedging instruments, including ownership, evidence, metrics, fallback procedures and crisis stress testing?</t>
        </is>
      </c>
      <c r="E121" s="3" t="inlineStr">
        <is>
          <t>Establish a basic owner and inventory for currency risk management using natural hedges, contract indexation or hedging instruments. Define minimum policy, evidence location and immediate crisis relevance.</t>
        </is>
      </c>
      <c r="F121" s="3" t="inlineStr">
        <is>
          <t>Document currency risk management using natural hedges, contract indexation or hedging instruments, assign RACI, define minimum controls/KPIs and collect evidence across the main business units or sites.</t>
        </is>
      </c>
      <c r="G121" s="3" t="inlineStr">
        <is>
          <t>Standardize currency risk management using natural hedges, contract indexation or hedging instruments across the organization, close coverage gaps, link it to crisis scenarios and train accountable roles.</t>
        </is>
      </c>
      <c r="H121" s="3" t="inlineStr">
        <is>
          <t>Measure currency risk management using natural hedges, contract indexation or hedging instruments, review it periodically, test it against disruption scenarios and integrate it with dependent processes or systems.</t>
        </is>
      </c>
      <c r="I121" s="3" t="inlineStr">
        <is>
          <t>Optimize and automate currency risk management using natural hedges, contract indexation or hedging instruments where practical, use leading indicators, run periodic stress tests and update the crisis playbook.</t>
        </is>
      </c>
      <c r="J121" s="3" t="inlineStr">
        <is>
          <t>Maintain maturity for currency risk management using natural hedges, contract indexation or hedging instruments. Monitor drift, keep evidence current, benchmark externally and refresh tests after major changes.</t>
        </is>
      </c>
      <c r="K121" s="3" t="inlineStr">
        <is>
          <t>Reduces exposure to Financial/liquidity crisis; Demand shock; improves Financial resilience maturity, continuity and management visibility.</t>
        </is>
      </c>
      <c r="L121" s="3" t="n">
        <v>3</v>
      </c>
      <c r="M121" s="3" t="n">
        <v>3</v>
      </c>
      <c r="N121" s="3" t="n">
        <v>2</v>
      </c>
      <c r="O121" s="3" t="n">
        <v>2</v>
      </c>
      <c r="P121" s="3" t="n">
        <v>1</v>
      </c>
      <c r="Q121" s="3" t="n">
        <v>1</v>
      </c>
      <c r="R121" s="3" t="inlineStr">
        <is>
          <t>COSO; IFRS; treasury management practices</t>
        </is>
      </c>
      <c r="S121" s="3" t="inlineStr">
        <is>
          <t>Policy/SOP; owner/RACI; system report; dashboard; contracts; test records; incident history; interview evidence related to currency risk management using natural hedges, contract indexation or hedging instruments</t>
        </is>
      </c>
      <c r="T121" s="3" t="inlineStr">
        <is>
          <t>Financial/liquidity crisis; Demand shock</t>
        </is>
      </c>
      <c r="U121" s="3" t="inlineStr">
        <is>
          <t>CFO</t>
        </is>
      </c>
      <c r="V121" s="3" t="inlineStr">
        <is>
          <t>Finance Procurement!28</t>
        </is>
      </c>
    </row>
    <row r="122" ht="85.5" customHeight="1" s="209">
      <c r="A122" s="3" t="inlineStr">
        <is>
          <t>FINA-026</t>
        </is>
      </c>
      <c r="B122" s="3" t="inlineStr">
        <is>
          <t>Finance Procurement</t>
        </is>
      </c>
      <c r="C122" s="3" t="inlineStr">
        <is>
          <t>Financial resilience</t>
        </is>
      </c>
      <c r="D122" s="3" t="inlineStr">
        <is>
          <t>How mature is the organization in managing cost structure flexibility with fixed-to-variable ratio visibility and cost reduction levers ranked by speed and impact, including ownership, evidence, metrics, fallback procedures and crisis stress testing?</t>
        </is>
      </c>
      <c r="E122" s="3" t="inlineStr">
        <is>
          <t>Establish a basic owner and inventory for cost structure flexibility with fixed-to-variable ratio visibility and cost reduction levers ranked by speed and impact. Define minimum policy, evidence location and immediate crisis relevance.</t>
        </is>
      </c>
      <c r="F122" s="3" t="inlineStr">
        <is>
          <t>Document cost structure flexibility with fixed-to-variable ratio visibility and cost reduction levers ranked by speed and impact, assign RACI, define minimum controls/KPIs and collect evidence across the main business units or sites.</t>
        </is>
      </c>
      <c r="G122" s="3" t="inlineStr">
        <is>
          <t>Standardize cost structure flexibility with fixed-to-variable ratio visibility and cost reduction levers ranked by speed and impact across the organization, close coverage gaps, link it to crisis scenarios and train accountable roles.</t>
        </is>
      </c>
      <c r="H122" s="3" t="inlineStr">
        <is>
          <t>Measure cost structure flexibility with fixed-to-variable ratio visibility and cost reduction levers ranked by speed and impact, review it periodically, test it against disruption scenarios and integrate it with dependent processes or systems.</t>
        </is>
      </c>
      <c r="I122" s="3" t="inlineStr">
        <is>
          <t>Optimize and automate cost structure flexibility with fixed-to-variable ratio visibility and cost reduction levers ranked by speed and impact where practical, use leading indicators, run periodic stress tests and update the crisis playbook.</t>
        </is>
      </c>
      <c r="J122" s="3" t="inlineStr">
        <is>
          <t>Maintain maturity for cost structure flexibility with fixed-to-variable ratio visibility and cost reduction levers ranked by speed and impact. Monitor drift, keep evidence current, benchmark externally and refresh tests after major changes.</t>
        </is>
      </c>
      <c r="K122" s="3" t="inlineStr">
        <is>
          <t>Reduces exposure to Financial/liquidity crisis; Demand shock; improves Financial resilience maturity, continuity and management visibility.</t>
        </is>
      </c>
      <c r="L122" s="3" t="n">
        <v>2</v>
      </c>
      <c r="M122" s="3" t="n">
        <v>2</v>
      </c>
      <c r="N122" s="3" t="n">
        <v>2</v>
      </c>
      <c r="O122" s="3" t="n">
        <v>2</v>
      </c>
      <c r="P122" s="3" t="n">
        <v>1</v>
      </c>
      <c r="Q122" s="3" t="n">
        <v>1</v>
      </c>
      <c r="R122" s="3" t="inlineStr">
        <is>
          <t>driver-based planning practices; COSO</t>
        </is>
      </c>
      <c r="S122" s="3" t="inlineStr">
        <is>
          <t>Policy/SOP; owner/RACI; system report; dashboard; contracts; test records; incident history; interview evidence related to cost structure flexibility with fixed-to-variable ratio visibility and cost reduction levers ranked by speed and impact</t>
        </is>
      </c>
      <c r="T122" s="3" t="inlineStr">
        <is>
          <t>Financial/liquidity crisis; Demand shock</t>
        </is>
      </c>
      <c r="U122" s="3" t="inlineStr">
        <is>
          <t>CFO</t>
        </is>
      </c>
      <c r="V122" s="3" t="inlineStr">
        <is>
          <t>Finance Procurement!29</t>
        </is>
      </c>
    </row>
    <row r="123" ht="85.5" customHeight="1" s="209">
      <c r="A123" s="3" t="inlineStr">
        <is>
          <t>FINA-027</t>
        </is>
      </c>
      <c r="B123" s="3" t="inlineStr">
        <is>
          <t>Finance Procurement</t>
        </is>
      </c>
      <c r="C123" s="3" t="inlineStr">
        <is>
          <t>Working capital</t>
        </is>
      </c>
      <c r="D123" s="3" t="inlineStr">
        <is>
          <t>How mature is the organization in managing customer credit risk assessment with credit checks, limits and payment terms control before contracting, including ownership, evidence, metrics, fallback procedures and crisis stress testing?</t>
        </is>
      </c>
      <c r="E123" s="3" t="inlineStr">
        <is>
          <t>Establish a basic owner and inventory for customer credit risk assessment with credit checks, limits and payment terms control before contracting. Define minimum policy, evidence location and immediate crisis relevance.</t>
        </is>
      </c>
      <c r="F123" s="3" t="inlineStr">
        <is>
          <t>Document customer credit risk assessment with credit checks, limits and payment terms control before contracting, assign RACI, define minimum controls/KPIs and collect evidence across the main business units or sites.</t>
        </is>
      </c>
      <c r="G123" s="3" t="inlineStr">
        <is>
          <t>Standardize customer credit risk assessment with credit checks, limits and payment terms control before contracting across the organization, close coverage gaps, link it to crisis scenarios and train accountable roles.</t>
        </is>
      </c>
      <c r="H123" s="3" t="inlineStr">
        <is>
          <t>Measure customer credit risk assessment with credit checks, limits and payment terms control before contracting, review it periodically, test it against disruption scenarios and integrate it with dependent processes or systems.</t>
        </is>
      </c>
      <c r="I123" s="3" t="inlineStr">
        <is>
          <t>Optimize and automate customer credit risk assessment with credit checks, limits and payment terms control before contracting where practical, use leading indicators, run periodic stress tests and update the crisis playbook.</t>
        </is>
      </c>
      <c r="J123" s="3" t="inlineStr">
        <is>
          <t>Maintain maturity for customer credit risk assessment with credit checks, limits and payment terms control before contracting. Monitor drift, keep evidence current, benchmark externally and refresh tests after major changes.</t>
        </is>
      </c>
      <c r="K123" s="3" t="inlineStr">
        <is>
          <t>Reduces exposure to Financial/liquidity crisis; Key customer loss; improves Working capital maturity, continuity and management visibility.</t>
        </is>
      </c>
      <c r="L123" s="3" t="n">
        <v>2</v>
      </c>
      <c r="M123" s="3" t="n">
        <v>2</v>
      </c>
      <c r="N123" s="3" t="n">
        <v>2</v>
      </c>
      <c r="O123" s="3" t="n">
        <v>2</v>
      </c>
      <c r="P123" s="3" t="n">
        <v>1</v>
      </c>
      <c r="Q123" s="3" t="n">
        <v>1</v>
      </c>
      <c r="R123" s="3" t="inlineStr">
        <is>
          <t>credit management practices; COSO</t>
        </is>
      </c>
      <c r="S123" s="3" t="inlineStr">
        <is>
          <t>Policy/SOP; owner/RACI; system report; dashboard; contracts; test records; incident history; interview evidence related to customer credit risk assessment with credit checks, limits and payment terms control before contracting</t>
        </is>
      </c>
      <c r="T123" s="3" t="inlineStr">
        <is>
          <t>Financial/liquidity crisis; Key customer loss</t>
        </is>
      </c>
      <c r="U123" s="3" t="inlineStr">
        <is>
          <t>CFO / Sales</t>
        </is>
      </c>
      <c r="V123" s="3" t="inlineStr">
        <is>
          <t>Finance Procurement!30</t>
        </is>
      </c>
    </row>
    <row r="124" ht="85.5" customHeight="1" s="209">
      <c r="A124" s="3" t="inlineStr">
        <is>
          <t>LEGA-001</t>
        </is>
      </c>
      <c r="B124" s="3" t="inlineStr">
        <is>
          <t>Legal Risk</t>
        </is>
      </c>
      <c r="C124" s="3" t="inlineStr">
        <is>
          <t>Compliance</t>
        </is>
      </c>
      <c r="D124" s="3" t="inlineStr">
        <is>
          <t>How mature is the organization in managing compliance obligations register by jurisdiction, license, customer, industry and function, including ownership, evidence, metrics, fallback procedures and crisis stress testing?</t>
        </is>
      </c>
      <c r="E124" s="3" t="inlineStr">
        <is>
          <t>Establish a basic owner and inventory for compliance obligations register by jurisdiction, license, customer, industry and function. Define minimum policy, evidence location and immediate crisis relevance.</t>
        </is>
      </c>
      <c r="F124" s="3" t="inlineStr">
        <is>
          <t>Document compliance obligations register by jurisdiction, license, customer, industry and function, assign RACI, define minimum controls/KPIs and collect evidence across the main business units or sites.</t>
        </is>
      </c>
      <c r="G124" s="3" t="inlineStr">
        <is>
          <t>Standardize compliance obligations register by jurisdiction, license, customer, industry and function across the organization, close coverage gaps, link it to crisis scenarios and train accountable roles.</t>
        </is>
      </c>
      <c r="H124" s="3" t="inlineStr">
        <is>
          <t>Measure compliance obligations register by jurisdiction, license, customer, industry and function, review it periodically, test it against disruption scenarios and integrate it with dependent processes or systems.</t>
        </is>
      </c>
      <c r="I124" s="3" t="inlineStr">
        <is>
          <t>Optimize and automate compliance obligations register by jurisdiction, license, customer, industry and function where practical, use leading indicators, run periodic stress tests and update the crisis playbook.</t>
        </is>
      </c>
      <c r="J124" s="3" t="inlineStr">
        <is>
          <t>Maintain maturity for compliance obligations register by jurisdiction, license, customer, industry and function. Monitor drift, keep evidence current, benchmark externally and refresh tests after major changes.</t>
        </is>
      </c>
      <c r="K124" s="3" t="inlineStr">
        <is>
          <t>Reduces exposure to Regulatory/legal shock; Contractual exposure; Data breach; improves Compliance maturity, continuity and management visibility.</t>
        </is>
      </c>
      <c r="L124" s="3" t="n">
        <v>4</v>
      </c>
      <c r="M124" s="3" t="n">
        <v>4</v>
      </c>
      <c r="N124" s="3" t="n">
        <v>3</v>
      </c>
      <c r="O124" s="3" t="n">
        <v>2</v>
      </c>
      <c r="P124" s="3" t="n">
        <v>1</v>
      </c>
      <c r="Q124" s="3" t="n">
        <v>1</v>
      </c>
      <c r="R124" s="3" t="inlineStr">
        <is>
          <t>ISO 37301; ISO 31000; ISO 37001; ISO/IEC 27701; GDPR; contract management best practices</t>
        </is>
      </c>
      <c r="S124" s="3" t="inlineStr">
        <is>
          <t>Policy/SOP; owner/RACI; system report; dashboard; contracts; test records; incident history; interview evidence related to compliance obligations register by jurisdiction, license, customer, industry and function.</t>
        </is>
      </c>
      <c r="T124" s="3" t="inlineStr">
        <is>
          <t>Regulatory/legal shock; Contractual exposure; Data breach</t>
        </is>
      </c>
      <c r="U124" s="3" t="inlineStr">
        <is>
          <t>Legal / Compliance</t>
        </is>
      </c>
      <c r="V124" s="3" t="inlineStr">
        <is>
          <t>Legal Risk!5</t>
        </is>
      </c>
    </row>
    <row r="125" ht="85.5" customHeight="1" s="209">
      <c r="A125" s="3" t="inlineStr">
        <is>
          <t>LEGA-002</t>
        </is>
      </c>
      <c r="B125" s="3" t="inlineStr">
        <is>
          <t>Legal Risk</t>
        </is>
      </c>
      <c r="C125" s="3" t="inlineStr">
        <is>
          <t>Compliance</t>
        </is>
      </c>
      <c r="D125" s="3" t="inlineStr">
        <is>
          <t>How mature is the organization in managing regulatory reporting calendar and emergency reporting triggers for cyber, safety, finance, environment and privacy, including ownership, evidence, metrics, fallback procedures and crisis stress testing?</t>
        </is>
      </c>
      <c r="E125" s="3" t="inlineStr">
        <is>
          <t>Establish a basic owner and inventory for regulatory reporting calendar and emergency reporting triggers for cyber, safety, finance, environment and privacy. Define minimum policy, evidence location and immediate crisis relevance.</t>
        </is>
      </c>
      <c r="F125" s="3" t="inlineStr">
        <is>
          <t>Document regulatory reporting calendar and emergency reporting triggers for cyber, safety, finance, environment and privacy, assign RACI, define minimum controls/KPIs and collect evidence across the main business units or sites.</t>
        </is>
      </c>
      <c r="G125" s="3" t="inlineStr">
        <is>
          <t>Standardize regulatory reporting calendar and emergency reporting triggers for cyber, safety, finance, environment and privacy across the organization, close coverage gaps, link it to crisis scenarios and train accountable roles.</t>
        </is>
      </c>
      <c r="H125" s="3" t="inlineStr">
        <is>
          <t>Measure regulatory reporting calendar and emergency reporting triggers for cyber, safety, finance, environment and privacy, review it periodically, test it against disruption scenarios and integrate it with dependent processes or systems.</t>
        </is>
      </c>
      <c r="I125" s="3" t="inlineStr">
        <is>
          <t>Optimize and automate regulatory reporting calendar and emergency reporting triggers for cyber, safety, finance, environment and privacy where practical, use leading indicators, run periodic stress tests and update the crisis playbook.</t>
        </is>
      </c>
      <c r="J125" s="3" t="inlineStr">
        <is>
          <t>Maintain maturity for regulatory reporting calendar and emergency reporting triggers for cyber, safety, finance, environment and privacy. Monitor drift, keep evidence current, benchmark externally and refresh tests after major changes.</t>
        </is>
      </c>
      <c r="K125" s="3" t="inlineStr">
        <is>
          <t>Reduces exposure to Regulatory/legal shock; Contractual exposure; Data breach; improves Compliance maturity, continuity and management visibility.</t>
        </is>
      </c>
      <c r="L125" s="3" t="n">
        <v>5</v>
      </c>
      <c r="M125" s="3" t="n">
        <v>5</v>
      </c>
      <c r="N125" s="3" t="n">
        <v>4</v>
      </c>
      <c r="O125" s="3" t="n">
        <v>3</v>
      </c>
      <c r="P125" s="3" t="n">
        <v>2</v>
      </c>
      <c r="Q125" s="3" t="n">
        <v>1</v>
      </c>
      <c r="R125" s="3" t="inlineStr">
        <is>
          <t>ISO 37301; ISO 31000; ISO 37001; ISO/IEC 27701; GDPR; contract management best practices</t>
        </is>
      </c>
      <c r="S125" s="3" t="inlineStr">
        <is>
          <t>Policy/SOP; owner/RACI; system report; dashboard; contracts; test records; incident history; interview evidence related to regulatory reporting calendar and emergency reporting triggers for cyber, safety, finance, environment and privacy.</t>
        </is>
      </c>
      <c r="T125" s="3" t="inlineStr">
        <is>
          <t>Regulatory/legal shock; Contractual exposure; Data breach</t>
        </is>
      </c>
      <c r="U125" s="3" t="inlineStr">
        <is>
          <t>Legal / Compliance</t>
        </is>
      </c>
      <c r="V125" s="3" t="inlineStr">
        <is>
          <t>Legal Risk!6</t>
        </is>
      </c>
    </row>
    <row r="126" ht="85.5" customHeight="1" s="209">
      <c r="A126" s="3" t="inlineStr">
        <is>
          <t>LEGA-003</t>
        </is>
      </c>
      <c r="B126" s="3" t="inlineStr">
        <is>
          <t>Legal Risk</t>
        </is>
      </c>
      <c r="C126" s="3" t="inlineStr">
        <is>
          <t>Compliance</t>
        </is>
      </c>
      <c r="D126" s="3" t="inlineStr">
        <is>
          <t>How mature is the organization in managing sanctions and restricted-party screening for customers, suppliers, owners and payments, including ownership, evidence, metrics, fallback procedures and crisis stress testing?</t>
        </is>
      </c>
      <c r="E126" s="3" t="inlineStr">
        <is>
          <t>Establish a basic owner and inventory for sanctions and restricted-party screening for customers, suppliers, owners and payments. Define minimum policy, evidence location and immediate crisis relevance.</t>
        </is>
      </c>
      <c r="F126" s="3" t="inlineStr">
        <is>
          <t>Document sanctions and restricted-party screening for customers, suppliers, owners and payments, assign RACI, define minimum controls/KPIs and collect evidence across the main business units or sites.</t>
        </is>
      </c>
      <c r="G126" s="3" t="inlineStr">
        <is>
          <t>Standardize sanctions and restricted-party screening for customers, suppliers, owners and payments across the organization, close coverage gaps, link it to crisis scenarios and train accountable roles.</t>
        </is>
      </c>
      <c r="H126" s="3" t="inlineStr">
        <is>
          <t>Measure sanctions and restricted-party screening for customers, suppliers, owners and payments, review it periodically, test it against disruption scenarios and integrate it with dependent processes or systems.</t>
        </is>
      </c>
      <c r="I126" s="3" t="inlineStr">
        <is>
          <t>Optimize and automate sanctions and restricted-party screening for customers, suppliers, owners and payments where practical, use leading indicators, run periodic stress tests and update the crisis playbook.</t>
        </is>
      </c>
      <c r="J126" s="3" t="inlineStr">
        <is>
          <t>Maintain maturity for sanctions and restricted-party screening for customers, suppliers, owners and payments. Monitor drift, keep evidence current, benchmark externally and refresh tests after major changes.</t>
        </is>
      </c>
      <c r="K126" s="3" t="inlineStr">
        <is>
          <t>Reduces exposure to Regulatory/legal shock; Contractual exposure; Data breach; improves Compliance maturity, continuity and management visibility.</t>
        </is>
      </c>
      <c r="L126" s="3" t="n">
        <v>4</v>
      </c>
      <c r="M126" s="3" t="n">
        <v>4</v>
      </c>
      <c r="N126" s="3" t="n">
        <v>3</v>
      </c>
      <c r="O126" s="3" t="n">
        <v>2</v>
      </c>
      <c r="P126" s="3" t="n">
        <v>1</v>
      </c>
      <c r="Q126" s="3" t="n">
        <v>1</v>
      </c>
      <c r="R126" s="3" t="inlineStr">
        <is>
          <t>ISO 37301; ISO 31000; ISO 37001; ISO/IEC 27701; GDPR; contract management best practices</t>
        </is>
      </c>
      <c r="S126" s="3" t="inlineStr">
        <is>
          <t>Policy/SOP; owner/RACI; system report; dashboard; contracts; test records; incident history; interview evidence related to sanctions and restricted-party screening for customers, suppliers, owners and payments.</t>
        </is>
      </c>
      <c r="T126" s="3" t="inlineStr">
        <is>
          <t>Regulatory/legal shock; Contractual exposure; Data breach</t>
        </is>
      </c>
      <c r="U126" s="3" t="inlineStr">
        <is>
          <t>Legal / Compliance</t>
        </is>
      </c>
      <c r="V126" s="3" t="inlineStr">
        <is>
          <t>Legal Risk!7</t>
        </is>
      </c>
    </row>
    <row r="127" ht="85.5" customHeight="1" s="209">
      <c r="A127" s="3" t="inlineStr">
        <is>
          <t>LEGA-004</t>
        </is>
      </c>
      <c r="B127" s="3" t="inlineStr">
        <is>
          <t>Legal Risk</t>
        </is>
      </c>
      <c r="C127" s="3" t="inlineStr">
        <is>
          <t>Compliance</t>
        </is>
      </c>
      <c r="D127" s="3" t="inlineStr">
        <is>
          <t>How mature is the organization in managing anti-bribery and corruption controls during emergency procurement and high-pressure sales, including ownership, evidence, metrics, fallback procedures and crisis stress testing?</t>
        </is>
      </c>
      <c r="E127" s="3" t="inlineStr">
        <is>
          <t>Establish a basic owner and inventory for anti-bribery and corruption controls during emergency procurement and high-pressure sales. Define minimum policy, evidence location and immediate crisis relevance.</t>
        </is>
      </c>
      <c r="F127" s="3" t="inlineStr">
        <is>
          <t>Document anti-bribery and corruption controls during emergency procurement and high-pressure sales, assign RACI, define minimum controls/KPIs and collect evidence across the main business units or sites.</t>
        </is>
      </c>
      <c r="G127" s="3" t="inlineStr">
        <is>
          <t>Standardize anti-bribery and corruption controls during emergency procurement and high-pressure sales across the organization, close coverage gaps, link it to crisis scenarios and train accountable roles.</t>
        </is>
      </c>
      <c r="H127" s="3" t="inlineStr">
        <is>
          <t>Measure anti-bribery and corruption controls during emergency procurement and high-pressure sales, review it periodically, test it against disruption scenarios and integrate it with dependent processes or systems.</t>
        </is>
      </c>
      <c r="I127" s="3" t="inlineStr">
        <is>
          <t>Optimize and automate anti-bribery and corruption controls during emergency procurement and high-pressure sales where practical, use leading indicators, run periodic stress tests and update the crisis playbook.</t>
        </is>
      </c>
      <c r="J127" s="3" t="inlineStr">
        <is>
          <t>Maintain maturity for anti-bribery and corruption controls during emergency procurement and high-pressure sales. Monitor drift, keep evidence current, benchmark externally and refresh tests after major changes.</t>
        </is>
      </c>
      <c r="K127" s="3" t="inlineStr">
        <is>
          <t>Reduces exposure to Regulatory/legal shock; Contractual exposure; Data breach; improves Compliance maturity, continuity and management visibility.</t>
        </is>
      </c>
      <c r="L127" s="3" t="n">
        <v>4</v>
      </c>
      <c r="M127" s="3" t="n">
        <v>4</v>
      </c>
      <c r="N127" s="3" t="n">
        <v>3</v>
      </c>
      <c r="O127" s="3" t="n">
        <v>2</v>
      </c>
      <c r="P127" s="3" t="n">
        <v>1</v>
      </c>
      <c r="Q127" s="3" t="n">
        <v>1</v>
      </c>
      <c r="R127" s="3" t="inlineStr">
        <is>
          <t>ISO 37301; ISO 31000; ISO 37001; ISO/IEC 27701; GDPR; contract management best practices</t>
        </is>
      </c>
      <c r="S127" s="3" t="inlineStr">
        <is>
          <t>Policy/SOP; owner/RACI; system report; dashboard; contracts; test records; incident history; interview evidence related to anti-bribery and corruption controls during emergency procurement and high-pressure sales.</t>
        </is>
      </c>
      <c r="T127" s="3" t="inlineStr">
        <is>
          <t>Regulatory/legal shock; Contractual exposure; Data breach</t>
        </is>
      </c>
      <c r="U127" s="3" t="inlineStr">
        <is>
          <t>Legal / Compliance</t>
        </is>
      </c>
      <c r="V127" s="3" t="inlineStr">
        <is>
          <t>Legal Risk!8</t>
        </is>
      </c>
    </row>
    <row r="128" ht="85.5" customHeight="1" s="209">
      <c r="A128" s="3" t="inlineStr">
        <is>
          <t>LEGA-005</t>
        </is>
      </c>
      <c r="B128" s="3" t="inlineStr">
        <is>
          <t>Legal Risk</t>
        </is>
      </c>
      <c r="C128" s="3" t="inlineStr">
        <is>
          <t>Compliance</t>
        </is>
      </c>
      <c r="D128" s="3" t="inlineStr">
        <is>
          <t>How mature is the organization in managing whistleblowing and misconduct reporting mechanism with investigation process, including ownership, evidence, metrics, fallback procedures and crisis stress testing?</t>
        </is>
      </c>
      <c r="E128" s="3" t="inlineStr">
        <is>
          <t>Establish a basic owner and inventory for whistleblowing and misconduct reporting mechanism with investigation process. Define minimum policy, evidence location and immediate crisis relevance.</t>
        </is>
      </c>
      <c r="F128" s="3" t="inlineStr">
        <is>
          <t>Document whistleblowing and misconduct reporting mechanism with investigation process, assign RACI, define minimum controls/KPIs and collect evidence across the main business units or sites.</t>
        </is>
      </c>
      <c r="G128" s="3" t="inlineStr">
        <is>
          <t>Standardize whistleblowing and misconduct reporting mechanism with investigation process across the organization, close coverage gaps, link it to crisis scenarios and train accountable roles.</t>
        </is>
      </c>
      <c r="H128" s="3" t="inlineStr">
        <is>
          <t>Measure whistleblowing and misconduct reporting mechanism with investigation process, review it periodically, test it against disruption scenarios and integrate it with dependent processes or systems.</t>
        </is>
      </c>
      <c r="I128" s="3" t="inlineStr">
        <is>
          <t>Optimize and automate whistleblowing and misconduct reporting mechanism with investigation process where practical, use leading indicators, run periodic stress tests and update the crisis playbook.</t>
        </is>
      </c>
      <c r="J128" s="3" t="inlineStr">
        <is>
          <t>Maintain maturity for whistleblowing and misconduct reporting mechanism with investigation process. Monitor drift, keep evidence current, benchmark externally and refresh tests after major changes.</t>
        </is>
      </c>
      <c r="K128" s="3" t="inlineStr">
        <is>
          <t>Reduces exposure to Regulatory/legal shock; Contractual exposure; Data breach; improves Compliance maturity, continuity and management visibility.</t>
        </is>
      </c>
      <c r="L128" s="3" t="n">
        <v>4</v>
      </c>
      <c r="M128" s="3" t="n">
        <v>4</v>
      </c>
      <c r="N128" s="3" t="n">
        <v>3</v>
      </c>
      <c r="O128" s="3" t="n">
        <v>2</v>
      </c>
      <c r="P128" s="3" t="n">
        <v>1</v>
      </c>
      <c r="Q128" s="3" t="n">
        <v>1</v>
      </c>
      <c r="R128" s="3" t="inlineStr">
        <is>
          <t>ISO 37301; ISO 31000; ISO 37001; ISO/IEC 27701; GDPR; contract management best practices</t>
        </is>
      </c>
      <c r="S128" s="3" t="inlineStr">
        <is>
          <t>Policy/SOP; owner/RACI; system report; dashboard; contracts; test records; incident history; interview evidence related to whistleblowing and misconduct reporting mechanism with investigation process.</t>
        </is>
      </c>
      <c r="T128" s="3" t="inlineStr">
        <is>
          <t>Regulatory/legal shock; Contractual exposure; Data breach</t>
        </is>
      </c>
      <c r="U128" s="3" t="inlineStr">
        <is>
          <t>Legal / Compliance</t>
        </is>
      </c>
      <c r="V128" s="3" t="inlineStr">
        <is>
          <t>Legal Risk!9</t>
        </is>
      </c>
    </row>
    <row r="129" ht="71.25" customHeight="1" s="209">
      <c r="A129" s="3" t="inlineStr">
        <is>
          <t>LEGA-006</t>
        </is>
      </c>
      <c r="B129" s="3" t="inlineStr">
        <is>
          <t>Legal Risk</t>
        </is>
      </c>
      <c r="C129" s="3" t="inlineStr">
        <is>
          <t>Compliance</t>
        </is>
      </c>
      <c r="D129" s="3" t="inlineStr">
        <is>
          <t>How mature is the organization in managing legal support continuity if internal or external counsel is unavailable, including ownership, evidence, metrics, fallback procedures and crisis stress testing?</t>
        </is>
      </c>
      <c r="E129" s="3" t="inlineStr">
        <is>
          <t>Establish a basic owner and inventory for legal support continuity if internal or external counsel is unavailable. Define minimum policy, evidence location and immediate crisis relevance.</t>
        </is>
      </c>
      <c r="F129" s="3" t="inlineStr">
        <is>
          <t>Document legal support continuity if internal or external counsel is unavailable, assign RACI, define minimum controls/KPIs and collect evidence across the main business units or sites.</t>
        </is>
      </c>
      <c r="G129" s="3" t="inlineStr">
        <is>
          <t>Standardize legal support continuity if internal or external counsel is unavailable across the organization, close coverage gaps, link it to crisis scenarios and train accountable roles.</t>
        </is>
      </c>
      <c r="H129" s="3" t="inlineStr">
        <is>
          <t>Measure legal support continuity if internal or external counsel is unavailable, review it periodically, test it against disruption scenarios and integrate it with dependent processes or systems.</t>
        </is>
      </c>
      <c r="I129" s="3" t="inlineStr">
        <is>
          <t>Optimize and automate legal support continuity if internal or external counsel is unavailable where practical, use leading indicators, run periodic stress tests and update the crisis playbook.</t>
        </is>
      </c>
      <c r="J129" s="3" t="inlineStr">
        <is>
          <t>Maintain maturity for legal support continuity if internal or external counsel is unavailable. Monitor drift, keep evidence current, benchmark externally and refresh tests after major changes.</t>
        </is>
      </c>
      <c r="K129" s="3" t="inlineStr">
        <is>
          <t>Reduces exposure to Regulatory/legal shock; Contractual exposure; Data breach; improves Compliance maturity, continuity and management visibility.</t>
        </is>
      </c>
      <c r="L129" s="3" t="n">
        <v>4</v>
      </c>
      <c r="M129" s="3" t="n">
        <v>4</v>
      </c>
      <c r="N129" s="3" t="n">
        <v>3</v>
      </c>
      <c r="O129" s="3" t="n">
        <v>2</v>
      </c>
      <c r="P129" s="3" t="n">
        <v>1</v>
      </c>
      <c r="Q129" s="3" t="n">
        <v>1</v>
      </c>
      <c r="R129" s="3" t="inlineStr">
        <is>
          <t>ISO 37301; ISO 31000; ISO 37001; ISO/IEC 27701; GDPR; contract management best practices</t>
        </is>
      </c>
      <c r="S129" s="3" t="inlineStr">
        <is>
          <t>Policy/SOP; owner/RACI; system report; dashboard; contracts; test records; incident history; interview evidence related to legal support continuity if internal or external counsel is unavailable.</t>
        </is>
      </c>
      <c r="T129" s="3" t="inlineStr">
        <is>
          <t>Regulatory/legal shock; Contractual exposure; Data breach</t>
        </is>
      </c>
      <c r="U129" s="3" t="inlineStr">
        <is>
          <t>Legal / Compliance</t>
        </is>
      </c>
      <c r="V129" s="3" t="inlineStr">
        <is>
          <t>Legal Risk!10</t>
        </is>
      </c>
    </row>
    <row r="130" ht="85.5" customHeight="1" s="209">
      <c r="A130" s="3" t="inlineStr">
        <is>
          <t>LEGA-007</t>
        </is>
      </c>
      <c r="B130" s="3" t="inlineStr">
        <is>
          <t>Legal Risk</t>
        </is>
      </c>
      <c r="C130" s="3" t="inlineStr">
        <is>
          <t>Contracts</t>
        </is>
      </c>
      <c r="D130" s="3" t="inlineStr">
        <is>
          <t>How mature is the organization in managing complete contract register for customers, suppliers, leases, loans, employment, insurance and IP, including ownership, evidence, metrics, fallback procedures and crisis stress testing?</t>
        </is>
      </c>
      <c r="E130" s="3" t="inlineStr">
        <is>
          <t>Establish a basic owner and inventory for complete contract register for customers, suppliers, leases, loans, employment, insurance and IP. Define minimum policy, evidence location and immediate crisis relevance.</t>
        </is>
      </c>
      <c r="F130" s="3" t="inlineStr">
        <is>
          <t>Document complete contract register for customers, suppliers, leases, loans, employment, insurance and IP, assign RACI, define minimum controls/KPIs and collect evidence across the main business units or sites.</t>
        </is>
      </c>
      <c r="G130" s="3" t="inlineStr">
        <is>
          <t>Standardize complete contract register for customers, suppliers, leases, loans, employment, insurance and IP across the organization, close coverage gaps, link it to crisis scenarios and train accountable roles.</t>
        </is>
      </c>
      <c r="H130" s="3" t="inlineStr">
        <is>
          <t>Measure complete contract register for customers, suppliers, leases, loans, employment, insurance and IP, review it periodically, test it against disruption scenarios and integrate it with dependent processes or systems.</t>
        </is>
      </c>
      <c r="I130" s="3" t="inlineStr">
        <is>
          <t>Optimize and automate complete contract register for customers, suppliers, leases, loans, employment, insurance and IP where practical, use leading indicators, run periodic stress tests and update the crisis playbook.</t>
        </is>
      </c>
      <c r="J130" s="3" t="inlineStr">
        <is>
          <t>Maintain maturity for complete contract register for customers, suppliers, leases, loans, employment, insurance and IP. Monitor drift, keep evidence current, benchmark externally and refresh tests after major changes.</t>
        </is>
      </c>
      <c r="K130" s="3" t="inlineStr">
        <is>
          <t>Reduces exposure to Regulatory/legal shock; Contractual exposure; Data breach; improves Contracts maturity, continuity and management visibility.</t>
        </is>
      </c>
      <c r="L130" s="3" t="n">
        <v>4</v>
      </c>
      <c r="M130" s="3" t="n">
        <v>4</v>
      </c>
      <c r="N130" s="3" t="n">
        <v>3</v>
      </c>
      <c r="O130" s="3" t="n">
        <v>2</v>
      </c>
      <c r="P130" s="3" t="n">
        <v>1</v>
      </c>
      <c r="Q130" s="3" t="n">
        <v>1</v>
      </c>
      <c r="R130" s="3" t="inlineStr">
        <is>
          <t>ISO 37301; ISO 31000; ISO 37001; ISO/IEC 27701; GDPR; contract management best practices</t>
        </is>
      </c>
      <c r="S130" s="3" t="inlineStr">
        <is>
          <t>Policy/SOP; owner/RACI; system report; dashboard; contracts; test records; incident history; interview evidence related to complete contract register for customers, suppliers, leases, loans, employment, insurance and IP.</t>
        </is>
      </c>
      <c r="T130" s="3" t="inlineStr">
        <is>
          <t>Regulatory/legal shock; Contractual exposure; Data breach</t>
        </is>
      </c>
      <c r="U130" s="3" t="inlineStr">
        <is>
          <t>Legal / Compliance</t>
        </is>
      </c>
      <c r="V130" s="3" t="inlineStr">
        <is>
          <t>Legal Risk!11</t>
        </is>
      </c>
    </row>
    <row r="131" ht="85.5" customHeight="1" s="209">
      <c r="A131" s="3" t="inlineStr">
        <is>
          <t>LEGA-008</t>
        </is>
      </c>
      <c r="B131" s="3" t="inlineStr">
        <is>
          <t>Legal Risk</t>
        </is>
      </c>
      <c r="C131" s="3" t="inlineStr">
        <is>
          <t>Contracts</t>
        </is>
      </c>
      <c r="D131" s="3" t="inlineStr">
        <is>
          <t>How mature is the organization in managing analysis of force majeure, hardship, termination, liability and continuity clauses in critical contracts, including ownership, evidence, metrics, fallback procedures and crisis stress testing?</t>
        </is>
      </c>
      <c r="E131" s="3" t="inlineStr">
        <is>
          <t>Establish a basic owner and inventory for analysis of force majeure, hardship, termination, liability and continuity clauses in critical contracts. Define minimum policy, evidence location and immediate crisis relevance.</t>
        </is>
      </c>
      <c r="F131" s="3" t="inlineStr">
        <is>
          <t>Document analysis of force majeure, hardship, termination, liability and continuity clauses in critical contracts, assign RACI, define minimum controls/KPIs and collect evidence across the main business units or sites.</t>
        </is>
      </c>
      <c r="G131" s="3" t="inlineStr">
        <is>
          <t>Standardize analysis of force majeure, hardship, termination, liability and continuity clauses in critical contracts across the organization, close coverage gaps, link it to crisis scenarios and train accountable roles.</t>
        </is>
      </c>
      <c r="H131" s="3" t="inlineStr">
        <is>
          <t>Measure analysis of force majeure, hardship, termination, liability and continuity clauses in critical contracts, review it periodically, test it against disruption scenarios and integrate it with dependent processes or systems.</t>
        </is>
      </c>
      <c r="I131" s="3" t="inlineStr">
        <is>
          <t>Optimize and automate analysis of force majeure, hardship, termination, liability and continuity clauses in critical contracts where practical, use leading indicators, run periodic stress tests and update the crisis playbook.</t>
        </is>
      </c>
      <c r="J131" s="3" t="inlineStr">
        <is>
          <t>Maintain maturity for analysis of force majeure, hardship, termination, liability and continuity clauses in critical contracts. Monitor drift, keep evidence current, benchmark externally and refresh tests after major changes.</t>
        </is>
      </c>
      <c r="K131" s="3" t="inlineStr">
        <is>
          <t>Reduces exposure to Regulatory/legal shock; Contractual exposure; Data breach; improves Contracts maturity, continuity and management visibility.</t>
        </is>
      </c>
      <c r="L131" s="3" t="n">
        <v>5</v>
      </c>
      <c r="M131" s="3" t="n">
        <v>5</v>
      </c>
      <c r="N131" s="3" t="n">
        <v>4</v>
      </c>
      <c r="O131" s="3" t="n">
        <v>3</v>
      </c>
      <c r="P131" s="3" t="n">
        <v>2</v>
      </c>
      <c r="Q131" s="3" t="n">
        <v>1</v>
      </c>
      <c r="R131" s="3" t="inlineStr">
        <is>
          <t>ISO 37301; ISO 31000; ISO 37001; ISO/IEC 27701; GDPR; contract management best practices</t>
        </is>
      </c>
      <c r="S131" s="3" t="inlineStr">
        <is>
          <t>Policy/SOP; owner/RACI; system report; dashboard; contracts; test records; incident history; interview evidence related to analysis of force majeure, hardship, termination, liability and continuity clauses in critical contracts.</t>
        </is>
      </c>
      <c r="T131" s="3" t="inlineStr">
        <is>
          <t>Regulatory/legal shock; Contractual exposure; Data breach</t>
        </is>
      </c>
      <c r="U131" s="3" t="inlineStr">
        <is>
          <t>Legal / Compliance</t>
        </is>
      </c>
      <c r="V131" s="3" t="inlineStr">
        <is>
          <t>Legal Risk!12</t>
        </is>
      </c>
    </row>
    <row r="132" ht="85.5" customHeight="1" s="209">
      <c r="A132" s="3" t="inlineStr">
        <is>
          <t>LEGA-009</t>
        </is>
      </c>
      <c r="B132" s="3" t="inlineStr">
        <is>
          <t>Legal Risk</t>
        </is>
      </c>
      <c r="C132" s="3" t="inlineStr">
        <is>
          <t>Contracts</t>
        </is>
      </c>
      <c r="D132" s="3" t="inlineStr">
        <is>
          <t>How mature is the organization in managing customer SLA obligations, penalties, notification timelines and service credits during disruption, including ownership, evidence, metrics, fallback procedures and crisis stress testing?</t>
        </is>
      </c>
      <c r="E132" s="3" t="inlineStr">
        <is>
          <t>Establish a basic owner and inventory for customer SLA obligations, penalties, notification timelines and service credits during disruption. Define minimum policy, evidence location and immediate crisis relevance.</t>
        </is>
      </c>
      <c r="F132" s="3" t="inlineStr">
        <is>
          <t>Document customer SLA obligations, penalties, notification timelines and service credits during disruption, assign RACI, define minimum controls/KPIs and collect evidence across the main business units or sites.</t>
        </is>
      </c>
      <c r="G132" s="3" t="inlineStr">
        <is>
          <t>Standardize customer SLA obligations, penalties, notification timelines and service credits during disruption across the organization, close coverage gaps, link it to crisis scenarios and train accountable roles.</t>
        </is>
      </c>
      <c r="H132" s="3" t="inlineStr">
        <is>
          <t>Measure customer SLA obligations, penalties, notification timelines and service credits during disruption, review it periodically, test it against disruption scenarios and integrate it with dependent processes or systems.</t>
        </is>
      </c>
      <c r="I132" s="3" t="inlineStr">
        <is>
          <t>Optimize and automate customer SLA obligations, penalties, notification timelines and service credits during disruption where practical, use leading indicators, run periodic stress tests and update the crisis playbook.</t>
        </is>
      </c>
      <c r="J132" s="3" t="inlineStr">
        <is>
          <t>Maintain maturity for customer SLA obligations, penalties, notification timelines and service credits during disruption. Monitor drift, keep evidence current, benchmark externally and refresh tests after major changes.</t>
        </is>
      </c>
      <c r="K132" s="3" t="inlineStr">
        <is>
          <t>Reduces exposure to Regulatory/legal shock; Contractual exposure; Data breach; improves Contracts maturity, continuity and management visibility.</t>
        </is>
      </c>
      <c r="L132" s="3" t="n">
        <v>4</v>
      </c>
      <c r="M132" s="3" t="n">
        <v>4</v>
      </c>
      <c r="N132" s="3" t="n">
        <v>3</v>
      </c>
      <c r="O132" s="3" t="n">
        <v>2</v>
      </c>
      <c r="P132" s="3" t="n">
        <v>1</v>
      </c>
      <c r="Q132" s="3" t="n">
        <v>1</v>
      </c>
      <c r="R132" s="3" t="inlineStr">
        <is>
          <t>ISO 37301; ISO 31000; ISO 37001; ISO/IEC 27701; GDPR; contract management best practices</t>
        </is>
      </c>
      <c r="S132" s="3" t="inlineStr">
        <is>
          <t>Policy/SOP; owner/RACI; system report; dashboard; contracts; test records; incident history; interview evidence related to customer SLA obligations, penalties, notification timelines and service credits during disruption.</t>
        </is>
      </c>
      <c r="T132" s="3" t="inlineStr">
        <is>
          <t>Regulatory/legal shock; Contractual exposure; Data breach</t>
        </is>
      </c>
      <c r="U132" s="3" t="inlineStr">
        <is>
          <t>Legal / Compliance</t>
        </is>
      </c>
      <c r="V132" s="3" t="inlineStr">
        <is>
          <t>Legal Risk!13</t>
        </is>
      </c>
    </row>
    <row r="133" ht="85.5" customHeight="1" s="209">
      <c r="A133" s="3" t="inlineStr">
        <is>
          <t>LEGA-010</t>
        </is>
      </c>
      <c r="B133" s="3" t="inlineStr">
        <is>
          <t>Legal Risk</t>
        </is>
      </c>
      <c r="C133" s="3" t="inlineStr">
        <is>
          <t>Contracts</t>
        </is>
      </c>
      <c r="D133" s="3" t="inlineStr">
        <is>
          <t>How mature is the organization in managing supplier continuity, security, audit, subcontractor and incident notification clauses, including ownership, evidence, metrics, fallback procedures and crisis stress testing?</t>
        </is>
      </c>
      <c r="E133" s="3" t="inlineStr">
        <is>
          <t>Establish a basic owner and inventory for supplier continuity, security, audit, subcontractor and incident notification clauses. Define minimum policy, evidence location and immediate crisis relevance.</t>
        </is>
      </c>
      <c r="F133" s="3" t="inlineStr">
        <is>
          <t>Document supplier continuity, security, audit, subcontractor and incident notification clauses, assign RACI, define minimum controls/KPIs and collect evidence across the main business units or sites.</t>
        </is>
      </c>
      <c r="G133" s="3" t="inlineStr">
        <is>
          <t>Standardize supplier continuity, security, audit, subcontractor and incident notification clauses across the organization, close coverage gaps, link it to crisis scenarios and train accountable roles.</t>
        </is>
      </c>
      <c r="H133" s="3" t="inlineStr">
        <is>
          <t>Measure supplier continuity, security, audit, subcontractor and incident notification clauses, review it periodically, test it against disruption scenarios and integrate it with dependent processes or systems.</t>
        </is>
      </c>
      <c r="I133" s="3" t="inlineStr">
        <is>
          <t>Optimize and automate supplier continuity, security, audit, subcontractor and incident notification clauses where practical, use leading indicators, run periodic stress tests and update the crisis playbook.</t>
        </is>
      </c>
      <c r="J133" s="3" t="inlineStr">
        <is>
          <t>Maintain maturity for supplier continuity, security, audit, subcontractor and incident notification clauses. Monitor drift, keep evidence current, benchmark externally and refresh tests after major changes.</t>
        </is>
      </c>
      <c r="K133" s="3" t="inlineStr">
        <is>
          <t>Reduces exposure to Regulatory/legal shock; Contractual exposure; Data breach; improves Contracts maturity, continuity and management visibility.</t>
        </is>
      </c>
      <c r="L133" s="3" t="n">
        <v>4</v>
      </c>
      <c r="M133" s="3" t="n">
        <v>4</v>
      </c>
      <c r="N133" s="3" t="n">
        <v>3</v>
      </c>
      <c r="O133" s="3" t="n">
        <v>2</v>
      </c>
      <c r="P133" s="3" t="n">
        <v>1</v>
      </c>
      <c r="Q133" s="3" t="n">
        <v>1</v>
      </c>
      <c r="R133" s="3" t="inlineStr">
        <is>
          <t>ISO 37301; ISO 31000; ISO 37001; ISO/IEC 27701; GDPR; contract management best practices</t>
        </is>
      </c>
      <c r="S133" s="3" t="inlineStr">
        <is>
          <t>Policy/SOP; owner/RACI; system report; dashboard; contracts; test records; incident history; interview evidence related to supplier continuity, security, audit, subcontractor and incident notification clauses.</t>
        </is>
      </c>
      <c r="T133" s="3" t="inlineStr">
        <is>
          <t>Regulatory/legal shock; Contractual exposure; Data breach</t>
        </is>
      </c>
      <c r="U133" s="3" t="inlineStr">
        <is>
          <t>Legal / Compliance</t>
        </is>
      </c>
      <c r="V133" s="3" t="inlineStr">
        <is>
          <t>Legal Risk!14</t>
        </is>
      </c>
    </row>
    <row r="134" ht="85.5" customHeight="1" s="209">
      <c r="A134" s="3" t="inlineStr">
        <is>
          <t>LEGA-011</t>
        </is>
      </c>
      <c r="B134" s="3" t="inlineStr">
        <is>
          <t>Legal Risk</t>
        </is>
      </c>
      <c r="C134" s="3" t="inlineStr">
        <is>
          <t>Contracts</t>
        </is>
      </c>
      <c r="D134" s="3" t="inlineStr">
        <is>
          <t>How mature is the organization in managing signatory continuity with powers of attorney, board approvals and emergency delegation, including ownership, evidence, metrics, fallback procedures and crisis stress testing?</t>
        </is>
      </c>
      <c r="E134" s="3" t="inlineStr">
        <is>
          <t>Establish a basic owner and inventory for signatory continuity with powers of attorney, board approvals and emergency delegation. Define minimum policy, evidence location and immediate crisis relevance.</t>
        </is>
      </c>
      <c r="F134" s="3" t="inlineStr">
        <is>
          <t>Document signatory continuity with powers of attorney, board approvals and emergency delegation, assign RACI, define minimum controls/KPIs and collect evidence across the main business units or sites.</t>
        </is>
      </c>
      <c r="G134" s="3" t="inlineStr">
        <is>
          <t>Standardize signatory continuity with powers of attorney, board approvals and emergency delegation across the organization, close coverage gaps, link it to crisis scenarios and train accountable roles.</t>
        </is>
      </c>
      <c r="H134" s="3" t="inlineStr">
        <is>
          <t>Measure signatory continuity with powers of attorney, board approvals and emergency delegation, review it periodically, test it against disruption scenarios and integrate it with dependent processes or systems.</t>
        </is>
      </c>
      <c r="I134" s="3" t="inlineStr">
        <is>
          <t>Optimize and automate signatory continuity with powers of attorney, board approvals and emergency delegation where practical, use leading indicators, run periodic stress tests and update the crisis playbook.</t>
        </is>
      </c>
      <c r="J134" s="3" t="inlineStr">
        <is>
          <t>Maintain maturity for signatory continuity with powers of attorney, board approvals and emergency delegation. Monitor drift, keep evidence current, benchmark externally and refresh tests after major changes.</t>
        </is>
      </c>
      <c r="K134" s="3" t="inlineStr">
        <is>
          <t>Reduces exposure to Regulatory/legal shock; Contractual exposure; Data breach; improves Contracts maturity, continuity and management visibility.</t>
        </is>
      </c>
      <c r="L134" s="3" t="n">
        <v>4</v>
      </c>
      <c r="M134" s="3" t="n">
        <v>4</v>
      </c>
      <c r="N134" s="3" t="n">
        <v>3</v>
      </c>
      <c r="O134" s="3" t="n">
        <v>2</v>
      </c>
      <c r="P134" s="3" t="n">
        <v>1</v>
      </c>
      <c r="Q134" s="3" t="n">
        <v>1</v>
      </c>
      <c r="R134" s="3" t="inlineStr">
        <is>
          <t>ISO 37301; ISO 31000; ISO 37001; ISO/IEC 27701; GDPR; contract management best practices</t>
        </is>
      </c>
      <c r="S134" s="3" t="inlineStr">
        <is>
          <t>Policy/SOP; owner/RACI; system report; dashboard; contracts; test records; incident history; interview evidence related to signatory continuity with powers of attorney, board approvals and emergency delegation.</t>
        </is>
      </c>
      <c r="T134" s="3" t="inlineStr">
        <is>
          <t>Regulatory/legal shock; Contractual exposure; Data breach</t>
        </is>
      </c>
      <c r="U134" s="3" t="inlineStr">
        <is>
          <t>Legal / Compliance</t>
        </is>
      </c>
      <c r="V134" s="3" t="inlineStr">
        <is>
          <t>Legal Risk!15</t>
        </is>
      </c>
    </row>
    <row r="135" ht="71.25" customHeight="1" s="209">
      <c r="A135" s="3" t="inlineStr">
        <is>
          <t>LEGA-012</t>
        </is>
      </c>
      <c r="B135" s="3" t="inlineStr">
        <is>
          <t>Legal Risk</t>
        </is>
      </c>
      <c r="C135" s="3" t="inlineStr">
        <is>
          <t>Contracts</t>
        </is>
      </c>
      <c r="D135" s="3" t="inlineStr">
        <is>
          <t>How mature is the organization in managing insurance claims process linked to incident evidence collection, including ownership, evidence, metrics, fallback procedures and crisis stress testing?</t>
        </is>
      </c>
      <c r="E135" s="3" t="inlineStr">
        <is>
          <t>Establish a basic owner and inventory for insurance claims process linked to incident evidence collection. Define minimum policy, evidence location and immediate crisis relevance.</t>
        </is>
      </c>
      <c r="F135" s="3" t="inlineStr">
        <is>
          <t>Document insurance claims process linked to incident evidence collection, assign RACI, define minimum controls/KPIs and collect evidence across the main business units or sites.</t>
        </is>
      </c>
      <c r="G135" s="3" t="inlineStr">
        <is>
          <t>Standardize insurance claims process linked to incident evidence collection across the organization, close coverage gaps, link it to crisis scenarios and train accountable roles.</t>
        </is>
      </c>
      <c r="H135" s="3" t="inlineStr">
        <is>
          <t>Measure insurance claims process linked to incident evidence collection, review it periodically, test it against disruption scenarios and integrate it with dependent processes or systems.</t>
        </is>
      </c>
      <c r="I135" s="3" t="inlineStr">
        <is>
          <t>Optimize and automate insurance claims process linked to incident evidence collection where practical, use leading indicators, run periodic stress tests and update the crisis playbook.</t>
        </is>
      </c>
      <c r="J135" s="3" t="inlineStr">
        <is>
          <t>Maintain maturity for insurance claims process linked to incident evidence collection. Monitor drift, keep evidence current, benchmark externally and refresh tests after major changes.</t>
        </is>
      </c>
      <c r="K135" s="3" t="inlineStr">
        <is>
          <t>Reduces exposure to Regulatory/legal shock; Contractual exposure; Data breach; improves Contracts maturity, continuity and management visibility.</t>
        </is>
      </c>
      <c r="L135" s="3" t="n">
        <v>4</v>
      </c>
      <c r="M135" s="3" t="n">
        <v>4</v>
      </c>
      <c r="N135" s="3" t="n">
        <v>3</v>
      </c>
      <c r="O135" s="3" t="n">
        <v>2</v>
      </c>
      <c r="P135" s="3" t="n">
        <v>1</v>
      </c>
      <c r="Q135" s="3" t="n">
        <v>1</v>
      </c>
      <c r="R135" s="3" t="inlineStr">
        <is>
          <t>ISO 37301; ISO 31000; ISO 37001; ISO/IEC 27701; GDPR; contract management best practices</t>
        </is>
      </c>
      <c r="S135" s="3" t="inlineStr">
        <is>
          <t>Policy/SOP; owner/RACI; system report; dashboard; contracts; test records; incident history; interview evidence related to insurance claims process linked to incident evidence collection.</t>
        </is>
      </c>
      <c r="T135" s="3" t="inlineStr">
        <is>
          <t>Regulatory/legal shock; Contractual exposure; Data breach</t>
        </is>
      </c>
      <c r="U135" s="3" t="inlineStr">
        <is>
          <t>Legal / Compliance</t>
        </is>
      </c>
      <c r="V135" s="3" t="inlineStr">
        <is>
          <t>Legal Risk!16</t>
        </is>
      </c>
    </row>
    <row r="136" ht="85.5" customHeight="1" s="209">
      <c r="A136" s="3" t="inlineStr">
        <is>
          <t>LEGA-013</t>
        </is>
      </c>
      <c r="B136" s="3" t="inlineStr">
        <is>
          <t>Legal Risk</t>
        </is>
      </c>
      <c r="C136" s="3" t="inlineStr">
        <is>
          <t>Data and IP</t>
        </is>
      </c>
      <c r="D136" s="3" t="inlineStr">
        <is>
          <t>How mature is the organization in managing personal data processing map by system, purpose, location, processor and transfer mechanism, including ownership, evidence, metrics, fallback procedures and crisis stress testing?</t>
        </is>
      </c>
      <c r="E136" s="3" t="inlineStr">
        <is>
          <t>Establish a basic owner and inventory for personal data processing map by system, purpose, location, processor and transfer mechanism. Define minimum policy, evidence location and immediate crisis relevance.</t>
        </is>
      </c>
      <c r="F136" s="3" t="inlineStr">
        <is>
          <t>Document personal data processing map by system, purpose, location, processor and transfer mechanism, assign RACI, define minimum controls/KPIs and collect evidence across the main business units or sites.</t>
        </is>
      </c>
      <c r="G136" s="3" t="inlineStr">
        <is>
          <t>Standardize personal data processing map by system, purpose, location, processor and transfer mechanism across the organization, close coverage gaps, link it to crisis scenarios and train accountable roles.</t>
        </is>
      </c>
      <c r="H136" s="3" t="inlineStr">
        <is>
          <t>Measure personal data processing map by system, purpose, location, processor and transfer mechanism, review it periodically, test it against disruption scenarios and integrate it with dependent processes or systems.</t>
        </is>
      </c>
      <c r="I136" s="3" t="inlineStr">
        <is>
          <t>Optimize and automate personal data processing map by system, purpose, location, processor and transfer mechanism where practical, use leading indicators, run periodic stress tests and update the crisis playbook.</t>
        </is>
      </c>
      <c r="J136" s="3" t="inlineStr">
        <is>
          <t>Maintain maturity for personal data processing map by system, purpose, location, processor and transfer mechanism. Monitor drift, keep evidence current, benchmark externally and refresh tests after major changes.</t>
        </is>
      </c>
      <c r="K136" s="3" t="inlineStr">
        <is>
          <t>Reduces exposure to Regulatory/legal shock; Contractual exposure; Data breach; improves Data and IP maturity, continuity and management visibility.</t>
        </is>
      </c>
      <c r="L136" s="3" t="n">
        <v>5</v>
      </c>
      <c r="M136" s="3" t="n">
        <v>5</v>
      </c>
      <c r="N136" s="3" t="n">
        <v>4</v>
      </c>
      <c r="O136" s="3" t="n">
        <v>3</v>
      </c>
      <c r="P136" s="3" t="n">
        <v>2</v>
      </c>
      <c r="Q136" s="3" t="n">
        <v>1</v>
      </c>
      <c r="R136" s="3" t="inlineStr">
        <is>
          <t>ISO 37301; ISO 31000; ISO 37001; ISO/IEC 27701; GDPR; contract management best practices</t>
        </is>
      </c>
      <c r="S136" s="3" t="inlineStr">
        <is>
          <t>Policy/SOP; owner/RACI; system report; dashboard; contracts; test records; incident history; interview evidence related to personal data processing map by system, purpose, location, processor and transfer mechanism.</t>
        </is>
      </c>
      <c r="T136" s="3" t="inlineStr">
        <is>
          <t>Regulatory/legal shock; Contractual exposure; Data breach</t>
        </is>
      </c>
      <c r="U136" s="3" t="inlineStr">
        <is>
          <t>Legal / Compliance</t>
        </is>
      </c>
      <c r="V136" s="3" t="inlineStr">
        <is>
          <t>Legal Risk!17</t>
        </is>
      </c>
    </row>
    <row r="137" ht="85.5" customHeight="1" s="209">
      <c r="A137" s="3" t="inlineStr">
        <is>
          <t>LEGA-014</t>
        </is>
      </c>
      <c r="B137" s="3" t="inlineStr">
        <is>
          <t>Legal Risk</t>
        </is>
      </c>
      <c r="C137" s="3" t="inlineStr">
        <is>
          <t>Data and IP</t>
        </is>
      </c>
      <c r="D137" s="3" t="inlineStr">
        <is>
          <t>How mature is the organization in managing breach notification readiness for personal data and customer contractual obligations, including ownership, evidence, metrics, fallback procedures and crisis stress testing?</t>
        </is>
      </c>
      <c r="E137" s="3" t="inlineStr">
        <is>
          <t>Establish a basic owner and inventory for breach notification readiness for personal data and customer contractual obligations. Define minimum policy, evidence location and immediate crisis relevance.</t>
        </is>
      </c>
      <c r="F137" s="3" t="inlineStr">
        <is>
          <t>Document breach notification readiness for personal data and customer contractual obligations, assign RACI, define minimum controls/KPIs and collect evidence across the main business units or sites.</t>
        </is>
      </c>
      <c r="G137" s="3" t="inlineStr">
        <is>
          <t>Standardize breach notification readiness for personal data and customer contractual obligations across the organization, close coverage gaps, link it to crisis scenarios and train accountable roles.</t>
        </is>
      </c>
      <c r="H137" s="3" t="inlineStr">
        <is>
          <t>Measure breach notification readiness for personal data and customer contractual obligations, review it periodically, test it against disruption scenarios and integrate it with dependent processes or systems.</t>
        </is>
      </c>
      <c r="I137" s="3" t="inlineStr">
        <is>
          <t>Optimize and automate breach notification readiness for personal data and customer contractual obligations where practical, use leading indicators, run periodic stress tests and update the crisis playbook.</t>
        </is>
      </c>
      <c r="J137" s="3" t="inlineStr">
        <is>
          <t>Maintain maturity for breach notification readiness for personal data and customer contractual obligations. Monitor drift, keep evidence current, benchmark externally and refresh tests after major changes.</t>
        </is>
      </c>
      <c r="K137" s="3" t="inlineStr">
        <is>
          <t>Reduces exposure to Regulatory/legal shock; Contractual exposure; Data breach; improves Data and IP maturity, continuity and management visibility.</t>
        </is>
      </c>
      <c r="L137" s="3" t="n">
        <v>4</v>
      </c>
      <c r="M137" s="3" t="n">
        <v>4</v>
      </c>
      <c r="N137" s="3" t="n">
        <v>3</v>
      </c>
      <c r="O137" s="3" t="n">
        <v>2</v>
      </c>
      <c r="P137" s="3" t="n">
        <v>1</v>
      </c>
      <c r="Q137" s="3" t="n">
        <v>1</v>
      </c>
      <c r="R137" s="3" t="inlineStr">
        <is>
          <t>ISO 37301; ISO 31000; ISO 37001; ISO/IEC 27701; GDPR; contract management best practices</t>
        </is>
      </c>
      <c r="S137" s="3" t="inlineStr">
        <is>
          <t>Policy/SOP; owner/RACI; system report; dashboard; contracts; test records; incident history; interview evidence related to breach notification readiness for personal data and customer contractual obligations.</t>
        </is>
      </c>
      <c r="T137" s="3" t="inlineStr">
        <is>
          <t>Regulatory/legal shock; Contractual exposure; Data breach</t>
        </is>
      </c>
      <c r="U137" s="3" t="inlineStr">
        <is>
          <t>Legal / Compliance</t>
        </is>
      </c>
      <c r="V137" s="3" t="inlineStr">
        <is>
          <t>Legal Risk!18</t>
        </is>
      </c>
    </row>
    <row r="138" ht="85.5" customHeight="1" s="209">
      <c r="A138" s="3" t="inlineStr">
        <is>
          <t>LEGA-015</t>
        </is>
      </c>
      <c r="B138" s="3" t="inlineStr">
        <is>
          <t>Legal Risk</t>
        </is>
      </c>
      <c r="C138" s="3" t="inlineStr">
        <is>
          <t>Data and IP</t>
        </is>
      </c>
      <c r="D138" s="3" t="inlineStr">
        <is>
          <t>How mature is the organization in managing data processing agreements with vendors covering security, incident response, sub-processors and continuity, including ownership, evidence, metrics, fallback procedures and crisis stress testing?</t>
        </is>
      </c>
      <c r="E138" s="3" t="inlineStr">
        <is>
          <t>Establish a basic owner and inventory for data processing agreements with vendors covering security, incident response, sub-processors and continuity. Define minimum policy, evidence location and immediate crisis relevance.</t>
        </is>
      </c>
      <c r="F138" s="3" t="inlineStr">
        <is>
          <t>Document data processing agreements with vendors covering security, incident response, sub-processors and continuity, assign RACI, define minimum controls/KPIs and collect evidence across the main business units or sites.</t>
        </is>
      </c>
      <c r="G138" s="3" t="inlineStr">
        <is>
          <t>Standardize data processing agreements with vendors covering security, incident response, sub-processors and continuity across the organization, close coverage gaps, link it to crisis scenarios and train accountable roles.</t>
        </is>
      </c>
      <c r="H138" s="3" t="inlineStr">
        <is>
          <t>Measure data processing agreements with vendors covering security, incident response, sub-processors and continuity, review it periodically, test it against disruption scenarios and integrate it with dependent processes or systems.</t>
        </is>
      </c>
      <c r="I138" s="3" t="inlineStr">
        <is>
          <t>Optimize and automate data processing agreements with vendors covering security, incident response, sub-processors and continuity where practical, use leading indicators, run periodic stress tests and update the crisis playbook.</t>
        </is>
      </c>
      <c r="J138" s="3" t="inlineStr">
        <is>
          <t>Maintain maturity for data processing agreements with vendors covering security, incident response, sub-processors and continuity. Monitor drift, keep evidence current, benchmark externally and refresh tests after major changes.</t>
        </is>
      </c>
      <c r="K138" s="3" t="inlineStr">
        <is>
          <t>Reduces exposure to Regulatory/legal shock; Contractual exposure; Data breach; improves Data and IP maturity, continuity and management visibility.</t>
        </is>
      </c>
      <c r="L138" s="3" t="n">
        <v>4</v>
      </c>
      <c r="M138" s="3" t="n">
        <v>4</v>
      </c>
      <c r="N138" s="3" t="n">
        <v>3</v>
      </c>
      <c r="O138" s="3" t="n">
        <v>2</v>
      </c>
      <c r="P138" s="3" t="n">
        <v>1</v>
      </c>
      <c r="Q138" s="3" t="n">
        <v>1</v>
      </c>
      <c r="R138" s="3" t="inlineStr">
        <is>
          <t>ISO 37301; ISO 31000; ISO 37001; ISO/IEC 27701; GDPR; contract management best practices</t>
        </is>
      </c>
      <c r="S138" s="3" t="inlineStr">
        <is>
          <t>Policy/SOP; owner/RACI; system report; dashboard; contracts; test records; incident history; interview evidence related to data processing agreements with vendors covering security, incident response, sub-processors and continuity.</t>
        </is>
      </c>
      <c r="T138" s="3" t="inlineStr">
        <is>
          <t>Regulatory/legal shock; Contractual exposure; Data breach</t>
        </is>
      </c>
      <c r="U138" s="3" t="inlineStr">
        <is>
          <t>Legal / Compliance</t>
        </is>
      </c>
      <c r="V138" s="3" t="inlineStr">
        <is>
          <t>Legal Risk!19</t>
        </is>
      </c>
    </row>
    <row r="139" ht="85.5" customHeight="1" s="209">
      <c r="A139" s="3" t="inlineStr">
        <is>
          <t>LEGA-016</t>
        </is>
      </c>
      <c r="B139" s="3" t="inlineStr">
        <is>
          <t>Legal Risk</t>
        </is>
      </c>
      <c r="C139" s="3" t="inlineStr">
        <is>
          <t>Data and IP</t>
        </is>
      </c>
      <c r="D139" s="3" t="inlineStr">
        <is>
          <t>How mature is the organization in managing intellectual property ownership for employees, contractors, suppliers, software, designs, data and AI models, including ownership, evidence, metrics, fallback procedures and crisis stress testing?</t>
        </is>
      </c>
      <c r="E139" s="3" t="inlineStr">
        <is>
          <t>Establish a basic owner and inventory for intellectual property ownership for employees, contractors, suppliers, software, designs, data and AI models. Define minimum policy, evidence location and immediate crisis relevance.</t>
        </is>
      </c>
      <c r="F139" s="3" t="inlineStr">
        <is>
          <t>Document intellectual property ownership for employees, contractors, suppliers, software, designs, data and AI models, assign RACI, define minimum controls/KPIs and collect evidence across the main business units or sites.</t>
        </is>
      </c>
      <c r="G139" s="3" t="inlineStr">
        <is>
          <t>Standardize intellectual property ownership for employees, contractors, suppliers, software, designs, data and AI models across the organization, close coverage gaps, link it to crisis scenarios and train accountable roles.</t>
        </is>
      </c>
      <c r="H139" s="3" t="inlineStr">
        <is>
          <t>Measure intellectual property ownership for employees, contractors, suppliers, software, designs, data and AI models, review it periodically, test it against disruption scenarios and integrate it with dependent processes or systems.</t>
        </is>
      </c>
      <c r="I139" s="3" t="inlineStr">
        <is>
          <t>Optimize and automate intellectual property ownership for employees, contractors, suppliers, software, designs, data and AI models where practical, use leading indicators, run periodic stress tests and update the crisis playbook.</t>
        </is>
      </c>
      <c r="J139" s="3" t="inlineStr">
        <is>
          <t>Maintain maturity for intellectual property ownership for employees, contractors, suppliers, software, designs, data and AI models. Monitor drift, keep evidence current, benchmark externally and refresh tests after major changes.</t>
        </is>
      </c>
      <c r="K139" s="3" t="inlineStr">
        <is>
          <t>Reduces exposure to Regulatory/legal shock; Contractual exposure; Data breach; improves Data and IP maturity, continuity and management visibility.</t>
        </is>
      </c>
      <c r="L139" s="3" t="n">
        <v>4</v>
      </c>
      <c r="M139" s="3" t="n">
        <v>4</v>
      </c>
      <c r="N139" s="3" t="n">
        <v>3</v>
      </c>
      <c r="O139" s="3" t="n">
        <v>2</v>
      </c>
      <c r="P139" s="3" t="n">
        <v>1</v>
      </c>
      <c r="Q139" s="3" t="n">
        <v>1</v>
      </c>
      <c r="R139" s="3" t="inlineStr">
        <is>
          <t>ISO 37301; ISO 31000; ISO 37001; ISO/IEC 27701; GDPR; contract management best practices</t>
        </is>
      </c>
      <c r="S139" s="3" t="inlineStr">
        <is>
          <t>Policy/SOP; owner/RACI; system report; dashboard; contracts; test records; incident history; interview evidence related to intellectual property ownership for employees, contractors, suppliers, software, designs, data and AI models.</t>
        </is>
      </c>
      <c r="T139" s="3" t="inlineStr">
        <is>
          <t>Regulatory/legal shock; Contractual exposure; Data breach</t>
        </is>
      </c>
      <c r="U139" s="3" t="inlineStr">
        <is>
          <t>Legal / Compliance</t>
        </is>
      </c>
      <c r="V139" s="3" t="inlineStr">
        <is>
          <t>Legal Risk!20</t>
        </is>
      </c>
    </row>
    <row r="140" ht="85.5" customHeight="1" s="209">
      <c r="A140" s="3" t="inlineStr">
        <is>
          <t>LEGA-017</t>
        </is>
      </c>
      <c r="B140" s="3" t="inlineStr">
        <is>
          <t>Legal Risk</t>
        </is>
      </c>
      <c r="C140" s="3" t="inlineStr">
        <is>
          <t>Data and IP</t>
        </is>
      </c>
      <c r="D140" s="3" t="inlineStr">
        <is>
          <t>How mature is the organization in managing software license and open-source compliance for critical systems and products, including ownership, evidence, metrics, fallback procedures and crisis stress testing?</t>
        </is>
      </c>
      <c r="E140" s="3" t="inlineStr">
        <is>
          <t>Establish a basic owner and inventory for software license and open-source compliance for critical systems and products. Define minimum policy, evidence location and immediate crisis relevance.</t>
        </is>
      </c>
      <c r="F140" s="3" t="inlineStr">
        <is>
          <t>Document software license and open-source compliance for critical systems and products, assign RACI, define minimum controls/KPIs and collect evidence across the main business units or sites.</t>
        </is>
      </c>
      <c r="G140" s="3" t="inlineStr">
        <is>
          <t>Standardize software license and open-source compliance for critical systems and products across the organization, close coverage gaps, link it to crisis scenarios and train accountable roles.</t>
        </is>
      </c>
      <c r="H140" s="3" t="inlineStr">
        <is>
          <t>Measure software license and open-source compliance for critical systems and products, review it periodically, test it against disruption scenarios and integrate it with dependent processes or systems.</t>
        </is>
      </c>
      <c r="I140" s="3" t="inlineStr">
        <is>
          <t>Optimize and automate software license and open-source compliance for critical systems and products where practical, use leading indicators, run periodic stress tests and update the crisis playbook.</t>
        </is>
      </c>
      <c r="J140" s="3" t="inlineStr">
        <is>
          <t>Maintain maturity for software license and open-source compliance for critical systems and products. Monitor drift, keep evidence current, benchmark externally and refresh tests after major changes.</t>
        </is>
      </c>
      <c r="K140" s="3" t="inlineStr">
        <is>
          <t>Reduces exposure to Regulatory/legal shock; Contractual exposure; Data breach; improves Data and IP maturity, continuity and management visibility.</t>
        </is>
      </c>
      <c r="L140" s="3" t="n">
        <v>4</v>
      </c>
      <c r="M140" s="3" t="n">
        <v>4</v>
      </c>
      <c r="N140" s="3" t="n">
        <v>3</v>
      </c>
      <c r="O140" s="3" t="n">
        <v>2</v>
      </c>
      <c r="P140" s="3" t="n">
        <v>1</v>
      </c>
      <c r="Q140" s="3" t="n">
        <v>1</v>
      </c>
      <c r="R140" s="3" t="inlineStr">
        <is>
          <t>ISO 37301; ISO 31000; ISO 37001; ISO/IEC 27701; GDPR; contract management best practices</t>
        </is>
      </c>
      <c r="S140" s="3" t="inlineStr">
        <is>
          <t>Policy/SOP; owner/RACI; system report; dashboard; contracts; test records; incident history; interview evidence related to software license and open-source compliance for critical systems and products.</t>
        </is>
      </c>
      <c r="T140" s="3" t="inlineStr">
        <is>
          <t>Regulatory/legal shock; Contractual exposure; Data breach</t>
        </is>
      </c>
      <c r="U140" s="3" t="inlineStr">
        <is>
          <t>Legal / Compliance</t>
        </is>
      </c>
      <c r="V140" s="3" t="inlineStr">
        <is>
          <t>Legal Risk!21</t>
        </is>
      </c>
    </row>
    <row r="141" ht="85.5" customHeight="1" s="209">
      <c r="A141" s="3" t="inlineStr">
        <is>
          <t>LEGA-018</t>
        </is>
      </c>
      <c r="B141" s="3" t="inlineStr">
        <is>
          <t>Legal Risk</t>
        </is>
      </c>
      <c r="C141" s="3" t="inlineStr">
        <is>
          <t>Data and IP</t>
        </is>
      </c>
      <c r="D141" s="3" t="inlineStr">
        <is>
          <t>How mature is the organization in managing records retention rules for legal, finance, HR, contracts, safety, customer and technical records, including ownership, evidence, metrics, fallback procedures and crisis stress testing?</t>
        </is>
      </c>
      <c r="E141" s="3" t="inlineStr">
        <is>
          <t>Establish a basic owner and inventory for records retention rules for legal, finance, HR, contracts, safety, customer and technical records. Define minimum policy, evidence location and immediate crisis relevance.</t>
        </is>
      </c>
      <c r="F141" s="3" t="inlineStr">
        <is>
          <t>Document records retention rules for legal, finance, HR, contracts, safety, customer and technical records, assign RACI, define minimum controls/KPIs and collect evidence across the main business units or sites.</t>
        </is>
      </c>
      <c r="G141" s="3" t="inlineStr">
        <is>
          <t>Standardize records retention rules for legal, finance, HR, contracts, safety, customer and technical records across the organization, close coverage gaps, link it to crisis scenarios and train accountable roles.</t>
        </is>
      </c>
      <c r="H141" s="3" t="inlineStr">
        <is>
          <t>Measure records retention rules for legal, finance, HR, contracts, safety, customer and technical records, review it periodically, test it against disruption scenarios and integrate it with dependent processes or systems.</t>
        </is>
      </c>
      <c r="I141" s="3" t="inlineStr">
        <is>
          <t>Optimize and automate records retention rules for legal, finance, HR, contracts, safety, customer and technical records where practical, use leading indicators, run periodic stress tests and update the crisis playbook.</t>
        </is>
      </c>
      <c r="J141" s="3" t="inlineStr">
        <is>
          <t>Maintain maturity for records retention rules for legal, finance, HR, contracts, safety, customer and technical records. Monitor drift, keep evidence current, benchmark externally and refresh tests after major changes.</t>
        </is>
      </c>
      <c r="K141" s="3" t="inlineStr">
        <is>
          <t>Reduces exposure to Regulatory/legal shock; Contractual exposure; Data breach; improves Data and IP maturity, continuity and management visibility.</t>
        </is>
      </c>
      <c r="L141" s="3" t="n">
        <v>4</v>
      </c>
      <c r="M141" s="3" t="n">
        <v>4</v>
      </c>
      <c r="N141" s="3" t="n">
        <v>3</v>
      </c>
      <c r="O141" s="3" t="n">
        <v>2</v>
      </c>
      <c r="P141" s="3" t="n">
        <v>1</v>
      </c>
      <c r="Q141" s="3" t="n">
        <v>1</v>
      </c>
      <c r="R141" s="3" t="inlineStr">
        <is>
          <t>ISO 37301; ISO 31000; ISO 37001; ISO/IEC 27701; GDPR; contract management best practices</t>
        </is>
      </c>
      <c r="S141" s="3" t="inlineStr">
        <is>
          <t>Policy/SOP; owner/RACI; system report; dashboard; contracts; test records; incident history; interview evidence related to records retention rules for legal, finance, HR, contracts, safety, customer and technical records.</t>
        </is>
      </c>
      <c r="T141" s="3" t="inlineStr">
        <is>
          <t>Regulatory/legal shock; Contractual exposure; Data breach</t>
        </is>
      </c>
      <c r="U141" s="3" t="inlineStr">
        <is>
          <t>Legal / Compliance</t>
        </is>
      </c>
      <c r="V141" s="3" t="inlineStr">
        <is>
          <t>Legal Risk!22</t>
        </is>
      </c>
    </row>
    <row r="142" ht="85.5" customHeight="1" s="209">
      <c r="A142" s="3" t="inlineStr">
        <is>
          <t>LEGA-019</t>
        </is>
      </c>
      <c r="B142" s="3" t="inlineStr">
        <is>
          <t>Legal Risk</t>
        </is>
      </c>
      <c r="C142" s="3" t="inlineStr">
        <is>
          <t>Employment law</t>
        </is>
      </c>
      <c r="D142" s="3" t="inlineStr">
        <is>
          <t>How mature is the organization in managing legal options for relocation, evacuation, furlough, flexible work, terminations or hardship support by country, including ownership, evidence, metrics, fallback procedures and crisis stress testing?</t>
        </is>
      </c>
      <c r="E142" s="3" t="inlineStr">
        <is>
          <t>Establish a basic owner and inventory for legal options for relocation, evacuation, furlough, flexible work, terminations or hardship support by country. Define minimum policy, evidence location and immediate crisis relevance.</t>
        </is>
      </c>
      <c r="F142" s="3" t="inlineStr">
        <is>
          <t>Document legal options for relocation, evacuation, furlough, flexible work, terminations or hardship support by country, assign RACI, define minimum controls/KPIs and collect evidence across the main business units or sites.</t>
        </is>
      </c>
      <c r="G142" s="3" t="inlineStr">
        <is>
          <t>Standardize legal options for relocation, evacuation, furlough, flexible work, terminations or hardship support by country across the organization, close coverage gaps, link it to crisis scenarios and train accountable roles.</t>
        </is>
      </c>
      <c r="H142" s="3" t="inlineStr">
        <is>
          <t>Measure legal options for relocation, evacuation, furlough, flexible work, terminations or hardship support by country, review it periodically, test it against disruption scenarios and integrate it with dependent processes or systems.</t>
        </is>
      </c>
      <c r="I142" s="3" t="inlineStr">
        <is>
          <t>Optimize and automate legal options for relocation, evacuation, furlough, flexible work, terminations or hardship support by country where practical, use leading indicators, run periodic stress tests and update the crisis playbook.</t>
        </is>
      </c>
      <c r="J142" s="3" t="inlineStr">
        <is>
          <t>Maintain maturity for legal options for relocation, evacuation, furlough, flexible work, terminations or hardship support by country. Monitor drift, keep evidence current, benchmark externally and refresh tests after major changes.</t>
        </is>
      </c>
      <c r="K142" s="3" t="inlineStr">
        <is>
          <t>Reduces exposure to Regulatory/legal shock; Contractual exposure; Data breach; improves Employment law maturity, continuity and management visibility.</t>
        </is>
      </c>
      <c r="L142" s="3" t="n">
        <v>4</v>
      </c>
      <c r="M142" s="3" t="n">
        <v>4</v>
      </c>
      <c r="N142" s="3" t="n">
        <v>3</v>
      </c>
      <c r="O142" s="3" t="n">
        <v>2</v>
      </c>
      <c r="P142" s="3" t="n">
        <v>1</v>
      </c>
      <c r="Q142" s="3" t="n">
        <v>1</v>
      </c>
      <c r="R142" s="3" t="inlineStr">
        <is>
          <t>ISO 37301; ISO 31000; ISO 37001; ISO/IEC 27701; GDPR; contract management best practices</t>
        </is>
      </c>
      <c r="S142" s="3" t="inlineStr">
        <is>
          <t>Policy/SOP; owner/RACI; system report; dashboard; contracts; test records; incident history; interview evidence related to legal options for relocation, evacuation, furlough, flexible work, terminations or hardship support by country.</t>
        </is>
      </c>
      <c r="T142" s="3" t="inlineStr">
        <is>
          <t>Regulatory/legal shock; Contractual exposure; Data breach</t>
        </is>
      </c>
      <c r="U142" s="3" t="inlineStr">
        <is>
          <t>Legal / Compliance</t>
        </is>
      </c>
      <c r="V142" s="3" t="inlineStr">
        <is>
          <t>Legal Risk!23</t>
        </is>
      </c>
    </row>
    <row r="143" ht="85.5" customHeight="1" s="209">
      <c r="A143" s="3" t="inlineStr">
        <is>
          <t>LEGA-020</t>
        </is>
      </c>
      <c r="B143" s="3" t="inlineStr">
        <is>
          <t>Legal Risk</t>
        </is>
      </c>
      <c r="C143" s="3" t="inlineStr">
        <is>
          <t>Employment law</t>
        </is>
      </c>
      <c r="D143" s="3" t="inlineStr">
        <is>
          <t>How mature is the organization in managing labor relations, works council or union obligations during restructuring or crisis measures, including ownership, evidence, metrics, fallback procedures and crisis stress testing?</t>
        </is>
      </c>
      <c r="E143" s="3" t="inlineStr">
        <is>
          <t>Establish a basic owner and inventory for labor relations, works council or union obligations during restructuring or crisis measures. Define minimum policy, evidence location and immediate crisis relevance.</t>
        </is>
      </c>
      <c r="F143" s="3" t="inlineStr">
        <is>
          <t>Document labor relations, works council or union obligations during restructuring or crisis measures, assign RACI, define minimum controls/KPIs and collect evidence across the main business units or sites.</t>
        </is>
      </c>
      <c r="G143" s="3" t="inlineStr">
        <is>
          <t>Standardize labor relations, works council or union obligations during restructuring or crisis measures across the organization, close coverage gaps, link it to crisis scenarios and train accountable roles.</t>
        </is>
      </c>
      <c r="H143" s="3" t="inlineStr">
        <is>
          <t>Measure labor relations, works council or union obligations during restructuring or crisis measures, review it periodically, test it against disruption scenarios and integrate it with dependent processes or systems.</t>
        </is>
      </c>
      <c r="I143" s="3" t="inlineStr">
        <is>
          <t>Optimize and automate labor relations, works council or union obligations during restructuring or crisis measures where practical, use leading indicators, run periodic stress tests and update the crisis playbook.</t>
        </is>
      </c>
      <c r="J143" s="3" t="inlineStr">
        <is>
          <t>Maintain maturity for labor relations, works council or union obligations during restructuring or crisis measures. Monitor drift, keep evidence current, benchmark externally and refresh tests after major changes.</t>
        </is>
      </c>
      <c r="K143" s="3" t="inlineStr">
        <is>
          <t>Reduces exposure to Regulatory/legal shock; Contractual exposure; Data breach; improves Employment law maturity, continuity and management visibility.</t>
        </is>
      </c>
      <c r="L143" s="3" t="n">
        <v>4</v>
      </c>
      <c r="M143" s="3" t="n">
        <v>4</v>
      </c>
      <c r="N143" s="3" t="n">
        <v>3</v>
      </c>
      <c r="O143" s="3" t="n">
        <v>2</v>
      </c>
      <c r="P143" s="3" t="n">
        <v>1</v>
      </c>
      <c r="Q143" s="3" t="n">
        <v>1</v>
      </c>
      <c r="R143" s="3" t="inlineStr">
        <is>
          <t>ISO 37301; ISO 31000; ISO 37001; ISO/IEC 27701; GDPR; contract management best practices</t>
        </is>
      </c>
      <c r="S143" s="3" t="inlineStr">
        <is>
          <t>Policy/SOP; owner/RACI; system report; dashboard; contracts; test records; incident history; interview evidence related to labor relations, works council or union obligations during restructuring or crisis measures.</t>
        </is>
      </c>
      <c r="T143" s="3" t="inlineStr">
        <is>
          <t>Regulatory/legal shock; Contractual exposure; Data breach</t>
        </is>
      </c>
      <c r="U143" s="3" t="inlineStr">
        <is>
          <t>Legal / Compliance</t>
        </is>
      </c>
      <c r="V143" s="3" t="inlineStr">
        <is>
          <t>Legal Risk!24</t>
        </is>
      </c>
    </row>
    <row r="144" ht="85.5" customHeight="1" s="209">
      <c r="A144" s="3" t="inlineStr">
        <is>
          <t>LEGA-021</t>
        </is>
      </c>
      <c r="B144" s="3" t="inlineStr">
        <is>
          <t>Legal Risk</t>
        </is>
      </c>
      <c r="C144" s="3" t="inlineStr">
        <is>
          <t>Compliance</t>
        </is>
      </c>
      <c r="D144" s="3" t="inlineStr">
        <is>
          <t>How mature is the organization in managing litigation and dispute portfolio management with a dispute register, external counsel panel and budget control, including ownership, evidence, metrics, fallback procedures and crisis stress testing?</t>
        </is>
      </c>
      <c r="E144" s="3" t="inlineStr">
        <is>
          <t>Establish a basic owner and inventory for litigation and dispute portfolio management with a dispute register, external counsel panel and budget control. Define minimum policy, evidence location and immediate crisis relevance.</t>
        </is>
      </c>
      <c r="F144" s="3" t="inlineStr">
        <is>
          <t>Document litigation and dispute portfolio management with a dispute register, external counsel panel and budget control, assign RACI, define minimum controls/KPIs and collect evidence across the main business units or sites.</t>
        </is>
      </c>
      <c r="G144" s="3" t="inlineStr">
        <is>
          <t>Standardize litigation and dispute portfolio management with a dispute register, external counsel panel and budget control across the organization, close coverage gaps, link it to crisis scenarios and train accountable roles.</t>
        </is>
      </c>
      <c r="H144" s="3" t="inlineStr">
        <is>
          <t>Measure litigation and dispute portfolio management with a dispute register, external counsel panel and budget control, review it periodically, test it against disruption scenarios and integrate it with dependent processes or systems.</t>
        </is>
      </c>
      <c r="I144" s="3" t="inlineStr">
        <is>
          <t>Optimize and automate litigation and dispute portfolio management with a dispute register, external counsel panel and budget control where practical, use leading indicators, run periodic stress tests and update the crisis playbook.</t>
        </is>
      </c>
      <c r="J144" s="3" t="inlineStr">
        <is>
          <t>Maintain maturity for litigation and dispute portfolio management with a dispute register, external counsel panel and budget control. Monitor drift, keep evidence current, benchmark externally and refresh tests after major changes.</t>
        </is>
      </c>
      <c r="K144" s="3" t="inlineStr">
        <is>
          <t>Reduces exposure to Regulatory/legal shock; Financial/liquidity crisis; improves Compliance maturity, continuity and management visibility.</t>
        </is>
      </c>
      <c r="L144" s="3" t="n">
        <v>2</v>
      </c>
      <c r="M144" s="3" t="n">
        <v>2</v>
      </c>
      <c r="N144" s="3" t="n">
        <v>2</v>
      </c>
      <c r="O144" s="3" t="n">
        <v>2</v>
      </c>
      <c r="P144" s="3" t="n">
        <v>1</v>
      </c>
      <c r="Q144" s="3" t="n">
        <v>1</v>
      </c>
      <c r="R144" s="3" t="inlineStr">
        <is>
          <t>legal operations practices; ISO 31000</t>
        </is>
      </c>
      <c r="S144" s="3" t="inlineStr">
        <is>
          <t>Policy/SOP; owner/RACI; system report; dashboard; contracts; test records; incident history; interview evidence related to litigation and dispute portfolio management with a dispute register, external counsel panel and budget control</t>
        </is>
      </c>
      <c r="T144" s="3" t="inlineStr">
        <is>
          <t>Regulatory/legal shock; Financial/liquidity crisis</t>
        </is>
      </c>
      <c r="U144" s="3" t="inlineStr">
        <is>
          <t>General Counsel / CFO</t>
        </is>
      </c>
      <c r="V144" s="3" t="inlineStr">
        <is>
          <t>Legal Risk!25</t>
        </is>
      </c>
    </row>
    <row r="145" ht="99.75" customHeight="1" s="209">
      <c r="A145" s="3" t="inlineStr">
        <is>
          <t>PHYS-001</t>
        </is>
      </c>
      <c r="B145" s="3" t="inlineStr">
        <is>
          <t>Physical Safety</t>
        </is>
      </c>
      <c r="C145" s="3" t="inlineStr">
        <is>
          <t>OH&amp;S governance</t>
        </is>
      </c>
      <c r="D145" s="3" t="inlineStr">
        <is>
          <t>How mature is the organization in managing occupational health and safety management system with owners, objectives, audits and management review, including ownership, evidence, metrics, fallback procedures and crisis stress testing?</t>
        </is>
      </c>
      <c r="E145" s="3" t="inlineStr">
        <is>
          <t>Establish a basic owner and inventory for occupational health and safety management system with owners, objectives, audits and management review. Define minimum policy, evidence location and immediate crisis relevance.</t>
        </is>
      </c>
      <c r="F145" s="3" t="inlineStr">
        <is>
          <t>Document occupational health and safety management system with owners, objectives, audits and management review, assign RACI, define minimum controls/KPIs and collect evidence across the main business units or sites.</t>
        </is>
      </c>
      <c r="G145" s="3" t="inlineStr">
        <is>
          <t>Standardize occupational health and safety management system with owners, objectives, audits and management review across the organization, close coverage gaps, link it to crisis scenarios and train accountable roles.</t>
        </is>
      </c>
      <c r="H145" s="3" t="inlineStr">
        <is>
          <t>Measure occupational health and safety management system with owners, objectives, audits and management review, review it periodically, test it against disruption scenarios and integrate it with dependent processes or systems.</t>
        </is>
      </c>
      <c r="I145" s="3" t="inlineStr">
        <is>
          <t>Optimize and automate occupational health and safety management system with owners, objectives, audits and management review where practical, use leading indicators, run periodic stress tests and update the crisis playbook.</t>
        </is>
      </c>
      <c r="J145" s="3" t="inlineStr">
        <is>
          <t>Maintain maturity for occupational health and safety management system with owners, objectives, audits and management review. Monitor drift, keep evidence current, benchmark externally and refresh tests after major changes.</t>
        </is>
      </c>
      <c r="K145" s="3" t="inlineStr">
        <is>
          <t>Reduces exposure to Safety incident; Physical site loss; War/security crisis; Natural disaster; improves OH&amp;S governance maturity, continuity and management visibility.</t>
        </is>
      </c>
      <c r="L145" s="3" t="n">
        <v>5</v>
      </c>
      <c r="M145" s="3" t="n">
        <v>5</v>
      </c>
      <c r="N145" s="3" t="n">
        <v>4</v>
      </c>
      <c r="O145" s="3" t="n">
        <v>3</v>
      </c>
      <c r="P145" s="3" t="n">
        <v>2</v>
      </c>
      <c r="Q145" s="3" t="n">
        <v>1</v>
      </c>
      <c r="R145" s="3" t="inlineStr">
        <is>
          <t>ISO 45001; ISO 22320; ISO 31030; ISO 18788; ISO 22301; NFPA; local OH&amp;S rules</t>
        </is>
      </c>
      <c r="S145" s="3" t="inlineStr">
        <is>
          <t>Policy/SOP; owner/RACI; system report; dashboard; contracts; test records; incident history; interview evidence related to occupational health and safety management system with owners, objectives, audits and management review.</t>
        </is>
      </c>
      <c r="T145" s="3" t="inlineStr">
        <is>
          <t>Safety incident; Physical site loss; War/security crisis; Natural disaster</t>
        </is>
      </c>
      <c r="U145" s="3" t="inlineStr">
        <is>
          <t>Facilities / Security / HSE</t>
        </is>
      </c>
      <c r="V145" s="3" t="inlineStr">
        <is>
          <t>Physical Safety!5</t>
        </is>
      </c>
    </row>
    <row r="146" ht="85.5" customHeight="1" s="209">
      <c r="A146" s="3" t="inlineStr">
        <is>
          <t>PHYS-002</t>
        </is>
      </c>
      <c r="B146" s="3" t="inlineStr">
        <is>
          <t>Physical Safety</t>
        </is>
      </c>
      <c r="C146" s="3" t="inlineStr">
        <is>
          <t>OH&amp;S governance</t>
        </is>
      </c>
      <c r="D146" s="3" t="inlineStr">
        <is>
          <t>How mature is the organization in managing site risk assessments for fire, structure, utilities, hazardous materials, crime, weather, war/security and access, including ownership, evidence, metrics, fallback procedures and crisis stress testing?</t>
        </is>
      </c>
      <c r="E146" s="3" t="inlineStr">
        <is>
          <t>Establish a basic owner and inventory for site risk assessments for fire, structure, utilities, hazardous materials, crime, weather, war/security and access. Define minimum policy, evidence location and immediate crisis relevance.</t>
        </is>
      </c>
      <c r="F146" s="3" t="inlineStr">
        <is>
          <t>Document site risk assessments for fire, structure, utilities, hazardous materials, crime, weather, war/security and access, assign RACI, define minimum controls/KPIs and collect evidence across the main business units or sites.</t>
        </is>
      </c>
      <c r="G146" s="3" t="inlineStr">
        <is>
          <t>Standardize site risk assessments for fire, structure, utilities, hazardous materials, crime, weather, war/security and access across the organization, close coverage gaps, link it to crisis scenarios and train accountable roles.</t>
        </is>
      </c>
      <c r="H146" s="3" t="inlineStr">
        <is>
          <t>Measure site risk assessments for fire, structure, utilities, hazardous materials, crime, weather, war/security and access, review it periodically, test it against disruption scenarios and integrate it with dependent processes or systems.</t>
        </is>
      </c>
      <c r="I146" s="3" t="inlineStr">
        <is>
          <t>Optimize and automate site risk assessments for fire, structure, utilities, hazardous materials, crime, weather, war/security and access where practical, use leading indicators, run periodic stress tests and update the crisis playbook.</t>
        </is>
      </c>
      <c r="J146" s="3" t="inlineStr">
        <is>
          <t>Maintain maturity for site risk assessments for fire, structure, utilities, hazardous materials, crime, weather, war/security and access. Monitor drift, keep evidence current, benchmark externally and refresh tests after major changes.</t>
        </is>
      </c>
      <c r="K146" s="3" t="inlineStr">
        <is>
          <t>Reduces exposure to Safety incident; Physical site loss; War/security crisis; Natural disaster; improves OH&amp;S governance maturity, continuity and management visibility.</t>
        </is>
      </c>
      <c r="L146" s="3" t="n">
        <v>5</v>
      </c>
      <c r="M146" s="3" t="n">
        <v>5</v>
      </c>
      <c r="N146" s="3" t="n">
        <v>4</v>
      </c>
      <c r="O146" s="3" t="n">
        <v>3</v>
      </c>
      <c r="P146" s="3" t="n">
        <v>2</v>
      </c>
      <c r="Q146" s="3" t="n">
        <v>1</v>
      </c>
      <c r="R146" s="3" t="inlineStr">
        <is>
          <t>ISO 45001; ISO 22320; ISO 31030; ISO 18788; ISO 22301; NFPA; local OH&amp;S rules</t>
        </is>
      </c>
      <c r="S146" s="3" t="inlineStr">
        <is>
          <t>Policy/SOP; owner/RACI; system report; dashboard; contracts; test records; incident history; interview evidence related to site risk assessments for fire, structure, utilities, hazardous materials, crime, weather, war/security and access.</t>
        </is>
      </c>
      <c r="T146" s="3" t="inlineStr">
        <is>
          <t>Safety incident; Physical site loss; War/security crisis; Natural disaster</t>
        </is>
      </c>
      <c r="U146" s="3" t="inlineStr">
        <is>
          <t>Facilities / Security / HSE</t>
        </is>
      </c>
      <c r="V146" s="3" t="inlineStr">
        <is>
          <t>Physical Safety!6</t>
        </is>
      </c>
    </row>
    <row r="147" ht="71.25" customHeight="1" s="209">
      <c r="A147" s="3" t="inlineStr">
        <is>
          <t>PHYS-003</t>
        </is>
      </c>
      <c r="B147" s="3" t="inlineStr">
        <is>
          <t>Physical Safety</t>
        </is>
      </c>
      <c r="C147" s="3" t="inlineStr">
        <is>
          <t>OH&amp;S governance</t>
        </is>
      </c>
      <c r="D147" s="3" t="inlineStr">
        <is>
          <t>How mature is the organization in managing job hazard analysis for roles, tasks, production activities and field work, including ownership, evidence, metrics, fallback procedures and crisis stress testing?</t>
        </is>
      </c>
      <c r="E147" s="3" t="inlineStr">
        <is>
          <t>Establish a basic owner and inventory for job hazard analysis for roles, tasks, production activities and field work. Define minimum policy, evidence location and immediate crisis relevance.</t>
        </is>
      </c>
      <c r="F147" s="3" t="inlineStr">
        <is>
          <t>Document job hazard analysis for roles, tasks, production activities and field work, assign RACI, define minimum controls/KPIs and collect evidence across the main business units or sites.</t>
        </is>
      </c>
      <c r="G147" s="3" t="inlineStr">
        <is>
          <t>Standardize job hazard analysis for roles, tasks, production activities and field work across the organization, close coverage gaps, link it to crisis scenarios and train accountable roles.</t>
        </is>
      </c>
      <c r="H147" s="3" t="inlineStr">
        <is>
          <t>Measure job hazard analysis for roles, tasks, production activities and field work, review it periodically, test it against disruption scenarios and integrate it with dependent processes or systems.</t>
        </is>
      </c>
      <c r="I147" s="3" t="inlineStr">
        <is>
          <t>Optimize and automate job hazard analysis for roles, tasks, production activities and field work where practical, use leading indicators, run periodic stress tests and update the crisis playbook.</t>
        </is>
      </c>
      <c r="J147" s="3" t="inlineStr">
        <is>
          <t>Maintain maturity for job hazard analysis for roles, tasks, production activities and field work. Monitor drift, keep evidence current, benchmark externally and refresh tests after major changes.</t>
        </is>
      </c>
      <c r="K147" s="3" t="inlineStr">
        <is>
          <t>Reduces exposure to Safety incident; Physical site loss; War/security crisis; Natural disaster; improves OH&amp;S governance maturity, continuity and management visibility.</t>
        </is>
      </c>
      <c r="L147" s="3" t="n">
        <v>5</v>
      </c>
      <c r="M147" s="3" t="n">
        <v>5</v>
      </c>
      <c r="N147" s="3" t="n">
        <v>4</v>
      </c>
      <c r="O147" s="3" t="n">
        <v>3</v>
      </c>
      <c r="P147" s="3" t="n">
        <v>2</v>
      </c>
      <c r="Q147" s="3" t="n">
        <v>1</v>
      </c>
      <c r="R147" s="3" t="inlineStr">
        <is>
          <t>ISO 45001; ISO 22320; ISO 31030; ISO 18788; ISO 22301; NFPA; local OH&amp;S rules</t>
        </is>
      </c>
      <c r="S147" s="3" t="inlineStr">
        <is>
          <t>Policy/SOP; owner/RACI; system report; dashboard; contracts; test records; incident history; interview evidence related to job hazard analysis for roles, tasks, production activities and field work.</t>
        </is>
      </c>
      <c r="T147" s="3" t="inlineStr">
        <is>
          <t>Safety incident; Physical site loss; War/security crisis; Natural disaster</t>
        </is>
      </c>
      <c r="U147" s="3" t="inlineStr">
        <is>
          <t>Facilities / Security / HSE</t>
        </is>
      </c>
      <c r="V147" s="3" t="inlineStr">
        <is>
          <t>Physical Safety!7</t>
        </is>
      </c>
    </row>
    <row r="148" ht="85.5" customHeight="1" s="209">
      <c r="A148" s="3" t="inlineStr">
        <is>
          <t>PHYS-004</t>
        </is>
      </c>
      <c r="B148" s="3" t="inlineStr">
        <is>
          <t>Physical Safety</t>
        </is>
      </c>
      <c r="C148" s="3" t="inlineStr">
        <is>
          <t>OH&amp;S governance</t>
        </is>
      </c>
      <c r="D148" s="3" t="inlineStr">
        <is>
          <t>How mature is the organization in managing contractor and visitor safety induction, permits-to-work, site rules and emergency procedures, including ownership, evidence, metrics, fallback procedures and crisis stress testing?</t>
        </is>
      </c>
      <c r="E148" s="3" t="inlineStr">
        <is>
          <t>Establish a basic owner and inventory for contractor and visitor safety induction, permits-to-work, site rules and emergency procedures. Define minimum policy, evidence location and immediate crisis relevance.</t>
        </is>
      </c>
      <c r="F148" s="3" t="inlineStr">
        <is>
          <t>Document contractor and visitor safety induction, permits-to-work, site rules and emergency procedures, assign RACI, define minimum controls/KPIs and collect evidence across the main business units or sites.</t>
        </is>
      </c>
      <c r="G148" s="3" t="inlineStr">
        <is>
          <t>Standardize contractor and visitor safety induction, permits-to-work, site rules and emergency procedures across the organization, close coverage gaps, link it to crisis scenarios and train accountable roles.</t>
        </is>
      </c>
      <c r="H148" s="3" t="inlineStr">
        <is>
          <t>Measure contractor and visitor safety induction, permits-to-work, site rules and emergency procedures, review it periodically, test it against disruption scenarios and integrate it with dependent processes or systems.</t>
        </is>
      </c>
      <c r="I148" s="3" t="inlineStr">
        <is>
          <t>Optimize and automate contractor and visitor safety induction, permits-to-work, site rules and emergency procedures where practical, use leading indicators, run periodic stress tests and update the crisis playbook.</t>
        </is>
      </c>
      <c r="J148" s="3" t="inlineStr">
        <is>
          <t>Maintain maturity for contractor and visitor safety induction, permits-to-work, site rules and emergency procedures. Monitor drift, keep evidence current, benchmark externally and refresh tests after major changes.</t>
        </is>
      </c>
      <c r="K148" s="3" t="inlineStr">
        <is>
          <t>Reduces exposure to Safety incident; Physical site loss; War/security crisis; Natural disaster; improves OH&amp;S governance maturity, continuity and management visibility.</t>
        </is>
      </c>
      <c r="L148" s="3" t="n">
        <v>5</v>
      </c>
      <c r="M148" s="3" t="n">
        <v>5</v>
      </c>
      <c r="N148" s="3" t="n">
        <v>4</v>
      </c>
      <c r="O148" s="3" t="n">
        <v>3</v>
      </c>
      <c r="P148" s="3" t="n">
        <v>2</v>
      </c>
      <c r="Q148" s="3" t="n">
        <v>1</v>
      </c>
      <c r="R148" s="3" t="inlineStr">
        <is>
          <t>ISO 45001; ISO 22320; ISO 31030; ISO 18788; ISO 22301; NFPA; local OH&amp;S rules</t>
        </is>
      </c>
      <c r="S148" s="3" t="inlineStr">
        <is>
          <t>Policy/SOP; owner/RACI; system report; dashboard; contracts; test records; incident history; interview evidence related to contractor and visitor safety induction, permits-to-work, site rules and emergency procedures.</t>
        </is>
      </c>
      <c r="T148" s="3" t="inlineStr">
        <is>
          <t>Safety incident; Physical site loss; War/security crisis; Natural disaster</t>
        </is>
      </c>
      <c r="U148" s="3" t="inlineStr">
        <is>
          <t>Facilities / Security / HSE</t>
        </is>
      </c>
      <c r="V148" s="3" t="inlineStr">
        <is>
          <t>Physical Safety!8</t>
        </is>
      </c>
    </row>
    <row r="149" ht="71.25" customHeight="1" s="209">
      <c r="A149" s="3" t="inlineStr">
        <is>
          <t>PHYS-005</t>
        </is>
      </c>
      <c r="B149" s="3" t="inlineStr">
        <is>
          <t>Physical Safety</t>
        </is>
      </c>
      <c r="C149" s="3" t="inlineStr">
        <is>
          <t>OH&amp;S governance</t>
        </is>
      </c>
      <c r="D149" s="3" t="inlineStr">
        <is>
          <t>How mature is the organization in managing near-miss and safety incident reporting, investigation and corrective action, including ownership, evidence, metrics, fallback procedures and crisis stress testing?</t>
        </is>
      </c>
      <c r="E149" s="3" t="inlineStr">
        <is>
          <t>Establish a basic owner and inventory for near-miss and safety incident reporting, investigation and corrective action. Define minimum policy, evidence location and immediate crisis relevance.</t>
        </is>
      </c>
      <c r="F149" s="3" t="inlineStr">
        <is>
          <t>Document near-miss and safety incident reporting, investigation and corrective action, assign RACI, define minimum controls/KPIs and collect evidence across the main business units or sites.</t>
        </is>
      </c>
      <c r="G149" s="3" t="inlineStr">
        <is>
          <t>Standardize near-miss and safety incident reporting, investigation and corrective action across the organization, close coverage gaps, link it to crisis scenarios and train accountable roles.</t>
        </is>
      </c>
      <c r="H149" s="3" t="inlineStr">
        <is>
          <t>Measure near-miss and safety incident reporting, investigation and corrective action, review it periodically, test it against disruption scenarios and integrate it with dependent processes or systems.</t>
        </is>
      </c>
      <c r="I149" s="3" t="inlineStr">
        <is>
          <t>Optimize and automate near-miss and safety incident reporting, investigation and corrective action where practical, use leading indicators, run periodic stress tests and update the crisis playbook.</t>
        </is>
      </c>
      <c r="J149" s="3" t="inlineStr">
        <is>
          <t>Maintain maturity for near-miss and safety incident reporting, investigation and corrective action. Monitor drift, keep evidence current, benchmark externally and refresh tests after major changes.</t>
        </is>
      </c>
      <c r="K149" s="3" t="inlineStr">
        <is>
          <t>Reduces exposure to Safety incident; Physical site loss; War/security crisis; Natural disaster; improves OH&amp;S governance maturity, continuity and management visibility.</t>
        </is>
      </c>
      <c r="L149" s="3" t="n">
        <v>5</v>
      </c>
      <c r="M149" s="3" t="n">
        <v>5</v>
      </c>
      <c r="N149" s="3" t="n">
        <v>4</v>
      </c>
      <c r="O149" s="3" t="n">
        <v>3</v>
      </c>
      <c r="P149" s="3" t="n">
        <v>2</v>
      </c>
      <c r="Q149" s="3" t="n">
        <v>1</v>
      </c>
      <c r="R149" s="3" t="inlineStr">
        <is>
          <t>ISO 45001; ISO 22320; ISO 31030; ISO 18788; ISO 22301; NFPA; local OH&amp;S rules</t>
        </is>
      </c>
      <c r="S149" s="3" t="inlineStr">
        <is>
          <t>Policy/SOP; owner/RACI; system report; dashboard; contracts; test records; incident history; interview evidence related to near-miss and safety incident reporting, investigation and corrective action.</t>
        </is>
      </c>
      <c r="T149" s="3" t="inlineStr">
        <is>
          <t>Safety incident; Physical site loss; War/security crisis; Natural disaster</t>
        </is>
      </c>
      <c r="U149" s="3" t="inlineStr">
        <is>
          <t>Facilities / Security / HSE</t>
        </is>
      </c>
      <c r="V149" s="3" t="inlineStr">
        <is>
          <t>Physical Safety!9</t>
        </is>
      </c>
    </row>
    <row r="150" ht="71.25" customHeight="1" s="209">
      <c r="A150" s="3" t="inlineStr">
        <is>
          <t>PHYS-006</t>
        </is>
      </c>
      <c r="B150" s="3" t="inlineStr">
        <is>
          <t>Physical Safety</t>
        </is>
      </c>
      <c r="C150" s="3" t="inlineStr">
        <is>
          <t>OH&amp;S governance</t>
        </is>
      </c>
      <c r="D150" s="3" t="inlineStr">
        <is>
          <t>How mature is the organization in managing serious incident escalation to executives, legal, insurers and regulators, including ownership, evidence, metrics, fallback procedures and crisis stress testing?</t>
        </is>
      </c>
      <c r="E150" s="3" t="inlineStr">
        <is>
          <t>Establish a basic owner and inventory for serious incident escalation to executives, legal, insurers and regulators. Define minimum policy, evidence location and immediate crisis relevance.</t>
        </is>
      </c>
      <c r="F150" s="3" t="inlineStr">
        <is>
          <t>Document serious incident escalation to executives, legal, insurers and regulators, assign RACI, define minimum controls/KPIs and collect evidence across the main business units or sites.</t>
        </is>
      </c>
      <c r="G150" s="3" t="inlineStr">
        <is>
          <t>Standardize serious incident escalation to executives, legal, insurers and regulators across the organization, close coverage gaps, link it to crisis scenarios and train accountable roles.</t>
        </is>
      </c>
      <c r="H150" s="3" t="inlineStr">
        <is>
          <t>Measure serious incident escalation to executives, legal, insurers and regulators, review it periodically, test it against disruption scenarios and integrate it with dependent processes or systems.</t>
        </is>
      </c>
      <c r="I150" s="3" t="inlineStr">
        <is>
          <t>Optimize and automate serious incident escalation to executives, legal, insurers and regulators where practical, use leading indicators, run periodic stress tests and update the crisis playbook.</t>
        </is>
      </c>
      <c r="J150" s="3" t="inlineStr">
        <is>
          <t>Maintain maturity for serious incident escalation to executives, legal, insurers and regulators. Monitor drift, keep evidence current, benchmark externally and refresh tests after major changes.</t>
        </is>
      </c>
      <c r="K150" s="3" t="inlineStr">
        <is>
          <t>Reduces exposure to Safety incident; Physical site loss; War/security crisis; Natural disaster; improves OH&amp;S governance maturity, continuity and management visibility.</t>
        </is>
      </c>
      <c r="L150" s="3" t="n">
        <v>5</v>
      </c>
      <c r="M150" s="3" t="n">
        <v>5</v>
      </c>
      <c r="N150" s="3" t="n">
        <v>4</v>
      </c>
      <c r="O150" s="3" t="n">
        <v>3</v>
      </c>
      <c r="P150" s="3" t="n">
        <v>2</v>
      </c>
      <c r="Q150" s="3" t="n">
        <v>1</v>
      </c>
      <c r="R150" s="3" t="inlineStr">
        <is>
          <t>ISO 45001; ISO 22320; ISO 31030; ISO 18788; ISO 22301; NFPA; local OH&amp;S rules</t>
        </is>
      </c>
      <c r="S150" s="3" t="inlineStr">
        <is>
          <t>Policy/SOP; owner/RACI; system report; dashboard; contracts; test records; incident history; interview evidence related to serious incident escalation to executives, legal, insurers and regulators.</t>
        </is>
      </c>
      <c r="T150" s="3" t="inlineStr">
        <is>
          <t>Safety incident; Physical site loss; War/security crisis; Natural disaster</t>
        </is>
      </c>
      <c r="U150" s="3" t="inlineStr">
        <is>
          <t>Facilities / Security / HSE</t>
        </is>
      </c>
      <c r="V150" s="3" t="inlineStr">
        <is>
          <t>Physical Safety!10</t>
        </is>
      </c>
    </row>
    <row r="151" ht="85.5" customHeight="1" s="209">
      <c r="A151" s="3" t="inlineStr">
        <is>
          <t>PHYS-007</t>
        </is>
      </c>
      <c r="B151" s="3" t="inlineStr">
        <is>
          <t>Physical Safety</t>
        </is>
      </c>
      <c r="C151" s="3" t="inlineStr">
        <is>
          <t>Facilities and access</t>
        </is>
      </c>
      <c r="D151" s="3" t="inlineStr">
        <is>
          <t>How mature is the organization in managing critical facility register with occupancy, business processes, utilities, safety risks and recovery priority, including ownership, evidence, metrics, fallback procedures and crisis stress testing?</t>
        </is>
      </c>
      <c r="E151" s="3" t="inlineStr">
        <is>
          <t>Establish a basic owner and inventory for critical facility register with occupancy, business processes, utilities, safety risks and recovery priority. Define minimum policy, evidence location and immediate crisis relevance.</t>
        </is>
      </c>
      <c r="F151" s="3" t="inlineStr">
        <is>
          <t>Document critical facility register with occupancy, business processes, utilities, safety risks and recovery priority, assign RACI, define minimum controls/KPIs and collect evidence across the main business units or sites.</t>
        </is>
      </c>
      <c r="G151" s="3" t="inlineStr">
        <is>
          <t>Standardize critical facility register with occupancy, business processes, utilities, safety risks and recovery priority across the organization, close coverage gaps, link it to crisis scenarios and train accountable roles.</t>
        </is>
      </c>
      <c r="H151" s="3" t="inlineStr">
        <is>
          <t>Measure critical facility register with occupancy, business processes, utilities, safety risks and recovery priority, review it periodically, test it against disruption scenarios and integrate it with dependent processes or systems.</t>
        </is>
      </c>
      <c r="I151" s="3" t="inlineStr">
        <is>
          <t>Optimize and automate critical facility register with occupancy, business processes, utilities, safety risks and recovery priority where practical, use leading indicators, run periodic stress tests and update the crisis playbook.</t>
        </is>
      </c>
      <c r="J151" s="3" t="inlineStr">
        <is>
          <t>Maintain maturity for critical facility register with occupancy, business processes, utilities, safety risks and recovery priority. Monitor drift, keep evidence current, benchmark externally and refresh tests after major changes.</t>
        </is>
      </c>
      <c r="K151" s="3" t="inlineStr">
        <is>
          <t>Reduces exposure to Safety incident; Physical site loss; War/security crisis; Natural disaster; improves Facilities and access maturity, continuity and management visibility.</t>
        </is>
      </c>
      <c r="L151" s="3" t="n">
        <v>5</v>
      </c>
      <c r="M151" s="3" t="n">
        <v>5</v>
      </c>
      <c r="N151" s="3" t="n">
        <v>4</v>
      </c>
      <c r="O151" s="3" t="n">
        <v>3</v>
      </c>
      <c r="P151" s="3" t="n">
        <v>2</v>
      </c>
      <c r="Q151" s="3" t="n">
        <v>1</v>
      </c>
      <c r="R151" s="3" t="inlineStr">
        <is>
          <t>ISO 45001; ISO 22320; ISO 31030; ISO 18788; ISO 22301; NFPA; local OH&amp;S rules</t>
        </is>
      </c>
      <c r="S151" s="3" t="inlineStr">
        <is>
          <t>Policy/SOP; owner/RACI; system report; dashboard; contracts; test records; incident history; interview evidence related to critical facility register with occupancy, business processes, utilities, safety risks and recovery priority.</t>
        </is>
      </c>
      <c r="T151" s="3" t="inlineStr">
        <is>
          <t>Safety incident; Physical site loss; War/security crisis; Natural disaster</t>
        </is>
      </c>
      <c r="U151" s="3" t="inlineStr">
        <is>
          <t>Facilities / Security / HSE</t>
        </is>
      </c>
      <c r="V151" s="3" t="inlineStr">
        <is>
          <t>Physical Safety!11</t>
        </is>
      </c>
    </row>
    <row r="152" ht="85.5" customHeight="1" s="209">
      <c r="A152" s="3" t="inlineStr">
        <is>
          <t>PHYS-008</t>
        </is>
      </c>
      <c r="B152" s="3" t="inlineStr">
        <is>
          <t>Physical Safety</t>
        </is>
      </c>
      <c r="C152" s="3" t="inlineStr">
        <is>
          <t>Facilities and access</t>
        </is>
      </c>
      <c r="D152" s="3" t="inlineStr">
        <is>
          <t>How mature is the organization in managing building integrity, fire systems, emergency exits, shelters, alarms, lighting and backup power inspection, including ownership, evidence, metrics, fallback procedures and crisis stress testing?</t>
        </is>
      </c>
      <c r="E152" s="3" t="inlineStr">
        <is>
          <t>Establish a basic owner and inventory for building integrity, fire systems, emergency exits, shelters, alarms, lighting and backup power inspection. Define minimum policy, evidence location and immediate crisis relevance.</t>
        </is>
      </c>
      <c r="F152" s="3" t="inlineStr">
        <is>
          <t>Document building integrity, fire systems, emergency exits, shelters, alarms, lighting and backup power inspection, assign RACI, define minimum controls/KPIs and collect evidence across the main business units or sites.</t>
        </is>
      </c>
      <c r="G152" s="3" t="inlineStr">
        <is>
          <t>Standardize building integrity, fire systems, emergency exits, shelters, alarms, lighting and backup power inspection across the organization, close coverage gaps, link it to crisis scenarios and train accountable roles.</t>
        </is>
      </c>
      <c r="H152" s="3" t="inlineStr">
        <is>
          <t>Measure building integrity, fire systems, emergency exits, shelters, alarms, lighting and backup power inspection, review it periodically, test it against disruption scenarios and integrate it with dependent processes or systems.</t>
        </is>
      </c>
      <c r="I152" s="3" t="inlineStr">
        <is>
          <t>Optimize and automate building integrity, fire systems, emergency exits, shelters, alarms, lighting and backup power inspection where practical, use leading indicators, run periodic stress tests and update the crisis playbook.</t>
        </is>
      </c>
      <c r="J152" s="3" t="inlineStr">
        <is>
          <t>Maintain maturity for building integrity, fire systems, emergency exits, shelters, alarms, lighting and backup power inspection. Monitor drift, keep evidence current, benchmark externally and refresh tests after major changes.</t>
        </is>
      </c>
      <c r="K152" s="3" t="inlineStr">
        <is>
          <t>Reduces exposure to Safety incident; Physical site loss; War/security crisis; Natural disaster; improves Facilities and access maturity, continuity and management visibility.</t>
        </is>
      </c>
      <c r="L152" s="3" t="n">
        <v>5</v>
      </c>
      <c r="M152" s="3" t="n">
        <v>5</v>
      </c>
      <c r="N152" s="3" t="n">
        <v>4</v>
      </c>
      <c r="O152" s="3" t="n">
        <v>3</v>
      </c>
      <c r="P152" s="3" t="n">
        <v>2</v>
      </c>
      <c r="Q152" s="3" t="n">
        <v>1</v>
      </c>
      <c r="R152" s="3" t="inlineStr">
        <is>
          <t>ISO 45001; ISO 22320; ISO 31030; ISO 18788; ISO 22301; NFPA; local OH&amp;S rules</t>
        </is>
      </c>
      <c r="S152" s="3" t="inlineStr">
        <is>
          <t>Policy/SOP; owner/RACI; system report; dashboard; contracts; test records; incident history; interview evidence related to building integrity, fire systems, emergency exits, shelters, alarms, lighting and backup power inspection.</t>
        </is>
      </c>
      <c r="T152" s="3" t="inlineStr">
        <is>
          <t>Safety incident; Physical site loss; War/security crisis; Natural disaster</t>
        </is>
      </c>
      <c r="U152" s="3" t="inlineStr">
        <is>
          <t>Facilities / Security / HSE</t>
        </is>
      </c>
      <c r="V152" s="3" t="inlineStr">
        <is>
          <t>Physical Safety!12</t>
        </is>
      </c>
    </row>
    <row r="153" ht="85.5" customHeight="1" s="209">
      <c r="A153" s="3" t="inlineStr">
        <is>
          <t>PHYS-009</t>
        </is>
      </c>
      <c r="B153" s="3" t="inlineStr">
        <is>
          <t>Physical Safety</t>
        </is>
      </c>
      <c r="C153" s="3" t="inlineStr">
        <is>
          <t>Facilities and access</t>
        </is>
      </c>
      <c r="D153" s="3" t="inlineStr">
        <is>
          <t>How mature is the organization in managing physical access control linked to HR onboarding, offboarding and periodic access review, including ownership, evidence, metrics, fallback procedures and crisis stress testing?</t>
        </is>
      </c>
      <c r="E153" s="3" t="inlineStr">
        <is>
          <t>Establish a basic owner and inventory for physical access control linked to HR onboarding, offboarding and periodic access review. Define minimum policy, evidence location and immediate crisis relevance.</t>
        </is>
      </c>
      <c r="F153" s="3" t="inlineStr">
        <is>
          <t>Document physical access control linked to HR onboarding, offboarding and periodic access review, assign RACI, define minimum controls/KPIs and collect evidence across the main business units or sites.</t>
        </is>
      </c>
      <c r="G153" s="3" t="inlineStr">
        <is>
          <t>Standardize physical access control linked to HR onboarding, offboarding and periodic access review across the organization, close coverage gaps, link it to crisis scenarios and train accountable roles.</t>
        </is>
      </c>
      <c r="H153" s="3" t="inlineStr">
        <is>
          <t>Measure physical access control linked to HR onboarding, offboarding and periodic access review, review it periodically, test it against disruption scenarios and integrate it with dependent processes or systems.</t>
        </is>
      </c>
      <c r="I153" s="3" t="inlineStr">
        <is>
          <t>Optimize and automate physical access control linked to HR onboarding, offboarding and periodic access review where practical, use leading indicators, run periodic stress tests and update the crisis playbook.</t>
        </is>
      </c>
      <c r="J153" s="3" t="inlineStr">
        <is>
          <t>Maintain maturity for physical access control linked to HR onboarding, offboarding and periodic access review. Monitor drift, keep evidence current, benchmark externally and refresh tests after major changes.</t>
        </is>
      </c>
      <c r="K153" s="3" t="inlineStr">
        <is>
          <t>Reduces exposure to Safety incident; Physical site loss; War/security crisis; Natural disaster; improves Facilities and access maturity, continuity and management visibility.</t>
        </is>
      </c>
      <c r="L153" s="3" t="n">
        <v>5</v>
      </c>
      <c r="M153" s="3" t="n">
        <v>5</v>
      </c>
      <c r="N153" s="3" t="n">
        <v>4</v>
      </c>
      <c r="O153" s="3" t="n">
        <v>3</v>
      </c>
      <c r="P153" s="3" t="n">
        <v>2</v>
      </c>
      <c r="Q153" s="3" t="n">
        <v>1</v>
      </c>
      <c r="R153" s="3" t="inlineStr">
        <is>
          <t>ISO 45001; ISO 22320; ISO 31030; ISO 18788; ISO 22301; NFPA; local OH&amp;S rules</t>
        </is>
      </c>
      <c r="S153" s="3" t="inlineStr">
        <is>
          <t>Policy/SOP; owner/RACI; system report; dashboard; contracts; test records; incident history; interview evidence related to physical access control linked to HR onboarding, offboarding and periodic access review.</t>
        </is>
      </c>
      <c r="T153" s="3" t="inlineStr">
        <is>
          <t>Safety incident; Physical site loss; War/security crisis; Natural disaster</t>
        </is>
      </c>
      <c r="U153" s="3" t="inlineStr">
        <is>
          <t>Facilities / Security / HSE</t>
        </is>
      </c>
      <c r="V153" s="3" t="inlineStr">
        <is>
          <t>Physical Safety!13</t>
        </is>
      </c>
    </row>
    <row r="154" ht="85.5" customHeight="1" s="209">
      <c r="A154" s="3" t="inlineStr">
        <is>
          <t>PHYS-010</t>
        </is>
      </c>
      <c r="B154" s="3" t="inlineStr">
        <is>
          <t>Physical Safety</t>
        </is>
      </c>
      <c r="C154" s="3" t="inlineStr">
        <is>
          <t>Facilities and access</t>
        </is>
      </c>
      <c r="D154" s="3" t="inlineStr">
        <is>
          <t>How mature is the organization in managing visitor management covering identity checks, escorting, sensitive areas and evacuation accountability, including ownership, evidence, metrics, fallback procedures and crisis stress testing?</t>
        </is>
      </c>
      <c r="E154" s="3" t="inlineStr">
        <is>
          <t>Establish a basic owner and inventory for visitor management covering identity checks, escorting, sensitive areas and evacuation accountability. Define minimum policy, evidence location and immediate crisis relevance.</t>
        </is>
      </c>
      <c r="F154" s="3" t="inlineStr">
        <is>
          <t>Document visitor management covering identity checks, escorting, sensitive areas and evacuation accountability, assign RACI, define minimum controls/KPIs and collect evidence across the main business units or sites.</t>
        </is>
      </c>
      <c r="G154" s="3" t="inlineStr">
        <is>
          <t>Standardize visitor management covering identity checks, escorting, sensitive areas and evacuation accountability across the organization, close coverage gaps, link it to crisis scenarios and train accountable roles.</t>
        </is>
      </c>
      <c r="H154" s="3" t="inlineStr">
        <is>
          <t>Measure visitor management covering identity checks, escorting, sensitive areas and evacuation accountability, review it periodically, test it against disruption scenarios and integrate it with dependent processes or systems.</t>
        </is>
      </c>
      <c r="I154" s="3" t="inlineStr">
        <is>
          <t>Optimize and automate visitor management covering identity checks, escorting, sensitive areas and evacuation accountability where practical, use leading indicators, run periodic stress tests and update the crisis playbook.</t>
        </is>
      </c>
      <c r="J154" s="3" t="inlineStr">
        <is>
          <t>Maintain maturity for visitor management covering identity checks, escorting, sensitive areas and evacuation accountability. Monitor drift, keep evidence current, benchmark externally and refresh tests after major changes.</t>
        </is>
      </c>
      <c r="K154" s="3" t="inlineStr">
        <is>
          <t>Reduces exposure to Safety incident; Physical site loss; War/security crisis; Natural disaster; improves Facilities and access maturity, continuity and management visibility.</t>
        </is>
      </c>
      <c r="L154" s="3" t="n">
        <v>5</v>
      </c>
      <c r="M154" s="3" t="n">
        <v>5</v>
      </c>
      <c r="N154" s="3" t="n">
        <v>4</v>
      </c>
      <c r="O154" s="3" t="n">
        <v>3</v>
      </c>
      <c r="P154" s="3" t="n">
        <v>2</v>
      </c>
      <c r="Q154" s="3" t="n">
        <v>1</v>
      </c>
      <c r="R154" s="3" t="inlineStr">
        <is>
          <t>ISO 45001; ISO 22320; ISO 31030; ISO 18788; ISO 22301; NFPA; local OH&amp;S rules</t>
        </is>
      </c>
      <c r="S154" s="3" t="inlineStr">
        <is>
          <t>Policy/SOP; owner/RACI; system report; dashboard; contracts; test records; incident history; interview evidence related to visitor management covering identity checks, escorting, sensitive areas and evacuation accountability.</t>
        </is>
      </c>
      <c r="T154" s="3" t="inlineStr">
        <is>
          <t>Safety incident; Physical site loss; War/security crisis; Natural disaster</t>
        </is>
      </c>
      <c r="U154" s="3" t="inlineStr">
        <is>
          <t>Facilities / Security / HSE</t>
        </is>
      </c>
      <c r="V154" s="3" t="inlineStr">
        <is>
          <t>Physical Safety!14</t>
        </is>
      </c>
    </row>
    <row r="155" ht="71.25" customHeight="1" s="209">
      <c r="A155" s="3" t="inlineStr">
        <is>
          <t>PHYS-011</t>
        </is>
      </c>
      <c r="B155" s="3" t="inlineStr">
        <is>
          <t>Physical Safety</t>
        </is>
      </c>
      <c r="C155" s="3" t="inlineStr">
        <is>
          <t>Facilities and access</t>
        </is>
      </c>
      <c r="D155" s="3" t="inlineStr">
        <is>
          <t>How mature is the organization in managing security guarding, CCTV, alarm monitoring and response procedures, including ownership, evidence, metrics, fallback procedures and crisis stress testing?</t>
        </is>
      </c>
      <c r="E155" s="3" t="inlineStr">
        <is>
          <t>Establish a basic owner and inventory for security guarding, CCTV, alarm monitoring and response procedures. Define minimum policy, evidence location and immediate crisis relevance.</t>
        </is>
      </c>
      <c r="F155" s="3" t="inlineStr">
        <is>
          <t>Document security guarding, CCTV, alarm monitoring and response procedures, assign RACI, define minimum controls/KPIs and collect evidence across the main business units or sites.</t>
        </is>
      </c>
      <c r="G155" s="3" t="inlineStr">
        <is>
          <t>Standardize security guarding, CCTV, alarm monitoring and response procedures across the organization, close coverage gaps, link it to crisis scenarios and train accountable roles.</t>
        </is>
      </c>
      <c r="H155" s="3" t="inlineStr">
        <is>
          <t>Measure security guarding, CCTV, alarm monitoring and response procedures, review it periodically, test it against disruption scenarios and integrate it with dependent processes or systems.</t>
        </is>
      </c>
      <c r="I155" s="3" t="inlineStr">
        <is>
          <t>Optimize and automate security guarding, CCTV, alarm monitoring and response procedures where practical, use leading indicators, run periodic stress tests and update the crisis playbook.</t>
        </is>
      </c>
      <c r="J155" s="3" t="inlineStr">
        <is>
          <t>Maintain maturity for security guarding, CCTV, alarm monitoring and response procedures. Monitor drift, keep evidence current, benchmark externally and refresh tests after major changes.</t>
        </is>
      </c>
      <c r="K155" s="3" t="inlineStr">
        <is>
          <t>Reduces exposure to Safety incident; Physical site loss; War/security crisis; Natural disaster; improves Facilities and access maturity, continuity and management visibility.</t>
        </is>
      </c>
      <c r="L155" s="3" t="n">
        <v>5</v>
      </c>
      <c r="M155" s="3" t="n">
        <v>5</v>
      </c>
      <c r="N155" s="3" t="n">
        <v>4</v>
      </c>
      <c r="O155" s="3" t="n">
        <v>3</v>
      </c>
      <c r="P155" s="3" t="n">
        <v>2</v>
      </c>
      <c r="Q155" s="3" t="n">
        <v>1</v>
      </c>
      <c r="R155" s="3" t="inlineStr">
        <is>
          <t>ISO 45001; ISO 22320; ISO 31030; ISO 18788; ISO 22301; NFPA; local OH&amp;S rules</t>
        </is>
      </c>
      <c r="S155" s="3" t="inlineStr">
        <is>
          <t>Policy/SOP; owner/RACI; system report; dashboard; contracts; test records; incident history; interview evidence related to security guarding, CCTV, alarm monitoring and response procedures.</t>
        </is>
      </c>
      <c r="T155" s="3" t="inlineStr">
        <is>
          <t>Safety incident; Physical site loss; War/security crisis; Natural disaster</t>
        </is>
      </c>
      <c r="U155" s="3" t="inlineStr">
        <is>
          <t>Facilities / Security / HSE</t>
        </is>
      </c>
      <c r="V155" s="3" t="inlineStr">
        <is>
          <t>Physical Safety!15</t>
        </is>
      </c>
    </row>
    <row r="156" ht="85.5" customHeight="1" s="209">
      <c r="A156" s="3" t="inlineStr">
        <is>
          <t>PHYS-012</t>
        </is>
      </c>
      <c r="B156" s="3" t="inlineStr">
        <is>
          <t>Physical Safety</t>
        </is>
      </c>
      <c r="C156" s="3" t="inlineStr">
        <is>
          <t>Facilities and access</t>
        </is>
      </c>
      <c r="D156" s="3" t="inlineStr">
        <is>
          <t>How mature is the organization in managing physical asset protection against theft, sabotage, environmental damage and unauthorized access, including ownership, evidence, metrics, fallback procedures and crisis stress testing?</t>
        </is>
      </c>
      <c r="E156" s="3" t="inlineStr">
        <is>
          <t>Establish a basic owner and inventory for physical asset protection against theft, sabotage, environmental damage and unauthorized access. Define minimum policy, evidence location and immediate crisis relevance.</t>
        </is>
      </c>
      <c r="F156" s="3" t="inlineStr">
        <is>
          <t>Document physical asset protection against theft, sabotage, environmental damage and unauthorized access, assign RACI, define minimum controls/KPIs and collect evidence across the main business units or sites.</t>
        </is>
      </c>
      <c r="G156" s="3" t="inlineStr">
        <is>
          <t>Standardize physical asset protection against theft, sabotage, environmental damage and unauthorized access across the organization, close coverage gaps, link it to crisis scenarios and train accountable roles.</t>
        </is>
      </c>
      <c r="H156" s="3" t="inlineStr">
        <is>
          <t>Measure physical asset protection against theft, sabotage, environmental damage and unauthorized access, review it periodically, test it against disruption scenarios and integrate it with dependent processes or systems.</t>
        </is>
      </c>
      <c r="I156" s="3" t="inlineStr">
        <is>
          <t>Optimize and automate physical asset protection against theft, sabotage, environmental damage and unauthorized access where practical, use leading indicators, run periodic stress tests and update the crisis playbook.</t>
        </is>
      </c>
      <c r="J156" s="3" t="inlineStr">
        <is>
          <t>Maintain maturity for physical asset protection against theft, sabotage, environmental damage and unauthorized access. Monitor drift, keep evidence current, benchmark externally and refresh tests after major changes.</t>
        </is>
      </c>
      <c r="K156" s="3" t="inlineStr">
        <is>
          <t>Reduces exposure to Safety incident; Physical site loss; War/security crisis; Natural disaster; improves Facilities and access maturity, continuity and management visibility.</t>
        </is>
      </c>
      <c r="L156" s="3" t="n">
        <v>5</v>
      </c>
      <c r="M156" s="3" t="n">
        <v>5</v>
      </c>
      <c r="N156" s="3" t="n">
        <v>4</v>
      </c>
      <c r="O156" s="3" t="n">
        <v>3</v>
      </c>
      <c r="P156" s="3" t="n">
        <v>2</v>
      </c>
      <c r="Q156" s="3" t="n">
        <v>1</v>
      </c>
      <c r="R156" s="3" t="inlineStr">
        <is>
          <t>ISO 45001; ISO 22320; ISO 31030; ISO 18788; ISO 22301; NFPA; local OH&amp;S rules</t>
        </is>
      </c>
      <c r="S156" s="3" t="inlineStr">
        <is>
          <t>Policy/SOP; owner/RACI; system report; dashboard; contracts; test records; incident history; interview evidence related to physical asset protection against theft, sabotage, environmental damage and unauthorized access.</t>
        </is>
      </c>
      <c r="T156" s="3" t="inlineStr">
        <is>
          <t>Safety incident; Physical site loss; War/security crisis; Natural disaster</t>
        </is>
      </c>
      <c r="U156" s="3" t="inlineStr">
        <is>
          <t>Facilities / Security / HSE</t>
        </is>
      </c>
      <c r="V156" s="3" t="inlineStr">
        <is>
          <t>Physical Safety!16</t>
        </is>
      </c>
    </row>
    <row r="157" ht="99.75" customHeight="1" s="209">
      <c r="A157" s="3" t="inlineStr">
        <is>
          <t>PHYS-013</t>
        </is>
      </c>
      <c r="B157" s="3" t="inlineStr">
        <is>
          <t>Physical Safety</t>
        </is>
      </c>
      <c r="C157" s="3" t="inlineStr">
        <is>
          <t>Emergency response</t>
        </is>
      </c>
      <c r="D157" s="3" t="inlineStr">
        <is>
          <t>How mature is the organization in managing emergency response plans for fire, medical emergency, violence, bomb threat, shelling, evacuation, shelter-in-place and utility failure, including ownership, evidence, metrics, fallback procedures and crisis stress testing?</t>
        </is>
      </c>
      <c r="E157" s="3" t="inlineStr">
        <is>
          <t>Establish a basic owner and inventory for emergency response plans for fire, medical emergency, violence, bomb threat, shelling, evacuation, shelter-in-place and utility failure. Define minimum policy, evidence location and immediate crisis relevance.</t>
        </is>
      </c>
      <c r="F157" s="3" t="inlineStr">
        <is>
          <t>Document emergency response plans for fire, medical emergency, violence, bomb threat, shelling, evacuation, shelter-in-place and utility failure, assign RACI, define minimum controls/KPIs and collect evidence across the main business units or sites.</t>
        </is>
      </c>
      <c r="G157" s="3" t="inlineStr">
        <is>
          <t>Standardize emergency response plans for fire, medical emergency, violence, bomb threat, shelling, evacuation, shelter-in-place and utility failure across the organization, close coverage gaps, link it to crisis scenarios and train accountable roles.</t>
        </is>
      </c>
      <c r="H157" s="3" t="inlineStr">
        <is>
          <t>Measure emergency response plans for fire, medical emergency, violence, bomb threat, shelling, evacuation, shelter-in-place and utility failure, review it periodically, test it against disruption scenarios and integrate it with dependent processes or systems.</t>
        </is>
      </c>
      <c r="I157" s="3" t="inlineStr">
        <is>
          <t>Optimize and automate emergency response plans for fire, medical emergency, violence, bomb threat, shelling, evacuation, shelter-in-place and utility failure where practical, use leading indicators, run periodic stress tests and update the crisis playbook.</t>
        </is>
      </c>
      <c r="J157" s="3" t="inlineStr">
        <is>
          <t>Maintain maturity for emergency response plans for fire, medical emergency, violence, bomb threat, shelling, evacuation, shelter-in-place and utility failure. Monitor drift, keep evidence current, benchmark externally and refresh tests after major changes.</t>
        </is>
      </c>
      <c r="K157" s="3" t="inlineStr">
        <is>
          <t>Reduces exposure to Safety incident; Physical site loss; War/security crisis; Natural disaster; improves Emergency response maturity, continuity and management visibility.</t>
        </is>
      </c>
      <c r="L157" s="3" t="n">
        <v>5</v>
      </c>
      <c r="M157" s="3" t="n">
        <v>5</v>
      </c>
      <c r="N157" s="3" t="n">
        <v>4</v>
      </c>
      <c r="O157" s="3" t="n">
        <v>3</v>
      </c>
      <c r="P157" s="3" t="n">
        <v>2</v>
      </c>
      <c r="Q157" s="3" t="n">
        <v>1</v>
      </c>
      <c r="R157" s="3" t="inlineStr">
        <is>
          <t>ISO 45001; ISO 22320; ISO 31030; ISO 18788; ISO 22301; NFPA; local OH&amp;S rules</t>
        </is>
      </c>
      <c r="S157" s="3" t="inlineStr">
        <is>
          <t>Policy/SOP; owner/RACI; system report; dashboard; contracts; test records; incident history; interview evidence related to emergency response plans for fire, medical emergency, violence, bomb threat, shelling, evacuation, shelter-in-place and utility failure.</t>
        </is>
      </c>
      <c r="T157" s="3" t="inlineStr">
        <is>
          <t>Safety incident; Physical site loss; War/security crisis; Natural disaster</t>
        </is>
      </c>
      <c r="U157" s="3" t="inlineStr">
        <is>
          <t>Facilities / Security / HSE</t>
        </is>
      </c>
      <c r="V157" s="3" t="inlineStr">
        <is>
          <t>Physical Safety!17</t>
        </is>
      </c>
    </row>
    <row r="158" ht="85.5" customHeight="1" s="209">
      <c r="A158" s="3" t="inlineStr">
        <is>
          <t>PHYS-014</t>
        </is>
      </c>
      <c r="B158" s="3" t="inlineStr">
        <is>
          <t>Physical Safety</t>
        </is>
      </c>
      <c r="C158" s="3" t="inlineStr">
        <is>
          <t>Emergency response</t>
        </is>
      </c>
      <c r="D158" s="3" t="inlineStr">
        <is>
          <t>How mature is the organization in managing evacuation and shelter drills with attendance, outcomes and corrective actions, including ownership, evidence, metrics, fallback procedures and crisis stress testing?</t>
        </is>
      </c>
      <c r="E158" s="3" t="inlineStr">
        <is>
          <t>Establish a basic owner and inventory for evacuation and shelter drills with attendance, outcomes and corrective actions. Define minimum policy, evidence location and immediate crisis relevance.</t>
        </is>
      </c>
      <c r="F158" s="3" t="inlineStr">
        <is>
          <t>Document evacuation and shelter drills with attendance, outcomes and corrective actions, assign RACI, define minimum controls/KPIs and collect evidence across the main business units or sites.</t>
        </is>
      </c>
      <c r="G158" s="3" t="inlineStr">
        <is>
          <t>Standardize evacuation and shelter drills with attendance, outcomes and corrective actions across the organization, close coverage gaps, link it to crisis scenarios and train accountable roles.</t>
        </is>
      </c>
      <c r="H158" s="3" t="inlineStr">
        <is>
          <t>Measure evacuation and shelter drills with attendance, outcomes and corrective actions, review it periodically, test it against disruption scenarios and integrate it with dependent processes or systems.</t>
        </is>
      </c>
      <c r="I158" s="3" t="inlineStr">
        <is>
          <t>Optimize and automate evacuation and shelter drills with attendance, outcomes and corrective actions where practical, use leading indicators, run periodic stress tests and update the crisis playbook.</t>
        </is>
      </c>
      <c r="J158" s="3" t="inlineStr">
        <is>
          <t>Maintain maturity for evacuation and shelter drills with attendance, outcomes and corrective actions. Monitor drift, keep evidence current, benchmark externally and refresh tests after major changes.</t>
        </is>
      </c>
      <c r="K158" s="3" t="inlineStr">
        <is>
          <t>Reduces exposure to Safety incident; Physical site loss; War/security crisis; Natural disaster; improves Emergency response maturity, continuity and management visibility.</t>
        </is>
      </c>
      <c r="L158" s="3" t="n">
        <v>5</v>
      </c>
      <c r="M158" s="3" t="n">
        <v>5</v>
      </c>
      <c r="N158" s="3" t="n">
        <v>4</v>
      </c>
      <c r="O158" s="3" t="n">
        <v>3</v>
      </c>
      <c r="P158" s="3" t="n">
        <v>2</v>
      </c>
      <c r="Q158" s="3" t="n">
        <v>1</v>
      </c>
      <c r="R158" s="3" t="inlineStr">
        <is>
          <t>ISO 45001; ISO 22320; ISO 31030; ISO 18788; ISO 22301; NFPA; local OH&amp;S rules</t>
        </is>
      </c>
      <c r="S158" s="3" t="inlineStr">
        <is>
          <t>Policy/SOP; owner/RACI; system report; dashboard; contracts; test records; incident history; interview evidence related to evacuation and shelter drills with attendance, outcomes and corrective actions.</t>
        </is>
      </c>
      <c r="T158" s="3" t="inlineStr">
        <is>
          <t>Safety incident; Physical site loss; War/security crisis; Natural disaster</t>
        </is>
      </c>
      <c r="U158" s="3" t="inlineStr">
        <is>
          <t>Facilities / Security / HSE</t>
        </is>
      </c>
      <c r="V158" s="3" t="inlineStr">
        <is>
          <t>Physical Safety!18</t>
        </is>
      </c>
    </row>
    <row r="159" ht="85.5" customHeight="1" s="209">
      <c r="A159" s="3" t="inlineStr">
        <is>
          <t>PHYS-015</t>
        </is>
      </c>
      <c r="B159" s="3" t="inlineStr">
        <is>
          <t>Physical Safety</t>
        </is>
      </c>
      <c r="C159" s="3" t="inlineStr">
        <is>
          <t>Emergency response</t>
        </is>
      </c>
      <c r="D159" s="3" t="inlineStr">
        <is>
          <t>How mature is the organization in managing first aid readiness with trained responders, AEDs, medical contacts and first aid supplies, including ownership, evidence, metrics, fallback procedures and crisis stress testing?</t>
        </is>
      </c>
      <c r="E159" s="3" t="inlineStr">
        <is>
          <t>Establish a basic owner and inventory for first aid readiness with trained responders, AEDs, medical contacts and first aid supplies. Define minimum policy, evidence location and immediate crisis relevance.</t>
        </is>
      </c>
      <c r="F159" s="3" t="inlineStr">
        <is>
          <t>Document first aid readiness with trained responders, AEDs, medical contacts and first aid supplies, assign RACI, define minimum controls/KPIs and collect evidence across the main business units or sites.</t>
        </is>
      </c>
      <c r="G159" s="3" t="inlineStr">
        <is>
          <t>Standardize first aid readiness with trained responders, AEDs, medical contacts and first aid supplies across the organization, close coverage gaps, link it to crisis scenarios and train accountable roles.</t>
        </is>
      </c>
      <c r="H159" s="3" t="inlineStr">
        <is>
          <t>Measure first aid readiness with trained responders, AEDs, medical contacts and first aid supplies, review it periodically, test it against disruption scenarios and integrate it with dependent processes or systems.</t>
        </is>
      </c>
      <c r="I159" s="3" t="inlineStr">
        <is>
          <t>Optimize and automate first aid readiness with trained responders, AEDs, medical contacts and first aid supplies where practical, use leading indicators, run periodic stress tests and update the crisis playbook.</t>
        </is>
      </c>
      <c r="J159" s="3" t="inlineStr">
        <is>
          <t>Maintain maturity for first aid readiness with trained responders, AEDs, medical contacts and first aid supplies. Monitor drift, keep evidence current, benchmark externally and refresh tests after major changes.</t>
        </is>
      </c>
      <c r="K159" s="3" t="inlineStr">
        <is>
          <t>Reduces exposure to Safety incident; Physical site loss; War/security crisis; Natural disaster; improves Emergency response maturity, continuity and management visibility.</t>
        </is>
      </c>
      <c r="L159" s="3" t="n">
        <v>5</v>
      </c>
      <c r="M159" s="3" t="n">
        <v>5</v>
      </c>
      <c r="N159" s="3" t="n">
        <v>4</v>
      </c>
      <c r="O159" s="3" t="n">
        <v>3</v>
      </c>
      <c r="P159" s="3" t="n">
        <v>2</v>
      </c>
      <c r="Q159" s="3" t="n">
        <v>1</v>
      </c>
      <c r="R159" s="3" t="inlineStr">
        <is>
          <t>ISO 45001; ISO 22320; ISO 31030; ISO 18788; ISO 22301; NFPA; local OH&amp;S rules</t>
        </is>
      </c>
      <c r="S159" s="3" t="inlineStr">
        <is>
          <t>Policy/SOP; owner/RACI; system report; dashboard; contracts; test records; incident history; interview evidence related to first aid readiness with trained responders, AEDs, medical contacts and first aid supplies.</t>
        </is>
      </c>
      <c r="T159" s="3" t="inlineStr">
        <is>
          <t>Safety incident; Physical site loss; War/security crisis; Natural disaster</t>
        </is>
      </c>
      <c r="U159" s="3" t="inlineStr">
        <is>
          <t>Facilities / Security / HSE</t>
        </is>
      </c>
      <c r="V159" s="3" t="inlineStr">
        <is>
          <t>Physical Safety!19</t>
        </is>
      </c>
    </row>
    <row r="160" ht="71.25" customHeight="1" s="209">
      <c r="A160" s="3" t="inlineStr">
        <is>
          <t>PHYS-016</t>
        </is>
      </c>
      <c r="B160" s="3" t="inlineStr">
        <is>
          <t>Physical Safety</t>
        </is>
      </c>
      <c r="C160" s="3" t="inlineStr">
        <is>
          <t>Emergency response</t>
        </is>
      </c>
      <c r="D160" s="3" t="inlineStr">
        <is>
          <t>How mature is the organization in managing mass notification to employees, visitors and contractors during site emergencies, including ownership, evidence, metrics, fallback procedures and crisis stress testing?</t>
        </is>
      </c>
      <c r="E160" s="3" t="inlineStr">
        <is>
          <t>Establish a basic owner and inventory for mass notification to employees, visitors and contractors during site emergencies. Define minimum policy, evidence location and immediate crisis relevance.</t>
        </is>
      </c>
      <c r="F160" s="3" t="inlineStr">
        <is>
          <t>Document mass notification to employees, visitors and contractors during site emergencies, assign RACI, define minimum controls/KPIs and collect evidence across the main business units or sites.</t>
        </is>
      </c>
      <c r="G160" s="3" t="inlineStr">
        <is>
          <t>Standardize mass notification to employees, visitors and contractors during site emergencies across the organization, close coverage gaps, link it to crisis scenarios and train accountable roles.</t>
        </is>
      </c>
      <c r="H160" s="3" t="inlineStr">
        <is>
          <t>Measure mass notification to employees, visitors and contractors during site emergencies, review it periodically, test it against disruption scenarios and integrate it with dependent processes or systems.</t>
        </is>
      </c>
      <c r="I160" s="3" t="inlineStr">
        <is>
          <t>Optimize and automate mass notification to employees, visitors and contractors during site emergencies where practical, use leading indicators, run periodic stress tests and update the crisis playbook.</t>
        </is>
      </c>
      <c r="J160" s="3" t="inlineStr">
        <is>
          <t>Maintain maturity for mass notification to employees, visitors and contractors during site emergencies. Monitor drift, keep evidence current, benchmark externally and refresh tests after major changes.</t>
        </is>
      </c>
      <c r="K160" s="3" t="inlineStr">
        <is>
          <t>Reduces exposure to Safety incident; Physical site loss; War/security crisis; Natural disaster; improves Emergency response maturity, continuity and management visibility.</t>
        </is>
      </c>
      <c r="L160" s="3" t="n">
        <v>5</v>
      </c>
      <c r="M160" s="3" t="n">
        <v>5</v>
      </c>
      <c r="N160" s="3" t="n">
        <v>4</v>
      </c>
      <c r="O160" s="3" t="n">
        <v>3</v>
      </c>
      <c r="P160" s="3" t="n">
        <v>2</v>
      </c>
      <c r="Q160" s="3" t="n">
        <v>1</v>
      </c>
      <c r="R160" s="3" t="inlineStr">
        <is>
          <t>ISO 45001; ISO 22320; ISO 31030; ISO 18788; ISO 22301; NFPA; local OH&amp;S rules</t>
        </is>
      </c>
      <c r="S160" s="3" t="inlineStr">
        <is>
          <t>Policy/SOP; owner/RACI; system report; dashboard; contracts; test records; incident history; interview evidence related to mass notification to employees, visitors and contractors during site emergencies.</t>
        </is>
      </c>
      <c r="T160" s="3" t="inlineStr">
        <is>
          <t>Safety incident; Physical site loss; War/security crisis; Natural disaster</t>
        </is>
      </c>
      <c r="U160" s="3" t="inlineStr">
        <is>
          <t>Facilities / Security / HSE</t>
        </is>
      </c>
      <c r="V160" s="3" t="inlineStr">
        <is>
          <t>Physical Safety!20</t>
        </is>
      </c>
    </row>
    <row r="161" ht="71.25" customHeight="1" s="209">
      <c r="A161" s="3" t="inlineStr">
        <is>
          <t>PHYS-017</t>
        </is>
      </c>
      <c r="B161" s="3" t="inlineStr">
        <is>
          <t>Physical Safety</t>
        </is>
      </c>
      <c r="C161" s="3" t="inlineStr">
        <is>
          <t>Emergency response</t>
        </is>
      </c>
      <c r="D161" s="3" t="inlineStr">
        <is>
          <t>How mature is the organization in managing employee and visitor accountability after evacuation or sheltering, including ownership, evidence, metrics, fallback procedures and crisis stress testing?</t>
        </is>
      </c>
      <c r="E161" s="3" t="inlineStr">
        <is>
          <t>Establish a basic owner and inventory for employee and visitor accountability after evacuation or sheltering. Define minimum policy, evidence location and immediate crisis relevance.</t>
        </is>
      </c>
      <c r="F161" s="3" t="inlineStr">
        <is>
          <t>Document employee and visitor accountability after evacuation or sheltering, assign RACI, define minimum controls/KPIs and collect evidence across the main business units or sites.</t>
        </is>
      </c>
      <c r="G161" s="3" t="inlineStr">
        <is>
          <t>Standardize employee and visitor accountability after evacuation or sheltering across the organization, close coverage gaps, link it to crisis scenarios and train accountable roles.</t>
        </is>
      </c>
      <c r="H161" s="3" t="inlineStr">
        <is>
          <t>Measure employee and visitor accountability after evacuation or sheltering, review it periodically, test it against disruption scenarios and integrate it with dependent processes or systems.</t>
        </is>
      </c>
      <c r="I161" s="3" t="inlineStr">
        <is>
          <t>Optimize and automate employee and visitor accountability after evacuation or sheltering where practical, use leading indicators, run periodic stress tests and update the crisis playbook.</t>
        </is>
      </c>
      <c r="J161" s="3" t="inlineStr">
        <is>
          <t>Maintain maturity for employee and visitor accountability after evacuation or sheltering. Monitor drift, keep evidence current, benchmark externally and refresh tests after major changes.</t>
        </is>
      </c>
      <c r="K161" s="3" t="inlineStr">
        <is>
          <t>Reduces exposure to Safety incident; Physical site loss; War/security crisis; Natural disaster; improves Emergency response maturity, continuity and management visibility.</t>
        </is>
      </c>
      <c r="L161" s="3" t="n">
        <v>5</v>
      </c>
      <c r="M161" s="3" t="n">
        <v>5</v>
      </c>
      <c r="N161" s="3" t="n">
        <v>4</v>
      </c>
      <c r="O161" s="3" t="n">
        <v>3</v>
      </c>
      <c r="P161" s="3" t="n">
        <v>2</v>
      </c>
      <c r="Q161" s="3" t="n">
        <v>1</v>
      </c>
      <c r="R161" s="3" t="inlineStr">
        <is>
          <t>ISO 45001; ISO 22320; ISO 31030; ISO 18788; ISO 22301; NFPA; local OH&amp;S rules</t>
        </is>
      </c>
      <c r="S161" s="3" t="inlineStr">
        <is>
          <t>Policy/SOP; owner/RACI; system report; dashboard; contracts; test records; incident history; interview evidence related to employee and visitor accountability after evacuation or sheltering.</t>
        </is>
      </c>
      <c r="T161" s="3" t="inlineStr">
        <is>
          <t>Safety incident; Physical site loss; War/security crisis; Natural disaster</t>
        </is>
      </c>
      <c r="U161" s="3" t="inlineStr">
        <is>
          <t>Facilities / Security / HSE</t>
        </is>
      </c>
      <c r="V161" s="3" t="inlineStr">
        <is>
          <t>Physical Safety!21</t>
        </is>
      </c>
    </row>
    <row r="162" ht="85.5" customHeight="1" s="209">
      <c r="A162" s="3" t="inlineStr">
        <is>
          <t>PHYS-018</t>
        </is>
      </c>
      <c r="B162" s="3" t="inlineStr">
        <is>
          <t>Physical Safety</t>
        </is>
      </c>
      <c r="C162" s="3" t="inlineStr">
        <is>
          <t>Emergency response</t>
        </is>
      </c>
      <c r="D162" s="3" t="inlineStr">
        <is>
          <t>How mature is the organization in managing emergency supplies such as water, batteries, power banks, fuel, PPE, radios and flashlights, including ownership, evidence, metrics, fallback procedures and crisis stress testing?</t>
        </is>
      </c>
      <c r="E162" s="3" t="inlineStr">
        <is>
          <t>Establish a basic owner and inventory for emergency supplies such as water, batteries, power banks, fuel, PPE, radios and flashlights. Define minimum policy, evidence location and immediate crisis relevance.</t>
        </is>
      </c>
      <c r="F162" s="3" t="inlineStr">
        <is>
          <t>Document emergency supplies such as water, batteries, power banks, fuel, PPE, radios and flashlights, assign RACI, define minimum controls/KPIs and collect evidence across the main business units or sites.</t>
        </is>
      </c>
      <c r="G162" s="3" t="inlineStr">
        <is>
          <t>Standardize emergency supplies such as water, batteries, power banks, fuel, PPE, radios and flashlights across the organization, close coverage gaps, link it to crisis scenarios and train accountable roles.</t>
        </is>
      </c>
      <c r="H162" s="3" t="inlineStr">
        <is>
          <t>Measure emergency supplies such as water, batteries, power banks, fuel, PPE, radios and flashlights, review it periodically, test it against disruption scenarios and integrate it with dependent processes or systems.</t>
        </is>
      </c>
      <c r="I162" s="3" t="inlineStr">
        <is>
          <t>Optimize and automate emergency supplies such as water, batteries, power banks, fuel, PPE, radios and flashlights where practical, use leading indicators, run periodic stress tests and update the crisis playbook.</t>
        </is>
      </c>
      <c r="J162" s="3" t="inlineStr">
        <is>
          <t>Maintain maturity for emergency supplies such as water, batteries, power banks, fuel, PPE, radios and flashlights. Monitor drift, keep evidence current, benchmark externally and refresh tests after major changes.</t>
        </is>
      </c>
      <c r="K162" s="3" t="inlineStr">
        <is>
          <t>Reduces exposure to Safety incident; Physical site loss; War/security crisis; Natural disaster; improves Emergency response maturity, continuity and management visibility.</t>
        </is>
      </c>
      <c r="L162" s="3" t="n">
        <v>5</v>
      </c>
      <c r="M162" s="3" t="n">
        <v>5</v>
      </c>
      <c r="N162" s="3" t="n">
        <v>4</v>
      </c>
      <c r="O162" s="3" t="n">
        <v>3</v>
      </c>
      <c r="P162" s="3" t="n">
        <v>2</v>
      </c>
      <c r="Q162" s="3" t="n">
        <v>1</v>
      </c>
      <c r="R162" s="3" t="inlineStr">
        <is>
          <t>ISO 45001; ISO 22320; ISO 31030; ISO 18788; ISO 22301; NFPA; local OH&amp;S rules</t>
        </is>
      </c>
      <c r="S162" s="3" t="inlineStr">
        <is>
          <t>Policy/SOP; owner/RACI; system report; dashboard; contracts; test records; incident history; interview evidence related to emergency supplies such as water, batteries, power banks, fuel, PPE, radios and flashlights.</t>
        </is>
      </c>
      <c r="T162" s="3" t="inlineStr">
        <is>
          <t>Safety incident; Physical site loss; War/security crisis; Natural disaster</t>
        </is>
      </c>
      <c r="U162" s="3" t="inlineStr">
        <is>
          <t>Facilities / Security / HSE</t>
        </is>
      </c>
      <c r="V162" s="3" t="inlineStr">
        <is>
          <t>Physical Safety!22</t>
        </is>
      </c>
    </row>
    <row r="163" ht="85.5" customHeight="1" s="209">
      <c r="A163" s="3" t="inlineStr">
        <is>
          <t>PHYS-019</t>
        </is>
      </c>
      <c r="B163" s="3" t="inlineStr">
        <is>
          <t>Physical Safety</t>
        </is>
      </c>
      <c r="C163" s="3" t="inlineStr">
        <is>
          <t>Security and travel</t>
        </is>
      </c>
      <c r="D163" s="3" t="inlineStr">
        <is>
          <t>How mature is the organization in managing air raid, shelling, curfew, checkpoints, movement restriction and shelter procedures for high-risk geographies, including ownership, evidence, metrics, fallback procedures and crisis stress testing?</t>
        </is>
      </c>
      <c r="E163" s="3" t="inlineStr">
        <is>
          <t>Establish a basic owner and inventory for air raid, shelling, curfew, checkpoints, movement restriction and shelter procedures for high-risk geographies. Define minimum policy, evidence location and immediate crisis relevance.</t>
        </is>
      </c>
      <c r="F163" s="3" t="inlineStr">
        <is>
          <t>Document air raid, shelling, curfew, checkpoints, movement restriction and shelter procedures for high-risk geographies, assign RACI, define minimum controls/KPIs and collect evidence across the main business units or sites.</t>
        </is>
      </c>
      <c r="G163" s="3" t="inlineStr">
        <is>
          <t>Standardize air raid, shelling, curfew, checkpoints, movement restriction and shelter procedures for high-risk geographies across the organization, close coverage gaps, link it to crisis scenarios and train accountable roles.</t>
        </is>
      </c>
      <c r="H163" s="3" t="inlineStr">
        <is>
          <t>Measure air raid, shelling, curfew, checkpoints, movement restriction and shelter procedures for high-risk geographies, review it periodically, test it against disruption scenarios and integrate it with dependent processes or systems.</t>
        </is>
      </c>
      <c r="I163" s="3" t="inlineStr">
        <is>
          <t>Optimize and automate air raid, shelling, curfew, checkpoints, movement restriction and shelter procedures for high-risk geographies where practical, use leading indicators, run periodic stress tests and update the crisis playbook.</t>
        </is>
      </c>
      <c r="J163" s="3" t="inlineStr">
        <is>
          <t>Maintain maturity for air raid, shelling, curfew, checkpoints, movement restriction and shelter procedures for high-risk geographies. Monitor drift, keep evidence current, benchmark externally and refresh tests after major changes.</t>
        </is>
      </c>
      <c r="K163" s="3" t="inlineStr">
        <is>
          <t>Reduces exposure to Safety incident; Physical site loss; War/security crisis; Natural disaster; improves Security and travel maturity, continuity and management visibility.</t>
        </is>
      </c>
      <c r="L163" s="3" t="n">
        <v>5</v>
      </c>
      <c r="M163" s="3" t="n">
        <v>5</v>
      </c>
      <c r="N163" s="3" t="n">
        <v>4</v>
      </c>
      <c r="O163" s="3" t="n">
        <v>3</v>
      </c>
      <c r="P163" s="3" t="n">
        <v>2</v>
      </c>
      <c r="Q163" s="3" t="n">
        <v>1</v>
      </c>
      <c r="R163" s="3" t="inlineStr">
        <is>
          <t>ISO 45001; ISO 22320; ISO 31030; ISO 18788; ISO 22301; NFPA; local OH&amp;S rules</t>
        </is>
      </c>
      <c r="S163" s="3" t="inlineStr">
        <is>
          <t>Policy/SOP; owner/RACI; system report; dashboard; contracts; test records; incident history; interview evidence related to air raid, shelling, curfew, checkpoints, movement restriction and shelter procedures for high-risk geographies.</t>
        </is>
      </c>
      <c r="T163" s="3" t="inlineStr">
        <is>
          <t>Safety incident; Physical site loss; War/security crisis; Natural disaster</t>
        </is>
      </c>
      <c r="U163" s="3" t="inlineStr">
        <is>
          <t>Facilities / Security / HSE</t>
        </is>
      </c>
      <c r="V163" s="3" t="inlineStr">
        <is>
          <t>Physical Safety!23</t>
        </is>
      </c>
    </row>
    <row r="164" ht="71.25" customHeight="1" s="209">
      <c r="A164" s="3" t="inlineStr">
        <is>
          <t>PHYS-020</t>
        </is>
      </c>
      <c r="B164" s="3" t="inlineStr">
        <is>
          <t>Physical Safety</t>
        </is>
      </c>
      <c r="C164" s="3" t="inlineStr">
        <is>
          <t>Security and travel</t>
        </is>
      </c>
      <c r="D164" s="3" t="inlineStr">
        <is>
          <t>How mature is the organization in managing relocation and evacuation options for employees and critical teams, including ownership, evidence, metrics, fallback procedures and crisis stress testing?</t>
        </is>
      </c>
      <c r="E164" s="3" t="inlineStr">
        <is>
          <t>Establish a basic owner and inventory for relocation and evacuation options for employees and critical teams. Define minimum policy, evidence location and immediate crisis relevance.</t>
        </is>
      </c>
      <c r="F164" s="3" t="inlineStr">
        <is>
          <t>Document relocation and evacuation options for employees and critical teams, assign RACI, define minimum controls/KPIs and collect evidence across the main business units or sites.</t>
        </is>
      </c>
      <c r="G164" s="3" t="inlineStr">
        <is>
          <t>Standardize relocation and evacuation options for employees and critical teams across the organization, close coverage gaps, link it to crisis scenarios and train accountable roles.</t>
        </is>
      </c>
      <c r="H164" s="3" t="inlineStr">
        <is>
          <t>Measure relocation and evacuation options for employees and critical teams, review it periodically, test it against disruption scenarios and integrate it with dependent processes or systems.</t>
        </is>
      </c>
      <c r="I164" s="3" t="inlineStr">
        <is>
          <t>Optimize and automate relocation and evacuation options for employees and critical teams where practical, use leading indicators, run periodic stress tests and update the crisis playbook.</t>
        </is>
      </c>
      <c r="J164" s="3" t="inlineStr">
        <is>
          <t>Maintain maturity for relocation and evacuation options for employees and critical teams. Monitor drift, keep evidence current, benchmark externally and refresh tests after major changes.</t>
        </is>
      </c>
      <c r="K164" s="3" t="inlineStr">
        <is>
          <t>Reduces exposure to Safety incident; Physical site loss; War/security crisis; Natural disaster; improves Security and travel maturity, continuity and management visibility.</t>
        </is>
      </c>
      <c r="L164" s="3" t="n">
        <v>5</v>
      </c>
      <c r="M164" s="3" t="n">
        <v>5</v>
      </c>
      <c r="N164" s="3" t="n">
        <v>4</v>
      </c>
      <c r="O164" s="3" t="n">
        <v>3</v>
      </c>
      <c r="P164" s="3" t="n">
        <v>2</v>
      </c>
      <c r="Q164" s="3" t="n">
        <v>1</v>
      </c>
      <c r="R164" s="3" t="inlineStr">
        <is>
          <t>ISO 45001; ISO 22320; ISO 31030; ISO 18788; ISO 22301; NFPA; local OH&amp;S rules</t>
        </is>
      </c>
      <c r="S164" s="3" t="inlineStr">
        <is>
          <t>Policy/SOP; owner/RACI; system report; dashboard; contracts; test records; incident history; interview evidence related to relocation and evacuation options for employees and critical teams.</t>
        </is>
      </c>
      <c r="T164" s="3" t="inlineStr">
        <is>
          <t>Safety incident; Physical site loss; War/security crisis; Natural disaster</t>
        </is>
      </c>
      <c r="U164" s="3" t="inlineStr">
        <is>
          <t>Facilities / Security / HSE</t>
        </is>
      </c>
      <c r="V164" s="3" t="inlineStr">
        <is>
          <t>Physical Safety!24</t>
        </is>
      </c>
    </row>
    <row r="165" ht="85.5" customHeight="1" s="209">
      <c r="A165" s="3" t="inlineStr">
        <is>
          <t>PHYS-021</t>
        </is>
      </c>
      <c r="B165" s="3" t="inlineStr">
        <is>
          <t>Physical Safety</t>
        </is>
      </c>
      <c r="C165" s="3" t="inlineStr">
        <is>
          <t>Security and travel</t>
        </is>
      </c>
      <c r="D165" s="3" t="inlineStr">
        <is>
          <t>How mature is the organization in managing travel risk assessment by destination, route, purpose, employee profile and emergency support, including ownership, evidence, metrics, fallback procedures and crisis stress testing?</t>
        </is>
      </c>
      <c r="E165" s="3" t="inlineStr">
        <is>
          <t>Establish a basic owner and inventory for travel risk assessment by destination, route, purpose, employee profile and emergency support. Define minimum policy, evidence location and immediate crisis relevance.</t>
        </is>
      </c>
      <c r="F165" s="3" t="inlineStr">
        <is>
          <t>Document travel risk assessment by destination, route, purpose, employee profile and emergency support, assign RACI, define minimum controls/KPIs and collect evidence across the main business units or sites.</t>
        </is>
      </c>
      <c r="G165" s="3" t="inlineStr">
        <is>
          <t>Standardize travel risk assessment by destination, route, purpose, employee profile and emergency support across the organization, close coverage gaps, link it to crisis scenarios and train accountable roles.</t>
        </is>
      </c>
      <c r="H165" s="3" t="inlineStr">
        <is>
          <t>Measure travel risk assessment by destination, route, purpose, employee profile and emergency support, review it periodically, test it against disruption scenarios and integrate it with dependent processes or systems.</t>
        </is>
      </c>
      <c r="I165" s="3" t="inlineStr">
        <is>
          <t>Optimize and automate travel risk assessment by destination, route, purpose, employee profile and emergency support where practical, use leading indicators, run periodic stress tests and update the crisis playbook.</t>
        </is>
      </c>
      <c r="J165" s="3" t="inlineStr">
        <is>
          <t>Maintain maturity for travel risk assessment by destination, route, purpose, employee profile and emergency support. Monitor drift, keep evidence current, benchmark externally and refresh tests after major changes.</t>
        </is>
      </c>
      <c r="K165" s="3" t="inlineStr">
        <is>
          <t>Reduces exposure to Safety incident; Physical site loss; War/security crisis; Natural disaster; improves Security and travel maturity, continuity and management visibility.</t>
        </is>
      </c>
      <c r="L165" s="3" t="n">
        <v>5</v>
      </c>
      <c r="M165" s="3" t="n">
        <v>5</v>
      </c>
      <c r="N165" s="3" t="n">
        <v>4</v>
      </c>
      <c r="O165" s="3" t="n">
        <v>3</v>
      </c>
      <c r="P165" s="3" t="n">
        <v>2</v>
      </c>
      <c r="Q165" s="3" t="n">
        <v>1</v>
      </c>
      <c r="R165" s="3" t="inlineStr">
        <is>
          <t>ISO 45001; ISO 22320; ISO 31030; ISO 18788; ISO 22301; NFPA; local OH&amp;S rules</t>
        </is>
      </c>
      <c r="S165" s="3" t="inlineStr">
        <is>
          <t>Policy/SOP; owner/RACI; system report; dashboard; contracts; test records; incident history; interview evidence related to travel risk assessment by destination, route, purpose, employee profile and emergency support.</t>
        </is>
      </c>
      <c r="T165" s="3" t="inlineStr">
        <is>
          <t>Safety incident; Physical site loss; War/security crisis; Natural disaster</t>
        </is>
      </c>
      <c r="U165" s="3" t="inlineStr">
        <is>
          <t>Facilities / Security / HSE</t>
        </is>
      </c>
      <c r="V165" s="3" t="inlineStr">
        <is>
          <t>Physical Safety!25</t>
        </is>
      </c>
    </row>
    <row r="166" ht="71.25" customHeight="1" s="209">
      <c r="A166" s="3" t="inlineStr">
        <is>
          <t>PHYS-022</t>
        </is>
      </c>
      <c r="B166" s="3" t="inlineStr">
        <is>
          <t>Physical Safety</t>
        </is>
      </c>
      <c r="C166" s="3" t="inlineStr">
        <is>
          <t>Security and travel</t>
        </is>
      </c>
      <c r="D166" s="3" t="inlineStr">
        <is>
          <t>How mature is the organization in managing local threat monitoring for critical sites and geographies, including ownership, evidence, metrics, fallback procedures and crisis stress testing?</t>
        </is>
      </c>
      <c r="E166" s="3" t="inlineStr">
        <is>
          <t>Establish a basic owner and inventory for local threat monitoring for critical sites and geographies. Define minimum policy, evidence location and immediate crisis relevance.</t>
        </is>
      </c>
      <c r="F166" s="3" t="inlineStr">
        <is>
          <t>Document local threat monitoring for critical sites and geographies, assign RACI, define minimum controls/KPIs and collect evidence across the main business units or sites.</t>
        </is>
      </c>
      <c r="G166" s="3" t="inlineStr">
        <is>
          <t>Standardize local threat monitoring for critical sites and geographies across the organization, close coverage gaps, link it to crisis scenarios and train accountable roles.</t>
        </is>
      </c>
      <c r="H166" s="3" t="inlineStr">
        <is>
          <t>Measure local threat monitoring for critical sites and geographies, review it periodically, test it against disruption scenarios and integrate it with dependent processes or systems.</t>
        </is>
      </c>
      <c r="I166" s="3" t="inlineStr">
        <is>
          <t>Optimize and automate local threat monitoring for critical sites and geographies where practical, use leading indicators, run periodic stress tests and update the crisis playbook.</t>
        </is>
      </c>
      <c r="J166" s="3" t="inlineStr">
        <is>
          <t>Maintain maturity for local threat monitoring for critical sites and geographies. Monitor drift, keep evidence current, benchmark externally and refresh tests after major changes.</t>
        </is>
      </c>
      <c r="K166" s="3" t="inlineStr">
        <is>
          <t>Reduces exposure to Safety incident; Physical site loss; War/security crisis; Natural disaster; improves Security and travel maturity, continuity and management visibility.</t>
        </is>
      </c>
      <c r="L166" s="3" t="n">
        <v>5</v>
      </c>
      <c r="M166" s="3" t="n">
        <v>5</v>
      </c>
      <c r="N166" s="3" t="n">
        <v>4</v>
      </c>
      <c r="O166" s="3" t="n">
        <v>3</v>
      </c>
      <c r="P166" s="3" t="n">
        <v>2</v>
      </c>
      <c r="Q166" s="3" t="n">
        <v>1</v>
      </c>
      <c r="R166" s="3" t="inlineStr">
        <is>
          <t>ISO 45001; ISO 22320; ISO 31030; ISO 18788; ISO 22301; NFPA; local OH&amp;S rules</t>
        </is>
      </c>
      <c r="S166" s="3" t="inlineStr">
        <is>
          <t>Policy/SOP; owner/RACI; system report; dashboard; contracts; test records; incident history; interview evidence related to local threat monitoring for critical sites and geographies.</t>
        </is>
      </c>
      <c r="T166" s="3" t="inlineStr">
        <is>
          <t>Safety incident; Physical site loss; War/security crisis; Natural disaster</t>
        </is>
      </c>
      <c r="U166" s="3" t="inlineStr">
        <is>
          <t>Facilities / Security / HSE</t>
        </is>
      </c>
      <c r="V166" s="3" t="inlineStr">
        <is>
          <t>Physical Safety!26</t>
        </is>
      </c>
    </row>
    <row r="167" ht="71.25" customHeight="1" s="209">
      <c r="A167" s="3" t="inlineStr">
        <is>
          <t>PHYS-023</t>
        </is>
      </c>
      <c r="B167" s="3" t="inlineStr">
        <is>
          <t>Physical Safety</t>
        </is>
      </c>
      <c r="C167" s="3" t="inlineStr">
        <is>
          <t>Security and travel</t>
        </is>
      </c>
      <c r="D167" s="3" t="inlineStr">
        <is>
          <t>How mature is the organization in managing coordination with fire, police, medical, local administration and utility providers, including ownership, evidence, metrics, fallback procedures and crisis stress testing?</t>
        </is>
      </c>
      <c r="E167" s="3" t="inlineStr">
        <is>
          <t>Establish a basic owner and inventory for coordination with fire, police, medical, local administration and utility providers. Define minimum policy, evidence location and immediate crisis relevance.</t>
        </is>
      </c>
      <c r="F167" s="3" t="inlineStr">
        <is>
          <t>Document coordination with fire, police, medical, local administration and utility providers, assign RACI, define minimum controls/KPIs and collect evidence across the main business units or sites.</t>
        </is>
      </c>
      <c r="G167" s="3" t="inlineStr">
        <is>
          <t>Standardize coordination with fire, police, medical, local administration and utility providers across the organization, close coverage gaps, link it to crisis scenarios and train accountable roles.</t>
        </is>
      </c>
      <c r="H167" s="3" t="inlineStr">
        <is>
          <t>Measure coordination with fire, police, medical, local administration and utility providers, review it periodically, test it against disruption scenarios and integrate it with dependent processes or systems.</t>
        </is>
      </c>
      <c r="I167" s="3" t="inlineStr">
        <is>
          <t>Optimize and automate coordination with fire, police, medical, local administration and utility providers where practical, use leading indicators, run periodic stress tests and update the crisis playbook.</t>
        </is>
      </c>
      <c r="J167" s="3" t="inlineStr">
        <is>
          <t>Maintain maturity for coordination with fire, police, medical, local administration and utility providers. Monitor drift, keep evidence current, benchmark externally and refresh tests after major changes.</t>
        </is>
      </c>
      <c r="K167" s="3" t="inlineStr">
        <is>
          <t>Reduces exposure to Safety incident; Physical site loss; War/security crisis; Natural disaster; improves Security and travel maturity, continuity and management visibility.</t>
        </is>
      </c>
      <c r="L167" s="3" t="n">
        <v>5</v>
      </c>
      <c r="M167" s="3" t="n">
        <v>5</v>
      </c>
      <c r="N167" s="3" t="n">
        <v>4</v>
      </c>
      <c r="O167" s="3" t="n">
        <v>3</v>
      </c>
      <c r="P167" s="3" t="n">
        <v>2</v>
      </c>
      <c r="Q167" s="3" t="n">
        <v>1</v>
      </c>
      <c r="R167" s="3" t="inlineStr">
        <is>
          <t>ISO 45001; ISO 22320; ISO 31030; ISO 18788; ISO 22301; NFPA; local OH&amp;S rules</t>
        </is>
      </c>
      <c r="S167" s="3" t="inlineStr">
        <is>
          <t>Policy/SOP; owner/RACI; system report; dashboard; contracts; test records; incident history; interview evidence related to coordination with fire, police, medical, local administration and utility providers.</t>
        </is>
      </c>
      <c r="T167" s="3" t="inlineStr">
        <is>
          <t>Safety incident; Physical site loss; War/security crisis; Natural disaster</t>
        </is>
      </c>
      <c r="U167" s="3" t="inlineStr">
        <is>
          <t>Facilities / Security / HSE</t>
        </is>
      </c>
      <c r="V167" s="3" t="inlineStr">
        <is>
          <t>Physical Safety!27</t>
        </is>
      </c>
    </row>
    <row r="168" ht="85.5" customHeight="1" s="209">
      <c r="A168" s="3" t="inlineStr">
        <is>
          <t>PHYS-024</t>
        </is>
      </c>
      <c r="B168" s="3" t="inlineStr">
        <is>
          <t>Physical Safety</t>
        </is>
      </c>
      <c r="C168" s="3" t="inlineStr">
        <is>
          <t>Utilities and resilience</t>
        </is>
      </c>
      <c r="D168" s="3" t="inlineStr">
        <is>
          <t>How mature is the organization in managing backup power for critical sites with capacity, maintenance, fuel and test records, including ownership, evidence, metrics, fallback procedures and crisis stress testing?</t>
        </is>
      </c>
      <c r="E168" s="3" t="inlineStr">
        <is>
          <t>Establish a basic owner and inventory for backup power for critical sites with capacity, maintenance, fuel and test records. Define minimum policy, evidence location and immediate crisis relevance.</t>
        </is>
      </c>
      <c r="F168" s="3" t="inlineStr">
        <is>
          <t>Document backup power for critical sites with capacity, maintenance, fuel and test records, assign RACI, define minimum controls/KPIs and collect evidence across the main business units or sites.</t>
        </is>
      </c>
      <c r="G168" s="3" t="inlineStr">
        <is>
          <t>Standardize backup power for critical sites with capacity, maintenance, fuel and test records across the organization, close coverage gaps, link it to crisis scenarios and train accountable roles.</t>
        </is>
      </c>
      <c r="H168" s="3" t="inlineStr">
        <is>
          <t>Measure backup power for critical sites with capacity, maintenance, fuel and test records, review it periodically, test it against disruption scenarios and integrate it with dependent processes or systems.</t>
        </is>
      </c>
      <c r="I168" s="3" t="inlineStr">
        <is>
          <t>Optimize and automate backup power for critical sites with capacity, maintenance, fuel and test records where practical, use leading indicators, run periodic stress tests and update the crisis playbook.</t>
        </is>
      </c>
      <c r="J168" s="3" t="inlineStr">
        <is>
          <t>Maintain maturity for backup power for critical sites with capacity, maintenance, fuel and test records. Monitor drift, keep evidence current, benchmark externally and refresh tests after major changes.</t>
        </is>
      </c>
      <c r="K168" s="3" t="inlineStr">
        <is>
          <t>Reduces exposure to Safety incident; Physical site loss; War/security crisis; Natural disaster; improves Utilities and resilience maturity, continuity and management visibility.</t>
        </is>
      </c>
      <c r="L168" s="3" t="n">
        <v>5</v>
      </c>
      <c r="M168" s="3" t="n">
        <v>5</v>
      </c>
      <c r="N168" s="3" t="n">
        <v>4</v>
      </c>
      <c r="O168" s="3" t="n">
        <v>3</v>
      </c>
      <c r="P168" s="3" t="n">
        <v>2</v>
      </c>
      <c r="Q168" s="3" t="n">
        <v>1</v>
      </c>
      <c r="R168" s="3" t="inlineStr">
        <is>
          <t>ISO 45001; ISO 22320; ISO 31030; ISO 18788; ISO 22301; NFPA; local OH&amp;S rules</t>
        </is>
      </c>
      <c r="S168" s="3" t="inlineStr">
        <is>
          <t>Policy/SOP; owner/RACI; system report; dashboard; contracts; test records; incident history; interview evidence related to backup power for critical sites with capacity, maintenance, fuel and test records.</t>
        </is>
      </c>
      <c r="T168" s="3" t="inlineStr">
        <is>
          <t>Safety incident; Physical site loss; War/security crisis; Natural disaster</t>
        </is>
      </c>
      <c r="U168" s="3" t="inlineStr">
        <is>
          <t>Facilities / Security / HSE</t>
        </is>
      </c>
      <c r="V168" s="3" t="inlineStr">
        <is>
          <t>Physical Safety!28</t>
        </is>
      </c>
    </row>
    <row r="169" ht="85.5" customHeight="1" s="209">
      <c r="A169" s="3" t="inlineStr">
        <is>
          <t>PHYS-025</t>
        </is>
      </c>
      <c r="B169" s="3" t="inlineStr">
        <is>
          <t>Physical Safety</t>
        </is>
      </c>
      <c r="C169" s="3" t="inlineStr">
        <is>
          <t>Utilities and resilience</t>
        </is>
      </c>
      <c r="D169" s="3" t="inlineStr">
        <is>
          <t>How mature is the organization in managing water, sanitation, HVAC and environmental controls in facility continuity plans, including ownership, evidence, metrics, fallback procedures and crisis stress testing?</t>
        </is>
      </c>
      <c r="E169" s="3" t="inlineStr">
        <is>
          <t>Establish a basic owner and inventory for water, sanitation, HVAC and environmental controls in facility continuity plans. Define minimum policy, evidence location and immediate crisis relevance.</t>
        </is>
      </c>
      <c r="F169" s="3" t="inlineStr">
        <is>
          <t>Document water, sanitation, HVAC and environmental controls in facility continuity plans, assign RACI, define minimum controls/KPIs and collect evidence across the main business units or sites.</t>
        </is>
      </c>
      <c r="G169" s="3" t="inlineStr">
        <is>
          <t>Standardize water, sanitation, HVAC and environmental controls in facility continuity plans across the organization, close coverage gaps, link it to crisis scenarios and train accountable roles.</t>
        </is>
      </c>
      <c r="H169" s="3" t="inlineStr">
        <is>
          <t>Measure water, sanitation, HVAC and environmental controls in facility continuity plans, review it periodically, test it against disruption scenarios and integrate it with dependent processes or systems.</t>
        </is>
      </c>
      <c r="I169" s="3" t="inlineStr">
        <is>
          <t>Optimize and automate water, sanitation, HVAC and environmental controls in facility continuity plans where practical, use leading indicators, run periodic stress tests and update the crisis playbook.</t>
        </is>
      </c>
      <c r="J169" s="3" t="inlineStr">
        <is>
          <t>Maintain maturity for water, sanitation, HVAC and environmental controls in facility continuity plans. Monitor drift, keep evidence current, benchmark externally and refresh tests after major changes.</t>
        </is>
      </c>
      <c r="K169" s="3" t="inlineStr">
        <is>
          <t>Reduces exposure to Safety incident; Physical site loss; War/security crisis; Natural disaster; improves Utilities and resilience maturity, continuity and management visibility.</t>
        </is>
      </c>
      <c r="L169" s="3" t="n">
        <v>5</v>
      </c>
      <c r="M169" s="3" t="n">
        <v>5</v>
      </c>
      <c r="N169" s="3" t="n">
        <v>4</v>
      </c>
      <c r="O169" s="3" t="n">
        <v>3</v>
      </c>
      <c r="P169" s="3" t="n">
        <v>2</v>
      </c>
      <c r="Q169" s="3" t="n">
        <v>1</v>
      </c>
      <c r="R169" s="3" t="inlineStr">
        <is>
          <t>ISO 45001; ISO 22320; ISO 31030; ISO 18788; ISO 22301; NFPA; local OH&amp;S rules</t>
        </is>
      </c>
      <c r="S169" s="3" t="inlineStr">
        <is>
          <t>Policy/SOP; owner/RACI; system report; dashboard; contracts; test records; incident history; interview evidence related to water, sanitation, HVAC and environmental controls in facility continuity plans.</t>
        </is>
      </c>
      <c r="T169" s="3" t="inlineStr">
        <is>
          <t>Safety incident; Physical site loss; War/security crisis; Natural disaster</t>
        </is>
      </c>
      <c r="U169" s="3" t="inlineStr">
        <is>
          <t>Facilities / Security / HSE</t>
        </is>
      </c>
      <c r="V169" s="3" t="inlineStr">
        <is>
          <t>Physical Safety!29</t>
        </is>
      </c>
    </row>
    <row r="170" ht="71.25" customHeight="1" s="209">
      <c r="A170" s="3" t="inlineStr">
        <is>
          <t>PHYS-026</t>
        </is>
      </c>
      <c r="B170" s="3" t="inlineStr">
        <is>
          <t>Physical Safety</t>
        </is>
      </c>
      <c r="C170" s="3" t="inlineStr">
        <is>
          <t>Utilities and resilience</t>
        </is>
      </c>
      <c r="D170" s="3" t="inlineStr">
        <is>
          <t>How mature is the organization in managing backup internet and telecom connectivity at critical sites, including ownership, evidence, metrics, fallback procedures and crisis stress testing?</t>
        </is>
      </c>
      <c r="E170" s="3" t="inlineStr">
        <is>
          <t>Establish a basic owner and inventory for backup internet and telecom connectivity at critical sites. Define minimum policy, evidence location and immediate crisis relevance.</t>
        </is>
      </c>
      <c r="F170" s="3" t="inlineStr">
        <is>
          <t>Document backup internet and telecom connectivity at critical sites, assign RACI, define minimum controls/KPIs and collect evidence across the main business units or sites.</t>
        </is>
      </c>
      <c r="G170" s="3" t="inlineStr">
        <is>
          <t>Standardize backup internet and telecom connectivity at critical sites across the organization, close coverage gaps, link it to crisis scenarios and train accountable roles.</t>
        </is>
      </c>
      <c r="H170" s="3" t="inlineStr">
        <is>
          <t>Measure backup internet and telecom connectivity at critical sites, review it periodically, test it against disruption scenarios and integrate it with dependent processes or systems.</t>
        </is>
      </c>
      <c r="I170" s="3" t="inlineStr">
        <is>
          <t>Optimize and automate backup internet and telecom connectivity at critical sites where practical, use leading indicators, run periodic stress tests and update the crisis playbook.</t>
        </is>
      </c>
      <c r="J170" s="3" t="inlineStr">
        <is>
          <t>Maintain maturity for backup internet and telecom connectivity at critical sites. Monitor drift, keep evidence current, benchmark externally and refresh tests after major changes.</t>
        </is>
      </c>
      <c r="K170" s="3" t="inlineStr">
        <is>
          <t>Reduces exposure to Safety incident; Physical site loss; War/security crisis; Natural disaster; improves Utilities and resilience maturity, continuity and management visibility.</t>
        </is>
      </c>
      <c r="L170" s="3" t="n">
        <v>5</v>
      </c>
      <c r="M170" s="3" t="n">
        <v>5</v>
      </c>
      <c r="N170" s="3" t="n">
        <v>4</v>
      </c>
      <c r="O170" s="3" t="n">
        <v>3</v>
      </c>
      <c r="P170" s="3" t="n">
        <v>2</v>
      </c>
      <c r="Q170" s="3" t="n">
        <v>1</v>
      </c>
      <c r="R170" s="3" t="inlineStr">
        <is>
          <t>ISO 45001; ISO 22320; ISO 31030; ISO 18788; ISO 22301; NFPA; local OH&amp;S rules</t>
        </is>
      </c>
      <c r="S170" s="3" t="inlineStr">
        <is>
          <t>Policy/SOP; owner/RACI; system report; dashboard; contracts; test records; incident history; interview evidence related to backup internet and telecom connectivity at critical sites.</t>
        </is>
      </c>
      <c r="T170" s="3" t="inlineStr">
        <is>
          <t>Safety incident; Physical site loss; War/security crisis; Natural disaster</t>
        </is>
      </c>
      <c r="U170" s="3" t="inlineStr">
        <is>
          <t>Facilities / Security / HSE</t>
        </is>
      </c>
      <c r="V170" s="3" t="inlineStr">
        <is>
          <t>Physical Safety!30</t>
        </is>
      </c>
    </row>
    <row r="171" ht="71.25" customHeight="1" s="209">
      <c r="A171" s="3" t="inlineStr">
        <is>
          <t>PHYS-027</t>
        </is>
      </c>
      <c r="B171" s="3" t="inlineStr">
        <is>
          <t>Physical Safety</t>
        </is>
      </c>
      <c r="C171" s="3" t="inlineStr">
        <is>
          <t>Utilities and resilience</t>
        </is>
      </c>
      <c r="D171" s="3" t="inlineStr">
        <is>
          <t>How mature is the organization in managing preventive maintenance for safety-critical facility systems, including ownership, evidence, metrics, fallback procedures and crisis stress testing?</t>
        </is>
      </c>
      <c r="E171" s="3" t="inlineStr">
        <is>
          <t>Establish a basic owner and inventory for preventive maintenance for safety-critical facility systems. Define minimum policy, evidence location and immediate crisis relevance.</t>
        </is>
      </c>
      <c r="F171" s="3" t="inlineStr">
        <is>
          <t>Document preventive maintenance for safety-critical facility systems, assign RACI, define minimum controls/KPIs and collect evidence across the main business units or sites.</t>
        </is>
      </c>
      <c r="G171" s="3" t="inlineStr">
        <is>
          <t>Standardize preventive maintenance for safety-critical facility systems across the organization, close coverage gaps, link it to crisis scenarios and train accountable roles.</t>
        </is>
      </c>
      <c r="H171" s="3" t="inlineStr">
        <is>
          <t>Measure preventive maintenance for safety-critical facility systems, review it periodically, test it against disruption scenarios and integrate it with dependent processes or systems.</t>
        </is>
      </c>
      <c r="I171" s="3" t="inlineStr">
        <is>
          <t>Optimize and automate preventive maintenance for safety-critical facility systems where practical, use leading indicators, run periodic stress tests and update the crisis playbook.</t>
        </is>
      </c>
      <c r="J171" s="3" t="inlineStr">
        <is>
          <t>Maintain maturity for preventive maintenance for safety-critical facility systems. Monitor drift, keep evidence current, benchmark externally and refresh tests after major changes.</t>
        </is>
      </c>
      <c r="K171" s="3" t="inlineStr">
        <is>
          <t>Reduces exposure to Safety incident; Physical site loss; War/security crisis; Natural disaster; improves Utilities and resilience maturity, continuity and management visibility.</t>
        </is>
      </c>
      <c r="L171" s="3" t="n">
        <v>5</v>
      </c>
      <c r="M171" s="3" t="n">
        <v>5</v>
      </c>
      <c r="N171" s="3" t="n">
        <v>4</v>
      </c>
      <c r="O171" s="3" t="n">
        <v>3</v>
      </c>
      <c r="P171" s="3" t="n">
        <v>2</v>
      </c>
      <c r="Q171" s="3" t="n">
        <v>1</v>
      </c>
      <c r="R171" s="3" t="inlineStr">
        <is>
          <t>ISO 45001; ISO 22320; ISO 31030; ISO 18788; ISO 22301; NFPA; local OH&amp;S rules</t>
        </is>
      </c>
      <c r="S171" s="3" t="inlineStr">
        <is>
          <t>Policy/SOP; owner/RACI; system report; dashboard; contracts; test records; incident history; interview evidence related to preventive maintenance for safety-critical facility systems.</t>
        </is>
      </c>
      <c r="T171" s="3" t="inlineStr">
        <is>
          <t>Safety incident; Physical site loss; War/security crisis; Natural disaster</t>
        </is>
      </c>
      <c r="U171" s="3" t="inlineStr">
        <is>
          <t>Facilities / Security / HSE</t>
        </is>
      </c>
      <c r="V171" s="3" t="inlineStr">
        <is>
          <t>Physical Safety!31</t>
        </is>
      </c>
    </row>
    <row r="172" ht="85.5" customHeight="1" s="209">
      <c r="A172" s="3" t="inlineStr">
        <is>
          <t>PHYS-028</t>
        </is>
      </c>
      <c r="B172" s="3" t="inlineStr">
        <is>
          <t>Physical Safety</t>
        </is>
      </c>
      <c r="C172" s="3" t="inlineStr">
        <is>
          <t>Utilities and resilience</t>
        </is>
      </c>
      <c r="D172" s="3" t="inlineStr">
        <is>
          <t>How mature is the organization in managing alternative worksites, temporary facilities, coworking spaces or remote-work options if a site is lost, including ownership, evidence, metrics, fallback procedures and crisis stress testing?</t>
        </is>
      </c>
      <c r="E172" s="3" t="inlineStr">
        <is>
          <t>Establish a basic owner and inventory for alternative worksites, temporary facilities, coworking spaces or remote-work options if a site is lost. Define minimum policy, evidence location and immediate crisis relevance.</t>
        </is>
      </c>
      <c r="F172" s="3" t="inlineStr">
        <is>
          <t>Document alternative worksites, temporary facilities, coworking spaces or remote-work options if a site is lost, assign RACI, define minimum controls/KPIs and collect evidence across the main business units or sites.</t>
        </is>
      </c>
      <c r="G172" s="3" t="inlineStr">
        <is>
          <t>Standardize alternative worksites, temporary facilities, coworking spaces or remote-work options if a site is lost across the organization, close coverage gaps, link it to crisis scenarios and train accountable roles.</t>
        </is>
      </c>
      <c r="H172" s="3" t="inlineStr">
        <is>
          <t>Measure alternative worksites, temporary facilities, coworking spaces or remote-work options if a site is lost, review it periodically, test it against disruption scenarios and integrate it with dependent processes or systems.</t>
        </is>
      </c>
      <c r="I172" s="3" t="inlineStr">
        <is>
          <t>Optimize and automate alternative worksites, temporary facilities, coworking spaces or remote-work options if a site is lost where practical, use leading indicators, run periodic stress tests and update the crisis playbook.</t>
        </is>
      </c>
      <c r="J172" s="3" t="inlineStr">
        <is>
          <t>Maintain maturity for alternative worksites, temporary facilities, coworking spaces or remote-work options if a site is lost. Monitor drift, keep evidence current, benchmark externally and refresh tests after major changes.</t>
        </is>
      </c>
      <c r="K172" s="3" t="inlineStr">
        <is>
          <t>Reduces exposure to Safety incident; Physical site loss; War/security crisis; Natural disaster; improves Utilities and resilience maturity, continuity and management visibility.</t>
        </is>
      </c>
      <c r="L172" s="3" t="n">
        <v>5</v>
      </c>
      <c r="M172" s="3" t="n">
        <v>5</v>
      </c>
      <c r="N172" s="3" t="n">
        <v>4</v>
      </c>
      <c r="O172" s="3" t="n">
        <v>3</v>
      </c>
      <c r="P172" s="3" t="n">
        <v>2</v>
      </c>
      <c r="Q172" s="3" t="n">
        <v>1</v>
      </c>
      <c r="R172" s="3" t="inlineStr">
        <is>
          <t>ISO 45001; ISO 22320; ISO 31030; ISO 18788; ISO 22301; NFPA; local OH&amp;S rules</t>
        </is>
      </c>
      <c r="S172" s="3" t="inlineStr">
        <is>
          <t>Policy/SOP; owner/RACI; system report; dashboard; contracts; test records; incident history; interview evidence related to alternative worksites, temporary facilities, coworking spaces or remote-work options if a site is lost.</t>
        </is>
      </c>
      <c r="T172" s="3" t="inlineStr">
        <is>
          <t>Safety incident; Physical site loss; War/security crisis; Natural disaster</t>
        </is>
      </c>
      <c r="U172" s="3" t="inlineStr">
        <is>
          <t>Facilities / Security / HSE</t>
        </is>
      </c>
      <c r="V172" s="3" t="inlineStr">
        <is>
          <t>Physical Safety!32</t>
        </is>
      </c>
    </row>
    <row r="173" ht="85.5" customHeight="1" s="209">
      <c r="A173" s="3" t="inlineStr">
        <is>
          <t>PHYS-029</t>
        </is>
      </c>
      <c r="B173" s="3" t="inlineStr">
        <is>
          <t>Physical Safety</t>
        </is>
      </c>
      <c r="C173" s="3" t="inlineStr">
        <is>
          <t>Asset management</t>
        </is>
      </c>
      <c r="D173" s="3" t="inlineStr">
        <is>
          <t>How mature is the organization in managing enterprise asset register covering ownership, location, condition, replacement value and insurance linkage, including ownership, evidence, metrics, fallback procedures and crisis stress testing?</t>
        </is>
      </c>
      <c r="E173" s="3" t="inlineStr">
        <is>
          <t>Establish a basic owner and inventory for enterprise asset register covering ownership, location, condition, replacement value and insurance linkage. Define minimum policy, evidence location and immediate crisis relevance.</t>
        </is>
      </c>
      <c r="F173" s="3" t="inlineStr">
        <is>
          <t>Document enterprise asset register covering ownership, location, condition, replacement value and insurance linkage, assign RACI, define minimum controls/KPIs and collect evidence across the main business units or sites.</t>
        </is>
      </c>
      <c r="G173" s="3" t="inlineStr">
        <is>
          <t>Standardize enterprise asset register covering ownership, location, condition, replacement value and insurance linkage across the organization, close coverage gaps, link it to crisis scenarios and train accountable roles.</t>
        </is>
      </c>
      <c r="H173" s="3" t="inlineStr">
        <is>
          <t>Measure enterprise asset register covering ownership, location, condition, replacement value and insurance linkage, review it periodically, test it against disruption scenarios and integrate it with dependent processes or systems.</t>
        </is>
      </c>
      <c r="I173" s="3" t="inlineStr">
        <is>
          <t>Optimize and automate enterprise asset register covering ownership, location, condition, replacement value and insurance linkage where practical, use leading indicators, run periodic stress tests and update the crisis playbook.</t>
        </is>
      </c>
      <c r="J173" s="3" t="inlineStr">
        <is>
          <t>Maintain maturity for enterprise asset register covering ownership, location, condition, replacement value and insurance linkage. Monitor drift, keep evidence current, benchmark externally and refresh tests after major changes.</t>
        </is>
      </c>
      <c r="K173" s="3" t="inlineStr">
        <is>
          <t>Reduces exposure to Physical site loss; Natural disaster; War/security crisis; improves Asset management maturity, continuity and management visibility.</t>
        </is>
      </c>
      <c r="L173" s="3" t="n">
        <v>3</v>
      </c>
      <c r="M173" s="3" t="n">
        <v>3</v>
      </c>
      <c r="N173" s="3" t="n">
        <v>2</v>
      </c>
      <c r="O173" s="3" t="n">
        <v>2</v>
      </c>
      <c r="P173" s="3" t="n">
        <v>1</v>
      </c>
      <c r="Q173" s="3" t="n">
        <v>1</v>
      </c>
      <c r="R173" s="3" t="inlineStr">
        <is>
          <t>APQC PCF 10.2; ISO 55000; ISO 22301</t>
        </is>
      </c>
      <c r="S173" s="3" t="inlineStr">
        <is>
          <t>Policy/SOP; owner/RACI; system report; dashboard; contracts; test records; incident history; interview evidence related to enterprise asset register covering ownership, location, condition, replacement value and insurance linkage</t>
        </is>
      </c>
      <c r="T173" s="3" t="inlineStr">
        <is>
          <t>Physical site loss; Natural disaster; War/security crisis</t>
        </is>
      </c>
      <c r="U173" s="3" t="inlineStr">
        <is>
          <t>COO / Facilities</t>
        </is>
      </c>
      <c r="V173" s="3" t="inlineStr">
        <is>
          <t>Physical Safety!33</t>
        </is>
      </c>
    </row>
    <row r="174" ht="85.5" customHeight="1" s="209">
      <c r="A174" s="3" t="inlineStr">
        <is>
          <t>PHYS-030</t>
        </is>
      </c>
      <c r="B174" s="3" t="inlineStr">
        <is>
          <t>Physical Safety</t>
        </is>
      </c>
      <c r="C174" s="3" t="inlineStr">
        <is>
          <t>Asset management</t>
        </is>
      </c>
      <c r="D174" s="3" t="inlineStr">
        <is>
          <t>How mature is the organization in managing asset lifecycle planning for acquisition, maintenance, renewal and disposal of critical equipment and facilities, including ownership, evidence, metrics, fallback procedures and crisis stress testing?</t>
        </is>
      </c>
      <c r="E174" s="3" t="inlineStr">
        <is>
          <t>Establish a basic owner and inventory for asset lifecycle planning for acquisition, maintenance, renewal and disposal of critical equipment and facilities. Define minimum policy, evidence location and immediate crisis relevance.</t>
        </is>
      </c>
      <c r="F174" s="3" t="inlineStr">
        <is>
          <t>Document asset lifecycle planning for acquisition, maintenance, renewal and disposal of critical equipment and facilities, assign RACI, define minimum controls/KPIs and collect evidence across the main business units or sites.</t>
        </is>
      </c>
      <c r="G174" s="3" t="inlineStr">
        <is>
          <t>Standardize asset lifecycle planning for acquisition, maintenance, renewal and disposal of critical equipment and facilities across the organization, close coverage gaps, link it to crisis scenarios and train accountable roles.</t>
        </is>
      </c>
      <c r="H174" s="3" t="inlineStr">
        <is>
          <t>Measure asset lifecycle planning for acquisition, maintenance, renewal and disposal of critical equipment and facilities, review it periodically, test it against disruption scenarios and integrate it with dependent processes or systems.</t>
        </is>
      </c>
      <c r="I174" s="3" t="inlineStr">
        <is>
          <t>Optimize and automate asset lifecycle planning for acquisition, maintenance, renewal and disposal of critical equipment and facilities where practical, use leading indicators, run periodic stress tests and update the crisis playbook.</t>
        </is>
      </c>
      <c r="J174" s="3" t="inlineStr">
        <is>
          <t>Maintain maturity for asset lifecycle planning for acquisition, maintenance, renewal and disposal of critical equipment and facilities. Monitor drift, keep evidence current, benchmark externally and refresh tests after major changes.</t>
        </is>
      </c>
      <c r="K174" s="3" t="inlineStr">
        <is>
          <t>Reduces exposure to Physical site loss; Energy/utilities outage; Financial/liquidity crisis; improves Asset management maturity, continuity and management visibility.</t>
        </is>
      </c>
      <c r="L174" s="3" t="n">
        <v>3</v>
      </c>
      <c r="M174" s="3" t="n">
        <v>3</v>
      </c>
      <c r="N174" s="3" t="n">
        <v>2</v>
      </c>
      <c r="O174" s="3" t="n">
        <v>2</v>
      </c>
      <c r="P174" s="3" t="n">
        <v>2</v>
      </c>
      <c r="Q174" s="3" t="n">
        <v>1</v>
      </c>
      <c r="R174" s="3" t="inlineStr">
        <is>
          <t>APQC PCF 10.3; ISO 55000; TPM</t>
        </is>
      </c>
      <c r="S174" s="3" t="inlineStr">
        <is>
          <t>Policy/SOP; owner/RACI; system report; dashboard; contracts; test records; incident history; interview evidence related to asset lifecycle planning for acquisition, maintenance, renewal and disposal of critical equipment and facilities</t>
        </is>
      </c>
      <c r="T174" s="3" t="inlineStr">
        <is>
          <t>Physical site loss; Energy/utilities outage; Financial/liquidity crisis</t>
        </is>
      </c>
      <c r="U174" s="3" t="inlineStr">
        <is>
          <t>COO / Facilities</t>
        </is>
      </c>
      <c r="V174" s="3" t="inlineStr">
        <is>
          <t>Physical Safety!34</t>
        </is>
      </c>
    </row>
    <row r="175" ht="85.5" customHeight="1" s="209">
      <c r="A175" s="3" t="inlineStr">
        <is>
          <t>PHYS-031</t>
        </is>
      </c>
      <c r="B175" s="3" t="inlineStr">
        <is>
          <t>Physical Safety</t>
        </is>
      </c>
      <c r="C175" s="3" t="inlineStr">
        <is>
          <t>Asset management</t>
        </is>
      </c>
      <c r="D175" s="3" t="inlineStr">
        <is>
          <t>How mature is the organization in managing property and lease portfolio management with obligations, expiry dates, exit options and flexibility, including ownership, evidence, metrics, fallback procedures and crisis stress testing?</t>
        </is>
      </c>
      <c r="E175" s="3" t="inlineStr">
        <is>
          <t>Establish a basic owner and inventory for property and lease portfolio management with obligations, expiry dates, exit options and flexibility. Define minimum policy, evidence location and immediate crisis relevance.</t>
        </is>
      </c>
      <c r="F175" s="3" t="inlineStr">
        <is>
          <t>Document property and lease portfolio management with obligations, expiry dates, exit options and flexibility, assign RACI, define minimum controls/KPIs and collect evidence across the main business units or sites.</t>
        </is>
      </c>
      <c r="G175" s="3" t="inlineStr">
        <is>
          <t>Standardize property and lease portfolio management with obligations, expiry dates, exit options and flexibility across the organization, close coverage gaps, link it to crisis scenarios and train accountable roles.</t>
        </is>
      </c>
      <c r="H175" s="3" t="inlineStr">
        <is>
          <t>Measure property and lease portfolio management with obligations, expiry dates, exit options and flexibility, review it periodically, test it against disruption scenarios and integrate it with dependent processes or systems.</t>
        </is>
      </c>
      <c r="I175" s="3" t="inlineStr">
        <is>
          <t>Optimize and automate property and lease portfolio management with obligations, expiry dates, exit options and flexibility where practical, use leading indicators, run periodic stress tests and update the crisis playbook.</t>
        </is>
      </c>
      <c r="J175" s="3" t="inlineStr">
        <is>
          <t>Maintain maturity for property and lease portfolio management with obligations, expiry dates, exit options and flexibility. Monitor drift, keep evidence current, benchmark externally and refresh tests after major changes.</t>
        </is>
      </c>
      <c r="K175" s="3" t="inlineStr">
        <is>
          <t>Reduces exposure to Physical site loss; Financial/liquidity crisis; War/security crisis; improves Asset management maturity, continuity and management visibility.</t>
        </is>
      </c>
      <c r="L175" s="3" t="n">
        <v>2</v>
      </c>
      <c r="M175" s="3" t="n">
        <v>2</v>
      </c>
      <c r="N175" s="3" t="n">
        <v>2</v>
      </c>
      <c r="O175" s="3" t="n">
        <v>2</v>
      </c>
      <c r="P175" s="3" t="n">
        <v>1</v>
      </c>
      <c r="Q175" s="3" t="n">
        <v>1</v>
      </c>
      <c r="R175" s="3" t="inlineStr">
        <is>
          <t>APQC PCF 10.1; IFRS 16; ISO 22301</t>
        </is>
      </c>
      <c r="S175" s="3" t="inlineStr">
        <is>
          <t>Policy/SOP; owner/RACI; system report; dashboard; contracts; test records; incident history; interview evidence related to property and lease portfolio management with obligations, expiry dates, exit options and flexibility</t>
        </is>
      </c>
      <c r="T175" s="3" t="inlineStr">
        <is>
          <t>Physical site loss; Financial/liquidity crisis; War/security crisis</t>
        </is>
      </c>
      <c r="U175" s="3" t="inlineStr">
        <is>
          <t>CFO / Facilities</t>
        </is>
      </c>
      <c r="V175" s="3" t="inlineStr">
        <is>
          <t>Physical Safety!35</t>
        </is>
      </c>
    </row>
    <row r="176" ht="85.5" customHeight="1" s="209">
      <c r="A176" s="3" t="inlineStr">
        <is>
          <t>DELI-001</t>
        </is>
      </c>
      <c r="B176" s="3" t="inlineStr">
        <is>
          <t>Delivery Ops</t>
        </is>
      </c>
      <c r="C176" s="3" t="inlineStr">
        <is>
          <t>Delivery governance</t>
        </is>
      </c>
      <c r="D176" s="3" t="inlineStr">
        <is>
          <t>How mature is the organization in managing documented delivery operating model across functions, teams, sites, vendors and customer interfaces, including ownership, evidence, metrics, fallback procedures and crisis stress testing?</t>
        </is>
      </c>
      <c r="E176" s="3" t="inlineStr">
        <is>
          <t>Establish a basic owner and inventory for documented delivery operating model across functions, teams, sites, vendors and customer interfaces. Define minimum policy, evidence location and immediate crisis relevance.</t>
        </is>
      </c>
      <c r="F176" s="3" t="inlineStr">
        <is>
          <t>Document documented delivery operating model across functions, teams, sites, vendors and customer interfaces, assign RACI, define minimum controls/KPIs and collect evidence across the main business units or sites.</t>
        </is>
      </c>
      <c r="G176" s="3" t="inlineStr">
        <is>
          <t>Standardize documented delivery operating model across functions, teams, sites, vendors and customer interfaces across the organization, close coverage gaps, link it to crisis scenarios and train accountable roles.</t>
        </is>
      </c>
      <c r="H176" s="3" t="inlineStr">
        <is>
          <t>Measure documented delivery operating model across functions, teams, sites, vendors and customer interfaces, review it periodically, test it against disruption scenarios and integrate it with dependent processes or systems.</t>
        </is>
      </c>
      <c r="I176" s="3" t="inlineStr">
        <is>
          <t>Optimize and automate documented delivery operating model across functions, teams, sites, vendors and customer interfaces where practical, use leading indicators, run periodic stress tests and update the crisis playbook.</t>
        </is>
      </c>
      <c r="J176" s="3" t="inlineStr">
        <is>
          <t>Maintain maturity for documented delivery operating model across functions, teams, sites, vendors and customer interfaces. Monitor drift, keep evidence current, benchmark externally and refresh tests after major changes.</t>
        </is>
      </c>
      <c r="K176" s="3" t="inlineStr">
        <is>
          <t>Reduces exposure to Delivery disruption; Customer impact; Workforce disruption; improves Delivery governance maturity, continuity and management visibility.</t>
        </is>
      </c>
      <c r="L176" s="3" t="n">
        <v>4</v>
      </c>
      <c r="M176" s="3" t="n">
        <v>4</v>
      </c>
      <c r="N176" s="3" t="n">
        <v>3</v>
      </c>
      <c r="O176" s="3" t="n">
        <v>2</v>
      </c>
      <c r="P176" s="3" t="n">
        <v>1</v>
      </c>
      <c r="Q176" s="3" t="n">
        <v>1</v>
      </c>
      <c r="R176" s="3" t="inlineStr">
        <is>
          <t>ISO 9001; ISO 22301; ITIL 4; Lean; Six Sigma; APQC; service management best practices</t>
        </is>
      </c>
      <c r="S176" s="3" t="inlineStr">
        <is>
          <t>Policy/SOP; owner/RACI; system report; dashboard; contracts; test records; incident history; interview evidence related to documented delivery operating model across functions, teams, sites, vendors and customer interfaces.</t>
        </is>
      </c>
      <c r="T176" s="3" t="inlineStr">
        <is>
          <t>Delivery disruption; Customer impact; Workforce disruption</t>
        </is>
      </c>
      <c r="U176" s="3" t="inlineStr">
        <is>
          <t>COO / Delivery</t>
        </is>
      </c>
      <c r="V176" s="3" t="inlineStr">
        <is>
          <t>Delivery Ops!5</t>
        </is>
      </c>
    </row>
    <row r="177" ht="85.5" customHeight="1" s="209">
      <c r="A177" s="3" t="inlineStr">
        <is>
          <t>DELI-002</t>
        </is>
      </c>
      <c r="B177" s="3" t="inlineStr">
        <is>
          <t>Delivery Ops</t>
        </is>
      </c>
      <c r="C177" s="3" t="inlineStr">
        <is>
          <t>Delivery governance</t>
        </is>
      </c>
      <c r="D177" s="3" t="inlineStr">
        <is>
          <t>How mature is the organization in managing critical delivery processes ranked by customer, revenue, safety and contractual impact, including ownership, evidence, metrics, fallback procedures and crisis stress testing?</t>
        </is>
      </c>
      <c r="E177" s="3" t="inlineStr">
        <is>
          <t>Establish a basic owner and inventory for critical delivery processes ranked by customer, revenue, safety and contractual impact. Define minimum policy, evidence location and immediate crisis relevance.</t>
        </is>
      </c>
      <c r="F177" s="3" t="inlineStr">
        <is>
          <t>Document critical delivery processes ranked by customer, revenue, safety and contractual impact, assign RACI, define minimum controls/KPIs and collect evidence across the main business units or sites.</t>
        </is>
      </c>
      <c r="G177" s="3" t="inlineStr">
        <is>
          <t>Standardize critical delivery processes ranked by customer, revenue, safety and contractual impact across the organization, close coverage gaps, link it to crisis scenarios and train accountable roles.</t>
        </is>
      </c>
      <c r="H177" s="3" t="inlineStr">
        <is>
          <t>Measure critical delivery processes ranked by customer, revenue, safety and contractual impact, review it periodically, test it against disruption scenarios and integrate it with dependent processes or systems.</t>
        </is>
      </c>
      <c r="I177" s="3" t="inlineStr">
        <is>
          <t>Optimize and automate critical delivery processes ranked by customer, revenue, safety and contractual impact where practical, use leading indicators, run periodic stress tests and update the crisis playbook.</t>
        </is>
      </c>
      <c r="J177" s="3" t="inlineStr">
        <is>
          <t>Maintain maturity for critical delivery processes ranked by customer, revenue, safety and contractual impact. Monitor drift, keep evidence current, benchmark externally and refresh tests after major changes.</t>
        </is>
      </c>
      <c r="K177" s="3" t="inlineStr">
        <is>
          <t>Reduces exposure to Delivery disruption; Customer impact; Workforce disruption; improves Delivery governance maturity, continuity and management visibility.</t>
        </is>
      </c>
      <c r="L177" s="3" t="n">
        <v>4</v>
      </c>
      <c r="M177" s="3" t="n">
        <v>4</v>
      </c>
      <c r="N177" s="3" t="n">
        <v>3</v>
      </c>
      <c r="O177" s="3" t="n">
        <v>2</v>
      </c>
      <c r="P177" s="3" t="n">
        <v>1</v>
      </c>
      <c r="Q177" s="3" t="n">
        <v>1</v>
      </c>
      <c r="R177" s="3" t="inlineStr">
        <is>
          <t>ISO 9001; ISO 22301; ITIL 4; Lean; Six Sigma; APQC; service management best practices</t>
        </is>
      </c>
      <c r="S177" s="3" t="inlineStr">
        <is>
          <t>Policy/SOP; owner/RACI; system report; dashboard; contracts; test records; incident history; interview evidence related to critical delivery processes ranked by customer, revenue, safety and contractual impact.</t>
        </is>
      </c>
      <c r="T177" s="3" t="inlineStr">
        <is>
          <t>Delivery disruption; Customer impact; Workforce disruption</t>
        </is>
      </c>
      <c r="U177" s="3" t="inlineStr">
        <is>
          <t>COO / Delivery</t>
        </is>
      </c>
      <c r="V177" s="3" t="inlineStr">
        <is>
          <t>Delivery Ops!6</t>
        </is>
      </c>
    </row>
    <row r="178" ht="85.5" customHeight="1" s="209">
      <c r="A178" s="3" t="inlineStr">
        <is>
          <t>DELI-003</t>
        </is>
      </c>
      <c r="B178" s="3" t="inlineStr">
        <is>
          <t>Delivery Ops</t>
        </is>
      </c>
      <c r="C178" s="3" t="inlineStr">
        <is>
          <t>Delivery governance</t>
        </is>
      </c>
      <c r="D178" s="3" t="inlineStr">
        <is>
          <t>How mature is the organization in managing SLA and OLA management with owners, escalation rules and customer communication, including ownership, evidence, metrics, fallback procedures and crisis stress testing?</t>
        </is>
      </c>
      <c r="E178" s="3" t="inlineStr">
        <is>
          <t>Establish a basic owner and inventory for SLA and OLA management with owners, escalation rules and customer communication. Define minimum policy, evidence location and immediate crisis relevance.</t>
        </is>
      </c>
      <c r="F178" s="3" t="inlineStr">
        <is>
          <t>Document SLA and OLA management with owners, escalation rules and customer communication, assign RACI, define minimum controls/KPIs and collect evidence across the main business units or sites.</t>
        </is>
      </c>
      <c r="G178" s="3" t="inlineStr">
        <is>
          <t>Standardize SLA and OLA management with owners, escalation rules and customer communication across the organization, close coverage gaps, link it to crisis scenarios and train accountable roles.</t>
        </is>
      </c>
      <c r="H178" s="3" t="inlineStr">
        <is>
          <t>Measure SLA and OLA management with owners, escalation rules and customer communication, review it periodically, test it against disruption scenarios and integrate it with dependent processes or systems.</t>
        </is>
      </c>
      <c r="I178" s="3" t="inlineStr">
        <is>
          <t>Optimize and automate SLA and OLA management with owners, escalation rules and customer communication where practical, use leading indicators, run periodic stress tests and update the crisis playbook.</t>
        </is>
      </c>
      <c r="J178" s="3" t="inlineStr">
        <is>
          <t>Maintain maturity for SLA and OLA management with owners, escalation rules and customer communication. Monitor drift, keep evidence current, benchmark externally and refresh tests after major changes.</t>
        </is>
      </c>
      <c r="K178" s="3" t="inlineStr">
        <is>
          <t>Reduces exposure to Delivery disruption; Customer impact; Workforce disruption; improves Delivery governance maturity, continuity and management visibility.</t>
        </is>
      </c>
      <c r="L178" s="3" t="n">
        <v>4</v>
      </c>
      <c r="M178" s="3" t="n">
        <v>4</v>
      </c>
      <c r="N178" s="3" t="n">
        <v>3</v>
      </c>
      <c r="O178" s="3" t="n">
        <v>2</v>
      </c>
      <c r="P178" s="3" t="n">
        <v>1</v>
      </c>
      <c r="Q178" s="3" t="n">
        <v>1</v>
      </c>
      <c r="R178" s="3" t="inlineStr">
        <is>
          <t>ISO 9001; ISO 22301; ITIL 4; Lean; Six Sigma; APQC; service management best practices</t>
        </is>
      </c>
      <c r="S178" s="3" t="inlineStr">
        <is>
          <t>Policy/SOP; owner/RACI; system report; dashboard; contracts; test records; incident history; interview evidence related to SLA and OLA management with owners, escalation rules and customer communication.</t>
        </is>
      </c>
      <c r="T178" s="3" t="inlineStr">
        <is>
          <t>Delivery disruption; Customer impact; Workforce disruption</t>
        </is>
      </c>
      <c r="U178" s="3" t="inlineStr">
        <is>
          <t>COO / Delivery</t>
        </is>
      </c>
      <c r="V178" s="3" t="inlineStr">
        <is>
          <t>Delivery Ops!7</t>
        </is>
      </c>
    </row>
    <row r="179" ht="85.5" customHeight="1" s="209">
      <c r="A179" s="3" t="inlineStr">
        <is>
          <t>DELI-004</t>
        </is>
      </c>
      <c r="B179" s="3" t="inlineStr">
        <is>
          <t>Delivery Ops</t>
        </is>
      </c>
      <c r="C179" s="3" t="inlineStr">
        <is>
          <t>Delivery governance</t>
        </is>
      </c>
      <c r="D179" s="3" t="inlineStr">
        <is>
          <t>How mature is the organization in managing operational incident link to delivery impact, customer communication and corrective action, including ownership, evidence, metrics, fallback procedures and crisis stress testing?</t>
        </is>
      </c>
      <c r="E179" s="3" t="inlineStr">
        <is>
          <t>Establish a basic owner and inventory for operational incident link to delivery impact, customer communication and corrective action. Define minimum policy, evidence location and immediate crisis relevance.</t>
        </is>
      </c>
      <c r="F179" s="3" t="inlineStr">
        <is>
          <t>Document operational incident link to delivery impact, customer communication and corrective action, assign RACI, define minimum controls/KPIs and collect evidence across the main business units or sites.</t>
        </is>
      </c>
      <c r="G179" s="3" t="inlineStr">
        <is>
          <t>Standardize operational incident link to delivery impact, customer communication and corrective action across the organization, close coverage gaps, link it to crisis scenarios and train accountable roles.</t>
        </is>
      </c>
      <c r="H179" s="3" t="inlineStr">
        <is>
          <t>Measure operational incident link to delivery impact, customer communication and corrective action, review it periodically, test it against disruption scenarios and integrate it with dependent processes or systems.</t>
        </is>
      </c>
      <c r="I179" s="3" t="inlineStr">
        <is>
          <t>Optimize and automate operational incident link to delivery impact, customer communication and corrective action where practical, use leading indicators, run periodic stress tests and update the crisis playbook.</t>
        </is>
      </c>
      <c r="J179" s="3" t="inlineStr">
        <is>
          <t>Maintain maturity for operational incident link to delivery impact, customer communication and corrective action. Monitor drift, keep evidence current, benchmark externally and refresh tests after major changes.</t>
        </is>
      </c>
      <c r="K179" s="3" t="inlineStr">
        <is>
          <t>Reduces exposure to Delivery disruption; Customer impact; Workforce disruption; improves Delivery governance maturity, continuity and management visibility.</t>
        </is>
      </c>
      <c r="L179" s="3" t="n">
        <v>4</v>
      </c>
      <c r="M179" s="3" t="n">
        <v>4</v>
      </c>
      <c r="N179" s="3" t="n">
        <v>3</v>
      </c>
      <c r="O179" s="3" t="n">
        <v>2</v>
      </c>
      <c r="P179" s="3" t="n">
        <v>1</v>
      </c>
      <c r="Q179" s="3" t="n">
        <v>1</v>
      </c>
      <c r="R179" s="3" t="inlineStr">
        <is>
          <t>ISO 9001; ISO 22301; ITIL 4; Lean; Six Sigma; APQC; service management best practices</t>
        </is>
      </c>
      <c r="S179" s="3" t="inlineStr">
        <is>
          <t>Policy/SOP; owner/RACI; system report; dashboard; contracts; test records; incident history; interview evidence related to operational incident link to delivery impact, customer communication and corrective action.</t>
        </is>
      </c>
      <c r="T179" s="3" t="inlineStr">
        <is>
          <t>Delivery disruption; Customer impact; Workforce disruption</t>
        </is>
      </c>
      <c r="U179" s="3" t="inlineStr">
        <is>
          <t>COO / Delivery</t>
        </is>
      </c>
      <c r="V179" s="3" t="inlineStr">
        <is>
          <t>Delivery Ops!8</t>
        </is>
      </c>
    </row>
    <row r="180" ht="71.25" customHeight="1" s="209">
      <c r="A180" s="3" t="inlineStr">
        <is>
          <t>DELI-005</t>
        </is>
      </c>
      <c r="B180" s="3" t="inlineStr">
        <is>
          <t>Delivery Ops</t>
        </is>
      </c>
      <c r="C180" s="3" t="inlineStr">
        <is>
          <t>Delivery governance</t>
        </is>
      </c>
      <c r="D180" s="3" t="inlineStr">
        <is>
          <t>How mature is the organization in managing customer prioritization rules during capacity constraints, including ownership, evidence, metrics, fallback procedures and crisis stress testing?</t>
        </is>
      </c>
      <c r="E180" s="3" t="inlineStr">
        <is>
          <t>Establish a basic owner and inventory for customer prioritization rules during capacity constraints. Define minimum policy, evidence location and immediate crisis relevance.</t>
        </is>
      </c>
      <c r="F180" s="3" t="inlineStr">
        <is>
          <t>Document customer prioritization rules during capacity constraints, assign RACI, define minimum controls/KPIs and collect evidence across the main business units or sites.</t>
        </is>
      </c>
      <c r="G180" s="3" t="inlineStr">
        <is>
          <t>Standardize customer prioritization rules during capacity constraints across the organization, close coverage gaps, link it to crisis scenarios and train accountable roles.</t>
        </is>
      </c>
      <c r="H180" s="3" t="inlineStr">
        <is>
          <t>Measure customer prioritization rules during capacity constraints, review it periodically, test it against disruption scenarios and integrate it with dependent processes or systems.</t>
        </is>
      </c>
      <c r="I180" s="3" t="inlineStr">
        <is>
          <t>Optimize and automate customer prioritization rules during capacity constraints where practical, use leading indicators, run periodic stress tests and update the crisis playbook.</t>
        </is>
      </c>
      <c r="J180" s="3" t="inlineStr">
        <is>
          <t>Maintain maturity for customer prioritization rules during capacity constraints. Monitor drift, keep evidence current, benchmark externally and refresh tests after major changes.</t>
        </is>
      </c>
      <c r="K180" s="3" t="inlineStr">
        <is>
          <t>Reduces exposure to Delivery disruption; Customer impact; Workforce disruption; improves Delivery governance maturity, continuity and management visibility.</t>
        </is>
      </c>
      <c r="L180" s="3" t="n">
        <v>4</v>
      </c>
      <c r="M180" s="3" t="n">
        <v>4</v>
      </c>
      <c r="N180" s="3" t="n">
        <v>3</v>
      </c>
      <c r="O180" s="3" t="n">
        <v>2</v>
      </c>
      <c r="P180" s="3" t="n">
        <v>1</v>
      </c>
      <c r="Q180" s="3" t="n">
        <v>1</v>
      </c>
      <c r="R180" s="3" t="inlineStr">
        <is>
          <t>ISO 9001; ISO 22301; ITIL 4; Lean; Six Sigma; APQC; service management best practices</t>
        </is>
      </c>
      <c r="S180" s="3" t="inlineStr">
        <is>
          <t>Policy/SOP; owner/RACI; system report; dashboard; contracts; test records; incident history; interview evidence related to customer prioritization rules during capacity constraints.</t>
        </is>
      </c>
      <c r="T180" s="3" t="inlineStr">
        <is>
          <t>Delivery disruption; Customer impact; Workforce disruption</t>
        </is>
      </c>
      <c r="U180" s="3" t="inlineStr">
        <is>
          <t>COO / Delivery</t>
        </is>
      </c>
      <c r="V180" s="3" t="inlineStr">
        <is>
          <t>Delivery Ops!9</t>
        </is>
      </c>
    </row>
    <row r="181" ht="71.25" customHeight="1" s="209">
      <c r="A181" s="3" t="inlineStr">
        <is>
          <t>DELI-006</t>
        </is>
      </c>
      <c r="B181" s="3" t="inlineStr">
        <is>
          <t>Delivery Ops</t>
        </is>
      </c>
      <c r="C181" s="3" t="inlineStr">
        <is>
          <t>Delivery governance</t>
        </is>
      </c>
      <c r="D181" s="3" t="inlineStr">
        <is>
          <t>How mature is the organization in managing delivery transparency to customers during delays, incidents or disruption, including ownership, evidence, metrics, fallback procedures and crisis stress testing?</t>
        </is>
      </c>
      <c r="E181" s="3" t="inlineStr">
        <is>
          <t>Establish a basic owner and inventory for delivery transparency to customers during delays, incidents or disruption. Define minimum policy, evidence location and immediate crisis relevance.</t>
        </is>
      </c>
      <c r="F181" s="3" t="inlineStr">
        <is>
          <t>Document delivery transparency to customers during delays, incidents or disruption, assign RACI, define minimum controls/KPIs and collect evidence across the main business units or sites.</t>
        </is>
      </c>
      <c r="G181" s="3" t="inlineStr">
        <is>
          <t>Standardize delivery transparency to customers during delays, incidents or disruption across the organization, close coverage gaps, link it to crisis scenarios and train accountable roles.</t>
        </is>
      </c>
      <c r="H181" s="3" t="inlineStr">
        <is>
          <t>Measure delivery transparency to customers during delays, incidents or disruption, review it periodically, test it against disruption scenarios and integrate it with dependent processes or systems.</t>
        </is>
      </c>
      <c r="I181" s="3" t="inlineStr">
        <is>
          <t>Optimize and automate delivery transparency to customers during delays, incidents or disruption where practical, use leading indicators, run periodic stress tests and update the crisis playbook.</t>
        </is>
      </c>
      <c r="J181" s="3" t="inlineStr">
        <is>
          <t>Maintain maturity for delivery transparency to customers during delays, incidents or disruption. Monitor drift, keep evidence current, benchmark externally and refresh tests after major changes.</t>
        </is>
      </c>
      <c r="K181" s="3" t="inlineStr">
        <is>
          <t>Reduces exposure to Delivery disruption; Customer impact; Workforce disruption; improves Delivery governance maturity, continuity and management visibility.</t>
        </is>
      </c>
      <c r="L181" s="3" t="n">
        <v>4</v>
      </c>
      <c r="M181" s="3" t="n">
        <v>4</v>
      </c>
      <c r="N181" s="3" t="n">
        <v>3</v>
      </c>
      <c r="O181" s="3" t="n">
        <v>2</v>
      </c>
      <c r="P181" s="3" t="n">
        <v>1</v>
      </c>
      <c r="Q181" s="3" t="n">
        <v>1</v>
      </c>
      <c r="R181" s="3" t="inlineStr">
        <is>
          <t>ISO 9001; ISO 22301; ITIL 4; Lean; Six Sigma; APQC; service management best practices</t>
        </is>
      </c>
      <c r="S181" s="3" t="inlineStr">
        <is>
          <t>Policy/SOP; owner/RACI; system report; dashboard; contracts; test records; incident history; interview evidence related to delivery transparency to customers during delays, incidents or disruption.</t>
        </is>
      </c>
      <c r="T181" s="3" t="inlineStr">
        <is>
          <t>Delivery disruption; Customer impact; Workforce disruption</t>
        </is>
      </c>
      <c r="U181" s="3" t="inlineStr">
        <is>
          <t>COO / Delivery</t>
        </is>
      </c>
      <c r="V181" s="3" t="inlineStr">
        <is>
          <t>Delivery Ops!10</t>
        </is>
      </c>
    </row>
    <row r="182" ht="85.5" customHeight="1" s="209">
      <c r="A182" s="3" t="inlineStr">
        <is>
          <t>DELI-007</t>
        </is>
      </c>
      <c r="B182" s="3" t="inlineStr">
        <is>
          <t>Delivery Ops</t>
        </is>
      </c>
      <c r="C182" s="3" t="inlineStr">
        <is>
          <t>Capacity and continuity</t>
        </is>
      </c>
      <c r="D182" s="3" t="inlineStr">
        <is>
          <t>How mature is the organization in managing capacity planning for people, equipment, production lines, cloud resources, warehouses and suppliers, including ownership, evidence, metrics, fallback procedures and crisis stress testing?</t>
        </is>
      </c>
      <c r="E182" s="3" t="inlineStr">
        <is>
          <t>Establish a basic owner and inventory for capacity planning for people, equipment, production lines, cloud resources, warehouses and suppliers. Define minimum policy, evidence location and immediate crisis relevance.</t>
        </is>
      </c>
      <c r="F182" s="3" t="inlineStr">
        <is>
          <t>Document capacity planning for people, equipment, production lines, cloud resources, warehouses and suppliers, assign RACI, define minimum controls/KPIs and collect evidence across the main business units or sites.</t>
        </is>
      </c>
      <c r="G182" s="3" t="inlineStr">
        <is>
          <t>Standardize capacity planning for people, equipment, production lines, cloud resources, warehouses and suppliers across the organization, close coverage gaps, link it to crisis scenarios and train accountable roles.</t>
        </is>
      </c>
      <c r="H182" s="3" t="inlineStr">
        <is>
          <t>Measure capacity planning for people, equipment, production lines, cloud resources, warehouses and suppliers, review it periodically, test it against disruption scenarios and integrate it with dependent processes or systems.</t>
        </is>
      </c>
      <c r="I182" s="3" t="inlineStr">
        <is>
          <t>Optimize and automate capacity planning for people, equipment, production lines, cloud resources, warehouses and suppliers where practical, use leading indicators, run periodic stress tests and update the crisis playbook.</t>
        </is>
      </c>
      <c r="J182" s="3" t="inlineStr">
        <is>
          <t>Maintain maturity for capacity planning for people, equipment, production lines, cloud resources, warehouses and suppliers. Monitor drift, keep evidence current, benchmark externally and refresh tests after major changes.</t>
        </is>
      </c>
      <c r="K182" s="3" t="inlineStr">
        <is>
          <t>Reduces exposure to Delivery disruption; Customer impact; Workforce disruption; improves Capacity and continuity maturity, continuity and management visibility.</t>
        </is>
      </c>
      <c r="L182" s="3" t="n">
        <v>5</v>
      </c>
      <c r="M182" s="3" t="n">
        <v>5</v>
      </c>
      <c r="N182" s="3" t="n">
        <v>4</v>
      </c>
      <c r="O182" s="3" t="n">
        <v>3</v>
      </c>
      <c r="P182" s="3" t="n">
        <v>2</v>
      </c>
      <c r="Q182" s="3" t="n">
        <v>1</v>
      </c>
      <c r="R182" s="3" t="inlineStr">
        <is>
          <t>ISO 9001; ISO 22301; ITIL 4; Lean; Six Sigma; APQC; service management best practices</t>
        </is>
      </c>
      <c r="S182" s="3" t="inlineStr">
        <is>
          <t>Policy/SOP; owner/RACI; system report; dashboard; contracts; test records; incident history; interview evidence related to capacity planning for people, equipment, production lines, cloud resources, warehouses and suppliers.</t>
        </is>
      </c>
      <c r="T182" s="3" t="inlineStr">
        <is>
          <t>Delivery disruption; Customer impact; Workforce disruption</t>
        </is>
      </c>
      <c r="U182" s="3" t="inlineStr">
        <is>
          <t>COO / Delivery</t>
        </is>
      </c>
      <c r="V182" s="3" t="inlineStr">
        <is>
          <t>Delivery Ops!11</t>
        </is>
      </c>
    </row>
    <row r="183" ht="71.25" customHeight="1" s="209">
      <c r="A183" s="3" t="inlineStr">
        <is>
          <t>DELI-008</t>
        </is>
      </c>
      <c r="B183" s="3" t="inlineStr">
        <is>
          <t>Delivery Ops</t>
        </is>
      </c>
      <c r="C183" s="3" t="inlineStr">
        <is>
          <t>Capacity and continuity</t>
        </is>
      </c>
      <c r="D183" s="3" t="inlineStr">
        <is>
          <t>How mature is the organization in managing surge capacity for demand spikes, backlog recovery and emergency orders, including ownership, evidence, metrics, fallback procedures and crisis stress testing?</t>
        </is>
      </c>
      <c r="E183" s="3" t="inlineStr">
        <is>
          <t>Establish a basic owner and inventory for surge capacity for demand spikes, backlog recovery and emergency orders. Define minimum policy, evidence location and immediate crisis relevance.</t>
        </is>
      </c>
      <c r="F183" s="3" t="inlineStr">
        <is>
          <t>Document surge capacity for demand spikes, backlog recovery and emergency orders, assign RACI, define minimum controls/KPIs and collect evidence across the main business units or sites.</t>
        </is>
      </c>
      <c r="G183" s="3" t="inlineStr">
        <is>
          <t>Standardize surge capacity for demand spikes, backlog recovery and emergency orders across the organization, close coverage gaps, link it to crisis scenarios and train accountable roles.</t>
        </is>
      </c>
      <c r="H183" s="3" t="inlineStr">
        <is>
          <t>Measure surge capacity for demand spikes, backlog recovery and emergency orders, review it periodically, test it against disruption scenarios and integrate it with dependent processes or systems.</t>
        </is>
      </c>
      <c r="I183" s="3" t="inlineStr">
        <is>
          <t>Optimize and automate surge capacity for demand spikes, backlog recovery and emergency orders where practical, use leading indicators, run periodic stress tests and update the crisis playbook.</t>
        </is>
      </c>
      <c r="J183" s="3" t="inlineStr">
        <is>
          <t>Maintain maturity for surge capacity for demand spikes, backlog recovery and emergency orders. Monitor drift, keep evidence current, benchmark externally and refresh tests after major changes.</t>
        </is>
      </c>
      <c r="K183" s="3" t="inlineStr">
        <is>
          <t>Reduces exposure to Delivery disruption; Customer impact; Workforce disruption; improves Capacity and continuity maturity, continuity and management visibility.</t>
        </is>
      </c>
      <c r="L183" s="3" t="n">
        <v>4</v>
      </c>
      <c r="M183" s="3" t="n">
        <v>4</v>
      </c>
      <c r="N183" s="3" t="n">
        <v>3</v>
      </c>
      <c r="O183" s="3" t="n">
        <v>2</v>
      </c>
      <c r="P183" s="3" t="n">
        <v>1</v>
      </c>
      <c r="Q183" s="3" t="n">
        <v>1</v>
      </c>
      <c r="R183" s="3" t="inlineStr">
        <is>
          <t>ISO 9001; ISO 22301; ITIL 4; Lean; Six Sigma; APQC; service management best practices</t>
        </is>
      </c>
      <c r="S183" s="3" t="inlineStr">
        <is>
          <t>Policy/SOP; owner/RACI; system report; dashboard; contracts; test records; incident history; interview evidence related to surge capacity for demand spikes, backlog recovery and emergency orders.</t>
        </is>
      </c>
      <c r="T183" s="3" t="inlineStr">
        <is>
          <t>Delivery disruption; Customer impact; Workforce disruption</t>
        </is>
      </c>
      <c r="U183" s="3" t="inlineStr">
        <is>
          <t>COO / Delivery</t>
        </is>
      </c>
      <c r="V183" s="3" t="inlineStr">
        <is>
          <t>Delivery Ops!12</t>
        </is>
      </c>
    </row>
    <row r="184" ht="71.25" customHeight="1" s="209">
      <c r="A184" s="3" t="inlineStr">
        <is>
          <t>DELI-009</t>
        </is>
      </c>
      <c r="B184" s="3" t="inlineStr">
        <is>
          <t>Delivery Ops</t>
        </is>
      </c>
      <c r="C184" s="3" t="inlineStr">
        <is>
          <t>Capacity and continuity</t>
        </is>
      </c>
      <c r="D184" s="3" t="inlineStr">
        <is>
          <t>How mature is the organization in managing minimum viable operating model for severe constraints, including ownership, evidence, metrics, fallback procedures and crisis stress testing?</t>
        </is>
      </c>
      <c r="E184" s="3" t="inlineStr">
        <is>
          <t>Establish a basic owner and inventory for minimum viable operating model for severe constraints. Define minimum policy, evidence location and immediate crisis relevance.</t>
        </is>
      </c>
      <c r="F184" s="3" t="inlineStr">
        <is>
          <t>Document minimum viable operating model for severe constraints, assign RACI, define minimum controls/KPIs and collect evidence across the main business units or sites.</t>
        </is>
      </c>
      <c r="G184" s="3" t="inlineStr">
        <is>
          <t>Standardize minimum viable operating model for severe constraints across the organization, close coverage gaps, link it to crisis scenarios and train accountable roles.</t>
        </is>
      </c>
      <c r="H184" s="3" t="inlineStr">
        <is>
          <t>Measure minimum viable operating model for severe constraints, review it periodically, test it against disruption scenarios and integrate it with dependent processes or systems.</t>
        </is>
      </c>
      <c r="I184" s="3" t="inlineStr">
        <is>
          <t>Optimize and automate minimum viable operating model for severe constraints where practical, use leading indicators, run periodic stress tests and update the crisis playbook.</t>
        </is>
      </c>
      <c r="J184" s="3" t="inlineStr">
        <is>
          <t>Maintain maturity for minimum viable operating model for severe constraints. Monitor drift, keep evidence current, benchmark externally and refresh tests after major changes.</t>
        </is>
      </c>
      <c r="K184" s="3" t="inlineStr">
        <is>
          <t>Reduces exposure to Delivery disruption; Customer impact; Workforce disruption; improves Capacity and continuity maturity, continuity and management visibility.</t>
        </is>
      </c>
      <c r="L184" s="3" t="n">
        <v>4</v>
      </c>
      <c r="M184" s="3" t="n">
        <v>4</v>
      </c>
      <c r="N184" s="3" t="n">
        <v>3</v>
      </c>
      <c r="O184" s="3" t="n">
        <v>2</v>
      </c>
      <c r="P184" s="3" t="n">
        <v>1</v>
      </c>
      <c r="Q184" s="3" t="n">
        <v>1</v>
      </c>
      <c r="R184" s="3" t="inlineStr">
        <is>
          <t>ISO 9001; ISO 22301; ITIL 4; Lean; Six Sigma; APQC; service management best practices</t>
        </is>
      </c>
      <c r="S184" s="3" t="inlineStr">
        <is>
          <t>Policy/SOP; owner/RACI; system report; dashboard; contracts; test records; incident history; interview evidence related to minimum viable operating model for severe constraints.</t>
        </is>
      </c>
      <c r="T184" s="3" t="inlineStr">
        <is>
          <t>Delivery disruption; Customer impact; Workforce disruption</t>
        </is>
      </c>
      <c r="U184" s="3" t="inlineStr">
        <is>
          <t>COO / Delivery</t>
        </is>
      </c>
      <c r="V184" s="3" t="inlineStr">
        <is>
          <t>Delivery Ops!13</t>
        </is>
      </c>
    </row>
    <row r="185" ht="71.25" customHeight="1" s="209">
      <c r="A185" s="3" t="inlineStr">
        <is>
          <t>DELI-010</t>
        </is>
      </c>
      <c r="B185" s="3" t="inlineStr">
        <is>
          <t>Delivery Ops</t>
        </is>
      </c>
      <c r="C185" s="3" t="inlineStr">
        <is>
          <t>Capacity and continuity</t>
        </is>
      </c>
      <c r="D185" s="3" t="inlineStr">
        <is>
          <t>How mature is the organization in managing cross-site or cross-team work transfer if one location or team fails, including ownership, evidence, metrics, fallback procedures and crisis stress testing?</t>
        </is>
      </c>
      <c r="E185" s="3" t="inlineStr">
        <is>
          <t>Establish a basic owner and inventory for cross-site or cross-team work transfer if one location or team fails. Define minimum policy, evidence location and immediate crisis relevance.</t>
        </is>
      </c>
      <c r="F185" s="3" t="inlineStr">
        <is>
          <t>Document cross-site or cross-team work transfer if one location or team fails, assign RACI, define minimum controls/KPIs and collect evidence across the main business units or sites.</t>
        </is>
      </c>
      <c r="G185" s="3" t="inlineStr">
        <is>
          <t>Standardize cross-site or cross-team work transfer if one location or team fails across the organization, close coverage gaps, link it to crisis scenarios and train accountable roles.</t>
        </is>
      </c>
      <c r="H185" s="3" t="inlineStr">
        <is>
          <t>Measure cross-site or cross-team work transfer if one location or team fails, review it periodically, test it against disruption scenarios and integrate it with dependent processes or systems.</t>
        </is>
      </c>
      <c r="I185" s="3" t="inlineStr">
        <is>
          <t>Optimize and automate cross-site or cross-team work transfer if one location or team fails where practical, use leading indicators, run periodic stress tests and update the crisis playbook.</t>
        </is>
      </c>
      <c r="J185" s="3" t="inlineStr">
        <is>
          <t>Maintain maturity for cross-site or cross-team work transfer if one location or team fails. Monitor drift, keep evidence current, benchmark externally and refresh tests after major changes.</t>
        </is>
      </c>
      <c r="K185" s="3" t="inlineStr">
        <is>
          <t>Reduces exposure to Delivery disruption; Customer impact; Workforce disruption; improves Capacity and continuity maturity, continuity and management visibility.</t>
        </is>
      </c>
      <c r="L185" s="3" t="n">
        <v>4</v>
      </c>
      <c r="M185" s="3" t="n">
        <v>4</v>
      </c>
      <c r="N185" s="3" t="n">
        <v>3</v>
      </c>
      <c r="O185" s="3" t="n">
        <v>2</v>
      </c>
      <c r="P185" s="3" t="n">
        <v>1</v>
      </c>
      <c r="Q185" s="3" t="n">
        <v>1</v>
      </c>
      <c r="R185" s="3" t="inlineStr">
        <is>
          <t>ISO 9001; ISO 22301; ITIL 4; Lean; Six Sigma; APQC; service management best practices</t>
        </is>
      </c>
      <c r="S185" s="3" t="inlineStr">
        <is>
          <t>Policy/SOP; owner/RACI; system report; dashboard; contracts; test records; incident history; interview evidence related to cross-site or cross-team work transfer if one location or team fails.</t>
        </is>
      </c>
      <c r="T185" s="3" t="inlineStr">
        <is>
          <t>Delivery disruption; Customer impact; Workforce disruption</t>
        </is>
      </c>
      <c r="U185" s="3" t="inlineStr">
        <is>
          <t>COO / Delivery</t>
        </is>
      </c>
      <c r="V185" s="3" t="inlineStr">
        <is>
          <t>Delivery Ops!14</t>
        </is>
      </c>
    </row>
    <row r="186" ht="71.25" customHeight="1" s="209">
      <c r="A186" s="3" t="inlineStr">
        <is>
          <t>DELI-011</t>
        </is>
      </c>
      <c r="B186" s="3" t="inlineStr">
        <is>
          <t>Delivery Ops</t>
        </is>
      </c>
      <c r="C186" s="3" t="inlineStr">
        <is>
          <t>Capacity and continuity</t>
        </is>
      </c>
      <c r="D186" s="3" t="inlineStr">
        <is>
          <t>How mature is the organization in managing recovery sequencing for processes, systems, teams, sites and customers, including ownership, evidence, metrics, fallback procedures and crisis stress testing?</t>
        </is>
      </c>
      <c r="E186" s="3" t="inlineStr">
        <is>
          <t>Establish a basic owner and inventory for recovery sequencing for processes, systems, teams, sites and customers. Define minimum policy, evidence location and immediate crisis relevance.</t>
        </is>
      </c>
      <c r="F186" s="3" t="inlineStr">
        <is>
          <t>Document recovery sequencing for processes, systems, teams, sites and customers, assign RACI, define minimum controls/KPIs and collect evidence across the main business units or sites.</t>
        </is>
      </c>
      <c r="G186" s="3" t="inlineStr">
        <is>
          <t>Standardize recovery sequencing for processes, systems, teams, sites and customers across the organization, close coverage gaps, link it to crisis scenarios and train accountable roles.</t>
        </is>
      </c>
      <c r="H186" s="3" t="inlineStr">
        <is>
          <t>Measure recovery sequencing for processes, systems, teams, sites and customers, review it periodically, test it against disruption scenarios and integrate it with dependent processes or systems.</t>
        </is>
      </c>
      <c r="I186" s="3" t="inlineStr">
        <is>
          <t>Optimize and automate recovery sequencing for processes, systems, teams, sites and customers where practical, use leading indicators, run periodic stress tests and update the crisis playbook.</t>
        </is>
      </c>
      <c r="J186" s="3" t="inlineStr">
        <is>
          <t>Maintain maturity for recovery sequencing for processes, systems, teams, sites and customers. Monitor drift, keep evidence current, benchmark externally and refresh tests after major changes.</t>
        </is>
      </c>
      <c r="K186" s="3" t="inlineStr">
        <is>
          <t>Reduces exposure to Delivery disruption; Customer impact; Workforce disruption; improves Capacity and continuity maturity, continuity and management visibility.</t>
        </is>
      </c>
      <c r="L186" s="3" t="n">
        <v>4</v>
      </c>
      <c r="M186" s="3" t="n">
        <v>4</v>
      </c>
      <c r="N186" s="3" t="n">
        <v>3</v>
      </c>
      <c r="O186" s="3" t="n">
        <v>2</v>
      </c>
      <c r="P186" s="3" t="n">
        <v>1</v>
      </c>
      <c r="Q186" s="3" t="n">
        <v>1</v>
      </c>
      <c r="R186" s="3" t="inlineStr">
        <is>
          <t>ISO 9001; ISO 22301; ITIL 4; Lean; Six Sigma; APQC; service management best practices</t>
        </is>
      </c>
      <c r="S186" s="3" t="inlineStr">
        <is>
          <t>Policy/SOP; owner/RACI; system report; dashboard; contracts; test records; incident history; interview evidence related to recovery sequencing for processes, systems, teams, sites and customers.</t>
        </is>
      </c>
      <c r="T186" s="3" t="inlineStr">
        <is>
          <t>Delivery disruption; Customer impact; Workforce disruption</t>
        </is>
      </c>
      <c r="U186" s="3" t="inlineStr">
        <is>
          <t>COO / Delivery</t>
        </is>
      </c>
      <c r="V186" s="3" t="inlineStr">
        <is>
          <t>Delivery Ops!15</t>
        </is>
      </c>
    </row>
    <row r="187" ht="85.5" customHeight="1" s="209">
      <c r="A187" s="3" t="inlineStr">
        <is>
          <t>DELI-012</t>
        </is>
      </c>
      <c r="B187" s="3" t="inlineStr">
        <is>
          <t>Delivery Ops</t>
        </is>
      </c>
      <c r="C187" s="3" t="inlineStr">
        <is>
          <t>Capacity and continuity</t>
        </is>
      </c>
      <c r="D187" s="3" t="inlineStr">
        <is>
          <t>How mature is the organization in managing delivery tabletop exercises with absent people, unavailable systems or supplier failure, including ownership, evidence, metrics, fallback procedures and crisis stress testing?</t>
        </is>
      </c>
      <c r="E187" s="3" t="inlineStr">
        <is>
          <t>Establish a basic owner and inventory for delivery tabletop exercises with absent people, unavailable systems or supplier failure. Define minimum policy, evidence location and immediate crisis relevance.</t>
        </is>
      </c>
      <c r="F187" s="3" t="inlineStr">
        <is>
          <t>Document delivery tabletop exercises with absent people, unavailable systems or supplier failure, assign RACI, define minimum controls/KPIs and collect evidence across the main business units or sites.</t>
        </is>
      </c>
      <c r="G187" s="3" t="inlineStr">
        <is>
          <t>Standardize delivery tabletop exercises with absent people, unavailable systems or supplier failure across the organization, close coverage gaps, link it to crisis scenarios and train accountable roles.</t>
        </is>
      </c>
      <c r="H187" s="3" t="inlineStr">
        <is>
          <t>Measure delivery tabletop exercises with absent people, unavailable systems or supplier failure, review it periodically, test it against disruption scenarios and integrate it with dependent processes or systems.</t>
        </is>
      </c>
      <c r="I187" s="3" t="inlineStr">
        <is>
          <t>Optimize and automate delivery tabletop exercises with absent people, unavailable systems or supplier failure where practical, use leading indicators, run periodic stress tests and update the crisis playbook.</t>
        </is>
      </c>
      <c r="J187" s="3" t="inlineStr">
        <is>
          <t>Maintain maturity for delivery tabletop exercises with absent people, unavailable systems or supplier failure. Monitor drift, keep evidence current, benchmark externally and refresh tests after major changes.</t>
        </is>
      </c>
      <c r="K187" s="3" t="inlineStr">
        <is>
          <t>Reduces exposure to Delivery disruption; Customer impact; Workforce disruption; improves Capacity and continuity maturity, continuity and management visibility.</t>
        </is>
      </c>
      <c r="L187" s="3" t="n">
        <v>4</v>
      </c>
      <c r="M187" s="3" t="n">
        <v>4</v>
      </c>
      <c r="N187" s="3" t="n">
        <v>3</v>
      </c>
      <c r="O187" s="3" t="n">
        <v>2</v>
      </c>
      <c r="P187" s="3" t="n">
        <v>1</v>
      </c>
      <c r="Q187" s="3" t="n">
        <v>1</v>
      </c>
      <c r="R187" s="3" t="inlineStr">
        <is>
          <t>ISO 9001; ISO 22301; ITIL 4; Lean; Six Sigma; APQC; service management best practices</t>
        </is>
      </c>
      <c r="S187" s="3" t="inlineStr">
        <is>
          <t>Policy/SOP; owner/RACI; system report; dashboard; contracts; test records; incident history; interview evidence related to delivery tabletop exercises with absent people, unavailable systems or supplier failure.</t>
        </is>
      </c>
      <c r="T187" s="3" t="inlineStr">
        <is>
          <t>Delivery disruption; Customer impact; Workforce disruption</t>
        </is>
      </c>
      <c r="U187" s="3" t="inlineStr">
        <is>
          <t>COO / Delivery</t>
        </is>
      </c>
      <c r="V187" s="3" t="inlineStr">
        <is>
          <t>Delivery Ops!16</t>
        </is>
      </c>
    </row>
    <row r="188" ht="71.25" customHeight="1" s="209">
      <c r="A188" s="3" t="inlineStr">
        <is>
          <t>DELI-013</t>
        </is>
      </c>
      <c r="B188" s="3" t="inlineStr">
        <is>
          <t>Delivery Ops</t>
        </is>
      </c>
      <c r="C188" s="3" t="inlineStr">
        <is>
          <t>Process control</t>
        </is>
      </c>
      <c r="D188" s="3" t="inlineStr">
        <is>
          <t>How mature is the organization in managing SOP documentation for critical delivery activities, including ownership, evidence, metrics, fallback procedures and crisis stress testing?</t>
        </is>
      </c>
      <c r="E188" s="3" t="inlineStr">
        <is>
          <t>Establish a basic owner and inventory for SOP documentation for critical delivery activities. Define minimum policy, evidence location and immediate crisis relevance.</t>
        </is>
      </c>
      <c r="F188" s="3" t="inlineStr">
        <is>
          <t>Document SOP documentation for critical delivery activities, assign RACI, define minimum controls/KPIs and collect evidence across the main business units or sites.</t>
        </is>
      </c>
      <c r="G188" s="3" t="inlineStr">
        <is>
          <t>Standardize SOP documentation for critical delivery activities across the organization, close coverage gaps, link it to crisis scenarios and train accountable roles.</t>
        </is>
      </c>
      <c r="H188" s="3" t="inlineStr">
        <is>
          <t>Measure SOP documentation for critical delivery activities, review it periodically, test it against disruption scenarios and integrate it with dependent processes or systems.</t>
        </is>
      </c>
      <c r="I188" s="3" t="inlineStr">
        <is>
          <t>Optimize and automate SOP documentation for critical delivery activities where practical, use leading indicators, run periodic stress tests and update the crisis playbook.</t>
        </is>
      </c>
      <c r="J188" s="3" t="inlineStr">
        <is>
          <t>Maintain maturity for SOP documentation for critical delivery activities. Monitor drift, keep evidence current, benchmark externally and refresh tests after major changes.</t>
        </is>
      </c>
      <c r="K188" s="3" t="inlineStr">
        <is>
          <t>Reduces exposure to Delivery disruption; Customer impact; Workforce disruption; improves Process control maturity, continuity and management visibility.</t>
        </is>
      </c>
      <c r="L188" s="3" t="n">
        <v>4</v>
      </c>
      <c r="M188" s="3" t="n">
        <v>4</v>
      </c>
      <c r="N188" s="3" t="n">
        <v>3</v>
      </c>
      <c r="O188" s="3" t="n">
        <v>2</v>
      </c>
      <c r="P188" s="3" t="n">
        <v>1</v>
      </c>
      <c r="Q188" s="3" t="n">
        <v>1</v>
      </c>
      <c r="R188" s="3" t="inlineStr">
        <is>
          <t>ISO 9001; ISO 22301; ITIL 4; Lean; Six Sigma; APQC; service management best practices</t>
        </is>
      </c>
      <c r="S188" s="3" t="inlineStr">
        <is>
          <t>Policy/SOP; owner/RACI; system report; dashboard; contracts; test records; incident history; interview evidence related to SOP documentation for critical delivery activities.</t>
        </is>
      </c>
      <c r="T188" s="3" t="inlineStr">
        <is>
          <t>Delivery disruption; Customer impact; Workforce disruption</t>
        </is>
      </c>
      <c r="U188" s="3" t="inlineStr">
        <is>
          <t>COO / Delivery</t>
        </is>
      </c>
      <c r="V188" s="3" t="inlineStr">
        <is>
          <t>Delivery Ops!17</t>
        </is>
      </c>
    </row>
    <row r="189" ht="71.25" customHeight="1" s="209">
      <c r="A189" s="3" t="inlineStr">
        <is>
          <t>DELI-014</t>
        </is>
      </c>
      <c r="B189" s="3" t="inlineStr">
        <is>
          <t>Delivery Ops</t>
        </is>
      </c>
      <c r="C189" s="3" t="inlineStr">
        <is>
          <t>Process control</t>
        </is>
      </c>
      <c r="D189" s="3" t="inlineStr">
        <is>
          <t>How mature is the organization in managing handover procedures between shifts, teams, vendors and customers, including ownership, evidence, metrics, fallback procedures and crisis stress testing?</t>
        </is>
      </c>
      <c r="E189" s="3" t="inlineStr">
        <is>
          <t>Establish a basic owner and inventory for handover procedures between shifts, teams, vendors and customers. Define minimum policy, evidence location and immediate crisis relevance.</t>
        </is>
      </c>
      <c r="F189" s="3" t="inlineStr">
        <is>
          <t>Document handover procedures between shifts, teams, vendors and customers, assign RACI, define minimum controls/KPIs and collect evidence across the main business units or sites.</t>
        </is>
      </c>
      <c r="G189" s="3" t="inlineStr">
        <is>
          <t>Standardize handover procedures between shifts, teams, vendors and customers across the organization, close coverage gaps, link it to crisis scenarios and train accountable roles.</t>
        </is>
      </c>
      <c r="H189" s="3" t="inlineStr">
        <is>
          <t>Measure handover procedures between shifts, teams, vendors and customers, review it periodically, test it against disruption scenarios and integrate it with dependent processes or systems.</t>
        </is>
      </c>
      <c r="I189" s="3" t="inlineStr">
        <is>
          <t>Optimize and automate handover procedures between shifts, teams, vendors and customers where practical, use leading indicators, run periodic stress tests and update the crisis playbook.</t>
        </is>
      </c>
      <c r="J189" s="3" t="inlineStr">
        <is>
          <t>Maintain maturity for handover procedures between shifts, teams, vendors and customers. Monitor drift, keep evidence current, benchmark externally and refresh tests after major changes.</t>
        </is>
      </c>
      <c r="K189" s="3" t="inlineStr">
        <is>
          <t>Reduces exposure to Delivery disruption; Customer impact; Workforce disruption; improves Process control maturity, continuity and management visibility.</t>
        </is>
      </c>
      <c r="L189" s="3" t="n">
        <v>4</v>
      </c>
      <c r="M189" s="3" t="n">
        <v>4</v>
      </c>
      <c r="N189" s="3" t="n">
        <v>3</v>
      </c>
      <c r="O189" s="3" t="n">
        <v>2</v>
      </c>
      <c r="P189" s="3" t="n">
        <v>1</v>
      </c>
      <c r="Q189" s="3" t="n">
        <v>1</v>
      </c>
      <c r="R189" s="3" t="inlineStr">
        <is>
          <t>ISO 9001; ISO 22301; ITIL 4; Lean; Six Sigma; APQC; service management best practices</t>
        </is>
      </c>
      <c r="S189" s="3" t="inlineStr">
        <is>
          <t>Policy/SOP; owner/RACI; system report; dashboard; contracts; test records; incident history; interview evidence related to handover procedures between shifts, teams, vendors and customers.</t>
        </is>
      </c>
      <c r="T189" s="3" t="inlineStr">
        <is>
          <t>Delivery disruption; Customer impact; Workforce disruption</t>
        </is>
      </c>
      <c r="U189" s="3" t="inlineStr">
        <is>
          <t>COO / Delivery</t>
        </is>
      </c>
      <c r="V189" s="3" t="inlineStr">
        <is>
          <t>Delivery Ops!18</t>
        </is>
      </c>
    </row>
    <row r="190" ht="71.25" customHeight="1" s="209">
      <c r="A190" s="3" t="inlineStr">
        <is>
          <t>DELI-015</t>
        </is>
      </c>
      <c r="B190" s="3" t="inlineStr">
        <is>
          <t>Delivery Ops</t>
        </is>
      </c>
      <c r="C190" s="3" t="inlineStr">
        <is>
          <t>Process control</t>
        </is>
      </c>
      <c r="D190" s="3" t="inlineStr">
        <is>
          <t>How mature is the organization in managing quality gates across delivery, production, release or service lifecycle, including ownership, evidence, metrics, fallback procedures and crisis stress testing?</t>
        </is>
      </c>
      <c r="E190" s="3" t="inlineStr">
        <is>
          <t>Establish a basic owner and inventory for quality gates across delivery, production, release or service lifecycle. Define minimum policy, evidence location and immediate crisis relevance.</t>
        </is>
      </c>
      <c r="F190" s="3" t="inlineStr">
        <is>
          <t>Document quality gates across delivery, production, release or service lifecycle, assign RACI, define minimum controls/KPIs and collect evidence across the main business units or sites.</t>
        </is>
      </c>
      <c r="G190" s="3" t="inlineStr">
        <is>
          <t>Standardize quality gates across delivery, production, release or service lifecycle across the organization, close coverage gaps, link it to crisis scenarios and train accountable roles.</t>
        </is>
      </c>
      <c r="H190" s="3" t="inlineStr">
        <is>
          <t>Measure quality gates across delivery, production, release or service lifecycle, review it periodically, test it against disruption scenarios and integrate it with dependent processes or systems.</t>
        </is>
      </c>
      <c r="I190" s="3" t="inlineStr">
        <is>
          <t>Optimize and automate quality gates across delivery, production, release or service lifecycle where practical, use leading indicators, run periodic stress tests and update the crisis playbook.</t>
        </is>
      </c>
      <c r="J190" s="3" t="inlineStr">
        <is>
          <t>Maintain maturity for quality gates across delivery, production, release or service lifecycle. Monitor drift, keep evidence current, benchmark externally and refresh tests after major changes.</t>
        </is>
      </c>
      <c r="K190" s="3" t="inlineStr">
        <is>
          <t>Reduces exposure to Delivery disruption; Customer impact; Workforce disruption; improves Process control maturity, continuity and management visibility.</t>
        </is>
      </c>
      <c r="L190" s="3" t="n">
        <v>4</v>
      </c>
      <c r="M190" s="3" t="n">
        <v>4</v>
      </c>
      <c r="N190" s="3" t="n">
        <v>3</v>
      </c>
      <c r="O190" s="3" t="n">
        <v>2</v>
      </c>
      <c r="P190" s="3" t="n">
        <v>1</v>
      </c>
      <c r="Q190" s="3" t="n">
        <v>1</v>
      </c>
      <c r="R190" s="3" t="inlineStr">
        <is>
          <t>ISO 9001; ISO 22301; ITIL 4; Lean; Six Sigma; APQC; service management best practices</t>
        </is>
      </c>
      <c r="S190" s="3" t="inlineStr">
        <is>
          <t>Policy/SOP; owner/RACI; system report; dashboard; contracts; test records; incident history; interview evidence related to quality gates across delivery, production, release or service lifecycle.</t>
        </is>
      </c>
      <c r="T190" s="3" t="inlineStr">
        <is>
          <t>Delivery disruption; Customer impact; Workforce disruption</t>
        </is>
      </c>
      <c r="U190" s="3" t="inlineStr">
        <is>
          <t>COO / Delivery</t>
        </is>
      </c>
      <c r="V190" s="3" t="inlineStr">
        <is>
          <t>Delivery Ops!19</t>
        </is>
      </c>
    </row>
    <row r="191" ht="71.25" customHeight="1" s="209">
      <c r="A191" s="3" t="inlineStr">
        <is>
          <t>DELI-016</t>
        </is>
      </c>
      <c r="B191" s="3" t="inlineStr">
        <is>
          <t>Delivery Ops</t>
        </is>
      </c>
      <c r="C191" s="3" t="inlineStr">
        <is>
          <t>Process control</t>
        </is>
      </c>
      <c r="D191" s="3" t="inlineStr">
        <is>
          <t>How mature is the organization in managing change control with risk, customer impact, rollback and communication, including ownership, evidence, metrics, fallback procedures and crisis stress testing?</t>
        </is>
      </c>
      <c r="E191" s="3" t="inlineStr">
        <is>
          <t>Establish a basic owner and inventory for change control with risk, customer impact, rollback and communication. Define minimum policy, evidence location and immediate crisis relevance.</t>
        </is>
      </c>
      <c r="F191" s="3" t="inlineStr">
        <is>
          <t>Document change control with risk, customer impact, rollback and communication, assign RACI, define minimum controls/KPIs and collect evidence across the main business units or sites.</t>
        </is>
      </c>
      <c r="G191" s="3" t="inlineStr">
        <is>
          <t>Standardize change control with risk, customer impact, rollback and communication across the organization, close coverage gaps, link it to crisis scenarios and train accountable roles.</t>
        </is>
      </c>
      <c r="H191" s="3" t="inlineStr">
        <is>
          <t>Measure change control with risk, customer impact, rollback and communication, review it periodically, test it against disruption scenarios and integrate it with dependent processes or systems.</t>
        </is>
      </c>
      <c r="I191" s="3" t="inlineStr">
        <is>
          <t>Optimize and automate change control with risk, customer impact, rollback and communication where practical, use leading indicators, run periodic stress tests and update the crisis playbook.</t>
        </is>
      </c>
      <c r="J191" s="3" t="inlineStr">
        <is>
          <t>Maintain maturity for change control with risk, customer impact, rollback and communication. Monitor drift, keep evidence current, benchmark externally and refresh tests after major changes.</t>
        </is>
      </c>
      <c r="K191" s="3" t="inlineStr">
        <is>
          <t>Reduces exposure to Delivery disruption; Customer impact; Workforce disruption; improves Process control maturity, continuity and management visibility.</t>
        </is>
      </c>
      <c r="L191" s="3" t="n">
        <v>4</v>
      </c>
      <c r="M191" s="3" t="n">
        <v>4</v>
      </c>
      <c r="N191" s="3" t="n">
        <v>3</v>
      </c>
      <c r="O191" s="3" t="n">
        <v>2</v>
      </c>
      <c r="P191" s="3" t="n">
        <v>1</v>
      </c>
      <c r="Q191" s="3" t="n">
        <v>1</v>
      </c>
      <c r="R191" s="3" t="inlineStr">
        <is>
          <t>ISO 9001; ISO 22301; ITIL 4; Lean; Six Sigma; APQC; service management best practices</t>
        </is>
      </c>
      <c r="S191" s="3" t="inlineStr">
        <is>
          <t>Policy/SOP; owner/RACI; system report; dashboard; contracts; test records; incident history; interview evidence related to change control with risk, customer impact, rollback and communication.</t>
        </is>
      </c>
      <c r="T191" s="3" t="inlineStr">
        <is>
          <t>Delivery disruption; Customer impact; Workforce disruption</t>
        </is>
      </c>
      <c r="U191" s="3" t="inlineStr">
        <is>
          <t>COO / Delivery</t>
        </is>
      </c>
      <c r="V191" s="3" t="inlineStr">
        <is>
          <t>Delivery Ops!20</t>
        </is>
      </c>
    </row>
    <row r="192" ht="71.25" customHeight="1" s="209">
      <c r="A192" s="3" t="inlineStr">
        <is>
          <t>DELI-017</t>
        </is>
      </c>
      <c r="B192" s="3" t="inlineStr">
        <is>
          <t>Delivery Ops</t>
        </is>
      </c>
      <c r="C192" s="3" t="inlineStr">
        <is>
          <t>Process control</t>
        </is>
      </c>
      <c r="D192" s="3" t="inlineStr">
        <is>
          <t>How mature is the organization in managing manual workarounds if delivery systems are unavailable, including ownership, evidence, metrics, fallback procedures and crisis stress testing?</t>
        </is>
      </c>
      <c r="E192" s="3" t="inlineStr">
        <is>
          <t>Establish a basic owner and inventory for manual workarounds if delivery systems are unavailable. Define minimum policy, evidence location and immediate crisis relevance.</t>
        </is>
      </c>
      <c r="F192" s="3" t="inlineStr">
        <is>
          <t>Document manual workarounds if delivery systems are unavailable, assign RACI, define minimum controls/KPIs and collect evidence across the main business units or sites.</t>
        </is>
      </c>
      <c r="G192" s="3" t="inlineStr">
        <is>
          <t>Standardize manual workarounds if delivery systems are unavailable across the organization, close coverage gaps, link it to crisis scenarios and train accountable roles.</t>
        </is>
      </c>
      <c r="H192" s="3" t="inlineStr">
        <is>
          <t>Measure manual workarounds if delivery systems are unavailable, review it periodically, test it against disruption scenarios and integrate it with dependent processes or systems.</t>
        </is>
      </c>
      <c r="I192" s="3" t="inlineStr">
        <is>
          <t>Optimize and automate manual workarounds if delivery systems are unavailable where practical, use leading indicators, run periodic stress tests and update the crisis playbook.</t>
        </is>
      </c>
      <c r="J192" s="3" t="inlineStr">
        <is>
          <t>Maintain maturity for manual workarounds if delivery systems are unavailable. Monitor drift, keep evidence current, benchmark externally and refresh tests after major changes.</t>
        </is>
      </c>
      <c r="K192" s="3" t="inlineStr">
        <is>
          <t>Reduces exposure to Delivery disruption; Customer impact; Workforce disruption; improves Process control maturity, continuity and management visibility.</t>
        </is>
      </c>
      <c r="L192" s="3" t="n">
        <v>4</v>
      </c>
      <c r="M192" s="3" t="n">
        <v>4</v>
      </c>
      <c r="N192" s="3" t="n">
        <v>3</v>
      </c>
      <c r="O192" s="3" t="n">
        <v>2</v>
      </c>
      <c r="P192" s="3" t="n">
        <v>1</v>
      </c>
      <c r="Q192" s="3" t="n">
        <v>1</v>
      </c>
      <c r="R192" s="3" t="inlineStr">
        <is>
          <t>ISO 9001; ISO 22301; ITIL 4; Lean; Six Sigma; APQC; service management best practices</t>
        </is>
      </c>
      <c r="S192" s="3" t="inlineStr">
        <is>
          <t>Policy/SOP; owner/RACI; system report; dashboard; contracts; test records; incident history; interview evidence related to manual workarounds if delivery systems are unavailable.</t>
        </is>
      </c>
      <c r="T192" s="3" t="inlineStr">
        <is>
          <t>Delivery disruption; Customer impact; Workforce disruption</t>
        </is>
      </c>
      <c r="U192" s="3" t="inlineStr">
        <is>
          <t>COO / Delivery</t>
        </is>
      </c>
      <c r="V192" s="3" t="inlineStr">
        <is>
          <t>Delivery Ops!21</t>
        </is>
      </c>
    </row>
    <row r="193" ht="71.25" customHeight="1" s="209">
      <c r="A193" s="3" t="inlineStr">
        <is>
          <t>DELI-018</t>
        </is>
      </c>
      <c r="B193" s="3" t="inlineStr">
        <is>
          <t>Delivery Ops</t>
        </is>
      </c>
      <c r="C193" s="3" t="inlineStr">
        <is>
          <t>Process control</t>
        </is>
      </c>
      <c r="D193" s="3" t="inlineStr">
        <is>
          <t>How mature is the organization in managing root cause analysis for recurring delivery failures, including ownership, evidence, metrics, fallback procedures and crisis stress testing?</t>
        </is>
      </c>
      <c r="E193" s="3" t="inlineStr">
        <is>
          <t>Establish a basic owner and inventory for root cause analysis for recurring delivery failures. Define minimum policy, evidence location and immediate crisis relevance.</t>
        </is>
      </c>
      <c r="F193" s="3" t="inlineStr">
        <is>
          <t>Document root cause analysis for recurring delivery failures, assign RACI, define minimum controls/KPIs and collect evidence across the main business units or sites.</t>
        </is>
      </c>
      <c r="G193" s="3" t="inlineStr">
        <is>
          <t>Standardize root cause analysis for recurring delivery failures across the organization, close coverage gaps, link it to crisis scenarios and train accountable roles.</t>
        </is>
      </c>
      <c r="H193" s="3" t="inlineStr">
        <is>
          <t>Measure root cause analysis for recurring delivery failures, review it periodically, test it against disruption scenarios and integrate it with dependent processes or systems.</t>
        </is>
      </c>
      <c r="I193" s="3" t="inlineStr">
        <is>
          <t>Optimize and automate root cause analysis for recurring delivery failures where practical, use leading indicators, run periodic stress tests and update the crisis playbook.</t>
        </is>
      </c>
      <c r="J193" s="3" t="inlineStr">
        <is>
          <t>Maintain maturity for root cause analysis for recurring delivery failures. Monitor drift, keep evidence current, benchmark externally and refresh tests after major changes.</t>
        </is>
      </c>
      <c r="K193" s="3" t="inlineStr">
        <is>
          <t>Reduces exposure to Delivery disruption; Customer impact; Workforce disruption; improves Process control maturity, continuity and management visibility.</t>
        </is>
      </c>
      <c r="L193" s="3" t="n">
        <v>4</v>
      </c>
      <c r="M193" s="3" t="n">
        <v>4</v>
      </c>
      <c r="N193" s="3" t="n">
        <v>3</v>
      </c>
      <c r="O193" s="3" t="n">
        <v>2</v>
      </c>
      <c r="P193" s="3" t="n">
        <v>1</v>
      </c>
      <c r="Q193" s="3" t="n">
        <v>1</v>
      </c>
      <c r="R193" s="3" t="inlineStr">
        <is>
          <t>ISO 9001; ISO 22301; ITIL 4; Lean; Six Sigma; APQC; service management best practices</t>
        </is>
      </c>
      <c r="S193" s="3" t="inlineStr">
        <is>
          <t>Policy/SOP; owner/RACI; system report; dashboard; contracts; test records; incident history; interview evidence related to root cause analysis for recurring delivery failures.</t>
        </is>
      </c>
      <c r="T193" s="3" t="inlineStr">
        <is>
          <t>Delivery disruption; Customer impact; Workforce disruption</t>
        </is>
      </c>
      <c r="U193" s="3" t="inlineStr">
        <is>
          <t>COO / Delivery</t>
        </is>
      </c>
      <c r="V193" s="3" t="inlineStr">
        <is>
          <t>Delivery Ops!22</t>
        </is>
      </c>
    </row>
    <row r="194" ht="85.5" customHeight="1" s="209">
      <c r="A194" s="3" t="inlineStr">
        <is>
          <t>DELI-019</t>
        </is>
      </c>
      <c r="B194" s="3" t="inlineStr">
        <is>
          <t>Delivery Ops</t>
        </is>
      </c>
      <c r="C194" s="3" t="inlineStr">
        <is>
          <t>Operational visibility</t>
        </is>
      </c>
      <c r="D194" s="3" t="inlineStr">
        <is>
          <t>How mature is the organization in managing real-time visibility into orders, backlog, incidents, production, logistics and service performance, including ownership, evidence, metrics, fallback procedures and crisis stress testing?</t>
        </is>
      </c>
      <c r="E194" s="3" t="inlineStr">
        <is>
          <t>Establish a basic owner and inventory for real-time visibility into orders, backlog, incidents, production, logistics and service performance. Define minimum policy, evidence location and immediate crisis relevance.</t>
        </is>
      </c>
      <c r="F194" s="3" t="inlineStr">
        <is>
          <t>Document real-time visibility into orders, backlog, incidents, production, logistics and service performance, assign RACI, define minimum controls/KPIs and collect evidence across the main business units or sites.</t>
        </is>
      </c>
      <c r="G194" s="3" t="inlineStr">
        <is>
          <t>Standardize real-time visibility into orders, backlog, incidents, production, logistics and service performance across the organization, close coverage gaps, link it to crisis scenarios and train accountable roles.</t>
        </is>
      </c>
      <c r="H194" s="3" t="inlineStr">
        <is>
          <t>Measure real-time visibility into orders, backlog, incidents, production, logistics and service performance, review it periodically, test it against disruption scenarios and integrate it with dependent processes or systems.</t>
        </is>
      </c>
      <c r="I194" s="3" t="inlineStr">
        <is>
          <t>Optimize and automate real-time visibility into orders, backlog, incidents, production, logistics and service performance where practical, use leading indicators, run periodic stress tests and update the crisis playbook.</t>
        </is>
      </c>
      <c r="J194" s="3" t="inlineStr">
        <is>
          <t>Maintain maturity for real-time visibility into orders, backlog, incidents, production, logistics and service performance. Monitor drift, keep evidence current, benchmark externally and refresh tests after major changes.</t>
        </is>
      </c>
      <c r="K194" s="3" t="inlineStr">
        <is>
          <t>Reduces exposure to Delivery disruption; Customer impact; Workforce disruption; improves Operational visibility maturity, continuity and management visibility.</t>
        </is>
      </c>
      <c r="L194" s="3" t="n">
        <v>5</v>
      </c>
      <c r="M194" s="3" t="n">
        <v>5</v>
      </c>
      <c r="N194" s="3" t="n">
        <v>4</v>
      </c>
      <c r="O194" s="3" t="n">
        <v>3</v>
      </c>
      <c r="P194" s="3" t="n">
        <v>2</v>
      </c>
      <c r="Q194" s="3" t="n">
        <v>1</v>
      </c>
      <c r="R194" s="3" t="inlineStr">
        <is>
          <t>ISO 9001; ISO 22301; ITIL 4; Lean; Six Sigma; APQC; service management best practices</t>
        </is>
      </c>
      <c r="S194" s="3" t="inlineStr">
        <is>
          <t>Policy/SOP; owner/RACI; system report; dashboard; contracts; test records; incident history; interview evidence related to real-time visibility into orders, backlog, incidents, production, logistics and service performance.</t>
        </is>
      </c>
      <c r="T194" s="3" t="inlineStr">
        <is>
          <t>Delivery disruption; Customer impact; Workforce disruption</t>
        </is>
      </c>
      <c r="U194" s="3" t="inlineStr">
        <is>
          <t>COO / Delivery</t>
        </is>
      </c>
      <c r="V194" s="3" t="inlineStr">
        <is>
          <t>Delivery Ops!23</t>
        </is>
      </c>
    </row>
    <row r="195" ht="85.5" customHeight="1" s="209">
      <c r="A195" s="3" t="inlineStr">
        <is>
          <t>DELI-020</t>
        </is>
      </c>
      <c r="B195" s="3" t="inlineStr">
        <is>
          <t>Delivery Ops</t>
        </is>
      </c>
      <c r="C195" s="3" t="inlineStr">
        <is>
          <t>Operational visibility</t>
        </is>
      </c>
      <c r="D195" s="3" t="inlineStr">
        <is>
          <t>How mature is the organization in managing operational KPIs for delivery quality, timeliness, throughput, cost, incidents and customer impact, including ownership, evidence, metrics, fallback procedures and crisis stress testing?</t>
        </is>
      </c>
      <c r="E195" s="3" t="inlineStr">
        <is>
          <t>Establish a basic owner and inventory for operational KPIs for delivery quality, timeliness, throughput, cost, incidents and customer impact. Define minimum policy, evidence location and immediate crisis relevance.</t>
        </is>
      </c>
      <c r="F195" s="3" t="inlineStr">
        <is>
          <t>Document operational KPIs for delivery quality, timeliness, throughput, cost, incidents and customer impact, assign RACI, define minimum controls/KPIs and collect evidence across the main business units or sites.</t>
        </is>
      </c>
      <c r="G195" s="3" t="inlineStr">
        <is>
          <t>Standardize operational KPIs for delivery quality, timeliness, throughput, cost, incidents and customer impact across the organization, close coverage gaps, link it to crisis scenarios and train accountable roles.</t>
        </is>
      </c>
      <c r="H195" s="3" t="inlineStr">
        <is>
          <t>Measure operational KPIs for delivery quality, timeliness, throughput, cost, incidents and customer impact, review it periodically, test it against disruption scenarios and integrate it with dependent processes or systems.</t>
        </is>
      </c>
      <c r="I195" s="3" t="inlineStr">
        <is>
          <t>Optimize and automate operational KPIs for delivery quality, timeliness, throughput, cost, incidents and customer impact where practical, use leading indicators, run periodic stress tests and update the crisis playbook.</t>
        </is>
      </c>
      <c r="J195" s="3" t="inlineStr">
        <is>
          <t>Maintain maturity for operational KPIs for delivery quality, timeliness, throughput, cost, incidents and customer impact. Monitor drift, keep evidence current, benchmark externally and refresh tests after major changes.</t>
        </is>
      </c>
      <c r="K195" s="3" t="inlineStr">
        <is>
          <t>Reduces exposure to Delivery disruption; Customer impact; Workforce disruption; improves Operational visibility maturity, continuity and management visibility.</t>
        </is>
      </c>
      <c r="L195" s="3" t="n">
        <v>5</v>
      </c>
      <c r="M195" s="3" t="n">
        <v>5</v>
      </c>
      <c r="N195" s="3" t="n">
        <v>4</v>
      </c>
      <c r="O195" s="3" t="n">
        <v>3</v>
      </c>
      <c r="P195" s="3" t="n">
        <v>2</v>
      </c>
      <c r="Q195" s="3" t="n">
        <v>1</v>
      </c>
      <c r="R195" s="3" t="inlineStr">
        <is>
          <t>ISO 9001; ISO 22301; ITIL 4; Lean; Six Sigma; APQC; service management best practices</t>
        </is>
      </c>
      <c r="S195" s="3" t="inlineStr">
        <is>
          <t>Policy/SOP; owner/RACI; system report; dashboard; contracts; test records; incident history; interview evidence related to operational KPIs for delivery quality, timeliness, throughput, cost, incidents and customer impact.</t>
        </is>
      </c>
      <c r="T195" s="3" t="inlineStr">
        <is>
          <t>Delivery disruption; Customer impact; Workforce disruption</t>
        </is>
      </c>
      <c r="U195" s="3" t="inlineStr">
        <is>
          <t>COO / Delivery</t>
        </is>
      </c>
      <c r="V195" s="3" t="inlineStr">
        <is>
          <t>Delivery Ops!24</t>
        </is>
      </c>
    </row>
    <row r="196" ht="85.5" customHeight="1" s="209">
      <c r="A196" s="3" t="inlineStr">
        <is>
          <t>DELI-021</t>
        </is>
      </c>
      <c r="B196" s="3" t="inlineStr">
        <is>
          <t>Delivery Ops</t>
        </is>
      </c>
      <c r="C196" s="3" t="inlineStr">
        <is>
          <t>Operational visibility</t>
        </is>
      </c>
      <c r="D196" s="3" t="inlineStr">
        <is>
          <t>How mature is the organization in managing backlog aging analysis linked to customer risk, revenue risk and operational constraints, including ownership, evidence, metrics, fallback procedures and crisis stress testing?</t>
        </is>
      </c>
      <c r="E196" s="3" t="inlineStr">
        <is>
          <t>Establish a basic owner and inventory for backlog aging analysis linked to customer risk, revenue risk and operational constraints. Define minimum policy, evidence location and immediate crisis relevance.</t>
        </is>
      </c>
      <c r="F196" s="3" t="inlineStr">
        <is>
          <t>Document backlog aging analysis linked to customer risk, revenue risk and operational constraints, assign RACI, define minimum controls/KPIs and collect evidence across the main business units or sites.</t>
        </is>
      </c>
      <c r="G196" s="3" t="inlineStr">
        <is>
          <t>Standardize backlog aging analysis linked to customer risk, revenue risk and operational constraints across the organization, close coverage gaps, link it to crisis scenarios and train accountable roles.</t>
        </is>
      </c>
      <c r="H196" s="3" t="inlineStr">
        <is>
          <t>Measure backlog aging analysis linked to customer risk, revenue risk and operational constraints, review it periodically, test it against disruption scenarios and integrate it with dependent processes or systems.</t>
        </is>
      </c>
      <c r="I196" s="3" t="inlineStr">
        <is>
          <t>Optimize and automate backlog aging analysis linked to customer risk, revenue risk and operational constraints where practical, use leading indicators, run periodic stress tests and update the crisis playbook.</t>
        </is>
      </c>
      <c r="J196" s="3" t="inlineStr">
        <is>
          <t>Maintain maturity for backlog aging analysis linked to customer risk, revenue risk and operational constraints. Monitor drift, keep evidence current, benchmark externally and refresh tests after major changes.</t>
        </is>
      </c>
      <c r="K196" s="3" t="inlineStr">
        <is>
          <t>Reduces exposure to Delivery disruption; Customer impact; Workforce disruption; improves Operational visibility maturity, continuity and management visibility.</t>
        </is>
      </c>
      <c r="L196" s="3" t="n">
        <v>5</v>
      </c>
      <c r="M196" s="3" t="n">
        <v>5</v>
      </c>
      <c r="N196" s="3" t="n">
        <v>4</v>
      </c>
      <c r="O196" s="3" t="n">
        <v>3</v>
      </c>
      <c r="P196" s="3" t="n">
        <v>2</v>
      </c>
      <c r="Q196" s="3" t="n">
        <v>1</v>
      </c>
      <c r="R196" s="3" t="inlineStr">
        <is>
          <t>ISO 9001; ISO 22301; ITIL 4; Lean; Six Sigma; APQC; service management best practices</t>
        </is>
      </c>
      <c r="S196" s="3" t="inlineStr">
        <is>
          <t>Policy/SOP; owner/RACI; system report; dashboard; contracts; test records; incident history; interview evidence related to backlog aging analysis linked to customer risk, revenue risk and operational constraints.</t>
        </is>
      </c>
      <c r="T196" s="3" t="inlineStr">
        <is>
          <t>Delivery disruption; Customer impact; Workforce disruption</t>
        </is>
      </c>
      <c r="U196" s="3" t="inlineStr">
        <is>
          <t>COO / Delivery</t>
        </is>
      </c>
      <c r="V196" s="3" t="inlineStr">
        <is>
          <t>Delivery Ops!25</t>
        </is>
      </c>
    </row>
    <row r="197" ht="71.25" customHeight="1" s="209">
      <c r="A197" s="3" t="inlineStr">
        <is>
          <t>DELI-022</t>
        </is>
      </c>
      <c r="B197" s="3" t="inlineStr">
        <is>
          <t>Delivery Ops</t>
        </is>
      </c>
      <c r="C197" s="3" t="inlineStr">
        <is>
          <t>Operational visibility</t>
        </is>
      </c>
      <c r="D197" s="3" t="inlineStr">
        <is>
          <t>How mature is the organization in managing customer-specific runbooks for critical accounts, including ownership, evidence, metrics, fallback procedures and crisis stress testing?</t>
        </is>
      </c>
      <c r="E197" s="3" t="inlineStr">
        <is>
          <t>Establish a basic owner and inventory for customer-specific runbooks for critical accounts. Define minimum policy, evidence location and immediate crisis relevance.</t>
        </is>
      </c>
      <c r="F197" s="3" t="inlineStr">
        <is>
          <t>Document customer-specific runbooks for critical accounts, assign RACI, define minimum controls/KPIs and collect evidence across the main business units or sites.</t>
        </is>
      </c>
      <c r="G197" s="3" t="inlineStr">
        <is>
          <t>Standardize customer-specific runbooks for critical accounts across the organization, close coverage gaps, link it to crisis scenarios and train accountable roles.</t>
        </is>
      </c>
      <c r="H197" s="3" t="inlineStr">
        <is>
          <t>Measure customer-specific runbooks for critical accounts, review it periodically, test it against disruption scenarios and integrate it with dependent processes or systems.</t>
        </is>
      </c>
      <c r="I197" s="3" t="inlineStr">
        <is>
          <t>Optimize and automate customer-specific runbooks for critical accounts where practical, use leading indicators, run periodic stress tests and update the crisis playbook.</t>
        </is>
      </c>
      <c r="J197" s="3" t="inlineStr">
        <is>
          <t>Maintain maturity for customer-specific runbooks for critical accounts. Monitor drift, keep evidence current, benchmark externally and refresh tests after major changes.</t>
        </is>
      </c>
      <c r="K197" s="3" t="inlineStr">
        <is>
          <t>Reduces exposure to Delivery disruption; Customer impact; Workforce disruption; improves Operational visibility maturity, continuity and management visibility.</t>
        </is>
      </c>
      <c r="L197" s="3" t="n">
        <v>5</v>
      </c>
      <c r="M197" s="3" t="n">
        <v>5</v>
      </c>
      <c r="N197" s="3" t="n">
        <v>4</v>
      </c>
      <c r="O197" s="3" t="n">
        <v>3</v>
      </c>
      <c r="P197" s="3" t="n">
        <v>2</v>
      </c>
      <c r="Q197" s="3" t="n">
        <v>1</v>
      </c>
      <c r="R197" s="3" t="inlineStr">
        <is>
          <t>ISO 9001; ISO 22301; ITIL 4; Lean; Six Sigma; APQC; service management best practices</t>
        </is>
      </c>
      <c r="S197" s="3" t="inlineStr">
        <is>
          <t>Policy/SOP; owner/RACI; system report; dashboard; contracts; test records; incident history; interview evidence related to customer-specific runbooks for critical accounts.</t>
        </is>
      </c>
      <c r="T197" s="3" t="inlineStr">
        <is>
          <t>Delivery disruption; Customer impact; Workforce disruption</t>
        </is>
      </c>
      <c r="U197" s="3" t="inlineStr">
        <is>
          <t>COO / Delivery</t>
        </is>
      </c>
      <c r="V197" s="3" t="inlineStr">
        <is>
          <t>Delivery Ops!26</t>
        </is>
      </c>
    </row>
    <row r="198" ht="71.25" customHeight="1" s="209">
      <c r="A198" s="3" t="inlineStr">
        <is>
          <t>DELI-023</t>
        </is>
      </c>
      <c r="B198" s="3" t="inlineStr">
        <is>
          <t>Delivery Ops</t>
        </is>
      </c>
      <c r="C198" s="3" t="inlineStr">
        <is>
          <t>Operational visibility</t>
        </is>
      </c>
      <c r="D198" s="3" t="inlineStr">
        <is>
          <t>How mature is the organization in managing critical tools, equipment and licenses required for delivery, including ownership, evidence, metrics, fallback procedures and crisis stress testing?</t>
        </is>
      </c>
      <c r="E198" s="3" t="inlineStr">
        <is>
          <t>Establish a basic owner and inventory for critical tools, equipment and licenses required for delivery. Define minimum policy, evidence location and immediate crisis relevance.</t>
        </is>
      </c>
      <c r="F198" s="3" t="inlineStr">
        <is>
          <t>Document critical tools, equipment and licenses required for delivery, assign RACI, define minimum controls/KPIs and collect evidence across the main business units or sites.</t>
        </is>
      </c>
      <c r="G198" s="3" t="inlineStr">
        <is>
          <t>Standardize critical tools, equipment and licenses required for delivery across the organization, close coverage gaps, link it to crisis scenarios and train accountable roles.</t>
        </is>
      </c>
      <c r="H198" s="3" t="inlineStr">
        <is>
          <t>Measure critical tools, equipment and licenses required for delivery, review it periodically, test it against disruption scenarios and integrate it with dependent processes or systems.</t>
        </is>
      </c>
      <c r="I198" s="3" t="inlineStr">
        <is>
          <t>Optimize and automate critical tools, equipment and licenses required for delivery where practical, use leading indicators, run periodic stress tests and update the crisis playbook.</t>
        </is>
      </c>
      <c r="J198" s="3" t="inlineStr">
        <is>
          <t>Maintain maturity for critical tools, equipment and licenses required for delivery. Monitor drift, keep evidence current, benchmark externally and refresh tests after major changes.</t>
        </is>
      </c>
      <c r="K198" s="3" t="inlineStr">
        <is>
          <t>Reduces exposure to Delivery disruption; Customer impact; Workforce disruption; improves Operational visibility maturity, continuity and management visibility.</t>
        </is>
      </c>
      <c r="L198" s="3" t="n">
        <v>5</v>
      </c>
      <c r="M198" s="3" t="n">
        <v>5</v>
      </c>
      <c r="N198" s="3" t="n">
        <v>4</v>
      </c>
      <c r="O198" s="3" t="n">
        <v>3</v>
      </c>
      <c r="P198" s="3" t="n">
        <v>2</v>
      </c>
      <c r="Q198" s="3" t="n">
        <v>1</v>
      </c>
      <c r="R198" s="3" t="inlineStr">
        <is>
          <t>ISO 9001; ISO 22301; ITIL 4; Lean; Six Sigma; APQC; service management best practices</t>
        </is>
      </c>
      <c r="S198" s="3" t="inlineStr">
        <is>
          <t>Policy/SOP; owner/RACI; system report; dashboard; contracts; test records; incident history; interview evidence related to critical tools, equipment and licenses required for delivery.</t>
        </is>
      </c>
      <c r="T198" s="3" t="inlineStr">
        <is>
          <t>Delivery disruption; Customer impact; Workforce disruption</t>
        </is>
      </c>
      <c r="U198" s="3" t="inlineStr">
        <is>
          <t>COO / Delivery</t>
        </is>
      </c>
      <c r="V198" s="3" t="inlineStr">
        <is>
          <t>Delivery Ops!27</t>
        </is>
      </c>
    </row>
    <row r="199" ht="71.25" customHeight="1" s="209">
      <c r="A199" s="3" t="inlineStr">
        <is>
          <t>DELI-024</t>
        </is>
      </c>
      <c r="B199" s="3" t="inlineStr">
        <is>
          <t>Delivery Ops</t>
        </is>
      </c>
      <c r="C199" s="3" t="inlineStr">
        <is>
          <t>Operational visibility</t>
        </is>
      </c>
      <c r="D199" s="3" t="inlineStr">
        <is>
          <t>How mature is the organization in managing geographic delivery exposure by customer, supplier, team and site location, including ownership, evidence, metrics, fallback procedures and crisis stress testing?</t>
        </is>
      </c>
      <c r="E199" s="3" t="inlineStr">
        <is>
          <t>Establish a basic owner and inventory for geographic delivery exposure by customer, supplier, team and site location. Define minimum policy, evidence location and immediate crisis relevance.</t>
        </is>
      </c>
      <c r="F199" s="3" t="inlineStr">
        <is>
          <t>Document geographic delivery exposure by customer, supplier, team and site location, assign RACI, define minimum controls/KPIs and collect evidence across the main business units or sites.</t>
        </is>
      </c>
      <c r="G199" s="3" t="inlineStr">
        <is>
          <t>Standardize geographic delivery exposure by customer, supplier, team and site location across the organization, close coverage gaps, link it to crisis scenarios and train accountable roles.</t>
        </is>
      </c>
      <c r="H199" s="3" t="inlineStr">
        <is>
          <t>Measure geographic delivery exposure by customer, supplier, team and site location, review it periodically, test it against disruption scenarios and integrate it with dependent processes or systems.</t>
        </is>
      </c>
      <c r="I199" s="3" t="inlineStr">
        <is>
          <t>Optimize and automate geographic delivery exposure by customer, supplier, team and site location where practical, use leading indicators, run periodic stress tests and update the crisis playbook.</t>
        </is>
      </c>
      <c r="J199" s="3" t="inlineStr">
        <is>
          <t>Maintain maturity for geographic delivery exposure by customer, supplier, team and site location. Monitor drift, keep evidence current, benchmark externally and refresh tests after major changes.</t>
        </is>
      </c>
      <c r="K199" s="3" t="inlineStr">
        <is>
          <t>Reduces exposure to Delivery disruption; Customer impact; Workforce disruption; improves Operational visibility maturity, continuity and management visibility.</t>
        </is>
      </c>
      <c r="L199" s="3" t="n">
        <v>5</v>
      </c>
      <c r="M199" s="3" t="n">
        <v>5</v>
      </c>
      <c r="N199" s="3" t="n">
        <v>4</v>
      </c>
      <c r="O199" s="3" t="n">
        <v>3</v>
      </c>
      <c r="P199" s="3" t="n">
        <v>2</v>
      </c>
      <c r="Q199" s="3" t="n">
        <v>1</v>
      </c>
      <c r="R199" s="3" t="inlineStr">
        <is>
          <t>ISO 9001; ISO 22301; ITIL 4; Lean; Six Sigma; APQC; service management best practices</t>
        </is>
      </c>
      <c r="S199" s="3" t="inlineStr">
        <is>
          <t>Policy/SOP; owner/RACI; system report; dashboard; contracts; test records; incident history; interview evidence related to geographic delivery exposure by customer, supplier, team and site location.</t>
        </is>
      </c>
      <c r="T199" s="3" t="inlineStr">
        <is>
          <t>Delivery disruption; Customer impact; Workforce disruption</t>
        </is>
      </c>
      <c r="U199" s="3" t="inlineStr">
        <is>
          <t>COO / Delivery</t>
        </is>
      </c>
      <c r="V199" s="3" t="inlineStr">
        <is>
          <t>Delivery Ops!28</t>
        </is>
      </c>
    </row>
    <row r="200" ht="85.5" customHeight="1" s="209">
      <c r="A200" s="3" t="inlineStr">
        <is>
          <t>SUPP-001</t>
        </is>
      </c>
      <c r="B200" s="3" t="inlineStr">
        <is>
          <t>Supply Chain</t>
        </is>
      </c>
      <c r="C200" s="3" t="inlineStr">
        <is>
          <t>Supply chain design</t>
        </is>
      </c>
      <c r="D200" s="3" t="inlineStr">
        <is>
          <t>How mature is the organization in managing end-to-end supply chain map from raw materials and suppliers to production, logistics, delivery and customers, including ownership, evidence, metrics, fallback procedures and crisis stress testing?</t>
        </is>
      </c>
      <c r="E200" s="3" t="inlineStr">
        <is>
          <t>Establish a basic owner and inventory for end-to-end supply chain map from raw materials and suppliers to production, logistics, delivery and customers. Define minimum policy, evidence location and immediate crisis relevance.</t>
        </is>
      </c>
      <c r="F200" s="3" t="inlineStr">
        <is>
          <t>Document end-to-end supply chain map from raw materials and suppliers to production, logistics, delivery and customers, assign RACI, define minimum controls/KPIs and collect evidence across the main business units or sites.</t>
        </is>
      </c>
      <c r="G200" s="3" t="inlineStr">
        <is>
          <t>Standardize end-to-end supply chain map from raw materials and suppliers to production, logistics, delivery and customers across the organization, close coverage gaps, link it to crisis scenarios and train accountable roles.</t>
        </is>
      </c>
      <c r="H200" s="3" t="inlineStr">
        <is>
          <t>Measure end-to-end supply chain map from raw materials and suppliers to production, logistics, delivery and customers, review it periodically, test it against disruption scenarios and integrate it with dependent processes or systems.</t>
        </is>
      </c>
      <c r="I200" s="3" t="inlineStr">
        <is>
          <t>Optimize and automate end-to-end supply chain map from raw materials and suppliers to production, logistics, delivery and customers where practical, use leading indicators, run periodic stress tests and update the crisis playbook.</t>
        </is>
      </c>
      <c r="J200" s="3" t="inlineStr">
        <is>
          <t>Maintain maturity for end-to-end supply chain map from raw materials and suppliers to production, logistics, delivery and customers. Monitor drift, keep evidence current, benchmark externally and refresh tests after major changes.</t>
        </is>
      </c>
      <c r="K200" s="3" t="inlineStr">
        <is>
          <t>Reduces exposure to Supplier/logistics disruption; Manufacturing disruption; Demand shock; improves Supply chain design maturity, continuity and management visibility.</t>
        </is>
      </c>
      <c r="L200" s="3" t="n">
        <v>5</v>
      </c>
      <c r="M200" s="3" t="n">
        <v>5</v>
      </c>
      <c r="N200" s="3" t="n">
        <v>4</v>
      </c>
      <c r="O200" s="3" t="n">
        <v>3</v>
      </c>
      <c r="P200" s="3" t="n">
        <v>2</v>
      </c>
      <c r="Q200" s="3" t="n">
        <v>1</v>
      </c>
      <c r="R200" s="3" t="inlineStr">
        <is>
          <t>ISO 22301; ISO 20400; ISO 28000; SCOR Digital Standard; S&amp;OP/IBP; APICS/ASCM</t>
        </is>
      </c>
      <c r="S200" s="3" t="inlineStr">
        <is>
          <t>Policy/SOP; owner/RACI; system report; dashboard; contracts; test records; incident history; interview evidence related to end-to-end supply chain map from raw materials and suppliers to production, logistics, delivery and customers.</t>
        </is>
      </c>
      <c r="T200" s="3" t="inlineStr">
        <is>
          <t>Supplier/logistics disruption; Manufacturing disruption; Demand shock</t>
        </is>
      </c>
      <c r="U200" s="3" t="inlineStr">
        <is>
          <t>Supply Chain / Procurement</t>
        </is>
      </c>
      <c r="V200" s="3" t="inlineStr">
        <is>
          <t>Supply Chain!5</t>
        </is>
      </c>
    </row>
    <row r="201" ht="85.5" customHeight="1" s="209">
      <c r="A201" s="3" t="inlineStr">
        <is>
          <t>SUPP-002</t>
        </is>
      </c>
      <c r="B201" s="3" t="inlineStr">
        <is>
          <t>Supply Chain</t>
        </is>
      </c>
      <c r="C201" s="3" t="inlineStr">
        <is>
          <t>Supply chain design</t>
        </is>
      </c>
      <c r="D201" s="3" t="inlineStr">
        <is>
          <t>How mature is the organization in managing visibility beyond tier-1 suppliers for critical materials, components and services, including ownership, evidence, metrics, fallback procedures and crisis stress testing?</t>
        </is>
      </c>
      <c r="E201" s="3" t="inlineStr">
        <is>
          <t>Establish a basic owner and inventory for visibility beyond tier-1 suppliers for critical materials, components and services. Define minimum policy, evidence location and immediate crisis relevance.</t>
        </is>
      </c>
      <c r="F201" s="3" t="inlineStr">
        <is>
          <t>Document visibility beyond tier-1 suppliers for critical materials, components and services, assign RACI, define minimum controls/KPIs and collect evidence across the main business units or sites.</t>
        </is>
      </c>
      <c r="G201" s="3" t="inlineStr">
        <is>
          <t>Standardize visibility beyond tier-1 suppliers for critical materials, components and services across the organization, close coverage gaps, link it to crisis scenarios and train accountable roles.</t>
        </is>
      </c>
      <c r="H201" s="3" t="inlineStr">
        <is>
          <t>Measure visibility beyond tier-1 suppliers for critical materials, components and services, review it periodically, test it against disruption scenarios and integrate it with dependent processes or systems.</t>
        </is>
      </c>
      <c r="I201" s="3" t="inlineStr">
        <is>
          <t>Optimize and automate visibility beyond tier-1 suppliers for critical materials, components and services where practical, use leading indicators, run periodic stress tests and update the crisis playbook.</t>
        </is>
      </c>
      <c r="J201" s="3" t="inlineStr">
        <is>
          <t>Maintain maturity for visibility beyond tier-1 suppliers for critical materials, components and services. Monitor drift, keep evidence current, benchmark externally and refresh tests after major changes.</t>
        </is>
      </c>
      <c r="K201" s="3" t="inlineStr">
        <is>
          <t>Reduces exposure to Supplier/logistics disruption; Manufacturing disruption; Demand shock; improves Supply chain design maturity, continuity and management visibility.</t>
        </is>
      </c>
      <c r="L201" s="3" t="n">
        <v>5</v>
      </c>
      <c r="M201" s="3" t="n">
        <v>5</v>
      </c>
      <c r="N201" s="3" t="n">
        <v>4</v>
      </c>
      <c r="O201" s="3" t="n">
        <v>3</v>
      </c>
      <c r="P201" s="3" t="n">
        <v>2</v>
      </c>
      <c r="Q201" s="3" t="n">
        <v>1</v>
      </c>
      <c r="R201" s="3" t="inlineStr">
        <is>
          <t>ISO 22301; ISO 20400; ISO 28000; SCOR Digital Standard; S&amp;OP/IBP; APICS/ASCM</t>
        </is>
      </c>
      <c r="S201" s="3" t="inlineStr">
        <is>
          <t>Policy/SOP; owner/RACI; system report; dashboard; contracts; test records; incident history; interview evidence related to visibility beyond tier-1 suppliers for critical materials, components and services.</t>
        </is>
      </c>
      <c r="T201" s="3" t="inlineStr">
        <is>
          <t>Supplier/logistics disruption; Manufacturing disruption; Demand shock</t>
        </is>
      </c>
      <c r="U201" s="3" t="inlineStr">
        <is>
          <t>Supply Chain / Procurement</t>
        </is>
      </c>
      <c r="V201" s="3" t="inlineStr">
        <is>
          <t>Supply Chain!6</t>
        </is>
      </c>
    </row>
    <row r="202" ht="85.5" customHeight="1" s="209">
      <c r="A202" s="3" t="inlineStr">
        <is>
          <t>SUPP-003</t>
        </is>
      </c>
      <c r="B202" s="3" t="inlineStr">
        <is>
          <t>Supply Chain</t>
        </is>
      </c>
      <c r="C202" s="3" t="inlineStr">
        <is>
          <t>Supply chain design</t>
        </is>
      </c>
      <c r="D202" s="3" t="inlineStr">
        <is>
          <t>How mature is the organization in managing supplier criticality scoring by business impact, availability, substitution, lead time and geography, including ownership, evidence, metrics, fallback procedures and crisis stress testing?</t>
        </is>
      </c>
      <c r="E202" s="3" t="inlineStr">
        <is>
          <t>Establish a basic owner and inventory for supplier criticality scoring by business impact, availability, substitution, lead time and geography. Define minimum policy, evidence location and immediate crisis relevance.</t>
        </is>
      </c>
      <c r="F202" s="3" t="inlineStr">
        <is>
          <t>Document supplier criticality scoring by business impact, availability, substitution, lead time and geography, assign RACI, define minimum controls/KPIs and collect evidence across the main business units or sites.</t>
        </is>
      </c>
      <c r="G202" s="3" t="inlineStr">
        <is>
          <t>Standardize supplier criticality scoring by business impact, availability, substitution, lead time and geography across the organization, close coverage gaps, link it to crisis scenarios and train accountable roles.</t>
        </is>
      </c>
      <c r="H202" s="3" t="inlineStr">
        <is>
          <t>Measure supplier criticality scoring by business impact, availability, substitution, lead time and geography, review it periodically, test it against disruption scenarios and integrate it with dependent processes or systems.</t>
        </is>
      </c>
      <c r="I202" s="3" t="inlineStr">
        <is>
          <t>Optimize and automate supplier criticality scoring by business impact, availability, substitution, lead time and geography where practical, use leading indicators, run periodic stress tests and update the crisis playbook.</t>
        </is>
      </c>
      <c r="J202" s="3" t="inlineStr">
        <is>
          <t>Maintain maturity for supplier criticality scoring by business impact, availability, substitution, lead time and geography. Monitor drift, keep evidence current, benchmark externally and refresh tests after major changes.</t>
        </is>
      </c>
      <c r="K202" s="3" t="inlineStr">
        <is>
          <t>Reduces exposure to Supplier/logistics disruption; Manufacturing disruption; Demand shock; improves Supply chain design maturity, continuity and management visibility.</t>
        </is>
      </c>
      <c r="L202" s="3" t="n">
        <v>5</v>
      </c>
      <c r="M202" s="3" t="n">
        <v>5</v>
      </c>
      <c r="N202" s="3" t="n">
        <v>4</v>
      </c>
      <c r="O202" s="3" t="n">
        <v>3</v>
      </c>
      <c r="P202" s="3" t="n">
        <v>2</v>
      </c>
      <c r="Q202" s="3" t="n">
        <v>1</v>
      </c>
      <c r="R202" s="3" t="inlineStr">
        <is>
          <t>ISO 22301; ISO 20400; ISO 28000; SCOR Digital Standard; S&amp;OP/IBP; APICS/ASCM</t>
        </is>
      </c>
      <c r="S202" s="3" t="inlineStr">
        <is>
          <t>Policy/SOP; owner/RACI; system report; dashboard; contracts; test records; incident history; interview evidence related to supplier criticality scoring by business impact, availability, substitution, lead time and geography.</t>
        </is>
      </c>
      <c r="T202" s="3" t="inlineStr">
        <is>
          <t>Supplier/logistics disruption; Manufacturing disruption; Demand shock</t>
        </is>
      </c>
      <c r="U202" s="3" t="inlineStr">
        <is>
          <t>Supply Chain / Procurement</t>
        </is>
      </c>
      <c r="V202" s="3" t="inlineStr">
        <is>
          <t>Supply Chain!7</t>
        </is>
      </c>
    </row>
    <row r="203" ht="85.5" customHeight="1" s="209">
      <c r="A203" s="3" t="inlineStr">
        <is>
          <t>SUPP-004</t>
        </is>
      </c>
      <c r="B203" s="3" t="inlineStr">
        <is>
          <t>Supply Chain</t>
        </is>
      </c>
      <c r="C203" s="3" t="inlineStr">
        <is>
          <t>Supply chain design</t>
        </is>
      </c>
      <c r="D203" s="3" t="inlineStr">
        <is>
          <t>How mature is the organization in managing supplier concentration by spend, dependency, category, geography and product line, including ownership, evidence, metrics, fallback procedures and crisis stress testing?</t>
        </is>
      </c>
      <c r="E203" s="3" t="inlineStr">
        <is>
          <t>Establish a basic owner and inventory for supplier concentration by spend, dependency, category, geography and product line. Define minimum policy, evidence location and immediate crisis relevance.</t>
        </is>
      </c>
      <c r="F203" s="3" t="inlineStr">
        <is>
          <t>Document supplier concentration by spend, dependency, category, geography and product line, assign RACI, define minimum controls/KPIs and collect evidence across the main business units or sites.</t>
        </is>
      </c>
      <c r="G203" s="3" t="inlineStr">
        <is>
          <t>Standardize supplier concentration by spend, dependency, category, geography and product line across the organization, close coverage gaps, link it to crisis scenarios and train accountable roles.</t>
        </is>
      </c>
      <c r="H203" s="3" t="inlineStr">
        <is>
          <t>Measure supplier concentration by spend, dependency, category, geography and product line, review it periodically, test it against disruption scenarios and integrate it with dependent processes or systems.</t>
        </is>
      </c>
      <c r="I203" s="3" t="inlineStr">
        <is>
          <t>Optimize and automate supplier concentration by spend, dependency, category, geography and product line where practical, use leading indicators, run periodic stress tests and update the crisis playbook.</t>
        </is>
      </c>
      <c r="J203" s="3" t="inlineStr">
        <is>
          <t>Maintain maturity for supplier concentration by spend, dependency, category, geography and product line. Monitor drift, keep evidence current, benchmark externally and refresh tests after major changes.</t>
        </is>
      </c>
      <c r="K203" s="3" t="inlineStr">
        <is>
          <t>Reduces exposure to Supplier/logistics disruption; Manufacturing disruption; Demand shock; improves Supply chain design maturity, continuity and management visibility.</t>
        </is>
      </c>
      <c r="L203" s="3" t="n">
        <v>5</v>
      </c>
      <c r="M203" s="3" t="n">
        <v>5</v>
      </c>
      <c r="N203" s="3" t="n">
        <v>4</v>
      </c>
      <c r="O203" s="3" t="n">
        <v>3</v>
      </c>
      <c r="P203" s="3" t="n">
        <v>2</v>
      </c>
      <c r="Q203" s="3" t="n">
        <v>1</v>
      </c>
      <c r="R203" s="3" t="inlineStr">
        <is>
          <t>ISO 22301; ISO 20400; ISO 28000; SCOR Digital Standard; S&amp;OP/IBP; APICS/ASCM</t>
        </is>
      </c>
      <c r="S203" s="3" t="inlineStr">
        <is>
          <t>Policy/SOP; owner/RACI; system report; dashboard; contracts; test records; incident history; interview evidence related to supplier concentration by spend, dependency, category, geography and product line.</t>
        </is>
      </c>
      <c r="T203" s="3" t="inlineStr">
        <is>
          <t>Supplier/logistics disruption; Manufacturing disruption; Demand shock</t>
        </is>
      </c>
      <c r="U203" s="3" t="inlineStr">
        <is>
          <t>Supply Chain / Procurement</t>
        </is>
      </c>
      <c r="V203" s="3" t="inlineStr">
        <is>
          <t>Supply Chain!8</t>
        </is>
      </c>
    </row>
    <row r="204" ht="85.5" customHeight="1" s="209">
      <c r="A204" s="3" t="inlineStr">
        <is>
          <t>SUPP-005</t>
        </is>
      </c>
      <c r="B204" s="3" t="inlineStr">
        <is>
          <t>Supply Chain</t>
        </is>
      </c>
      <c r="C204" s="3" t="inlineStr">
        <is>
          <t>Supply chain design</t>
        </is>
      </c>
      <c r="D204" s="3" t="inlineStr">
        <is>
          <t>How mature is the organization in managing critical supplier continuity plans, recovery times and incident notification commitments, including ownership, evidence, metrics, fallback procedures and crisis stress testing?</t>
        </is>
      </c>
      <c r="E204" s="3" t="inlineStr">
        <is>
          <t>Establish a basic owner and inventory for critical supplier continuity plans, recovery times and incident notification commitments. Define minimum policy, evidence location and immediate crisis relevance.</t>
        </is>
      </c>
      <c r="F204" s="3" t="inlineStr">
        <is>
          <t>Document critical supplier continuity plans, recovery times and incident notification commitments, assign RACI, define minimum controls/KPIs and collect evidence across the main business units or sites.</t>
        </is>
      </c>
      <c r="G204" s="3" t="inlineStr">
        <is>
          <t>Standardize critical supplier continuity plans, recovery times and incident notification commitments across the organization, close coverage gaps, link it to crisis scenarios and train accountable roles.</t>
        </is>
      </c>
      <c r="H204" s="3" t="inlineStr">
        <is>
          <t>Measure critical supplier continuity plans, recovery times and incident notification commitments, review it periodically, test it against disruption scenarios and integrate it with dependent processes or systems.</t>
        </is>
      </c>
      <c r="I204" s="3" t="inlineStr">
        <is>
          <t>Optimize and automate critical supplier continuity plans, recovery times and incident notification commitments where practical, use leading indicators, run periodic stress tests and update the crisis playbook.</t>
        </is>
      </c>
      <c r="J204" s="3" t="inlineStr">
        <is>
          <t>Maintain maturity for critical supplier continuity plans, recovery times and incident notification commitments. Monitor drift, keep evidence current, benchmark externally and refresh tests after major changes.</t>
        </is>
      </c>
      <c r="K204" s="3" t="inlineStr">
        <is>
          <t>Reduces exposure to Supplier/logistics disruption; Manufacturing disruption; Demand shock; improves Supply chain design maturity, continuity and management visibility.</t>
        </is>
      </c>
      <c r="L204" s="3" t="n">
        <v>5</v>
      </c>
      <c r="M204" s="3" t="n">
        <v>5</v>
      </c>
      <c r="N204" s="3" t="n">
        <v>4</v>
      </c>
      <c r="O204" s="3" t="n">
        <v>3</v>
      </c>
      <c r="P204" s="3" t="n">
        <v>2</v>
      </c>
      <c r="Q204" s="3" t="n">
        <v>1</v>
      </c>
      <c r="R204" s="3" t="inlineStr">
        <is>
          <t>ISO 22301; ISO 20400; ISO 28000; SCOR Digital Standard; S&amp;OP/IBP; APICS/ASCM</t>
        </is>
      </c>
      <c r="S204" s="3" t="inlineStr">
        <is>
          <t>Policy/SOP; owner/RACI; system report; dashboard; contracts; test records; incident history; interview evidence related to critical supplier continuity plans, recovery times and incident notification commitments.</t>
        </is>
      </c>
      <c r="T204" s="3" t="inlineStr">
        <is>
          <t>Supplier/logistics disruption; Manufacturing disruption; Demand shock</t>
        </is>
      </c>
      <c r="U204" s="3" t="inlineStr">
        <is>
          <t>Supply Chain / Procurement</t>
        </is>
      </c>
      <c r="V204" s="3" t="inlineStr">
        <is>
          <t>Supply Chain!9</t>
        </is>
      </c>
    </row>
    <row r="205" ht="71.25" customHeight="1" s="209">
      <c r="A205" s="3" t="inlineStr">
        <is>
          <t>SUPP-006</t>
        </is>
      </c>
      <c r="B205" s="3" t="inlineStr">
        <is>
          <t>Supply Chain</t>
        </is>
      </c>
      <c r="C205" s="3" t="inlineStr">
        <is>
          <t>Supply chain design</t>
        </is>
      </c>
      <c r="D205" s="3" t="inlineStr">
        <is>
          <t>How mature is the organization in managing pre-qualified alternative suppliers for critical categories, including ownership, evidence, metrics, fallback procedures and crisis stress testing?</t>
        </is>
      </c>
      <c r="E205" s="3" t="inlineStr">
        <is>
          <t>Establish a basic owner and inventory for pre-qualified alternative suppliers for critical categories. Define minimum policy, evidence location and immediate crisis relevance.</t>
        </is>
      </c>
      <c r="F205" s="3" t="inlineStr">
        <is>
          <t>Document pre-qualified alternative suppliers for critical categories, assign RACI, define minimum controls/KPIs and collect evidence across the main business units or sites.</t>
        </is>
      </c>
      <c r="G205" s="3" t="inlineStr">
        <is>
          <t>Standardize pre-qualified alternative suppliers for critical categories across the organization, close coverage gaps, link it to crisis scenarios and train accountable roles.</t>
        </is>
      </c>
      <c r="H205" s="3" t="inlineStr">
        <is>
          <t>Measure pre-qualified alternative suppliers for critical categories, review it periodically, test it against disruption scenarios and integrate it with dependent processes or systems.</t>
        </is>
      </c>
      <c r="I205" s="3" t="inlineStr">
        <is>
          <t>Optimize and automate pre-qualified alternative suppliers for critical categories where practical, use leading indicators, run periodic stress tests and update the crisis playbook.</t>
        </is>
      </c>
      <c r="J205" s="3" t="inlineStr">
        <is>
          <t>Maintain maturity for pre-qualified alternative suppliers for critical categories. Monitor drift, keep evidence current, benchmark externally and refresh tests after major changes.</t>
        </is>
      </c>
      <c r="K205" s="3" t="inlineStr">
        <is>
          <t>Reduces exposure to Supplier/logistics disruption; Manufacturing disruption; Demand shock; improves Supply chain design maturity, continuity and management visibility.</t>
        </is>
      </c>
      <c r="L205" s="3" t="n">
        <v>5</v>
      </c>
      <c r="M205" s="3" t="n">
        <v>5</v>
      </c>
      <c r="N205" s="3" t="n">
        <v>4</v>
      </c>
      <c r="O205" s="3" t="n">
        <v>3</v>
      </c>
      <c r="P205" s="3" t="n">
        <v>2</v>
      </c>
      <c r="Q205" s="3" t="n">
        <v>1</v>
      </c>
      <c r="R205" s="3" t="inlineStr">
        <is>
          <t>ISO 22301; ISO 20400; ISO 28000; SCOR Digital Standard; S&amp;OP/IBP; APICS/ASCM</t>
        </is>
      </c>
      <c r="S205" s="3" t="inlineStr">
        <is>
          <t>Policy/SOP; owner/RACI; system report; dashboard; contracts; test records; incident history; interview evidence related to pre-qualified alternative suppliers for critical categories.</t>
        </is>
      </c>
      <c r="T205" s="3" t="inlineStr">
        <is>
          <t>Supplier/logistics disruption; Manufacturing disruption; Demand shock</t>
        </is>
      </c>
      <c r="U205" s="3" t="inlineStr">
        <is>
          <t>Supply Chain / Procurement</t>
        </is>
      </c>
      <c r="V205" s="3" t="inlineStr">
        <is>
          <t>Supply Chain!10</t>
        </is>
      </c>
    </row>
    <row r="206" ht="71.25" customHeight="1" s="209">
      <c r="A206" s="3" t="inlineStr">
        <is>
          <t>SUPP-007</t>
        </is>
      </c>
      <c r="B206" s="3" t="inlineStr">
        <is>
          <t>Supply Chain</t>
        </is>
      </c>
      <c r="C206" s="3" t="inlineStr">
        <is>
          <t>Logistics</t>
        </is>
      </c>
      <c r="D206" s="3" t="inlineStr">
        <is>
          <t>How mature is the organization in managing critical logistics routes, carriers, ports, borders, warehouses and transit risks, including ownership, evidence, metrics, fallback procedures and crisis stress testing?</t>
        </is>
      </c>
      <c r="E206" s="3" t="inlineStr">
        <is>
          <t>Establish a basic owner and inventory for critical logistics routes, carriers, ports, borders, warehouses and transit risks. Define minimum policy, evidence location and immediate crisis relevance.</t>
        </is>
      </c>
      <c r="F206" s="3" t="inlineStr">
        <is>
          <t>Document critical logistics routes, carriers, ports, borders, warehouses and transit risks, assign RACI, define minimum controls/KPIs and collect evidence across the main business units or sites.</t>
        </is>
      </c>
      <c r="G206" s="3" t="inlineStr">
        <is>
          <t>Standardize critical logistics routes, carriers, ports, borders, warehouses and transit risks across the organization, close coverage gaps, link it to crisis scenarios and train accountable roles.</t>
        </is>
      </c>
      <c r="H206" s="3" t="inlineStr">
        <is>
          <t>Measure critical logistics routes, carriers, ports, borders, warehouses and transit risks, review it periodically, test it against disruption scenarios and integrate it with dependent processes or systems.</t>
        </is>
      </c>
      <c r="I206" s="3" t="inlineStr">
        <is>
          <t>Optimize and automate critical logistics routes, carriers, ports, borders, warehouses and transit risks where practical, use leading indicators, run periodic stress tests and update the crisis playbook.</t>
        </is>
      </c>
      <c r="J206" s="3" t="inlineStr">
        <is>
          <t>Maintain maturity for critical logistics routes, carriers, ports, borders, warehouses and transit risks. Monitor drift, keep evidence current, benchmark externally and refresh tests after major changes.</t>
        </is>
      </c>
      <c r="K206" s="3" t="inlineStr">
        <is>
          <t>Reduces exposure to Supplier/logistics disruption; Manufacturing disruption; Demand shock; improves Logistics maturity, continuity and management visibility.</t>
        </is>
      </c>
      <c r="L206" s="3" t="n">
        <v>5</v>
      </c>
      <c r="M206" s="3" t="n">
        <v>5</v>
      </c>
      <c r="N206" s="3" t="n">
        <v>4</v>
      </c>
      <c r="O206" s="3" t="n">
        <v>3</v>
      </c>
      <c r="P206" s="3" t="n">
        <v>2</v>
      </c>
      <c r="Q206" s="3" t="n">
        <v>1</v>
      </c>
      <c r="R206" s="3" t="inlineStr">
        <is>
          <t>ISO 22301; ISO 20400; ISO 28000; SCOR Digital Standard; S&amp;OP/IBP; APICS/ASCM</t>
        </is>
      </c>
      <c r="S206" s="3" t="inlineStr">
        <is>
          <t>Policy/SOP; owner/RACI; system report; dashboard; contracts; test records; incident history; interview evidence related to critical logistics routes, carriers, ports, borders, warehouses and transit risks.</t>
        </is>
      </c>
      <c r="T206" s="3" t="inlineStr">
        <is>
          <t>Supplier/logistics disruption; Manufacturing disruption; Demand shock</t>
        </is>
      </c>
      <c r="U206" s="3" t="inlineStr">
        <is>
          <t>Supply Chain / Procurement</t>
        </is>
      </c>
      <c r="V206" s="3" t="inlineStr">
        <is>
          <t>Supply Chain!11</t>
        </is>
      </c>
    </row>
    <row r="207" ht="71.25" customHeight="1" s="209">
      <c r="A207" s="3" t="inlineStr">
        <is>
          <t>SUPP-008</t>
        </is>
      </c>
      <c r="B207" s="3" t="inlineStr">
        <is>
          <t>Supply Chain</t>
        </is>
      </c>
      <c r="C207" s="3" t="inlineStr">
        <is>
          <t>Logistics</t>
        </is>
      </c>
      <c r="D207" s="3" t="inlineStr">
        <is>
          <t>How mature is the organization in managing alternative carriers, routes and warehouses for disruption scenarios, including ownership, evidence, metrics, fallback procedures and crisis stress testing?</t>
        </is>
      </c>
      <c r="E207" s="3" t="inlineStr">
        <is>
          <t>Establish a basic owner and inventory for alternative carriers, routes and warehouses for disruption scenarios. Define minimum policy, evidence location and immediate crisis relevance.</t>
        </is>
      </c>
      <c r="F207" s="3" t="inlineStr">
        <is>
          <t>Document alternative carriers, routes and warehouses for disruption scenarios, assign RACI, define minimum controls/KPIs and collect evidence across the main business units or sites.</t>
        </is>
      </c>
      <c r="G207" s="3" t="inlineStr">
        <is>
          <t>Standardize alternative carriers, routes and warehouses for disruption scenarios across the organization, close coverage gaps, link it to crisis scenarios and train accountable roles.</t>
        </is>
      </c>
      <c r="H207" s="3" t="inlineStr">
        <is>
          <t>Measure alternative carriers, routes and warehouses for disruption scenarios, review it periodically, test it against disruption scenarios and integrate it with dependent processes or systems.</t>
        </is>
      </c>
      <c r="I207" s="3" t="inlineStr">
        <is>
          <t>Optimize and automate alternative carriers, routes and warehouses for disruption scenarios where practical, use leading indicators, run periodic stress tests and update the crisis playbook.</t>
        </is>
      </c>
      <c r="J207" s="3" t="inlineStr">
        <is>
          <t>Maintain maturity for alternative carriers, routes and warehouses for disruption scenarios. Monitor drift, keep evidence current, benchmark externally and refresh tests after major changes.</t>
        </is>
      </c>
      <c r="K207" s="3" t="inlineStr">
        <is>
          <t>Reduces exposure to Supplier/logistics disruption; Manufacturing disruption; Demand shock; improves Logistics maturity, continuity and management visibility.</t>
        </is>
      </c>
      <c r="L207" s="3" t="n">
        <v>5</v>
      </c>
      <c r="M207" s="3" t="n">
        <v>5</v>
      </c>
      <c r="N207" s="3" t="n">
        <v>4</v>
      </c>
      <c r="O207" s="3" t="n">
        <v>3</v>
      </c>
      <c r="P207" s="3" t="n">
        <v>2</v>
      </c>
      <c r="Q207" s="3" t="n">
        <v>1</v>
      </c>
      <c r="R207" s="3" t="inlineStr">
        <is>
          <t>ISO 22301; ISO 20400; ISO 28000; SCOR Digital Standard; S&amp;OP/IBP; APICS/ASCM</t>
        </is>
      </c>
      <c r="S207" s="3" t="inlineStr">
        <is>
          <t>Policy/SOP; owner/RACI; system report; dashboard; contracts; test records; incident history; interview evidence related to alternative carriers, routes and warehouses for disruption scenarios.</t>
        </is>
      </c>
      <c r="T207" s="3" t="inlineStr">
        <is>
          <t>Supplier/logistics disruption; Manufacturing disruption; Demand shock</t>
        </is>
      </c>
      <c r="U207" s="3" t="inlineStr">
        <is>
          <t>Supply Chain / Procurement</t>
        </is>
      </c>
      <c r="V207" s="3" t="inlineStr">
        <is>
          <t>Supply Chain!12</t>
        </is>
      </c>
    </row>
    <row r="208" ht="71.25" customHeight="1" s="209">
      <c r="A208" s="3" t="inlineStr">
        <is>
          <t>SUPP-009</t>
        </is>
      </c>
      <c r="B208" s="3" t="inlineStr">
        <is>
          <t>Supply Chain</t>
        </is>
      </c>
      <c r="C208" s="3" t="inlineStr">
        <is>
          <t>Logistics</t>
        </is>
      </c>
      <c r="D208" s="3" t="inlineStr">
        <is>
          <t>How mature is the organization in managing transport capacity for peak demand or disruption periods, including ownership, evidence, metrics, fallback procedures and crisis stress testing?</t>
        </is>
      </c>
      <c r="E208" s="3" t="inlineStr">
        <is>
          <t>Establish a basic owner and inventory for transport capacity for peak demand or disruption periods. Define minimum policy, evidence location and immediate crisis relevance.</t>
        </is>
      </c>
      <c r="F208" s="3" t="inlineStr">
        <is>
          <t>Document transport capacity for peak demand or disruption periods, assign RACI, define minimum controls/KPIs and collect evidence across the main business units or sites.</t>
        </is>
      </c>
      <c r="G208" s="3" t="inlineStr">
        <is>
          <t>Standardize transport capacity for peak demand or disruption periods across the organization, close coverage gaps, link it to crisis scenarios and train accountable roles.</t>
        </is>
      </c>
      <c r="H208" s="3" t="inlineStr">
        <is>
          <t>Measure transport capacity for peak demand or disruption periods, review it periodically, test it against disruption scenarios and integrate it with dependent processes or systems.</t>
        </is>
      </c>
      <c r="I208" s="3" t="inlineStr">
        <is>
          <t>Optimize and automate transport capacity for peak demand or disruption periods where practical, use leading indicators, run periodic stress tests and update the crisis playbook.</t>
        </is>
      </c>
      <c r="J208" s="3" t="inlineStr">
        <is>
          <t>Maintain maturity for transport capacity for peak demand or disruption periods. Monitor drift, keep evidence current, benchmark externally and refresh tests after major changes.</t>
        </is>
      </c>
      <c r="K208" s="3" t="inlineStr">
        <is>
          <t>Reduces exposure to Supplier/logistics disruption; Manufacturing disruption; Demand shock; improves Logistics maturity, continuity and management visibility.</t>
        </is>
      </c>
      <c r="L208" s="3" t="n">
        <v>5</v>
      </c>
      <c r="M208" s="3" t="n">
        <v>5</v>
      </c>
      <c r="N208" s="3" t="n">
        <v>4</v>
      </c>
      <c r="O208" s="3" t="n">
        <v>3</v>
      </c>
      <c r="P208" s="3" t="n">
        <v>2</v>
      </c>
      <c r="Q208" s="3" t="n">
        <v>1</v>
      </c>
      <c r="R208" s="3" t="inlineStr">
        <is>
          <t>ISO 22301; ISO 20400; ISO 28000; SCOR Digital Standard; S&amp;OP/IBP; APICS/ASCM</t>
        </is>
      </c>
      <c r="S208" s="3" t="inlineStr">
        <is>
          <t>Policy/SOP; owner/RACI; system report; dashboard; contracts; test records; incident history; interview evidence related to transport capacity for peak demand or disruption periods.</t>
        </is>
      </c>
      <c r="T208" s="3" t="inlineStr">
        <is>
          <t>Supplier/logistics disruption; Manufacturing disruption; Demand shock</t>
        </is>
      </c>
      <c r="U208" s="3" t="inlineStr">
        <is>
          <t>Supply Chain / Procurement</t>
        </is>
      </c>
      <c r="V208" s="3" t="inlineStr">
        <is>
          <t>Supply Chain!13</t>
        </is>
      </c>
    </row>
    <row r="209" ht="71.25" customHeight="1" s="209">
      <c r="A209" s="3" t="inlineStr">
        <is>
          <t>SUPP-010</t>
        </is>
      </c>
      <c r="B209" s="3" t="inlineStr">
        <is>
          <t>Supply Chain</t>
        </is>
      </c>
      <c r="C209" s="3" t="inlineStr">
        <is>
          <t>Logistics</t>
        </is>
      </c>
      <c r="D209" s="3" t="inlineStr">
        <is>
          <t>How mature is the organization in managing shipment tracking and reliable ETA communication for critical shipments, including ownership, evidence, metrics, fallback procedures and crisis stress testing?</t>
        </is>
      </c>
      <c r="E209" s="3" t="inlineStr">
        <is>
          <t>Establish a basic owner and inventory for shipment tracking and reliable ETA communication for critical shipments. Define minimum policy, evidence location and immediate crisis relevance.</t>
        </is>
      </c>
      <c r="F209" s="3" t="inlineStr">
        <is>
          <t>Document shipment tracking and reliable ETA communication for critical shipments, assign RACI, define minimum controls/KPIs and collect evidence across the main business units or sites.</t>
        </is>
      </c>
      <c r="G209" s="3" t="inlineStr">
        <is>
          <t>Standardize shipment tracking and reliable ETA communication for critical shipments across the organization, close coverage gaps, link it to crisis scenarios and train accountable roles.</t>
        </is>
      </c>
      <c r="H209" s="3" t="inlineStr">
        <is>
          <t>Measure shipment tracking and reliable ETA communication for critical shipments, review it periodically, test it against disruption scenarios and integrate it with dependent processes or systems.</t>
        </is>
      </c>
      <c r="I209" s="3" t="inlineStr">
        <is>
          <t>Optimize and automate shipment tracking and reliable ETA communication for critical shipments where practical, use leading indicators, run periodic stress tests and update the crisis playbook.</t>
        </is>
      </c>
      <c r="J209" s="3" t="inlineStr">
        <is>
          <t>Maintain maturity for shipment tracking and reliable ETA communication for critical shipments. Monitor drift, keep evidence current, benchmark externally and refresh tests after major changes.</t>
        </is>
      </c>
      <c r="K209" s="3" t="inlineStr">
        <is>
          <t>Reduces exposure to Supplier/logistics disruption; Manufacturing disruption; Demand shock; improves Logistics maturity, continuity and management visibility.</t>
        </is>
      </c>
      <c r="L209" s="3" t="n">
        <v>5</v>
      </c>
      <c r="M209" s="3" t="n">
        <v>5</v>
      </c>
      <c r="N209" s="3" t="n">
        <v>4</v>
      </c>
      <c r="O209" s="3" t="n">
        <v>3</v>
      </c>
      <c r="P209" s="3" t="n">
        <v>2</v>
      </c>
      <c r="Q209" s="3" t="n">
        <v>1</v>
      </c>
      <c r="R209" s="3" t="inlineStr">
        <is>
          <t>ISO 22301; ISO 20400; ISO 28000; SCOR Digital Standard; S&amp;OP/IBP; APICS/ASCM</t>
        </is>
      </c>
      <c r="S209" s="3" t="inlineStr">
        <is>
          <t>Policy/SOP; owner/RACI; system report; dashboard; contracts; test records; incident history; interview evidence related to shipment tracking and reliable ETA communication for critical shipments.</t>
        </is>
      </c>
      <c r="T209" s="3" t="inlineStr">
        <is>
          <t>Supplier/logistics disruption; Manufacturing disruption; Demand shock</t>
        </is>
      </c>
      <c r="U209" s="3" t="inlineStr">
        <is>
          <t>Supply Chain / Procurement</t>
        </is>
      </c>
      <c r="V209" s="3" t="inlineStr">
        <is>
          <t>Supply Chain!14</t>
        </is>
      </c>
    </row>
    <row r="210" ht="71.25" customHeight="1" s="209">
      <c r="A210" s="3" t="inlineStr">
        <is>
          <t>SUPP-011</t>
        </is>
      </c>
      <c r="B210" s="3" t="inlineStr">
        <is>
          <t>Supply Chain</t>
        </is>
      </c>
      <c r="C210" s="3" t="inlineStr">
        <is>
          <t>Logistics</t>
        </is>
      </c>
      <c r="D210" s="3" t="inlineStr">
        <is>
          <t>How mature is the organization in managing customs, import/export, sanctions and trade documentation controls, including ownership, evidence, metrics, fallback procedures and crisis stress testing?</t>
        </is>
      </c>
      <c r="E210" s="3" t="inlineStr">
        <is>
          <t>Establish a basic owner and inventory for customs, import/export, sanctions and trade documentation controls. Define minimum policy, evidence location and immediate crisis relevance.</t>
        </is>
      </c>
      <c r="F210" s="3" t="inlineStr">
        <is>
          <t>Document customs, import/export, sanctions and trade documentation controls, assign RACI, define minimum controls/KPIs and collect evidence across the main business units or sites.</t>
        </is>
      </c>
      <c r="G210" s="3" t="inlineStr">
        <is>
          <t>Standardize customs, import/export, sanctions and trade documentation controls across the organization, close coverage gaps, link it to crisis scenarios and train accountable roles.</t>
        </is>
      </c>
      <c r="H210" s="3" t="inlineStr">
        <is>
          <t>Measure customs, import/export, sanctions and trade documentation controls, review it periodically, test it against disruption scenarios and integrate it with dependent processes or systems.</t>
        </is>
      </c>
      <c r="I210" s="3" t="inlineStr">
        <is>
          <t>Optimize and automate customs, import/export, sanctions and trade documentation controls where practical, use leading indicators, run periodic stress tests and update the crisis playbook.</t>
        </is>
      </c>
      <c r="J210" s="3" t="inlineStr">
        <is>
          <t>Maintain maturity for customs, import/export, sanctions and trade documentation controls. Monitor drift, keep evidence current, benchmark externally and refresh tests after major changes.</t>
        </is>
      </c>
      <c r="K210" s="3" t="inlineStr">
        <is>
          <t>Reduces exposure to Supplier/logistics disruption; Manufacturing disruption; Demand shock; improves Logistics maturity, continuity and management visibility.</t>
        </is>
      </c>
      <c r="L210" s="3" t="n">
        <v>5</v>
      </c>
      <c r="M210" s="3" t="n">
        <v>5</v>
      </c>
      <c r="N210" s="3" t="n">
        <v>4</v>
      </c>
      <c r="O210" s="3" t="n">
        <v>3</v>
      </c>
      <c r="P210" s="3" t="n">
        <v>2</v>
      </c>
      <c r="Q210" s="3" t="n">
        <v>1</v>
      </c>
      <c r="R210" s="3" t="inlineStr">
        <is>
          <t>ISO 22301; ISO 20400; ISO 28000; SCOR Digital Standard; S&amp;OP/IBP; APICS/ASCM</t>
        </is>
      </c>
      <c r="S210" s="3" t="inlineStr">
        <is>
          <t>Policy/SOP; owner/RACI; system report; dashboard; contracts; test records; incident history; interview evidence related to customs, import/export, sanctions and trade documentation controls.</t>
        </is>
      </c>
      <c r="T210" s="3" t="inlineStr">
        <is>
          <t>Supplier/logistics disruption; Manufacturing disruption; Demand shock</t>
        </is>
      </c>
      <c r="U210" s="3" t="inlineStr">
        <is>
          <t>Supply Chain / Procurement</t>
        </is>
      </c>
      <c r="V210" s="3" t="inlineStr">
        <is>
          <t>Supply Chain!15</t>
        </is>
      </c>
    </row>
    <row r="211" ht="71.25" customHeight="1" s="209">
      <c r="A211" s="3" t="inlineStr">
        <is>
          <t>SUPP-012</t>
        </is>
      </c>
      <c r="B211" s="3" t="inlineStr">
        <is>
          <t>Supply Chain</t>
        </is>
      </c>
      <c r="C211" s="3" t="inlineStr">
        <is>
          <t>Logistics</t>
        </is>
      </c>
      <c r="D211" s="3" t="inlineStr">
        <is>
          <t>How mature is the organization in managing Incoterms, insurance, liability and delivery obligations for critical flows, including ownership, evidence, metrics, fallback procedures and crisis stress testing?</t>
        </is>
      </c>
      <c r="E211" s="3" t="inlineStr">
        <is>
          <t>Establish a basic owner and inventory for Incoterms, insurance, liability and delivery obligations for critical flows. Define minimum policy, evidence location and immediate crisis relevance.</t>
        </is>
      </c>
      <c r="F211" s="3" t="inlineStr">
        <is>
          <t>Document Incoterms, insurance, liability and delivery obligations for critical flows, assign RACI, define minimum controls/KPIs and collect evidence across the main business units or sites.</t>
        </is>
      </c>
      <c r="G211" s="3" t="inlineStr">
        <is>
          <t>Standardize Incoterms, insurance, liability and delivery obligations for critical flows across the organization, close coverage gaps, link it to crisis scenarios and train accountable roles.</t>
        </is>
      </c>
      <c r="H211" s="3" t="inlineStr">
        <is>
          <t>Measure Incoterms, insurance, liability and delivery obligations for critical flows, review it periodically, test it against disruption scenarios and integrate it with dependent processes or systems.</t>
        </is>
      </c>
      <c r="I211" s="3" t="inlineStr">
        <is>
          <t>Optimize and automate Incoterms, insurance, liability and delivery obligations for critical flows where practical, use leading indicators, run periodic stress tests and update the crisis playbook.</t>
        </is>
      </c>
      <c r="J211" s="3" t="inlineStr">
        <is>
          <t>Maintain maturity for Incoterms, insurance, liability and delivery obligations for critical flows. Monitor drift, keep evidence current, benchmark externally and refresh tests after major changes.</t>
        </is>
      </c>
      <c r="K211" s="3" t="inlineStr">
        <is>
          <t>Reduces exposure to Supplier/logistics disruption; Manufacturing disruption; Demand shock; improves Logistics maturity, continuity and management visibility.</t>
        </is>
      </c>
      <c r="L211" s="3" t="n">
        <v>5</v>
      </c>
      <c r="M211" s="3" t="n">
        <v>5</v>
      </c>
      <c r="N211" s="3" t="n">
        <v>4</v>
      </c>
      <c r="O211" s="3" t="n">
        <v>3</v>
      </c>
      <c r="P211" s="3" t="n">
        <v>2</v>
      </c>
      <c r="Q211" s="3" t="n">
        <v>1</v>
      </c>
      <c r="R211" s="3" t="inlineStr">
        <is>
          <t>ISO 22301; ISO 20400; ISO 28000; SCOR Digital Standard; S&amp;OP/IBP; APICS/ASCM</t>
        </is>
      </c>
      <c r="S211" s="3" t="inlineStr">
        <is>
          <t>Policy/SOP; owner/RACI; system report; dashboard; contracts; test records; incident history; interview evidence related to Incoterms, insurance, liability and delivery obligations for critical flows.</t>
        </is>
      </c>
      <c r="T211" s="3" t="inlineStr">
        <is>
          <t>Supplier/logistics disruption; Manufacturing disruption; Demand shock</t>
        </is>
      </c>
      <c r="U211" s="3" t="inlineStr">
        <is>
          <t>Supply Chain / Procurement</t>
        </is>
      </c>
      <c r="V211" s="3" t="inlineStr">
        <is>
          <t>Supply Chain!16</t>
        </is>
      </c>
    </row>
    <row r="212" ht="85.5" customHeight="1" s="209">
      <c r="A212" s="3" t="inlineStr">
        <is>
          <t>SUPP-013</t>
        </is>
      </c>
      <c r="B212" s="3" t="inlineStr">
        <is>
          <t>Supply Chain</t>
        </is>
      </c>
      <c r="C212" s="3" t="inlineStr">
        <is>
          <t>Inventory and planning</t>
        </is>
      </c>
      <c r="D212" s="3" t="inlineStr">
        <is>
          <t>How mature is the organization in managing safety stock, reorder points, min/max levels and buffer rules by criticality and lead time, including ownership, evidence, metrics, fallback procedures and crisis stress testing?</t>
        </is>
      </c>
      <c r="E212" s="3" t="inlineStr">
        <is>
          <t>Establish a basic owner and inventory for safety stock, reorder points, min/max levels and buffer rules by criticality and lead time. Define minimum policy, evidence location and immediate crisis relevance.</t>
        </is>
      </c>
      <c r="F212" s="3" t="inlineStr">
        <is>
          <t>Document safety stock, reorder points, min/max levels and buffer rules by criticality and lead time, assign RACI, define minimum controls/KPIs and collect evidence across the main business units or sites.</t>
        </is>
      </c>
      <c r="G212" s="3" t="inlineStr">
        <is>
          <t>Standardize safety stock, reorder points, min/max levels and buffer rules by criticality and lead time across the organization, close coverage gaps, link it to crisis scenarios and train accountable roles.</t>
        </is>
      </c>
      <c r="H212" s="3" t="inlineStr">
        <is>
          <t>Measure safety stock, reorder points, min/max levels and buffer rules by criticality and lead time, review it periodically, test it against disruption scenarios and integrate it with dependent processes or systems.</t>
        </is>
      </c>
      <c r="I212" s="3" t="inlineStr">
        <is>
          <t>Optimize and automate safety stock, reorder points, min/max levels and buffer rules by criticality and lead time where practical, use leading indicators, run periodic stress tests and update the crisis playbook.</t>
        </is>
      </c>
      <c r="J212" s="3" t="inlineStr">
        <is>
          <t>Maintain maturity for safety stock, reorder points, min/max levels and buffer rules by criticality and lead time. Monitor drift, keep evidence current, benchmark externally and refresh tests after major changes.</t>
        </is>
      </c>
      <c r="K212" s="3" t="inlineStr">
        <is>
          <t>Reduces exposure to Supplier/logistics disruption; Manufacturing disruption; Demand shock; improves Inventory and planning maturity, continuity and management visibility.</t>
        </is>
      </c>
      <c r="L212" s="3" t="n">
        <v>5</v>
      </c>
      <c r="M212" s="3" t="n">
        <v>5</v>
      </c>
      <c r="N212" s="3" t="n">
        <v>4</v>
      </c>
      <c r="O212" s="3" t="n">
        <v>3</v>
      </c>
      <c r="P212" s="3" t="n">
        <v>2</v>
      </c>
      <c r="Q212" s="3" t="n">
        <v>1</v>
      </c>
      <c r="R212" s="3" t="inlineStr">
        <is>
          <t>ISO 22301; ISO 20400; ISO 28000; SCOR Digital Standard; S&amp;OP/IBP; APICS/ASCM</t>
        </is>
      </c>
      <c r="S212" s="3" t="inlineStr">
        <is>
          <t>Policy/SOP; owner/RACI; system report; dashboard; contracts; test records; incident history; interview evidence related to safety stock, reorder points, min/max levels and buffer rules by criticality and lead time.</t>
        </is>
      </c>
      <c r="T212" s="3" t="inlineStr">
        <is>
          <t>Supplier/logistics disruption; Manufacturing disruption; Demand shock</t>
        </is>
      </c>
      <c r="U212" s="3" t="inlineStr">
        <is>
          <t>Supply Chain / Procurement</t>
        </is>
      </c>
      <c r="V212" s="3" t="inlineStr">
        <is>
          <t>Supply Chain!17</t>
        </is>
      </c>
    </row>
    <row r="213" ht="71.25" customHeight="1" s="209">
      <c r="A213" s="3" t="inlineStr">
        <is>
          <t>SUPP-014</t>
        </is>
      </c>
      <c r="B213" s="3" t="inlineStr">
        <is>
          <t>Supply Chain</t>
        </is>
      </c>
      <c r="C213" s="3" t="inlineStr">
        <is>
          <t>Inventory and planning</t>
        </is>
      </c>
      <c r="D213" s="3" t="inlineStr">
        <is>
          <t>How mature is the organization in managing inventory visibility by SKU, location, status, shelf life, batch and ownership, including ownership, evidence, metrics, fallback procedures and crisis stress testing?</t>
        </is>
      </c>
      <c r="E213" s="3" t="inlineStr">
        <is>
          <t>Establish a basic owner and inventory for inventory visibility by SKU, location, status, shelf life, batch and ownership. Define minimum policy, evidence location and immediate crisis relevance.</t>
        </is>
      </c>
      <c r="F213" s="3" t="inlineStr">
        <is>
          <t>Document inventory visibility by SKU, location, status, shelf life, batch and ownership, assign RACI, define minimum controls/KPIs and collect evidence across the main business units or sites.</t>
        </is>
      </c>
      <c r="G213" s="3" t="inlineStr">
        <is>
          <t>Standardize inventory visibility by SKU, location, status, shelf life, batch and ownership across the organization, close coverage gaps, link it to crisis scenarios and train accountable roles.</t>
        </is>
      </c>
      <c r="H213" s="3" t="inlineStr">
        <is>
          <t>Measure inventory visibility by SKU, location, status, shelf life, batch and ownership, review it periodically, test it against disruption scenarios and integrate it with dependent processes or systems.</t>
        </is>
      </c>
      <c r="I213" s="3" t="inlineStr">
        <is>
          <t>Optimize and automate inventory visibility by SKU, location, status, shelf life, batch and ownership where practical, use leading indicators, run periodic stress tests and update the crisis playbook.</t>
        </is>
      </c>
      <c r="J213" s="3" t="inlineStr">
        <is>
          <t>Maintain maturity for inventory visibility by SKU, location, status, shelf life, batch and ownership. Monitor drift, keep evidence current, benchmark externally and refresh tests after major changes.</t>
        </is>
      </c>
      <c r="K213" s="3" t="inlineStr">
        <is>
          <t>Reduces exposure to Supplier/logistics disruption; Manufacturing disruption; Demand shock; improves Inventory and planning maturity, continuity and management visibility.</t>
        </is>
      </c>
      <c r="L213" s="3" t="n">
        <v>5</v>
      </c>
      <c r="M213" s="3" t="n">
        <v>5</v>
      </c>
      <c r="N213" s="3" t="n">
        <v>4</v>
      </c>
      <c r="O213" s="3" t="n">
        <v>3</v>
      </c>
      <c r="P213" s="3" t="n">
        <v>2</v>
      </c>
      <c r="Q213" s="3" t="n">
        <v>1</v>
      </c>
      <c r="R213" s="3" t="inlineStr">
        <is>
          <t>ISO 22301; ISO 20400; ISO 28000; SCOR Digital Standard; S&amp;OP/IBP; APICS/ASCM</t>
        </is>
      </c>
      <c r="S213" s="3" t="inlineStr">
        <is>
          <t>Policy/SOP; owner/RACI; system report; dashboard; contracts; test records; incident history; interview evidence related to inventory visibility by SKU, location, status, shelf life, batch and ownership.</t>
        </is>
      </c>
      <c r="T213" s="3" t="inlineStr">
        <is>
          <t>Supplier/logistics disruption; Manufacturing disruption; Demand shock</t>
        </is>
      </c>
      <c r="U213" s="3" t="inlineStr">
        <is>
          <t>Supply Chain / Procurement</t>
        </is>
      </c>
      <c r="V213" s="3" t="inlineStr">
        <is>
          <t>Supply Chain!18</t>
        </is>
      </c>
    </row>
    <row r="214" ht="85.5" customHeight="1" s="209">
      <c r="A214" s="3" t="inlineStr">
        <is>
          <t>SUPP-015</t>
        </is>
      </c>
      <c r="B214" s="3" t="inlineStr">
        <is>
          <t>Supply Chain</t>
        </is>
      </c>
      <c r="C214" s="3" t="inlineStr">
        <is>
          <t>Inventory and planning</t>
        </is>
      </c>
      <c r="D214" s="3" t="inlineStr">
        <is>
          <t>How mature is the organization in managing slow-moving, obsolete or stagnant inventory analysis linked to sales and procurement decisions, including ownership, evidence, metrics, fallback procedures and crisis stress testing?</t>
        </is>
      </c>
      <c r="E214" s="3" t="inlineStr">
        <is>
          <t>Establish a basic owner and inventory for slow-moving, obsolete or stagnant inventory analysis linked to sales and procurement decisions. Define minimum policy, evidence location and immediate crisis relevance.</t>
        </is>
      </c>
      <c r="F214" s="3" t="inlineStr">
        <is>
          <t>Document slow-moving, obsolete or stagnant inventory analysis linked to sales and procurement decisions, assign RACI, define minimum controls/KPIs and collect evidence across the main business units or sites.</t>
        </is>
      </c>
      <c r="G214" s="3" t="inlineStr">
        <is>
          <t>Standardize slow-moving, obsolete or stagnant inventory analysis linked to sales and procurement decisions across the organization, close coverage gaps, link it to crisis scenarios and train accountable roles.</t>
        </is>
      </c>
      <c r="H214" s="3" t="inlineStr">
        <is>
          <t>Measure slow-moving, obsolete or stagnant inventory analysis linked to sales and procurement decisions, review it periodically, test it against disruption scenarios and integrate it with dependent processes or systems.</t>
        </is>
      </c>
      <c r="I214" s="3" t="inlineStr">
        <is>
          <t>Optimize and automate slow-moving, obsolete or stagnant inventory analysis linked to sales and procurement decisions where practical, use leading indicators, run periodic stress tests and update the crisis playbook.</t>
        </is>
      </c>
      <c r="J214" s="3" t="inlineStr">
        <is>
          <t>Maintain maturity for slow-moving, obsolete or stagnant inventory analysis linked to sales and procurement decisions. Monitor drift, keep evidence current, benchmark externally and refresh tests after major changes.</t>
        </is>
      </c>
      <c r="K214" s="3" t="inlineStr">
        <is>
          <t>Reduces exposure to Supplier/logistics disruption; Manufacturing disruption; Demand shock; improves Inventory and planning maturity, continuity and management visibility.</t>
        </is>
      </c>
      <c r="L214" s="3" t="n">
        <v>5</v>
      </c>
      <c r="M214" s="3" t="n">
        <v>5</v>
      </c>
      <c r="N214" s="3" t="n">
        <v>4</v>
      </c>
      <c r="O214" s="3" t="n">
        <v>3</v>
      </c>
      <c r="P214" s="3" t="n">
        <v>2</v>
      </c>
      <c r="Q214" s="3" t="n">
        <v>1</v>
      </c>
      <c r="R214" s="3" t="inlineStr">
        <is>
          <t>ISO 22301; ISO 20400; ISO 28000; SCOR Digital Standard; S&amp;OP/IBP; APICS/ASCM</t>
        </is>
      </c>
      <c r="S214" s="3" t="inlineStr">
        <is>
          <t>Policy/SOP; owner/RACI; system report; dashboard; contracts; test records; incident history; interview evidence related to slow-moving, obsolete or stagnant inventory analysis linked to sales and procurement decisions.</t>
        </is>
      </c>
      <c r="T214" s="3" t="inlineStr">
        <is>
          <t>Supplier/logistics disruption; Manufacturing disruption; Demand shock</t>
        </is>
      </c>
      <c r="U214" s="3" t="inlineStr">
        <is>
          <t>Supply Chain / Procurement</t>
        </is>
      </c>
      <c r="V214" s="3" t="inlineStr">
        <is>
          <t>Supply Chain!19</t>
        </is>
      </c>
    </row>
    <row r="215" ht="85.5" customHeight="1" s="209">
      <c r="A215" s="3" t="inlineStr">
        <is>
          <t>SUPP-016</t>
        </is>
      </c>
      <c r="B215" s="3" t="inlineStr">
        <is>
          <t>Supply Chain</t>
        </is>
      </c>
      <c r="C215" s="3" t="inlineStr">
        <is>
          <t>Inventory and planning</t>
        </is>
      </c>
      <c r="D215" s="3" t="inlineStr">
        <is>
          <t>How mature is the organization in managing critical materials and spare parts buffers sized using risk, demand variability and supplier lead time, including ownership, evidence, metrics, fallback procedures and crisis stress testing?</t>
        </is>
      </c>
      <c r="E215" s="3" t="inlineStr">
        <is>
          <t>Establish a basic owner and inventory for critical materials and spare parts buffers sized using risk, demand variability and supplier lead time. Define minimum policy, evidence location and immediate crisis relevance.</t>
        </is>
      </c>
      <c r="F215" s="3" t="inlineStr">
        <is>
          <t>Document critical materials and spare parts buffers sized using risk, demand variability and supplier lead time, assign RACI, define minimum controls/KPIs and collect evidence across the main business units or sites.</t>
        </is>
      </c>
      <c r="G215" s="3" t="inlineStr">
        <is>
          <t>Standardize critical materials and spare parts buffers sized using risk, demand variability and supplier lead time across the organization, close coverage gaps, link it to crisis scenarios and train accountable roles.</t>
        </is>
      </c>
      <c r="H215" s="3" t="inlineStr">
        <is>
          <t>Measure critical materials and spare parts buffers sized using risk, demand variability and supplier lead time, review it periodically, test it against disruption scenarios and integrate it with dependent processes or systems.</t>
        </is>
      </c>
      <c r="I215" s="3" t="inlineStr">
        <is>
          <t>Optimize and automate critical materials and spare parts buffers sized using risk, demand variability and supplier lead time where practical, use leading indicators, run periodic stress tests and update the crisis playbook.</t>
        </is>
      </c>
      <c r="J215" s="3" t="inlineStr">
        <is>
          <t>Maintain maturity for critical materials and spare parts buffers sized using risk, demand variability and supplier lead time. Monitor drift, keep evidence current, benchmark externally and refresh tests after major changes.</t>
        </is>
      </c>
      <c r="K215" s="3" t="inlineStr">
        <is>
          <t>Reduces exposure to Supplier/logistics disruption; Manufacturing disruption; Demand shock; improves Inventory and planning maturity, continuity and management visibility.</t>
        </is>
      </c>
      <c r="L215" s="3" t="n">
        <v>5</v>
      </c>
      <c r="M215" s="3" t="n">
        <v>5</v>
      </c>
      <c r="N215" s="3" t="n">
        <v>4</v>
      </c>
      <c r="O215" s="3" t="n">
        <v>3</v>
      </c>
      <c r="P215" s="3" t="n">
        <v>2</v>
      </c>
      <c r="Q215" s="3" t="n">
        <v>1</v>
      </c>
      <c r="R215" s="3" t="inlineStr">
        <is>
          <t>ISO 22301; ISO 20400; ISO 28000; SCOR Digital Standard; S&amp;OP/IBP; APICS/ASCM</t>
        </is>
      </c>
      <c r="S215" s="3" t="inlineStr">
        <is>
          <t>Policy/SOP; owner/RACI; system report; dashboard; contracts; test records; incident history; interview evidence related to critical materials and spare parts buffers sized using risk, demand variability and supplier lead time.</t>
        </is>
      </c>
      <c r="T215" s="3" t="inlineStr">
        <is>
          <t>Supplier/logistics disruption; Manufacturing disruption; Demand shock</t>
        </is>
      </c>
      <c r="U215" s="3" t="inlineStr">
        <is>
          <t>Supply Chain / Procurement</t>
        </is>
      </c>
      <c r="V215" s="3" t="inlineStr">
        <is>
          <t>Supply Chain!20</t>
        </is>
      </c>
    </row>
    <row r="216" ht="85.5" customHeight="1" s="209">
      <c r="A216" s="3" t="inlineStr">
        <is>
          <t>SUPP-017</t>
        </is>
      </c>
      <c r="B216" s="3" t="inlineStr">
        <is>
          <t>Supply Chain</t>
        </is>
      </c>
      <c r="C216" s="3" t="inlineStr">
        <is>
          <t>Inventory and planning</t>
        </is>
      </c>
      <c r="D216" s="3" t="inlineStr">
        <is>
          <t>How mature is the organization in managing demand forecast integrated with sales pipeline, history, seasonality and crisis scenarios, including ownership, evidence, metrics, fallback procedures and crisis stress testing?</t>
        </is>
      </c>
      <c r="E216" s="3" t="inlineStr">
        <is>
          <t>Establish a basic owner and inventory for demand forecast integrated with sales pipeline, history, seasonality and crisis scenarios. Define minimum policy, evidence location and immediate crisis relevance.</t>
        </is>
      </c>
      <c r="F216" s="3" t="inlineStr">
        <is>
          <t>Document demand forecast integrated with sales pipeline, history, seasonality and crisis scenarios, assign RACI, define minimum controls/KPIs and collect evidence across the main business units or sites.</t>
        </is>
      </c>
      <c r="G216" s="3" t="inlineStr">
        <is>
          <t>Standardize demand forecast integrated with sales pipeline, history, seasonality and crisis scenarios across the organization, close coverage gaps, link it to crisis scenarios and train accountable roles.</t>
        </is>
      </c>
      <c r="H216" s="3" t="inlineStr">
        <is>
          <t>Measure demand forecast integrated with sales pipeline, history, seasonality and crisis scenarios, review it periodically, test it against disruption scenarios and integrate it with dependent processes or systems.</t>
        </is>
      </c>
      <c r="I216" s="3" t="inlineStr">
        <is>
          <t>Optimize and automate demand forecast integrated with sales pipeline, history, seasonality and crisis scenarios where practical, use leading indicators, run periodic stress tests and update the crisis playbook.</t>
        </is>
      </c>
      <c r="J216" s="3" t="inlineStr">
        <is>
          <t>Maintain maturity for demand forecast integrated with sales pipeline, history, seasonality and crisis scenarios. Monitor drift, keep evidence current, benchmark externally and refresh tests after major changes.</t>
        </is>
      </c>
      <c r="K216" s="3" t="inlineStr">
        <is>
          <t>Reduces exposure to Supplier/logistics disruption; Manufacturing disruption; Demand shock; improves Inventory and planning maturity, continuity and management visibility.</t>
        </is>
      </c>
      <c r="L216" s="3" t="n">
        <v>5</v>
      </c>
      <c r="M216" s="3" t="n">
        <v>5</v>
      </c>
      <c r="N216" s="3" t="n">
        <v>4</v>
      </c>
      <c r="O216" s="3" t="n">
        <v>3</v>
      </c>
      <c r="P216" s="3" t="n">
        <v>2</v>
      </c>
      <c r="Q216" s="3" t="n">
        <v>1</v>
      </c>
      <c r="R216" s="3" t="inlineStr">
        <is>
          <t>ISO 22301; ISO 20400; ISO 28000; SCOR Digital Standard; S&amp;OP/IBP; APICS/ASCM</t>
        </is>
      </c>
      <c r="S216" s="3" t="inlineStr">
        <is>
          <t>Policy/SOP; owner/RACI; system report; dashboard; contracts; test records; incident history; interview evidence related to demand forecast integrated with sales pipeline, history, seasonality and crisis scenarios.</t>
        </is>
      </c>
      <c r="T216" s="3" t="inlineStr">
        <is>
          <t>Supplier/logistics disruption; Manufacturing disruption; Demand shock</t>
        </is>
      </c>
      <c r="U216" s="3" t="inlineStr">
        <is>
          <t>Supply Chain / Procurement</t>
        </is>
      </c>
      <c r="V216" s="3" t="inlineStr">
        <is>
          <t>Supply Chain!21</t>
        </is>
      </c>
    </row>
    <row r="217" ht="85.5" customHeight="1" s="209">
      <c r="A217" s="3" t="inlineStr">
        <is>
          <t>SUPP-018</t>
        </is>
      </c>
      <c r="B217" s="3" t="inlineStr">
        <is>
          <t>Supply Chain</t>
        </is>
      </c>
      <c r="C217" s="3" t="inlineStr">
        <is>
          <t>Inventory and planning</t>
        </is>
      </c>
      <c r="D217" s="3" t="inlineStr">
        <is>
          <t>How mature is the organization in managing S&amp;OP or IBP process connecting sales, finance, production, procurement and logistics, including ownership, evidence, metrics, fallback procedures and crisis stress testing?</t>
        </is>
      </c>
      <c r="E217" s="3" t="inlineStr">
        <is>
          <t>Establish a basic owner and inventory for S&amp;OP or IBP process connecting sales, finance, production, procurement and logistics. Define minimum policy, evidence location and immediate crisis relevance.</t>
        </is>
      </c>
      <c r="F217" s="3" t="inlineStr">
        <is>
          <t>Document S&amp;OP or IBP process connecting sales, finance, production, procurement and logistics, assign RACI, define minimum controls/KPIs and collect evidence across the main business units or sites.</t>
        </is>
      </c>
      <c r="G217" s="3" t="inlineStr">
        <is>
          <t>Standardize S&amp;OP or IBP process connecting sales, finance, production, procurement and logistics across the organization, close coverage gaps, link it to crisis scenarios and train accountable roles.</t>
        </is>
      </c>
      <c r="H217" s="3" t="inlineStr">
        <is>
          <t>Measure S&amp;OP or IBP process connecting sales, finance, production, procurement and logistics, review it periodically, test it against disruption scenarios and integrate it with dependent processes or systems.</t>
        </is>
      </c>
      <c r="I217" s="3" t="inlineStr">
        <is>
          <t>Optimize and automate S&amp;OP or IBP process connecting sales, finance, production, procurement and logistics where practical, use leading indicators, run periodic stress tests and update the crisis playbook.</t>
        </is>
      </c>
      <c r="J217" s="3" t="inlineStr">
        <is>
          <t>Maintain maturity for S&amp;OP or IBP process connecting sales, finance, production, procurement and logistics. Monitor drift, keep evidence current, benchmark externally and refresh tests after major changes.</t>
        </is>
      </c>
      <c r="K217" s="3" t="inlineStr">
        <is>
          <t>Reduces exposure to Supplier/logistics disruption; Manufacturing disruption; Demand shock; improves Inventory and planning maturity, continuity and management visibility.</t>
        </is>
      </c>
      <c r="L217" s="3" t="n">
        <v>5</v>
      </c>
      <c r="M217" s="3" t="n">
        <v>5</v>
      </c>
      <c r="N217" s="3" t="n">
        <v>4</v>
      </c>
      <c r="O217" s="3" t="n">
        <v>3</v>
      </c>
      <c r="P217" s="3" t="n">
        <v>2</v>
      </c>
      <c r="Q217" s="3" t="n">
        <v>1</v>
      </c>
      <c r="R217" s="3" t="inlineStr">
        <is>
          <t>ISO 22301; ISO 20400; ISO 28000; SCOR Digital Standard; S&amp;OP/IBP; APICS/ASCM</t>
        </is>
      </c>
      <c r="S217" s="3" t="inlineStr">
        <is>
          <t>Policy/SOP; owner/RACI; system report; dashboard; contracts; test records; incident history; interview evidence related to S&amp;OP or IBP process connecting sales, finance, production, procurement and logistics.</t>
        </is>
      </c>
      <c r="T217" s="3" t="inlineStr">
        <is>
          <t>Supplier/logistics disruption; Manufacturing disruption; Demand shock</t>
        </is>
      </c>
      <c r="U217" s="3" t="inlineStr">
        <is>
          <t>Supply Chain / Procurement</t>
        </is>
      </c>
      <c r="V217" s="3" t="inlineStr">
        <is>
          <t>Supply Chain!22</t>
        </is>
      </c>
    </row>
    <row r="218" ht="71.25" customHeight="1" s="209">
      <c r="A218" s="3" t="inlineStr">
        <is>
          <t>SUPP-019</t>
        </is>
      </c>
      <c r="B218" s="3" t="inlineStr">
        <is>
          <t>Supply Chain</t>
        </is>
      </c>
      <c r="C218" s="3" t="inlineStr">
        <is>
          <t>Inventory and planning</t>
        </is>
      </c>
      <c r="D218" s="3" t="inlineStr">
        <is>
          <t>How mature is the organization in managing planning cycle acceleration during crisis without losing data quality, including ownership, evidence, metrics, fallback procedures and crisis stress testing?</t>
        </is>
      </c>
      <c r="E218" s="3" t="inlineStr">
        <is>
          <t>Establish a basic owner and inventory for planning cycle acceleration during crisis without losing data quality. Define minimum policy, evidence location and immediate crisis relevance.</t>
        </is>
      </c>
      <c r="F218" s="3" t="inlineStr">
        <is>
          <t>Document planning cycle acceleration during crisis without losing data quality, assign RACI, define minimum controls/KPIs and collect evidence across the main business units or sites.</t>
        </is>
      </c>
      <c r="G218" s="3" t="inlineStr">
        <is>
          <t>Standardize planning cycle acceleration during crisis without losing data quality across the organization, close coverage gaps, link it to crisis scenarios and train accountable roles.</t>
        </is>
      </c>
      <c r="H218" s="3" t="inlineStr">
        <is>
          <t>Measure planning cycle acceleration during crisis without losing data quality, review it periodically, test it against disruption scenarios and integrate it with dependent processes or systems.</t>
        </is>
      </c>
      <c r="I218" s="3" t="inlineStr">
        <is>
          <t>Optimize and automate planning cycle acceleration during crisis without losing data quality where practical, use leading indicators, run periodic stress tests and update the crisis playbook.</t>
        </is>
      </c>
      <c r="J218" s="3" t="inlineStr">
        <is>
          <t>Maintain maturity for planning cycle acceleration during crisis without losing data quality. Monitor drift, keep evidence current, benchmark externally and refresh tests after major changes.</t>
        </is>
      </c>
      <c r="K218" s="3" t="inlineStr">
        <is>
          <t>Reduces exposure to Supplier/logistics disruption; Manufacturing disruption; Demand shock; improves Inventory and planning maturity, continuity and management visibility.</t>
        </is>
      </c>
      <c r="L218" s="3" t="n">
        <v>5</v>
      </c>
      <c r="M218" s="3" t="n">
        <v>5</v>
      </c>
      <c r="N218" s="3" t="n">
        <v>4</v>
      </c>
      <c r="O218" s="3" t="n">
        <v>3</v>
      </c>
      <c r="P218" s="3" t="n">
        <v>2</v>
      </c>
      <c r="Q218" s="3" t="n">
        <v>1</v>
      </c>
      <c r="R218" s="3" t="inlineStr">
        <is>
          <t>ISO 22301; ISO 20400; ISO 28000; SCOR Digital Standard; S&amp;OP/IBP; APICS/ASCM</t>
        </is>
      </c>
      <c r="S218" s="3" t="inlineStr">
        <is>
          <t>Policy/SOP; owner/RACI; system report; dashboard; contracts; test records; incident history; interview evidence related to planning cycle acceleration during crisis without losing data quality.</t>
        </is>
      </c>
      <c r="T218" s="3" t="inlineStr">
        <is>
          <t>Supplier/logistics disruption; Manufacturing disruption; Demand shock</t>
        </is>
      </c>
      <c r="U218" s="3" t="inlineStr">
        <is>
          <t>Supply Chain / Procurement</t>
        </is>
      </c>
      <c r="V218" s="3" t="inlineStr">
        <is>
          <t>Supply Chain!23</t>
        </is>
      </c>
    </row>
    <row r="219" ht="71.25" customHeight="1" s="209">
      <c r="A219" s="3" t="inlineStr">
        <is>
          <t>SUPP-020</t>
        </is>
      </c>
      <c r="B219" s="3" t="inlineStr">
        <is>
          <t>Supply Chain</t>
        </is>
      </c>
      <c r="C219" s="3" t="inlineStr">
        <is>
          <t>Technology and risk</t>
        </is>
      </c>
      <c r="D219" s="3" t="inlineStr">
        <is>
          <t>How mature is the organization in managing ERP, MRP, WMS, TMS and supplier portal integration and resilience, including ownership, evidence, metrics, fallback procedures and crisis stress testing?</t>
        </is>
      </c>
      <c r="E219" s="3" t="inlineStr">
        <is>
          <t>Establish a basic owner and inventory for ERP, MRP, WMS, TMS and supplier portal integration and resilience. Define minimum policy, evidence location and immediate crisis relevance.</t>
        </is>
      </c>
      <c r="F219" s="3" t="inlineStr">
        <is>
          <t>Document ERP, MRP, WMS, TMS and supplier portal integration and resilience, assign RACI, define minimum controls/KPIs and collect evidence across the main business units or sites.</t>
        </is>
      </c>
      <c r="G219" s="3" t="inlineStr">
        <is>
          <t>Standardize ERP, MRP, WMS, TMS and supplier portal integration and resilience across the organization, close coverage gaps, link it to crisis scenarios and train accountable roles.</t>
        </is>
      </c>
      <c r="H219" s="3" t="inlineStr">
        <is>
          <t>Measure ERP, MRP, WMS, TMS and supplier portal integration and resilience, review it periodically, test it against disruption scenarios and integrate it with dependent processes or systems.</t>
        </is>
      </c>
      <c r="I219" s="3" t="inlineStr">
        <is>
          <t>Optimize and automate ERP, MRP, WMS, TMS and supplier portal integration and resilience where practical, use leading indicators, run periodic stress tests and update the crisis playbook.</t>
        </is>
      </c>
      <c r="J219" s="3" t="inlineStr">
        <is>
          <t>Maintain maturity for ERP, MRP, WMS, TMS and supplier portal integration and resilience. Monitor drift, keep evidence current, benchmark externally and refresh tests after major changes.</t>
        </is>
      </c>
      <c r="K219" s="3" t="inlineStr">
        <is>
          <t>Reduces exposure to Supplier/logistics disruption; Manufacturing disruption; Demand shock; improves Technology and risk maturity, continuity and management visibility.</t>
        </is>
      </c>
      <c r="L219" s="3" t="n">
        <v>5</v>
      </c>
      <c r="M219" s="3" t="n">
        <v>5</v>
      </c>
      <c r="N219" s="3" t="n">
        <v>4</v>
      </c>
      <c r="O219" s="3" t="n">
        <v>3</v>
      </c>
      <c r="P219" s="3" t="n">
        <v>2</v>
      </c>
      <c r="Q219" s="3" t="n">
        <v>1</v>
      </c>
      <c r="R219" s="3" t="inlineStr">
        <is>
          <t>ISO 22301; ISO 20400; ISO 28000; SCOR Digital Standard; S&amp;OP/IBP; APICS/ASCM</t>
        </is>
      </c>
      <c r="S219" s="3" t="inlineStr">
        <is>
          <t>Policy/SOP; owner/RACI; system report; dashboard; contracts; test records; incident history; interview evidence related to ERP, MRP, WMS, TMS and supplier portal integration and resilience.</t>
        </is>
      </c>
      <c r="T219" s="3" t="inlineStr">
        <is>
          <t>Supplier/logistics disruption; Manufacturing disruption; Demand shock</t>
        </is>
      </c>
      <c r="U219" s="3" t="inlineStr">
        <is>
          <t>Supply Chain / Procurement</t>
        </is>
      </c>
      <c r="V219" s="3" t="inlineStr">
        <is>
          <t>Supply Chain!24</t>
        </is>
      </c>
    </row>
    <row r="220" ht="85.5" customHeight="1" s="209">
      <c r="A220" s="3" t="inlineStr">
        <is>
          <t>SUPP-021</t>
        </is>
      </c>
      <c r="B220" s="3" t="inlineStr">
        <is>
          <t>Supply Chain</t>
        </is>
      </c>
      <c r="C220" s="3" t="inlineStr">
        <is>
          <t>Technology and risk</t>
        </is>
      </c>
      <c r="D220" s="3" t="inlineStr">
        <is>
          <t>How mature is the organization in managing supply chain early warning monitoring for supplier, geopolitical, weather, port, customs and price risks, including ownership, evidence, metrics, fallback procedures and crisis stress testing?</t>
        </is>
      </c>
      <c r="E220" s="3" t="inlineStr">
        <is>
          <t>Establish a basic owner and inventory for supply chain early warning monitoring for supplier, geopolitical, weather, port, customs and price risks. Define minimum policy, evidence location and immediate crisis relevance.</t>
        </is>
      </c>
      <c r="F220" s="3" t="inlineStr">
        <is>
          <t>Document supply chain early warning monitoring for supplier, geopolitical, weather, port, customs and price risks, assign RACI, define minimum controls/KPIs and collect evidence across the main business units or sites.</t>
        </is>
      </c>
      <c r="G220" s="3" t="inlineStr">
        <is>
          <t>Standardize supply chain early warning monitoring for supplier, geopolitical, weather, port, customs and price risks across the organization, close coverage gaps, link it to crisis scenarios and train accountable roles.</t>
        </is>
      </c>
      <c r="H220" s="3" t="inlineStr">
        <is>
          <t>Measure supply chain early warning monitoring for supplier, geopolitical, weather, port, customs and price risks, review it periodically, test it against disruption scenarios and integrate it with dependent processes or systems.</t>
        </is>
      </c>
      <c r="I220" s="3" t="inlineStr">
        <is>
          <t>Optimize and automate supply chain early warning monitoring for supplier, geopolitical, weather, port, customs and price risks where practical, use leading indicators, run periodic stress tests and update the crisis playbook.</t>
        </is>
      </c>
      <c r="J220" s="3" t="inlineStr">
        <is>
          <t>Maintain maturity for supply chain early warning monitoring for supplier, geopolitical, weather, port, customs and price risks. Monitor drift, keep evidence current, benchmark externally and refresh tests after major changes.</t>
        </is>
      </c>
      <c r="K220" s="3" t="inlineStr">
        <is>
          <t>Reduces exposure to Supplier/logistics disruption; Manufacturing disruption; Demand shock; improves Technology and risk maturity, continuity and management visibility.</t>
        </is>
      </c>
      <c r="L220" s="3" t="n">
        <v>5</v>
      </c>
      <c r="M220" s="3" t="n">
        <v>5</v>
      </c>
      <c r="N220" s="3" t="n">
        <v>4</v>
      </c>
      <c r="O220" s="3" t="n">
        <v>3</v>
      </c>
      <c r="P220" s="3" t="n">
        <v>2</v>
      </c>
      <c r="Q220" s="3" t="n">
        <v>1</v>
      </c>
      <c r="R220" s="3" t="inlineStr">
        <is>
          <t>ISO 22301; ISO 20400; ISO 28000; SCOR Digital Standard; S&amp;OP/IBP; APICS/ASCM</t>
        </is>
      </c>
      <c r="S220" s="3" t="inlineStr">
        <is>
          <t>Policy/SOP; owner/RACI; system report; dashboard; contracts; test records; incident history; interview evidence related to supply chain early warning monitoring for supplier, geopolitical, weather, port, customs and price risks.</t>
        </is>
      </c>
      <c r="T220" s="3" t="inlineStr">
        <is>
          <t>Supplier/logistics disruption; Manufacturing disruption; Demand shock</t>
        </is>
      </c>
      <c r="U220" s="3" t="inlineStr">
        <is>
          <t>Supply Chain / Procurement</t>
        </is>
      </c>
      <c r="V220" s="3" t="inlineStr">
        <is>
          <t>Supply Chain!25</t>
        </is>
      </c>
    </row>
    <row r="221" ht="85.5" customHeight="1" s="209">
      <c r="A221" s="3" t="inlineStr">
        <is>
          <t>SUPP-022</t>
        </is>
      </c>
      <c r="B221" s="3" t="inlineStr">
        <is>
          <t>Supply Chain</t>
        </is>
      </c>
      <c r="C221" s="3" t="inlineStr">
        <is>
          <t>Technology and risk</t>
        </is>
      </c>
      <c r="D221" s="3" t="inlineStr">
        <is>
          <t>How mature is the organization in managing supply cost volatility monitoring for freight, energy, commodities and currency, including ownership, evidence, metrics, fallback procedures and crisis stress testing?</t>
        </is>
      </c>
      <c r="E221" s="3" t="inlineStr">
        <is>
          <t>Establish a basic owner and inventory for supply cost volatility monitoring for freight, energy, commodities and currency. Define minimum policy, evidence location and immediate crisis relevance.</t>
        </is>
      </c>
      <c r="F221" s="3" t="inlineStr">
        <is>
          <t>Document supply cost volatility monitoring for freight, energy, commodities and currency, assign RACI, define minimum controls/KPIs and collect evidence across the main business units or sites.</t>
        </is>
      </c>
      <c r="G221" s="3" t="inlineStr">
        <is>
          <t>Standardize supply cost volatility monitoring for freight, energy, commodities and currency across the organization, close coverage gaps, link it to crisis scenarios and train accountable roles.</t>
        </is>
      </c>
      <c r="H221" s="3" t="inlineStr">
        <is>
          <t>Measure supply cost volatility monitoring for freight, energy, commodities and currency, review it periodically, test it against disruption scenarios and integrate it with dependent processes or systems.</t>
        </is>
      </c>
      <c r="I221" s="3" t="inlineStr">
        <is>
          <t>Optimize and automate supply cost volatility monitoring for freight, energy, commodities and currency where practical, use leading indicators, run periodic stress tests and update the crisis playbook.</t>
        </is>
      </c>
      <c r="J221" s="3" t="inlineStr">
        <is>
          <t>Maintain maturity for supply cost volatility monitoring for freight, energy, commodities and currency. Monitor drift, keep evidence current, benchmark externally and refresh tests after major changes.</t>
        </is>
      </c>
      <c r="K221" s="3" t="inlineStr">
        <is>
          <t>Reduces exposure to Supplier/logistics disruption; Manufacturing disruption; Demand shock; improves Technology and risk maturity, continuity and management visibility.</t>
        </is>
      </c>
      <c r="L221" s="3" t="n">
        <v>5</v>
      </c>
      <c r="M221" s="3" t="n">
        <v>5</v>
      </c>
      <c r="N221" s="3" t="n">
        <v>4</v>
      </c>
      <c r="O221" s="3" t="n">
        <v>3</v>
      </c>
      <c r="P221" s="3" t="n">
        <v>2</v>
      </c>
      <c r="Q221" s="3" t="n">
        <v>1</v>
      </c>
      <c r="R221" s="3" t="inlineStr">
        <is>
          <t>ISO 22301; ISO 20400; ISO 28000; SCOR Digital Standard; S&amp;OP/IBP; APICS/ASCM</t>
        </is>
      </c>
      <c r="S221" s="3" t="inlineStr">
        <is>
          <t>Policy/SOP; owner/RACI; system report; dashboard; contracts; test records; incident history; interview evidence related to supply cost volatility monitoring for freight, energy, commodities and currency.</t>
        </is>
      </c>
      <c r="T221" s="3" t="inlineStr">
        <is>
          <t>Supplier/logistics disruption; Manufacturing disruption; Demand shock</t>
        </is>
      </c>
      <c r="U221" s="3" t="inlineStr">
        <is>
          <t>Supply Chain / Procurement</t>
        </is>
      </c>
      <c r="V221" s="3" t="inlineStr">
        <is>
          <t>Supply Chain!26</t>
        </is>
      </c>
    </row>
    <row r="222" ht="71.25" customHeight="1" s="209">
      <c r="A222" s="3" t="inlineStr">
        <is>
          <t>SUPP-023</t>
        </is>
      </c>
      <c r="B222" s="3" t="inlineStr">
        <is>
          <t>Supply Chain</t>
        </is>
      </c>
      <c r="C222" s="3" t="inlineStr">
        <is>
          <t>Technology and risk</t>
        </is>
      </c>
      <c r="D222" s="3" t="inlineStr">
        <is>
          <t>How mature is the organization in managing allocation rules when supply is insufficient to serve all customers, including ownership, evidence, metrics, fallback procedures and crisis stress testing?</t>
        </is>
      </c>
      <c r="E222" s="3" t="inlineStr">
        <is>
          <t>Establish a basic owner and inventory for allocation rules when supply is insufficient to serve all customers. Define minimum policy, evidence location and immediate crisis relevance.</t>
        </is>
      </c>
      <c r="F222" s="3" t="inlineStr">
        <is>
          <t>Document allocation rules when supply is insufficient to serve all customers, assign RACI, define minimum controls/KPIs and collect evidence across the main business units or sites.</t>
        </is>
      </c>
      <c r="G222" s="3" t="inlineStr">
        <is>
          <t>Standardize allocation rules when supply is insufficient to serve all customers across the organization, close coverage gaps, link it to crisis scenarios and train accountable roles.</t>
        </is>
      </c>
      <c r="H222" s="3" t="inlineStr">
        <is>
          <t>Measure allocation rules when supply is insufficient to serve all customers, review it periodically, test it against disruption scenarios and integrate it with dependent processes or systems.</t>
        </is>
      </c>
      <c r="I222" s="3" t="inlineStr">
        <is>
          <t>Optimize and automate allocation rules when supply is insufficient to serve all customers where practical, use leading indicators, run periodic stress tests and update the crisis playbook.</t>
        </is>
      </c>
      <c r="J222" s="3" t="inlineStr">
        <is>
          <t>Maintain maturity for allocation rules when supply is insufficient to serve all customers. Monitor drift, keep evidence current, benchmark externally and refresh tests after major changes.</t>
        </is>
      </c>
      <c r="K222" s="3" t="inlineStr">
        <is>
          <t>Reduces exposure to Supplier/logistics disruption; Manufacturing disruption; Demand shock; improves Technology and risk maturity, continuity and management visibility.</t>
        </is>
      </c>
      <c r="L222" s="3" t="n">
        <v>5</v>
      </c>
      <c r="M222" s="3" t="n">
        <v>5</v>
      </c>
      <c r="N222" s="3" t="n">
        <v>4</v>
      </c>
      <c r="O222" s="3" t="n">
        <v>3</v>
      </c>
      <c r="P222" s="3" t="n">
        <v>2</v>
      </c>
      <c r="Q222" s="3" t="n">
        <v>1</v>
      </c>
      <c r="R222" s="3" t="inlineStr">
        <is>
          <t>ISO 22301; ISO 20400; ISO 28000; SCOR Digital Standard; S&amp;OP/IBP; APICS/ASCM</t>
        </is>
      </c>
      <c r="S222" s="3" t="inlineStr">
        <is>
          <t>Policy/SOP; owner/RACI; system report; dashboard; contracts; test records; incident history; interview evidence related to allocation rules when supply is insufficient to serve all customers.</t>
        </is>
      </c>
      <c r="T222" s="3" t="inlineStr">
        <is>
          <t>Supplier/logistics disruption; Manufacturing disruption; Demand shock</t>
        </is>
      </c>
      <c r="U222" s="3" t="inlineStr">
        <is>
          <t>Supply Chain / Procurement</t>
        </is>
      </c>
      <c r="V222" s="3" t="inlineStr">
        <is>
          <t>Supply Chain!27</t>
        </is>
      </c>
    </row>
    <row r="223" ht="71.25" customHeight="1" s="209">
      <c r="A223" s="3" t="inlineStr">
        <is>
          <t>SUPP-024</t>
        </is>
      </c>
      <c r="B223" s="3" t="inlineStr">
        <is>
          <t>Supply Chain</t>
        </is>
      </c>
      <c r="C223" s="3" t="inlineStr">
        <is>
          <t>Technology and risk</t>
        </is>
      </c>
      <c r="D223" s="3" t="inlineStr">
        <is>
          <t>How mature is the organization in managing SKU, supplier, BOM, lead-time and replenishment master data quality, including ownership, evidence, metrics, fallback procedures and crisis stress testing?</t>
        </is>
      </c>
      <c r="E223" s="3" t="inlineStr">
        <is>
          <t>Establish a basic owner and inventory for SKU, supplier, BOM, lead-time and replenishment master data quality. Define minimum policy, evidence location and immediate crisis relevance.</t>
        </is>
      </c>
      <c r="F223" s="3" t="inlineStr">
        <is>
          <t>Document SKU, supplier, BOM, lead-time and replenishment master data quality, assign RACI, define minimum controls/KPIs and collect evidence across the main business units or sites.</t>
        </is>
      </c>
      <c r="G223" s="3" t="inlineStr">
        <is>
          <t>Standardize SKU, supplier, BOM, lead-time and replenishment master data quality across the organization, close coverage gaps, link it to crisis scenarios and train accountable roles.</t>
        </is>
      </c>
      <c r="H223" s="3" t="inlineStr">
        <is>
          <t>Measure SKU, supplier, BOM, lead-time and replenishment master data quality, review it periodically, test it against disruption scenarios and integrate it with dependent processes or systems.</t>
        </is>
      </c>
      <c r="I223" s="3" t="inlineStr">
        <is>
          <t>Optimize and automate SKU, supplier, BOM, lead-time and replenishment master data quality where practical, use leading indicators, run periodic stress tests and update the crisis playbook.</t>
        </is>
      </c>
      <c r="J223" s="3" t="inlineStr">
        <is>
          <t>Maintain maturity for SKU, supplier, BOM, lead-time and replenishment master data quality. Monitor drift, keep evidence current, benchmark externally and refresh tests after major changes.</t>
        </is>
      </c>
      <c r="K223" s="3" t="inlineStr">
        <is>
          <t>Reduces exposure to Supplier/logistics disruption; Manufacturing disruption; Demand shock; improves Technology and risk maturity, continuity and management visibility.</t>
        </is>
      </c>
      <c r="L223" s="3" t="n">
        <v>5</v>
      </c>
      <c r="M223" s="3" t="n">
        <v>5</v>
      </c>
      <c r="N223" s="3" t="n">
        <v>4</v>
      </c>
      <c r="O223" s="3" t="n">
        <v>3</v>
      </c>
      <c r="P223" s="3" t="n">
        <v>2</v>
      </c>
      <c r="Q223" s="3" t="n">
        <v>1</v>
      </c>
      <c r="R223" s="3" t="inlineStr">
        <is>
          <t>ISO 22301; ISO 20400; ISO 28000; SCOR Digital Standard; S&amp;OP/IBP; APICS/ASCM</t>
        </is>
      </c>
      <c r="S223" s="3" t="inlineStr">
        <is>
          <t>Policy/SOP; owner/RACI; system report; dashboard; contracts; test records; incident history; interview evidence related to SKU, supplier, BOM, lead-time and replenishment master data quality.</t>
        </is>
      </c>
      <c r="T223" s="3" t="inlineStr">
        <is>
          <t>Supplier/logistics disruption; Manufacturing disruption; Demand shock</t>
        </is>
      </c>
      <c r="U223" s="3" t="inlineStr">
        <is>
          <t>Supply Chain / Procurement</t>
        </is>
      </c>
      <c r="V223" s="3" t="inlineStr">
        <is>
          <t>Supply Chain!28</t>
        </is>
      </c>
    </row>
    <row r="224" ht="71.25" customHeight="1" s="209">
      <c r="A224" s="3" t="inlineStr">
        <is>
          <t>SUPP-025</t>
        </is>
      </c>
      <c r="B224" s="3" t="inlineStr">
        <is>
          <t>Supply Chain</t>
        </is>
      </c>
      <c r="C224" s="3" t="inlineStr">
        <is>
          <t>Technology and risk</t>
        </is>
      </c>
      <c r="D224" s="3" t="inlineStr">
        <is>
          <t>How mature is the organization in managing approved substitution rules for materials, components and suppliers, including ownership, evidence, metrics, fallback procedures and crisis stress testing?</t>
        </is>
      </c>
      <c r="E224" s="3" t="inlineStr">
        <is>
          <t>Establish a basic owner and inventory for approved substitution rules for materials, components and suppliers. Define minimum policy, evidence location and immediate crisis relevance.</t>
        </is>
      </c>
      <c r="F224" s="3" t="inlineStr">
        <is>
          <t>Document approved substitution rules for materials, components and suppliers, assign RACI, define minimum controls/KPIs and collect evidence across the main business units or sites.</t>
        </is>
      </c>
      <c r="G224" s="3" t="inlineStr">
        <is>
          <t>Standardize approved substitution rules for materials, components and suppliers across the organization, close coverage gaps, link it to crisis scenarios and train accountable roles.</t>
        </is>
      </c>
      <c r="H224" s="3" t="inlineStr">
        <is>
          <t>Measure approved substitution rules for materials, components and suppliers, review it periodically, test it against disruption scenarios and integrate it with dependent processes or systems.</t>
        </is>
      </c>
      <c r="I224" s="3" t="inlineStr">
        <is>
          <t>Optimize and automate approved substitution rules for materials, components and suppliers where practical, use leading indicators, run periodic stress tests and update the crisis playbook.</t>
        </is>
      </c>
      <c r="J224" s="3" t="inlineStr">
        <is>
          <t>Maintain maturity for approved substitution rules for materials, components and suppliers. Monitor drift, keep evidence current, benchmark externally and refresh tests after major changes.</t>
        </is>
      </c>
      <c r="K224" s="3" t="inlineStr">
        <is>
          <t>Reduces exposure to Supplier/logistics disruption; Manufacturing disruption; Demand shock; improves Technology and risk maturity, continuity and management visibility.</t>
        </is>
      </c>
      <c r="L224" s="3" t="n">
        <v>5</v>
      </c>
      <c r="M224" s="3" t="n">
        <v>5</v>
      </c>
      <c r="N224" s="3" t="n">
        <v>4</v>
      </c>
      <c r="O224" s="3" t="n">
        <v>3</v>
      </c>
      <c r="P224" s="3" t="n">
        <v>2</v>
      </c>
      <c r="Q224" s="3" t="n">
        <v>1</v>
      </c>
      <c r="R224" s="3" t="inlineStr">
        <is>
          <t>ISO 22301; ISO 20400; ISO 28000; SCOR Digital Standard; S&amp;OP/IBP; APICS/ASCM</t>
        </is>
      </c>
      <c r="S224" s="3" t="inlineStr">
        <is>
          <t>Policy/SOP; owner/RACI; system report; dashboard; contracts; test records; incident history; interview evidence related to approved substitution rules for materials, components and suppliers.</t>
        </is>
      </c>
      <c r="T224" s="3" t="inlineStr">
        <is>
          <t>Supplier/logistics disruption; Manufacturing disruption; Demand shock</t>
        </is>
      </c>
      <c r="U224" s="3" t="inlineStr">
        <is>
          <t>Supply Chain / Procurement</t>
        </is>
      </c>
      <c r="V224" s="3" t="inlineStr">
        <is>
          <t>Supply Chain!29</t>
        </is>
      </c>
    </row>
    <row r="225" ht="85.5" customHeight="1" s="209">
      <c r="A225" s="3" t="inlineStr">
        <is>
          <t>SUPP-026</t>
        </is>
      </c>
      <c r="B225" s="3" t="inlineStr">
        <is>
          <t>Supply Chain</t>
        </is>
      </c>
      <c r="C225" s="3" t="inlineStr">
        <is>
          <t>Orchestration and resilience</t>
        </is>
      </c>
      <c r="D225" s="3" t="inlineStr">
        <is>
          <t>How mature is the organization in managing supply chain strategy aligned with business strategy and reviewed against scenarios and market shifts, including ownership, evidence, metrics, fallback procedures and crisis stress testing?</t>
        </is>
      </c>
      <c r="E225" s="3" t="inlineStr">
        <is>
          <t>Establish a basic owner and inventory for supply chain strategy aligned with business strategy and reviewed against scenarios and market shifts. Define minimum policy, evidence location and immediate crisis relevance.</t>
        </is>
      </c>
      <c r="F225" s="3" t="inlineStr">
        <is>
          <t>Document supply chain strategy aligned with business strategy and reviewed against scenarios and market shifts, assign RACI, define minimum controls/KPIs and collect evidence across the main business units or sites.</t>
        </is>
      </c>
      <c r="G225" s="3" t="inlineStr">
        <is>
          <t>Standardize supply chain strategy aligned with business strategy and reviewed against scenarios and market shifts across the organization, close coverage gaps, link it to crisis scenarios and train accountable roles.</t>
        </is>
      </c>
      <c r="H225" s="3" t="inlineStr">
        <is>
          <t>Measure supply chain strategy aligned with business strategy and reviewed against scenarios and market shifts, review it periodically, test it against disruption scenarios and integrate it with dependent processes or systems.</t>
        </is>
      </c>
      <c r="I225" s="3" t="inlineStr">
        <is>
          <t>Optimize and automate supply chain strategy aligned with business strategy and reviewed against scenarios and market shifts where practical, use leading indicators, run periodic stress tests and update the crisis playbook.</t>
        </is>
      </c>
      <c r="J225" s="3" t="inlineStr">
        <is>
          <t>Maintain maturity for supply chain strategy aligned with business strategy and reviewed against scenarios and market shifts. Monitor drift, keep evidence current, benchmark externally and refresh tests after major changes.</t>
        </is>
      </c>
      <c r="K225" s="3" t="inlineStr">
        <is>
          <t>Reduces exposure to Supplier/logistics disruption; Demand shock; Geopolitical risk; improves Orchestration and resilience maturity, continuity and management visibility.</t>
        </is>
      </c>
      <c r="L225" s="3" t="n">
        <v>3</v>
      </c>
      <c r="M225" s="3" t="n">
        <v>3</v>
      </c>
      <c r="N225" s="3" t="n">
        <v>2</v>
      </c>
      <c r="O225" s="3" t="n">
        <v>2</v>
      </c>
      <c r="P225" s="3" t="n">
        <v>1</v>
      </c>
      <c r="Q225" s="3" t="n">
        <v>1</v>
      </c>
      <c r="R225" s="3" t="inlineStr">
        <is>
          <t>SCOR DS OE1; APQC PCF 4.0</t>
        </is>
      </c>
      <c r="S225" s="3" t="inlineStr">
        <is>
          <t>Policy/SOP; owner/RACI; system report; dashboard; contracts; test records; incident history; interview evidence related to supply chain strategy aligned with business strategy and reviewed against scenarios and market shifts</t>
        </is>
      </c>
      <c r="T225" s="3" t="inlineStr">
        <is>
          <t>Supplier/logistics disruption; Demand shock; Geopolitical risk</t>
        </is>
      </c>
      <c r="U225" s="3" t="inlineStr">
        <is>
          <t>COO / Head of Supply Chain</t>
        </is>
      </c>
      <c r="V225" s="3" t="inlineStr">
        <is>
          <t>Supply Chain!30</t>
        </is>
      </c>
    </row>
    <row r="226" ht="85.5" customHeight="1" s="209">
      <c r="A226" s="3" t="inlineStr">
        <is>
          <t>SUPP-027</t>
        </is>
      </c>
      <c r="B226" s="3" t="inlineStr">
        <is>
          <t>Supply Chain</t>
        </is>
      </c>
      <c r="C226" s="3" t="inlineStr">
        <is>
          <t>Orchestration and resilience</t>
        </is>
      </c>
      <c r="D226" s="3" t="inlineStr">
        <is>
          <t>How mature is the organization in managing supply chain risk and resilience management with time-to-recovery and time-to-survive analysis for critical nodes, including ownership, evidence, metrics, fallback procedures and crisis stress testing?</t>
        </is>
      </c>
      <c r="E226" s="3" t="inlineStr">
        <is>
          <t>Establish a basic owner and inventory for supply chain risk and resilience management with time-to-recovery and time-to-survive analysis for critical nodes. Define minimum policy, evidence location and immediate crisis relevance.</t>
        </is>
      </c>
      <c r="F226" s="3" t="inlineStr">
        <is>
          <t>Document supply chain risk and resilience management with time-to-recovery and time-to-survive analysis for critical nodes, assign RACI, define minimum controls/KPIs and collect evidence across the main business units or sites.</t>
        </is>
      </c>
      <c r="G226" s="3" t="inlineStr">
        <is>
          <t>Standardize supply chain risk and resilience management with time-to-recovery and time-to-survive analysis for critical nodes across the organization, close coverage gaps, link it to crisis scenarios and train accountable roles.</t>
        </is>
      </c>
      <c r="H226" s="3" t="inlineStr">
        <is>
          <t>Measure supply chain risk and resilience management with time-to-recovery and time-to-survive analysis for critical nodes, review it periodically, test it against disruption scenarios and integrate it with dependent processes or systems.</t>
        </is>
      </c>
      <c r="I226" s="3" t="inlineStr">
        <is>
          <t>Optimize and automate supply chain risk and resilience management with time-to-recovery and time-to-survive analysis for critical nodes where practical, use leading indicators, run periodic stress tests and update the crisis playbook.</t>
        </is>
      </c>
      <c r="J226" s="3" t="inlineStr">
        <is>
          <t>Maintain maturity for supply chain risk and resilience management with time-to-recovery and time-to-survive analysis for critical nodes. Monitor drift, keep evidence current, benchmark externally and refresh tests after major changes.</t>
        </is>
      </c>
      <c r="K226" s="3" t="inlineStr">
        <is>
          <t>Reduces exposure to Supplier/logistics disruption; War/security crisis; Natural disaster; improves Orchestration and resilience maturity, continuity and management visibility.</t>
        </is>
      </c>
      <c r="L226" s="3" t="n">
        <v>3</v>
      </c>
      <c r="M226" s="3" t="n">
        <v>3</v>
      </c>
      <c r="N226" s="3" t="n">
        <v>3</v>
      </c>
      <c r="O226" s="3" t="n">
        <v>2</v>
      </c>
      <c r="P226" s="3" t="n">
        <v>2</v>
      </c>
      <c r="Q226" s="3" t="n">
        <v>1</v>
      </c>
      <c r="R226" s="3" t="inlineStr">
        <is>
          <t>SCOR DS OE10; ISO 28000; ISO 22301</t>
        </is>
      </c>
      <c r="S226" s="3" t="inlineStr">
        <is>
          <t>Policy/SOP; owner/RACI; system report; dashboard; contracts; test records; incident history; interview evidence related to supply chain risk and resilience management with time-to-recovery and time-to-survive analysis for critical nodes</t>
        </is>
      </c>
      <c r="T226" s="3" t="inlineStr">
        <is>
          <t>Supplier/logistics disruption; War/security crisis; Natural disaster</t>
        </is>
      </c>
      <c r="U226" s="3" t="inlineStr">
        <is>
          <t>Head of Supply Chain / Risk</t>
        </is>
      </c>
      <c r="V226" s="3" t="inlineStr">
        <is>
          <t>Supply Chain!31</t>
        </is>
      </c>
    </row>
    <row r="227" ht="85.5" customHeight="1" s="209">
      <c r="A227" s="3" t="inlineStr">
        <is>
          <t>SUPP-028</t>
        </is>
      </c>
      <c r="B227" s="3" t="inlineStr">
        <is>
          <t>Supply Chain</t>
        </is>
      </c>
      <c r="C227" s="3" t="inlineStr">
        <is>
          <t>Orchestration and resilience</t>
        </is>
      </c>
      <c r="D227" s="3" t="inlineStr">
        <is>
          <t>How mature is the organization in managing supply chain agility measurement covering upside and downside flexibility and adaptability metrics, including ownership, evidence, metrics, fallback procedures and crisis stress testing?</t>
        </is>
      </c>
      <c r="E227" s="3" t="inlineStr">
        <is>
          <t>Establish a basic owner and inventory for supply chain agility measurement covering upside and downside flexibility and adaptability metrics. Define minimum policy, evidence location and immediate crisis relevance.</t>
        </is>
      </c>
      <c r="F227" s="3" t="inlineStr">
        <is>
          <t>Document supply chain agility measurement covering upside and downside flexibility and adaptability metrics, assign RACI, define minimum controls/KPIs and collect evidence across the main business units or sites.</t>
        </is>
      </c>
      <c r="G227" s="3" t="inlineStr">
        <is>
          <t>Standardize supply chain agility measurement covering upside and downside flexibility and adaptability metrics across the organization, close coverage gaps, link it to crisis scenarios and train accountable roles.</t>
        </is>
      </c>
      <c r="H227" s="3" t="inlineStr">
        <is>
          <t>Measure supply chain agility measurement covering upside and downside flexibility and adaptability metrics, review it periodically, test it against disruption scenarios and integrate it with dependent processes or systems.</t>
        </is>
      </c>
      <c r="I227" s="3" t="inlineStr">
        <is>
          <t>Optimize and automate supply chain agility measurement covering upside and downside flexibility and adaptability metrics where practical, use leading indicators, run periodic stress tests and update the crisis playbook.</t>
        </is>
      </c>
      <c r="J227" s="3" t="inlineStr">
        <is>
          <t>Maintain maturity for supply chain agility measurement covering upside and downside flexibility and adaptability metrics. Monitor drift, keep evidence current, benchmark externally and refresh tests after major changes.</t>
        </is>
      </c>
      <c r="K227" s="3" t="inlineStr">
        <is>
          <t>Reduces exposure to Demand shock; Supplier/logistics disruption; improves Orchestration and resilience maturity, continuity and management visibility.</t>
        </is>
      </c>
      <c r="L227" s="3" t="n">
        <v>3</v>
      </c>
      <c r="M227" s="3" t="n">
        <v>2</v>
      </c>
      <c r="N227" s="3" t="n">
        <v>2</v>
      </c>
      <c r="O227" s="3" t="n">
        <v>2</v>
      </c>
      <c r="P227" s="3" t="n">
        <v>1</v>
      </c>
      <c r="Q227" s="3" t="n">
        <v>1</v>
      </c>
      <c r="R227" s="3" t="inlineStr">
        <is>
          <t>SCOR DS Agility (AG) metrics; APQC PCF 4.0</t>
        </is>
      </c>
      <c r="S227" s="3" t="inlineStr">
        <is>
          <t>Policy/SOP; owner/RACI; system report; dashboard; contracts; test records; incident history; interview evidence related to supply chain agility measurement covering upside and downside flexibility and adaptability metrics</t>
        </is>
      </c>
      <c r="T227" s="3" t="inlineStr">
        <is>
          <t>Demand shock; Supplier/logistics disruption</t>
        </is>
      </c>
      <c r="U227" s="3" t="inlineStr">
        <is>
          <t>Head of Supply Chain</t>
        </is>
      </c>
      <c r="V227" s="3" t="inlineStr">
        <is>
          <t>Supply Chain!32</t>
        </is>
      </c>
    </row>
    <row r="228" ht="85.5" customHeight="1" s="209">
      <c r="A228" s="3" t="inlineStr">
        <is>
          <t>SUPP-029</t>
        </is>
      </c>
      <c r="B228" s="3" t="inlineStr">
        <is>
          <t>Supply Chain</t>
        </is>
      </c>
      <c r="C228" s="3" t="inlineStr">
        <is>
          <t>Orchestration and resilience</t>
        </is>
      </c>
      <c r="D228" s="3" t="inlineStr">
        <is>
          <t>How mature is the organization in managing periodic supply network design review stress-testing nodes, routes and capacity against crisis scenarios, including ownership, evidence, metrics, fallback procedures and crisis stress testing?</t>
        </is>
      </c>
      <c r="E228" s="3" t="inlineStr">
        <is>
          <t>Establish a basic owner and inventory for periodic supply network design review stress-testing nodes, routes and capacity against crisis scenarios. Define minimum policy, evidence location and immediate crisis relevance.</t>
        </is>
      </c>
      <c r="F228" s="3" t="inlineStr">
        <is>
          <t>Document periodic supply network design review stress-testing nodes, routes and capacity against crisis scenarios, assign RACI, define minimum controls/KPIs and collect evidence across the main business units or sites.</t>
        </is>
      </c>
      <c r="G228" s="3" t="inlineStr">
        <is>
          <t>Standardize periodic supply network design review stress-testing nodes, routes and capacity against crisis scenarios across the organization, close coverage gaps, link it to crisis scenarios and train accountable roles.</t>
        </is>
      </c>
      <c r="H228" s="3" t="inlineStr">
        <is>
          <t>Measure periodic supply network design review stress-testing nodes, routes and capacity against crisis scenarios, review it periodically, test it against disruption scenarios and integrate it with dependent processes or systems.</t>
        </is>
      </c>
      <c r="I228" s="3" t="inlineStr">
        <is>
          <t>Optimize and automate periodic supply network design review stress-testing nodes, routes and capacity against crisis scenarios where practical, use leading indicators, run periodic stress tests and update the crisis playbook.</t>
        </is>
      </c>
      <c r="J228" s="3" t="inlineStr">
        <is>
          <t>Maintain maturity for periodic supply network design review stress-testing nodes, routes and capacity against crisis scenarios. Monitor drift, keep evidence current, benchmark externally and refresh tests after major changes.</t>
        </is>
      </c>
      <c r="K228" s="3" t="inlineStr">
        <is>
          <t>Reduces exposure to Supplier/logistics disruption; Geopolitical risk; Natural disaster; improves Orchestration and resilience maturity, continuity and management visibility.</t>
        </is>
      </c>
      <c r="L228" s="3" t="n">
        <v>3</v>
      </c>
      <c r="M228" s="3" t="n">
        <v>3</v>
      </c>
      <c r="N228" s="3" t="n">
        <v>3</v>
      </c>
      <c r="O228" s="3" t="n">
        <v>2</v>
      </c>
      <c r="P228" s="3" t="n">
        <v>2</v>
      </c>
      <c r="Q228" s="3" t="n">
        <v>1</v>
      </c>
      <c r="R228" s="3" t="inlineStr">
        <is>
          <t>SCOR DS network design practices; ISO 22301</t>
        </is>
      </c>
      <c r="S228" s="3" t="inlineStr">
        <is>
          <t>Policy/SOP; owner/RACI; system report; dashboard; contracts; test records; incident history; interview evidence related to periodic supply network design review stress-testing nodes, routes and capacity against crisis scenarios</t>
        </is>
      </c>
      <c r="T228" s="3" t="inlineStr">
        <is>
          <t>Supplier/logistics disruption; Geopolitical risk; Natural disaster</t>
        </is>
      </c>
      <c r="U228" s="3" t="inlineStr">
        <is>
          <t>COO / Head of Supply Chain</t>
        </is>
      </c>
      <c r="V228" s="3" t="inlineStr">
        <is>
          <t>Supply Chain!33</t>
        </is>
      </c>
    </row>
    <row r="229" ht="85.5" customHeight="1" s="209">
      <c r="A229" s="3" t="inlineStr">
        <is>
          <t>MANU-001</t>
        </is>
      </c>
      <c r="B229" s="3" t="inlineStr">
        <is>
          <t>Manufacturing MES</t>
        </is>
      </c>
      <c r="C229" s="3" t="inlineStr">
        <is>
          <t>Production footprint</t>
        </is>
      </c>
      <c r="D229" s="3" t="inlineStr">
        <is>
          <t>How mature is the organization in managing production footprint by plant, line, product family, capacity, workforce and crisis exposure, including ownership, evidence, metrics, fallback procedures and crisis stress testing?</t>
        </is>
      </c>
      <c r="E229" s="3" t="inlineStr">
        <is>
          <t>Establish a basic owner and inventory for production footprint by plant, line, product family, capacity, workforce and crisis exposure. Define minimum policy, evidence location and immediate crisis relevance.</t>
        </is>
      </c>
      <c r="F229" s="3" t="inlineStr">
        <is>
          <t>Document production footprint by plant, line, product family, capacity, workforce and crisis exposure, assign RACI, define minimum controls/KPIs and collect evidence across the main business units or sites.</t>
        </is>
      </c>
      <c r="G229" s="3" t="inlineStr">
        <is>
          <t>Standardize production footprint by plant, line, product family, capacity, workforce and crisis exposure across the organization, close coverage gaps, link it to crisis scenarios and train accountable roles.</t>
        </is>
      </c>
      <c r="H229" s="3" t="inlineStr">
        <is>
          <t>Measure production footprint by plant, line, product family, capacity, workforce and crisis exposure, review it periodically, test it against disruption scenarios and integrate it with dependent processes or systems.</t>
        </is>
      </c>
      <c r="I229" s="3" t="inlineStr">
        <is>
          <t>Optimize and automate production footprint by plant, line, product family, capacity, workforce and crisis exposure where practical, use leading indicators, run periodic stress tests and update the crisis playbook.</t>
        </is>
      </c>
      <c r="J229" s="3" t="inlineStr">
        <is>
          <t>Maintain maturity for production footprint by plant, line, product family, capacity, workforce and crisis exposure. Monitor drift, keep evidence current, benchmark externally and refresh tests after major changes.</t>
        </is>
      </c>
      <c r="K229" s="3" t="inlineStr">
        <is>
          <t>Reduces exposure to Manufacturing disruption; Safety incident; Energy outage; Cyberattack; improves Production footprint maturity, continuity and management visibility.</t>
        </is>
      </c>
      <c r="L229" s="3" t="n">
        <v>5</v>
      </c>
      <c r="M229" s="3" t="n">
        <v>5</v>
      </c>
      <c r="N229" s="3" t="n">
        <v>4</v>
      </c>
      <c r="O229" s="3" t="n">
        <v>3</v>
      </c>
      <c r="P229" s="3" t="n">
        <v>2</v>
      </c>
      <c r="Q229" s="3" t="n">
        <v>1</v>
      </c>
      <c r="R229" s="3" t="inlineStr">
        <is>
          <t>ISO 9001; ISO 45001; ISA-95; IEC 62443; ISO 55001; Lean; Six Sigma; TPM; MES/MOM practices</t>
        </is>
      </c>
      <c r="S229" s="3" t="inlineStr">
        <is>
          <t>Policy/SOP; owner/RACI; system report; dashboard; contracts; test records; incident history; interview evidence related to production footprint by plant, line, product family, capacity, workforce and crisis exposure.</t>
        </is>
      </c>
      <c r="T229" s="3" t="inlineStr">
        <is>
          <t>Manufacturing disruption; Safety incident; Energy outage; Cyberattack</t>
        </is>
      </c>
      <c r="U229" s="3" t="inlineStr">
        <is>
          <t>COO / Plant / Manufacturing</t>
        </is>
      </c>
      <c r="V229" s="3" t="inlineStr">
        <is>
          <t>Manufacturing MES!5</t>
        </is>
      </c>
    </row>
    <row r="230" ht="85.5" customHeight="1" s="209">
      <c r="A230" s="3" t="inlineStr">
        <is>
          <t>MANU-002</t>
        </is>
      </c>
      <c r="B230" s="3" t="inlineStr">
        <is>
          <t>Manufacturing MES</t>
        </is>
      </c>
      <c r="C230" s="3" t="inlineStr">
        <is>
          <t>Production footprint</t>
        </is>
      </c>
      <c r="D230" s="3" t="inlineStr">
        <is>
          <t>How mature is the organization in managing production planning integrated with demand, supply, inventory, workforce and maintenance constraints, including ownership, evidence, metrics, fallback procedures and crisis stress testing?</t>
        </is>
      </c>
      <c r="E230" s="3" t="inlineStr">
        <is>
          <t>Establish a basic owner and inventory for production planning integrated with demand, supply, inventory, workforce and maintenance constraints. Define minimum policy, evidence location and immediate crisis relevance.</t>
        </is>
      </c>
      <c r="F230" s="3" t="inlineStr">
        <is>
          <t>Document production planning integrated with demand, supply, inventory, workforce and maintenance constraints, assign RACI, define minimum controls/KPIs and collect evidence across the main business units or sites.</t>
        </is>
      </c>
      <c r="G230" s="3" t="inlineStr">
        <is>
          <t>Standardize production planning integrated with demand, supply, inventory, workforce and maintenance constraints across the organization, close coverage gaps, link it to crisis scenarios and train accountable roles.</t>
        </is>
      </c>
      <c r="H230" s="3" t="inlineStr">
        <is>
          <t>Measure production planning integrated with demand, supply, inventory, workforce and maintenance constraints, review it periodically, test it against disruption scenarios and integrate it with dependent processes or systems.</t>
        </is>
      </c>
      <c r="I230" s="3" t="inlineStr">
        <is>
          <t>Optimize and automate production planning integrated with demand, supply, inventory, workforce and maintenance constraints where practical, use leading indicators, run periodic stress tests and update the crisis playbook.</t>
        </is>
      </c>
      <c r="J230" s="3" t="inlineStr">
        <is>
          <t>Maintain maturity for production planning integrated with demand, supply, inventory, workforce and maintenance constraints. Monitor drift, keep evidence current, benchmark externally and refresh tests after major changes.</t>
        </is>
      </c>
      <c r="K230" s="3" t="inlineStr">
        <is>
          <t>Reduces exposure to Manufacturing disruption; Safety incident; Energy outage; Cyberattack; improves Production footprint maturity, continuity and management visibility.</t>
        </is>
      </c>
      <c r="L230" s="3" t="n">
        <v>5</v>
      </c>
      <c r="M230" s="3" t="n">
        <v>5</v>
      </c>
      <c r="N230" s="3" t="n">
        <v>4</v>
      </c>
      <c r="O230" s="3" t="n">
        <v>3</v>
      </c>
      <c r="P230" s="3" t="n">
        <v>2</v>
      </c>
      <c r="Q230" s="3" t="n">
        <v>1</v>
      </c>
      <c r="R230" s="3" t="inlineStr">
        <is>
          <t>ISO 9001; ISO 45001; ISA-95; IEC 62443; ISO 55001; Lean; Six Sigma; TPM; MES/MOM practices</t>
        </is>
      </c>
      <c r="S230" s="3" t="inlineStr">
        <is>
          <t>Policy/SOP; owner/RACI; system report; dashboard; contracts; test records; incident history; interview evidence related to production planning integrated with demand, supply, inventory, workforce and maintenance constraints.</t>
        </is>
      </c>
      <c r="T230" s="3" t="inlineStr">
        <is>
          <t>Manufacturing disruption; Safety incident; Energy outage; Cyberattack</t>
        </is>
      </c>
      <c r="U230" s="3" t="inlineStr">
        <is>
          <t>COO / Plant / Manufacturing</t>
        </is>
      </c>
      <c r="V230" s="3" t="inlineStr">
        <is>
          <t>Manufacturing MES!6</t>
        </is>
      </c>
    </row>
    <row r="231" ht="71.25" customHeight="1" s="209">
      <c r="A231" s="3" t="inlineStr">
        <is>
          <t>MANU-003</t>
        </is>
      </c>
      <c r="B231" s="3" t="inlineStr">
        <is>
          <t>Manufacturing MES</t>
        </is>
      </c>
      <c r="C231" s="3" t="inlineStr">
        <is>
          <t>Production footprint</t>
        </is>
      </c>
      <c r="D231" s="3" t="inlineStr">
        <is>
          <t>How mature is the organization in managing finite capacity planning for bottlenecks, machines, shifts and labor, including ownership, evidence, metrics, fallback procedures and crisis stress testing?</t>
        </is>
      </c>
      <c r="E231" s="3" t="inlineStr">
        <is>
          <t>Establish a basic owner and inventory for finite capacity planning for bottlenecks, machines, shifts and labor. Define minimum policy, evidence location and immediate crisis relevance.</t>
        </is>
      </c>
      <c r="F231" s="3" t="inlineStr">
        <is>
          <t>Document finite capacity planning for bottlenecks, machines, shifts and labor, assign RACI, define minimum controls/KPIs and collect evidence across the main business units or sites.</t>
        </is>
      </c>
      <c r="G231" s="3" t="inlineStr">
        <is>
          <t>Standardize finite capacity planning for bottlenecks, machines, shifts and labor across the organization, close coverage gaps, link it to crisis scenarios and train accountable roles.</t>
        </is>
      </c>
      <c r="H231" s="3" t="inlineStr">
        <is>
          <t>Measure finite capacity planning for bottlenecks, machines, shifts and labor, review it periodically, test it against disruption scenarios and integrate it with dependent processes or systems.</t>
        </is>
      </c>
      <c r="I231" s="3" t="inlineStr">
        <is>
          <t>Optimize and automate finite capacity planning for bottlenecks, machines, shifts and labor where practical, use leading indicators, run periodic stress tests and update the crisis playbook.</t>
        </is>
      </c>
      <c r="J231" s="3" t="inlineStr">
        <is>
          <t>Maintain maturity for finite capacity planning for bottlenecks, machines, shifts and labor. Monitor drift, keep evidence current, benchmark externally and refresh tests after major changes.</t>
        </is>
      </c>
      <c r="K231" s="3" t="inlineStr">
        <is>
          <t>Reduces exposure to Manufacturing disruption; Safety incident; Energy outage; Cyberattack; improves Production footprint maturity, continuity and management visibility.</t>
        </is>
      </c>
      <c r="L231" s="3" t="n">
        <v>5</v>
      </c>
      <c r="M231" s="3" t="n">
        <v>5</v>
      </c>
      <c r="N231" s="3" t="n">
        <v>4</v>
      </c>
      <c r="O231" s="3" t="n">
        <v>3</v>
      </c>
      <c r="P231" s="3" t="n">
        <v>2</v>
      </c>
      <c r="Q231" s="3" t="n">
        <v>1</v>
      </c>
      <c r="R231" s="3" t="inlineStr">
        <is>
          <t>ISO 9001; ISO 45001; ISA-95; IEC 62443; ISO 55001; Lean; Six Sigma; TPM; MES/MOM practices</t>
        </is>
      </c>
      <c r="S231" s="3" t="inlineStr">
        <is>
          <t>Policy/SOP; owner/RACI; system report; dashboard; contracts; test records; incident history; interview evidence related to finite capacity planning for bottlenecks, machines, shifts and labor.</t>
        </is>
      </c>
      <c r="T231" s="3" t="inlineStr">
        <is>
          <t>Manufacturing disruption; Safety incident; Energy outage; Cyberattack</t>
        </is>
      </c>
      <c r="U231" s="3" t="inlineStr">
        <is>
          <t>COO / Plant / Manufacturing</t>
        </is>
      </c>
      <c r="V231" s="3" t="inlineStr">
        <is>
          <t>Manufacturing MES!7</t>
        </is>
      </c>
    </row>
    <row r="232" ht="85.5" customHeight="1" s="209">
      <c r="A232" s="3" t="inlineStr">
        <is>
          <t>MANU-004</t>
        </is>
      </c>
      <c r="B232" s="3" t="inlineStr">
        <is>
          <t>Manufacturing MES</t>
        </is>
      </c>
      <c r="C232" s="3" t="inlineStr">
        <is>
          <t>Production footprint</t>
        </is>
      </c>
      <c r="D232" s="3" t="inlineStr">
        <is>
          <t>How mature is the organization in managing minimum viable production under staff absence, utility outage, supplier delay or site risk, including ownership, evidence, metrics, fallback procedures and crisis stress testing?</t>
        </is>
      </c>
      <c r="E232" s="3" t="inlineStr">
        <is>
          <t>Establish a basic owner and inventory for minimum viable production under staff absence, utility outage, supplier delay or site risk. Define minimum policy, evidence location and immediate crisis relevance.</t>
        </is>
      </c>
      <c r="F232" s="3" t="inlineStr">
        <is>
          <t>Document minimum viable production under staff absence, utility outage, supplier delay or site risk, assign RACI, define minimum controls/KPIs and collect evidence across the main business units or sites.</t>
        </is>
      </c>
      <c r="G232" s="3" t="inlineStr">
        <is>
          <t>Standardize minimum viable production under staff absence, utility outage, supplier delay or site risk across the organization, close coverage gaps, link it to crisis scenarios and train accountable roles.</t>
        </is>
      </c>
      <c r="H232" s="3" t="inlineStr">
        <is>
          <t>Measure minimum viable production under staff absence, utility outage, supplier delay or site risk, review it periodically, test it against disruption scenarios and integrate it with dependent processes or systems.</t>
        </is>
      </c>
      <c r="I232" s="3" t="inlineStr">
        <is>
          <t>Optimize and automate minimum viable production under staff absence, utility outage, supplier delay or site risk where practical, use leading indicators, run periodic stress tests and update the crisis playbook.</t>
        </is>
      </c>
      <c r="J232" s="3" t="inlineStr">
        <is>
          <t>Maintain maturity for minimum viable production under staff absence, utility outage, supplier delay or site risk. Monitor drift, keep evidence current, benchmark externally and refresh tests after major changes.</t>
        </is>
      </c>
      <c r="K232" s="3" t="inlineStr">
        <is>
          <t>Reduces exposure to Manufacturing disruption; Safety incident; Energy outage; Cyberattack; improves Production footprint maturity, continuity and management visibility.</t>
        </is>
      </c>
      <c r="L232" s="3" t="n">
        <v>5</v>
      </c>
      <c r="M232" s="3" t="n">
        <v>5</v>
      </c>
      <c r="N232" s="3" t="n">
        <v>4</v>
      </c>
      <c r="O232" s="3" t="n">
        <v>3</v>
      </c>
      <c r="P232" s="3" t="n">
        <v>2</v>
      </c>
      <c r="Q232" s="3" t="n">
        <v>1</v>
      </c>
      <c r="R232" s="3" t="inlineStr">
        <is>
          <t>ISO 9001; ISO 45001; ISA-95; IEC 62443; ISO 55001; Lean; Six Sigma; TPM; MES/MOM practices</t>
        </is>
      </c>
      <c r="S232" s="3" t="inlineStr">
        <is>
          <t>Policy/SOP; owner/RACI; system report; dashboard; contracts; test records; incident history; interview evidence related to minimum viable production under staff absence, utility outage, supplier delay or site risk.</t>
        </is>
      </c>
      <c r="T232" s="3" t="inlineStr">
        <is>
          <t>Manufacturing disruption; Safety incident; Energy outage; Cyberattack</t>
        </is>
      </c>
      <c r="U232" s="3" t="inlineStr">
        <is>
          <t>COO / Plant / Manufacturing</t>
        </is>
      </c>
      <c r="V232" s="3" t="inlineStr">
        <is>
          <t>Manufacturing MES!8</t>
        </is>
      </c>
    </row>
    <row r="233" ht="71.25" customHeight="1" s="209">
      <c r="A233" s="3" t="inlineStr">
        <is>
          <t>MANU-005</t>
        </is>
      </c>
      <c r="B233" s="3" t="inlineStr">
        <is>
          <t>Manufacturing MES</t>
        </is>
      </c>
      <c r="C233" s="3" t="inlineStr">
        <is>
          <t>Production footprint</t>
        </is>
      </c>
      <c r="D233" s="3" t="inlineStr">
        <is>
          <t>How mature is the organization in managing line or site transferability if a facility fails, including ownership, evidence, metrics, fallback procedures and crisis stress testing?</t>
        </is>
      </c>
      <c r="E233" s="3" t="inlineStr">
        <is>
          <t>Establish a basic owner and inventory for line or site transferability if a facility fails. Define minimum policy, evidence location and immediate crisis relevance.</t>
        </is>
      </c>
      <c r="F233" s="3" t="inlineStr">
        <is>
          <t>Document line or site transferability if a facility fails, assign RACI, define minimum controls/KPIs and collect evidence across the main business units or sites.</t>
        </is>
      </c>
      <c r="G233" s="3" t="inlineStr">
        <is>
          <t>Standardize line or site transferability if a facility fails across the organization, close coverage gaps, link it to crisis scenarios and train accountable roles.</t>
        </is>
      </c>
      <c r="H233" s="3" t="inlineStr">
        <is>
          <t>Measure line or site transferability if a facility fails, review it periodically, test it against disruption scenarios and integrate it with dependent processes or systems.</t>
        </is>
      </c>
      <c r="I233" s="3" t="inlineStr">
        <is>
          <t>Optimize and automate line or site transferability if a facility fails where practical, use leading indicators, run periodic stress tests and update the crisis playbook.</t>
        </is>
      </c>
      <c r="J233" s="3" t="inlineStr">
        <is>
          <t>Maintain maturity for line or site transferability if a facility fails. Monitor drift, keep evidence current, benchmark externally and refresh tests after major changes.</t>
        </is>
      </c>
      <c r="K233" s="3" t="inlineStr">
        <is>
          <t>Reduces exposure to Manufacturing disruption; Safety incident; Energy outage; Cyberattack; improves Production footprint maturity, continuity and management visibility.</t>
        </is>
      </c>
      <c r="L233" s="3" t="n">
        <v>5</v>
      </c>
      <c r="M233" s="3" t="n">
        <v>5</v>
      </c>
      <c r="N233" s="3" t="n">
        <v>4</v>
      </c>
      <c r="O233" s="3" t="n">
        <v>3</v>
      </c>
      <c r="P233" s="3" t="n">
        <v>2</v>
      </c>
      <c r="Q233" s="3" t="n">
        <v>1</v>
      </c>
      <c r="R233" s="3" t="inlineStr">
        <is>
          <t>ISO 9001; ISO 45001; ISA-95; IEC 62443; ISO 55001; Lean; Six Sigma; TPM; MES/MOM practices</t>
        </is>
      </c>
      <c r="S233" s="3" t="inlineStr">
        <is>
          <t>Policy/SOP; owner/RACI; system report; dashboard; contracts; test records; incident history; interview evidence related to line or site transferability if a facility fails.</t>
        </is>
      </c>
      <c r="T233" s="3" t="inlineStr">
        <is>
          <t>Manufacturing disruption; Safety incident; Energy outage; Cyberattack</t>
        </is>
      </c>
      <c r="U233" s="3" t="inlineStr">
        <is>
          <t>COO / Plant / Manufacturing</t>
        </is>
      </c>
      <c r="V233" s="3" t="inlineStr">
        <is>
          <t>Manufacturing MES!9</t>
        </is>
      </c>
    </row>
    <row r="234" ht="85.5" customHeight="1" s="209">
      <c r="A234" s="3" t="inlineStr">
        <is>
          <t>MANU-006</t>
        </is>
      </c>
      <c r="B234" s="3" t="inlineStr">
        <is>
          <t>Manufacturing MES</t>
        </is>
      </c>
      <c r="C234" s="3" t="inlineStr">
        <is>
          <t>Production footprint</t>
        </is>
      </c>
      <c r="D234" s="3" t="inlineStr">
        <is>
          <t>How mature is the organization in managing contract manufacturing capacity, quality, continuity, security and compliance, including ownership, evidence, metrics, fallback procedures and crisis stress testing?</t>
        </is>
      </c>
      <c r="E234" s="3" t="inlineStr">
        <is>
          <t>Establish a basic owner and inventory for contract manufacturing capacity, quality, continuity, security and compliance. Define minimum policy, evidence location and immediate crisis relevance.</t>
        </is>
      </c>
      <c r="F234" s="3" t="inlineStr">
        <is>
          <t>Document contract manufacturing capacity, quality, continuity, security and compliance, assign RACI, define minimum controls/KPIs and collect evidence across the main business units or sites.</t>
        </is>
      </c>
      <c r="G234" s="3" t="inlineStr">
        <is>
          <t>Standardize contract manufacturing capacity, quality, continuity, security and compliance across the organization, close coverage gaps, link it to crisis scenarios and train accountable roles.</t>
        </is>
      </c>
      <c r="H234" s="3" t="inlineStr">
        <is>
          <t>Measure contract manufacturing capacity, quality, continuity, security and compliance, review it periodically, test it against disruption scenarios and integrate it with dependent processes or systems.</t>
        </is>
      </c>
      <c r="I234" s="3" t="inlineStr">
        <is>
          <t>Optimize and automate contract manufacturing capacity, quality, continuity, security and compliance where practical, use leading indicators, run periodic stress tests and update the crisis playbook.</t>
        </is>
      </c>
      <c r="J234" s="3" t="inlineStr">
        <is>
          <t>Maintain maturity for contract manufacturing capacity, quality, continuity, security and compliance. Monitor drift, keep evidence current, benchmark externally and refresh tests after major changes.</t>
        </is>
      </c>
      <c r="K234" s="3" t="inlineStr">
        <is>
          <t>Reduces exposure to Manufacturing disruption; Safety incident; Energy outage; Cyberattack; improves Production footprint maturity, continuity and management visibility.</t>
        </is>
      </c>
      <c r="L234" s="3" t="n">
        <v>5</v>
      </c>
      <c r="M234" s="3" t="n">
        <v>5</v>
      </c>
      <c r="N234" s="3" t="n">
        <v>4</v>
      </c>
      <c r="O234" s="3" t="n">
        <v>3</v>
      </c>
      <c r="P234" s="3" t="n">
        <v>2</v>
      </c>
      <c r="Q234" s="3" t="n">
        <v>1</v>
      </c>
      <c r="R234" s="3" t="inlineStr">
        <is>
          <t>ISO 9001; ISO 45001; ISA-95; IEC 62443; ISO 55001; Lean; Six Sigma; TPM; MES/MOM practices</t>
        </is>
      </c>
      <c r="S234" s="3" t="inlineStr">
        <is>
          <t>Policy/SOP; owner/RACI; system report; dashboard; contracts; test records; incident history; interview evidence related to contract manufacturing capacity, quality, continuity, security and compliance.</t>
        </is>
      </c>
      <c r="T234" s="3" t="inlineStr">
        <is>
          <t>Manufacturing disruption; Safety incident; Energy outage; Cyberattack</t>
        </is>
      </c>
      <c r="U234" s="3" t="inlineStr">
        <is>
          <t>COO / Plant / Manufacturing</t>
        </is>
      </c>
      <c r="V234" s="3" t="inlineStr">
        <is>
          <t>Manufacturing MES!10</t>
        </is>
      </c>
    </row>
    <row r="235" ht="85.5" customHeight="1" s="209">
      <c r="A235" s="3" t="inlineStr">
        <is>
          <t>MANU-007</t>
        </is>
      </c>
      <c r="B235" s="3" t="inlineStr">
        <is>
          <t>Manufacturing MES</t>
        </is>
      </c>
      <c r="C235" s="3" t="inlineStr">
        <is>
          <t>MES and shop floor</t>
        </is>
      </c>
      <c r="D235" s="3" t="inlineStr">
        <is>
          <t>How mature is the organization in managing MES or equivalent shop-floor control for orders, operations, traceability, downtime and quality, including ownership, evidence, metrics, fallback procedures and crisis stress testing?</t>
        </is>
      </c>
      <c r="E235" s="3" t="inlineStr">
        <is>
          <t>Establish a basic owner and inventory for MES or equivalent shop-floor control for orders, operations, traceability, downtime and quality. Define minimum policy, evidence location and immediate crisis relevance.</t>
        </is>
      </c>
      <c r="F235" s="3" t="inlineStr">
        <is>
          <t>Document MES or equivalent shop-floor control for orders, operations, traceability, downtime and quality, assign RACI, define minimum controls/KPIs and collect evidence across the main business units or sites.</t>
        </is>
      </c>
      <c r="G235" s="3" t="inlineStr">
        <is>
          <t>Standardize MES or equivalent shop-floor control for orders, operations, traceability, downtime and quality across the organization, close coverage gaps, link it to crisis scenarios and train accountable roles.</t>
        </is>
      </c>
      <c r="H235" s="3" t="inlineStr">
        <is>
          <t>Measure MES or equivalent shop-floor control for orders, operations, traceability, downtime and quality, review it periodically, test it against disruption scenarios and integrate it with dependent processes or systems.</t>
        </is>
      </c>
      <c r="I235" s="3" t="inlineStr">
        <is>
          <t>Optimize and automate MES or equivalent shop-floor control for orders, operations, traceability, downtime and quality where practical, use leading indicators, run periodic stress tests and update the crisis playbook.</t>
        </is>
      </c>
      <c r="J235" s="3" t="inlineStr">
        <is>
          <t>Maintain maturity for MES or equivalent shop-floor control for orders, operations, traceability, downtime and quality. Monitor drift, keep evidence current, benchmark externally and refresh tests after major changes.</t>
        </is>
      </c>
      <c r="K235" s="3" t="inlineStr">
        <is>
          <t>Reduces exposure to Manufacturing disruption; Safety incident; Energy outage; Cyberattack; improves MES and shop floor maturity, continuity and management visibility.</t>
        </is>
      </c>
      <c r="L235" s="3" t="n">
        <v>5</v>
      </c>
      <c r="M235" s="3" t="n">
        <v>5</v>
      </c>
      <c r="N235" s="3" t="n">
        <v>4</v>
      </c>
      <c r="O235" s="3" t="n">
        <v>3</v>
      </c>
      <c r="P235" s="3" t="n">
        <v>2</v>
      </c>
      <c r="Q235" s="3" t="n">
        <v>1</v>
      </c>
      <c r="R235" s="3" t="inlineStr">
        <is>
          <t>ISO 9001; ISO 45001; ISA-95; IEC 62443; ISO 55001; Lean; Six Sigma; TPM; MES/MOM practices</t>
        </is>
      </c>
      <c r="S235" s="3" t="inlineStr">
        <is>
          <t>Policy/SOP; owner/RACI; system report; dashboard; contracts; test records; incident history; interview evidence related to MES or equivalent shop-floor control for orders, operations, traceability, downtime and quality.</t>
        </is>
      </c>
      <c r="T235" s="3" t="inlineStr">
        <is>
          <t>Manufacturing disruption; Safety incident; Energy outage; Cyberattack</t>
        </is>
      </c>
      <c r="U235" s="3" t="inlineStr">
        <is>
          <t>COO / Plant / Manufacturing</t>
        </is>
      </c>
      <c r="V235" s="3" t="inlineStr">
        <is>
          <t>Manufacturing MES!11</t>
        </is>
      </c>
    </row>
    <row r="236" ht="71.25" customHeight="1" s="209">
      <c r="A236" s="3" t="inlineStr">
        <is>
          <t>MANU-008</t>
        </is>
      </c>
      <c r="B236" s="3" t="inlineStr">
        <is>
          <t>Manufacturing MES</t>
        </is>
      </c>
      <c r="C236" s="3" t="inlineStr">
        <is>
          <t>MES and shop floor</t>
        </is>
      </c>
      <c r="D236" s="3" t="inlineStr">
        <is>
          <t>How mature is the organization in managing MES manual or offline fallback procedures, including ownership, evidence, metrics, fallback procedures and crisis stress testing?</t>
        </is>
      </c>
      <c r="E236" s="3" t="inlineStr">
        <is>
          <t>Establish a basic owner and inventory for MES manual or offline fallback procedures. Define minimum policy, evidence location and immediate crisis relevance.</t>
        </is>
      </c>
      <c r="F236" s="3" t="inlineStr">
        <is>
          <t>Document MES manual or offline fallback procedures, assign RACI, define minimum controls/KPIs and collect evidence across the main business units or sites.</t>
        </is>
      </c>
      <c r="G236" s="3" t="inlineStr">
        <is>
          <t>Standardize MES manual or offline fallback procedures across the organization, close coverage gaps, link it to crisis scenarios and train accountable roles.</t>
        </is>
      </c>
      <c r="H236" s="3" t="inlineStr">
        <is>
          <t>Measure MES manual or offline fallback procedures, review it periodically, test it against disruption scenarios and integrate it with dependent processes or systems.</t>
        </is>
      </c>
      <c r="I236" s="3" t="inlineStr">
        <is>
          <t>Optimize and automate MES manual or offline fallback procedures where practical, use leading indicators, run periodic stress tests and update the crisis playbook.</t>
        </is>
      </c>
      <c r="J236" s="3" t="inlineStr">
        <is>
          <t>Maintain maturity for MES manual or offline fallback procedures. Monitor drift, keep evidence current, benchmark externally and refresh tests after major changes.</t>
        </is>
      </c>
      <c r="K236" s="3" t="inlineStr">
        <is>
          <t>Reduces exposure to Manufacturing disruption; Safety incident; Energy outage; Cyberattack; improves MES and shop floor maturity, continuity and management visibility.</t>
        </is>
      </c>
      <c r="L236" s="3" t="n">
        <v>5</v>
      </c>
      <c r="M236" s="3" t="n">
        <v>5</v>
      </c>
      <c r="N236" s="3" t="n">
        <v>4</v>
      </c>
      <c r="O236" s="3" t="n">
        <v>3</v>
      </c>
      <c r="P236" s="3" t="n">
        <v>2</v>
      </c>
      <c r="Q236" s="3" t="n">
        <v>1</v>
      </c>
      <c r="R236" s="3" t="inlineStr">
        <is>
          <t>ISO 9001; ISO 45001; ISA-95; IEC 62443; ISO 55001; Lean; Six Sigma; TPM; MES/MOM practices</t>
        </is>
      </c>
      <c r="S236" s="3" t="inlineStr">
        <is>
          <t>Policy/SOP; owner/RACI; system report; dashboard; contracts; test records; incident history; interview evidence related to MES manual or offline fallback procedures.</t>
        </is>
      </c>
      <c r="T236" s="3" t="inlineStr">
        <is>
          <t>Manufacturing disruption; Safety incident; Energy outage; Cyberattack</t>
        </is>
      </c>
      <c r="U236" s="3" t="inlineStr">
        <is>
          <t>COO / Plant / Manufacturing</t>
        </is>
      </c>
      <c r="V236" s="3" t="inlineStr">
        <is>
          <t>Manufacturing MES!12</t>
        </is>
      </c>
    </row>
    <row r="237" ht="85.5" customHeight="1" s="209">
      <c r="A237" s="3" t="inlineStr">
        <is>
          <t>MANU-009</t>
        </is>
      </c>
      <c r="B237" s="3" t="inlineStr">
        <is>
          <t>Manufacturing MES</t>
        </is>
      </c>
      <c r="C237" s="3" t="inlineStr">
        <is>
          <t>MES and shop floor</t>
        </is>
      </c>
      <c r="D237" s="3" t="inlineStr">
        <is>
          <t>How mature is the organization in managing ERP-MES-MRP-WMS-quality-maintenance integration and reconciliation, including ownership, evidence, metrics, fallback procedures and crisis stress testing?</t>
        </is>
      </c>
      <c r="E237" s="3" t="inlineStr">
        <is>
          <t>Establish a basic owner and inventory for ERP-MES-MRP-WMS-quality-maintenance integration and reconciliation. Define minimum policy, evidence location and immediate crisis relevance.</t>
        </is>
      </c>
      <c r="F237" s="3" t="inlineStr">
        <is>
          <t>Document ERP-MES-MRP-WMS-quality-maintenance integration and reconciliation, assign RACI, define minimum controls/KPIs and collect evidence across the main business units or sites.</t>
        </is>
      </c>
      <c r="G237" s="3" t="inlineStr">
        <is>
          <t>Standardize ERP-MES-MRP-WMS-quality-maintenance integration and reconciliation across the organization, close coverage gaps, link it to crisis scenarios and train accountable roles.</t>
        </is>
      </c>
      <c r="H237" s="3" t="inlineStr">
        <is>
          <t>Measure ERP-MES-MRP-WMS-quality-maintenance integration and reconciliation, review it periodically, test it against disruption scenarios and integrate it with dependent processes or systems.</t>
        </is>
      </c>
      <c r="I237" s="3" t="inlineStr">
        <is>
          <t>Optimize and automate ERP-MES-MRP-WMS-quality-maintenance integration and reconciliation where practical, use leading indicators, run periodic stress tests and update the crisis playbook.</t>
        </is>
      </c>
      <c r="J237" s="3" t="inlineStr">
        <is>
          <t>Maintain maturity for ERP-MES-MRP-WMS-quality-maintenance integration and reconciliation. Monitor drift, keep evidence current, benchmark externally and refresh tests after major changes.</t>
        </is>
      </c>
      <c r="K237" s="3" t="inlineStr">
        <is>
          <t>Reduces exposure to Manufacturing disruption; Safety incident; Energy outage; Cyberattack; improves MES and shop floor maturity, continuity and management visibility.</t>
        </is>
      </c>
      <c r="L237" s="3" t="n">
        <v>5</v>
      </c>
      <c r="M237" s="3" t="n">
        <v>5</v>
      </c>
      <c r="N237" s="3" t="n">
        <v>4</v>
      </c>
      <c r="O237" s="3" t="n">
        <v>3</v>
      </c>
      <c r="P237" s="3" t="n">
        <v>2</v>
      </c>
      <c r="Q237" s="3" t="n">
        <v>1</v>
      </c>
      <c r="R237" s="3" t="inlineStr">
        <is>
          <t>ISO 9001; ISO 45001; ISA-95; IEC 62443; ISO 55001; Lean; Six Sigma; TPM; MES/MOM practices</t>
        </is>
      </c>
      <c r="S237" s="3" t="inlineStr">
        <is>
          <t>Policy/SOP; owner/RACI; system report; dashboard; contracts; test records; incident history; interview evidence related to ERP-MES-MRP-WMS-quality-maintenance integration and reconciliation.</t>
        </is>
      </c>
      <c r="T237" s="3" t="inlineStr">
        <is>
          <t>Manufacturing disruption; Safety incident; Energy outage; Cyberattack</t>
        </is>
      </c>
      <c r="U237" s="3" t="inlineStr">
        <is>
          <t>COO / Plant / Manufacturing</t>
        </is>
      </c>
      <c r="V237" s="3" t="inlineStr">
        <is>
          <t>Manufacturing MES!13</t>
        </is>
      </c>
    </row>
    <row r="238" ht="85.5" customHeight="1" s="209">
      <c r="A238" s="3" t="inlineStr">
        <is>
          <t>MANU-010</t>
        </is>
      </c>
      <c r="B238" s="3" t="inlineStr">
        <is>
          <t>Manufacturing MES</t>
        </is>
      </c>
      <c r="C238" s="3" t="inlineStr">
        <is>
          <t>MES and shop floor</t>
        </is>
      </c>
      <c r="D238" s="3" t="inlineStr">
        <is>
          <t>How mature is the organization in managing machine data collection for states, output, downtime, cycle time, defects and energy, including ownership, evidence, metrics, fallback procedures and crisis stress testing?</t>
        </is>
      </c>
      <c r="E238" s="3" t="inlineStr">
        <is>
          <t>Establish a basic owner and inventory for machine data collection for states, output, downtime, cycle time, defects and energy. Define minimum policy, evidence location and immediate crisis relevance.</t>
        </is>
      </c>
      <c r="F238" s="3" t="inlineStr">
        <is>
          <t>Document machine data collection for states, output, downtime, cycle time, defects and energy, assign RACI, define minimum controls/KPIs and collect evidence across the main business units or sites.</t>
        </is>
      </c>
      <c r="G238" s="3" t="inlineStr">
        <is>
          <t>Standardize machine data collection for states, output, downtime, cycle time, defects and energy across the organization, close coverage gaps, link it to crisis scenarios and train accountable roles.</t>
        </is>
      </c>
      <c r="H238" s="3" t="inlineStr">
        <is>
          <t>Measure machine data collection for states, output, downtime, cycle time, defects and energy, review it periodically, test it against disruption scenarios and integrate it with dependent processes or systems.</t>
        </is>
      </c>
      <c r="I238" s="3" t="inlineStr">
        <is>
          <t>Optimize and automate machine data collection for states, output, downtime, cycle time, defects and energy where practical, use leading indicators, run periodic stress tests and update the crisis playbook.</t>
        </is>
      </c>
      <c r="J238" s="3" t="inlineStr">
        <is>
          <t>Maintain maturity for machine data collection for states, output, downtime, cycle time, defects and energy. Monitor drift, keep evidence current, benchmark externally and refresh tests after major changes.</t>
        </is>
      </c>
      <c r="K238" s="3" t="inlineStr">
        <is>
          <t>Reduces exposure to Manufacturing disruption; Safety incident; Energy outage; Cyberattack; improves MES and shop floor maturity, continuity and management visibility.</t>
        </is>
      </c>
      <c r="L238" s="3" t="n">
        <v>5</v>
      </c>
      <c r="M238" s="3" t="n">
        <v>5</v>
      </c>
      <c r="N238" s="3" t="n">
        <v>4</v>
      </c>
      <c r="O238" s="3" t="n">
        <v>3</v>
      </c>
      <c r="P238" s="3" t="n">
        <v>2</v>
      </c>
      <c r="Q238" s="3" t="n">
        <v>1</v>
      </c>
      <c r="R238" s="3" t="inlineStr">
        <is>
          <t>ISO 9001; ISO 45001; ISA-95; IEC 62443; ISO 55001; Lean; Six Sigma; TPM; MES/MOM practices</t>
        </is>
      </c>
      <c r="S238" s="3" t="inlineStr">
        <is>
          <t>Policy/SOP; owner/RACI; system report; dashboard; contracts; test records; incident history; interview evidence related to machine data collection for states, output, downtime, cycle time, defects and energy.</t>
        </is>
      </c>
      <c r="T238" s="3" t="inlineStr">
        <is>
          <t>Manufacturing disruption; Safety incident; Energy outage; Cyberattack</t>
        </is>
      </c>
      <c r="U238" s="3" t="inlineStr">
        <is>
          <t>COO / Plant / Manufacturing</t>
        </is>
      </c>
      <c r="V238" s="3" t="inlineStr">
        <is>
          <t>Manufacturing MES!14</t>
        </is>
      </c>
    </row>
    <row r="239" ht="71.25" customHeight="1" s="209">
      <c r="A239" s="3" t="inlineStr">
        <is>
          <t>MANU-011</t>
        </is>
      </c>
      <c r="B239" s="3" t="inlineStr">
        <is>
          <t>Manufacturing MES</t>
        </is>
      </c>
      <c r="C239" s="3" t="inlineStr">
        <is>
          <t>MES and shop floor</t>
        </is>
      </c>
      <c r="D239" s="3" t="inlineStr">
        <is>
          <t>How mature is the organization in managing OEE, downtime reasons, microstops, rejects and performance loss analysis, including ownership, evidence, metrics, fallback procedures and crisis stress testing?</t>
        </is>
      </c>
      <c r="E239" s="3" t="inlineStr">
        <is>
          <t>Establish a basic owner and inventory for OEE, downtime reasons, microstops, rejects and performance loss analysis. Define minimum policy, evidence location and immediate crisis relevance.</t>
        </is>
      </c>
      <c r="F239" s="3" t="inlineStr">
        <is>
          <t>Document OEE, downtime reasons, microstops, rejects and performance loss analysis, assign RACI, define minimum controls/KPIs and collect evidence across the main business units or sites.</t>
        </is>
      </c>
      <c r="G239" s="3" t="inlineStr">
        <is>
          <t>Standardize OEE, downtime reasons, microstops, rejects and performance loss analysis across the organization, close coverage gaps, link it to crisis scenarios and train accountable roles.</t>
        </is>
      </c>
      <c r="H239" s="3" t="inlineStr">
        <is>
          <t>Measure OEE, downtime reasons, microstops, rejects and performance loss analysis, review it periodically, test it against disruption scenarios and integrate it with dependent processes or systems.</t>
        </is>
      </c>
      <c r="I239" s="3" t="inlineStr">
        <is>
          <t>Optimize and automate OEE, downtime reasons, microstops, rejects and performance loss analysis where practical, use leading indicators, run periodic stress tests and update the crisis playbook.</t>
        </is>
      </c>
      <c r="J239" s="3" t="inlineStr">
        <is>
          <t>Maintain maturity for OEE, downtime reasons, microstops, rejects and performance loss analysis. Monitor drift, keep evidence current, benchmark externally and refresh tests after major changes.</t>
        </is>
      </c>
      <c r="K239" s="3" t="inlineStr">
        <is>
          <t>Reduces exposure to Manufacturing disruption; Safety incident; Energy outage; Cyberattack; improves MES and shop floor maturity, continuity and management visibility.</t>
        </is>
      </c>
      <c r="L239" s="3" t="n">
        <v>5</v>
      </c>
      <c r="M239" s="3" t="n">
        <v>5</v>
      </c>
      <c r="N239" s="3" t="n">
        <v>4</v>
      </c>
      <c r="O239" s="3" t="n">
        <v>3</v>
      </c>
      <c r="P239" s="3" t="n">
        <v>2</v>
      </c>
      <c r="Q239" s="3" t="n">
        <v>1</v>
      </c>
      <c r="R239" s="3" t="inlineStr">
        <is>
          <t>ISO 9001; ISO 45001; ISA-95; IEC 62443; ISO 55001; Lean; Six Sigma; TPM; MES/MOM practices</t>
        </is>
      </c>
      <c r="S239" s="3" t="inlineStr">
        <is>
          <t>Policy/SOP; owner/RACI; system report; dashboard; contracts; test records; incident history; interview evidence related to OEE, downtime reasons, microstops, rejects and performance loss analysis.</t>
        </is>
      </c>
      <c r="T239" s="3" t="inlineStr">
        <is>
          <t>Manufacturing disruption; Safety incident; Energy outage; Cyberattack</t>
        </is>
      </c>
      <c r="U239" s="3" t="inlineStr">
        <is>
          <t>COO / Plant / Manufacturing</t>
        </is>
      </c>
      <c r="V239" s="3" t="inlineStr">
        <is>
          <t>Manufacturing MES!15</t>
        </is>
      </c>
    </row>
    <row r="240" ht="85.5" customHeight="1" s="209">
      <c r="A240" s="3" t="inlineStr">
        <is>
          <t>MANU-012</t>
        </is>
      </c>
      <c r="B240" s="3" t="inlineStr">
        <is>
          <t>Manufacturing MES</t>
        </is>
      </c>
      <c r="C240" s="3" t="inlineStr">
        <is>
          <t>MES and shop floor</t>
        </is>
      </c>
      <c r="D240" s="3" t="inlineStr">
        <is>
          <t>How mature is the organization in managing production data standards, reason codes and master data across lines and sites, including ownership, evidence, metrics, fallback procedures and crisis stress testing?</t>
        </is>
      </c>
      <c r="E240" s="3" t="inlineStr">
        <is>
          <t>Establish a basic owner and inventory for production data standards, reason codes and master data across lines and sites. Define minimum policy, evidence location and immediate crisis relevance.</t>
        </is>
      </c>
      <c r="F240" s="3" t="inlineStr">
        <is>
          <t>Document production data standards, reason codes and master data across lines and sites, assign RACI, define minimum controls/KPIs and collect evidence across the main business units or sites.</t>
        </is>
      </c>
      <c r="G240" s="3" t="inlineStr">
        <is>
          <t>Standardize production data standards, reason codes and master data across lines and sites across the organization, close coverage gaps, link it to crisis scenarios and train accountable roles.</t>
        </is>
      </c>
      <c r="H240" s="3" t="inlineStr">
        <is>
          <t>Measure production data standards, reason codes and master data across lines and sites, review it periodically, test it against disruption scenarios and integrate it with dependent processes or systems.</t>
        </is>
      </c>
      <c r="I240" s="3" t="inlineStr">
        <is>
          <t>Optimize and automate production data standards, reason codes and master data across lines and sites where practical, use leading indicators, run periodic stress tests and update the crisis playbook.</t>
        </is>
      </c>
      <c r="J240" s="3" t="inlineStr">
        <is>
          <t>Maintain maturity for production data standards, reason codes and master data across lines and sites. Monitor drift, keep evidence current, benchmark externally and refresh tests after major changes.</t>
        </is>
      </c>
      <c r="K240" s="3" t="inlineStr">
        <is>
          <t>Reduces exposure to Manufacturing disruption; Safety incident; Energy outage; Cyberattack; improves MES and shop floor maturity, continuity and management visibility.</t>
        </is>
      </c>
      <c r="L240" s="3" t="n">
        <v>5</v>
      </c>
      <c r="M240" s="3" t="n">
        <v>5</v>
      </c>
      <c r="N240" s="3" t="n">
        <v>4</v>
      </c>
      <c r="O240" s="3" t="n">
        <v>3</v>
      </c>
      <c r="P240" s="3" t="n">
        <v>2</v>
      </c>
      <c r="Q240" s="3" t="n">
        <v>1</v>
      </c>
      <c r="R240" s="3" t="inlineStr">
        <is>
          <t>ISO 9001; ISO 45001; ISA-95; IEC 62443; ISO 55001; Lean; Six Sigma; TPM; MES/MOM practices</t>
        </is>
      </c>
      <c r="S240" s="3" t="inlineStr">
        <is>
          <t>Policy/SOP; owner/RACI; system report; dashboard; contracts; test records; incident history; interview evidence related to production data standards, reason codes and master data across lines and sites.</t>
        </is>
      </c>
      <c r="T240" s="3" t="inlineStr">
        <is>
          <t>Manufacturing disruption; Safety incident; Energy outage; Cyberattack</t>
        </is>
      </c>
      <c r="U240" s="3" t="inlineStr">
        <is>
          <t>COO / Plant / Manufacturing</t>
        </is>
      </c>
      <c r="V240" s="3" t="inlineStr">
        <is>
          <t>Manufacturing MES!16</t>
        </is>
      </c>
    </row>
    <row r="241" ht="85.5" customHeight="1" s="209">
      <c r="A241" s="3" t="inlineStr">
        <is>
          <t>MANU-013</t>
        </is>
      </c>
      <c r="B241" s="3" t="inlineStr">
        <is>
          <t>Manufacturing MES</t>
        </is>
      </c>
      <c r="C241" s="3" t="inlineStr">
        <is>
          <t>Maintenance and assets</t>
        </is>
      </c>
      <c r="D241" s="3" t="inlineStr">
        <is>
          <t>How mature is the organization in managing preventive maintenance based on criticality, manufacturer requirements and failure history, including ownership, evidence, metrics, fallback procedures and crisis stress testing?</t>
        </is>
      </c>
      <c r="E241" s="3" t="inlineStr">
        <is>
          <t>Establish a basic owner and inventory for preventive maintenance based on criticality, manufacturer requirements and failure history. Define minimum policy, evidence location and immediate crisis relevance.</t>
        </is>
      </c>
      <c r="F241" s="3" t="inlineStr">
        <is>
          <t>Document preventive maintenance based on criticality, manufacturer requirements and failure history, assign RACI, define minimum controls/KPIs and collect evidence across the main business units or sites.</t>
        </is>
      </c>
      <c r="G241" s="3" t="inlineStr">
        <is>
          <t>Standardize preventive maintenance based on criticality, manufacturer requirements and failure history across the organization, close coverage gaps, link it to crisis scenarios and train accountable roles.</t>
        </is>
      </c>
      <c r="H241" s="3" t="inlineStr">
        <is>
          <t>Measure preventive maintenance based on criticality, manufacturer requirements and failure history, review it periodically, test it against disruption scenarios and integrate it with dependent processes or systems.</t>
        </is>
      </c>
      <c r="I241" s="3" t="inlineStr">
        <is>
          <t>Optimize and automate preventive maintenance based on criticality, manufacturer requirements and failure history where practical, use leading indicators, run periodic stress tests and update the crisis playbook.</t>
        </is>
      </c>
      <c r="J241" s="3" t="inlineStr">
        <is>
          <t>Maintain maturity for preventive maintenance based on criticality, manufacturer requirements and failure history. Monitor drift, keep evidence current, benchmark externally and refresh tests after major changes.</t>
        </is>
      </c>
      <c r="K241" s="3" t="inlineStr">
        <is>
          <t>Reduces exposure to Manufacturing disruption; Safety incident; Energy outage; Cyberattack; improves Maintenance and assets maturity, continuity and management visibility.</t>
        </is>
      </c>
      <c r="L241" s="3" t="n">
        <v>5</v>
      </c>
      <c r="M241" s="3" t="n">
        <v>5</v>
      </c>
      <c r="N241" s="3" t="n">
        <v>4</v>
      </c>
      <c r="O241" s="3" t="n">
        <v>3</v>
      </c>
      <c r="P241" s="3" t="n">
        <v>2</v>
      </c>
      <c r="Q241" s="3" t="n">
        <v>1</v>
      </c>
      <c r="R241" s="3" t="inlineStr">
        <is>
          <t>ISO 9001; ISO 45001; ISA-95; IEC 62443; ISO 55001; Lean; Six Sigma; TPM; MES/MOM practices</t>
        </is>
      </c>
      <c r="S241" s="3" t="inlineStr">
        <is>
          <t>Policy/SOP; owner/RACI; system report; dashboard; contracts; test records; incident history; interview evidence related to preventive maintenance based on criticality, manufacturer requirements and failure history.</t>
        </is>
      </c>
      <c r="T241" s="3" t="inlineStr">
        <is>
          <t>Manufacturing disruption; Safety incident; Energy outage; Cyberattack</t>
        </is>
      </c>
      <c r="U241" s="3" t="inlineStr">
        <is>
          <t>COO / Plant / Manufacturing</t>
        </is>
      </c>
      <c r="V241" s="3" t="inlineStr">
        <is>
          <t>Manufacturing MES!17</t>
        </is>
      </c>
    </row>
    <row r="242" ht="85.5" customHeight="1" s="209">
      <c r="A242" s="3" t="inlineStr">
        <is>
          <t>MANU-014</t>
        </is>
      </c>
      <c r="B242" s="3" t="inlineStr">
        <is>
          <t>Manufacturing MES</t>
        </is>
      </c>
      <c r="C242" s="3" t="inlineStr">
        <is>
          <t>Maintenance and assets</t>
        </is>
      </c>
      <c r="D242" s="3" t="inlineStr">
        <is>
          <t>How mature is the organization in managing critical spare parts identification, stocking or sourcing with acceptable lead times, including ownership, evidence, metrics, fallback procedures and crisis stress testing?</t>
        </is>
      </c>
      <c r="E242" s="3" t="inlineStr">
        <is>
          <t>Establish a basic owner and inventory for critical spare parts identification, stocking or sourcing with acceptable lead times. Define minimum policy, evidence location and immediate crisis relevance.</t>
        </is>
      </c>
      <c r="F242" s="3" t="inlineStr">
        <is>
          <t>Document critical spare parts identification, stocking or sourcing with acceptable lead times, assign RACI, define minimum controls/KPIs and collect evidence across the main business units or sites.</t>
        </is>
      </c>
      <c r="G242" s="3" t="inlineStr">
        <is>
          <t>Standardize critical spare parts identification, stocking or sourcing with acceptable lead times across the organization, close coverage gaps, link it to crisis scenarios and train accountable roles.</t>
        </is>
      </c>
      <c r="H242" s="3" t="inlineStr">
        <is>
          <t>Measure critical spare parts identification, stocking or sourcing with acceptable lead times, review it periodically, test it against disruption scenarios and integrate it with dependent processes or systems.</t>
        </is>
      </c>
      <c r="I242" s="3" t="inlineStr">
        <is>
          <t>Optimize and automate critical spare parts identification, stocking or sourcing with acceptable lead times where practical, use leading indicators, run periodic stress tests and update the crisis playbook.</t>
        </is>
      </c>
      <c r="J242" s="3" t="inlineStr">
        <is>
          <t>Maintain maturity for critical spare parts identification, stocking or sourcing with acceptable lead times. Monitor drift, keep evidence current, benchmark externally and refresh tests after major changes.</t>
        </is>
      </c>
      <c r="K242" s="3" t="inlineStr">
        <is>
          <t>Reduces exposure to Manufacturing disruption; Safety incident; Energy outage; Cyberattack; improves Maintenance and assets maturity, continuity and management visibility.</t>
        </is>
      </c>
      <c r="L242" s="3" t="n">
        <v>5</v>
      </c>
      <c r="M242" s="3" t="n">
        <v>5</v>
      </c>
      <c r="N242" s="3" t="n">
        <v>4</v>
      </c>
      <c r="O242" s="3" t="n">
        <v>3</v>
      </c>
      <c r="P242" s="3" t="n">
        <v>2</v>
      </c>
      <c r="Q242" s="3" t="n">
        <v>1</v>
      </c>
      <c r="R242" s="3" t="inlineStr">
        <is>
          <t>ISO 9001; ISO 45001; ISA-95; IEC 62443; ISO 55001; Lean; Six Sigma; TPM; MES/MOM practices</t>
        </is>
      </c>
      <c r="S242" s="3" t="inlineStr">
        <is>
          <t>Policy/SOP; owner/RACI; system report; dashboard; contracts; test records; incident history; interview evidence related to critical spare parts identification, stocking or sourcing with acceptable lead times.</t>
        </is>
      </c>
      <c r="T242" s="3" t="inlineStr">
        <is>
          <t>Manufacturing disruption; Safety incident; Energy outage; Cyberattack</t>
        </is>
      </c>
      <c r="U242" s="3" t="inlineStr">
        <is>
          <t>COO / Plant / Manufacturing</t>
        </is>
      </c>
      <c r="V242" s="3" t="inlineStr">
        <is>
          <t>Manufacturing MES!18</t>
        </is>
      </c>
    </row>
    <row r="243" ht="85.5" customHeight="1" s="209">
      <c r="A243" s="3" t="inlineStr">
        <is>
          <t>MANU-015</t>
        </is>
      </c>
      <c r="B243" s="3" t="inlineStr">
        <is>
          <t>Manufacturing MES</t>
        </is>
      </c>
      <c r="C243" s="3" t="inlineStr">
        <is>
          <t>Maintenance and assets</t>
        </is>
      </c>
      <c r="D243" s="3" t="inlineStr">
        <is>
          <t>How mature is the organization in managing predictive or condition-based maintenance for critical assets where economically justified, including ownership, evidence, metrics, fallback procedures and crisis stress testing?</t>
        </is>
      </c>
      <c r="E243" s="3" t="inlineStr">
        <is>
          <t>Establish a basic owner and inventory for predictive or condition-based maintenance for critical assets where economically justified. Define minimum policy, evidence location and immediate crisis relevance.</t>
        </is>
      </c>
      <c r="F243" s="3" t="inlineStr">
        <is>
          <t>Document predictive or condition-based maintenance for critical assets where economically justified, assign RACI, define minimum controls/KPIs and collect evidence across the main business units or sites.</t>
        </is>
      </c>
      <c r="G243" s="3" t="inlineStr">
        <is>
          <t>Standardize predictive or condition-based maintenance for critical assets where economically justified across the organization, close coverage gaps, link it to crisis scenarios and train accountable roles.</t>
        </is>
      </c>
      <c r="H243" s="3" t="inlineStr">
        <is>
          <t>Measure predictive or condition-based maintenance for critical assets where economically justified, review it periodically, test it against disruption scenarios and integrate it with dependent processes or systems.</t>
        </is>
      </c>
      <c r="I243" s="3" t="inlineStr">
        <is>
          <t>Optimize and automate predictive or condition-based maintenance for critical assets where economically justified where practical, use leading indicators, run periodic stress tests and update the crisis playbook.</t>
        </is>
      </c>
      <c r="J243" s="3" t="inlineStr">
        <is>
          <t>Maintain maturity for predictive or condition-based maintenance for critical assets where economically justified. Monitor drift, keep evidence current, benchmark externally and refresh tests after major changes.</t>
        </is>
      </c>
      <c r="K243" s="3" t="inlineStr">
        <is>
          <t>Reduces exposure to Manufacturing disruption; Safety incident; Energy outage; Cyberattack; improves Maintenance and assets maturity, continuity and management visibility.</t>
        </is>
      </c>
      <c r="L243" s="3" t="n">
        <v>5</v>
      </c>
      <c r="M243" s="3" t="n">
        <v>5</v>
      </c>
      <c r="N243" s="3" t="n">
        <v>4</v>
      </c>
      <c r="O243" s="3" t="n">
        <v>3</v>
      </c>
      <c r="P243" s="3" t="n">
        <v>2</v>
      </c>
      <c r="Q243" s="3" t="n">
        <v>1</v>
      </c>
      <c r="R243" s="3" t="inlineStr">
        <is>
          <t>ISO 9001; ISO 45001; ISA-95; IEC 62443; ISO 55001; Lean; Six Sigma; TPM; MES/MOM practices</t>
        </is>
      </c>
      <c r="S243" s="3" t="inlineStr">
        <is>
          <t>Policy/SOP; owner/RACI; system report; dashboard; contracts; test records; incident history; interview evidence related to predictive or condition-based maintenance for critical assets where economically justified.</t>
        </is>
      </c>
      <c r="T243" s="3" t="inlineStr">
        <is>
          <t>Manufacturing disruption; Safety incident; Energy outage; Cyberattack</t>
        </is>
      </c>
      <c r="U243" s="3" t="inlineStr">
        <is>
          <t>COO / Plant / Manufacturing</t>
        </is>
      </c>
      <c r="V243" s="3" t="inlineStr">
        <is>
          <t>Manufacturing MES!19</t>
        </is>
      </c>
    </row>
    <row r="244" ht="85.5" customHeight="1" s="209">
      <c r="A244" s="3" t="inlineStr">
        <is>
          <t>MANU-016</t>
        </is>
      </c>
      <c r="B244" s="3" t="inlineStr">
        <is>
          <t>Manufacturing MES</t>
        </is>
      </c>
      <c r="C244" s="3" t="inlineStr">
        <is>
          <t>Maintenance and assets</t>
        </is>
      </c>
      <c r="D244" s="3" t="inlineStr">
        <is>
          <t>How mature is the organization in managing utility dependency map for electricity, gas, water, compressed air, HVAC and other utilities, including ownership, evidence, metrics, fallback procedures and crisis stress testing?</t>
        </is>
      </c>
      <c r="E244" s="3" t="inlineStr">
        <is>
          <t>Establish a basic owner and inventory for utility dependency map for electricity, gas, water, compressed air, HVAC and other utilities. Define minimum policy, evidence location and immediate crisis relevance.</t>
        </is>
      </c>
      <c r="F244" s="3" t="inlineStr">
        <is>
          <t>Document utility dependency map for electricity, gas, water, compressed air, HVAC and other utilities, assign RACI, define minimum controls/KPIs and collect evidence across the main business units or sites.</t>
        </is>
      </c>
      <c r="G244" s="3" t="inlineStr">
        <is>
          <t>Standardize utility dependency map for electricity, gas, water, compressed air, HVAC and other utilities across the organization, close coverage gaps, link it to crisis scenarios and train accountable roles.</t>
        </is>
      </c>
      <c r="H244" s="3" t="inlineStr">
        <is>
          <t>Measure utility dependency map for electricity, gas, water, compressed air, HVAC and other utilities, review it periodically, test it against disruption scenarios and integrate it with dependent processes or systems.</t>
        </is>
      </c>
      <c r="I244" s="3" t="inlineStr">
        <is>
          <t>Optimize and automate utility dependency map for electricity, gas, water, compressed air, HVAC and other utilities where practical, use leading indicators, run periodic stress tests and update the crisis playbook.</t>
        </is>
      </c>
      <c r="J244" s="3" t="inlineStr">
        <is>
          <t>Maintain maturity for utility dependency map for electricity, gas, water, compressed air, HVAC and other utilities. Monitor drift, keep evidence current, benchmark externally and refresh tests after major changes.</t>
        </is>
      </c>
      <c r="K244" s="3" t="inlineStr">
        <is>
          <t>Reduces exposure to Manufacturing disruption; Safety incident; Energy outage; Cyberattack; improves Maintenance and assets maturity, continuity and management visibility.</t>
        </is>
      </c>
      <c r="L244" s="3" t="n">
        <v>5</v>
      </c>
      <c r="M244" s="3" t="n">
        <v>5</v>
      </c>
      <c r="N244" s="3" t="n">
        <v>4</v>
      </c>
      <c r="O244" s="3" t="n">
        <v>3</v>
      </c>
      <c r="P244" s="3" t="n">
        <v>2</v>
      </c>
      <c r="Q244" s="3" t="n">
        <v>1</v>
      </c>
      <c r="R244" s="3" t="inlineStr">
        <is>
          <t>ISO 9001; ISO 45001; ISA-95; IEC 62443; ISO 55001; Lean; Six Sigma; TPM; MES/MOM practices</t>
        </is>
      </c>
      <c r="S244" s="3" t="inlineStr">
        <is>
          <t>Policy/SOP; owner/RACI; system report; dashboard; contracts; test records; incident history; interview evidence related to utility dependency map for electricity, gas, water, compressed air, HVAC and other utilities.</t>
        </is>
      </c>
      <c r="T244" s="3" t="inlineStr">
        <is>
          <t>Manufacturing disruption; Safety incident; Energy outage; Cyberattack</t>
        </is>
      </c>
      <c r="U244" s="3" t="inlineStr">
        <is>
          <t>COO / Plant / Manufacturing</t>
        </is>
      </c>
      <c r="V244" s="3" t="inlineStr">
        <is>
          <t>Manufacturing MES!20</t>
        </is>
      </c>
    </row>
    <row r="245" ht="71.25" customHeight="1" s="209">
      <c r="A245" s="3" t="inlineStr">
        <is>
          <t>MANU-017</t>
        </is>
      </c>
      <c r="B245" s="3" t="inlineStr">
        <is>
          <t>Manufacturing MES</t>
        </is>
      </c>
      <c r="C245" s="3" t="inlineStr">
        <is>
          <t>Maintenance and assets</t>
        </is>
      </c>
      <c r="D245" s="3" t="inlineStr">
        <is>
          <t>How mature is the organization in managing backup utility options for critical production processes, including ownership, evidence, metrics, fallback procedures and crisis stress testing?</t>
        </is>
      </c>
      <c r="E245" s="3" t="inlineStr">
        <is>
          <t>Establish a basic owner and inventory for backup utility options for critical production processes. Define minimum policy, evidence location and immediate crisis relevance.</t>
        </is>
      </c>
      <c r="F245" s="3" t="inlineStr">
        <is>
          <t>Document backup utility options for critical production processes, assign RACI, define minimum controls/KPIs and collect evidence across the main business units or sites.</t>
        </is>
      </c>
      <c r="G245" s="3" t="inlineStr">
        <is>
          <t>Standardize backup utility options for critical production processes across the organization, close coverage gaps, link it to crisis scenarios and train accountable roles.</t>
        </is>
      </c>
      <c r="H245" s="3" t="inlineStr">
        <is>
          <t>Measure backup utility options for critical production processes, review it periodically, test it against disruption scenarios and integrate it with dependent processes or systems.</t>
        </is>
      </c>
      <c r="I245" s="3" t="inlineStr">
        <is>
          <t>Optimize and automate backup utility options for critical production processes where practical, use leading indicators, run periodic stress tests and update the crisis playbook.</t>
        </is>
      </c>
      <c r="J245" s="3" t="inlineStr">
        <is>
          <t>Maintain maturity for backup utility options for critical production processes. Monitor drift, keep evidence current, benchmark externally and refresh tests after major changes.</t>
        </is>
      </c>
      <c r="K245" s="3" t="inlineStr">
        <is>
          <t>Reduces exposure to Manufacturing disruption; Safety incident; Energy outage; Cyberattack; improves Maintenance and assets maturity, continuity and management visibility.</t>
        </is>
      </c>
      <c r="L245" s="3" t="n">
        <v>5</v>
      </c>
      <c r="M245" s="3" t="n">
        <v>5</v>
      </c>
      <c r="N245" s="3" t="n">
        <v>4</v>
      </c>
      <c r="O245" s="3" t="n">
        <v>3</v>
      </c>
      <c r="P245" s="3" t="n">
        <v>2</v>
      </c>
      <c r="Q245" s="3" t="n">
        <v>1</v>
      </c>
      <c r="R245" s="3" t="inlineStr">
        <is>
          <t>ISO 9001; ISO 45001; ISA-95; IEC 62443; ISO 55001; Lean; Six Sigma; TPM; MES/MOM practices</t>
        </is>
      </c>
      <c r="S245" s="3" t="inlineStr">
        <is>
          <t>Policy/SOP; owner/RACI; system report; dashboard; contracts; test records; incident history; interview evidence related to backup utility options for critical production processes.</t>
        </is>
      </c>
      <c r="T245" s="3" t="inlineStr">
        <is>
          <t>Manufacturing disruption; Safety incident; Energy outage; Cyberattack</t>
        </is>
      </c>
      <c r="U245" s="3" t="inlineStr">
        <is>
          <t>COO / Plant / Manufacturing</t>
        </is>
      </c>
      <c r="V245" s="3" t="inlineStr">
        <is>
          <t>Manufacturing MES!21</t>
        </is>
      </c>
    </row>
    <row r="246" ht="85.5" customHeight="1" s="209">
      <c r="A246" s="3" t="inlineStr">
        <is>
          <t>MANU-018</t>
        </is>
      </c>
      <c r="B246" s="3" t="inlineStr">
        <is>
          <t>Manufacturing MES</t>
        </is>
      </c>
      <c r="C246" s="3" t="inlineStr">
        <is>
          <t>Maintenance and assets</t>
        </is>
      </c>
      <c r="D246" s="3" t="inlineStr">
        <is>
          <t>How mature is the organization in managing asset management for critical production equipment, tooling and calibration, including ownership, evidence, metrics, fallback procedures and crisis stress testing?</t>
        </is>
      </c>
      <c r="E246" s="3" t="inlineStr">
        <is>
          <t>Establish a basic owner and inventory for asset management for critical production equipment, tooling and calibration. Define minimum policy, evidence location and immediate crisis relevance.</t>
        </is>
      </c>
      <c r="F246" s="3" t="inlineStr">
        <is>
          <t>Document asset management for critical production equipment, tooling and calibration, assign RACI, define minimum controls/KPIs and collect evidence across the main business units or sites.</t>
        </is>
      </c>
      <c r="G246" s="3" t="inlineStr">
        <is>
          <t>Standardize asset management for critical production equipment, tooling and calibration across the organization, close coverage gaps, link it to crisis scenarios and train accountable roles.</t>
        </is>
      </c>
      <c r="H246" s="3" t="inlineStr">
        <is>
          <t>Measure asset management for critical production equipment, tooling and calibration, review it periodically, test it against disruption scenarios and integrate it with dependent processes or systems.</t>
        </is>
      </c>
      <c r="I246" s="3" t="inlineStr">
        <is>
          <t>Optimize and automate asset management for critical production equipment, tooling and calibration where practical, use leading indicators, run periodic stress tests and update the crisis playbook.</t>
        </is>
      </c>
      <c r="J246" s="3" t="inlineStr">
        <is>
          <t>Maintain maturity for asset management for critical production equipment, tooling and calibration. Monitor drift, keep evidence current, benchmark externally and refresh tests after major changes.</t>
        </is>
      </c>
      <c r="K246" s="3" t="inlineStr">
        <is>
          <t>Reduces exposure to Manufacturing disruption; Safety incident; Energy outage; Cyberattack; improves Maintenance and assets maturity, continuity and management visibility.</t>
        </is>
      </c>
      <c r="L246" s="3" t="n">
        <v>5</v>
      </c>
      <c r="M246" s="3" t="n">
        <v>5</v>
      </c>
      <c r="N246" s="3" t="n">
        <v>4</v>
      </c>
      <c r="O246" s="3" t="n">
        <v>3</v>
      </c>
      <c r="P246" s="3" t="n">
        <v>2</v>
      </c>
      <c r="Q246" s="3" t="n">
        <v>1</v>
      </c>
      <c r="R246" s="3" t="inlineStr">
        <is>
          <t>ISO 9001; ISO 45001; ISA-95; IEC 62443; ISO 55001; Lean; Six Sigma; TPM; MES/MOM practices</t>
        </is>
      </c>
      <c r="S246" s="3" t="inlineStr">
        <is>
          <t>Policy/SOP; owner/RACI; system report; dashboard; contracts; test records; incident history; interview evidence related to asset management for critical production equipment, tooling and calibration.</t>
        </is>
      </c>
      <c r="T246" s="3" t="inlineStr">
        <is>
          <t>Manufacturing disruption; Safety incident; Energy outage; Cyberattack</t>
        </is>
      </c>
      <c r="U246" s="3" t="inlineStr">
        <is>
          <t>COO / Plant / Manufacturing</t>
        </is>
      </c>
      <c r="V246" s="3" t="inlineStr">
        <is>
          <t>Manufacturing MES!22</t>
        </is>
      </c>
    </row>
    <row r="247" ht="85.5" customHeight="1" s="209">
      <c r="A247" s="3" t="inlineStr">
        <is>
          <t>MANU-019</t>
        </is>
      </c>
      <c r="B247" s="3" t="inlineStr">
        <is>
          <t>Manufacturing MES</t>
        </is>
      </c>
      <c r="C247" s="3" t="inlineStr">
        <is>
          <t>Quality and safety</t>
        </is>
      </c>
      <c r="D247" s="3" t="inlineStr">
        <is>
          <t>How mature is the organization in managing quality controls, inspections, sampling, nonconformance and corrective actions integrated into production, including ownership, evidence, metrics, fallback procedures and crisis stress testing?</t>
        </is>
      </c>
      <c r="E247" s="3" t="inlineStr">
        <is>
          <t>Establish a basic owner and inventory for quality controls, inspections, sampling, nonconformance and corrective actions integrated into production. Define minimum policy, evidence location and immediate crisis relevance.</t>
        </is>
      </c>
      <c r="F247" s="3" t="inlineStr">
        <is>
          <t>Document quality controls, inspections, sampling, nonconformance and corrective actions integrated into production, assign RACI, define minimum controls/KPIs and collect evidence across the main business units or sites.</t>
        </is>
      </c>
      <c r="G247" s="3" t="inlineStr">
        <is>
          <t>Standardize quality controls, inspections, sampling, nonconformance and corrective actions integrated into production across the organization, close coverage gaps, link it to crisis scenarios and train accountable roles.</t>
        </is>
      </c>
      <c r="H247" s="3" t="inlineStr">
        <is>
          <t>Measure quality controls, inspections, sampling, nonconformance and corrective actions integrated into production, review it periodically, test it against disruption scenarios and integrate it with dependent processes or systems.</t>
        </is>
      </c>
      <c r="I247" s="3" t="inlineStr">
        <is>
          <t>Optimize and automate quality controls, inspections, sampling, nonconformance and corrective actions integrated into production where practical, use leading indicators, run periodic stress tests and update the crisis playbook.</t>
        </is>
      </c>
      <c r="J247" s="3" t="inlineStr">
        <is>
          <t>Maintain maturity for quality controls, inspections, sampling, nonconformance and corrective actions integrated into production. Monitor drift, keep evidence current, benchmark externally and refresh tests after major changes.</t>
        </is>
      </c>
      <c r="K247" s="3" t="inlineStr">
        <is>
          <t>Reduces exposure to Manufacturing disruption; Safety incident; Energy outage; Cyberattack; improves Quality and safety maturity, continuity and management visibility.</t>
        </is>
      </c>
      <c r="L247" s="3" t="n">
        <v>5</v>
      </c>
      <c r="M247" s="3" t="n">
        <v>5</v>
      </c>
      <c r="N247" s="3" t="n">
        <v>4</v>
      </c>
      <c r="O247" s="3" t="n">
        <v>3</v>
      </c>
      <c r="P247" s="3" t="n">
        <v>2</v>
      </c>
      <c r="Q247" s="3" t="n">
        <v>1</v>
      </c>
      <c r="R247" s="3" t="inlineStr">
        <is>
          <t>ISO 9001; ISO 45001; ISA-95; IEC 62443; ISO 55001; Lean; Six Sigma; TPM; MES/MOM practices</t>
        </is>
      </c>
      <c r="S247" s="3" t="inlineStr">
        <is>
          <t>Policy/SOP; owner/RACI; system report; dashboard; contracts; test records; incident history; interview evidence related to quality controls, inspections, sampling, nonconformance and corrective actions integrated into production.</t>
        </is>
      </c>
      <c r="T247" s="3" t="inlineStr">
        <is>
          <t>Manufacturing disruption; Safety incident; Energy outage; Cyberattack</t>
        </is>
      </c>
      <c r="U247" s="3" t="inlineStr">
        <is>
          <t>COO / Plant / Manufacturing</t>
        </is>
      </c>
      <c r="V247" s="3" t="inlineStr">
        <is>
          <t>Manufacturing MES!23</t>
        </is>
      </c>
    </row>
    <row r="248" ht="85.5" customHeight="1" s="209">
      <c r="A248" s="3" t="inlineStr">
        <is>
          <t>MANU-020</t>
        </is>
      </c>
      <c r="B248" s="3" t="inlineStr">
        <is>
          <t>Manufacturing MES</t>
        </is>
      </c>
      <c r="C248" s="3" t="inlineStr">
        <is>
          <t>Quality and safety</t>
        </is>
      </c>
      <c r="D248" s="3" t="inlineStr">
        <is>
          <t>How mature is the organization in managing traceability of products, batches, materials, operators and process parameters, including ownership, evidence, metrics, fallback procedures and crisis stress testing?</t>
        </is>
      </c>
      <c r="E248" s="3" t="inlineStr">
        <is>
          <t>Establish a basic owner and inventory for traceability of products, batches, materials, operators and process parameters. Define minimum policy, evidence location and immediate crisis relevance.</t>
        </is>
      </c>
      <c r="F248" s="3" t="inlineStr">
        <is>
          <t>Document traceability of products, batches, materials, operators and process parameters, assign RACI, define minimum controls/KPIs and collect evidence across the main business units or sites.</t>
        </is>
      </c>
      <c r="G248" s="3" t="inlineStr">
        <is>
          <t>Standardize traceability of products, batches, materials, operators and process parameters across the organization, close coverage gaps, link it to crisis scenarios and train accountable roles.</t>
        </is>
      </c>
      <c r="H248" s="3" t="inlineStr">
        <is>
          <t>Measure traceability of products, batches, materials, operators and process parameters, review it periodically, test it against disruption scenarios and integrate it with dependent processes or systems.</t>
        </is>
      </c>
      <c r="I248" s="3" t="inlineStr">
        <is>
          <t>Optimize and automate traceability of products, batches, materials, operators and process parameters where practical, use leading indicators, run periodic stress tests and update the crisis playbook.</t>
        </is>
      </c>
      <c r="J248" s="3" t="inlineStr">
        <is>
          <t>Maintain maturity for traceability of products, batches, materials, operators and process parameters. Monitor drift, keep evidence current, benchmark externally and refresh tests after major changes.</t>
        </is>
      </c>
      <c r="K248" s="3" t="inlineStr">
        <is>
          <t>Reduces exposure to Manufacturing disruption; Safety incident; Energy outage; Cyberattack; improves Quality and safety maturity, continuity and management visibility.</t>
        </is>
      </c>
      <c r="L248" s="3" t="n">
        <v>5</v>
      </c>
      <c r="M248" s="3" t="n">
        <v>5</v>
      </c>
      <c r="N248" s="3" t="n">
        <v>4</v>
      </c>
      <c r="O248" s="3" t="n">
        <v>3</v>
      </c>
      <c r="P248" s="3" t="n">
        <v>2</v>
      </c>
      <c r="Q248" s="3" t="n">
        <v>1</v>
      </c>
      <c r="R248" s="3" t="inlineStr">
        <is>
          <t>ISO 9001; ISO 45001; ISA-95; IEC 62443; ISO 55001; Lean; Six Sigma; TPM; MES/MOM practices</t>
        </is>
      </c>
      <c r="S248" s="3" t="inlineStr">
        <is>
          <t>Policy/SOP; owner/RACI; system report; dashboard; contracts; test records; incident history; interview evidence related to traceability of products, batches, materials, operators and process parameters.</t>
        </is>
      </c>
      <c r="T248" s="3" t="inlineStr">
        <is>
          <t>Manufacturing disruption; Safety incident; Energy outage; Cyberattack</t>
        </is>
      </c>
      <c r="U248" s="3" t="inlineStr">
        <is>
          <t>COO / Plant / Manufacturing</t>
        </is>
      </c>
      <c r="V248" s="3" t="inlineStr">
        <is>
          <t>Manufacturing MES!24</t>
        </is>
      </c>
    </row>
    <row r="249" ht="85.5" customHeight="1" s="209">
      <c r="A249" s="3" t="inlineStr">
        <is>
          <t>MANU-021</t>
        </is>
      </c>
      <c r="B249" s="3" t="inlineStr">
        <is>
          <t>Manufacturing MES</t>
        </is>
      </c>
      <c r="C249" s="3" t="inlineStr">
        <is>
          <t>Quality and safety</t>
        </is>
      </c>
      <c r="D249" s="3" t="inlineStr">
        <is>
          <t>How mature is the organization in managing BOM, routing, recipe and engineering change control synchronized with ERP/MES, including ownership, evidence, metrics, fallback procedures and crisis stress testing?</t>
        </is>
      </c>
      <c r="E249" s="3" t="inlineStr">
        <is>
          <t>Establish a basic owner and inventory for BOM, routing, recipe and engineering change control synchronized with ERP/MES. Define minimum policy, evidence location and immediate crisis relevance.</t>
        </is>
      </c>
      <c r="F249" s="3" t="inlineStr">
        <is>
          <t>Document BOM, routing, recipe and engineering change control synchronized with ERP/MES, assign RACI, define minimum controls/KPIs and collect evidence across the main business units or sites.</t>
        </is>
      </c>
      <c r="G249" s="3" t="inlineStr">
        <is>
          <t>Standardize BOM, routing, recipe and engineering change control synchronized with ERP/MES across the organization, close coverage gaps, link it to crisis scenarios and train accountable roles.</t>
        </is>
      </c>
      <c r="H249" s="3" t="inlineStr">
        <is>
          <t>Measure BOM, routing, recipe and engineering change control synchronized with ERP/MES, review it periodically, test it against disruption scenarios and integrate it with dependent processes or systems.</t>
        </is>
      </c>
      <c r="I249" s="3" t="inlineStr">
        <is>
          <t>Optimize and automate BOM, routing, recipe and engineering change control synchronized with ERP/MES where practical, use leading indicators, run periodic stress tests and update the crisis playbook.</t>
        </is>
      </c>
      <c r="J249" s="3" t="inlineStr">
        <is>
          <t>Maintain maturity for BOM, routing, recipe and engineering change control synchronized with ERP/MES. Monitor drift, keep evidence current, benchmark externally and refresh tests after major changes.</t>
        </is>
      </c>
      <c r="K249" s="3" t="inlineStr">
        <is>
          <t>Reduces exposure to Manufacturing disruption; Safety incident; Energy outage; Cyberattack; improves Quality and safety maturity, continuity and management visibility.</t>
        </is>
      </c>
      <c r="L249" s="3" t="n">
        <v>5</v>
      </c>
      <c r="M249" s="3" t="n">
        <v>5</v>
      </c>
      <c r="N249" s="3" t="n">
        <v>4</v>
      </c>
      <c r="O249" s="3" t="n">
        <v>3</v>
      </c>
      <c r="P249" s="3" t="n">
        <v>2</v>
      </c>
      <c r="Q249" s="3" t="n">
        <v>1</v>
      </c>
      <c r="R249" s="3" t="inlineStr">
        <is>
          <t>ISO 9001; ISO 45001; ISA-95; IEC 62443; ISO 55001; Lean; Six Sigma; TPM; MES/MOM practices</t>
        </is>
      </c>
      <c r="S249" s="3" t="inlineStr">
        <is>
          <t>Policy/SOP; owner/RACI; system report; dashboard; contracts; test records; incident history; interview evidence related to BOM, routing, recipe and engineering change control synchronized with ERP/MES.</t>
        </is>
      </c>
      <c r="T249" s="3" t="inlineStr">
        <is>
          <t>Manufacturing disruption; Safety incident; Energy outage; Cyberattack</t>
        </is>
      </c>
      <c r="U249" s="3" t="inlineStr">
        <is>
          <t>COO / Plant / Manufacturing</t>
        </is>
      </c>
      <c r="V249" s="3" t="inlineStr">
        <is>
          <t>Manufacturing MES!25</t>
        </is>
      </c>
    </row>
    <row r="250" ht="85.5" customHeight="1" s="209">
      <c r="A250" s="3" t="inlineStr">
        <is>
          <t>MANU-022</t>
        </is>
      </c>
      <c r="B250" s="3" t="inlineStr">
        <is>
          <t>Manufacturing MES</t>
        </is>
      </c>
      <c r="C250" s="3" t="inlineStr">
        <is>
          <t>Quality and safety</t>
        </is>
      </c>
      <c r="D250" s="3" t="inlineStr">
        <is>
          <t>How mature is the organization in managing operator training and certification for equipment, safety, quality and emergency procedures, including ownership, evidence, metrics, fallback procedures and crisis stress testing?</t>
        </is>
      </c>
      <c r="E250" s="3" t="inlineStr">
        <is>
          <t>Establish a basic owner and inventory for operator training and certification for equipment, safety, quality and emergency procedures. Define minimum policy, evidence location and immediate crisis relevance.</t>
        </is>
      </c>
      <c r="F250" s="3" t="inlineStr">
        <is>
          <t>Document operator training and certification for equipment, safety, quality and emergency procedures, assign RACI, define minimum controls/KPIs and collect evidence across the main business units or sites.</t>
        </is>
      </c>
      <c r="G250" s="3" t="inlineStr">
        <is>
          <t>Standardize operator training and certification for equipment, safety, quality and emergency procedures across the organization, close coverage gaps, link it to crisis scenarios and train accountable roles.</t>
        </is>
      </c>
      <c r="H250" s="3" t="inlineStr">
        <is>
          <t>Measure operator training and certification for equipment, safety, quality and emergency procedures, review it periodically, test it against disruption scenarios and integrate it with dependent processes or systems.</t>
        </is>
      </c>
      <c r="I250" s="3" t="inlineStr">
        <is>
          <t>Optimize and automate operator training and certification for equipment, safety, quality and emergency procedures where practical, use leading indicators, run periodic stress tests and update the crisis playbook.</t>
        </is>
      </c>
      <c r="J250" s="3" t="inlineStr">
        <is>
          <t>Maintain maturity for operator training and certification for equipment, safety, quality and emergency procedures. Monitor drift, keep evidence current, benchmark externally and refresh tests after major changes.</t>
        </is>
      </c>
      <c r="K250" s="3" t="inlineStr">
        <is>
          <t>Reduces exposure to Manufacturing disruption; Safety incident; Energy outage; Cyberattack; improves Quality and safety maturity, continuity and management visibility.</t>
        </is>
      </c>
      <c r="L250" s="3" t="n">
        <v>5</v>
      </c>
      <c r="M250" s="3" t="n">
        <v>5</v>
      </c>
      <c r="N250" s="3" t="n">
        <v>4</v>
      </c>
      <c r="O250" s="3" t="n">
        <v>3</v>
      </c>
      <c r="P250" s="3" t="n">
        <v>2</v>
      </c>
      <c r="Q250" s="3" t="n">
        <v>1</v>
      </c>
      <c r="R250" s="3" t="inlineStr">
        <is>
          <t>ISO 9001; ISO 45001; ISA-95; IEC 62443; ISO 55001; Lean; Six Sigma; TPM; MES/MOM practices</t>
        </is>
      </c>
      <c r="S250" s="3" t="inlineStr">
        <is>
          <t>Policy/SOP; owner/RACI; system report; dashboard; contracts; test records; incident history; interview evidence related to operator training and certification for equipment, safety, quality and emergency procedures.</t>
        </is>
      </c>
      <c r="T250" s="3" t="inlineStr">
        <is>
          <t>Manufacturing disruption; Safety incident; Energy outage; Cyberattack</t>
        </is>
      </c>
      <c r="U250" s="3" t="inlineStr">
        <is>
          <t>COO / Plant / Manufacturing</t>
        </is>
      </c>
      <c r="V250" s="3" t="inlineStr">
        <is>
          <t>Manufacturing MES!26</t>
        </is>
      </c>
    </row>
    <row r="251" ht="71.25" customHeight="1" s="209">
      <c r="A251" s="3" t="inlineStr">
        <is>
          <t>MANU-023</t>
        </is>
      </c>
      <c r="B251" s="3" t="inlineStr">
        <is>
          <t>Manufacturing MES</t>
        </is>
      </c>
      <c r="C251" s="3" t="inlineStr">
        <is>
          <t>Quality and safety</t>
        </is>
      </c>
      <c r="D251" s="3" t="inlineStr">
        <is>
          <t>How mature is the organization in managing machine safety controls, guarding, emergency stops and lockout/tagout, including ownership, evidence, metrics, fallback procedures and crisis stress testing?</t>
        </is>
      </c>
      <c r="E251" s="3" t="inlineStr">
        <is>
          <t>Establish a basic owner and inventory for machine safety controls, guarding, emergency stops and lockout/tagout. Define minimum policy, evidence location and immediate crisis relevance.</t>
        </is>
      </c>
      <c r="F251" s="3" t="inlineStr">
        <is>
          <t>Document machine safety controls, guarding, emergency stops and lockout/tagout, assign RACI, define minimum controls/KPIs and collect evidence across the main business units or sites.</t>
        </is>
      </c>
      <c r="G251" s="3" t="inlineStr">
        <is>
          <t>Standardize machine safety controls, guarding, emergency stops and lockout/tagout across the organization, close coverage gaps, link it to crisis scenarios and train accountable roles.</t>
        </is>
      </c>
      <c r="H251" s="3" t="inlineStr">
        <is>
          <t>Measure machine safety controls, guarding, emergency stops and lockout/tagout, review it periodically, test it against disruption scenarios and integrate it with dependent processes or systems.</t>
        </is>
      </c>
      <c r="I251" s="3" t="inlineStr">
        <is>
          <t>Optimize and automate machine safety controls, guarding, emergency stops and lockout/tagout where practical, use leading indicators, run periodic stress tests and update the crisis playbook.</t>
        </is>
      </c>
      <c r="J251" s="3" t="inlineStr">
        <is>
          <t>Maintain maturity for machine safety controls, guarding, emergency stops and lockout/tagout. Monitor drift, keep evidence current, benchmark externally and refresh tests after major changes.</t>
        </is>
      </c>
      <c r="K251" s="3" t="inlineStr">
        <is>
          <t>Reduces exposure to Manufacturing disruption; Safety incident; Energy outage; Cyberattack; improves Quality and safety maturity, continuity and management visibility.</t>
        </is>
      </c>
      <c r="L251" s="3" t="n">
        <v>5</v>
      </c>
      <c r="M251" s="3" t="n">
        <v>5</v>
      </c>
      <c r="N251" s="3" t="n">
        <v>4</v>
      </c>
      <c r="O251" s="3" t="n">
        <v>3</v>
      </c>
      <c r="P251" s="3" t="n">
        <v>2</v>
      </c>
      <c r="Q251" s="3" t="n">
        <v>1</v>
      </c>
      <c r="R251" s="3" t="inlineStr">
        <is>
          <t>ISO 9001; ISO 45001; ISA-95; IEC 62443; ISO 55001; Lean; Six Sigma; TPM; MES/MOM practices</t>
        </is>
      </c>
      <c r="S251" s="3" t="inlineStr">
        <is>
          <t>Policy/SOP; owner/RACI; system report; dashboard; contracts; test records; incident history; interview evidence related to machine safety controls, guarding, emergency stops and lockout/tagout.</t>
        </is>
      </c>
      <c r="T251" s="3" t="inlineStr">
        <is>
          <t>Manufacturing disruption; Safety incident; Energy outage; Cyberattack</t>
        </is>
      </c>
      <c r="U251" s="3" t="inlineStr">
        <is>
          <t>COO / Plant / Manufacturing</t>
        </is>
      </c>
      <c r="V251" s="3" t="inlineStr">
        <is>
          <t>Manufacturing MES!27</t>
        </is>
      </c>
    </row>
    <row r="252" ht="71.25" customHeight="1" s="209">
      <c r="A252" s="3" t="inlineStr">
        <is>
          <t>MANU-024</t>
        </is>
      </c>
      <c r="B252" s="3" t="inlineStr">
        <is>
          <t>Manufacturing MES</t>
        </is>
      </c>
      <c r="C252" s="3" t="inlineStr">
        <is>
          <t>Quality and safety</t>
        </is>
      </c>
      <c r="D252" s="3" t="inlineStr">
        <is>
          <t>How mature is the organization in managing rework, scrap, yield loss and defect cost analysis, including ownership, evidence, metrics, fallback procedures and crisis stress testing?</t>
        </is>
      </c>
      <c r="E252" s="3" t="inlineStr">
        <is>
          <t>Establish a basic owner and inventory for rework, scrap, yield loss and defect cost analysis. Define minimum policy, evidence location and immediate crisis relevance.</t>
        </is>
      </c>
      <c r="F252" s="3" t="inlineStr">
        <is>
          <t>Document rework, scrap, yield loss and defect cost analysis, assign RACI, define minimum controls/KPIs and collect evidence across the main business units or sites.</t>
        </is>
      </c>
      <c r="G252" s="3" t="inlineStr">
        <is>
          <t>Standardize rework, scrap, yield loss and defect cost analysis across the organization, close coverage gaps, link it to crisis scenarios and train accountable roles.</t>
        </is>
      </c>
      <c r="H252" s="3" t="inlineStr">
        <is>
          <t>Measure rework, scrap, yield loss and defect cost analysis, review it periodically, test it against disruption scenarios and integrate it with dependent processes or systems.</t>
        </is>
      </c>
      <c r="I252" s="3" t="inlineStr">
        <is>
          <t>Optimize and automate rework, scrap, yield loss and defect cost analysis where practical, use leading indicators, run periodic stress tests and update the crisis playbook.</t>
        </is>
      </c>
      <c r="J252" s="3" t="inlineStr">
        <is>
          <t>Maintain maturity for rework, scrap, yield loss and defect cost analysis. Monitor drift, keep evidence current, benchmark externally and refresh tests after major changes.</t>
        </is>
      </c>
      <c r="K252" s="3" t="inlineStr">
        <is>
          <t>Reduces exposure to Manufacturing disruption; Safety incident; Energy outage; Cyberattack; improves Quality and safety maturity, continuity and management visibility.</t>
        </is>
      </c>
      <c r="L252" s="3" t="n">
        <v>5</v>
      </c>
      <c r="M252" s="3" t="n">
        <v>5</v>
      </c>
      <c r="N252" s="3" t="n">
        <v>4</v>
      </c>
      <c r="O252" s="3" t="n">
        <v>3</v>
      </c>
      <c r="P252" s="3" t="n">
        <v>2</v>
      </c>
      <c r="Q252" s="3" t="n">
        <v>1</v>
      </c>
      <c r="R252" s="3" t="inlineStr">
        <is>
          <t>ISO 9001; ISO 45001; ISA-95; IEC 62443; ISO 55001; Lean; Six Sigma; TPM; MES/MOM practices</t>
        </is>
      </c>
      <c r="S252" s="3" t="inlineStr">
        <is>
          <t>Policy/SOP; owner/RACI; system report; dashboard; contracts; test records; incident history; interview evidence related to rework, scrap, yield loss and defect cost analysis.</t>
        </is>
      </c>
      <c r="T252" s="3" t="inlineStr">
        <is>
          <t>Manufacturing disruption; Safety incident; Energy outage; Cyberattack</t>
        </is>
      </c>
      <c r="U252" s="3" t="inlineStr">
        <is>
          <t>COO / Plant / Manufacturing</t>
        </is>
      </c>
      <c r="V252" s="3" t="inlineStr">
        <is>
          <t>Manufacturing MES!28</t>
        </is>
      </c>
    </row>
    <row r="253" ht="85.5" customHeight="1" s="209">
      <c r="A253" s="3" t="inlineStr">
        <is>
          <t>MANU-025</t>
        </is>
      </c>
      <c r="B253" s="3" t="inlineStr">
        <is>
          <t>Manufacturing MES</t>
        </is>
      </c>
      <c r="C253" s="3" t="inlineStr">
        <is>
          <t>OT security</t>
        </is>
      </c>
      <c r="D253" s="3" t="inlineStr">
        <is>
          <t>How mature is the organization in managing OT asset inventory for PLCs, SCADA, HMIs, industrial networks and engineering workstations, including ownership, evidence, metrics, fallback procedures and crisis stress testing?</t>
        </is>
      </c>
      <c r="E253" s="3" t="inlineStr">
        <is>
          <t>Establish a basic owner and inventory for OT asset inventory for PLCs, SCADA, HMIs, industrial networks and engineering workstations. Define minimum policy, evidence location and immediate crisis relevance.</t>
        </is>
      </c>
      <c r="F253" s="3" t="inlineStr">
        <is>
          <t>Document OT asset inventory for PLCs, SCADA, HMIs, industrial networks and engineering workstations, assign RACI, define minimum controls/KPIs and collect evidence across the main business units or sites.</t>
        </is>
      </c>
      <c r="G253" s="3" t="inlineStr">
        <is>
          <t>Standardize OT asset inventory for PLCs, SCADA, HMIs, industrial networks and engineering workstations across the organization, close coverage gaps, link it to crisis scenarios and train accountable roles.</t>
        </is>
      </c>
      <c r="H253" s="3" t="inlineStr">
        <is>
          <t>Measure OT asset inventory for PLCs, SCADA, HMIs, industrial networks and engineering workstations, review it periodically, test it against disruption scenarios and integrate it with dependent processes or systems.</t>
        </is>
      </c>
      <c r="I253" s="3" t="inlineStr">
        <is>
          <t>Optimize and automate OT asset inventory for PLCs, SCADA, HMIs, industrial networks and engineering workstations where practical, use leading indicators, run periodic stress tests and update the crisis playbook.</t>
        </is>
      </c>
      <c r="J253" s="3" t="inlineStr">
        <is>
          <t>Maintain maturity for OT asset inventory for PLCs, SCADA, HMIs, industrial networks and engineering workstations. Monitor drift, keep evidence current, benchmark externally and refresh tests after major changes.</t>
        </is>
      </c>
      <c r="K253" s="3" t="inlineStr">
        <is>
          <t>Reduces exposure to Manufacturing disruption; Safety incident; Energy outage; Cyberattack; improves OT security maturity, continuity and management visibility.</t>
        </is>
      </c>
      <c r="L253" s="3" t="n">
        <v>5</v>
      </c>
      <c r="M253" s="3" t="n">
        <v>5</v>
      </c>
      <c r="N253" s="3" t="n">
        <v>5</v>
      </c>
      <c r="O253" s="3" t="n">
        <v>4</v>
      </c>
      <c r="P253" s="3" t="n">
        <v>3</v>
      </c>
      <c r="Q253" s="3" t="n">
        <v>1</v>
      </c>
      <c r="R253" s="3" t="inlineStr">
        <is>
          <t>ISO 9001; ISO 45001; ISA-95; IEC 62443; ISO 55001; Lean; Six Sigma; TPM; MES/MOM practices</t>
        </is>
      </c>
      <c r="S253" s="3" t="inlineStr">
        <is>
          <t>Policy/SOP; owner/RACI; system report; dashboard; contracts; test records; incident history; interview evidence related to OT asset inventory for PLCs, SCADA, HMIs, industrial networks and engineering workstations.</t>
        </is>
      </c>
      <c r="T253" s="3" t="inlineStr">
        <is>
          <t>Manufacturing disruption; Safety incident; Energy outage; Cyberattack</t>
        </is>
      </c>
      <c r="U253" s="3" t="inlineStr">
        <is>
          <t>COO / Plant / Manufacturing</t>
        </is>
      </c>
      <c r="V253" s="3" t="inlineStr">
        <is>
          <t>Manufacturing MES!29</t>
        </is>
      </c>
    </row>
    <row r="254" ht="85.5" customHeight="1" s="209">
      <c r="A254" s="3" t="inlineStr">
        <is>
          <t>MANU-026</t>
        </is>
      </c>
      <c r="B254" s="3" t="inlineStr">
        <is>
          <t>Manufacturing MES</t>
        </is>
      </c>
      <c r="C254" s="3" t="inlineStr">
        <is>
          <t>OT security</t>
        </is>
      </c>
      <c r="D254" s="3" t="inlineStr">
        <is>
          <t>How mature is the organization in managing OT network segmentation and secure remote access for vendors and maintenance, including ownership, evidence, metrics, fallback procedures and crisis stress testing?</t>
        </is>
      </c>
      <c r="E254" s="3" t="inlineStr">
        <is>
          <t>Establish a basic owner and inventory for OT network segmentation and secure remote access for vendors and maintenance. Define minimum policy, evidence location and immediate crisis relevance.</t>
        </is>
      </c>
      <c r="F254" s="3" t="inlineStr">
        <is>
          <t>Document OT network segmentation and secure remote access for vendors and maintenance, assign RACI, define minimum controls/KPIs and collect evidence across the main business units or sites.</t>
        </is>
      </c>
      <c r="G254" s="3" t="inlineStr">
        <is>
          <t>Standardize OT network segmentation and secure remote access for vendors and maintenance across the organization, close coverage gaps, link it to crisis scenarios and train accountable roles.</t>
        </is>
      </c>
      <c r="H254" s="3" t="inlineStr">
        <is>
          <t>Measure OT network segmentation and secure remote access for vendors and maintenance, review it periodically, test it against disruption scenarios and integrate it with dependent processes or systems.</t>
        </is>
      </c>
      <c r="I254" s="3" t="inlineStr">
        <is>
          <t>Optimize and automate OT network segmentation and secure remote access for vendors and maintenance where practical, use leading indicators, run periodic stress tests and update the crisis playbook.</t>
        </is>
      </c>
      <c r="J254" s="3" t="inlineStr">
        <is>
          <t>Maintain maturity for OT network segmentation and secure remote access for vendors and maintenance. Monitor drift, keep evidence current, benchmark externally and refresh tests after major changes.</t>
        </is>
      </c>
      <c r="K254" s="3" t="inlineStr">
        <is>
          <t>Reduces exposure to Manufacturing disruption; Safety incident; Energy outage; Cyberattack; improves OT security maturity, continuity and management visibility.</t>
        </is>
      </c>
      <c r="L254" s="3" t="n">
        <v>5</v>
      </c>
      <c r="M254" s="3" t="n">
        <v>5</v>
      </c>
      <c r="N254" s="3" t="n">
        <v>5</v>
      </c>
      <c r="O254" s="3" t="n">
        <v>4</v>
      </c>
      <c r="P254" s="3" t="n">
        <v>3</v>
      </c>
      <c r="Q254" s="3" t="n">
        <v>1</v>
      </c>
      <c r="R254" s="3" t="inlineStr">
        <is>
          <t>ISO 9001; ISO 45001; ISA-95; IEC 62443; ISO 55001; Lean; Six Sigma; TPM; MES/MOM practices</t>
        </is>
      </c>
      <c r="S254" s="3" t="inlineStr">
        <is>
          <t>Policy/SOP; owner/RACI; system report; dashboard; contracts; test records; incident history; interview evidence related to OT network segmentation and secure remote access for vendors and maintenance.</t>
        </is>
      </c>
      <c r="T254" s="3" t="inlineStr">
        <is>
          <t>Manufacturing disruption; Safety incident; Energy outage; Cyberattack</t>
        </is>
      </c>
      <c r="U254" s="3" t="inlineStr">
        <is>
          <t>COO / Plant / Manufacturing</t>
        </is>
      </c>
      <c r="V254" s="3" t="inlineStr">
        <is>
          <t>Manufacturing MES!30</t>
        </is>
      </c>
    </row>
    <row r="255" ht="71.25" customHeight="1" s="209">
      <c r="A255" s="3" t="inlineStr">
        <is>
          <t>MANU-027</t>
        </is>
      </c>
      <c r="B255" s="3" t="inlineStr">
        <is>
          <t>Manufacturing MES</t>
        </is>
      </c>
      <c r="C255" s="3" t="inlineStr">
        <is>
          <t>OT security</t>
        </is>
      </c>
      <c r="D255" s="3" t="inlineStr">
        <is>
          <t>How mature is the organization in managing PLC, HMI, SCADA and recipe configuration backup and restore testing, including ownership, evidence, metrics, fallback procedures and crisis stress testing?</t>
        </is>
      </c>
      <c r="E255" s="3" t="inlineStr">
        <is>
          <t>Establish a basic owner and inventory for PLC, HMI, SCADA and recipe configuration backup and restore testing. Define minimum policy, evidence location and immediate crisis relevance.</t>
        </is>
      </c>
      <c r="F255" s="3" t="inlineStr">
        <is>
          <t>Document PLC, HMI, SCADA and recipe configuration backup and restore testing, assign RACI, define minimum controls/KPIs and collect evidence across the main business units or sites.</t>
        </is>
      </c>
      <c r="G255" s="3" t="inlineStr">
        <is>
          <t>Standardize PLC, HMI, SCADA and recipe configuration backup and restore testing across the organization, close coverage gaps, link it to crisis scenarios and train accountable roles.</t>
        </is>
      </c>
      <c r="H255" s="3" t="inlineStr">
        <is>
          <t>Measure PLC, HMI, SCADA and recipe configuration backup and restore testing, review it periodically, test it against disruption scenarios and integrate it with dependent processes or systems.</t>
        </is>
      </c>
      <c r="I255" s="3" t="inlineStr">
        <is>
          <t>Optimize and automate PLC, HMI, SCADA and recipe configuration backup and restore testing where practical, use leading indicators, run periodic stress tests and update the crisis playbook.</t>
        </is>
      </c>
      <c r="J255" s="3" t="inlineStr">
        <is>
          <t>Maintain maturity for PLC, HMI, SCADA and recipe configuration backup and restore testing. Monitor drift, keep evidence current, benchmark externally and refresh tests after major changes.</t>
        </is>
      </c>
      <c r="K255" s="3" t="inlineStr">
        <is>
          <t>Reduces exposure to Manufacturing disruption; Safety incident; Energy outage; Cyberattack; improves OT security maturity, continuity and management visibility.</t>
        </is>
      </c>
      <c r="L255" s="3" t="n">
        <v>5</v>
      </c>
      <c r="M255" s="3" t="n">
        <v>5</v>
      </c>
      <c r="N255" s="3" t="n">
        <v>5</v>
      </c>
      <c r="O255" s="3" t="n">
        <v>4</v>
      </c>
      <c r="P255" s="3" t="n">
        <v>3</v>
      </c>
      <c r="Q255" s="3" t="n">
        <v>1</v>
      </c>
      <c r="R255" s="3" t="inlineStr">
        <is>
          <t>ISO 9001; ISO 45001; ISA-95; IEC 62443; ISO 55001; Lean; Six Sigma; TPM; MES/MOM practices</t>
        </is>
      </c>
      <c r="S255" s="3" t="inlineStr">
        <is>
          <t>Policy/SOP; owner/RACI; system report; dashboard; contracts; test records; incident history; interview evidence related to PLC, HMI, SCADA and recipe configuration backup and restore testing.</t>
        </is>
      </c>
      <c r="T255" s="3" t="inlineStr">
        <is>
          <t>Manufacturing disruption; Safety incident; Energy outage; Cyberattack</t>
        </is>
      </c>
      <c r="U255" s="3" t="inlineStr">
        <is>
          <t>COO / Plant / Manufacturing</t>
        </is>
      </c>
      <c r="V255" s="3" t="inlineStr">
        <is>
          <t>Manufacturing MES!31</t>
        </is>
      </c>
    </row>
    <row r="256" ht="71.25" customHeight="1" s="209">
      <c r="A256" s="3" t="inlineStr">
        <is>
          <t>MANU-028</t>
        </is>
      </c>
      <c r="B256" s="3" t="inlineStr">
        <is>
          <t>Manufacturing MES</t>
        </is>
      </c>
      <c r="C256" s="3" t="inlineStr">
        <is>
          <t>OT security</t>
        </is>
      </c>
      <c r="D256" s="3" t="inlineStr">
        <is>
          <t>How mature is the organization in managing cyber incident response procedures specific to production and OT, including ownership, evidence, metrics, fallback procedures and crisis stress testing?</t>
        </is>
      </c>
      <c r="E256" s="3" t="inlineStr">
        <is>
          <t>Establish a basic owner and inventory for cyber incident response procedures specific to production and OT. Define minimum policy, evidence location and immediate crisis relevance.</t>
        </is>
      </c>
      <c r="F256" s="3" t="inlineStr">
        <is>
          <t>Document cyber incident response procedures specific to production and OT, assign RACI, define minimum controls/KPIs and collect evidence across the main business units or sites.</t>
        </is>
      </c>
      <c r="G256" s="3" t="inlineStr">
        <is>
          <t>Standardize cyber incident response procedures specific to production and OT across the organization, close coverage gaps, link it to crisis scenarios and train accountable roles.</t>
        </is>
      </c>
      <c r="H256" s="3" t="inlineStr">
        <is>
          <t>Measure cyber incident response procedures specific to production and OT, review it periodically, test it against disruption scenarios and integrate it with dependent processes or systems.</t>
        </is>
      </c>
      <c r="I256" s="3" t="inlineStr">
        <is>
          <t>Optimize and automate cyber incident response procedures specific to production and OT where practical, use leading indicators, run periodic stress tests and update the crisis playbook.</t>
        </is>
      </c>
      <c r="J256" s="3" t="inlineStr">
        <is>
          <t>Maintain maturity for cyber incident response procedures specific to production and OT. Monitor drift, keep evidence current, benchmark externally and refresh tests after major changes.</t>
        </is>
      </c>
      <c r="K256" s="3" t="inlineStr">
        <is>
          <t>Reduces exposure to Manufacturing disruption; Safety incident; Energy outage; Cyberattack; improves OT security maturity, continuity and management visibility.</t>
        </is>
      </c>
      <c r="L256" s="3" t="n">
        <v>5</v>
      </c>
      <c r="M256" s="3" t="n">
        <v>5</v>
      </c>
      <c r="N256" s="3" t="n">
        <v>5</v>
      </c>
      <c r="O256" s="3" t="n">
        <v>4</v>
      </c>
      <c r="P256" s="3" t="n">
        <v>3</v>
      </c>
      <c r="Q256" s="3" t="n">
        <v>1</v>
      </c>
      <c r="R256" s="3" t="inlineStr">
        <is>
          <t>ISO 9001; ISO 45001; ISA-95; IEC 62443; ISO 55001; Lean; Six Sigma; TPM; MES/MOM practices</t>
        </is>
      </c>
      <c r="S256" s="3" t="inlineStr">
        <is>
          <t>Policy/SOP; owner/RACI; system report; dashboard; contracts; test records; incident history; interview evidence related to cyber incident response procedures specific to production and OT.</t>
        </is>
      </c>
      <c r="T256" s="3" t="inlineStr">
        <is>
          <t>Manufacturing disruption; Safety incident; Energy outage; Cyberattack</t>
        </is>
      </c>
      <c r="U256" s="3" t="inlineStr">
        <is>
          <t>COO / Plant / Manufacturing</t>
        </is>
      </c>
      <c r="V256" s="3" t="inlineStr">
        <is>
          <t>Manufacturing MES!32</t>
        </is>
      </c>
    </row>
    <row r="257" ht="85.5" customHeight="1" s="209">
      <c r="A257" s="3" t="inlineStr">
        <is>
          <t>SALE-001</t>
        </is>
      </c>
      <c r="B257" s="3" t="inlineStr">
        <is>
          <t>Sales CRM</t>
        </is>
      </c>
      <c r="C257" s="3" t="inlineStr">
        <is>
          <t>CRM foundation</t>
        </is>
      </c>
      <c r="D257" s="3" t="inlineStr">
        <is>
          <t>How mature is the organization in managing CRM as single source of truth for accounts, contacts, opportunities, activities and forecasts, including ownership, evidence, metrics, fallback procedures and crisis stress testing?</t>
        </is>
      </c>
      <c r="E257" s="3" t="inlineStr">
        <is>
          <t>Establish a basic owner and inventory for CRM as single source of truth for accounts, contacts, opportunities, activities and forecasts. Define minimum policy, evidence location and immediate crisis relevance.</t>
        </is>
      </c>
      <c r="F257" s="3" t="inlineStr">
        <is>
          <t>Document CRM as single source of truth for accounts, contacts, opportunities, activities and forecasts, assign RACI, define minimum controls/KPIs and collect evidence across the main business units or sites.</t>
        </is>
      </c>
      <c r="G257" s="3" t="inlineStr">
        <is>
          <t>Standardize CRM as single source of truth for accounts, contacts, opportunities, activities and forecasts across the organization, close coverage gaps, link it to crisis scenarios and train accountable roles.</t>
        </is>
      </c>
      <c r="H257" s="3" t="inlineStr">
        <is>
          <t>Measure CRM as single source of truth for accounts, contacts, opportunities, activities and forecasts, review it periodically, test it against disruption scenarios and integrate it with dependent processes or systems.</t>
        </is>
      </c>
      <c r="I257" s="3" t="inlineStr">
        <is>
          <t>Optimize and automate CRM as single source of truth for accounts, contacts, opportunities, activities and forecasts where practical, use leading indicators, run periodic stress tests and update the crisis playbook.</t>
        </is>
      </c>
      <c r="J257" s="3" t="inlineStr">
        <is>
          <t>Maintain maturity for CRM as single source of truth for accounts, contacts, opportunities, activities and forecasts. Monitor drift, keep evidence current, benchmark externally and refresh tests after major changes.</t>
        </is>
      </c>
      <c r="K257" s="3" t="inlineStr">
        <is>
          <t>Reduces exposure to Demand shock; Revenue loss; Reputation crisis; improves CRM foundation maturity, continuity and management visibility.</t>
        </is>
      </c>
      <c r="L257" s="3" t="n">
        <v>5</v>
      </c>
      <c r="M257" s="3" t="n">
        <v>5</v>
      </c>
      <c r="N257" s="3" t="n">
        <v>4</v>
      </c>
      <c r="O257" s="3" t="n">
        <v>3</v>
      </c>
      <c r="P257" s="3" t="n">
        <v>2</v>
      </c>
      <c r="Q257" s="3" t="n">
        <v>1</v>
      </c>
      <c r="R257" s="3" t="inlineStr">
        <is>
          <t>ISO 9001; ISO 10002; ISO 10004; RevOps; MEDDICC; customer success best practices</t>
        </is>
      </c>
      <c r="S257" s="3" t="inlineStr">
        <is>
          <t>Policy/SOP; owner/RACI; system report; dashboard; contracts; test records; incident history; interview evidence related to CRM as single source of truth for accounts, contacts, opportunities, activities and forecasts.</t>
        </is>
      </c>
      <c r="T257" s="3" t="inlineStr">
        <is>
          <t>Demand shock; Revenue loss; Reputation crisis</t>
        </is>
      </c>
      <c r="U257" s="3" t="inlineStr">
        <is>
          <t>CCO / Sales Ops</t>
        </is>
      </c>
      <c r="V257" s="3" t="inlineStr">
        <is>
          <t>Sales CRM!5</t>
        </is>
      </c>
    </row>
    <row r="258" ht="85.5" customHeight="1" s="209">
      <c r="A258" s="3" t="inlineStr">
        <is>
          <t>SALE-002</t>
        </is>
      </c>
      <c r="B258" s="3" t="inlineStr">
        <is>
          <t>Sales CRM</t>
        </is>
      </c>
      <c r="C258" s="3" t="inlineStr">
        <is>
          <t>CRM foundation</t>
        </is>
      </c>
      <c r="D258" s="3" t="inlineStr">
        <is>
          <t>How mature is the organization in managing CRM data quality for segmentation, pipeline, ICP, offerings, win/loss reasons and customer health, including ownership, evidence, metrics, fallback procedures and crisis stress testing?</t>
        </is>
      </c>
      <c r="E258" s="3" t="inlineStr">
        <is>
          <t>Establish a basic owner and inventory for CRM data quality for segmentation, pipeline, ICP, offerings, win/loss reasons and customer health. Define minimum policy, evidence location and immediate crisis relevance.</t>
        </is>
      </c>
      <c r="F258" s="3" t="inlineStr">
        <is>
          <t>Document CRM data quality for segmentation, pipeline, ICP, offerings, win/loss reasons and customer health, assign RACI, define minimum controls/KPIs and collect evidence across the main business units or sites.</t>
        </is>
      </c>
      <c r="G258" s="3" t="inlineStr">
        <is>
          <t>Standardize CRM data quality for segmentation, pipeline, ICP, offerings, win/loss reasons and customer health across the organization, close coverage gaps, link it to crisis scenarios and train accountable roles.</t>
        </is>
      </c>
      <c r="H258" s="3" t="inlineStr">
        <is>
          <t>Measure CRM data quality for segmentation, pipeline, ICP, offerings, win/loss reasons and customer health, review it periodically, test it against disruption scenarios and integrate it with dependent processes or systems.</t>
        </is>
      </c>
      <c r="I258" s="3" t="inlineStr">
        <is>
          <t>Optimize and automate CRM data quality for segmentation, pipeline, ICP, offerings, win/loss reasons and customer health where practical, use leading indicators, run periodic stress tests and update the crisis playbook.</t>
        </is>
      </c>
      <c r="J258" s="3" t="inlineStr">
        <is>
          <t>Maintain maturity for CRM data quality for segmentation, pipeline, ICP, offerings, win/loss reasons and customer health. Monitor drift, keep evidence current, benchmark externally and refresh tests after major changes.</t>
        </is>
      </c>
      <c r="K258" s="3" t="inlineStr">
        <is>
          <t>Reduces exposure to Demand shock; Revenue loss; Reputation crisis; improves CRM foundation maturity, continuity and management visibility.</t>
        </is>
      </c>
      <c r="L258" s="3" t="n">
        <v>5</v>
      </c>
      <c r="M258" s="3" t="n">
        <v>5</v>
      </c>
      <c r="N258" s="3" t="n">
        <v>4</v>
      </c>
      <c r="O258" s="3" t="n">
        <v>3</v>
      </c>
      <c r="P258" s="3" t="n">
        <v>2</v>
      </c>
      <c r="Q258" s="3" t="n">
        <v>1</v>
      </c>
      <c r="R258" s="3" t="inlineStr">
        <is>
          <t>ISO 9001; ISO 10002; ISO 10004; RevOps; MEDDICC; customer success best practices</t>
        </is>
      </c>
      <c r="S258" s="3" t="inlineStr">
        <is>
          <t>Policy/SOP; owner/RACI; system report; dashboard; contracts; test records; incident history; interview evidence related to CRM data quality for segmentation, pipeline, ICP, offerings, win/loss reasons and customer health.</t>
        </is>
      </c>
      <c r="T258" s="3" t="inlineStr">
        <is>
          <t>Demand shock; Revenue loss; Reputation crisis</t>
        </is>
      </c>
      <c r="U258" s="3" t="inlineStr">
        <is>
          <t>CCO / Sales Ops</t>
        </is>
      </c>
      <c r="V258" s="3" t="inlineStr">
        <is>
          <t>Sales CRM!6</t>
        </is>
      </c>
    </row>
    <row r="259" ht="71.25" customHeight="1" s="209">
      <c r="A259" s="3" t="inlineStr">
        <is>
          <t>SALE-004</t>
        </is>
      </c>
      <c r="B259" s="3" t="inlineStr">
        <is>
          <t>Sales CRM</t>
        </is>
      </c>
      <c r="C259" s="3" t="inlineStr">
        <is>
          <t>CRM foundation</t>
        </is>
      </c>
      <c r="D259" s="3" t="inlineStr">
        <is>
          <t>How mature is the organization in managing sales process governance from lead to opportunity to contract to handover, including ownership, evidence, metrics, fallback procedures and crisis stress testing?</t>
        </is>
      </c>
      <c r="E259" s="3" t="inlineStr">
        <is>
          <t>Establish a basic owner and inventory for sales process governance from lead to opportunity to contract to handover. Define minimum policy, evidence location and immediate crisis relevance.</t>
        </is>
      </c>
      <c r="F259" s="3" t="inlineStr">
        <is>
          <t>Document sales process governance from lead to opportunity to contract to handover, assign RACI, define minimum controls/KPIs and collect evidence across the main business units or sites.</t>
        </is>
      </c>
      <c r="G259" s="3" t="inlineStr">
        <is>
          <t>Standardize sales process governance from lead to opportunity to contract to handover across the organization, close coverage gaps, link it to crisis scenarios and train accountable roles.</t>
        </is>
      </c>
      <c r="H259" s="3" t="inlineStr">
        <is>
          <t>Measure sales process governance from lead to opportunity to contract to handover, review it periodically, test it against disruption scenarios and integrate it with dependent processes or systems.</t>
        </is>
      </c>
      <c r="I259" s="3" t="inlineStr">
        <is>
          <t>Optimize and automate sales process governance from lead to opportunity to contract to handover where practical, use leading indicators, run periodic stress tests and update the crisis playbook.</t>
        </is>
      </c>
      <c r="J259" s="3" t="inlineStr">
        <is>
          <t>Maintain maturity for sales process governance from lead to opportunity to contract to handover. Monitor drift, keep evidence current, benchmark externally and refresh tests after major changes.</t>
        </is>
      </c>
      <c r="K259" s="3" t="inlineStr">
        <is>
          <t>Reduces exposure to Demand shock; Revenue loss; Reputation crisis; improves CRM foundation maturity, continuity and management visibility.</t>
        </is>
      </c>
      <c r="L259" s="3" t="n">
        <v>5</v>
      </c>
      <c r="M259" s="3" t="n">
        <v>5</v>
      </c>
      <c r="N259" s="3" t="n">
        <v>4</v>
      </c>
      <c r="O259" s="3" t="n">
        <v>3</v>
      </c>
      <c r="P259" s="3" t="n">
        <v>2</v>
      </c>
      <c r="Q259" s="3" t="n">
        <v>1</v>
      </c>
      <c r="R259" s="3" t="inlineStr">
        <is>
          <t>ISO 9001; ISO 10002; ISO 10004; RevOps; MEDDICC; customer success best practices</t>
        </is>
      </c>
      <c r="S259" s="3" t="inlineStr">
        <is>
          <t>Policy/SOP; owner/RACI; system report; dashboard; contracts; test records; incident history; interview evidence related to sales process governance from lead to opportunity to contract to handover.</t>
        </is>
      </c>
      <c r="T259" s="3" t="inlineStr">
        <is>
          <t>Demand shock; Revenue loss; Reputation crisis</t>
        </is>
      </c>
      <c r="U259" s="3" t="inlineStr">
        <is>
          <t>CCO / Sales Ops</t>
        </is>
      </c>
      <c r="V259" s="3" t="inlineStr">
        <is>
          <t>Sales CRM!7</t>
        </is>
      </c>
    </row>
    <row r="260" ht="71.25" customHeight="1" s="209">
      <c r="A260" s="3" t="inlineStr">
        <is>
          <t>SALE-005</t>
        </is>
      </c>
      <c r="B260" s="3" t="inlineStr">
        <is>
          <t>Sales CRM</t>
        </is>
      </c>
      <c r="C260" s="3" t="inlineStr">
        <is>
          <t>CRM foundation</t>
        </is>
      </c>
      <c r="D260" s="3" t="inlineStr">
        <is>
          <t>How mature is the organization in managing customer and contract data linked to renewal, SLA and revenue risk, including ownership, evidence, metrics, fallback procedures and crisis stress testing?</t>
        </is>
      </c>
      <c r="E260" s="3" t="inlineStr">
        <is>
          <t>Establish a basic owner and inventory for customer and contract data linked to renewal, SLA and revenue risk. Define minimum policy, evidence location and immediate crisis relevance.</t>
        </is>
      </c>
      <c r="F260" s="3" t="inlineStr">
        <is>
          <t>Document customer and contract data linked to renewal, SLA and revenue risk, assign RACI, define minimum controls/KPIs and collect evidence across the main business units or sites.</t>
        </is>
      </c>
      <c r="G260" s="3" t="inlineStr">
        <is>
          <t>Standardize customer and contract data linked to renewal, SLA and revenue risk across the organization, close coverage gaps, link it to crisis scenarios and train accountable roles.</t>
        </is>
      </c>
      <c r="H260" s="3" t="inlineStr">
        <is>
          <t>Measure customer and contract data linked to renewal, SLA and revenue risk, review it periodically, test it against disruption scenarios and integrate it with dependent processes or systems.</t>
        </is>
      </c>
      <c r="I260" s="3" t="inlineStr">
        <is>
          <t>Optimize and automate customer and contract data linked to renewal, SLA and revenue risk where practical, use leading indicators, run periodic stress tests and update the crisis playbook.</t>
        </is>
      </c>
      <c r="J260" s="3" t="inlineStr">
        <is>
          <t>Maintain maturity for customer and contract data linked to renewal, SLA and revenue risk. Monitor drift, keep evidence current, benchmark externally and refresh tests after major changes.</t>
        </is>
      </c>
      <c r="K260" s="3" t="inlineStr">
        <is>
          <t>Reduces exposure to Demand shock; Revenue loss; Reputation crisis; improves CRM foundation maturity, continuity and management visibility.</t>
        </is>
      </c>
      <c r="L260" s="3" t="n">
        <v>5</v>
      </c>
      <c r="M260" s="3" t="n">
        <v>5</v>
      </c>
      <c r="N260" s="3" t="n">
        <v>4</v>
      </c>
      <c r="O260" s="3" t="n">
        <v>3</v>
      </c>
      <c r="P260" s="3" t="n">
        <v>2</v>
      </c>
      <c r="Q260" s="3" t="n">
        <v>1</v>
      </c>
      <c r="R260" s="3" t="inlineStr">
        <is>
          <t>ISO 9001; ISO 10002; ISO 10004; RevOps; MEDDICC; customer success best practices</t>
        </is>
      </c>
      <c r="S260" s="3" t="inlineStr">
        <is>
          <t>Policy/SOP; owner/RACI; system report; dashboard; contracts; test records; incident history; interview evidence related to customer and contract data linked to renewal, SLA and revenue risk.</t>
        </is>
      </c>
      <c r="T260" s="3" t="inlineStr">
        <is>
          <t>Demand shock; Revenue loss; Reputation crisis</t>
        </is>
      </c>
      <c r="U260" s="3" t="inlineStr">
        <is>
          <t>CCO / Sales Ops</t>
        </is>
      </c>
      <c r="V260" s="3" t="inlineStr">
        <is>
          <t>Sales CRM!8</t>
        </is>
      </c>
    </row>
    <row r="261" ht="71.25" customHeight="1" s="209">
      <c r="A261" s="3" t="inlineStr">
        <is>
          <t>SALE-006</t>
        </is>
      </c>
      <c r="B261" s="3" t="inlineStr">
        <is>
          <t>Sales CRM</t>
        </is>
      </c>
      <c r="C261" s="3" t="inlineStr">
        <is>
          <t>Pipeline and forecast</t>
        </is>
      </c>
      <c r="D261" s="3" t="inlineStr">
        <is>
          <t>How mature is the organization in managing pipeline qualification criteria and stage exit rules, including ownership, evidence, metrics, fallback procedures and crisis stress testing?</t>
        </is>
      </c>
      <c r="E261" s="3" t="inlineStr">
        <is>
          <t>Establish a basic owner and inventory for pipeline qualification criteria and stage exit rules. Define minimum policy, evidence location and immediate crisis relevance.</t>
        </is>
      </c>
      <c r="F261" s="3" t="inlineStr">
        <is>
          <t>Document pipeline qualification criteria and stage exit rules, assign RACI, define minimum controls/KPIs and collect evidence across the main business units or sites.</t>
        </is>
      </c>
      <c r="G261" s="3" t="inlineStr">
        <is>
          <t>Standardize pipeline qualification criteria and stage exit rules across the organization, close coverage gaps, link it to crisis scenarios and train accountable roles.</t>
        </is>
      </c>
      <c r="H261" s="3" t="inlineStr">
        <is>
          <t>Measure pipeline qualification criteria and stage exit rules, review it periodically, test it against disruption scenarios and integrate it with dependent processes or systems.</t>
        </is>
      </c>
      <c r="I261" s="3" t="inlineStr">
        <is>
          <t>Optimize and automate pipeline qualification criteria and stage exit rules where practical, use leading indicators, run periodic stress tests and update the crisis playbook.</t>
        </is>
      </c>
      <c r="J261" s="3" t="inlineStr">
        <is>
          <t>Maintain maturity for pipeline qualification criteria and stage exit rules. Monitor drift, keep evidence current, benchmark externally and refresh tests after major changes.</t>
        </is>
      </c>
      <c r="K261" s="3" t="inlineStr">
        <is>
          <t>Reduces exposure to Demand shock; Revenue loss; Reputation crisis; improves Pipeline and forecast maturity, continuity and management visibility.</t>
        </is>
      </c>
      <c r="L261" s="3" t="n">
        <v>5</v>
      </c>
      <c r="M261" s="3" t="n">
        <v>5</v>
      </c>
      <c r="N261" s="3" t="n">
        <v>4</v>
      </c>
      <c r="O261" s="3" t="n">
        <v>3</v>
      </c>
      <c r="P261" s="3" t="n">
        <v>2</v>
      </c>
      <c r="Q261" s="3" t="n">
        <v>1</v>
      </c>
      <c r="R261" s="3" t="inlineStr">
        <is>
          <t>ISO 9001; ISO 10002; ISO 10004; RevOps; MEDDICC; customer success best practices</t>
        </is>
      </c>
      <c r="S261" s="3" t="inlineStr">
        <is>
          <t>Policy/SOP; owner/RACI; system report; dashboard; contracts; test records; incident history; interview evidence related to pipeline qualification criteria and stage exit rules.</t>
        </is>
      </c>
      <c r="T261" s="3" t="inlineStr">
        <is>
          <t>Demand shock; Revenue loss; Reputation crisis</t>
        </is>
      </c>
      <c r="U261" s="3" t="inlineStr">
        <is>
          <t>CCO / Sales Ops</t>
        </is>
      </c>
      <c r="V261" s="3" t="inlineStr">
        <is>
          <t>Sales CRM!9</t>
        </is>
      </c>
    </row>
    <row r="262" ht="71.25" customHeight="1" s="209">
      <c r="A262" s="3" t="inlineStr">
        <is>
          <t>SALE-007</t>
        </is>
      </c>
      <c r="B262" s="3" t="inlineStr">
        <is>
          <t>Sales CRM</t>
        </is>
      </c>
      <c r="C262" s="3" t="inlineStr">
        <is>
          <t>Pipeline and forecast</t>
        </is>
      </c>
      <c r="D262" s="3" t="inlineStr">
        <is>
          <t>How mature is the organization in managing pipeline coverage relative to targets, sales cycle, win rate and crisis scenarios, including ownership, evidence, metrics, fallback procedures and crisis stress testing?</t>
        </is>
      </c>
      <c r="E262" s="3" t="inlineStr">
        <is>
          <t>Establish a basic owner and inventory for pipeline coverage relative to targets, sales cycle, win rate and crisis scenarios. Define minimum policy, evidence location and immediate crisis relevance.</t>
        </is>
      </c>
      <c r="F262" s="3" t="inlineStr">
        <is>
          <t>Document pipeline coverage relative to targets, sales cycle, win rate and crisis scenarios, assign RACI, define minimum controls/KPIs and collect evidence across the main business units or sites.</t>
        </is>
      </c>
      <c r="G262" s="3" t="inlineStr">
        <is>
          <t>Standardize pipeline coverage relative to targets, sales cycle, win rate and crisis scenarios across the organization, close coverage gaps, link it to crisis scenarios and train accountable roles.</t>
        </is>
      </c>
      <c r="H262" s="3" t="inlineStr">
        <is>
          <t>Measure pipeline coverage relative to targets, sales cycle, win rate and crisis scenarios, review it periodically, test it against disruption scenarios and integrate it with dependent processes or systems.</t>
        </is>
      </c>
      <c r="I262" s="3" t="inlineStr">
        <is>
          <t>Optimize and automate pipeline coverage relative to targets, sales cycle, win rate and crisis scenarios where practical, use leading indicators, run periodic stress tests and update the crisis playbook.</t>
        </is>
      </c>
      <c r="J262" s="3" t="inlineStr">
        <is>
          <t>Maintain maturity for pipeline coverage relative to targets, sales cycle, win rate and crisis scenarios. Monitor drift, keep evidence current, benchmark externally and refresh tests after major changes.</t>
        </is>
      </c>
      <c r="K262" s="3" t="inlineStr">
        <is>
          <t>Reduces exposure to Demand shock; Revenue loss; Reputation crisis; improves Pipeline and forecast maturity, continuity and management visibility.</t>
        </is>
      </c>
      <c r="L262" s="3" t="n">
        <v>5</v>
      </c>
      <c r="M262" s="3" t="n">
        <v>5</v>
      </c>
      <c r="N262" s="3" t="n">
        <v>4</v>
      </c>
      <c r="O262" s="3" t="n">
        <v>3</v>
      </c>
      <c r="P262" s="3" t="n">
        <v>2</v>
      </c>
      <c r="Q262" s="3" t="n">
        <v>1</v>
      </c>
      <c r="R262" s="3" t="inlineStr">
        <is>
          <t>ISO 9001; ISO 10002; ISO 10004; RevOps; MEDDICC; customer success best practices</t>
        </is>
      </c>
      <c r="S262" s="3" t="inlineStr">
        <is>
          <t>Policy/SOP; owner/RACI; system report; dashboard; contracts; test records; incident history; interview evidence related to pipeline coverage relative to targets, sales cycle, win rate and crisis scenarios.</t>
        </is>
      </c>
      <c r="T262" s="3" t="inlineStr">
        <is>
          <t>Demand shock; Revenue loss; Reputation crisis</t>
        </is>
      </c>
      <c r="U262" s="3" t="inlineStr">
        <is>
          <t>CCO / Sales Ops</t>
        </is>
      </c>
      <c r="V262" s="3" t="inlineStr">
        <is>
          <t>Sales CRM!10</t>
        </is>
      </c>
    </row>
    <row r="263" ht="71.25" customHeight="1" s="209">
      <c r="A263" s="3" t="inlineStr">
        <is>
          <t>SALE-008</t>
        </is>
      </c>
      <c r="B263" s="3" t="inlineStr">
        <is>
          <t>Sales CRM</t>
        </is>
      </c>
      <c r="C263" s="3" t="inlineStr">
        <is>
          <t>Pipeline and forecast</t>
        </is>
      </c>
      <c r="D263" s="3" t="inlineStr">
        <is>
          <t>How mature is the organization in managing sales forecast cadence connected to finance, delivery and supply planning, including ownership, evidence, metrics, fallback procedures and crisis stress testing?</t>
        </is>
      </c>
      <c r="E263" s="3" t="inlineStr">
        <is>
          <t>Establish a basic owner and inventory for sales forecast cadence connected to finance, delivery and supply planning. Define minimum policy, evidence location and immediate crisis relevance.</t>
        </is>
      </c>
      <c r="F263" s="3" t="inlineStr">
        <is>
          <t>Document sales forecast cadence connected to finance, delivery and supply planning, assign RACI, define minimum controls/KPIs and collect evidence across the main business units or sites.</t>
        </is>
      </c>
      <c r="G263" s="3" t="inlineStr">
        <is>
          <t>Standardize sales forecast cadence connected to finance, delivery and supply planning across the organization, close coverage gaps, link it to crisis scenarios and train accountable roles.</t>
        </is>
      </c>
      <c r="H263" s="3" t="inlineStr">
        <is>
          <t>Measure sales forecast cadence connected to finance, delivery and supply planning, review it periodically, test it against disruption scenarios and integrate it with dependent processes or systems.</t>
        </is>
      </c>
      <c r="I263" s="3" t="inlineStr">
        <is>
          <t>Optimize and automate sales forecast cadence connected to finance, delivery and supply planning where practical, use leading indicators, run periodic stress tests and update the crisis playbook.</t>
        </is>
      </c>
      <c r="J263" s="3" t="inlineStr">
        <is>
          <t>Maintain maturity for sales forecast cadence connected to finance, delivery and supply planning. Monitor drift, keep evidence current, benchmark externally and refresh tests after major changes.</t>
        </is>
      </c>
      <c r="K263" s="3" t="inlineStr">
        <is>
          <t>Reduces exposure to Demand shock; Revenue loss; Reputation crisis; improves Pipeline and forecast maturity, continuity and management visibility.</t>
        </is>
      </c>
      <c r="L263" s="3" t="n">
        <v>5</v>
      </c>
      <c r="M263" s="3" t="n">
        <v>5</v>
      </c>
      <c r="N263" s="3" t="n">
        <v>4</v>
      </c>
      <c r="O263" s="3" t="n">
        <v>3</v>
      </c>
      <c r="P263" s="3" t="n">
        <v>2</v>
      </c>
      <c r="Q263" s="3" t="n">
        <v>1</v>
      </c>
      <c r="R263" s="3" t="inlineStr">
        <is>
          <t>ISO 9001; ISO 10002; ISO 10004; RevOps; MEDDICC; customer success best practices</t>
        </is>
      </c>
      <c r="S263" s="3" t="inlineStr">
        <is>
          <t>Policy/SOP; owner/RACI; system report; dashboard; contracts; test records; incident history; interview evidence related to sales forecast cadence connected to finance, delivery and supply planning.</t>
        </is>
      </c>
      <c r="T263" s="3" t="inlineStr">
        <is>
          <t>Demand shock; Revenue loss; Reputation crisis</t>
        </is>
      </c>
      <c r="U263" s="3" t="inlineStr">
        <is>
          <t>CCO / Sales Ops</t>
        </is>
      </c>
      <c r="V263" s="3" t="inlineStr">
        <is>
          <t>Sales CRM!11</t>
        </is>
      </c>
    </row>
    <row r="264" ht="85.5" customHeight="1" s="209">
      <c r="A264" s="3" t="inlineStr">
        <is>
          <t>SALE-009</t>
        </is>
      </c>
      <c r="B264" s="3" t="inlineStr">
        <is>
          <t>Sales CRM</t>
        </is>
      </c>
      <c r="C264" s="3" t="inlineStr">
        <is>
          <t>Pipeline and forecast</t>
        </is>
      </c>
      <c r="D264" s="3" t="inlineStr">
        <is>
          <t>How mature is the organization in managing sales forecast stress tests for delayed decisions, budget cuts and customer churn, including ownership, evidence, metrics, fallback procedures and crisis stress testing?</t>
        </is>
      </c>
      <c r="E264" s="3" t="inlineStr">
        <is>
          <t>Establish a basic owner and inventory for sales forecast stress tests for delayed decisions, budget cuts and customer churn. Define minimum policy, evidence location and immediate crisis relevance.</t>
        </is>
      </c>
      <c r="F264" s="3" t="inlineStr">
        <is>
          <t>Document sales forecast stress tests for delayed decisions, budget cuts and customer churn, assign RACI, define minimum controls/KPIs and collect evidence across the main business units or sites.</t>
        </is>
      </c>
      <c r="G264" s="3" t="inlineStr">
        <is>
          <t>Standardize sales forecast stress tests for delayed decisions, budget cuts and customer churn across the organization, close coverage gaps, link it to crisis scenarios and train accountable roles.</t>
        </is>
      </c>
      <c r="H264" s="3" t="inlineStr">
        <is>
          <t>Measure sales forecast stress tests for delayed decisions, budget cuts and customer churn, review it periodically, test it against disruption scenarios and integrate it with dependent processes or systems.</t>
        </is>
      </c>
      <c r="I264" s="3" t="inlineStr">
        <is>
          <t>Optimize and automate sales forecast stress tests for delayed decisions, budget cuts and customer churn where practical, use leading indicators, run periodic stress tests and update the crisis playbook.</t>
        </is>
      </c>
      <c r="J264" s="3" t="inlineStr">
        <is>
          <t>Maintain maturity for sales forecast stress tests for delayed decisions, budget cuts and customer churn. Monitor drift, keep evidence current, benchmark externally and refresh tests after major changes.</t>
        </is>
      </c>
      <c r="K264" s="3" t="inlineStr">
        <is>
          <t>Reduces exposure to Demand shock; Revenue loss; Reputation crisis; improves Pipeline and forecast maturity, continuity and management visibility.</t>
        </is>
      </c>
      <c r="L264" s="3" t="n">
        <v>5</v>
      </c>
      <c r="M264" s="3" t="n">
        <v>5</v>
      </c>
      <c r="N264" s="3" t="n">
        <v>4</v>
      </c>
      <c r="O264" s="3" t="n">
        <v>3</v>
      </c>
      <c r="P264" s="3" t="n">
        <v>2</v>
      </c>
      <c r="Q264" s="3" t="n">
        <v>1</v>
      </c>
      <c r="R264" s="3" t="inlineStr">
        <is>
          <t>ISO 9001; ISO 10002; ISO 10004; RevOps; MEDDICC; customer success best practices</t>
        </is>
      </c>
      <c r="S264" s="3" t="inlineStr">
        <is>
          <t>Policy/SOP; owner/RACI; system report; dashboard; contracts; test records; incident history; interview evidence related to sales forecast stress tests for delayed decisions, budget cuts and customer churn.</t>
        </is>
      </c>
      <c r="T264" s="3" t="inlineStr">
        <is>
          <t>Demand shock; Revenue loss; Reputation crisis</t>
        </is>
      </c>
      <c r="U264" s="3" t="inlineStr">
        <is>
          <t>CCO / Sales Ops</t>
        </is>
      </c>
      <c r="V264" s="3" t="inlineStr">
        <is>
          <t>Sales CRM!12</t>
        </is>
      </c>
    </row>
    <row r="265" ht="85.5" customHeight="1" s="209">
      <c r="A265" s="3" t="inlineStr">
        <is>
          <t>SALE-010</t>
        </is>
      </c>
      <c r="B265" s="3" t="inlineStr">
        <is>
          <t>Sales CRM</t>
        </is>
      </c>
      <c r="C265" s="3" t="inlineStr">
        <is>
          <t>Pipeline and forecast</t>
        </is>
      </c>
      <c r="D265" s="3" t="inlineStr">
        <is>
          <t>How mature is the organization in managing sales analytics by conversion, cycle time, win rate, deal size, margin and loss reason, including ownership, evidence, metrics, fallback procedures and crisis stress testing?</t>
        </is>
      </c>
      <c r="E265" s="3" t="inlineStr">
        <is>
          <t>Establish a basic owner and inventory for sales analytics by conversion, cycle time, win rate, deal size, margin and loss reason. Define minimum policy, evidence location and immediate crisis relevance.</t>
        </is>
      </c>
      <c r="F265" s="3" t="inlineStr">
        <is>
          <t>Document sales analytics by conversion, cycle time, win rate, deal size, margin and loss reason, assign RACI, define minimum controls/KPIs and collect evidence across the main business units or sites.</t>
        </is>
      </c>
      <c r="G265" s="3" t="inlineStr">
        <is>
          <t>Standardize sales analytics by conversion, cycle time, win rate, deal size, margin and loss reason across the organization, close coverage gaps, link it to crisis scenarios and train accountable roles.</t>
        </is>
      </c>
      <c r="H265" s="3" t="inlineStr">
        <is>
          <t>Measure sales analytics by conversion, cycle time, win rate, deal size, margin and loss reason, review it periodically, test it against disruption scenarios and integrate it with dependent processes or systems.</t>
        </is>
      </c>
      <c r="I265" s="3" t="inlineStr">
        <is>
          <t>Optimize and automate sales analytics by conversion, cycle time, win rate, deal size, margin and loss reason where practical, use leading indicators, run periodic stress tests and update the crisis playbook.</t>
        </is>
      </c>
      <c r="J265" s="3" t="inlineStr">
        <is>
          <t>Maintain maturity for sales analytics by conversion, cycle time, win rate, deal size, margin and loss reason. Monitor drift, keep evidence current, benchmark externally and refresh tests after major changes.</t>
        </is>
      </c>
      <c r="K265" s="3" t="inlineStr">
        <is>
          <t>Reduces exposure to Demand shock; Revenue loss; Reputation crisis; improves Pipeline and forecast maturity, continuity and management visibility.</t>
        </is>
      </c>
      <c r="L265" s="3" t="n">
        <v>5</v>
      </c>
      <c r="M265" s="3" t="n">
        <v>5</v>
      </c>
      <c r="N265" s="3" t="n">
        <v>4</v>
      </c>
      <c r="O265" s="3" t="n">
        <v>3</v>
      </c>
      <c r="P265" s="3" t="n">
        <v>2</v>
      </c>
      <c r="Q265" s="3" t="n">
        <v>1</v>
      </c>
      <c r="R265" s="3" t="inlineStr">
        <is>
          <t>ISO 9001; ISO 10002; ISO 10004; RevOps; MEDDICC; customer success best practices</t>
        </is>
      </c>
      <c r="S265" s="3" t="inlineStr">
        <is>
          <t>Policy/SOP; owner/RACI; system report; dashboard; contracts; test records; incident history; interview evidence related to sales analytics by conversion, cycle time, win rate, deal size, margin and loss reason.</t>
        </is>
      </c>
      <c r="T265" s="3" t="inlineStr">
        <is>
          <t>Demand shock; Revenue loss; Reputation crisis</t>
        </is>
      </c>
      <c r="U265" s="3" t="inlineStr">
        <is>
          <t>CCO / Sales Ops</t>
        </is>
      </c>
      <c r="V265" s="3" t="inlineStr">
        <is>
          <t>Sales CRM!13</t>
        </is>
      </c>
    </row>
    <row r="266" ht="85.5" customHeight="1" s="209">
      <c r="A266" s="3" t="inlineStr">
        <is>
          <t>SALE-011</t>
        </is>
      </c>
      <c r="B266" s="3" t="inlineStr">
        <is>
          <t>Sales CRM</t>
        </is>
      </c>
      <c r="C266" s="3" t="inlineStr">
        <is>
          <t>Customer continuity</t>
        </is>
      </c>
      <c r="D266" s="3" t="inlineStr">
        <is>
          <t>How mature is the organization in managing customer health scoring using usage, satisfaction, payment behavior, delivery issues and engagement, including ownership, evidence, metrics, fallback procedures and crisis stress testing?</t>
        </is>
      </c>
      <c r="E266" s="3" t="inlineStr">
        <is>
          <t>Establish a basic owner and inventory for customer health scoring using usage, satisfaction, payment behavior, delivery issues and engagement. Define minimum policy, evidence location and immediate crisis relevance.</t>
        </is>
      </c>
      <c r="F266" s="3" t="inlineStr">
        <is>
          <t>Document customer health scoring using usage, satisfaction, payment behavior, delivery issues and engagement, assign RACI, define minimum controls/KPIs and collect evidence across the main business units or sites.</t>
        </is>
      </c>
      <c r="G266" s="3" t="inlineStr">
        <is>
          <t>Standardize customer health scoring using usage, satisfaction, payment behavior, delivery issues and engagement across the organization, close coverage gaps, link it to crisis scenarios and train accountable roles.</t>
        </is>
      </c>
      <c r="H266" s="3" t="inlineStr">
        <is>
          <t>Measure customer health scoring using usage, satisfaction, payment behavior, delivery issues and engagement, review it periodically, test it against disruption scenarios and integrate it with dependent processes or systems.</t>
        </is>
      </c>
      <c r="I266" s="3" t="inlineStr">
        <is>
          <t>Optimize and automate customer health scoring using usage, satisfaction, payment behavior, delivery issues and engagement where practical, use leading indicators, run periodic stress tests and update the crisis playbook.</t>
        </is>
      </c>
      <c r="J266" s="3" t="inlineStr">
        <is>
          <t>Maintain maturity for customer health scoring using usage, satisfaction, payment behavior, delivery issues and engagement. Monitor drift, keep evidence current, benchmark externally and refresh tests after major changes.</t>
        </is>
      </c>
      <c r="K266" s="3" t="inlineStr">
        <is>
          <t>Reduces exposure to Demand shock; Revenue loss; Reputation crisis; improves Customer continuity maturity, continuity and management visibility.</t>
        </is>
      </c>
      <c r="L266" s="3" t="n">
        <v>5</v>
      </c>
      <c r="M266" s="3" t="n">
        <v>5</v>
      </c>
      <c r="N266" s="3" t="n">
        <v>4</v>
      </c>
      <c r="O266" s="3" t="n">
        <v>3</v>
      </c>
      <c r="P266" s="3" t="n">
        <v>2</v>
      </c>
      <c r="Q266" s="3" t="n">
        <v>1</v>
      </c>
      <c r="R266" s="3" t="inlineStr">
        <is>
          <t>ISO 9001; ISO 10002; ISO 10004; RevOps; MEDDICC; customer success best practices</t>
        </is>
      </c>
      <c r="S266" s="3" t="inlineStr">
        <is>
          <t>Policy/SOP; owner/RACI; system report; dashboard; contracts; test records; incident history; interview evidence related to customer health scoring using usage, satisfaction, payment behavior, delivery issues and engagement.</t>
        </is>
      </c>
      <c r="T266" s="3" t="inlineStr">
        <is>
          <t>Demand shock; Revenue loss; Reputation crisis</t>
        </is>
      </c>
      <c r="U266" s="3" t="inlineStr">
        <is>
          <t>CCO / Sales Ops</t>
        </is>
      </c>
      <c r="V266" s="3" t="inlineStr">
        <is>
          <t>Sales CRM!14</t>
        </is>
      </c>
    </row>
    <row r="267" ht="71.25" customHeight="1" s="209">
      <c r="A267" s="3" t="inlineStr">
        <is>
          <t>SALE-012</t>
        </is>
      </c>
      <c r="B267" s="3" t="inlineStr">
        <is>
          <t>Sales CRM</t>
        </is>
      </c>
      <c r="C267" s="3" t="inlineStr">
        <is>
          <t>Customer continuity</t>
        </is>
      </c>
      <c r="D267" s="3" t="inlineStr">
        <is>
          <t>How mature is the organization in managing churn risk identification, prioritization and mitigation actions, including ownership, evidence, metrics, fallback procedures and crisis stress testing?</t>
        </is>
      </c>
      <c r="E267" s="3" t="inlineStr">
        <is>
          <t>Establish a basic owner and inventory for churn risk identification, prioritization and mitigation actions. Define minimum policy, evidence location and immediate crisis relevance.</t>
        </is>
      </c>
      <c r="F267" s="3" t="inlineStr">
        <is>
          <t>Document churn risk identification, prioritization and mitigation actions, assign RACI, define minimum controls/KPIs and collect evidence across the main business units or sites.</t>
        </is>
      </c>
      <c r="G267" s="3" t="inlineStr">
        <is>
          <t>Standardize churn risk identification, prioritization and mitigation actions across the organization, close coverage gaps, link it to crisis scenarios and train accountable roles.</t>
        </is>
      </c>
      <c r="H267" s="3" t="inlineStr">
        <is>
          <t>Measure churn risk identification, prioritization and mitigation actions, review it periodically, test it against disruption scenarios and integrate it with dependent processes or systems.</t>
        </is>
      </c>
      <c r="I267" s="3" t="inlineStr">
        <is>
          <t>Optimize and automate churn risk identification, prioritization and mitigation actions where practical, use leading indicators, run periodic stress tests and update the crisis playbook.</t>
        </is>
      </c>
      <c r="J267" s="3" t="inlineStr">
        <is>
          <t>Maintain maturity for churn risk identification, prioritization and mitigation actions. Monitor drift, keep evidence current, benchmark externally and refresh tests after major changes.</t>
        </is>
      </c>
      <c r="K267" s="3" t="inlineStr">
        <is>
          <t>Reduces exposure to Demand shock; Revenue loss; Reputation crisis; improves Customer continuity maturity, continuity and management visibility.</t>
        </is>
      </c>
      <c r="L267" s="3" t="n">
        <v>5</v>
      </c>
      <c r="M267" s="3" t="n">
        <v>5</v>
      </c>
      <c r="N267" s="3" t="n">
        <v>4</v>
      </c>
      <c r="O267" s="3" t="n">
        <v>3</v>
      </c>
      <c r="P267" s="3" t="n">
        <v>2</v>
      </c>
      <c r="Q267" s="3" t="n">
        <v>1</v>
      </c>
      <c r="R267" s="3" t="inlineStr">
        <is>
          <t>ISO 9001; ISO 10002; ISO 10004; RevOps; MEDDICC; customer success best practices</t>
        </is>
      </c>
      <c r="S267" s="3" t="inlineStr">
        <is>
          <t>Policy/SOP; owner/RACI; system report; dashboard; contracts; test records; incident history; interview evidence related to churn risk identification, prioritization and mitigation actions.</t>
        </is>
      </c>
      <c r="T267" s="3" t="inlineStr">
        <is>
          <t>Demand shock; Revenue loss; Reputation crisis</t>
        </is>
      </c>
      <c r="U267" s="3" t="inlineStr">
        <is>
          <t>CCO / Sales Ops</t>
        </is>
      </c>
      <c r="V267" s="3" t="inlineStr">
        <is>
          <t>Sales CRM!15</t>
        </is>
      </c>
    </row>
    <row r="268" ht="71.25" customHeight="1" s="209">
      <c r="A268" s="3" t="inlineStr">
        <is>
          <t>SALE-013</t>
        </is>
      </c>
      <c r="B268" s="3" t="inlineStr">
        <is>
          <t>Sales CRM</t>
        </is>
      </c>
      <c r="C268" s="3" t="inlineStr">
        <is>
          <t>Customer continuity</t>
        </is>
      </c>
      <c r="D268" s="3" t="inlineStr">
        <is>
          <t>How mature is the organization in managing renewal calendar and proactive renewal process, including ownership, evidence, metrics, fallback procedures and crisis stress testing?</t>
        </is>
      </c>
      <c r="E268" s="3" t="inlineStr">
        <is>
          <t>Establish a basic owner and inventory for renewal calendar and proactive renewal process. Define minimum policy, evidence location and immediate crisis relevance.</t>
        </is>
      </c>
      <c r="F268" s="3" t="inlineStr">
        <is>
          <t>Document renewal calendar and proactive renewal process, assign RACI, define minimum controls/KPIs and collect evidence across the main business units or sites.</t>
        </is>
      </c>
      <c r="G268" s="3" t="inlineStr">
        <is>
          <t>Standardize renewal calendar and proactive renewal process across the organization, close coverage gaps, link it to crisis scenarios and train accountable roles.</t>
        </is>
      </c>
      <c r="H268" s="3" t="inlineStr">
        <is>
          <t>Measure renewal calendar and proactive renewal process, review it periodically, test it against disruption scenarios and integrate it with dependent processes or systems.</t>
        </is>
      </c>
      <c r="I268" s="3" t="inlineStr">
        <is>
          <t>Optimize and automate renewal calendar and proactive renewal process where practical, use leading indicators, run periodic stress tests and update the crisis playbook.</t>
        </is>
      </c>
      <c r="J268" s="3" t="inlineStr">
        <is>
          <t>Maintain maturity for renewal calendar and proactive renewal process. Monitor drift, keep evidence current, benchmark externally and refresh tests after major changes.</t>
        </is>
      </c>
      <c r="K268" s="3" t="inlineStr">
        <is>
          <t>Reduces exposure to Demand shock; Revenue loss; Reputation crisis; improves Customer continuity maturity, continuity and management visibility.</t>
        </is>
      </c>
      <c r="L268" s="3" t="n">
        <v>5</v>
      </c>
      <c r="M268" s="3" t="n">
        <v>5</v>
      </c>
      <c r="N268" s="3" t="n">
        <v>4</v>
      </c>
      <c r="O268" s="3" t="n">
        <v>3</v>
      </c>
      <c r="P268" s="3" t="n">
        <v>2</v>
      </c>
      <c r="Q268" s="3" t="n">
        <v>1</v>
      </c>
      <c r="R268" s="3" t="inlineStr">
        <is>
          <t>ISO 9001; ISO 10002; ISO 10004; RevOps; MEDDICC; customer success best practices</t>
        </is>
      </c>
      <c r="S268" s="3" t="inlineStr">
        <is>
          <t>Policy/SOP; owner/RACI; system report; dashboard; contracts; test records; incident history; interview evidence related to renewal calendar and proactive renewal process.</t>
        </is>
      </c>
      <c r="T268" s="3" t="inlineStr">
        <is>
          <t>Demand shock; Revenue loss; Reputation crisis</t>
        </is>
      </c>
      <c r="U268" s="3" t="inlineStr">
        <is>
          <t>CCO / Sales Ops</t>
        </is>
      </c>
      <c r="V268" s="3" t="inlineStr">
        <is>
          <t>Sales CRM!16</t>
        </is>
      </c>
    </row>
    <row r="269" ht="85.5" customHeight="1" s="209">
      <c r="A269" s="3" t="inlineStr">
        <is>
          <t>SALE-014</t>
        </is>
      </c>
      <c r="B269" s="3" t="inlineStr">
        <is>
          <t>Sales CRM</t>
        </is>
      </c>
      <c r="C269" s="3" t="inlineStr">
        <is>
          <t>Customer continuity</t>
        </is>
      </c>
      <c r="D269" s="3" t="inlineStr">
        <is>
          <t>How mature is the organization in managing critical account plans covering stakeholders, risks, contracts, renewals and crisis communication, including ownership, evidence, metrics, fallback procedures and crisis stress testing?</t>
        </is>
      </c>
      <c r="E269" s="3" t="inlineStr">
        <is>
          <t>Establish a basic owner and inventory for critical account plans covering stakeholders, risks, contracts, renewals and crisis communication. Define minimum policy, evidence location and immediate crisis relevance.</t>
        </is>
      </c>
      <c r="F269" s="3" t="inlineStr">
        <is>
          <t>Document critical account plans covering stakeholders, risks, contracts, renewals and crisis communication, assign RACI, define minimum controls/KPIs and collect evidence across the main business units or sites.</t>
        </is>
      </c>
      <c r="G269" s="3" t="inlineStr">
        <is>
          <t>Standardize critical account plans covering stakeholders, risks, contracts, renewals and crisis communication across the organization, close coverage gaps, link it to crisis scenarios and train accountable roles.</t>
        </is>
      </c>
      <c r="H269" s="3" t="inlineStr">
        <is>
          <t>Measure critical account plans covering stakeholders, risks, contracts, renewals and crisis communication, review it periodically, test it against disruption scenarios and integrate it with dependent processes or systems.</t>
        </is>
      </c>
      <c r="I269" s="3" t="inlineStr">
        <is>
          <t>Optimize and automate critical account plans covering stakeholders, risks, contracts, renewals and crisis communication where practical, use leading indicators, run periodic stress tests and update the crisis playbook.</t>
        </is>
      </c>
      <c r="J269" s="3" t="inlineStr">
        <is>
          <t>Maintain maturity for critical account plans covering stakeholders, risks, contracts, renewals and crisis communication. Monitor drift, keep evidence current, benchmark externally and refresh tests after major changes.</t>
        </is>
      </c>
      <c r="K269" s="3" t="inlineStr">
        <is>
          <t>Reduces exposure to Demand shock; Revenue loss; Reputation crisis; improves Customer continuity maturity, continuity and management visibility.</t>
        </is>
      </c>
      <c r="L269" s="3" t="n">
        <v>5</v>
      </c>
      <c r="M269" s="3" t="n">
        <v>5</v>
      </c>
      <c r="N269" s="3" t="n">
        <v>4</v>
      </c>
      <c r="O269" s="3" t="n">
        <v>3</v>
      </c>
      <c r="P269" s="3" t="n">
        <v>2</v>
      </c>
      <c r="Q269" s="3" t="n">
        <v>1</v>
      </c>
      <c r="R269" s="3" t="inlineStr">
        <is>
          <t>ISO 9001; ISO 10002; ISO 10004; RevOps; MEDDICC; customer success best practices</t>
        </is>
      </c>
      <c r="S269" s="3" t="inlineStr">
        <is>
          <t>Policy/SOP; owner/RACI; system report; dashboard; contracts; test records; incident history; interview evidence related to critical account plans covering stakeholders, risks, contracts, renewals and crisis communication.</t>
        </is>
      </c>
      <c r="T269" s="3" t="inlineStr">
        <is>
          <t>Demand shock; Revenue loss; Reputation crisis</t>
        </is>
      </c>
      <c r="U269" s="3" t="inlineStr">
        <is>
          <t>CCO / Sales Ops</t>
        </is>
      </c>
      <c r="V269" s="3" t="inlineStr">
        <is>
          <t>Sales CRM!17</t>
        </is>
      </c>
    </row>
    <row r="270" ht="85.5" customHeight="1" s="209">
      <c r="A270" s="3" t="inlineStr">
        <is>
          <t>SALE-015</t>
        </is>
      </c>
      <c r="B270" s="3" t="inlineStr">
        <is>
          <t>Sales CRM</t>
        </is>
      </c>
      <c r="C270" s="3" t="inlineStr">
        <is>
          <t>Customer continuity</t>
        </is>
      </c>
      <c r="D270" s="3" t="inlineStr">
        <is>
          <t>How mature is the organization in managing customer notification rules for incidents, delays, cyber events and service disruption, including ownership, evidence, metrics, fallback procedures and crisis stress testing?</t>
        </is>
      </c>
      <c r="E270" s="3" t="inlineStr">
        <is>
          <t>Establish a basic owner and inventory for customer notification rules for incidents, delays, cyber events and service disruption. Define minimum policy, evidence location and immediate crisis relevance.</t>
        </is>
      </c>
      <c r="F270" s="3" t="inlineStr">
        <is>
          <t>Document customer notification rules for incidents, delays, cyber events and service disruption, assign RACI, define minimum controls/KPIs and collect evidence across the main business units or sites.</t>
        </is>
      </c>
      <c r="G270" s="3" t="inlineStr">
        <is>
          <t>Standardize customer notification rules for incidents, delays, cyber events and service disruption across the organization, close coverage gaps, link it to crisis scenarios and train accountable roles.</t>
        </is>
      </c>
      <c r="H270" s="3" t="inlineStr">
        <is>
          <t>Measure customer notification rules for incidents, delays, cyber events and service disruption, review it periodically, test it against disruption scenarios and integrate it with dependent processes or systems.</t>
        </is>
      </c>
      <c r="I270" s="3" t="inlineStr">
        <is>
          <t>Optimize and automate customer notification rules for incidents, delays, cyber events and service disruption where practical, use leading indicators, run periodic stress tests and update the crisis playbook.</t>
        </is>
      </c>
      <c r="J270" s="3" t="inlineStr">
        <is>
          <t>Maintain maturity for customer notification rules for incidents, delays, cyber events and service disruption. Monitor drift, keep evidence current, benchmark externally and refresh tests after major changes.</t>
        </is>
      </c>
      <c r="K270" s="3" t="inlineStr">
        <is>
          <t>Reduces exposure to Demand shock; Revenue loss; Reputation crisis; improves Customer continuity maturity, continuity and management visibility.</t>
        </is>
      </c>
      <c r="L270" s="3" t="n">
        <v>5</v>
      </c>
      <c r="M270" s="3" t="n">
        <v>5</v>
      </c>
      <c r="N270" s="3" t="n">
        <v>4</v>
      </c>
      <c r="O270" s="3" t="n">
        <v>3</v>
      </c>
      <c r="P270" s="3" t="n">
        <v>2</v>
      </c>
      <c r="Q270" s="3" t="n">
        <v>1</v>
      </c>
      <c r="R270" s="3" t="inlineStr">
        <is>
          <t>ISO 9001; ISO 10002; ISO 10004; RevOps; MEDDICC; customer success best practices</t>
        </is>
      </c>
      <c r="S270" s="3" t="inlineStr">
        <is>
          <t>Policy/SOP; owner/RACI; system report; dashboard; contracts; test records; incident history; interview evidence related to customer notification rules for incidents, delays, cyber events and service disruption.</t>
        </is>
      </c>
      <c r="T270" s="3" t="inlineStr">
        <is>
          <t>Demand shock; Revenue loss; Reputation crisis</t>
        </is>
      </c>
      <c r="U270" s="3" t="inlineStr">
        <is>
          <t>CCO / Sales Ops</t>
        </is>
      </c>
      <c r="V270" s="3" t="inlineStr">
        <is>
          <t>Sales CRM!18</t>
        </is>
      </c>
    </row>
    <row r="271" ht="85.5" customHeight="1" s="209">
      <c r="A271" s="3" t="inlineStr">
        <is>
          <t>SALE-016</t>
        </is>
      </c>
      <c r="B271" s="3" t="inlineStr">
        <is>
          <t>Sales CRM</t>
        </is>
      </c>
      <c r="C271" s="3" t="inlineStr">
        <is>
          <t>Customer continuity</t>
        </is>
      </c>
      <c r="D271" s="3" t="inlineStr">
        <is>
          <t>How mature is the organization in managing support knowledge base and agent fallback if experienced people are unavailable, including ownership, evidence, metrics, fallback procedures and crisis stress testing?</t>
        </is>
      </c>
      <c r="E271" s="3" t="inlineStr">
        <is>
          <t>Establish a basic owner and inventory for support knowledge base and agent fallback if experienced people are unavailable. Define minimum policy, evidence location and immediate crisis relevance.</t>
        </is>
      </c>
      <c r="F271" s="3" t="inlineStr">
        <is>
          <t>Document support knowledge base and agent fallback if experienced people are unavailable, assign RACI, define minimum controls/KPIs and collect evidence across the main business units or sites.</t>
        </is>
      </c>
      <c r="G271" s="3" t="inlineStr">
        <is>
          <t>Standardize support knowledge base and agent fallback if experienced people are unavailable across the organization, close coverage gaps, link it to crisis scenarios and train accountable roles.</t>
        </is>
      </c>
      <c r="H271" s="3" t="inlineStr">
        <is>
          <t>Measure support knowledge base and agent fallback if experienced people are unavailable, review it periodically, test it against disruption scenarios and integrate it with dependent processes or systems.</t>
        </is>
      </c>
      <c r="I271" s="3" t="inlineStr">
        <is>
          <t>Optimize and automate support knowledge base and agent fallback if experienced people are unavailable where practical, use leading indicators, run periodic stress tests and update the crisis playbook.</t>
        </is>
      </c>
      <c r="J271" s="3" t="inlineStr">
        <is>
          <t>Maintain maturity for support knowledge base and agent fallback if experienced people are unavailable. Monitor drift, keep evidence current, benchmark externally and refresh tests after major changes.</t>
        </is>
      </c>
      <c r="K271" s="3" t="inlineStr">
        <is>
          <t>Reduces exposure to Demand shock; Revenue loss; Reputation crisis; improves Customer continuity maturity, continuity and management visibility.</t>
        </is>
      </c>
      <c r="L271" s="3" t="n">
        <v>5</v>
      </c>
      <c r="M271" s="3" t="n">
        <v>5</v>
      </c>
      <c r="N271" s="3" t="n">
        <v>4</v>
      </c>
      <c r="O271" s="3" t="n">
        <v>3</v>
      </c>
      <c r="P271" s="3" t="n">
        <v>2</v>
      </c>
      <c r="Q271" s="3" t="n">
        <v>1</v>
      </c>
      <c r="R271" s="3" t="inlineStr">
        <is>
          <t>ISO 9001; ISO 10002; ISO 10004; RevOps; MEDDICC; customer success best practices</t>
        </is>
      </c>
      <c r="S271" s="3" t="inlineStr">
        <is>
          <t>Policy/SOP; owner/RACI; system report; dashboard; contracts; test records; incident history; interview evidence related to support knowledge base and agent fallback if experienced people are unavailable.</t>
        </is>
      </c>
      <c r="T271" s="3" t="inlineStr">
        <is>
          <t>Demand shock; Revenue loss; Reputation crisis</t>
        </is>
      </c>
      <c r="U271" s="3" t="inlineStr">
        <is>
          <t>CCO / Sales Ops</t>
        </is>
      </c>
      <c r="V271" s="3" t="inlineStr">
        <is>
          <t>Sales CRM!19</t>
        </is>
      </c>
    </row>
    <row r="272" ht="85.5" customHeight="1" s="209">
      <c r="A272" s="3" t="inlineStr">
        <is>
          <t>SALE-017</t>
        </is>
      </c>
      <c r="B272" s="3" t="inlineStr">
        <is>
          <t>Sales CRM</t>
        </is>
      </c>
      <c r="C272" s="3" t="inlineStr">
        <is>
          <t>Revenue controls</t>
        </is>
      </c>
      <c r="D272" s="3" t="inlineStr">
        <is>
          <t>How mature is the organization in managing discount governance, pricing exceptions, payment terms and margin protection, including ownership, evidence, metrics, fallback procedures and crisis stress testing?</t>
        </is>
      </c>
      <c r="E272" s="3" t="inlineStr">
        <is>
          <t>Establish a basic owner and inventory for discount governance, pricing exceptions, payment terms and margin protection. Define minimum policy, evidence location and immediate crisis relevance.</t>
        </is>
      </c>
      <c r="F272" s="3" t="inlineStr">
        <is>
          <t>Document discount governance, pricing exceptions, payment terms and margin protection, assign RACI, define minimum controls/KPIs and collect evidence across the main business units or sites.</t>
        </is>
      </c>
      <c r="G272" s="3" t="inlineStr">
        <is>
          <t>Standardize discount governance, pricing exceptions, payment terms and margin protection across the organization, close coverage gaps, link it to crisis scenarios and train accountable roles.</t>
        </is>
      </c>
      <c r="H272" s="3" t="inlineStr">
        <is>
          <t>Measure discount governance, pricing exceptions, payment terms and margin protection, review it periodically, test it against disruption scenarios and integrate it with dependent processes or systems.</t>
        </is>
      </c>
      <c r="I272" s="3" t="inlineStr">
        <is>
          <t>Optimize and automate discount governance, pricing exceptions, payment terms and margin protection where practical, use leading indicators, run periodic stress tests and update the crisis playbook.</t>
        </is>
      </c>
      <c r="J272" s="3" t="inlineStr">
        <is>
          <t>Maintain maturity for discount governance, pricing exceptions, payment terms and margin protection. Monitor drift, keep evidence current, benchmark externally and refresh tests after major changes.</t>
        </is>
      </c>
      <c r="K272" s="3" t="inlineStr">
        <is>
          <t>Reduces exposure to Demand shock; Revenue loss; Reputation crisis; improves Revenue controls maturity, continuity and management visibility.</t>
        </is>
      </c>
      <c r="L272" s="3" t="n">
        <v>5</v>
      </c>
      <c r="M272" s="3" t="n">
        <v>5</v>
      </c>
      <c r="N272" s="3" t="n">
        <v>4</v>
      </c>
      <c r="O272" s="3" t="n">
        <v>3</v>
      </c>
      <c r="P272" s="3" t="n">
        <v>2</v>
      </c>
      <c r="Q272" s="3" t="n">
        <v>1</v>
      </c>
      <c r="R272" s="3" t="inlineStr">
        <is>
          <t>ISO 9001; ISO 10002; ISO 10004; RevOps; MEDDICC; customer success best practices</t>
        </is>
      </c>
      <c r="S272" s="3" t="inlineStr">
        <is>
          <t>Policy/SOP; owner/RACI; system report; dashboard; contracts; test records; incident history; interview evidence related to discount governance, pricing exceptions, payment terms and margin protection.</t>
        </is>
      </c>
      <c r="T272" s="3" t="inlineStr">
        <is>
          <t>Demand shock; Revenue loss; Reputation crisis</t>
        </is>
      </c>
      <c r="U272" s="3" t="inlineStr">
        <is>
          <t>CCO / Sales Ops</t>
        </is>
      </c>
      <c r="V272" s="3" t="inlineStr">
        <is>
          <t>Sales CRM!20</t>
        </is>
      </c>
    </row>
    <row r="273" ht="85.5" customHeight="1" s="209">
      <c r="A273" s="3" t="inlineStr">
        <is>
          <t>SALE-018</t>
        </is>
      </c>
      <c r="B273" s="3" t="inlineStr">
        <is>
          <t>Sales CRM</t>
        </is>
      </c>
      <c r="C273" s="3" t="inlineStr">
        <is>
          <t>Revenue controls</t>
        </is>
      </c>
      <c r="D273" s="3" t="inlineStr">
        <is>
          <t>How mature is the organization in managing deal review for margin, delivery feasibility, legal obligations, security and crisis risk, including ownership, evidence, metrics, fallback procedures and crisis stress testing?</t>
        </is>
      </c>
      <c r="E273" s="3" t="inlineStr">
        <is>
          <t>Establish a basic owner and inventory for deal review for margin, delivery feasibility, legal obligations, security and crisis risk. Define minimum policy, evidence location and immediate crisis relevance.</t>
        </is>
      </c>
      <c r="F273" s="3" t="inlineStr">
        <is>
          <t>Document deal review for margin, delivery feasibility, legal obligations, security and crisis risk, assign RACI, define minimum controls/KPIs and collect evidence across the main business units or sites.</t>
        </is>
      </c>
      <c r="G273" s="3" t="inlineStr">
        <is>
          <t>Standardize deal review for margin, delivery feasibility, legal obligations, security and crisis risk across the organization, close coverage gaps, link it to crisis scenarios and train accountable roles.</t>
        </is>
      </c>
      <c r="H273" s="3" t="inlineStr">
        <is>
          <t>Measure deal review for margin, delivery feasibility, legal obligations, security and crisis risk, review it periodically, test it against disruption scenarios and integrate it with dependent processes or systems.</t>
        </is>
      </c>
      <c r="I273" s="3" t="inlineStr">
        <is>
          <t>Optimize and automate deal review for margin, delivery feasibility, legal obligations, security and crisis risk where practical, use leading indicators, run periodic stress tests and update the crisis playbook.</t>
        </is>
      </c>
      <c r="J273" s="3" t="inlineStr">
        <is>
          <t>Maintain maturity for deal review for margin, delivery feasibility, legal obligations, security and crisis risk. Monitor drift, keep evidence current, benchmark externally and refresh tests after major changes.</t>
        </is>
      </c>
      <c r="K273" s="3" t="inlineStr">
        <is>
          <t>Reduces exposure to Demand shock; Revenue loss; Reputation crisis; improves Revenue controls maturity, continuity and management visibility.</t>
        </is>
      </c>
      <c r="L273" s="3" t="n">
        <v>5</v>
      </c>
      <c r="M273" s="3" t="n">
        <v>5</v>
      </c>
      <c r="N273" s="3" t="n">
        <v>4</v>
      </c>
      <c r="O273" s="3" t="n">
        <v>3</v>
      </c>
      <c r="P273" s="3" t="n">
        <v>2</v>
      </c>
      <c r="Q273" s="3" t="n">
        <v>1</v>
      </c>
      <c r="R273" s="3" t="inlineStr">
        <is>
          <t>ISO 9001; ISO 10002; ISO 10004; RevOps; MEDDICC; customer success best practices</t>
        </is>
      </c>
      <c r="S273" s="3" t="inlineStr">
        <is>
          <t>Policy/SOP; owner/RACI; system report; dashboard; contracts; test records; incident history; interview evidence related to deal review for margin, delivery feasibility, legal obligations, security and crisis risk.</t>
        </is>
      </c>
      <c r="T273" s="3" t="inlineStr">
        <is>
          <t>Demand shock; Revenue loss; Reputation crisis</t>
        </is>
      </c>
      <c r="U273" s="3" t="inlineStr">
        <is>
          <t>CCO / Sales Ops</t>
        </is>
      </c>
      <c r="V273" s="3" t="inlineStr">
        <is>
          <t>Sales CRM!21</t>
        </is>
      </c>
    </row>
    <row r="274" ht="85.5" customHeight="1" s="209">
      <c r="A274" s="3" t="inlineStr">
        <is>
          <t>SALE-020</t>
        </is>
      </c>
      <c r="B274" s="3" t="inlineStr">
        <is>
          <t>Sales CRM</t>
        </is>
      </c>
      <c r="C274" s="3" t="inlineStr">
        <is>
          <t>Revenue controls</t>
        </is>
      </c>
      <c r="D274" s="3" t="inlineStr">
        <is>
          <t>How mature is the organization in managing sales channel continuity if offices close, travel stops, events cancel or one channel fails, including ownership, evidence, metrics, fallback procedures and crisis stress testing?</t>
        </is>
      </c>
      <c r="E274" s="3" t="inlineStr">
        <is>
          <t>Establish a basic owner and inventory for sales channel continuity if offices close, travel stops, events cancel or one channel fails. Define minimum policy, evidence location and immediate crisis relevance.</t>
        </is>
      </c>
      <c r="F274" s="3" t="inlineStr">
        <is>
          <t>Document sales channel continuity if offices close, travel stops, events cancel or one channel fails, assign RACI, define minimum controls/KPIs and collect evidence across the main business units or sites.</t>
        </is>
      </c>
      <c r="G274" s="3" t="inlineStr">
        <is>
          <t>Standardize sales channel continuity if offices close, travel stops, events cancel or one channel fails across the organization, close coverage gaps, link it to crisis scenarios and train accountable roles.</t>
        </is>
      </c>
      <c r="H274" s="3" t="inlineStr">
        <is>
          <t>Measure sales channel continuity if offices close, travel stops, events cancel or one channel fails, review it periodically, test it against disruption scenarios and integrate it with dependent processes or systems.</t>
        </is>
      </c>
      <c r="I274" s="3" t="inlineStr">
        <is>
          <t>Optimize and automate sales channel continuity if offices close, travel stops, events cancel or one channel fails where practical, use leading indicators, run periodic stress tests and update the crisis playbook.</t>
        </is>
      </c>
      <c r="J274" s="3" t="inlineStr">
        <is>
          <t>Maintain maturity for sales channel continuity if offices close, travel stops, events cancel or one channel fails. Monitor drift, keep evidence current, benchmark externally and refresh tests after major changes.</t>
        </is>
      </c>
      <c r="K274" s="3" t="inlineStr">
        <is>
          <t>Reduces exposure to Demand shock; Revenue loss; Reputation crisis; improves Revenue controls maturity, continuity and management visibility.</t>
        </is>
      </c>
      <c r="L274" s="3" t="n">
        <v>5</v>
      </c>
      <c r="M274" s="3" t="n">
        <v>5</v>
      </c>
      <c r="N274" s="3" t="n">
        <v>4</v>
      </c>
      <c r="O274" s="3" t="n">
        <v>3</v>
      </c>
      <c r="P274" s="3" t="n">
        <v>2</v>
      </c>
      <c r="Q274" s="3" t="n">
        <v>1</v>
      </c>
      <c r="R274" s="3" t="inlineStr">
        <is>
          <t>ISO 9001; ISO 10002; ISO 10004; RevOps; MEDDICC; customer success best practices</t>
        </is>
      </c>
      <c r="S274" s="3" t="inlineStr">
        <is>
          <t>Policy/SOP; owner/RACI; system report; dashboard; contracts; test records; incident history; interview evidence related to sales channel continuity if offices close, travel stops, events cancel or one channel fails.</t>
        </is>
      </c>
      <c r="T274" s="3" t="inlineStr">
        <is>
          <t>Demand shock; Revenue loss; Reputation crisis</t>
        </is>
      </c>
      <c r="U274" s="3" t="inlineStr">
        <is>
          <t>CCO / Sales Ops</t>
        </is>
      </c>
      <c r="V274" s="3" t="inlineStr">
        <is>
          <t>Sales CRM!22</t>
        </is>
      </c>
    </row>
    <row r="275" ht="85.5" customHeight="1" s="209">
      <c r="A275" s="3" t="inlineStr">
        <is>
          <t>SALE-021</t>
        </is>
      </c>
      <c r="B275" s="3" t="inlineStr">
        <is>
          <t>Sales CRM</t>
        </is>
      </c>
      <c r="C275" s="3" t="inlineStr">
        <is>
          <t>Revenue controls</t>
        </is>
      </c>
      <c r="D275" s="3" t="inlineStr">
        <is>
          <t>How mature is the organization in managing ecommerce continuity for payments, logistics, website, stock and customer support where relevant, including ownership, evidence, metrics, fallback procedures and crisis stress testing?</t>
        </is>
      </c>
      <c r="E275" s="3" t="inlineStr">
        <is>
          <t>Establish a basic owner and inventory for ecommerce continuity for payments, logistics, website, stock and customer support where relevant. Define minimum policy, evidence location and immediate crisis relevance.</t>
        </is>
      </c>
      <c r="F275" s="3" t="inlineStr">
        <is>
          <t>Document ecommerce continuity for payments, logistics, website, stock and customer support where relevant, assign RACI, define minimum controls/KPIs and collect evidence across the main business units or sites.</t>
        </is>
      </c>
      <c r="G275" s="3" t="inlineStr">
        <is>
          <t>Standardize ecommerce continuity for payments, logistics, website, stock and customer support where relevant across the organization, close coverage gaps, link it to crisis scenarios and train accountable roles.</t>
        </is>
      </c>
      <c r="H275" s="3" t="inlineStr">
        <is>
          <t>Measure ecommerce continuity for payments, logistics, website, stock and customer support where relevant, review it periodically, test it against disruption scenarios and integrate it with dependent processes or systems.</t>
        </is>
      </c>
      <c r="I275" s="3" t="inlineStr">
        <is>
          <t>Optimize and automate ecommerce continuity for payments, logistics, website, stock and customer support where relevant where practical, use leading indicators, run periodic stress tests and update the crisis playbook.</t>
        </is>
      </c>
      <c r="J275" s="3" t="inlineStr">
        <is>
          <t>Maintain maturity for ecommerce continuity for payments, logistics, website, stock and customer support where relevant. Monitor drift, keep evidence current, benchmark externally and refresh tests after major changes.</t>
        </is>
      </c>
      <c r="K275" s="3" t="inlineStr">
        <is>
          <t>Reduces exposure to Demand shock; Revenue loss; Reputation crisis; improves Revenue controls maturity, continuity and management visibility.</t>
        </is>
      </c>
      <c r="L275" s="3" t="n">
        <v>5</v>
      </c>
      <c r="M275" s="3" t="n">
        <v>5</v>
      </c>
      <c r="N275" s="3" t="n">
        <v>4</v>
      </c>
      <c r="O275" s="3" t="n">
        <v>3</v>
      </c>
      <c r="P275" s="3" t="n">
        <v>2</v>
      </c>
      <c r="Q275" s="3" t="n">
        <v>1</v>
      </c>
      <c r="R275" s="3" t="inlineStr">
        <is>
          <t>ISO 9001; ISO 10002; ISO 10004; RevOps; MEDDICC; customer success best practices</t>
        </is>
      </c>
      <c r="S275" s="3" t="inlineStr">
        <is>
          <t>Policy/SOP; owner/RACI; system report; dashboard; contracts; test records; incident history; interview evidence related to ecommerce continuity for payments, logistics, website, stock and customer support where relevant.</t>
        </is>
      </c>
      <c r="T275" s="3" t="inlineStr">
        <is>
          <t>Demand shock; Revenue loss; Reputation crisis</t>
        </is>
      </c>
      <c r="U275" s="3" t="inlineStr">
        <is>
          <t>CCO / Sales Ops</t>
        </is>
      </c>
      <c r="V275" s="3" t="inlineStr">
        <is>
          <t>Sales CRM!23</t>
        </is>
      </c>
    </row>
    <row r="276" ht="85.5" customHeight="1" s="209">
      <c r="A276" s="3" t="inlineStr">
        <is>
          <t>SALE-022</t>
        </is>
      </c>
      <c r="B276" s="3" t="inlineStr">
        <is>
          <t>Sales CRM</t>
        </is>
      </c>
      <c r="C276" s="3" t="inlineStr">
        <is>
          <t>Customer service</t>
        </is>
      </c>
      <c r="D276" s="3" t="inlineStr">
        <is>
          <t>How mature is the organization in managing customer service operating model with channels, coverage hours, tiers and service levels, including ownership, evidence, metrics, fallback procedures and crisis stress testing?</t>
        </is>
      </c>
      <c r="E276" s="3" t="inlineStr">
        <is>
          <t>Establish a basic owner and inventory for customer service operating model with channels, coverage hours, tiers and service levels. Define minimum policy, evidence location and immediate crisis relevance.</t>
        </is>
      </c>
      <c r="F276" s="3" t="inlineStr">
        <is>
          <t>Document customer service operating model with channels, coverage hours, tiers and service levels, assign RACI, define minimum controls/KPIs and collect evidence across the main business units or sites.</t>
        </is>
      </c>
      <c r="G276" s="3" t="inlineStr">
        <is>
          <t>Standardize customer service operating model with channels, coverage hours, tiers and service levels across the organization, close coverage gaps, link it to crisis scenarios and train accountable roles.</t>
        </is>
      </c>
      <c r="H276" s="3" t="inlineStr">
        <is>
          <t>Measure customer service operating model with channels, coverage hours, tiers and service levels, review it periodically, test it against disruption scenarios and integrate it with dependent processes or systems.</t>
        </is>
      </c>
      <c r="I276" s="3" t="inlineStr">
        <is>
          <t>Optimize and automate customer service operating model with channels, coverage hours, tiers and service levels where practical, use leading indicators, run periodic stress tests and update the crisis playbook.</t>
        </is>
      </c>
      <c r="J276" s="3" t="inlineStr">
        <is>
          <t>Maintain maturity for customer service operating model with channels, coverage hours, tiers and service levels. Monitor drift, keep evidence current, benchmark externally and refresh tests after major changes.</t>
        </is>
      </c>
      <c r="K276" s="3" t="inlineStr">
        <is>
          <t>Reduces exposure to Demand shock; Reputation crisis; Workforce disruption; improves Customer service maturity, continuity and management visibility.</t>
        </is>
      </c>
      <c r="L276" s="3" t="n">
        <v>3</v>
      </c>
      <c r="M276" s="3" t="n">
        <v>3</v>
      </c>
      <c r="N276" s="3" t="n">
        <v>2</v>
      </c>
      <c r="O276" s="3" t="n">
        <v>2</v>
      </c>
      <c r="P276" s="3" t="n">
        <v>1</v>
      </c>
      <c r="Q276" s="3" t="n">
        <v>1</v>
      </c>
      <c r="R276" s="3" t="inlineStr">
        <is>
          <t>APQC PCF 6.0; ITIL; ISO 10002; ISO 22301</t>
        </is>
      </c>
      <c r="S276" s="3" t="inlineStr">
        <is>
          <t>Policy/SOP; owner/RACI; system report; dashboard; contracts; test records; incident history; interview evidence related to customer service operating model with channels, coverage hours, tiers and service levels</t>
        </is>
      </c>
      <c r="T276" s="3" t="inlineStr">
        <is>
          <t>Demand shock; Reputation crisis; Workforce disruption</t>
        </is>
      </c>
      <c r="U276" s="3" t="inlineStr">
        <is>
          <t>Head of Customer Service / COO</t>
        </is>
      </c>
      <c r="V276" s="3" t="inlineStr">
        <is>
          <t>Sales CRM!24</t>
        </is>
      </c>
    </row>
    <row r="277" ht="85.5" customHeight="1" s="209">
      <c r="A277" s="3" t="inlineStr">
        <is>
          <t>SALE-023</t>
        </is>
      </c>
      <c r="B277" s="3" t="inlineStr">
        <is>
          <t>Sales CRM</t>
        </is>
      </c>
      <c r="C277" s="3" t="inlineStr">
        <is>
          <t>Customer service</t>
        </is>
      </c>
      <c r="D277" s="3" t="inlineStr">
        <is>
          <t>How mature is the organization in managing case and ticket management with logging, categorization, prioritization, escalation and backlog control, including ownership, evidence, metrics, fallback procedures and crisis stress testing?</t>
        </is>
      </c>
      <c r="E277" s="3" t="inlineStr">
        <is>
          <t>Establish a basic owner and inventory for case and ticket management with logging, categorization, prioritization, escalation and backlog control. Define minimum policy, evidence location and immediate crisis relevance.</t>
        </is>
      </c>
      <c r="F277" s="3" t="inlineStr">
        <is>
          <t>Document case and ticket management with logging, categorization, prioritization, escalation and backlog control, assign RACI, define minimum controls/KPIs and collect evidence across the main business units or sites.</t>
        </is>
      </c>
      <c r="G277" s="3" t="inlineStr">
        <is>
          <t>Standardize case and ticket management with logging, categorization, prioritization, escalation and backlog control across the organization, close coverage gaps, link it to crisis scenarios and train accountable roles.</t>
        </is>
      </c>
      <c r="H277" s="3" t="inlineStr">
        <is>
          <t>Measure case and ticket management with logging, categorization, prioritization, escalation and backlog control, review it periodically, test it against disruption scenarios and integrate it with dependent processes or systems.</t>
        </is>
      </c>
      <c r="I277" s="3" t="inlineStr">
        <is>
          <t>Optimize and automate case and ticket management with logging, categorization, prioritization, escalation and backlog control where practical, use leading indicators, run periodic stress tests and update the crisis playbook.</t>
        </is>
      </c>
      <c r="J277" s="3" t="inlineStr">
        <is>
          <t>Maintain maturity for case and ticket management with logging, categorization, prioritization, escalation and backlog control. Monitor drift, keep evidence current, benchmark externally and refresh tests after major changes.</t>
        </is>
      </c>
      <c r="K277" s="3" t="inlineStr">
        <is>
          <t>Reduces exposure to Demand shock; Reputation crisis; Cyberattack/ransomware; improves Customer service maturity, continuity and management visibility.</t>
        </is>
      </c>
      <c r="L277" s="3" t="n">
        <v>3</v>
      </c>
      <c r="M277" s="3" t="n">
        <v>3</v>
      </c>
      <c r="N277" s="3" t="n">
        <v>2</v>
      </c>
      <c r="O277" s="3" t="n">
        <v>2</v>
      </c>
      <c r="P277" s="3" t="n">
        <v>1</v>
      </c>
      <c r="Q277" s="3" t="n">
        <v>1</v>
      </c>
      <c r="R277" s="3" t="inlineStr">
        <is>
          <t>APQC PCF 6.2; ITIL; ISO 10002</t>
        </is>
      </c>
      <c r="S277" s="3" t="inlineStr">
        <is>
          <t>Policy/SOP; owner/RACI; system report; dashboard; contracts; test records; incident history; interview evidence related to case and ticket management with logging, categorization, prioritization, escalation and backlog control</t>
        </is>
      </c>
      <c r="T277" s="3" t="inlineStr">
        <is>
          <t>Demand shock; Reputation crisis; Cyberattack/ransomware</t>
        </is>
      </c>
      <c r="U277" s="3" t="inlineStr">
        <is>
          <t>Head of Customer Service</t>
        </is>
      </c>
      <c r="V277" s="3" t="inlineStr">
        <is>
          <t>Sales CRM!25</t>
        </is>
      </c>
    </row>
    <row r="278" ht="85.5" customHeight="1" s="209">
      <c r="A278" s="3" t="inlineStr">
        <is>
          <t>SALE-024</t>
        </is>
      </c>
      <c r="B278" s="3" t="inlineStr">
        <is>
          <t>Sales CRM</t>
        </is>
      </c>
      <c r="C278" s="3" t="inlineStr">
        <is>
          <t>Customer service</t>
        </is>
      </c>
      <c r="D278" s="3" t="inlineStr">
        <is>
          <t>How mature is the organization in managing customer service continuity with surge handling, channel failover and after-hours emergency coverage, including ownership, evidence, metrics, fallback procedures and crisis stress testing?</t>
        </is>
      </c>
      <c r="E278" s="3" t="inlineStr">
        <is>
          <t>Establish a basic owner and inventory for customer service continuity with surge handling, channel failover and after-hours emergency coverage. Define minimum policy, evidence location and immediate crisis relevance.</t>
        </is>
      </c>
      <c r="F278" s="3" t="inlineStr">
        <is>
          <t>Document customer service continuity with surge handling, channel failover and after-hours emergency coverage, assign RACI, define minimum controls/KPIs and collect evidence across the main business units or sites.</t>
        </is>
      </c>
      <c r="G278" s="3" t="inlineStr">
        <is>
          <t>Standardize customer service continuity with surge handling, channel failover and after-hours emergency coverage across the organization, close coverage gaps, link it to crisis scenarios and train accountable roles.</t>
        </is>
      </c>
      <c r="H278" s="3" t="inlineStr">
        <is>
          <t>Measure customer service continuity with surge handling, channel failover and after-hours emergency coverage, review it periodically, test it against disruption scenarios and integrate it with dependent processes or systems.</t>
        </is>
      </c>
      <c r="I278" s="3" t="inlineStr">
        <is>
          <t>Optimize and automate customer service continuity with surge handling, channel failover and after-hours emergency coverage where practical, use leading indicators, run periodic stress tests and update the crisis playbook.</t>
        </is>
      </c>
      <c r="J278" s="3" t="inlineStr">
        <is>
          <t>Maintain maturity for customer service continuity with surge handling, channel failover and after-hours emergency coverage. Monitor drift, keep evidence current, benchmark externally and refresh tests after major changes.</t>
        </is>
      </c>
      <c r="K278" s="3" t="inlineStr">
        <is>
          <t>Reduces exposure to Demand shock; Workforce disruption; Cloud/SaaS outage; improves Customer service maturity, continuity and management visibility.</t>
        </is>
      </c>
      <c r="L278" s="3" t="n">
        <v>3</v>
      </c>
      <c r="M278" s="3" t="n">
        <v>3</v>
      </c>
      <c r="N278" s="3" t="n">
        <v>3</v>
      </c>
      <c r="O278" s="3" t="n">
        <v>2</v>
      </c>
      <c r="P278" s="3" t="n">
        <v>2</v>
      </c>
      <c r="Q278" s="3" t="n">
        <v>1</v>
      </c>
      <c r="R278" s="3" t="inlineStr">
        <is>
          <t>ISO 22301; ITIL; APQC PCF 6.0</t>
        </is>
      </c>
      <c r="S278" s="3" t="inlineStr">
        <is>
          <t>Policy/SOP; owner/RACI; system report; dashboard; contracts; test records; incident history; interview evidence related to customer service continuity with surge handling, channel failover and after-hours emergency coverage</t>
        </is>
      </c>
      <c r="T278" s="3" t="inlineStr">
        <is>
          <t>Demand shock; Workforce disruption; Cloud/SaaS outage</t>
        </is>
      </c>
      <c r="U278" s="3" t="inlineStr">
        <is>
          <t>Head of Customer Service / COO</t>
        </is>
      </c>
      <c r="V278" s="3" t="inlineStr">
        <is>
          <t>Sales CRM!26</t>
        </is>
      </c>
    </row>
    <row r="279" ht="85.5" customHeight="1" s="209">
      <c r="A279" s="3" t="inlineStr">
        <is>
          <t>SALE-025</t>
        </is>
      </c>
      <c r="B279" s="3" t="inlineStr">
        <is>
          <t>Sales CRM</t>
        </is>
      </c>
      <c r="C279" s="3" t="inlineStr">
        <is>
          <t>Customer service</t>
        </is>
      </c>
      <c r="D279" s="3" t="inlineStr">
        <is>
          <t>How mature is the organization in managing voice-of-customer loop converting complaints and feedback into product and process improvements, including ownership, evidence, metrics, fallback procedures and crisis stress testing?</t>
        </is>
      </c>
      <c r="E279" s="3" t="inlineStr">
        <is>
          <t>Establish a basic owner and inventory for voice-of-customer loop converting complaints and feedback into product and process improvements. Define minimum policy, evidence location and immediate crisis relevance.</t>
        </is>
      </c>
      <c r="F279" s="3" t="inlineStr">
        <is>
          <t>Document voice-of-customer loop converting complaints and feedback into product and process improvements, assign RACI, define minimum controls/KPIs and collect evidence across the main business units or sites.</t>
        </is>
      </c>
      <c r="G279" s="3" t="inlineStr">
        <is>
          <t>Standardize voice-of-customer loop converting complaints and feedback into product and process improvements across the organization, close coverage gaps, link it to crisis scenarios and train accountable roles.</t>
        </is>
      </c>
      <c r="H279" s="3" t="inlineStr">
        <is>
          <t>Measure voice-of-customer loop converting complaints and feedback into product and process improvements, review it periodically, test it against disruption scenarios and integrate it with dependent processes or systems.</t>
        </is>
      </c>
      <c r="I279" s="3" t="inlineStr">
        <is>
          <t>Optimize and automate voice-of-customer loop converting complaints and feedback into product and process improvements where practical, use leading indicators, run periodic stress tests and update the crisis playbook.</t>
        </is>
      </c>
      <c r="J279" s="3" t="inlineStr">
        <is>
          <t>Maintain maturity for voice-of-customer loop converting complaints and feedback into product and process improvements. Monitor drift, keep evidence current, benchmark externally and refresh tests after major changes.</t>
        </is>
      </c>
      <c r="K279" s="3" t="inlineStr">
        <is>
          <t>Reduces exposure to Reputation crisis; Demand shock; improves Customer service maturity, continuity and management visibility.</t>
        </is>
      </c>
      <c r="L279" s="3" t="n">
        <v>2</v>
      </c>
      <c r="M279" s="3" t="n">
        <v>2</v>
      </c>
      <c r="N279" s="3" t="n">
        <v>2</v>
      </c>
      <c r="O279" s="3" t="n">
        <v>2</v>
      </c>
      <c r="P279" s="3" t="n">
        <v>1</v>
      </c>
      <c r="Q279" s="3" t="n">
        <v>1</v>
      </c>
      <c r="R279" s="3" t="inlineStr">
        <is>
          <t>ISO 10002; ISO 10004; APQC PCF 6.3</t>
        </is>
      </c>
      <c r="S279" s="3" t="inlineStr">
        <is>
          <t>Policy/SOP; owner/RACI; system report; dashboard; contracts; test records; incident history; interview evidence related to voice-of-customer loop converting complaints and feedback into product and process improvements</t>
        </is>
      </c>
      <c r="T279" s="3" t="inlineStr">
        <is>
          <t>Reputation crisis; Demand shock</t>
        </is>
      </c>
      <c r="U279" s="3" t="inlineStr">
        <is>
          <t>Head of Customer Service / CMO</t>
        </is>
      </c>
      <c r="V279" s="3" t="inlineStr">
        <is>
          <t>Sales CRM!27</t>
        </is>
      </c>
    </row>
    <row r="280" ht="85.5" customHeight="1" s="209">
      <c r="A280" s="3" t="inlineStr">
        <is>
          <t>SALE-026</t>
        </is>
      </c>
      <c r="B280" s="3" t="inlineStr">
        <is>
          <t>Sales CRM</t>
        </is>
      </c>
      <c r="C280" s="3" t="inlineStr">
        <is>
          <t>Customer service</t>
        </is>
      </c>
      <c r="D280" s="3" t="inlineStr">
        <is>
          <t>How mature is the organization in managing systematic customer perception measurement with NPS or CSAT trends, segmentation and follow-up actions, including ownership, evidence, metrics, fallback procedures and crisis stress testing?</t>
        </is>
      </c>
      <c r="E280" s="3" t="inlineStr">
        <is>
          <t>Establish a basic owner and inventory for systematic customer perception measurement with NPS or CSAT trends, segmentation and follow-up actions. Define minimum policy, evidence location and immediate crisis relevance.</t>
        </is>
      </c>
      <c r="F280" s="3" t="inlineStr">
        <is>
          <t>Document systematic customer perception measurement with NPS or CSAT trends, segmentation and follow-up actions, assign RACI, define minimum controls/KPIs and collect evidence across the main business units or sites.</t>
        </is>
      </c>
      <c r="G280" s="3" t="inlineStr">
        <is>
          <t>Standardize systematic customer perception measurement with NPS or CSAT trends, segmentation and follow-up actions across the organization, close coverage gaps, link it to crisis scenarios and train accountable roles.</t>
        </is>
      </c>
      <c r="H280" s="3" t="inlineStr">
        <is>
          <t>Measure systematic customer perception measurement with NPS or CSAT trends, segmentation and follow-up actions, review it periodically, test it against disruption scenarios and integrate it with dependent processes or systems.</t>
        </is>
      </c>
      <c r="I280" s="3" t="inlineStr">
        <is>
          <t>Optimize and automate systematic customer perception measurement with NPS or CSAT trends, segmentation and follow-up actions where practical, use leading indicators, run periodic stress tests and update the crisis playbook.</t>
        </is>
      </c>
      <c r="J280" s="3" t="inlineStr">
        <is>
          <t>Maintain maturity for systematic customer perception measurement with NPS or CSAT trends, segmentation and follow-up actions. Monitor drift, keep evidence current, benchmark externally and refresh tests after major changes.</t>
        </is>
      </c>
      <c r="K280" s="3" t="inlineStr">
        <is>
          <t>Reduces exposure to Reputation crisis; Demand shock; Key customer loss; improves Customer service maturity, continuity and management visibility.</t>
        </is>
      </c>
      <c r="L280" s="3" t="n">
        <v>2</v>
      </c>
      <c r="M280" s="3" t="n">
        <v>2</v>
      </c>
      <c r="N280" s="3" t="n">
        <v>2</v>
      </c>
      <c r="O280" s="3" t="n">
        <v>2</v>
      </c>
      <c r="P280" s="3" t="n">
        <v>1</v>
      </c>
      <c r="Q280" s="3" t="n">
        <v>1</v>
      </c>
      <c r="R280" s="3" t="inlineStr">
        <is>
          <t>ISO 10004; EFQM 2025 Results; APQC PCF 3.0</t>
        </is>
      </c>
      <c r="S280" s="3" t="inlineStr">
        <is>
          <t>Policy/SOP; owner/RACI; system report; dashboard; contracts; test records; incident history; interview evidence related to systematic customer perception measurement with NPS or CSAT trends, segmentation and follow-up actions</t>
        </is>
      </c>
      <c r="T280" s="3" t="inlineStr">
        <is>
          <t>Reputation crisis; Demand shock; Key customer loss</t>
        </is>
      </c>
      <c r="U280" s="3" t="inlineStr">
        <is>
          <t>Head of Customer Service / CMO</t>
        </is>
      </c>
      <c r="V280" s="3" t="inlineStr">
        <is>
          <t>Sales CRM!28</t>
        </is>
      </c>
    </row>
    <row r="281" ht="71.25" customHeight="1" s="209">
      <c r="A281" s="3" t="inlineStr">
        <is>
          <t>MARK-001</t>
        </is>
      </c>
      <c r="B281" s="3" t="inlineStr">
        <is>
          <t>Marketing Comms</t>
        </is>
      </c>
      <c r="C281" s="3" t="inlineStr">
        <is>
          <t>Brand and market presence</t>
        </is>
      </c>
      <c r="D281" s="3" t="inlineStr">
        <is>
          <t>How mature is the organization in managing brand positioning aligned with ICP, offering, differentiation and proof points, including ownership, evidence, metrics, fallback procedures and crisis stress testing?</t>
        </is>
      </c>
      <c r="E281" s="3" t="inlineStr">
        <is>
          <t>Establish a basic owner and inventory for brand positioning aligned with ICP, offering, differentiation and proof points. Define minimum policy, evidence location and immediate crisis relevance.</t>
        </is>
      </c>
      <c r="F281" s="3" t="inlineStr">
        <is>
          <t>Document brand positioning aligned with ICP, offering, differentiation and proof points, assign RACI, define minimum controls/KPIs and collect evidence across the main business units or sites.</t>
        </is>
      </c>
      <c r="G281" s="3" t="inlineStr">
        <is>
          <t>Standardize brand positioning aligned with ICP, offering, differentiation and proof points across the organization, close coverage gaps, link it to crisis scenarios and train accountable roles.</t>
        </is>
      </c>
      <c r="H281" s="3" t="inlineStr">
        <is>
          <t>Measure brand positioning aligned with ICP, offering, differentiation and proof points, review it periodically, test it against disruption scenarios and integrate it with dependent processes or systems.</t>
        </is>
      </c>
      <c r="I281" s="3" t="inlineStr">
        <is>
          <t>Optimize and automate brand positioning aligned with ICP, offering, differentiation and proof points where practical, use leading indicators, run periodic stress tests and update the crisis playbook.</t>
        </is>
      </c>
      <c r="J281" s="3" t="inlineStr">
        <is>
          <t>Maintain maturity for brand positioning aligned with ICP, offering, differentiation and proof points. Monitor drift, keep evidence current, benchmark externally and refresh tests after major changes.</t>
        </is>
      </c>
      <c r="K281" s="3" t="inlineStr">
        <is>
          <t>Reduces exposure to Reputation crisis; Demand shock; IT outage; improves Brand and market presence maturity, continuity and management visibility.</t>
        </is>
      </c>
      <c r="L281" s="3" t="n">
        <v>3</v>
      </c>
      <c r="M281" s="3" t="n">
        <v>3</v>
      </c>
      <c r="N281" s="3" t="n">
        <v>2</v>
      </c>
      <c r="O281" s="3" t="n">
        <v>2</v>
      </c>
      <c r="P281" s="3" t="n">
        <v>1</v>
      </c>
      <c r="Q281" s="3" t="n">
        <v>1</v>
      </c>
      <c r="R281" s="3" t="inlineStr">
        <is>
          <t>ISO 10002; ISO 10004; ISO 20671-1; ISO 22301; AMEC; crisis communication best practices</t>
        </is>
      </c>
      <c r="S281" s="3" t="inlineStr">
        <is>
          <t>Policy/SOP; owner/RACI; system report; dashboard; contracts; test records; incident history; interview evidence related to brand positioning aligned with ICP, offering, differentiation and proof points.</t>
        </is>
      </c>
      <c r="T281" s="3" t="inlineStr">
        <is>
          <t>Reputation crisis; Demand shock; IT outage</t>
        </is>
      </c>
      <c r="U281" s="3" t="inlineStr">
        <is>
          <t>CMO / Communications</t>
        </is>
      </c>
      <c r="V281" s="3" t="inlineStr">
        <is>
          <t>Marketing Comms!5</t>
        </is>
      </c>
    </row>
    <row r="282" ht="85.5" customHeight="1" s="209">
      <c r="A282" s="3" t="inlineStr">
        <is>
          <t>MARK-002</t>
        </is>
      </c>
      <c r="B282" s="3" t="inlineStr">
        <is>
          <t>Marketing Comms</t>
        </is>
      </c>
      <c r="C282" s="3" t="inlineStr">
        <is>
          <t>Brand and market presence</t>
        </is>
      </c>
      <c r="D282" s="3" t="inlineStr">
        <is>
          <t>How mature is the organization in managing digital channel dependency across website, search, paid media, social, events and partners, including ownership, evidence, metrics, fallback procedures and crisis stress testing?</t>
        </is>
      </c>
      <c r="E282" s="3" t="inlineStr">
        <is>
          <t>Establish a basic owner and inventory for digital channel dependency across website, search, paid media, social, events and partners. Define minimum policy, evidence location and immediate crisis relevance.</t>
        </is>
      </c>
      <c r="F282" s="3" t="inlineStr">
        <is>
          <t>Document digital channel dependency across website, search, paid media, social, events and partners, assign RACI, define minimum controls/KPIs and collect evidence across the main business units or sites.</t>
        </is>
      </c>
      <c r="G282" s="3" t="inlineStr">
        <is>
          <t>Standardize digital channel dependency across website, search, paid media, social, events and partners across the organization, close coverage gaps, link it to crisis scenarios and train accountable roles.</t>
        </is>
      </c>
      <c r="H282" s="3" t="inlineStr">
        <is>
          <t>Measure digital channel dependency across website, search, paid media, social, events and partners, review it periodically, test it against disruption scenarios and integrate it with dependent processes or systems.</t>
        </is>
      </c>
      <c r="I282" s="3" t="inlineStr">
        <is>
          <t>Optimize and automate digital channel dependency across website, search, paid media, social, events and partners where practical, use leading indicators, run periodic stress tests and update the crisis playbook.</t>
        </is>
      </c>
      <c r="J282" s="3" t="inlineStr">
        <is>
          <t>Maintain maturity for digital channel dependency across website, search, paid media, social, events and partners. Monitor drift, keep evidence current, benchmark externally and refresh tests after major changes.</t>
        </is>
      </c>
      <c r="K282" s="3" t="inlineStr">
        <is>
          <t>Reduces exposure to Reputation crisis; Demand shock; IT outage; improves Brand and market presence maturity, continuity and management visibility.</t>
        </is>
      </c>
      <c r="L282" s="3" t="n">
        <v>3</v>
      </c>
      <c r="M282" s="3" t="n">
        <v>3</v>
      </c>
      <c r="N282" s="3" t="n">
        <v>2</v>
      </c>
      <c r="O282" s="3" t="n">
        <v>2</v>
      </c>
      <c r="P282" s="3" t="n">
        <v>1</v>
      </c>
      <c r="Q282" s="3" t="n">
        <v>1</v>
      </c>
      <c r="R282" s="3" t="inlineStr">
        <is>
          <t>ISO 10002; ISO 10004; ISO 20671-1; ISO 22301; AMEC; crisis communication best practices</t>
        </is>
      </c>
      <c r="S282" s="3" t="inlineStr">
        <is>
          <t>Policy/SOP; owner/RACI; system report; dashboard; contracts; test records; incident history; interview evidence related to digital channel dependency across website, search, paid media, social, events and partners.</t>
        </is>
      </c>
      <c r="T282" s="3" t="inlineStr">
        <is>
          <t>Reputation crisis; Demand shock; IT outage</t>
        </is>
      </c>
      <c r="U282" s="3" t="inlineStr">
        <is>
          <t>CMO / Communications</t>
        </is>
      </c>
      <c r="V282" s="3" t="inlineStr">
        <is>
          <t>Marketing Comms!6</t>
        </is>
      </c>
    </row>
    <row r="283" ht="85.5" customHeight="1" s="209">
      <c r="A283" s="3" t="inlineStr">
        <is>
          <t>MARK-003</t>
        </is>
      </c>
      <c r="B283" s="3" t="inlineStr">
        <is>
          <t>Marketing Comms</t>
        </is>
      </c>
      <c r="C283" s="3" t="inlineStr">
        <is>
          <t>Brand and market presence</t>
        </is>
      </c>
      <c r="D283" s="3" t="inlineStr">
        <is>
          <t>How mature is the organization in managing website and lead-form availability during traffic spikes, cyberattacks or hosting outages, including ownership, evidence, metrics, fallback procedures and crisis stress testing?</t>
        </is>
      </c>
      <c r="E283" s="3" t="inlineStr">
        <is>
          <t>Establish a basic owner and inventory for website and lead-form availability during traffic spikes, cyberattacks or hosting outages. Define minimum policy, evidence location and immediate crisis relevance.</t>
        </is>
      </c>
      <c r="F283" s="3" t="inlineStr">
        <is>
          <t>Document website and lead-form availability during traffic spikes, cyberattacks or hosting outages, assign RACI, define minimum controls/KPIs and collect evidence across the main business units or sites.</t>
        </is>
      </c>
      <c r="G283" s="3" t="inlineStr">
        <is>
          <t>Standardize website and lead-form availability during traffic spikes, cyberattacks or hosting outages across the organization, close coverage gaps, link it to crisis scenarios and train accountable roles.</t>
        </is>
      </c>
      <c r="H283" s="3" t="inlineStr">
        <is>
          <t>Measure website and lead-form availability during traffic spikes, cyberattacks or hosting outages, review it periodically, test it against disruption scenarios and integrate it with dependent processes or systems.</t>
        </is>
      </c>
      <c r="I283" s="3" t="inlineStr">
        <is>
          <t>Optimize and automate website and lead-form availability during traffic spikes, cyberattacks or hosting outages where practical, use leading indicators, run periodic stress tests and update the crisis playbook.</t>
        </is>
      </c>
      <c r="J283" s="3" t="inlineStr">
        <is>
          <t>Maintain maturity for website and lead-form availability during traffic spikes, cyberattacks or hosting outages. Monitor drift, keep evidence current, benchmark externally and refresh tests after major changes.</t>
        </is>
      </c>
      <c r="K283" s="3" t="inlineStr">
        <is>
          <t>Reduces exposure to Reputation crisis; Demand shock; IT outage; improves Brand and market presence maturity, continuity and management visibility.</t>
        </is>
      </c>
      <c r="L283" s="3" t="n">
        <v>4</v>
      </c>
      <c r="M283" s="3" t="n">
        <v>4</v>
      </c>
      <c r="N283" s="3" t="n">
        <v>3</v>
      </c>
      <c r="O283" s="3" t="n">
        <v>2</v>
      </c>
      <c r="P283" s="3" t="n">
        <v>1</v>
      </c>
      <c r="Q283" s="3" t="n">
        <v>1</v>
      </c>
      <c r="R283" s="3" t="inlineStr">
        <is>
          <t>ISO 10002; ISO 10004; ISO 20671-1; ISO 22301; AMEC; crisis communication best practices</t>
        </is>
      </c>
      <c r="S283" s="3" t="inlineStr">
        <is>
          <t>Policy/SOP; owner/RACI; system report; dashboard; contracts; test records; incident history; interview evidence related to website and lead-form availability during traffic spikes, cyberattacks or hosting outages.</t>
        </is>
      </c>
      <c r="T283" s="3" t="inlineStr">
        <is>
          <t>Reputation crisis; Demand shock; IT outage</t>
        </is>
      </c>
      <c r="U283" s="3" t="inlineStr">
        <is>
          <t>CMO / Communications</t>
        </is>
      </c>
      <c r="V283" s="3" t="inlineStr">
        <is>
          <t>Marketing Comms!7</t>
        </is>
      </c>
    </row>
    <row r="284" ht="85.5" customHeight="1" s="209">
      <c r="A284" s="3" t="inlineStr">
        <is>
          <t>MARK-004</t>
        </is>
      </c>
      <c r="B284" s="3" t="inlineStr">
        <is>
          <t>Marketing Comms</t>
        </is>
      </c>
      <c r="C284" s="3" t="inlineStr">
        <is>
          <t>Brand and market presence</t>
        </is>
      </c>
      <c r="D284" s="3" t="inlineStr">
        <is>
          <t>How mature is the organization in managing campaign performance, attribution, conversion, CAC and channel ROI measurement, including ownership, evidence, metrics, fallback procedures and crisis stress testing?</t>
        </is>
      </c>
      <c r="E284" s="3" t="inlineStr">
        <is>
          <t>Establish a basic owner and inventory for campaign performance, attribution, conversion, CAC and channel ROI measurement. Define minimum policy, evidence location and immediate crisis relevance.</t>
        </is>
      </c>
      <c r="F284" s="3" t="inlineStr">
        <is>
          <t>Document campaign performance, attribution, conversion, CAC and channel ROI measurement, assign RACI, define minimum controls/KPIs and collect evidence across the main business units or sites.</t>
        </is>
      </c>
      <c r="G284" s="3" t="inlineStr">
        <is>
          <t>Standardize campaign performance, attribution, conversion, CAC and channel ROI measurement across the organization, close coverage gaps, link it to crisis scenarios and train accountable roles.</t>
        </is>
      </c>
      <c r="H284" s="3" t="inlineStr">
        <is>
          <t>Measure campaign performance, attribution, conversion, CAC and channel ROI measurement, review it periodically, test it against disruption scenarios and integrate it with dependent processes or systems.</t>
        </is>
      </c>
      <c r="I284" s="3" t="inlineStr">
        <is>
          <t>Optimize and automate campaign performance, attribution, conversion, CAC and channel ROI measurement where practical, use leading indicators, run periodic stress tests and update the crisis playbook.</t>
        </is>
      </c>
      <c r="J284" s="3" t="inlineStr">
        <is>
          <t>Maintain maturity for campaign performance, attribution, conversion, CAC and channel ROI measurement. Monitor drift, keep evidence current, benchmark externally and refresh tests after major changes.</t>
        </is>
      </c>
      <c r="K284" s="3" t="inlineStr">
        <is>
          <t>Reduces exposure to Reputation crisis; Demand shock; IT outage; improves Brand and market presence maturity, continuity and management visibility.</t>
        </is>
      </c>
      <c r="L284" s="3" t="n">
        <v>3</v>
      </c>
      <c r="M284" s="3" t="n">
        <v>3</v>
      </c>
      <c r="N284" s="3" t="n">
        <v>2</v>
      </c>
      <c r="O284" s="3" t="n">
        <v>2</v>
      </c>
      <c r="P284" s="3" t="n">
        <v>1</v>
      </c>
      <c r="Q284" s="3" t="n">
        <v>1</v>
      </c>
      <c r="R284" s="3" t="inlineStr">
        <is>
          <t>ISO 10002; ISO 10004; ISO 20671-1; ISO 22301; AMEC; crisis communication best practices</t>
        </is>
      </c>
      <c r="S284" s="3" t="inlineStr">
        <is>
          <t>Policy/SOP; owner/RACI; system report; dashboard; contracts; test records; incident history; interview evidence related to campaign performance, attribution, conversion, CAC and channel ROI measurement.</t>
        </is>
      </c>
      <c r="T284" s="3" t="inlineStr">
        <is>
          <t>Reputation crisis; Demand shock; IT outage</t>
        </is>
      </c>
      <c r="U284" s="3" t="inlineStr">
        <is>
          <t>CMO / Communications</t>
        </is>
      </c>
      <c r="V284" s="3" t="inlineStr">
        <is>
          <t>Marketing Comms!8</t>
        </is>
      </c>
    </row>
    <row r="285" ht="71.25" customHeight="1" s="209">
      <c r="A285" s="3" t="inlineStr">
        <is>
          <t>MARK-005</t>
        </is>
      </c>
      <c r="B285" s="3" t="inlineStr">
        <is>
          <t>Marketing Comms</t>
        </is>
      </c>
      <c r="C285" s="3" t="inlineStr">
        <is>
          <t>Brand and market presence</t>
        </is>
      </c>
      <c r="D285" s="3" t="inlineStr">
        <is>
          <t>How mature is the organization in managing lead capture, routing, qualification and follow-up resilience, including ownership, evidence, metrics, fallback procedures and crisis stress testing?</t>
        </is>
      </c>
      <c r="E285" s="3" t="inlineStr">
        <is>
          <t>Establish a basic owner and inventory for lead capture, routing, qualification and follow-up resilience. Define minimum policy, evidence location and immediate crisis relevance.</t>
        </is>
      </c>
      <c r="F285" s="3" t="inlineStr">
        <is>
          <t>Document lead capture, routing, qualification and follow-up resilience, assign RACI, define minimum controls/KPIs and collect evidence across the main business units or sites.</t>
        </is>
      </c>
      <c r="G285" s="3" t="inlineStr">
        <is>
          <t>Standardize lead capture, routing, qualification and follow-up resilience across the organization, close coverage gaps, link it to crisis scenarios and train accountable roles.</t>
        </is>
      </c>
      <c r="H285" s="3" t="inlineStr">
        <is>
          <t>Measure lead capture, routing, qualification and follow-up resilience, review it periodically, test it against disruption scenarios and integrate it with dependent processes or systems.</t>
        </is>
      </c>
      <c r="I285" s="3" t="inlineStr">
        <is>
          <t>Optimize and automate lead capture, routing, qualification and follow-up resilience where practical, use leading indicators, run periodic stress tests and update the crisis playbook.</t>
        </is>
      </c>
      <c r="J285" s="3" t="inlineStr">
        <is>
          <t>Maintain maturity for lead capture, routing, qualification and follow-up resilience. Monitor drift, keep evidence current, benchmark externally and refresh tests after major changes.</t>
        </is>
      </c>
      <c r="K285" s="3" t="inlineStr">
        <is>
          <t>Reduces exposure to Reputation crisis; Demand shock; IT outage; improves Brand and market presence maturity, continuity and management visibility.</t>
        </is>
      </c>
      <c r="L285" s="3" t="n">
        <v>3</v>
      </c>
      <c r="M285" s="3" t="n">
        <v>3</v>
      </c>
      <c r="N285" s="3" t="n">
        <v>2</v>
      </c>
      <c r="O285" s="3" t="n">
        <v>2</v>
      </c>
      <c r="P285" s="3" t="n">
        <v>1</v>
      </c>
      <c r="Q285" s="3" t="n">
        <v>1</v>
      </c>
      <c r="R285" s="3" t="inlineStr">
        <is>
          <t>ISO 10002; ISO 10004; ISO 20671-1; ISO 22301; AMEC; crisis communication best practices</t>
        </is>
      </c>
      <c r="S285" s="3" t="inlineStr">
        <is>
          <t>Policy/SOP; owner/RACI; system report; dashboard; contracts; test records; incident history; interview evidence related to lead capture, routing, qualification and follow-up resilience.</t>
        </is>
      </c>
      <c r="T285" s="3" t="inlineStr">
        <is>
          <t>Reputation crisis; Demand shock; IT outage</t>
        </is>
      </c>
      <c r="U285" s="3" t="inlineStr">
        <is>
          <t>CMO / Communications</t>
        </is>
      </c>
      <c r="V285" s="3" t="inlineStr">
        <is>
          <t>Marketing Comms!9</t>
        </is>
      </c>
    </row>
    <row r="286" ht="85.5" customHeight="1" s="209">
      <c r="A286" s="3" t="inlineStr">
        <is>
          <t>MARK-006</t>
        </is>
      </c>
      <c r="B286" s="3" t="inlineStr">
        <is>
          <t>Marketing Comms</t>
        </is>
      </c>
      <c r="C286" s="3" t="inlineStr">
        <is>
          <t>Crisis communication</t>
        </is>
      </c>
      <c r="D286" s="3" t="inlineStr">
        <is>
          <t>How mature is the organization in managing approved crisis communication templates for customers, employees, media, regulators and partners, including ownership, evidence, metrics, fallback procedures and crisis stress testing?</t>
        </is>
      </c>
      <c r="E286" s="3" t="inlineStr">
        <is>
          <t>Establish a basic owner and inventory for approved crisis communication templates for customers, employees, media, regulators and partners. Define minimum policy, evidence location and immediate crisis relevance.</t>
        </is>
      </c>
      <c r="F286" s="3" t="inlineStr">
        <is>
          <t>Document approved crisis communication templates for customers, employees, media, regulators and partners, assign RACI, define minimum controls/KPIs and collect evidence across the main business units or sites.</t>
        </is>
      </c>
      <c r="G286" s="3" t="inlineStr">
        <is>
          <t>Standardize approved crisis communication templates for customers, employees, media, regulators and partners across the organization, close coverage gaps, link it to crisis scenarios and train accountable roles.</t>
        </is>
      </c>
      <c r="H286" s="3" t="inlineStr">
        <is>
          <t>Measure approved crisis communication templates for customers, employees, media, regulators and partners, review it periodically, test it against disruption scenarios and integrate it with dependent processes or systems.</t>
        </is>
      </c>
      <c r="I286" s="3" t="inlineStr">
        <is>
          <t>Optimize and automate approved crisis communication templates for customers, employees, media, regulators and partners where practical, use leading indicators, run periodic stress tests and update the crisis playbook.</t>
        </is>
      </c>
      <c r="J286" s="3" t="inlineStr">
        <is>
          <t>Maintain maturity for approved crisis communication templates for customers, employees, media, regulators and partners. Monitor drift, keep evidence current, benchmark externally and refresh tests after major changes.</t>
        </is>
      </c>
      <c r="K286" s="3" t="inlineStr">
        <is>
          <t>Reduces exposure to Reputation crisis; Demand shock; IT outage; improves Crisis communication maturity, continuity and management visibility.</t>
        </is>
      </c>
      <c r="L286" s="3" t="n">
        <v>3</v>
      </c>
      <c r="M286" s="3" t="n">
        <v>3</v>
      </c>
      <c r="N286" s="3" t="n">
        <v>2</v>
      </c>
      <c r="O286" s="3" t="n">
        <v>2</v>
      </c>
      <c r="P286" s="3" t="n">
        <v>1</v>
      </c>
      <c r="Q286" s="3" t="n">
        <v>1</v>
      </c>
      <c r="R286" s="3" t="inlineStr">
        <is>
          <t>ISO 10002; ISO 10004; ISO 20671-1; ISO 22301; AMEC; crisis communication best practices</t>
        </is>
      </c>
      <c r="S286" s="3" t="inlineStr">
        <is>
          <t>Policy/SOP; owner/RACI; system report; dashboard; contracts; test records; incident history; interview evidence related to approved crisis communication templates for customers, employees, media, regulators and partners.</t>
        </is>
      </c>
      <c r="T286" s="3" t="inlineStr">
        <is>
          <t>Reputation crisis; Demand shock; IT outage</t>
        </is>
      </c>
      <c r="U286" s="3" t="inlineStr">
        <is>
          <t>CMO / Communications</t>
        </is>
      </c>
      <c r="V286" s="3" t="inlineStr">
        <is>
          <t>Marketing Comms!10</t>
        </is>
      </c>
    </row>
    <row r="287" ht="71.25" customHeight="1" s="209">
      <c r="A287" s="3" t="inlineStr">
        <is>
          <t>MARK-007</t>
        </is>
      </c>
      <c r="B287" s="3" t="inlineStr">
        <is>
          <t>Marketing Comms</t>
        </is>
      </c>
      <c r="C287" s="3" t="inlineStr">
        <is>
          <t>Crisis communication</t>
        </is>
      </c>
      <c r="D287" s="3" t="inlineStr">
        <is>
          <t>How mature is the organization in managing spokesperson identification, media training and backup coverage, including ownership, evidence, metrics, fallback procedures and crisis stress testing?</t>
        </is>
      </c>
      <c r="E287" s="3" t="inlineStr">
        <is>
          <t>Establish a basic owner and inventory for spokesperson identification, media training and backup coverage. Define minimum policy, evidence location and immediate crisis relevance.</t>
        </is>
      </c>
      <c r="F287" s="3" t="inlineStr">
        <is>
          <t>Document spokesperson identification, media training and backup coverage, assign RACI, define minimum controls/KPIs and collect evidence across the main business units or sites.</t>
        </is>
      </c>
      <c r="G287" s="3" t="inlineStr">
        <is>
          <t>Standardize spokesperson identification, media training and backup coverage across the organization, close coverage gaps, link it to crisis scenarios and train accountable roles.</t>
        </is>
      </c>
      <c r="H287" s="3" t="inlineStr">
        <is>
          <t>Measure spokesperson identification, media training and backup coverage, review it periodically, test it against disruption scenarios and integrate it with dependent processes or systems.</t>
        </is>
      </c>
      <c r="I287" s="3" t="inlineStr">
        <is>
          <t>Optimize and automate spokesperson identification, media training and backup coverage where practical, use leading indicators, run periodic stress tests and update the crisis playbook.</t>
        </is>
      </c>
      <c r="J287" s="3" t="inlineStr">
        <is>
          <t>Maintain maturity for spokesperson identification, media training and backup coverage. Monitor drift, keep evidence current, benchmark externally and refresh tests after major changes.</t>
        </is>
      </c>
      <c r="K287" s="3" t="inlineStr">
        <is>
          <t>Reduces exposure to Reputation crisis; Demand shock; IT outage; improves Crisis communication maturity, continuity and management visibility.</t>
        </is>
      </c>
      <c r="L287" s="3" t="n">
        <v>4</v>
      </c>
      <c r="M287" s="3" t="n">
        <v>4</v>
      </c>
      <c r="N287" s="3" t="n">
        <v>3</v>
      </c>
      <c r="O287" s="3" t="n">
        <v>2</v>
      </c>
      <c r="P287" s="3" t="n">
        <v>1</v>
      </c>
      <c r="Q287" s="3" t="n">
        <v>1</v>
      </c>
      <c r="R287" s="3" t="inlineStr">
        <is>
          <t>ISO 10002; ISO 10004; ISO 20671-1; ISO 22301; AMEC; crisis communication best practices</t>
        </is>
      </c>
      <c r="S287" s="3" t="inlineStr">
        <is>
          <t>Policy/SOP; owner/RACI; system report; dashboard; contracts; test records; incident history; interview evidence related to spokesperson identification, media training and backup coverage.</t>
        </is>
      </c>
      <c r="T287" s="3" t="inlineStr">
        <is>
          <t>Reputation crisis; Demand shock; IT outage</t>
        </is>
      </c>
      <c r="U287" s="3" t="inlineStr">
        <is>
          <t>CMO / Communications</t>
        </is>
      </c>
      <c r="V287" s="3" t="inlineStr">
        <is>
          <t>Marketing Comms!11</t>
        </is>
      </c>
    </row>
    <row r="288" ht="71.25" customHeight="1" s="209">
      <c r="A288" s="3" t="inlineStr">
        <is>
          <t>MARK-008</t>
        </is>
      </c>
      <c r="B288" s="3" t="inlineStr">
        <is>
          <t>Marketing Comms</t>
        </is>
      </c>
      <c r="C288" s="3" t="inlineStr">
        <is>
          <t>Crisis communication</t>
        </is>
      </c>
      <c r="D288" s="3" t="inlineStr">
        <is>
          <t>How mature is the organization in managing media, social, review and customer sentiment monitoring, including ownership, evidence, metrics, fallback procedures and crisis stress testing?</t>
        </is>
      </c>
      <c r="E288" s="3" t="inlineStr">
        <is>
          <t>Establish a basic owner and inventory for media, social, review and customer sentiment monitoring. Define minimum policy, evidence location and immediate crisis relevance.</t>
        </is>
      </c>
      <c r="F288" s="3" t="inlineStr">
        <is>
          <t>Document media, social, review and customer sentiment monitoring, assign RACI, define minimum controls/KPIs and collect evidence across the main business units or sites.</t>
        </is>
      </c>
      <c r="G288" s="3" t="inlineStr">
        <is>
          <t>Standardize media, social, review and customer sentiment monitoring across the organization, close coverage gaps, link it to crisis scenarios and train accountable roles.</t>
        </is>
      </c>
      <c r="H288" s="3" t="inlineStr">
        <is>
          <t>Measure media, social, review and customer sentiment monitoring, review it periodically, test it against disruption scenarios and integrate it with dependent processes or systems.</t>
        </is>
      </c>
      <c r="I288" s="3" t="inlineStr">
        <is>
          <t>Optimize and automate media, social, review and customer sentiment monitoring where practical, use leading indicators, run periodic stress tests and update the crisis playbook.</t>
        </is>
      </c>
      <c r="J288" s="3" t="inlineStr">
        <is>
          <t>Maintain maturity for media, social, review and customer sentiment monitoring. Monitor drift, keep evidence current, benchmark externally and refresh tests after major changes.</t>
        </is>
      </c>
      <c r="K288" s="3" t="inlineStr">
        <is>
          <t>Reduces exposure to Reputation crisis; Demand shock; IT outage; improves Crisis communication maturity, continuity and management visibility.</t>
        </is>
      </c>
      <c r="L288" s="3" t="n">
        <v>3</v>
      </c>
      <c r="M288" s="3" t="n">
        <v>3</v>
      </c>
      <c r="N288" s="3" t="n">
        <v>2</v>
      </c>
      <c r="O288" s="3" t="n">
        <v>2</v>
      </c>
      <c r="P288" s="3" t="n">
        <v>1</v>
      </c>
      <c r="Q288" s="3" t="n">
        <v>1</v>
      </c>
      <c r="R288" s="3" t="inlineStr">
        <is>
          <t>ISO 10002; ISO 10004; ISO 20671-1; ISO 22301; AMEC; crisis communication best practices</t>
        </is>
      </c>
      <c r="S288" s="3" t="inlineStr">
        <is>
          <t>Policy/SOP; owner/RACI; system report; dashboard; contracts; test records; incident history; interview evidence related to media, social, review and customer sentiment monitoring.</t>
        </is>
      </c>
      <c r="T288" s="3" t="inlineStr">
        <is>
          <t>Reputation crisis; Demand shock; IT outage</t>
        </is>
      </c>
      <c r="U288" s="3" t="inlineStr">
        <is>
          <t>CMO / Communications</t>
        </is>
      </c>
      <c r="V288" s="3" t="inlineStr">
        <is>
          <t>Marketing Comms!12</t>
        </is>
      </c>
    </row>
    <row r="289" ht="71.25" customHeight="1" s="209">
      <c r="A289" s="3" t="inlineStr">
        <is>
          <t>MARK-009</t>
        </is>
      </c>
      <c r="B289" s="3" t="inlineStr">
        <is>
          <t>Marketing Comms</t>
        </is>
      </c>
      <c r="C289" s="3" t="inlineStr">
        <is>
          <t>Crisis communication</t>
        </is>
      </c>
      <c r="D289" s="3" t="inlineStr">
        <is>
          <t>How mature is the organization in managing escalation and approval rules for sensitive public responses, including ownership, evidence, metrics, fallback procedures and crisis stress testing?</t>
        </is>
      </c>
      <c r="E289" s="3" t="inlineStr">
        <is>
          <t>Establish a basic owner and inventory for escalation and approval rules for sensitive public responses. Define minimum policy, evidence location and immediate crisis relevance.</t>
        </is>
      </c>
      <c r="F289" s="3" t="inlineStr">
        <is>
          <t>Document escalation and approval rules for sensitive public responses, assign RACI, define minimum controls/KPIs and collect evidence across the main business units or sites.</t>
        </is>
      </c>
      <c r="G289" s="3" t="inlineStr">
        <is>
          <t>Standardize escalation and approval rules for sensitive public responses across the organization, close coverage gaps, link it to crisis scenarios and train accountable roles.</t>
        </is>
      </c>
      <c r="H289" s="3" t="inlineStr">
        <is>
          <t>Measure escalation and approval rules for sensitive public responses, review it periodically, test it against disruption scenarios and integrate it with dependent processes or systems.</t>
        </is>
      </c>
      <c r="I289" s="3" t="inlineStr">
        <is>
          <t>Optimize and automate escalation and approval rules for sensitive public responses where practical, use leading indicators, run periodic stress tests and update the crisis playbook.</t>
        </is>
      </c>
      <c r="J289" s="3" t="inlineStr">
        <is>
          <t>Maintain maturity for escalation and approval rules for sensitive public responses. Monitor drift, keep evidence current, benchmark externally and refresh tests after major changes.</t>
        </is>
      </c>
      <c r="K289" s="3" t="inlineStr">
        <is>
          <t>Reduces exposure to Reputation crisis; Demand shock; IT outage; improves Crisis communication maturity, continuity and management visibility.</t>
        </is>
      </c>
      <c r="L289" s="3" t="n">
        <v>3</v>
      </c>
      <c r="M289" s="3" t="n">
        <v>3</v>
      </c>
      <c r="N289" s="3" t="n">
        <v>2</v>
      </c>
      <c r="O289" s="3" t="n">
        <v>2</v>
      </c>
      <c r="P289" s="3" t="n">
        <v>1</v>
      </c>
      <c r="Q289" s="3" t="n">
        <v>1</v>
      </c>
      <c r="R289" s="3" t="inlineStr">
        <is>
          <t>ISO 10002; ISO 10004; ISO 20671-1; ISO 22301; AMEC; crisis communication best practices</t>
        </is>
      </c>
      <c r="S289" s="3" t="inlineStr">
        <is>
          <t>Policy/SOP; owner/RACI; system report; dashboard; contracts; test records; incident history; interview evidence related to escalation and approval rules for sensitive public responses.</t>
        </is>
      </c>
      <c r="T289" s="3" t="inlineStr">
        <is>
          <t>Reputation crisis; Demand shock; IT outage</t>
        </is>
      </c>
      <c r="U289" s="3" t="inlineStr">
        <is>
          <t>CMO / Communications</t>
        </is>
      </c>
      <c r="V289" s="3" t="inlineStr">
        <is>
          <t>Marketing Comms!13</t>
        </is>
      </c>
    </row>
    <row r="290" ht="99.75" customHeight="1" s="209">
      <c r="A290" s="3" t="inlineStr">
        <is>
          <t>MARK-010</t>
        </is>
      </c>
      <c r="B290" s="3" t="inlineStr">
        <is>
          <t>Marketing Comms</t>
        </is>
      </c>
      <c r="C290" s="3" t="inlineStr">
        <is>
          <t>Crisis communication</t>
        </is>
      </c>
      <c r="D290" s="3" t="inlineStr">
        <is>
          <t>How mature is the organization in managing customer communication channel diversity across email, phone, portal, SMS, account managers and social media, including ownership, evidence, metrics, fallback procedures and crisis stress testing?</t>
        </is>
      </c>
      <c r="E290" s="3" t="inlineStr">
        <is>
          <t>Establish a basic owner and inventory for customer communication channel diversity across email, phone, portal, SMS, account managers and social media. Define minimum policy, evidence location and immediate crisis relevance.</t>
        </is>
      </c>
      <c r="F290" s="3" t="inlineStr">
        <is>
          <t>Document customer communication channel diversity across email, phone, portal, SMS, account managers and social media, assign RACI, define minimum controls/KPIs and collect evidence across the main business units or sites.</t>
        </is>
      </c>
      <c r="G290" s="3" t="inlineStr">
        <is>
          <t>Standardize customer communication channel diversity across email, phone, portal, SMS, account managers and social media across the organization, close coverage gaps, link it to crisis scenarios and train accountable roles.</t>
        </is>
      </c>
      <c r="H290" s="3" t="inlineStr">
        <is>
          <t>Measure customer communication channel diversity across email, phone, portal, SMS, account managers and social media, review it periodically, test it against disruption scenarios and integrate it with dependent processes or systems.</t>
        </is>
      </c>
      <c r="I290" s="3" t="inlineStr">
        <is>
          <t>Optimize and automate customer communication channel diversity across email, phone, portal, SMS, account managers and social media where practical, use leading indicators, run periodic stress tests and update the crisis playbook.</t>
        </is>
      </c>
      <c r="J290" s="3" t="inlineStr">
        <is>
          <t>Maintain maturity for customer communication channel diversity across email, phone, portal, SMS, account managers and social media. Monitor drift, keep evidence current, benchmark externally and refresh tests after major changes.</t>
        </is>
      </c>
      <c r="K290" s="3" t="inlineStr">
        <is>
          <t>Reduces exposure to Reputation crisis; Demand shock; IT outage; improves Crisis communication maturity, continuity and management visibility.</t>
        </is>
      </c>
      <c r="L290" s="3" t="n">
        <v>3</v>
      </c>
      <c r="M290" s="3" t="n">
        <v>3</v>
      </c>
      <c r="N290" s="3" t="n">
        <v>2</v>
      </c>
      <c r="O290" s="3" t="n">
        <v>2</v>
      </c>
      <c r="P290" s="3" t="n">
        <v>1</v>
      </c>
      <c r="Q290" s="3" t="n">
        <v>1</v>
      </c>
      <c r="R290" s="3" t="inlineStr">
        <is>
          <t>ISO 10002; ISO 10004; ISO 20671-1; ISO 22301; AMEC; crisis communication best practices</t>
        </is>
      </c>
      <c r="S290" s="3" t="inlineStr">
        <is>
          <t>Policy/SOP; owner/RACI; system report; dashboard; contracts; test records; incident history; interview evidence related to customer communication channel diversity across email, phone, portal, SMS, account managers and social media.</t>
        </is>
      </c>
      <c r="T290" s="3" t="inlineStr">
        <is>
          <t>Reputation crisis; Demand shock; IT outage</t>
        </is>
      </c>
      <c r="U290" s="3" t="inlineStr">
        <is>
          <t>CMO / Communications</t>
        </is>
      </c>
      <c r="V290" s="3" t="inlineStr">
        <is>
          <t>Marketing Comms!14</t>
        </is>
      </c>
    </row>
    <row r="291" ht="85.5" customHeight="1" s="209">
      <c r="A291" s="3" t="inlineStr">
        <is>
          <t>MARK-011</t>
        </is>
      </c>
      <c r="B291" s="3" t="inlineStr">
        <is>
          <t>Marketing Comms</t>
        </is>
      </c>
      <c r="C291" s="3" t="inlineStr">
        <is>
          <t>Crisis communication</t>
        </is>
      </c>
      <c r="D291" s="3" t="inlineStr">
        <is>
          <t>How mature is the organization in managing misinformation, impersonation, fake invoice and brand-abuse response process, including ownership, evidence, metrics, fallback procedures and crisis stress testing?</t>
        </is>
      </c>
      <c r="E291" s="3" t="inlineStr">
        <is>
          <t>Establish a basic owner and inventory for misinformation, impersonation, fake invoice and brand-abuse response process. Define minimum policy, evidence location and immediate crisis relevance.</t>
        </is>
      </c>
      <c r="F291" s="3" t="inlineStr">
        <is>
          <t>Document misinformation, impersonation, fake invoice and brand-abuse response process, assign RACI, define minimum controls/KPIs and collect evidence across the main business units or sites.</t>
        </is>
      </c>
      <c r="G291" s="3" t="inlineStr">
        <is>
          <t>Standardize misinformation, impersonation, fake invoice and brand-abuse response process across the organization, close coverage gaps, link it to crisis scenarios and train accountable roles.</t>
        </is>
      </c>
      <c r="H291" s="3" t="inlineStr">
        <is>
          <t>Measure misinformation, impersonation, fake invoice and brand-abuse response process, review it periodically, test it against disruption scenarios and integrate it with dependent processes or systems.</t>
        </is>
      </c>
      <c r="I291" s="3" t="inlineStr">
        <is>
          <t>Optimize and automate misinformation, impersonation, fake invoice and brand-abuse response process where practical, use leading indicators, run periodic stress tests and update the crisis playbook.</t>
        </is>
      </c>
      <c r="J291" s="3" t="inlineStr">
        <is>
          <t>Maintain maturity for misinformation, impersonation, fake invoice and brand-abuse response process. Monitor drift, keep evidence current, benchmark externally and refresh tests after major changes.</t>
        </is>
      </c>
      <c r="K291" s="3" t="inlineStr">
        <is>
          <t>Reduces exposure to Reputation crisis; Demand shock; IT outage; improves Crisis communication maturity, continuity and management visibility.</t>
        </is>
      </c>
      <c r="L291" s="3" t="n">
        <v>3</v>
      </c>
      <c r="M291" s="3" t="n">
        <v>3</v>
      </c>
      <c r="N291" s="3" t="n">
        <v>2</v>
      </c>
      <c r="O291" s="3" t="n">
        <v>2</v>
      </c>
      <c r="P291" s="3" t="n">
        <v>1</v>
      </c>
      <c r="Q291" s="3" t="n">
        <v>1</v>
      </c>
      <c r="R291" s="3" t="inlineStr">
        <is>
          <t>ISO 10002; ISO 10004; ISO 20671-1; ISO 22301; AMEC; crisis communication best practices</t>
        </is>
      </c>
      <c r="S291" s="3" t="inlineStr">
        <is>
          <t>Policy/SOP; owner/RACI; system report; dashboard; contracts; test records; incident history; interview evidence related to misinformation, impersonation, fake invoice and brand-abuse response process.</t>
        </is>
      </c>
      <c r="T291" s="3" t="inlineStr">
        <is>
          <t>Reputation crisis; Demand shock; IT outage</t>
        </is>
      </c>
      <c r="U291" s="3" t="inlineStr">
        <is>
          <t>CMO / Communications</t>
        </is>
      </c>
      <c r="V291" s="3" t="inlineStr">
        <is>
          <t>Marketing Comms!15</t>
        </is>
      </c>
    </row>
    <row r="292" ht="85.5" customHeight="1" s="209">
      <c r="A292" s="3" t="inlineStr">
        <is>
          <t>MARK-012</t>
        </is>
      </c>
      <c r="B292" s="3" t="inlineStr">
        <is>
          <t>Marketing Comms</t>
        </is>
      </c>
      <c r="C292" s="3" t="inlineStr">
        <is>
          <t>Marketing operations</t>
        </is>
      </c>
      <c r="D292" s="3" t="inlineStr">
        <is>
          <t>How mature is the organization in managing critical marketing and communication asset access if cloud tools or key people are unavailable, including ownership, evidence, metrics, fallback procedures and crisis stress testing?</t>
        </is>
      </c>
      <c r="E292" s="3" t="inlineStr">
        <is>
          <t>Establish a basic owner and inventory for critical marketing and communication asset access if cloud tools or key people are unavailable. Define minimum policy, evidence location and immediate crisis relevance.</t>
        </is>
      </c>
      <c r="F292" s="3" t="inlineStr">
        <is>
          <t>Document critical marketing and communication asset access if cloud tools or key people are unavailable, assign RACI, define minimum controls/KPIs and collect evidence across the main business units or sites.</t>
        </is>
      </c>
      <c r="G292" s="3" t="inlineStr">
        <is>
          <t>Standardize critical marketing and communication asset access if cloud tools or key people are unavailable across the organization, close coverage gaps, link it to crisis scenarios and train accountable roles.</t>
        </is>
      </c>
      <c r="H292" s="3" t="inlineStr">
        <is>
          <t>Measure critical marketing and communication asset access if cloud tools or key people are unavailable, review it periodically, test it against disruption scenarios and integrate it with dependent processes or systems.</t>
        </is>
      </c>
      <c r="I292" s="3" t="inlineStr">
        <is>
          <t>Optimize and automate critical marketing and communication asset access if cloud tools or key people are unavailable where practical, use leading indicators, run periodic stress tests and update the crisis playbook.</t>
        </is>
      </c>
      <c r="J292" s="3" t="inlineStr">
        <is>
          <t>Maintain maturity for critical marketing and communication asset access if cloud tools or key people are unavailable. Monitor drift, keep evidence current, benchmark externally and refresh tests after major changes.</t>
        </is>
      </c>
      <c r="K292" s="3" t="inlineStr">
        <is>
          <t>Reduces exposure to Reputation crisis; Demand shock; IT outage; improves Marketing operations maturity, continuity and management visibility.</t>
        </is>
      </c>
      <c r="L292" s="3" t="n">
        <v>4</v>
      </c>
      <c r="M292" s="3" t="n">
        <v>4</v>
      </c>
      <c r="N292" s="3" t="n">
        <v>3</v>
      </c>
      <c r="O292" s="3" t="n">
        <v>2</v>
      </c>
      <c r="P292" s="3" t="n">
        <v>1</v>
      </c>
      <c r="Q292" s="3" t="n">
        <v>1</v>
      </c>
      <c r="R292" s="3" t="inlineStr">
        <is>
          <t>ISO 10002; ISO 10004; ISO 20671-1; ISO 22301; AMEC; crisis communication best practices</t>
        </is>
      </c>
      <c r="S292" s="3" t="inlineStr">
        <is>
          <t>Policy/SOP; owner/RACI; system report; dashboard; contracts; test records; incident history; interview evidence related to critical marketing and communication asset access if cloud tools or key people are unavailable.</t>
        </is>
      </c>
      <c r="T292" s="3" t="inlineStr">
        <is>
          <t>Reputation crisis; Demand shock; IT outage</t>
        </is>
      </c>
      <c r="U292" s="3" t="inlineStr">
        <is>
          <t>CMO / Communications</t>
        </is>
      </c>
      <c r="V292" s="3" t="inlineStr">
        <is>
          <t>Marketing Comms!16</t>
        </is>
      </c>
    </row>
    <row r="293" ht="85.5" customHeight="1" s="209">
      <c r="A293" s="3" t="inlineStr">
        <is>
          <t>MARK-013</t>
        </is>
      </c>
      <c r="B293" s="3" t="inlineStr">
        <is>
          <t>Marketing Comms</t>
        </is>
      </c>
      <c r="C293" s="3" t="inlineStr">
        <is>
          <t>Marketing operations</t>
        </is>
      </c>
      <c r="D293" s="3" t="inlineStr">
        <is>
          <t>How mature is the organization in managing marketing automation, email, analytics, CMS, domain and DNS dependency documentation, including ownership, evidence, metrics, fallback procedures and crisis stress testing?</t>
        </is>
      </c>
      <c r="E293" s="3" t="inlineStr">
        <is>
          <t>Establish a basic owner and inventory for marketing automation, email, analytics, CMS, domain and DNS dependency documentation. Define minimum policy, evidence location and immediate crisis relevance.</t>
        </is>
      </c>
      <c r="F293" s="3" t="inlineStr">
        <is>
          <t>Document marketing automation, email, analytics, CMS, domain and DNS dependency documentation, assign RACI, define minimum controls/KPIs and collect evidence across the main business units or sites.</t>
        </is>
      </c>
      <c r="G293" s="3" t="inlineStr">
        <is>
          <t>Standardize marketing automation, email, analytics, CMS, domain and DNS dependency documentation across the organization, close coverage gaps, link it to crisis scenarios and train accountable roles.</t>
        </is>
      </c>
      <c r="H293" s="3" t="inlineStr">
        <is>
          <t>Measure marketing automation, email, analytics, CMS, domain and DNS dependency documentation, review it periodically, test it against disruption scenarios and integrate it with dependent processes or systems.</t>
        </is>
      </c>
      <c r="I293" s="3" t="inlineStr">
        <is>
          <t>Optimize and automate marketing automation, email, analytics, CMS, domain and DNS dependency documentation where practical, use leading indicators, run periodic stress tests and update the crisis playbook.</t>
        </is>
      </c>
      <c r="J293" s="3" t="inlineStr">
        <is>
          <t>Maintain maturity for marketing automation, email, analytics, CMS, domain and DNS dependency documentation. Monitor drift, keep evidence current, benchmark externally and refresh tests after major changes.</t>
        </is>
      </c>
      <c r="K293" s="3" t="inlineStr">
        <is>
          <t>Reduces exposure to Reputation crisis; Demand shock; IT outage; improves Marketing operations maturity, continuity and management visibility.</t>
        </is>
      </c>
      <c r="L293" s="3" t="n">
        <v>3</v>
      </c>
      <c r="M293" s="3" t="n">
        <v>3</v>
      </c>
      <c r="N293" s="3" t="n">
        <v>2</v>
      </c>
      <c r="O293" s="3" t="n">
        <v>2</v>
      </c>
      <c r="P293" s="3" t="n">
        <v>1</v>
      </c>
      <c r="Q293" s="3" t="n">
        <v>1</v>
      </c>
      <c r="R293" s="3" t="inlineStr">
        <is>
          <t>ISO 10002; ISO 10004; ISO 20671-1; ISO 22301; AMEC; crisis communication best practices</t>
        </is>
      </c>
      <c r="S293" s="3" t="inlineStr">
        <is>
          <t>Policy/SOP; owner/RACI; system report; dashboard; contracts; test records; incident history; interview evidence related to marketing automation, email, analytics, CMS, domain and DNS dependency documentation.</t>
        </is>
      </c>
      <c r="T293" s="3" t="inlineStr">
        <is>
          <t>Reputation crisis; Demand shock; IT outage</t>
        </is>
      </c>
      <c r="U293" s="3" t="inlineStr">
        <is>
          <t>CMO / Communications</t>
        </is>
      </c>
      <c r="V293" s="3" t="inlineStr">
        <is>
          <t>Marketing Comms!17</t>
        </is>
      </c>
    </row>
    <row r="294" ht="85.5" customHeight="1" s="209">
      <c r="A294" s="3" t="inlineStr">
        <is>
          <t>MARK-014</t>
        </is>
      </c>
      <c r="B294" s="3" t="inlineStr">
        <is>
          <t>Marketing Comms</t>
        </is>
      </c>
      <c r="C294" s="3" t="inlineStr">
        <is>
          <t>Marketing operations</t>
        </is>
      </c>
      <c r="D294" s="3" t="inlineStr">
        <is>
          <t>How mature is the organization in managing privacy, consent, unsubscribe, advertising claims and industry marketing compliance, including ownership, evidence, metrics, fallback procedures and crisis stress testing?</t>
        </is>
      </c>
      <c r="E294" s="3" t="inlineStr">
        <is>
          <t>Establish a basic owner and inventory for privacy, consent, unsubscribe, advertising claims and industry marketing compliance. Define minimum policy, evidence location and immediate crisis relevance.</t>
        </is>
      </c>
      <c r="F294" s="3" t="inlineStr">
        <is>
          <t>Document privacy, consent, unsubscribe, advertising claims and industry marketing compliance, assign RACI, define minimum controls/KPIs and collect evidence across the main business units or sites.</t>
        </is>
      </c>
      <c r="G294" s="3" t="inlineStr">
        <is>
          <t>Standardize privacy, consent, unsubscribe, advertising claims and industry marketing compliance across the organization, close coverage gaps, link it to crisis scenarios and train accountable roles.</t>
        </is>
      </c>
      <c r="H294" s="3" t="inlineStr">
        <is>
          <t>Measure privacy, consent, unsubscribe, advertising claims and industry marketing compliance, review it periodically, test it against disruption scenarios and integrate it with dependent processes or systems.</t>
        </is>
      </c>
      <c r="I294" s="3" t="inlineStr">
        <is>
          <t>Optimize and automate privacy, consent, unsubscribe, advertising claims and industry marketing compliance where practical, use leading indicators, run periodic stress tests and update the crisis playbook.</t>
        </is>
      </c>
      <c r="J294" s="3" t="inlineStr">
        <is>
          <t>Maintain maturity for privacy, consent, unsubscribe, advertising claims and industry marketing compliance. Monitor drift, keep evidence current, benchmark externally and refresh tests after major changes.</t>
        </is>
      </c>
      <c r="K294" s="3" t="inlineStr">
        <is>
          <t>Reduces exposure to Reputation crisis; Demand shock; IT outage; improves Marketing operations maturity, continuity and management visibility.</t>
        </is>
      </c>
      <c r="L294" s="3" t="n">
        <v>3</v>
      </c>
      <c r="M294" s="3" t="n">
        <v>3</v>
      </c>
      <c r="N294" s="3" t="n">
        <v>2</v>
      </c>
      <c r="O294" s="3" t="n">
        <v>2</v>
      </c>
      <c r="P294" s="3" t="n">
        <v>1</v>
      </c>
      <c r="Q294" s="3" t="n">
        <v>1</v>
      </c>
      <c r="R294" s="3" t="inlineStr">
        <is>
          <t>ISO 10002; ISO 10004; ISO 20671-1; ISO 22301; AMEC; crisis communication best practices</t>
        </is>
      </c>
      <c r="S294" s="3" t="inlineStr">
        <is>
          <t>Policy/SOP; owner/RACI; system report; dashboard; contracts; test records; incident history; interview evidence related to privacy, consent, unsubscribe, advertising claims and industry marketing compliance.</t>
        </is>
      </c>
      <c r="T294" s="3" t="inlineStr">
        <is>
          <t>Reputation crisis; Demand shock; IT outage</t>
        </is>
      </c>
      <c r="U294" s="3" t="inlineStr">
        <is>
          <t>CMO / Communications</t>
        </is>
      </c>
      <c r="V294" s="3" t="inlineStr">
        <is>
          <t>Marketing Comms!18</t>
        </is>
      </c>
    </row>
    <row r="295" ht="85.5" customHeight="1" s="209">
      <c r="A295" s="3" t="inlineStr">
        <is>
          <t>MARK-015</t>
        </is>
      </c>
      <c r="B295" s="3" t="inlineStr">
        <is>
          <t>Marketing Comms</t>
        </is>
      </c>
      <c r="C295" s="3" t="inlineStr">
        <is>
          <t>Marketing operations</t>
        </is>
      </c>
      <c r="D295" s="3" t="inlineStr">
        <is>
          <t>How mature is the organization in managing demand-generation playbooks for budget cuts, channel failure, competitive pressure or geopolitical restrictions, including ownership, evidence, metrics, fallback procedures and crisis stress testing?</t>
        </is>
      </c>
      <c r="E295" s="3" t="inlineStr">
        <is>
          <t>Establish a basic owner and inventory for demand-generation playbooks for budget cuts, channel failure, competitive pressure or geopolitical restrictions. Define minimum policy, evidence location and immediate crisis relevance.</t>
        </is>
      </c>
      <c r="F295" s="3" t="inlineStr">
        <is>
          <t>Document demand-generation playbooks for budget cuts, channel failure, competitive pressure or geopolitical restrictions, assign RACI, define minimum controls/KPIs and collect evidence across the main business units or sites.</t>
        </is>
      </c>
      <c r="G295" s="3" t="inlineStr">
        <is>
          <t>Standardize demand-generation playbooks for budget cuts, channel failure, competitive pressure or geopolitical restrictions across the organization, close coverage gaps, link it to crisis scenarios and train accountable roles.</t>
        </is>
      </c>
      <c r="H295" s="3" t="inlineStr">
        <is>
          <t>Measure demand-generation playbooks for budget cuts, channel failure, competitive pressure or geopolitical restrictions, review it periodically, test it against disruption scenarios and integrate it with dependent processes or systems.</t>
        </is>
      </c>
      <c r="I295" s="3" t="inlineStr">
        <is>
          <t>Optimize and automate demand-generation playbooks for budget cuts, channel failure, competitive pressure or geopolitical restrictions where practical, use leading indicators, run periodic stress tests and update the crisis playbook.</t>
        </is>
      </c>
      <c r="J295" s="3" t="inlineStr">
        <is>
          <t>Maintain maturity for demand-generation playbooks for budget cuts, channel failure, competitive pressure or geopolitical restrictions. Monitor drift, keep evidence current, benchmark externally and refresh tests after major changes.</t>
        </is>
      </c>
      <c r="K295" s="3" t="inlineStr">
        <is>
          <t>Reduces exposure to Reputation crisis; Demand shock; IT outage; improves Marketing operations maturity, continuity and management visibility.</t>
        </is>
      </c>
      <c r="L295" s="3" t="n">
        <v>3</v>
      </c>
      <c r="M295" s="3" t="n">
        <v>3</v>
      </c>
      <c r="N295" s="3" t="n">
        <v>2</v>
      </c>
      <c r="O295" s="3" t="n">
        <v>2</v>
      </c>
      <c r="P295" s="3" t="n">
        <v>1</v>
      </c>
      <c r="Q295" s="3" t="n">
        <v>1</v>
      </c>
      <c r="R295" s="3" t="inlineStr">
        <is>
          <t>ISO 10002; ISO 10004; ISO 20671-1; ISO 22301; AMEC; crisis communication best practices</t>
        </is>
      </c>
      <c r="S295" s="3" t="inlineStr">
        <is>
          <t>Policy/SOP; owner/RACI; system report; dashboard; contracts; test records; incident history; interview evidence related to demand-generation playbooks for budget cuts, channel failure, competitive pressure or geopolitical restrictions.</t>
        </is>
      </c>
      <c r="T295" s="3" t="inlineStr">
        <is>
          <t>Reputation crisis; Demand shock; IT outage</t>
        </is>
      </c>
      <c r="U295" s="3" t="inlineStr">
        <is>
          <t>CMO / Communications</t>
        </is>
      </c>
      <c r="V295" s="3" t="inlineStr">
        <is>
          <t>Marketing Comms!19</t>
        </is>
      </c>
    </row>
    <row r="296" ht="85.5" customHeight="1" s="209">
      <c r="A296" s="3" t="inlineStr">
        <is>
          <t>MARK-016</t>
        </is>
      </c>
      <c r="B296" s="3" t="inlineStr">
        <is>
          <t>Marketing Comms</t>
        </is>
      </c>
      <c r="C296" s="3" t="inlineStr">
        <is>
          <t>Marketing operations</t>
        </is>
      </c>
      <c r="D296" s="3" t="inlineStr">
        <is>
          <t>How mature is the organization in managing sales-marketing alignment on ICP, lead definitions, messages, offers and crisis concerns, including ownership, evidence, metrics, fallback procedures and crisis stress testing?</t>
        </is>
      </c>
      <c r="E296" s="3" t="inlineStr">
        <is>
          <t>Establish a basic owner and inventory for sales-marketing alignment on ICP, lead definitions, messages, offers and crisis concerns. Define minimum policy, evidence location and immediate crisis relevance.</t>
        </is>
      </c>
      <c r="F296" s="3" t="inlineStr">
        <is>
          <t>Document sales-marketing alignment on ICP, lead definitions, messages, offers and crisis concerns, assign RACI, define minimum controls/KPIs and collect evidence across the main business units or sites.</t>
        </is>
      </c>
      <c r="G296" s="3" t="inlineStr">
        <is>
          <t>Standardize sales-marketing alignment on ICP, lead definitions, messages, offers and crisis concerns across the organization, close coverage gaps, link it to crisis scenarios and train accountable roles.</t>
        </is>
      </c>
      <c r="H296" s="3" t="inlineStr">
        <is>
          <t>Measure sales-marketing alignment on ICP, lead definitions, messages, offers and crisis concerns, review it periodically, test it against disruption scenarios and integrate it with dependent processes or systems.</t>
        </is>
      </c>
      <c r="I296" s="3" t="inlineStr">
        <is>
          <t>Optimize and automate sales-marketing alignment on ICP, lead definitions, messages, offers and crisis concerns where practical, use leading indicators, run periodic stress tests and update the crisis playbook.</t>
        </is>
      </c>
      <c r="J296" s="3" t="inlineStr">
        <is>
          <t>Maintain maturity for sales-marketing alignment on ICP, lead definitions, messages, offers and crisis concerns. Monitor drift, keep evidence current, benchmark externally and refresh tests after major changes.</t>
        </is>
      </c>
      <c r="K296" s="3" t="inlineStr">
        <is>
          <t>Reduces exposure to Reputation crisis; Demand shock; IT outage; improves Marketing operations maturity, continuity and management visibility.</t>
        </is>
      </c>
      <c r="L296" s="3" t="n">
        <v>4</v>
      </c>
      <c r="M296" s="3" t="n">
        <v>4</v>
      </c>
      <c r="N296" s="3" t="n">
        <v>3</v>
      </c>
      <c r="O296" s="3" t="n">
        <v>2</v>
      </c>
      <c r="P296" s="3" t="n">
        <v>1</v>
      </c>
      <c r="Q296" s="3" t="n">
        <v>1</v>
      </c>
      <c r="R296" s="3" t="inlineStr">
        <is>
          <t>ISO 10002; ISO 10004; ISO 20671-1; ISO 22301; AMEC; crisis communication best practices</t>
        </is>
      </c>
      <c r="S296" s="3" t="inlineStr">
        <is>
          <t>Policy/SOP; owner/RACI; system report; dashboard; contracts; test records; incident history; interview evidence related to sales-marketing alignment on ICP, lead definitions, messages, offers and crisis concerns.</t>
        </is>
      </c>
      <c r="T296" s="3" t="inlineStr">
        <is>
          <t>Reputation crisis; Demand shock; IT outage</t>
        </is>
      </c>
      <c r="U296" s="3" t="inlineStr">
        <is>
          <t>CMO / Communications</t>
        </is>
      </c>
      <c r="V296" s="3" t="inlineStr">
        <is>
          <t>Marketing Comms!20</t>
        </is>
      </c>
    </row>
    <row r="297" ht="85.5" customHeight="1" s="209">
      <c r="A297" s="3" t="inlineStr">
        <is>
          <t>ITCL-001</t>
        </is>
      </c>
      <c r="B297" s="3" t="inlineStr">
        <is>
          <t>IT Cloud DR</t>
        </is>
      </c>
      <c r="C297" s="3" t="inlineStr">
        <is>
          <t>IT inventory and architecture</t>
        </is>
      </c>
      <c r="D297" s="3" t="inlineStr">
        <is>
          <t>How mature is the organization in managing complete inventory of applications, infrastructure, cloud accounts, integrations, data stores and owners, including ownership, evidence, metrics, fallback procedures and crisis stress testing?</t>
        </is>
      </c>
      <c r="E297" s="3" t="inlineStr">
        <is>
          <t>Establish a basic owner and inventory for complete inventory of applications, infrastructure, cloud accounts, integrations, data stores and owners. Define minimum policy, evidence location and immediate crisis relevance.</t>
        </is>
      </c>
      <c r="F297" s="3" t="inlineStr">
        <is>
          <t>Document complete inventory of applications, infrastructure, cloud accounts, integrations, data stores and owners, assign RACI, define minimum controls/KPIs and collect evidence across the main business units or sites.</t>
        </is>
      </c>
      <c r="G297" s="3" t="inlineStr">
        <is>
          <t>Standardize complete inventory of applications, infrastructure, cloud accounts, integrations, data stores and owners across the organization, close coverage gaps, link it to crisis scenarios and train accountable roles.</t>
        </is>
      </c>
      <c r="H297" s="3" t="inlineStr">
        <is>
          <t>Measure complete inventory of applications, infrastructure, cloud accounts, integrations, data stores and owners, review it periodically, test it against disruption scenarios and integrate it with dependent processes or systems.</t>
        </is>
      </c>
      <c r="I297" s="3" t="inlineStr">
        <is>
          <t>Optimize and automate complete inventory of applications, infrastructure, cloud accounts, integrations, data stores and owners where practical, use leading indicators, run periodic stress tests and update the crisis playbook.</t>
        </is>
      </c>
      <c r="J297" s="3" t="inlineStr">
        <is>
          <t>Maintain maturity for complete inventory of applications, infrastructure, cloud accounts, integrations, data stores and owners. Monitor drift, keep evidence current, benchmark externally and refresh tests after major changes.</t>
        </is>
      </c>
      <c r="K297" s="3" t="inlineStr">
        <is>
          <t>Reduces exposure to IT outage; Cloud outage; Data loss; Cyberattack; improves IT inventory and architecture maturity, continuity and management visibility.</t>
        </is>
      </c>
      <c r="L297" s="3" t="n">
        <v>5</v>
      </c>
      <c r="M297" s="3" t="n">
        <v>5</v>
      </c>
      <c r="N297" s="3" t="n">
        <v>4</v>
      </c>
      <c r="O297" s="3" t="n">
        <v>3</v>
      </c>
      <c r="P297" s="3" t="n">
        <v>2</v>
      </c>
      <c r="Q297" s="3" t="n">
        <v>1</v>
      </c>
      <c r="R297" s="3" t="inlineStr">
        <is>
          <t>ISO/IEC 27001; ISO/IEC 20000-1; NIST CSF 2.0; NIST SP 800-34; COBIT; ITIL 4; FinOps</t>
        </is>
      </c>
      <c r="S297" s="3" t="inlineStr">
        <is>
          <t>Policy/SOP; owner/RACI; system report; dashboard; contracts; test records; incident history; interview evidence related to complete inventory of applications, infrastructure, cloud accounts, integrations, data stores and owners.</t>
        </is>
      </c>
      <c r="T297" s="3" t="inlineStr">
        <is>
          <t>IT outage; Cloud outage; Data loss; Cyberattack</t>
        </is>
      </c>
      <c r="U297" s="3" t="inlineStr">
        <is>
          <t>CIO / CTO / IT Ops</t>
        </is>
      </c>
      <c r="V297" s="3" t="inlineStr">
        <is>
          <t>IT Cloud DR!5</t>
        </is>
      </c>
    </row>
    <row r="298" ht="85.5" customHeight="1" s="209">
      <c r="A298" s="3" t="inlineStr">
        <is>
          <t>ITCL-002</t>
        </is>
      </c>
      <c r="B298" s="3" t="inlineStr">
        <is>
          <t>IT Cloud DR</t>
        </is>
      </c>
      <c r="C298" s="3" t="inlineStr">
        <is>
          <t>IT inventory and architecture</t>
        </is>
      </c>
      <c r="D298" s="3" t="inlineStr">
        <is>
          <t>How mature is the organization in managing system criticality tiering by business process, RTO, RPO, users and data sensitivity, including ownership, evidence, metrics, fallback procedures and crisis stress testing?</t>
        </is>
      </c>
      <c r="E298" s="3" t="inlineStr">
        <is>
          <t>Establish a basic owner and inventory for system criticality tiering by business process, RTO, RPO, users and data sensitivity. Define minimum policy, evidence location and immediate crisis relevance.</t>
        </is>
      </c>
      <c r="F298" s="3" t="inlineStr">
        <is>
          <t>Document system criticality tiering by business process, RTO, RPO, users and data sensitivity, assign RACI, define minimum controls/KPIs and collect evidence across the main business units or sites.</t>
        </is>
      </c>
      <c r="G298" s="3" t="inlineStr">
        <is>
          <t>Standardize system criticality tiering by business process, RTO, RPO, users and data sensitivity across the organization, close coverage gaps, link it to crisis scenarios and train accountable roles.</t>
        </is>
      </c>
      <c r="H298" s="3" t="inlineStr">
        <is>
          <t>Measure system criticality tiering by business process, RTO, RPO, users and data sensitivity, review it periodically, test it against disruption scenarios and integrate it with dependent processes or systems.</t>
        </is>
      </c>
      <c r="I298" s="3" t="inlineStr">
        <is>
          <t>Optimize and automate system criticality tiering by business process, RTO, RPO, users and data sensitivity where practical, use leading indicators, run periodic stress tests and update the crisis playbook.</t>
        </is>
      </c>
      <c r="J298" s="3" t="inlineStr">
        <is>
          <t>Maintain maturity for system criticality tiering by business process, RTO, RPO, users and data sensitivity. Monitor drift, keep evidence current, benchmark externally and refresh tests after major changes.</t>
        </is>
      </c>
      <c r="K298" s="3" t="inlineStr">
        <is>
          <t>Reduces exposure to IT outage; Cloud outage; Data loss; Cyberattack; improves IT inventory and architecture maturity, continuity and management visibility.</t>
        </is>
      </c>
      <c r="L298" s="3" t="n">
        <v>5</v>
      </c>
      <c r="M298" s="3" t="n">
        <v>5</v>
      </c>
      <c r="N298" s="3" t="n">
        <v>4</v>
      </c>
      <c r="O298" s="3" t="n">
        <v>3</v>
      </c>
      <c r="P298" s="3" t="n">
        <v>2</v>
      </c>
      <c r="Q298" s="3" t="n">
        <v>1</v>
      </c>
      <c r="R298" s="3" t="inlineStr">
        <is>
          <t>ISO/IEC 27001; ISO/IEC 20000-1; NIST CSF 2.0; NIST SP 800-34; COBIT; ITIL 4; FinOps</t>
        </is>
      </c>
      <c r="S298" s="3" t="inlineStr">
        <is>
          <t>Policy/SOP; owner/RACI; system report; dashboard; contracts; test records; incident history; interview evidence related to system criticality tiering by business process, RTO, RPO, users and data sensitivity.</t>
        </is>
      </c>
      <c r="T298" s="3" t="inlineStr">
        <is>
          <t>IT outage; Cloud outage; Data loss; Cyberattack</t>
        </is>
      </c>
      <c r="U298" s="3" t="inlineStr">
        <is>
          <t>CIO / CTO / IT Ops</t>
        </is>
      </c>
      <c r="V298" s="3" t="inlineStr">
        <is>
          <t>IT Cloud DR!6</t>
        </is>
      </c>
    </row>
    <row r="299" ht="71.25" customHeight="1" s="209">
      <c r="A299" s="3" t="inlineStr">
        <is>
          <t>ITCL-003</t>
        </is>
      </c>
      <c r="B299" s="3" t="inlineStr">
        <is>
          <t>IT Cloud DR</t>
        </is>
      </c>
      <c r="C299" s="3" t="inlineStr">
        <is>
          <t>IT inventory and architecture</t>
        </is>
      </c>
      <c r="D299" s="3" t="inlineStr">
        <is>
          <t>How mature is the organization in managing current-state and target-state IT architecture documentation, including ownership, evidence, metrics, fallback procedures and crisis stress testing?</t>
        </is>
      </c>
      <c r="E299" s="3" t="inlineStr">
        <is>
          <t>Establish a basic owner and inventory for current-state and target-state IT architecture documentation. Define minimum policy, evidence location and immediate crisis relevance.</t>
        </is>
      </c>
      <c r="F299" s="3" t="inlineStr">
        <is>
          <t>Document current-state and target-state IT architecture documentation, assign RACI, define minimum controls/KPIs and collect evidence across the main business units or sites.</t>
        </is>
      </c>
      <c r="G299" s="3" t="inlineStr">
        <is>
          <t>Standardize current-state and target-state IT architecture documentation across the organization, close coverage gaps, link it to crisis scenarios and train accountable roles.</t>
        </is>
      </c>
      <c r="H299" s="3" t="inlineStr">
        <is>
          <t>Measure current-state and target-state IT architecture documentation, review it periodically, test it against disruption scenarios and integrate it with dependent processes or systems.</t>
        </is>
      </c>
      <c r="I299" s="3" t="inlineStr">
        <is>
          <t>Optimize and automate current-state and target-state IT architecture documentation where practical, use leading indicators, run periodic stress tests and update the crisis playbook.</t>
        </is>
      </c>
      <c r="J299" s="3" t="inlineStr">
        <is>
          <t>Maintain maturity for current-state and target-state IT architecture documentation. Monitor drift, keep evidence current, benchmark externally and refresh tests after major changes.</t>
        </is>
      </c>
      <c r="K299" s="3" t="inlineStr">
        <is>
          <t>Reduces exposure to IT outage; Cloud outage; Data loss; Cyberattack; improves IT inventory and architecture maturity, continuity and management visibility.</t>
        </is>
      </c>
      <c r="L299" s="3" t="n">
        <v>5</v>
      </c>
      <c r="M299" s="3" t="n">
        <v>5</v>
      </c>
      <c r="N299" s="3" t="n">
        <v>4</v>
      </c>
      <c r="O299" s="3" t="n">
        <v>3</v>
      </c>
      <c r="P299" s="3" t="n">
        <v>2</v>
      </c>
      <c r="Q299" s="3" t="n">
        <v>1</v>
      </c>
      <c r="R299" s="3" t="inlineStr">
        <is>
          <t>ISO/IEC 27001; ISO/IEC 20000-1; NIST CSF 2.0; NIST SP 800-34; COBIT; ITIL 4; FinOps</t>
        </is>
      </c>
      <c r="S299" s="3" t="inlineStr">
        <is>
          <t>Policy/SOP; owner/RACI; system report; dashboard; contracts; test records; incident history; interview evidence related to current-state and target-state IT architecture documentation.</t>
        </is>
      </c>
      <c r="T299" s="3" t="inlineStr">
        <is>
          <t>IT outage; Cloud outage; Data loss; Cyberattack</t>
        </is>
      </c>
      <c r="U299" s="3" t="inlineStr">
        <is>
          <t>CIO / CTO / IT Ops</t>
        </is>
      </c>
      <c r="V299" s="3" t="inlineStr">
        <is>
          <t>IT Cloud DR!7</t>
        </is>
      </c>
    </row>
    <row r="300" ht="85.5" customHeight="1" s="209">
      <c r="A300" s="3" t="inlineStr">
        <is>
          <t>ITCL-004</t>
        </is>
      </c>
      <c r="B300" s="3" t="inlineStr">
        <is>
          <t>IT Cloud DR</t>
        </is>
      </c>
      <c r="C300" s="3" t="inlineStr">
        <is>
          <t>IT inventory and architecture</t>
        </is>
      </c>
      <c r="D300" s="3" t="inlineStr">
        <is>
          <t>How mature is the organization in managing technical single points of failure across network, identity, DNS, cloud, databases, integrations and support teams, including ownership, evidence, metrics, fallback procedures and crisis stress testing?</t>
        </is>
      </c>
      <c r="E300" s="3" t="inlineStr">
        <is>
          <t>Establish a basic owner and inventory for technical single points of failure across network, identity, DNS, cloud, databases, integrations and support teams. Define minimum policy, evidence location and immediate crisis relevance.</t>
        </is>
      </c>
      <c r="F300" s="3" t="inlineStr">
        <is>
          <t>Document technical single points of failure across network, identity, DNS, cloud, databases, integrations and support teams, assign RACI, define minimum controls/KPIs and collect evidence across the main business units or sites.</t>
        </is>
      </c>
      <c r="G300" s="3" t="inlineStr">
        <is>
          <t>Standardize technical single points of failure across network, identity, DNS, cloud, databases, integrations and support teams across the organization, close coverage gaps, link it to crisis scenarios and train accountable roles.</t>
        </is>
      </c>
      <c r="H300" s="3" t="inlineStr">
        <is>
          <t>Measure technical single points of failure across network, identity, DNS, cloud, databases, integrations and support teams, review it periodically, test it against disruption scenarios and integrate it with dependent processes or systems.</t>
        </is>
      </c>
      <c r="I300" s="3" t="inlineStr">
        <is>
          <t>Optimize and automate technical single points of failure across network, identity, DNS, cloud, databases, integrations and support teams where practical, use leading indicators, run periodic stress tests and update the crisis playbook.</t>
        </is>
      </c>
      <c r="J300" s="3" t="inlineStr">
        <is>
          <t>Maintain maturity for technical single points of failure across network, identity, DNS, cloud, databases, integrations and support teams. Monitor drift, keep evidence current, benchmark externally and refresh tests after major changes.</t>
        </is>
      </c>
      <c r="K300" s="3" t="inlineStr">
        <is>
          <t>Reduces exposure to IT outage; Cloud outage; Data loss; Cyberattack; improves IT inventory and architecture maturity, continuity and management visibility.</t>
        </is>
      </c>
      <c r="L300" s="3" t="n">
        <v>5</v>
      </c>
      <c r="M300" s="3" t="n">
        <v>5</v>
      </c>
      <c r="N300" s="3" t="n">
        <v>4</v>
      </c>
      <c r="O300" s="3" t="n">
        <v>3</v>
      </c>
      <c r="P300" s="3" t="n">
        <v>2</v>
      </c>
      <c r="Q300" s="3" t="n">
        <v>1</v>
      </c>
      <c r="R300" s="3" t="inlineStr">
        <is>
          <t>ISO/IEC 27001; ISO/IEC 20000-1; NIST CSF 2.0; NIST SP 800-34; COBIT; ITIL 4; FinOps</t>
        </is>
      </c>
      <c r="S300" s="3" t="inlineStr">
        <is>
          <t>Policy/SOP; owner/RACI; system report; dashboard; contracts; test records; incident history; interview evidence related to technical single points of failure across network, identity, DNS, cloud, databases, integrations and support teams.</t>
        </is>
      </c>
      <c r="T300" s="3" t="inlineStr">
        <is>
          <t>IT outage; Cloud outage; Data loss; Cyberattack</t>
        </is>
      </c>
      <c r="U300" s="3" t="inlineStr">
        <is>
          <t>CIO / CTO / IT Ops</t>
        </is>
      </c>
      <c r="V300" s="3" t="inlineStr">
        <is>
          <t>IT Cloud DR!8</t>
        </is>
      </c>
    </row>
    <row r="301" ht="85.5" customHeight="1" s="209">
      <c r="A301" s="3" t="inlineStr">
        <is>
          <t>ITCL-005</t>
        </is>
      </c>
      <c r="B301" s="3" t="inlineStr">
        <is>
          <t>IT Cloud DR</t>
        </is>
      </c>
      <c r="C301" s="3" t="inlineStr">
        <is>
          <t>IT inventory and architecture</t>
        </is>
      </c>
      <c r="D301" s="3" t="inlineStr">
        <is>
          <t>How mature is the organization in managing legacy system risk for vendor support, skills, security, integration and replacement options, including ownership, evidence, metrics, fallback procedures and crisis stress testing?</t>
        </is>
      </c>
      <c r="E301" s="3" t="inlineStr">
        <is>
          <t>Establish a basic owner and inventory for legacy system risk for vendor support, skills, security, integration and replacement options. Define minimum policy, evidence location and immediate crisis relevance.</t>
        </is>
      </c>
      <c r="F301" s="3" t="inlineStr">
        <is>
          <t>Document legacy system risk for vendor support, skills, security, integration and replacement options, assign RACI, define minimum controls/KPIs and collect evidence across the main business units or sites.</t>
        </is>
      </c>
      <c r="G301" s="3" t="inlineStr">
        <is>
          <t>Standardize legacy system risk for vendor support, skills, security, integration and replacement options across the organization, close coverage gaps, link it to crisis scenarios and train accountable roles.</t>
        </is>
      </c>
      <c r="H301" s="3" t="inlineStr">
        <is>
          <t>Measure legacy system risk for vendor support, skills, security, integration and replacement options, review it periodically, test it against disruption scenarios and integrate it with dependent processes or systems.</t>
        </is>
      </c>
      <c r="I301" s="3" t="inlineStr">
        <is>
          <t>Optimize and automate legacy system risk for vendor support, skills, security, integration and replacement options where practical, use leading indicators, run periodic stress tests and update the crisis playbook.</t>
        </is>
      </c>
      <c r="J301" s="3" t="inlineStr">
        <is>
          <t>Maintain maturity for legacy system risk for vendor support, skills, security, integration and replacement options. Monitor drift, keep evidence current, benchmark externally and refresh tests after major changes.</t>
        </is>
      </c>
      <c r="K301" s="3" t="inlineStr">
        <is>
          <t>Reduces exposure to IT outage; Cloud outage; Data loss; Cyberattack; improves IT inventory and architecture maturity, continuity and management visibility.</t>
        </is>
      </c>
      <c r="L301" s="3" t="n">
        <v>5</v>
      </c>
      <c r="M301" s="3" t="n">
        <v>5</v>
      </c>
      <c r="N301" s="3" t="n">
        <v>4</v>
      </c>
      <c r="O301" s="3" t="n">
        <v>3</v>
      </c>
      <c r="P301" s="3" t="n">
        <v>2</v>
      </c>
      <c r="Q301" s="3" t="n">
        <v>1</v>
      </c>
      <c r="R301" s="3" t="inlineStr">
        <is>
          <t>ISO/IEC 27001; ISO/IEC 20000-1; NIST CSF 2.0; NIST SP 800-34; COBIT; ITIL 4; FinOps</t>
        </is>
      </c>
      <c r="S301" s="3" t="inlineStr">
        <is>
          <t>Policy/SOP; owner/RACI; system report; dashboard; contracts; test records; incident history; interview evidence related to legacy system risk for vendor support, skills, security, integration and replacement options.</t>
        </is>
      </c>
      <c r="T301" s="3" t="inlineStr">
        <is>
          <t>IT outage; Cloud outage; Data loss; Cyberattack</t>
        </is>
      </c>
      <c r="U301" s="3" t="inlineStr">
        <is>
          <t>CIO / CTO / IT Ops</t>
        </is>
      </c>
      <c r="V301" s="3" t="inlineStr">
        <is>
          <t>IT Cloud DR!9</t>
        </is>
      </c>
    </row>
    <row r="302" ht="71.25" customHeight="1" s="209">
      <c r="A302" s="3" t="inlineStr">
        <is>
          <t>ITCL-006</t>
        </is>
      </c>
      <c r="B302" s="3" t="inlineStr">
        <is>
          <t>IT Cloud DR</t>
        </is>
      </c>
      <c r="C302" s="3" t="inlineStr">
        <is>
          <t>IT inventory and architecture</t>
        </is>
      </c>
      <c r="D302" s="3" t="inlineStr">
        <is>
          <t>How mature is the organization in managing technical debt register linked to resilience, security and business impact, including ownership, evidence, metrics, fallback procedures and crisis stress testing?</t>
        </is>
      </c>
      <c r="E302" s="3" t="inlineStr">
        <is>
          <t>Establish a basic owner and inventory for technical debt register linked to resilience, security and business impact. Define minimum policy, evidence location and immediate crisis relevance.</t>
        </is>
      </c>
      <c r="F302" s="3" t="inlineStr">
        <is>
          <t>Document technical debt register linked to resilience, security and business impact, assign RACI, define minimum controls/KPIs and collect evidence across the main business units or sites.</t>
        </is>
      </c>
      <c r="G302" s="3" t="inlineStr">
        <is>
          <t>Standardize technical debt register linked to resilience, security and business impact across the organization, close coverage gaps, link it to crisis scenarios and train accountable roles.</t>
        </is>
      </c>
      <c r="H302" s="3" t="inlineStr">
        <is>
          <t>Measure technical debt register linked to resilience, security and business impact, review it periodically, test it against disruption scenarios and integrate it with dependent processes or systems.</t>
        </is>
      </c>
      <c r="I302" s="3" t="inlineStr">
        <is>
          <t>Optimize and automate technical debt register linked to resilience, security and business impact where practical, use leading indicators, run periodic stress tests and update the crisis playbook.</t>
        </is>
      </c>
      <c r="J302" s="3" t="inlineStr">
        <is>
          <t>Maintain maturity for technical debt register linked to resilience, security and business impact. Monitor drift, keep evidence current, benchmark externally and refresh tests after major changes.</t>
        </is>
      </c>
      <c r="K302" s="3" t="inlineStr">
        <is>
          <t>Reduces exposure to IT outage; Cloud outage; Data loss; Cyberattack; improves IT inventory and architecture maturity, continuity and management visibility.</t>
        </is>
      </c>
      <c r="L302" s="3" t="n">
        <v>5</v>
      </c>
      <c r="M302" s="3" t="n">
        <v>5</v>
      </c>
      <c r="N302" s="3" t="n">
        <v>4</v>
      </c>
      <c r="O302" s="3" t="n">
        <v>3</v>
      </c>
      <c r="P302" s="3" t="n">
        <v>2</v>
      </c>
      <c r="Q302" s="3" t="n">
        <v>1</v>
      </c>
      <c r="R302" s="3" t="inlineStr">
        <is>
          <t>ISO/IEC 27001; ISO/IEC 20000-1; NIST CSF 2.0; NIST SP 800-34; COBIT; ITIL 4; FinOps</t>
        </is>
      </c>
      <c r="S302" s="3" t="inlineStr">
        <is>
          <t>Policy/SOP; owner/RACI; system report; dashboard; contracts; test records; incident history; interview evidence related to technical debt register linked to resilience, security and business impact.</t>
        </is>
      </c>
      <c r="T302" s="3" t="inlineStr">
        <is>
          <t>IT outage; Cloud outage; Data loss; Cyberattack</t>
        </is>
      </c>
      <c r="U302" s="3" t="inlineStr">
        <is>
          <t>CIO / CTO / IT Ops</t>
        </is>
      </c>
      <c r="V302" s="3" t="inlineStr">
        <is>
          <t>IT Cloud DR!10</t>
        </is>
      </c>
    </row>
    <row r="303" ht="85.5" customHeight="1" s="209">
      <c r="A303" s="3" t="inlineStr">
        <is>
          <t>ITCL-007</t>
        </is>
      </c>
      <c r="B303" s="3" t="inlineStr">
        <is>
          <t>IT Cloud DR</t>
        </is>
      </c>
      <c r="C303" s="3" t="inlineStr">
        <is>
          <t>Cloud usage</t>
        </is>
      </c>
      <c r="D303" s="3" t="inlineStr">
        <is>
          <t>How mature is the organization in managing cloud account, subscription or project governance with ownership, billing, IAM, tagging and guardrails, including ownership, evidence, metrics, fallback procedures and crisis stress testing?</t>
        </is>
      </c>
      <c r="E303" s="3" t="inlineStr">
        <is>
          <t>Establish a basic owner and inventory for cloud account, subscription or project governance with ownership, billing, IAM, tagging and guardrails. Define minimum policy, evidence location and immediate crisis relevance.</t>
        </is>
      </c>
      <c r="F303" s="3" t="inlineStr">
        <is>
          <t>Document cloud account, subscription or project governance with ownership, billing, IAM, tagging and guardrails, assign RACI, define minimum controls/KPIs and collect evidence across the main business units or sites.</t>
        </is>
      </c>
      <c r="G303" s="3" t="inlineStr">
        <is>
          <t>Standardize cloud account, subscription or project governance with ownership, billing, IAM, tagging and guardrails across the organization, close coverage gaps, link it to crisis scenarios and train accountable roles.</t>
        </is>
      </c>
      <c r="H303" s="3" t="inlineStr">
        <is>
          <t>Measure cloud account, subscription or project governance with ownership, billing, IAM, tagging and guardrails, review it periodically, test it against disruption scenarios and integrate it with dependent processes or systems.</t>
        </is>
      </c>
      <c r="I303" s="3" t="inlineStr">
        <is>
          <t>Optimize and automate cloud account, subscription or project governance with ownership, billing, IAM, tagging and guardrails where practical, use leading indicators, run periodic stress tests and update the crisis playbook.</t>
        </is>
      </c>
      <c r="J303" s="3" t="inlineStr">
        <is>
          <t>Maintain maturity for cloud account, subscription or project governance with ownership, billing, IAM, tagging and guardrails. Monitor drift, keep evidence current, benchmark externally and refresh tests after major changes.</t>
        </is>
      </c>
      <c r="K303" s="3" t="inlineStr">
        <is>
          <t>Reduces exposure to IT outage; Cloud outage; Data loss; Cyberattack; improves Cloud usage maturity, continuity and management visibility.</t>
        </is>
      </c>
      <c r="L303" s="3" t="n">
        <v>5</v>
      </c>
      <c r="M303" s="3" t="n">
        <v>5</v>
      </c>
      <c r="N303" s="3" t="n">
        <v>4</v>
      </c>
      <c r="O303" s="3" t="n">
        <v>3</v>
      </c>
      <c r="P303" s="3" t="n">
        <v>2</v>
      </c>
      <c r="Q303" s="3" t="n">
        <v>1</v>
      </c>
      <c r="R303" s="3" t="inlineStr">
        <is>
          <t>ISO/IEC 27001; ISO/IEC 20000-1; NIST CSF 2.0; NIST SP 800-34; COBIT; ITIL 4; FinOps</t>
        </is>
      </c>
      <c r="S303" s="3" t="inlineStr">
        <is>
          <t>Policy/SOP; owner/RACI; system report; dashboard; contracts; test records; incident history; interview evidence related to cloud account, subscription or project governance with ownership, billing, IAM, tagging and guardrails.</t>
        </is>
      </c>
      <c r="T303" s="3" t="inlineStr">
        <is>
          <t>IT outage; Cloud outage; Data loss; Cyberattack</t>
        </is>
      </c>
      <c r="U303" s="3" t="inlineStr">
        <is>
          <t>CIO / CTO / IT Ops</t>
        </is>
      </c>
      <c r="V303" s="3" t="inlineStr">
        <is>
          <t>IT Cloud DR!11</t>
        </is>
      </c>
    </row>
    <row r="304" ht="71.25" customHeight="1" s="209">
      <c r="A304" s="3" t="inlineStr">
        <is>
          <t>ITCL-008</t>
        </is>
      </c>
      <c r="B304" s="3" t="inlineStr">
        <is>
          <t>IT Cloud DR</t>
        </is>
      </c>
      <c r="C304" s="3" t="inlineStr">
        <is>
          <t>Cloud usage</t>
        </is>
      </c>
      <c r="D304" s="3" t="inlineStr">
        <is>
          <t>How mature is the organization in managing cloud provider, SaaS, region and managed-service concentration risk, including ownership, evidence, metrics, fallback procedures and crisis stress testing?</t>
        </is>
      </c>
      <c r="E304" s="3" t="inlineStr">
        <is>
          <t>Establish a basic owner and inventory for cloud provider, SaaS, region and managed-service concentration risk. Define minimum policy, evidence location and immediate crisis relevance.</t>
        </is>
      </c>
      <c r="F304" s="3" t="inlineStr">
        <is>
          <t>Document cloud provider, SaaS, region and managed-service concentration risk, assign RACI, define minimum controls/KPIs and collect evidence across the main business units or sites.</t>
        </is>
      </c>
      <c r="G304" s="3" t="inlineStr">
        <is>
          <t>Standardize cloud provider, SaaS, region and managed-service concentration risk across the organization, close coverage gaps, link it to crisis scenarios and train accountable roles.</t>
        </is>
      </c>
      <c r="H304" s="3" t="inlineStr">
        <is>
          <t>Measure cloud provider, SaaS, region and managed-service concentration risk, review it periodically, test it against disruption scenarios and integrate it with dependent processes or systems.</t>
        </is>
      </c>
      <c r="I304" s="3" t="inlineStr">
        <is>
          <t>Optimize and automate cloud provider, SaaS, region and managed-service concentration risk where practical, use leading indicators, run periodic stress tests and update the crisis playbook.</t>
        </is>
      </c>
      <c r="J304" s="3" t="inlineStr">
        <is>
          <t>Maintain maturity for cloud provider, SaaS, region and managed-service concentration risk. Monitor drift, keep evidence current, benchmark externally and refresh tests after major changes.</t>
        </is>
      </c>
      <c r="K304" s="3" t="inlineStr">
        <is>
          <t>Reduces exposure to IT outage; Cloud outage; Data loss; Cyberattack; improves Cloud usage maturity, continuity and management visibility.</t>
        </is>
      </c>
      <c r="L304" s="3" t="n">
        <v>5</v>
      </c>
      <c r="M304" s="3" t="n">
        <v>5</v>
      </c>
      <c r="N304" s="3" t="n">
        <v>4</v>
      </c>
      <c r="O304" s="3" t="n">
        <v>3</v>
      </c>
      <c r="P304" s="3" t="n">
        <v>2</v>
      </c>
      <c r="Q304" s="3" t="n">
        <v>1</v>
      </c>
      <c r="R304" s="3" t="inlineStr">
        <is>
          <t>ISO/IEC 27001; ISO/IEC 20000-1; NIST CSF 2.0; NIST SP 800-34; COBIT; ITIL 4; FinOps</t>
        </is>
      </c>
      <c r="S304" s="3" t="inlineStr">
        <is>
          <t>Policy/SOP; owner/RACI; system report; dashboard; contracts; test records; incident history; interview evidence related to cloud provider, SaaS, region and managed-service concentration risk.</t>
        </is>
      </c>
      <c r="T304" s="3" t="inlineStr">
        <is>
          <t>IT outage; Cloud outage; Data loss; Cyberattack</t>
        </is>
      </c>
      <c r="U304" s="3" t="inlineStr">
        <is>
          <t>CIO / CTO / IT Ops</t>
        </is>
      </c>
      <c r="V304" s="3" t="inlineStr">
        <is>
          <t>IT Cloud DR!12</t>
        </is>
      </c>
    </row>
    <row r="305" ht="85.5" customHeight="1" s="209">
      <c r="A305" s="3" t="inlineStr">
        <is>
          <t>ITCL-009</t>
        </is>
      </c>
      <c r="B305" s="3" t="inlineStr">
        <is>
          <t>IT Cloud DR</t>
        </is>
      </c>
      <c r="C305" s="3" t="inlineStr">
        <is>
          <t>Cloud usage</t>
        </is>
      </c>
      <c r="D305" s="3" t="inlineStr">
        <is>
          <t>How mature is the organization in managing multi-region, multi-zone or failover design for critical cloud services where justified, including ownership, evidence, metrics, fallback procedures and crisis stress testing?</t>
        </is>
      </c>
      <c r="E305" s="3" t="inlineStr">
        <is>
          <t>Establish a basic owner and inventory for multi-region, multi-zone or failover design for critical cloud services where justified. Define minimum policy, evidence location and immediate crisis relevance.</t>
        </is>
      </c>
      <c r="F305" s="3" t="inlineStr">
        <is>
          <t>Document multi-region, multi-zone or failover design for critical cloud services where justified, assign RACI, define minimum controls/KPIs and collect evidence across the main business units or sites.</t>
        </is>
      </c>
      <c r="G305" s="3" t="inlineStr">
        <is>
          <t>Standardize multi-region, multi-zone or failover design for critical cloud services where justified across the organization, close coverage gaps, link it to crisis scenarios and train accountable roles.</t>
        </is>
      </c>
      <c r="H305" s="3" t="inlineStr">
        <is>
          <t>Measure multi-region, multi-zone or failover design for critical cloud services where justified, review it periodically, test it against disruption scenarios and integrate it with dependent processes or systems.</t>
        </is>
      </c>
      <c r="I305" s="3" t="inlineStr">
        <is>
          <t>Optimize and automate multi-region, multi-zone or failover design for critical cloud services where justified where practical, use leading indicators, run periodic stress tests and update the crisis playbook.</t>
        </is>
      </c>
      <c r="J305" s="3" t="inlineStr">
        <is>
          <t>Maintain maturity for multi-region, multi-zone or failover design for critical cloud services where justified. Monitor drift, keep evidence current, benchmark externally and refresh tests after major changes.</t>
        </is>
      </c>
      <c r="K305" s="3" t="inlineStr">
        <is>
          <t>Reduces exposure to IT outage; Cloud outage; Data loss; Cyberattack; improves Cloud usage maturity, continuity and management visibility.</t>
        </is>
      </c>
      <c r="L305" s="3" t="n">
        <v>5</v>
      </c>
      <c r="M305" s="3" t="n">
        <v>5</v>
      </c>
      <c r="N305" s="3" t="n">
        <v>4</v>
      </c>
      <c r="O305" s="3" t="n">
        <v>3</v>
      </c>
      <c r="P305" s="3" t="n">
        <v>2</v>
      </c>
      <c r="Q305" s="3" t="n">
        <v>1</v>
      </c>
      <c r="R305" s="3" t="inlineStr">
        <is>
          <t>ISO/IEC 27001; ISO/IEC 20000-1; NIST CSF 2.0; NIST SP 800-34; COBIT; ITIL 4; FinOps</t>
        </is>
      </c>
      <c r="S305" s="3" t="inlineStr">
        <is>
          <t>Policy/SOP; owner/RACI; system report; dashboard; contracts; test records; incident history; interview evidence related to multi-region, multi-zone or failover design for critical cloud services where justified.</t>
        </is>
      </c>
      <c r="T305" s="3" t="inlineStr">
        <is>
          <t>IT outage; Cloud outage; Data loss; Cyberattack</t>
        </is>
      </c>
      <c r="U305" s="3" t="inlineStr">
        <is>
          <t>CIO / CTO / IT Ops</t>
        </is>
      </c>
      <c r="V305" s="3" t="inlineStr">
        <is>
          <t>IT Cloud DR!13</t>
        </is>
      </c>
    </row>
    <row r="306" ht="71.25" customHeight="1" s="209">
      <c r="A306" s="3" t="inlineStr">
        <is>
          <t>ITCL-010</t>
        </is>
      </c>
      <c r="B306" s="3" t="inlineStr">
        <is>
          <t>IT Cloud DR</t>
        </is>
      </c>
      <c r="C306" s="3" t="inlineStr">
        <is>
          <t>Cloud usage</t>
        </is>
      </c>
      <c r="D306" s="3" t="inlineStr">
        <is>
          <t>How mature is the organization in managing cloud cost monitoring, budgets, alerts, forecasting and FinOps practices, including ownership, evidence, metrics, fallback procedures and crisis stress testing?</t>
        </is>
      </c>
      <c r="E306" s="3" t="inlineStr">
        <is>
          <t>Establish a basic owner and inventory for cloud cost monitoring, budgets, alerts, forecasting and FinOps practices. Define minimum policy, evidence location and immediate crisis relevance.</t>
        </is>
      </c>
      <c r="F306" s="3" t="inlineStr">
        <is>
          <t>Document cloud cost monitoring, budgets, alerts, forecasting and FinOps practices, assign RACI, define minimum controls/KPIs and collect evidence across the main business units or sites.</t>
        </is>
      </c>
      <c r="G306" s="3" t="inlineStr">
        <is>
          <t>Standardize cloud cost monitoring, budgets, alerts, forecasting and FinOps practices across the organization, close coverage gaps, link it to crisis scenarios and train accountable roles.</t>
        </is>
      </c>
      <c r="H306" s="3" t="inlineStr">
        <is>
          <t>Measure cloud cost monitoring, budgets, alerts, forecasting and FinOps practices, review it periodically, test it against disruption scenarios and integrate it with dependent processes or systems.</t>
        </is>
      </c>
      <c r="I306" s="3" t="inlineStr">
        <is>
          <t>Optimize and automate cloud cost monitoring, budgets, alerts, forecasting and FinOps practices where practical, use leading indicators, run periodic stress tests and update the crisis playbook.</t>
        </is>
      </c>
      <c r="J306" s="3" t="inlineStr">
        <is>
          <t>Maintain maturity for cloud cost monitoring, budgets, alerts, forecasting and FinOps practices. Monitor drift, keep evidence current, benchmark externally and refresh tests after major changes.</t>
        </is>
      </c>
      <c r="K306" s="3" t="inlineStr">
        <is>
          <t>Reduces exposure to IT outage; Cloud outage; Data loss; Cyberattack; improves Cloud usage maturity, continuity and management visibility.</t>
        </is>
      </c>
      <c r="L306" s="3" t="n">
        <v>5</v>
      </c>
      <c r="M306" s="3" t="n">
        <v>5</v>
      </c>
      <c r="N306" s="3" t="n">
        <v>4</v>
      </c>
      <c r="O306" s="3" t="n">
        <v>3</v>
      </c>
      <c r="P306" s="3" t="n">
        <v>2</v>
      </c>
      <c r="Q306" s="3" t="n">
        <v>1</v>
      </c>
      <c r="R306" s="3" t="inlineStr">
        <is>
          <t>ISO/IEC 27001; ISO/IEC 20000-1; NIST CSF 2.0; NIST SP 800-34; COBIT; ITIL 4; FinOps</t>
        </is>
      </c>
      <c r="S306" s="3" t="inlineStr">
        <is>
          <t>Policy/SOP; owner/RACI; system report; dashboard; contracts; test records; incident history; interview evidence related to cloud cost monitoring, budgets, alerts, forecasting and FinOps practices.</t>
        </is>
      </c>
      <c r="T306" s="3" t="inlineStr">
        <is>
          <t>IT outage; Cloud outage; Data loss; Cyberattack</t>
        </is>
      </c>
      <c r="U306" s="3" t="inlineStr">
        <is>
          <t>CIO / CTO / IT Ops</t>
        </is>
      </c>
      <c r="V306" s="3" t="inlineStr">
        <is>
          <t>IT Cloud DR!14</t>
        </is>
      </c>
    </row>
    <row r="307" ht="85.5" customHeight="1" s="209">
      <c r="A307" s="3" t="inlineStr">
        <is>
          <t>ITCL-012</t>
        </is>
      </c>
      <c r="B307" s="3" t="inlineStr">
        <is>
          <t>IT Cloud DR</t>
        </is>
      </c>
      <c r="C307" s="3" t="inlineStr">
        <is>
          <t>Cloud usage</t>
        </is>
      </c>
      <c r="D307" s="3" t="inlineStr">
        <is>
          <t>How mature is the organization in managing cloud backup and restore of configurations, data, infrastructure-as-code and managed services, including ownership, evidence, metrics, fallback procedures and crisis stress testing?</t>
        </is>
      </c>
      <c r="E307" s="3" t="inlineStr">
        <is>
          <t>Establish a basic owner and inventory for cloud backup and restore of configurations, data, infrastructure-as-code and managed services. Define minimum policy, evidence location and immediate crisis relevance.</t>
        </is>
      </c>
      <c r="F307" s="3" t="inlineStr">
        <is>
          <t>Document cloud backup and restore of configurations, data, infrastructure-as-code and managed services, assign RACI, define minimum controls/KPIs and collect evidence across the main business units or sites.</t>
        </is>
      </c>
      <c r="G307" s="3" t="inlineStr">
        <is>
          <t>Standardize cloud backup and restore of configurations, data, infrastructure-as-code and managed services across the organization, close coverage gaps, link it to crisis scenarios and train accountable roles.</t>
        </is>
      </c>
      <c r="H307" s="3" t="inlineStr">
        <is>
          <t>Measure cloud backup and restore of configurations, data, infrastructure-as-code and managed services, review it periodically, test it against disruption scenarios and integrate it with dependent processes or systems.</t>
        </is>
      </c>
      <c r="I307" s="3" t="inlineStr">
        <is>
          <t>Optimize and automate cloud backup and restore of configurations, data, infrastructure-as-code and managed services where practical, use leading indicators, run periodic stress tests and update the crisis playbook.</t>
        </is>
      </c>
      <c r="J307" s="3" t="inlineStr">
        <is>
          <t>Maintain maturity for cloud backup and restore of configurations, data, infrastructure-as-code and managed services. Monitor drift, keep evidence current, benchmark externally and refresh tests after major changes.</t>
        </is>
      </c>
      <c r="K307" s="3" t="inlineStr">
        <is>
          <t>Reduces exposure to IT outage; Cloud outage; Data loss; Cyberattack; improves Cloud usage maturity, continuity and management visibility.</t>
        </is>
      </c>
      <c r="L307" s="3" t="n">
        <v>5</v>
      </c>
      <c r="M307" s="3" t="n">
        <v>5</v>
      </c>
      <c r="N307" s="3" t="n">
        <v>4</v>
      </c>
      <c r="O307" s="3" t="n">
        <v>3</v>
      </c>
      <c r="P307" s="3" t="n">
        <v>2</v>
      </c>
      <c r="Q307" s="3" t="n">
        <v>1</v>
      </c>
      <c r="R307" s="3" t="inlineStr">
        <is>
          <t>ISO/IEC 27001; ISO/IEC 20000-1; NIST CSF 2.0; NIST SP 800-34; COBIT; ITIL 4; FinOps</t>
        </is>
      </c>
      <c r="S307" s="3" t="inlineStr">
        <is>
          <t>Policy/SOP; owner/RACI; system report; dashboard; contracts; test records; incident history; interview evidence related to cloud backup and restore of configurations, data, infrastructure-as-code and managed services.</t>
        </is>
      </c>
      <c r="T307" s="3" t="inlineStr">
        <is>
          <t>IT outage; Cloud outage; Data loss; Cyberattack</t>
        </is>
      </c>
      <c r="U307" s="3" t="inlineStr">
        <is>
          <t>CIO / CTO / IT Ops</t>
        </is>
      </c>
      <c r="V307" s="3" t="inlineStr">
        <is>
          <t>IT Cloud DR!15</t>
        </is>
      </c>
    </row>
    <row r="308" ht="85.5" customHeight="1" s="209">
      <c r="A308" s="3" t="inlineStr">
        <is>
          <t>ITCL-013</t>
        </is>
      </c>
      <c r="B308" s="3" t="inlineStr">
        <is>
          <t>IT Cloud DR</t>
        </is>
      </c>
      <c r="C308" s="3" t="inlineStr">
        <is>
          <t>Resilience and DR</t>
        </is>
      </c>
      <c r="D308" s="3" t="inlineStr">
        <is>
          <t>How mature is the organization in managing backup coverage for systems, databases, files, SaaS data, configurations and cloud resources, including ownership, evidence, metrics, fallback procedures and crisis stress testing?</t>
        </is>
      </c>
      <c r="E308" s="3" t="inlineStr">
        <is>
          <t>Establish a basic owner and inventory for backup coverage for systems, databases, files, SaaS data, configurations and cloud resources. Define minimum policy, evidence location and immediate crisis relevance.</t>
        </is>
      </c>
      <c r="F308" s="3" t="inlineStr">
        <is>
          <t>Document backup coverage for systems, databases, files, SaaS data, configurations and cloud resources, assign RACI, define minimum controls/KPIs and collect evidence across the main business units or sites.</t>
        </is>
      </c>
      <c r="G308" s="3" t="inlineStr">
        <is>
          <t>Standardize backup coverage for systems, databases, files, SaaS data, configurations and cloud resources across the organization, close coverage gaps, link it to crisis scenarios and train accountable roles.</t>
        </is>
      </c>
      <c r="H308" s="3" t="inlineStr">
        <is>
          <t>Measure backup coverage for systems, databases, files, SaaS data, configurations and cloud resources, review it periodically, test it against disruption scenarios and integrate it with dependent processes or systems.</t>
        </is>
      </c>
      <c r="I308" s="3" t="inlineStr">
        <is>
          <t>Optimize and automate backup coverage for systems, databases, files, SaaS data, configurations and cloud resources where practical, use leading indicators, run periodic stress tests and update the crisis playbook.</t>
        </is>
      </c>
      <c r="J308" s="3" t="inlineStr">
        <is>
          <t>Maintain maturity for backup coverage for systems, databases, files, SaaS data, configurations and cloud resources. Monitor drift, keep evidence current, benchmark externally and refresh tests after major changes.</t>
        </is>
      </c>
      <c r="K308" s="3" t="inlineStr">
        <is>
          <t>Reduces exposure to IT outage; Cloud outage; Data loss; Cyberattack; improves Resilience and DR maturity, continuity and management visibility.</t>
        </is>
      </c>
      <c r="L308" s="3" t="n">
        <v>5</v>
      </c>
      <c r="M308" s="3" t="n">
        <v>5</v>
      </c>
      <c r="N308" s="3" t="n">
        <v>4</v>
      </c>
      <c r="O308" s="3" t="n">
        <v>3</v>
      </c>
      <c r="P308" s="3" t="n">
        <v>2</v>
      </c>
      <c r="Q308" s="3" t="n">
        <v>1</v>
      </c>
      <c r="R308" s="3" t="inlineStr">
        <is>
          <t>ISO/IEC 27001; ISO/IEC 20000-1; NIST CSF 2.0; NIST SP 800-34; COBIT; ITIL 4; FinOps</t>
        </is>
      </c>
      <c r="S308" s="3" t="inlineStr">
        <is>
          <t>Policy/SOP; owner/RACI; system report; dashboard; contracts; test records; incident history; interview evidence related to backup coverage for systems, databases, files, SaaS data, configurations and cloud resources.</t>
        </is>
      </c>
      <c r="T308" s="3" t="inlineStr">
        <is>
          <t>IT outage; Cloud outage; Data loss; Cyberattack</t>
        </is>
      </c>
      <c r="U308" s="3" t="inlineStr">
        <is>
          <t>CIO / CTO / IT Ops</t>
        </is>
      </c>
      <c r="V308" s="3" t="inlineStr">
        <is>
          <t>IT Cloud DR!16</t>
        </is>
      </c>
    </row>
    <row r="309" ht="71.25" customHeight="1" s="209">
      <c r="A309" s="3" t="inlineStr">
        <is>
          <t>ITCL-014</t>
        </is>
      </c>
      <c r="B309" s="3" t="inlineStr">
        <is>
          <t>IT Cloud DR</t>
        </is>
      </c>
      <c r="C309" s="3" t="inlineStr">
        <is>
          <t>Resilience and DR</t>
        </is>
      </c>
      <c r="D309" s="3" t="inlineStr">
        <is>
          <t>How mature is the organization in managing regular restore testing against defined RTO and RPO, including ownership, evidence, metrics, fallback procedures and crisis stress testing?</t>
        </is>
      </c>
      <c r="E309" s="3" t="inlineStr">
        <is>
          <t>Establish a basic owner and inventory for regular restore testing against defined RTO and RPO. Define minimum policy, evidence location and immediate crisis relevance.</t>
        </is>
      </c>
      <c r="F309" s="3" t="inlineStr">
        <is>
          <t>Document regular restore testing against defined RTO and RPO, assign RACI, define minimum controls/KPIs and collect evidence across the main business units or sites.</t>
        </is>
      </c>
      <c r="G309" s="3" t="inlineStr">
        <is>
          <t>Standardize regular restore testing against defined RTO and RPO across the organization, close coverage gaps, link it to crisis scenarios and train accountable roles.</t>
        </is>
      </c>
      <c r="H309" s="3" t="inlineStr">
        <is>
          <t>Measure regular restore testing against defined RTO and RPO, review it periodically, test it against disruption scenarios and integrate it with dependent processes or systems.</t>
        </is>
      </c>
      <c r="I309" s="3" t="inlineStr">
        <is>
          <t>Optimize and automate regular restore testing against defined RTO and RPO where practical, use leading indicators, run periodic stress tests and update the crisis playbook.</t>
        </is>
      </c>
      <c r="J309" s="3" t="inlineStr">
        <is>
          <t>Maintain maturity for regular restore testing against defined RTO and RPO. Monitor drift, keep evidence current, benchmark externally and refresh tests after major changes.</t>
        </is>
      </c>
      <c r="K309" s="3" t="inlineStr">
        <is>
          <t>Reduces exposure to IT outage; Cloud outage; Data loss; Cyberattack; improves Resilience and DR maturity, continuity and management visibility.</t>
        </is>
      </c>
      <c r="L309" s="3" t="n">
        <v>5</v>
      </c>
      <c r="M309" s="3" t="n">
        <v>5</v>
      </c>
      <c r="N309" s="3" t="n">
        <v>4</v>
      </c>
      <c r="O309" s="3" t="n">
        <v>3</v>
      </c>
      <c r="P309" s="3" t="n">
        <v>2</v>
      </c>
      <c r="Q309" s="3" t="n">
        <v>1</v>
      </c>
      <c r="R309" s="3" t="inlineStr">
        <is>
          <t>ISO/IEC 27001; ISO/IEC 20000-1; NIST CSF 2.0; NIST SP 800-34; COBIT; ITIL 4; FinOps</t>
        </is>
      </c>
      <c r="S309" s="3" t="inlineStr">
        <is>
          <t>Policy/SOP; owner/RACI; system report; dashboard; contracts; test records; incident history; interview evidence related to regular restore testing against defined RTO and RPO.</t>
        </is>
      </c>
      <c r="T309" s="3" t="inlineStr">
        <is>
          <t>IT outage; Cloud outage; Data loss; Cyberattack</t>
        </is>
      </c>
      <c r="U309" s="3" t="inlineStr">
        <is>
          <t>CIO / CTO / IT Ops</t>
        </is>
      </c>
      <c r="V309" s="3" t="inlineStr">
        <is>
          <t>IT Cloud DR!17</t>
        </is>
      </c>
    </row>
    <row r="310" ht="85.5" customHeight="1" s="209">
      <c r="A310" s="3" t="inlineStr">
        <is>
          <t>ITCL-015</t>
        </is>
      </c>
      <c r="B310" s="3" t="inlineStr">
        <is>
          <t>IT Cloud DR</t>
        </is>
      </c>
      <c r="C310" s="3" t="inlineStr">
        <is>
          <t>Resilience and DR</t>
        </is>
      </c>
      <c r="D310" s="3" t="inlineStr">
        <is>
          <t>How mature is the organization in managing DR runbooks for critical systems with owners, dependencies and communication rules, including ownership, evidence, metrics, fallback procedures and crisis stress testing?</t>
        </is>
      </c>
      <c r="E310" s="3" t="inlineStr">
        <is>
          <t>Establish a basic owner and inventory for DR runbooks for critical systems with owners, dependencies and communication rules. Define minimum policy, evidence location and immediate crisis relevance.</t>
        </is>
      </c>
      <c r="F310" s="3" t="inlineStr">
        <is>
          <t>Document DR runbooks for critical systems with owners, dependencies and communication rules, assign RACI, define minimum controls/KPIs and collect evidence across the main business units or sites.</t>
        </is>
      </c>
      <c r="G310" s="3" t="inlineStr">
        <is>
          <t>Standardize DR runbooks for critical systems with owners, dependencies and communication rules across the organization, close coverage gaps, link it to crisis scenarios and train accountable roles.</t>
        </is>
      </c>
      <c r="H310" s="3" t="inlineStr">
        <is>
          <t>Measure DR runbooks for critical systems with owners, dependencies and communication rules, review it periodically, test it against disruption scenarios and integrate it with dependent processes or systems.</t>
        </is>
      </c>
      <c r="I310" s="3" t="inlineStr">
        <is>
          <t>Optimize and automate DR runbooks for critical systems with owners, dependencies and communication rules where practical, use leading indicators, run periodic stress tests and update the crisis playbook.</t>
        </is>
      </c>
      <c r="J310" s="3" t="inlineStr">
        <is>
          <t>Maintain maturity for DR runbooks for critical systems with owners, dependencies and communication rules. Monitor drift, keep evidence current, benchmark externally and refresh tests after major changes.</t>
        </is>
      </c>
      <c r="K310" s="3" t="inlineStr">
        <is>
          <t>Reduces exposure to IT outage; Cloud outage; Data loss; Cyberattack; improves Resilience and DR maturity, continuity and management visibility.</t>
        </is>
      </c>
      <c r="L310" s="3" t="n">
        <v>5</v>
      </c>
      <c r="M310" s="3" t="n">
        <v>5</v>
      </c>
      <c r="N310" s="3" t="n">
        <v>4</v>
      </c>
      <c r="O310" s="3" t="n">
        <v>3</v>
      </c>
      <c r="P310" s="3" t="n">
        <v>2</v>
      </c>
      <c r="Q310" s="3" t="n">
        <v>1</v>
      </c>
      <c r="R310" s="3" t="inlineStr">
        <is>
          <t>ISO/IEC 27001; ISO/IEC 20000-1; NIST CSF 2.0; NIST SP 800-34; COBIT; ITIL 4; FinOps</t>
        </is>
      </c>
      <c r="S310" s="3" t="inlineStr">
        <is>
          <t>Policy/SOP; owner/RACI; system report; dashboard; contracts; test records; incident history; interview evidence related to DR runbooks for critical systems with owners, dependencies and communication rules.</t>
        </is>
      </c>
      <c r="T310" s="3" t="inlineStr">
        <is>
          <t>IT outage; Cloud outage; Data loss; Cyberattack</t>
        </is>
      </c>
      <c r="U310" s="3" t="inlineStr">
        <is>
          <t>CIO / CTO / IT Ops</t>
        </is>
      </c>
      <c r="V310" s="3" t="inlineStr">
        <is>
          <t>IT Cloud DR!18</t>
        </is>
      </c>
    </row>
    <row r="311" ht="85.5" customHeight="1" s="209">
      <c r="A311" s="3" t="inlineStr">
        <is>
          <t>ITCL-016</t>
        </is>
      </c>
      <c r="B311" s="3" t="inlineStr">
        <is>
          <t>IT Cloud DR</t>
        </is>
      </c>
      <c r="C311" s="3" t="inlineStr">
        <is>
          <t>Resilience and DR</t>
        </is>
      </c>
      <c r="D311" s="3" t="inlineStr">
        <is>
          <t>How mature is the organization in managing DR exercises for ransomware, cloud region failure, identity outage and data corruption, including ownership, evidence, metrics, fallback procedures and crisis stress testing?</t>
        </is>
      </c>
      <c r="E311" s="3" t="inlineStr">
        <is>
          <t>Establish a basic owner and inventory for DR exercises for ransomware, cloud region failure, identity outage and data corruption. Define minimum policy, evidence location and immediate crisis relevance.</t>
        </is>
      </c>
      <c r="F311" s="3" t="inlineStr">
        <is>
          <t>Document DR exercises for ransomware, cloud region failure, identity outage and data corruption, assign RACI, define minimum controls/KPIs and collect evidence across the main business units or sites.</t>
        </is>
      </c>
      <c r="G311" s="3" t="inlineStr">
        <is>
          <t>Standardize DR exercises for ransomware, cloud region failure, identity outage and data corruption across the organization, close coverage gaps, link it to crisis scenarios and train accountable roles.</t>
        </is>
      </c>
      <c r="H311" s="3" t="inlineStr">
        <is>
          <t>Measure DR exercises for ransomware, cloud region failure, identity outage and data corruption, review it periodically, test it against disruption scenarios and integrate it with dependent processes or systems.</t>
        </is>
      </c>
      <c r="I311" s="3" t="inlineStr">
        <is>
          <t>Optimize and automate DR exercises for ransomware, cloud region failure, identity outage and data corruption where practical, use leading indicators, run periodic stress tests and update the crisis playbook.</t>
        </is>
      </c>
      <c r="J311" s="3" t="inlineStr">
        <is>
          <t>Maintain maturity for DR exercises for ransomware, cloud region failure, identity outage and data corruption. Monitor drift, keep evidence current, benchmark externally and refresh tests after major changes.</t>
        </is>
      </c>
      <c r="K311" s="3" t="inlineStr">
        <is>
          <t>Reduces exposure to IT outage; Cloud outage; Data loss; Cyberattack; improves Resilience and DR maturity, continuity and management visibility.</t>
        </is>
      </c>
      <c r="L311" s="3" t="n">
        <v>5</v>
      </c>
      <c r="M311" s="3" t="n">
        <v>5</v>
      </c>
      <c r="N311" s="3" t="n">
        <v>4</v>
      </c>
      <c r="O311" s="3" t="n">
        <v>3</v>
      </c>
      <c r="P311" s="3" t="n">
        <v>2</v>
      </c>
      <c r="Q311" s="3" t="n">
        <v>1</v>
      </c>
      <c r="R311" s="3" t="inlineStr">
        <is>
          <t>ISO/IEC 27001; ISO/IEC 20000-1; NIST CSF 2.0; NIST SP 800-34; COBIT; ITIL 4; FinOps</t>
        </is>
      </c>
      <c r="S311" s="3" t="inlineStr">
        <is>
          <t>Policy/SOP; owner/RACI; system report; dashboard; contracts; test records; incident history; interview evidence related to DR exercises for ransomware, cloud region failure, identity outage and data corruption.</t>
        </is>
      </c>
      <c r="T311" s="3" t="inlineStr">
        <is>
          <t>IT outage; Cloud outage; Data loss; Cyberattack</t>
        </is>
      </c>
      <c r="U311" s="3" t="inlineStr">
        <is>
          <t>CIO / CTO / IT Ops</t>
        </is>
      </c>
      <c r="V311" s="3" t="inlineStr">
        <is>
          <t>IT Cloud DR!19</t>
        </is>
      </c>
    </row>
    <row r="312" ht="71.25" customHeight="1" s="209">
      <c r="A312" s="3" t="inlineStr">
        <is>
          <t>ITCL-017</t>
        </is>
      </c>
      <c r="B312" s="3" t="inlineStr">
        <is>
          <t>IT Cloud DR</t>
        </is>
      </c>
      <c r="C312" s="3" t="inlineStr">
        <is>
          <t>Resilience and DR</t>
        </is>
      </c>
      <c r="D312" s="3" t="inlineStr">
        <is>
          <t>How mature is the organization in managing manual fallback for critical IT-dependent business processes, including ownership, evidence, metrics, fallback procedures and crisis stress testing?</t>
        </is>
      </c>
      <c r="E312" s="3" t="inlineStr">
        <is>
          <t>Establish a basic owner and inventory for manual fallback for critical IT-dependent business processes. Define minimum policy, evidence location and immediate crisis relevance.</t>
        </is>
      </c>
      <c r="F312" s="3" t="inlineStr">
        <is>
          <t>Document manual fallback for critical IT-dependent business processes, assign RACI, define minimum controls/KPIs and collect evidence across the main business units or sites.</t>
        </is>
      </c>
      <c r="G312" s="3" t="inlineStr">
        <is>
          <t>Standardize manual fallback for critical IT-dependent business processes across the organization, close coverage gaps, link it to crisis scenarios and train accountable roles.</t>
        </is>
      </c>
      <c r="H312" s="3" t="inlineStr">
        <is>
          <t>Measure manual fallback for critical IT-dependent business processes, review it periodically, test it against disruption scenarios and integrate it with dependent processes or systems.</t>
        </is>
      </c>
      <c r="I312" s="3" t="inlineStr">
        <is>
          <t>Optimize and automate manual fallback for critical IT-dependent business processes where practical, use leading indicators, run periodic stress tests and update the crisis playbook.</t>
        </is>
      </c>
      <c r="J312" s="3" t="inlineStr">
        <is>
          <t>Maintain maturity for manual fallback for critical IT-dependent business processes. Monitor drift, keep evidence current, benchmark externally and refresh tests after major changes.</t>
        </is>
      </c>
      <c r="K312" s="3" t="inlineStr">
        <is>
          <t>Reduces exposure to IT outage; Cloud outage; Data loss; Cyberattack; improves Resilience and DR maturity, continuity and management visibility.</t>
        </is>
      </c>
      <c r="L312" s="3" t="n">
        <v>5</v>
      </c>
      <c r="M312" s="3" t="n">
        <v>5</v>
      </c>
      <c r="N312" s="3" t="n">
        <v>4</v>
      </c>
      <c r="O312" s="3" t="n">
        <v>3</v>
      </c>
      <c r="P312" s="3" t="n">
        <v>2</v>
      </c>
      <c r="Q312" s="3" t="n">
        <v>1</v>
      </c>
      <c r="R312" s="3" t="inlineStr">
        <is>
          <t>ISO/IEC 27001; ISO/IEC 20000-1; NIST CSF 2.0; NIST SP 800-34; COBIT; ITIL 4; FinOps</t>
        </is>
      </c>
      <c r="S312" s="3" t="inlineStr">
        <is>
          <t>Policy/SOP; owner/RACI; system report; dashboard; contracts; test records; incident history; interview evidence related to manual fallback for critical IT-dependent business processes.</t>
        </is>
      </c>
      <c r="T312" s="3" t="inlineStr">
        <is>
          <t>IT outage; Cloud outage; Data loss; Cyberattack</t>
        </is>
      </c>
      <c r="U312" s="3" t="inlineStr">
        <is>
          <t>CIO / CTO / IT Ops</t>
        </is>
      </c>
      <c r="V312" s="3" t="inlineStr">
        <is>
          <t>IT Cloud DR!20</t>
        </is>
      </c>
    </row>
    <row r="313" ht="71.25" customHeight="1" s="209">
      <c r="A313" s="3" t="inlineStr">
        <is>
          <t>ITCL-018</t>
        </is>
      </c>
      <c r="B313" s="3" t="inlineStr">
        <is>
          <t>IT Cloud DR</t>
        </is>
      </c>
      <c r="C313" s="3" t="inlineStr">
        <is>
          <t>Resilience and DR</t>
        </is>
      </c>
      <c r="D313" s="3" t="inlineStr">
        <is>
          <t>How mature is the organization in managing on-call coverage, escalation and vendor support for critical systems, including ownership, evidence, metrics, fallback procedures and crisis stress testing?</t>
        </is>
      </c>
      <c r="E313" s="3" t="inlineStr">
        <is>
          <t>Establish a basic owner and inventory for on-call coverage, escalation and vendor support for critical systems. Define minimum policy, evidence location and immediate crisis relevance.</t>
        </is>
      </c>
      <c r="F313" s="3" t="inlineStr">
        <is>
          <t>Document on-call coverage, escalation and vendor support for critical systems, assign RACI, define minimum controls/KPIs and collect evidence across the main business units or sites.</t>
        </is>
      </c>
      <c r="G313" s="3" t="inlineStr">
        <is>
          <t>Standardize on-call coverage, escalation and vendor support for critical systems across the organization, close coverage gaps, link it to crisis scenarios and train accountable roles.</t>
        </is>
      </c>
      <c r="H313" s="3" t="inlineStr">
        <is>
          <t>Measure on-call coverage, escalation and vendor support for critical systems, review it periodically, test it against disruption scenarios and integrate it with dependent processes or systems.</t>
        </is>
      </c>
      <c r="I313" s="3" t="inlineStr">
        <is>
          <t>Optimize and automate on-call coverage, escalation and vendor support for critical systems where practical, use leading indicators, run periodic stress tests and update the crisis playbook.</t>
        </is>
      </c>
      <c r="J313" s="3" t="inlineStr">
        <is>
          <t>Maintain maturity for on-call coverage, escalation and vendor support for critical systems. Monitor drift, keep evidence current, benchmark externally and refresh tests after major changes.</t>
        </is>
      </c>
      <c r="K313" s="3" t="inlineStr">
        <is>
          <t>Reduces exposure to IT outage; Cloud outage; Data loss; Cyberattack; improves Resilience and DR maturity, continuity and management visibility.</t>
        </is>
      </c>
      <c r="L313" s="3" t="n">
        <v>5</v>
      </c>
      <c r="M313" s="3" t="n">
        <v>5</v>
      </c>
      <c r="N313" s="3" t="n">
        <v>4</v>
      </c>
      <c r="O313" s="3" t="n">
        <v>3</v>
      </c>
      <c r="P313" s="3" t="n">
        <v>2</v>
      </c>
      <c r="Q313" s="3" t="n">
        <v>1</v>
      </c>
      <c r="R313" s="3" t="inlineStr">
        <is>
          <t>ISO/IEC 27001; ISO/IEC 20000-1; NIST CSF 2.0; NIST SP 800-34; COBIT; ITIL 4; FinOps</t>
        </is>
      </c>
      <c r="S313" s="3" t="inlineStr">
        <is>
          <t>Policy/SOP; owner/RACI; system report; dashboard; contracts; test records; incident history; interview evidence related to on-call coverage, escalation and vendor support for critical systems.</t>
        </is>
      </c>
      <c r="T313" s="3" t="inlineStr">
        <is>
          <t>IT outage; Cloud outage; Data loss; Cyberattack</t>
        </is>
      </c>
      <c r="U313" s="3" t="inlineStr">
        <is>
          <t>CIO / CTO / IT Ops</t>
        </is>
      </c>
      <c r="V313" s="3" t="inlineStr">
        <is>
          <t>IT Cloud DR!21</t>
        </is>
      </c>
    </row>
    <row r="314" ht="71.25" customHeight="1" s="209">
      <c r="A314" s="3" t="inlineStr">
        <is>
          <t>ITCL-019</t>
        </is>
      </c>
      <c r="B314" s="3" t="inlineStr">
        <is>
          <t>IT Cloud DR</t>
        </is>
      </c>
      <c r="C314" s="3" t="inlineStr">
        <is>
          <t>Operations</t>
        </is>
      </c>
      <c r="D314" s="3" t="inlineStr">
        <is>
          <t>How mature is the organization in managing IT service management for incidents, requests, problems, changes and assets, including ownership, evidence, metrics, fallback procedures and crisis stress testing?</t>
        </is>
      </c>
      <c r="E314" s="3" t="inlineStr">
        <is>
          <t>Establish a basic owner and inventory for IT service management for incidents, requests, problems, changes and assets. Define minimum policy, evidence location and immediate crisis relevance.</t>
        </is>
      </c>
      <c r="F314" s="3" t="inlineStr">
        <is>
          <t>Document IT service management for incidents, requests, problems, changes and assets, assign RACI, define minimum controls/KPIs and collect evidence across the main business units or sites.</t>
        </is>
      </c>
      <c r="G314" s="3" t="inlineStr">
        <is>
          <t>Standardize IT service management for incidents, requests, problems, changes and assets across the organization, close coverage gaps, link it to crisis scenarios and train accountable roles.</t>
        </is>
      </c>
      <c r="H314" s="3" t="inlineStr">
        <is>
          <t>Measure IT service management for incidents, requests, problems, changes and assets, review it periodically, test it against disruption scenarios and integrate it with dependent processes or systems.</t>
        </is>
      </c>
      <c r="I314" s="3" t="inlineStr">
        <is>
          <t>Optimize and automate IT service management for incidents, requests, problems, changes and assets where practical, use leading indicators, run periodic stress tests and update the crisis playbook.</t>
        </is>
      </c>
      <c r="J314" s="3" t="inlineStr">
        <is>
          <t>Maintain maturity for IT service management for incidents, requests, problems, changes and assets. Monitor drift, keep evidence current, benchmark externally and refresh tests after major changes.</t>
        </is>
      </c>
      <c r="K314" s="3" t="inlineStr">
        <is>
          <t>Reduces exposure to IT outage; Cloud outage; Data loss; Cyberattack; improves Operations maturity, continuity and management visibility.</t>
        </is>
      </c>
      <c r="L314" s="3" t="n">
        <v>5</v>
      </c>
      <c r="M314" s="3" t="n">
        <v>5</v>
      </c>
      <c r="N314" s="3" t="n">
        <v>4</v>
      </c>
      <c r="O314" s="3" t="n">
        <v>3</v>
      </c>
      <c r="P314" s="3" t="n">
        <v>2</v>
      </c>
      <c r="Q314" s="3" t="n">
        <v>1</v>
      </c>
      <c r="R314" s="3" t="inlineStr">
        <is>
          <t>ISO/IEC 27001; ISO/IEC 20000-1; NIST CSF 2.0; NIST SP 800-34; COBIT; ITIL 4; FinOps</t>
        </is>
      </c>
      <c r="S314" s="3" t="inlineStr">
        <is>
          <t>Policy/SOP; owner/RACI; system report; dashboard; contracts; test records; incident history; interview evidence related to IT service management for incidents, requests, problems, changes and assets.</t>
        </is>
      </c>
      <c r="T314" s="3" t="inlineStr">
        <is>
          <t>IT outage; Cloud outage; Data loss; Cyberattack</t>
        </is>
      </c>
      <c r="U314" s="3" t="inlineStr">
        <is>
          <t>CIO / CTO / IT Ops</t>
        </is>
      </c>
      <c r="V314" s="3" t="inlineStr">
        <is>
          <t>IT Cloud DR!22</t>
        </is>
      </c>
    </row>
    <row r="315" ht="85.5" customHeight="1" s="209">
      <c r="A315" s="3" t="inlineStr">
        <is>
          <t>ITCL-020</t>
        </is>
      </c>
      <c r="B315" s="3" t="inlineStr">
        <is>
          <t>IT Cloud DR</t>
        </is>
      </c>
      <c r="C315" s="3" t="inlineStr">
        <is>
          <t>Operations</t>
        </is>
      </c>
      <c r="D315" s="3" t="inlineStr">
        <is>
          <t>How mature is the organization in managing monitoring and alerting for availability, performance, capacity, security and user impact, including ownership, evidence, metrics, fallback procedures and crisis stress testing?</t>
        </is>
      </c>
      <c r="E315" s="3" t="inlineStr">
        <is>
          <t>Establish a basic owner and inventory for monitoring and alerting for availability, performance, capacity, security and user impact. Define minimum policy, evidence location and immediate crisis relevance.</t>
        </is>
      </c>
      <c r="F315" s="3" t="inlineStr">
        <is>
          <t>Document monitoring and alerting for availability, performance, capacity, security and user impact, assign RACI, define minimum controls/KPIs and collect evidence across the main business units or sites.</t>
        </is>
      </c>
      <c r="G315" s="3" t="inlineStr">
        <is>
          <t>Standardize monitoring and alerting for availability, performance, capacity, security and user impact across the organization, close coverage gaps, link it to crisis scenarios and train accountable roles.</t>
        </is>
      </c>
      <c r="H315" s="3" t="inlineStr">
        <is>
          <t>Measure monitoring and alerting for availability, performance, capacity, security and user impact, review it periodically, test it against disruption scenarios and integrate it with dependent processes or systems.</t>
        </is>
      </c>
      <c r="I315" s="3" t="inlineStr">
        <is>
          <t>Optimize and automate monitoring and alerting for availability, performance, capacity, security and user impact where practical, use leading indicators, run periodic stress tests and update the crisis playbook.</t>
        </is>
      </c>
      <c r="J315" s="3" t="inlineStr">
        <is>
          <t>Maintain maturity for monitoring and alerting for availability, performance, capacity, security and user impact. Monitor drift, keep evidence current, benchmark externally and refresh tests after major changes.</t>
        </is>
      </c>
      <c r="K315" s="3" t="inlineStr">
        <is>
          <t>Reduces exposure to IT outage; Cloud outage; Data loss; Cyberattack; improves Operations maturity, continuity and management visibility.</t>
        </is>
      </c>
      <c r="L315" s="3" t="n">
        <v>5</v>
      </c>
      <c r="M315" s="3" t="n">
        <v>5</v>
      </c>
      <c r="N315" s="3" t="n">
        <v>4</v>
      </c>
      <c r="O315" s="3" t="n">
        <v>3</v>
      </c>
      <c r="P315" s="3" t="n">
        <v>2</v>
      </c>
      <c r="Q315" s="3" t="n">
        <v>1</v>
      </c>
      <c r="R315" s="3" t="inlineStr">
        <is>
          <t>ISO/IEC 27001; ISO/IEC 20000-1; NIST CSF 2.0; NIST SP 800-34; COBIT; ITIL 4; FinOps</t>
        </is>
      </c>
      <c r="S315" s="3" t="inlineStr">
        <is>
          <t>Policy/SOP; owner/RACI; system report; dashboard; contracts; test records; incident history; interview evidence related to monitoring and alerting for availability, performance, capacity, security and user impact.</t>
        </is>
      </c>
      <c r="T315" s="3" t="inlineStr">
        <is>
          <t>IT outage; Cloud outage; Data loss; Cyberattack</t>
        </is>
      </c>
      <c r="U315" s="3" t="inlineStr">
        <is>
          <t>CIO / CTO / IT Ops</t>
        </is>
      </c>
      <c r="V315" s="3" t="inlineStr">
        <is>
          <t>IT Cloud DR!23</t>
        </is>
      </c>
    </row>
    <row r="316" ht="71.25" customHeight="1" s="209">
      <c r="A316" s="3" t="inlineStr">
        <is>
          <t>ITCL-021</t>
        </is>
      </c>
      <c r="B316" s="3" t="inlineStr">
        <is>
          <t>IT Cloud DR</t>
        </is>
      </c>
      <c r="C316" s="3" t="inlineStr">
        <is>
          <t>Operations</t>
        </is>
      </c>
      <c r="D316" s="3" t="inlineStr">
        <is>
          <t>How mature is the organization in managing network resilience for internet, DNS, firewalls, VPN/ZTNA, routing and telecom, including ownership, evidence, metrics, fallback procedures and crisis stress testing?</t>
        </is>
      </c>
      <c r="E316" s="3" t="inlineStr">
        <is>
          <t>Establish a basic owner and inventory for network resilience for internet, DNS, firewalls, VPN/ZTNA, routing and telecom. Define minimum policy, evidence location and immediate crisis relevance.</t>
        </is>
      </c>
      <c r="F316" s="3" t="inlineStr">
        <is>
          <t>Document network resilience for internet, DNS, firewalls, VPN/ZTNA, routing and telecom, assign RACI, define minimum controls/KPIs and collect evidence across the main business units or sites.</t>
        </is>
      </c>
      <c r="G316" s="3" t="inlineStr">
        <is>
          <t>Standardize network resilience for internet, DNS, firewalls, VPN/ZTNA, routing and telecom across the organization, close coverage gaps, link it to crisis scenarios and train accountable roles.</t>
        </is>
      </c>
      <c r="H316" s="3" t="inlineStr">
        <is>
          <t>Measure network resilience for internet, DNS, firewalls, VPN/ZTNA, routing and telecom, review it periodically, test it against disruption scenarios and integrate it with dependent processes or systems.</t>
        </is>
      </c>
      <c r="I316" s="3" t="inlineStr">
        <is>
          <t>Optimize and automate network resilience for internet, DNS, firewalls, VPN/ZTNA, routing and telecom where practical, use leading indicators, run periodic stress tests and update the crisis playbook.</t>
        </is>
      </c>
      <c r="J316" s="3" t="inlineStr">
        <is>
          <t>Maintain maturity for network resilience for internet, DNS, firewalls, VPN/ZTNA, routing and telecom. Monitor drift, keep evidence current, benchmark externally and refresh tests after major changes.</t>
        </is>
      </c>
      <c r="K316" s="3" t="inlineStr">
        <is>
          <t>Reduces exposure to IT outage; Cloud outage; Data loss; Cyberattack; improves Operations maturity, continuity and management visibility.</t>
        </is>
      </c>
      <c r="L316" s="3" t="n">
        <v>5</v>
      </c>
      <c r="M316" s="3" t="n">
        <v>5</v>
      </c>
      <c r="N316" s="3" t="n">
        <v>4</v>
      </c>
      <c r="O316" s="3" t="n">
        <v>3</v>
      </c>
      <c r="P316" s="3" t="n">
        <v>2</v>
      </c>
      <c r="Q316" s="3" t="n">
        <v>1</v>
      </c>
      <c r="R316" s="3" t="inlineStr">
        <is>
          <t>ISO/IEC 27001; ISO/IEC 20000-1; NIST CSF 2.0; NIST SP 800-34; COBIT; ITIL 4; FinOps</t>
        </is>
      </c>
      <c r="S316" s="3" t="inlineStr">
        <is>
          <t>Policy/SOP; owner/RACI; system report; dashboard; contracts; test records; incident history; interview evidence related to network resilience for internet, DNS, firewalls, VPN/ZTNA, routing and telecom.</t>
        </is>
      </c>
      <c r="T316" s="3" t="inlineStr">
        <is>
          <t>IT outage; Cloud outage; Data loss; Cyberattack</t>
        </is>
      </c>
      <c r="U316" s="3" t="inlineStr">
        <is>
          <t>CIO / CTO / IT Ops</t>
        </is>
      </c>
      <c r="V316" s="3" t="inlineStr">
        <is>
          <t>IT Cloud DR!24</t>
        </is>
      </c>
    </row>
    <row r="317" ht="71.25" customHeight="1" s="209">
      <c r="A317" s="3" t="inlineStr">
        <is>
          <t>ITCL-022</t>
        </is>
      </c>
      <c r="B317" s="3" t="inlineStr">
        <is>
          <t>IT Cloud DR</t>
        </is>
      </c>
      <c r="C317" s="3" t="inlineStr">
        <is>
          <t>Operations</t>
        </is>
      </c>
      <c r="D317" s="3" t="inlineStr">
        <is>
          <t>How mature is the organization in managing secure remote access for critical users during remote-only operations, including ownership, evidence, metrics, fallback procedures and crisis stress testing?</t>
        </is>
      </c>
      <c r="E317" s="3" t="inlineStr">
        <is>
          <t>Establish a basic owner and inventory for secure remote access for critical users during remote-only operations. Define minimum policy, evidence location and immediate crisis relevance.</t>
        </is>
      </c>
      <c r="F317" s="3" t="inlineStr">
        <is>
          <t>Document secure remote access for critical users during remote-only operations, assign RACI, define minimum controls/KPIs and collect evidence across the main business units or sites.</t>
        </is>
      </c>
      <c r="G317" s="3" t="inlineStr">
        <is>
          <t>Standardize secure remote access for critical users during remote-only operations across the organization, close coverage gaps, link it to crisis scenarios and train accountable roles.</t>
        </is>
      </c>
      <c r="H317" s="3" t="inlineStr">
        <is>
          <t>Measure secure remote access for critical users during remote-only operations, review it periodically, test it against disruption scenarios and integrate it with dependent processes or systems.</t>
        </is>
      </c>
      <c r="I317" s="3" t="inlineStr">
        <is>
          <t>Optimize and automate secure remote access for critical users during remote-only operations where practical, use leading indicators, run periodic stress tests and update the crisis playbook.</t>
        </is>
      </c>
      <c r="J317" s="3" t="inlineStr">
        <is>
          <t>Maintain maturity for secure remote access for critical users during remote-only operations. Monitor drift, keep evidence current, benchmark externally and refresh tests after major changes.</t>
        </is>
      </c>
      <c r="K317" s="3" t="inlineStr">
        <is>
          <t>Reduces exposure to IT outage; Cloud outage; Data loss; Cyberattack; improves Operations maturity, continuity and management visibility.</t>
        </is>
      </c>
      <c r="L317" s="3" t="n">
        <v>5</v>
      </c>
      <c r="M317" s="3" t="n">
        <v>5</v>
      </c>
      <c r="N317" s="3" t="n">
        <v>4</v>
      </c>
      <c r="O317" s="3" t="n">
        <v>3</v>
      </c>
      <c r="P317" s="3" t="n">
        <v>2</v>
      </c>
      <c r="Q317" s="3" t="n">
        <v>1</v>
      </c>
      <c r="R317" s="3" t="inlineStr">
        <is>
          <t>ISO/IEC 27001; ISO/IEC 20000-1; NIST CSF 2.0; NIST SP 800-34; COBIT; ITIL 4; FinOps</t>
        </is>
      </c>
      <c r="S317" s="3" t="inlineStr">
        <is>
          <t>Policy/SOP; owner/RACI; system report; dashboard; contracts; test records; incident history; interview evidence related to secure remote access for critical users during remote-only operations.</t>
        </is>
      </c>
      <c r="T317" s="3" t="inlineStr">
        <is>
          <t>IT outage; Cloud outage; Data loss; Cyberattack</t>
        </is>
      </c>
      <c r="U317" s="3" t="inlineStr">
        <is>
          <t>CIO / CTO / IT Ops</t>
        </is>
      </c>
      <c r="V317" s="3" t="inlineStr">
        <is>
          <t>IT Cloud DR!25</t>
        </is>
      </c>
    </row>
    <row r="318" ht="71.25" customHeight="1" s="209">
      <c r="A318" s="3" t="inlineStr">
        <is>
          <t>ITCL-023</t>
        </is>
      </c>
      <c r="B318" s="3" t="inlineStr">
        <is>
          <t>IT Cloud DR</t>
        </is>
      </c>
      <c r="C318" s="3" t="inlineStr">
        <is>
          <t>Operations</t>
        </is>
      </c>
      <c r="D318" s="3" t="inlineStr">
        <is>
          <t>How mature is the organization in managing endpoint inventory, patching, encryption, backup and remote management, including ownership, evidence, metrics, fallback procedures and crisis stress testing?</t>
        </is>
      </c>
      <c r="E318" s="3" t="inlineStr">
        <is>
          <t>Establish a basic owner and inventory for endpoint inventory, patching, encryption, backup and remote management. Define minimum policy, evidence location and immediate crisis relevance.</t>
        </is>
      </c>
      <c r="F318" s="3" t="inlineStr">
        <is>
          <t>Document endpoint inventory, patching, encryption, backup and remote management, assign RACI, define minimum controls/KPIs and collect evidence across the main business units or sites.</t>
        </is>
      </c>
      <c r="G318" s="3" t="inlineStr">
        <is>
          <t>Standardize endpoint inventory, patching, encryption, backup and remote management across the organization, close coverage gaps, link it to crisis scenarios and train accountable roles.</t>
        </is>
      </c>
      <c r="H318" s="3" t="inlineStr">
        <is>
          <t>Measure endpoint inventory, patching, encryption, backup and remote management, review it periodically, test it against disruption scenarios and integrate it with dependent processes or systems.</t>
        </is>
      </c>
      <c r="I318" s="3" t="inlineStr">
        <is>
          <t>Optimize and automate endpoint inventory, patching, encryption, backup and remote management where practical, use leading indicators, run periodic stress tests and update the crisis playbook.</t>
        </is>
      </c>
      <c r="J318" s="3" t="inlineStr">
        <is>
          <t>Maintain maturity for endpoint inventory, patching, encryption, backup and remote management. Monitor drift, keep evidence current, benchmark externally and refresh tests after major changes.</t>
        </is>
      </c>
      <c r="K318" s="3" t="inlineStr">
        <is>
          <t>Reduces exposure to IT outage; Cloud outage; Data loss; Cyberattack; improves Operations maturity, continuity and management visibility.</t>
        </is>
      </c>
      <c r="L318" s="3" t="n">
        <v>5</v>
      </c>
      <c r="M318" s="3" t="n">
        <v>5</v>
      </c>
      <c r="N318" s="3" t="n">
        <v>4</v>
      </c>
      <c r="O318" s="3" t="n">
        <v>3</v>
      </c>
      <c r="P318" s="3" t="n">
        <v>2</v>
      </c>
      <c r="Q318" s="3" t="n">
        <v>1</v>
      </c>
      <c r="R318" s="3" t="inlineStr">
        <is>
          <t>ISO/IEC 27001; ISO/IEC 20000-1; NIST CSF 2.0; NIST SP 800-34; COBIT; ITIL 4; FinOps</t>
        </is>
      </c>
      <c r="S318" s="3" t="inlineStr">
        <is>
          <t>Policy/SOP; owner/RACI; system report; dashboard; contracts; test records; incident history; interview evidence related to endpoint inventory, patching, encryption, backup and remote management.</t>
        </is>
      </c>
      <c r="T318" s="3" t="inlineStr">
        <is>
          <t>IT outage; Cloud outage; Data loss; Cyberattack</t>
        </is>
      </c>
      <c r="U318" s="3" t="inlineStr">
        <is>
          <t>CIO / CTO / IT Ops</t>
        </is>
      </c>
      <c r="V318" s="3" t="inlineStr">
        <is>
          <t>IT Cloud DR!26</t>
        </is>
      </c>
    </row>
    <row r="319" ht="71.25" customHeight="1" s="209">
      <c r="A319" s="3" t="inlineStr">
        <is>
          <t>ITCL-024</t>
        </is>
      </c>
      <c r="B319" s="3" t="inlineStr">
        <is>
          <t>IT Cloud DR</t>
        </is>
      </c>
      <c r="C319" s="3" t="inlineStr">
        <is>
          <t>Operations</t>
        </is>
      </c>
      <c r="D319" s="3" t="inlineStr">
        <is>
          <t>How mature is the organization in managing license continuity for software, cloud services and critical SaaS tools, including ownership, evidence, metrics, fallback procedures and crisis stress testing?</t>
        </is>
      </c>
      <c r="E319" s="3" t="inlineStr">
        <is>
          <t>Establish a basic owner and inventory for license continuity for software, cloud services and critical SaaS tools. Define minimum policy, evidence location and immediate crisis relevance.</t>
        </is>
      </c>
      <c r="F319" s="3" t="inlineStr">
        <is>
          <t>Document license continuity for software, cloud services and critical SaaS tools, assign RACI, define minimum controls/KPIs and collect evidence across the main business units or sites.</t>
        </is>
      </c>
      <c r="G319" s="3" t="inlineStr">
        <is>
          <t>Standardize license continuity for software, cloud services and critical SaaS tools across the organization, close coverage gaps, link it to crisis scenarios and train accountable roles.</t>
        </is>
      </c>
      <c r="H319" s="3" t="inlineStr">
        <is>
          <t>Measure license continuity for software, cloud services and critical SaaS tools, review it periodically, test it against disruption scenarios and integrate it with dependent processes or systems.</t>
        </is>
      </c>
      <c r="I319" s="3" t="inlineStr">
        <is>
          <t>Optimize and automate license continuity for software, cloud services and critical SaaS tools where practical, use leading indicators, run periodic stress tests and update the crisis playbook.</t>
        </is>
      </c>
      <c r="J319" s="3" t="inlineStr">
        <is>
          <t>Maintain maturity for license continuity for software, cloud services and critical SaaS tools. Monitor drift, keep evidence current, benchmark externally and refresh tests after major changes.</t>
        </is>
      </c>
      <c r="K319" s="3" t="inlineStr">
        <is>
          <t>Reduces exposure to IT outage; Cloud outage; Data loss; Cyberattack; improves Operations maturity, continuity and management visibility.</t>
        </is>
      </c>
      <c r="L319" s="3" t="n">
        <v>5</v>
      </c>
      <c r="M319" s="3" t="n">
        <v>5</v>
      </c>
      <c r="N319" s="3" t="n">
        <v>4</v>
      </c>
      <c r="O319" s="3" t="n">
        <v>3</v>
      </c>
      <c r="P319" s="3" t="n">
        <v>2</v>
      </c>
      <c r="Q319" s="3" t="n">
        <v>1</v>
      </c>
      <c r="R319" s="3" t="inlineStr">
        <is>
          <t>ISO/IEC 27001; ISO/IEC 20000-1; NIST CSF 2.0; NIST SP 800-34; COBIT; ITIL 4; FinOps</t>
        </is>
      </c>
      <c r="S319" s="3" t="inlineStr">
        <is>
          <t>Policy/SOP; owner/RACI; system report; dashboard; contracts; test records; incident history; interview evidence related to license continuity for software, cloud services and critical SaaS tools.</t>
        </is>
      </c>
      <c r="T319" s="3" t="inlineStr">
        <is>
          <t>IT outage; Cloud outage; Data loss; Cyberattack</t>
        </is>
      </c>
      <c r="U319" s="3" t="inlineStr">
        <is>
          <t>CIO / CTO / IT Ops</t>
        </is>
      </c>
      <c r="V319" s="3" t="inlineStr">
        <is>
          <t>IT Cloud DR!27</t>
        </is>
      </c>
    </row>
    <row r="320" ht="85.5" customHeight="1" s="209">
      <c r="A320" s="3" t="inlineStr">
        <is>
          <t>ITCL-025</t>
        </is>
      </c>
      <c r="B320" s="3" t="inlineStr">
        <is>
          <t>IT Cloud DR</t>
        </is>
      </c>
      <c r="C320" s="3" t="inlineStr">
        <is>
          <t>SaaS and integrations</t>
        </is>
      </c>
      <c r="D320" s="3" t="inlineStr">
        <is>
          <t>How mature is the organization in managing critical SaaS assessment for availability, export, backup, admin access, integrations and contract continuity, including ownership, evidence, metrics, fallback procedures and crisis stress testing?</t>
        </is>
      </c>
      <c r="E320" s="3" t="inlineStr">
        <is>
          <t>Establish a basic owner and inventory for critical SaaS assessment for availability, export, backup, admin access, integrations and contract continuity. Define minimum policy, evidence location and immediate crisis relevance.</t>
        </is>
      </c>
      <c r="F320" s="3" t="inlineStr">
        <is>
          <t>Document critical SaaS assessment for availability, export, backup, admin access, integrations and contract continuity, assign RACI, define minimum controls/KPIs and collect evidence across the main business units or sites.</t>
        </is>
      </c>
      <c r="G320" s="3" t="inlineStr">
        <is>
          <t>Standardize critical SaaS assessment for availability, export, backup, admin access, integrations and contract continuity across the organization, close coverage gaps, link it to crisis scenarios and train accountable roles.</t>
        </is>
      </c>
      <c r="H320" s="3" t="inlineStr">
        <is>
          <t>Measure critical SaaS assessment for availability, export, backup, admin access, integrations and contract continuity, review it periodically, test it against disruption scenarios and integrate it with dependent processes or systems.</t>
        </is>
      </c>
      <c r="I320" s="3" t="inlineStr">
        <is>
          <t>Optimize and automate critical SaaS assessment for availability, export, backup, admin access, integrations and contract continuity where practical, use leading indicators, run periodic stress tests and update the crisis playbook.</t>
        </is>
      </c>
      <c r="J320" s="3" t="inlineStr">
        <is>
          <t>Maintain maturity for critical SaaS assessment for availability, export, backup, admin access, integrations and contract continuity. Monitor drift, keep evidence current, benchmark externally and refresh tests after major changes.</t>
        </is>
      </c>
      <c r="K320" s="3" t="inlineStr">
        <is>
          <t>Reduces exposure to IT outage; Cloud outage; Data loss; Cyberattack; improves SaaS and integrations maturity, continuity and management visibility.</t>
        </is>
      </c>
      <c r="L320" s="3" t="n">
        <v>5</v>
      </c>
      <c r="M320" s="3" t="n">
        <v>5</v>
      </c>
      <c r="N320" s="3" t="n">
        <v>4</v>
      </c>
      <c r="O320" s="3" t="n">
        <v>3</v>
      </c>
      <c r="P320" s="3" t="n">
        <v>2</v>
      </c>
      <c r="Q320" s="3" t="n">
        <v>1</v>
      </c>
      <c r="R320" s="3" t="inlineStr">
        <is>
          <t>ISO/IEC 27001; ISO/IEC 20000-1; NIST CSF 2.0; NIST SP 800-34; COBIT; ITIL 4; FinOps</t>
        </is>
      </c>
      <c r="S320" s="3" t="inlineStr">
        <is>
          <t>Policy/SOP; owner/RACI; system report; dashboard; contracts; test records; incident history; interview evidence related to critical SaaS assessment for availability, export, backup, admin access, integrations and contract continuity.</t>
        </is>
      </c>
      <c r="T320" s="3" t="inlineStr">
        <is>
          <t>IT outage; Cloud outage; Data loss; Cyberattack</t>
        </is>
      </c>
      <c r="U320" s="3" t="inlineStr">
        <is>
          <t>CIO / CTO / IT Ops</t>
        </is>
      </c>
      <c r="V320" s="3" t="inlineStr">
        <is>
          <t>IT Cloud DR!28</t>
        </is>
      </c>
    </row>
    <row r="321" ht="71.25" customHeight="1" s="209">
      <c r="A321" s="3" t="inlineStr">
        <is>
          <t>ITCL-026</t>
        </is>
      </c>
      <c r="B321" s="3" t="inlineStr">
        <is>
          <t>IT Cloud DR</t>
        </is>
      </c>
      <c r="C321" s="3" t="inlineStr">
        <is>
          <t>SaaS and integrations</t>
        </is>
      </c>
      <c r="D321" s="3" t="inlineStr">
        <is>
          <t>How mature is the organization in managing SaaS data backup or exportability if provider or account becomes unavailable, including ownership, evidence, metrics, fallback procedures and crisis stress testing?</t>
        </is>
      </c>
      <c r="E321" s="3" t="inlineStr">
        <is>
          <t>Establish a basic owner and inventory for SaaS data backup or exportability if provider or account becomes unavailable. Define minimum policy, evidence location and immediate crisis relevance.</t>
        </is>
      </c>
      <c r="F321" s="3" t="inlineStr">
        <is>
          <t>Document SaaS data backup or exportability if provider or account becomes unavailable, assign RACI, define minimum controls/KPIs and collect evidence across the main business units or sites.</t>
        </is>
      </c>
      <c r="G321" s="3" t="inlineStr">
        <is>
          <t>Standardize SaaS data backup or exportability if provider or account becomes unavailable across the organization, close coverage gaps, link it to crisis scenarios and train accountable roles.</t>
        </is>
      </c>
      <c r="H321" s="3" t="inlineStr">
        <is>
          <t>Measure SaaS data backup or exportability if provider or account becomes unavailable, review it periodically, test it against disruption scenarios and integrate it with dependent processes or systems.</t>
        </is>
      </c>
      <c r="I321" s="3" t="inlineStr">
        <is>
          <t>Optimize and automate SaaS data backup or exportability if provider or account becomes unavailable where practical, use leading indicators, run periodic stress tests and update the crisis playbook.</t>
        </is>
      </c>
      <c r="J321" s="3" t="inlineStr">
        <is>
          <t>Maintain maturity for SaaS data backup or exportability if provider or account becomes unavailable. Monitor drift, keep evidence current, benchmark externally and refresh tests after major changes.</t>
        </is>
      </c>
      <c r="K321" s="3" t="inlineStr">
        <is>
          <t>Reduces exposure to IT outage; Cloud outage; Data loss; Cyberattack; improves SaaS and integrations maturity, continuity and management visibility.</t>
        </is>
      </c>
      <c r="L321" s="3" t="n">
        <v>5</v>
      </c>
      <c r="M321" s="3" t="n">
        <v>5</v>
      </c>
      <c r="N321" s="3" t="n">
        <v>4</v>
      </c>
      <c r="O321" s="3" t="n">
        <v>3</v>
      </c>
      <c r="P321" s="3" t="n">
        <v>2</v>
      </c>
      <c r="Q321" s="3" t="n">
        <v>1</v>
      </c>
      <c r="R321" s="3" t="inlineStr">
        <is>
          <t>ISO/IEC 27001; ISO/IEC 20000-1; NIST CSF 2.0; NIST SP 800-34; COBIT; ITIL 4; FinOps</t>
        </is>
      </c>
      <c r="S321" s="3" t="inlineStr">
        <is>
          <t>Policy/SOP; owner/RACI; system report; dashboard; contracts; test records; incident history; interview evidence related to SaaS data backup or exportability if provider or account becomes unavailable.</t>
        </is>
      </c>
      <c r="T321" s="3" t="inlineStr">
        <is>
          <t>IT outage; Cloud outage; Data loss; Cyberattack</t>
        </is>
      </c>
      <c r="U321" s="3" t="inlineStr">
        <is>
          <t>CIO / CTO / IT Ops</t>
        </is>
      </c>
      <c r="V321" s="3" t="inlineStr">
        <is>
          <t>IT Cloud DR!29</t>
        </is>
      </c>
    </row>
    <row r="322" ht="71.25" customHeight="1" s="209">
      <c r="A322" s="3" t="inlineStr">
        <is>
          <t>ITCL-027</t>
        </is>
      </c>
      <c r="B322" s="3" t="inlineStr">
        <is>
          <t>IT Cloud DR</t>
        </is>
      </c>
      <c r="C322" s="3" t="inlineStr">
        <is>
          <t>SaaS and integrations</t>
        </is>
      </c>
      <c r="D322" s="3" t="inlineStr">
        <is>
          <t>How mature is the organization in managing API, ETL, middleware, file exchange and manual integration catalog, including ownership, evidence, metrics, fallback procedures and crisis stress testing?</t>
        </is>
      </c>
      <c r="E322" s="3" t="inlineStr">
        <is>
          <t>Establish a basic owner and inventory for API, ETL, middleware, file exchange and manual integration catalog. Define minimum policy, evidence location and immediate crisis relevance.</t>
        </is>
      </c>
      <c r="F322" s="3" t="inlineStr">
        <is>
          <t>Document API, ETL, middleware, file exchange and manual integration catalog, assign RACI, define minimum controls/KPIs and collect evidence across the main business units or sites.</t>
        </is>
      </c>
      <c r="G322" s="3" t="inlineStr">
        <is>
          <t>Standardize API, ETL, middleware, file exchange and manual integration catalog across the organization, close coverage gaps, link it to crisis scenarios and train accountable roles.</t>
        </is>
      </c>
      <c r="H322" s="3" t="inlineStr">
        <is>
          <t>Measure API, ETL, middleware, file exchange and manual integration catalog, review it periodically, test it against disruption scenarios and integrate it with dependent processes or systems.</t>
        </is>
      </c>
      <c r="I322" s="3" t="inlineStr">
        <is>
          <t>Optimize and automate API, ETL, middleware, file exchange and manual integration catalog where practical, use leading indicators, run periodic stress tests and update the crisis playbook.</t>
        </is>
      </c>
      <c r="J322" s="3" t="inlineStr">
        <is>
          <t>Maintain maturity for API, ETL, middleware, file exchange and manual integration catalog. Monitor drift, keep evidence current, benchmark externally and refresh tests after major changes.</t>
        </is>
      </c>
      <c r="K322" s="3" t="inlineStr">
        <is>
          <t>Reduces exposure to IT outage; Cloud outage; Data loss; Cyberattack; improves SaaS and integrations maturity, continuity and management visibility.</t>
        </is>
      </c>
      <c r="L322" s="3" t="n">
        <v>5</v>
      </c>
      <c r="M322" s="3" t="n">
        <v>5</v>
      </c>
      <c r="N322" s="3" t="n">
        <v>4</v>
      </c>
      <c r="O322" s="3" t="n">
        <v>3</v>
      </c>
      <c r="P322" s="3" t="n">
        <v>2</v>
      </c>
      <c r="Q322" s="3" t="n">
        <v>1</v>
      </c>
      <c r="R322" s="3" t="inlineStr">
        <is>
          <t>ISO/IEC 27001; ISO/IEC 20000-1; NIST CSF 2.0; NIST SP 800-34; COBIT; ITIL 4; FinOps</t>
        </is>
      </c>
      <c r="S322" s="3" t="inlineStr">
        <is>
          <t>Policy/SOP; owner/RACI; system report; dashboard; contracts; test records; incident history; interview evidence related to API, ETL, middleware, file exchange and manual integration catalog.</t>
        </is>
      </c>
      <c r="T322" s="3" t="inlineStr">
        <is>
          <t>IT outage; Cloud outage; Data loss; Cyberattack</t>
        </is>
      </c>
      <c r="U322" s="3" t="inlineStr">
        <is>
          <t>CIO / CTO / IT Ops</t>
        </is>
      </c>
      <c r="V322" s="3" t="inlineStr">
        <is>
          <t>IT Cloud DR!30</t>
        </is>
      </c>
    </row>
    <row r="323" ht="71.25" customHeight="1" s="209">
      <c r="A323" s="3" t="inlineStr">
        <is>
          <t>ITCL-028</t>
        </is>
      </c>
      <c r="B323" s="3" t="inlineStr">
        <is>
          <t>IT Cloud DR</t>
        </is>
      </c>
      <c r="C323" s="3" t="inlineStr">
        <is>
          <t>SaaS and integrations</t>
        </is>
      </c>
      <c r="D323" s="3" t="inlineStr">
        <is>
          <t>How mature is the organization in managing integration monitoring, retry, queue, reconciliation and fallback procedures, including ownership, evidence, metrics, fallback procedures and crisis stress testing?</t>
        </is>
      </c>
      <c r="E323" s="3" t="inlineStr">
        <is>
          <t>Establish a basic owner and inventory for integration monitoring, retry, queue, reconciliation and fallback procedures. Define minimum policy, evidence location and immediate crisis relevance.</t>
        </is>
      </c>
      <c r="F323" s="3" t="inlineStr">
        <is>
          <t>Document integration monitoring, retry, queue, reconciliation and fallback procedures, assign RACI, define minimum controls/KPIs and collect evidence across the main business units or sites.</t>
        </is>
      </c>
      <c r="G323" s="3" t="inlineStr">
        <is>
          <t>Standardize integration monitoring, retry, queue, reconciliation and fallback procedures across the organization, close coverage gaps, link it to crisis scenarios and train accountable roles.</t>
        </is>
      </c>
      <c r="H323" s="3" t="inlineStr">
        <is>
          <t>Measure integration monitoring, retry, queue, reconciliation and fallback procedures, review it periodically, test it against disruption scenarios and integrate it with dependent processes or systems.</t>
        </is>
      </c>
      <c r="I323" s="3" t="inlineStr">
        <is>
          <t>Optimize and automate integration monitoring, retry, queue, reconciliation and fallback procedures where practical, use leading indicators, run periodic stress tests and update the crisis playbook.</t>
        </is>
      </c>
      <c r="J323" s="3" t="inlineStr">
        <is>
          <t>Maintain maturity for integration monitoring, retry, queue, reconciliation and fallback procedures. Monitor drift, keep evidence current, benchmark externally and refresh tests after major changes.</t>
        </is>
      </c>
      <c r="K323" s="3" t="inlineStr">
        <is>
          <t>Reduces exposure to IT outage; Cloud outage; Data loss; Cyberattack; improves SaaS and integrations maturity, continuity and management visibility.</t>
        </is>
      </c>
      <c r="L323" s="3" t="n">
        <v>5</v>
      </c>
      <c r="M323" s="3" t="n">
        <v>5</v>
      </c>
      <c r="N323" s="3" t="n">
        <v>4</v>
      </c>
      <c r="O323" s="3" t="n">
        <v>3</v>
      </c>
      <c r="P323" s="3" t="n">
        <v>2</v>
      </c>
      <c r="Q323" s="3" t="n">
        <v>1</v>
      </c>
      <c r="R323" s="3" t="inlineStr">
        <is>
          <t>ISO/IEC 27001; ISO/IEC 20000-1; NIST CSF 2.0; NIST SP 800-34; COBIT; ITIL 4; FinOps</t>
        </is>
      </c>
      <c r="S323" s="3" t="inlineStr">
        <is>
          <t>Policy/SOP; owner/RACI; system report; dashboard; contracts; test records; incident history; interview evidence related to integration monitoring, retry, queue, reconciliation and fallback procedures.</t>
        </is>
      </c>
      <c r="T323" s="3" t="inlineStr">
        <is>
          <t>IT outage; Cloud outage; Data loss; Cyberattack</t>
        </is>
      </c>
      <c r="U323" s="3" t="inlineStr">
        <is>
          <t>CIO / CTO / IT Ops</t>
        </is>
      </c>
      <c r="V323" s="3" t="inlineStr">
        <is>
          <t>IT Cloud DR!31</t>
        </is>
      </c>
    </row>
    <row r="324" ht="85.5" customHeight="1" s="209">
      <c r="A324" s="3" t="inlineStr">
        <is>
          <t>ITCL-029</t>
        </is>
      </c>
      <c r="B324" s="3" t="inlineStr">
        <is>
          <t>IT Cloud DR</t>
        </is>
      </c>
      <c r="C324" s="3" t="inlineStr">
        <is>
          <t>SaaS and integrations</t>
        </is>
      </c>
      <c r="D324" s="3" t="inlineStr">
        <is>
          <t>How mature is the organization in managing configuration management and version control for infrastructure, cloud and applications, including ownership, evidence, metrics, fallback procedures and crisis stress testing?</t>
        </is>
      </c>
      <c r="E324" s="3" t="inlineStr">
        <is>
          <t>Establish a basic owner and inventory for configuration management and version control for infrastructure, cloud and applications. Define minimum policy, evidence location and immediate crisis relevance.</t>
        </is>
      </c>
      <c r="F324" s="3" t="inlineStr">
        <is>
          <t>Document configuration management and version control for infrastructure, cloud and applications, assign RACI, define minimum controls/KPIs and collect evidence across the main business units or sites.</t>
        </is>
      </c>
      <c r="G324" s="3" t="inlineStr">
        <is>
          <t>Standardize configuration management and version control for infrastructure, cloud and applications across the organization, close coverage gaps, link it to crisis scenarios and train accountable roles.</t>
        </is>
      </c>
      <c r="H324" s="3" t="inlineStr">
        <is>
          <t>Measure configuration management and version control for infrastructure, cloud and applications, review it periodically, test it against disruption scenarios and integrate it with dependent processes or systems.</t>
        </is>
      </c>
      <c r="I324" s="3" t="inlineStr">
        <is>
          <t>Optimize and automate configuration management and version control for infrastructure, cloud and applications where practical, use leading indicators, run periodic stress tests and update the crisis playbook.</t>
        </is>
      </c>
      <c r="J324" s="3" t="inlineStr">
        <is>
          <t>Maintain maturity for configuration management and version control for infrastructure, cloud and applications. Monitor drift, keep evidence current, benchmark externally and refresh tests after major changes.</t>
        </is>
      </c>
      <c r="K324" s="3" t="inlineStr">
        <is>
          <t>Reduces exposure to IT outage; Cloud outage; Data loss; Cyberattack; improves SaaS and integrations maturity, continuity and management visibility.</t>
        </is>
      </c>
      <c r="L324" s="3" t="n">
        <v>5</v>
      </c>
      <c r="M324" s="3" t="n">
        <v>5</v>
      </c>
      <c r="N324" s="3" t="n">
        <v>4</v>
      </c>
      <c r="O324" s="3" t="n">
        <v>3</v>
      </c>
      <c r="P324" s="3" t="n">
        <v>2</v>
      </c>
      <c r="Q324" s="3" t="n">
        <v>1</v>
      </c>
      <c r="R324" s="3" t="inlineStr">
        <is>
          <t>ISO/IEC 27001; ISO/IEC 20000-1; NIST CSF 2.0; NIST SP 800-34; COBIT; ITIL 4; FinOps</t>
        </is>
      </c>
      <c r="S324" s="3" t="inlineStr">
        <is>
          <t>Policy/SOP; owner/RACI; system report; dashboard; contracts; test records; incident history; interview evidence related to configuration management and version control for infrastructure, cloud and applications.</t>
        </is>
      </c>
      <c r="T324" s="3" t="inlineStr">
        <is>
          <t>IT outage; Cloud outage; Data loss; Cyberattack</t>
        </is>
      </c>
      <c r="U324" s="3" t="inlineStr">
        <is>
          <t>CIO / CTO / IT Ops</t>
        </is>
      </c>
      <c r="V324" s="3" t="inlineStr">
        <is>
          <t>IT Cloud DR!32</t>
        </is>
      </c>
    </row>
    <row r="325" ht="85.5" customHeight="1" s="209">
      <c r="A325" s="3" t="inlineStr">
        <is>
          <t>BUSI-001</t>
        </is>
      </c>
      <c r="B325" s="3" t="inlineStr">
        <is>
          <t>Business Systems</t>
        </is>
      </c>
      <c r="C325" s="3" t="inlineStr">
        <is>
          <t>ERP</t>
        </is>
      </c>
      <c r="D325" s="3" t="inlineStr">
        <is>
          <t>How mature is the organization in managing ERP process coverage for finance, procurement, inventory, orders, production or project accounting, including ownership, evidence, metrics, fallback procedures and crisis stress testing?</t>
        </is>
      </c>
      <c r="E325" s="3" t="inlineStr">
        <is>
          <t>Establish a basic owner and inventory for ERP process coverage for finance, procurement, inventory, orders, production or project accounting. Define minimum policy, evidence location and immediate crisis relevance.</t>
        </is>
      </c>
      <c r="F325" s="3" t="inlineStr">
        <is>
          <t>Document ERP process coverage for finance, procurement, inventory, orders, production or project accounting, assign RACI, define minimum controls/KPIs and collect evidence across the main business units or sites.</t>
        </is>
      </c>
      <c r="G325" s="3" t="inlineStr">
        <is>
          <t>Standardize ERP process coverage for finance, procurement, inventory, orders, production or project accounting across the organization, close coverage gaps, link it to crisis scenarios and train accountable roles.</t>
        </is>
      </c>
      <c r="H325" s="3" t="inlineStr">
        <is>
          <t>Measure ERP process coverage for finance, procurement, inventory, orders, production or project accounting, review it periodically, test it against disruption scenarios and integrate it with dependent processes or systems.</t>
        </is>
      </c>
      <c r="I325" s="3" t="inlineStr">
        <is>
          <t>Optimize and automate ERP process coverage for finance, procurement, inventory, orders, production or project accounting where practical, use leading indicators, run periodic stress tests and update the crisis playbook.</t>
        </is>
      </c>
      <c r="J325" s="3" t="inlineStr">
        <is>
          <t>Maintain maturity for ERP process coverage for finance, procurement, inventory, orders, production or project accounting. Monitor drift, keep evidence current, benchmark externally and refresh tests after major changes.</t>
        </is>
      </c>
      <c r="K325" s="3" t="inlineStr">
        <is>
          <t>Reduces exposure to IT outage; Decision failure; Process disruption; improves ERP maturity, continuity and management visibility.</t>
        </is>
      </c>
      <c r="L325" s="3" t="n">
        <v>5</v>
      </c>
      <c r="M325" s="3" t="n">
        <v>5</v>
      </c>
      <c r="N325" s="3" t="n">
        <v>4</v>
      </c>
      <c r="O325" s="3" t="n">
        <v>3</v>
      </c>
      <c r="P325" s="3" t="n">
        <v>2</v>
      </c>
      <c r="Q325" s="3" t="n">
        <v>1</v>
      </c>
      <c r="R325" s="3" t="inlineStr">
        <is>
          <t>COBIT; ITIL 4; ISO/IEC 27001; ISO/IEC 20000-1; ERP/CRM/MES/HRMS implementation practices</t>
        </is>
      </c>
      <c r="S325" s="3" t="inlineStr">
        <is>
          <t>Policy/SOP; owner/RACI; system report; dashboard; contracts; test records; incident history; interview evidence related to ERP process coverage for finance, procurement, inventory, orders, production or project accounting.</t>
        </is>
      </c>
      <c r="T325" s="3" t="inlineStr">
        <is>
          <t>IT outage; Decision failure; Process disruption</t>
        </is>
      </c>
      <c r="U325" s="3" t="inlineStr">
        <is>
          <t>CIO / Business Systems</t>
        </is>
      </c>
      <c r="V325" s="3" t="inlineStr">
        <is>
          <t>Business Systems!5</t>
        </is>
      </c>
    </row>
    <row r="326" ht="85.5" customHeight="1" s="209">
      <c r="A326" s="3" t="inlineStr">
        <is>
          <t>BUSI-002</t>
        </is>
      </c>
      <c r="B326" s="3" t="inlineStr">
        <is>
          <t>Business Systems</t>
        </is>
      </c>
      <c r="C326" s="3" t="inlineStr">
        <is>
          <t>ERP</t>
        </is>
      </c>
      <c r="D326" s="3" t="inlineStr">
        <is>
          <t>How mature is the organization in managing ERP master data governance for customers, suppliers, items, BOMs, chart of accounts, cost centers and pricing, including ownership, evidence, metrics, fallback procedures and crisis stress testing?</t>
        </is>
      </c>
      <c r="E326" s="3" t="inlineStr">
        <is>
          <t>Establish a basic owner and inventory for ERP master data governance for customers, suppliers, items, BOMs, chart of accounts, cost centers and pricing. Define minimum policy, evidence location and immediate crisis relevance.</t>
        </is>
      </c>
      <c r="F326" s="3" t="inlineStr">
        <is>
          <t>Document ERP master data governance for customers, suppliers, items, BOMs, chart of accounts, cost centers and pricing, assign RACI, define minimum controls/KPIs and collect evidence across the main business units or sites.</t>
        </is>
      </c>
      <c r="G326" s="3" t="inlineStr">
        <is>
          <t>Standardize ERP master data governance for customers, suppliers, items, BOMs, chart of accounts, cost centers and pricing across the organization, close coverage gaps, link it to crisis scenarios and train accountable roles.</t>
        </is>
      </c>
      <c r="H326" s="3" t="inlineStr">
        <is>
          <t>Measure ERP master data governance for customers, suppliers, items, BOMs, chart of accounts, cost centers and pricing, review it periodically, test it against disruption scenarios and integrate it with dependent processes or systems.</t>
        </is>
      </c>
      <c r="I326" s="3" t="inlineStr">
        <is>
          <t>Optimize and automate ERP master data governance for customers, suppliers, items, BOMs, chart of accounts, cost centers and pricing where practical, use leading indicators, run periodic stress tests and update the crisis playbook.</t>
        </is>
      </c>
      <c r="J326" s="3" t="inlineStr">
        <is>
          <t>Maintain maturity for ERP master data governance for customers, suppliers, items, BOMs, chart of accounts, cost centers and pricing. Monitor drift, keep evidence current, benchmark externally and refresh tests after major changes.</t>
        </is>
      </c>
      <c r="K326" s="3" t="inlineStr">
        <is>
          <t>Reduces exposure to IT outage; Decision failure; Process disruption; improves ERP maturity, continuity and management visibility.</t>
        </is>
      </c>
      <c r="L326" s="3" t="n">
        <v>5</v>
      </c>
      <c r="M326" s="3" t="n">
        <v>5</v>
      </c>
      <c r="N326" s="3" t="n">
        <v>4</v>
      </c>
      <c r="O326" s="3" t="n">
        <v>3</v>
      </c>
      <c r="P326" s="3" t="n">
        <v>2</v>
      </c>
      <c r="Q326" s="3" t="n">
        <v>1</v>
      </c>
      <c r="R326" s="3" t="inlineStr">
        <is>
          <t>COBIT; ITIL 4; ISO/IEC 27001; ISO/IEC 20000-1; ERP/CRM/MES/HRMS implementation practices</t>
        </is>
      </c>
      <c r="S326" s="3" t="inlineStr">
        <is>
          <t>Policy/SOP; owner/RACI; system report; dashboard; contracts; test records; incident history; interview evidence related to ERP master data governance for customers, suppliers, items, BOMs, chart of accounts, cost centers and pricing.</t>
        </is>
      </c>
      <c r="T326" s="3" t="inlineStr">
        <is>
          <t>IT outage; Decision failure; Process disruption</t>
        </is>
      </c>
      <c r="U326" s="3" t="inlineStr">
        <is>
          <t>CIO / Business Systems</t>
        </is>
      </c>
      <c r="V326" s="3" t="inlineStr">
        <is>
          <t>Business Systems!6</t>
        </is>
      </c>
    </row>
    <row r="327" ht="71.25" customHeight="1" s="209">
      <c r="A327" s="3" t="inlineStr">
        <is>
          <t>BUSI-003</t>
        </is>
      </c>
      <c r="B327" s="3" t="inlineStr">
        <is>
          <t>Business Systems</t>
        </is>
      </c>
      <c r="C327" s="3" t="inlineStr">
        <is>
          <t>ERP</t>
        </is>
      </c>
      <c r="D327" s="3" t="inlineStr">
        <is>
          <t>How mature is the organization in managing ERP access controls, approvals and segregation of duties, including ownership, evidence, metrics, fallback procedures and crisis stress testing?</t>
        </is>
      </c>
      <c r="E327" s="3" t="inlineStr">
        <is>
          <t>Establish a basic owner and inventory for ERP access controls, approvals and segregation of duties. Define minimum policy, evidence location and immediate crisis relevance.</t>
        </is>
      </c>
      <c r="F327" s="3" t="inlineStr">
        <is>
          <t>Document ERP access controls, approvals and segregation of duties, assign RACI, define minimum controls/KPIs and collect evidence across the main business units or sites.</t>
        </is>
      </c>
      <c r="G327" s="3" t="inlineStr">
        <is>
          <t>Standardize ERP access controls, approvals and segregation of duties across the organization, close coverage gaps, link it to crisis scenarios and train accountable roles.</t>
        </is>
      </c>
      <c r="H327" s="3" t="inlineStr">
        <is>
          <t>Measure ERP access controls, approvals and segregation of duties, review it periodically, test it against disruption scenarios and integrate it with dependent processes or systems.</t>
        </is>
      </c>
      <c r="I327" s="3" t="inlineStr">
        <is>
          <t>Optimize and automate ERP access controls, approvals and segregation of duties where practical, use leading indicators, run periodic stress tests and update the crisis playbook.</t>
        </is>
      </c>
      <c r="J327" s="3" t="inlineStr">
        <is>
          <t>Maintain maturity for ERP access controls, approvals and segregation of duties. Monitor drift, keep evidence current, benchmark externally and refresh tests after major changes.</t>
        </is>
      </c>
      <c r="K327" s="3" t="inlineStr">
        <is>
          <t>Reduces exposure to IT outage; Decision failure; Process disruption; improves ERP maturity, continuity and management visibility.</t>
        </is>
      </c>
      <c r="L327" s="3" t="n">
        <v>5</v>
      </c>
      <c r="M327" s="3" t="n">
        <v>5</v>
      </c>
      <c r="N327" s="3" t="n">
        <v>4</v>
      </c>
      <c r="O327" s="3" t="n">
        <v>3</v>
      </c>
      <c r="P327" s="3" t="n">
        <v>2</v>
      </c>
      <c r="Q327" s="3" t="n">
        <v>1</v>
      </c>
      <c r="R327" s="3" t="inlineStr">
        <is>
          <t>COBIT; ITIL 4; ISO/IEC 27001; ISO/IEC 20000-1; ERP/CRM/MES/HRMS implementation practices</t>
        </is>
      </c>
      <c r="S327" s="3" t="inlineStr">
        <is>
          <t>Policy/SOP; owner/RACI; system report; dashboard; contracts; test records; incident history; interview evidence related to ERP access controls, approvals and segregation of duties.</t>
        </is>
      </c>
      <c r="T327" s="3" t="inlineStr">
        <is>
          <t>IT outage; Decision failure; Process disruption</t>
        </is>
      </c>
      <c r="U327" s="3" t="inlineStr">
        <is>
          <t>CIO / Business Systems</t>
        </is>
      </c>
      <c r="V327" s="3" t="inlineStr">
        <is>
          <t>Business Systems!7</t>
        </is>
      </c>
    </row>
    <row r="328" ht="85.5" customHeight="1" s="209">
      <c r="A328" s="3" t="inlineStr">
        <is>
          <t>BUSI-004</t>
        </is>
      </c>
      <c r="B328" s="3" t="inlineStr">
        <is>
          <t>Business Systems</t>
        </is>
      </c>
      <c r="C328" s="3" t="inlineStr">
        <is>
          <t>ERP</t>
        </is>
      </c>
      <c r="D328" s="3" t="inlineStr">
        <is>
          <t>How mature is the organization in managing ERP continuity with RTO, RPO, backup, vendor support and manual fallback, including ownership, evidence, metrics, fallback procedures and crisis stress testing?</t>
        </is>
      </c>
      <c r="E328" s="3" t="inlineStr">
        <is>
          <t>Establish a basic owner and inventory for ERP continuity with RTO, RPO, backup, vendor support and manual fallback. Define minimum policy, evidence location and immediate crisis relevance.</t>
        </is>
      </c>
      <c r="F328" s="3" t="inlineStr">
        <is>
          <t>Document ERP continuity with RTO, RPO, backup, vendor support and manual fallback, assign RACI, define minimum controls/KPIs and collect evidence across the main business units or sites.</t>
        </is>
      </c>
      <c r="G328" s="3" t="inlineStr">
        <is>
          <t>Standardize ERP continuity with RTO, RPO, backup, vendor support and manual fallback across the organization, close coverage gaps, link it to crisis scenarios and train accountable roles.</t>
        </is>
      </c>
      <c r="H328" s="3" t="inlineStr">
        <is>
          <t>Measure ERP continuity with RTO, RPO, backup, vendor support and manual fallback, review it periodically, test it against disruption scenarios and integrate it with dependent processes or systems.</t>
        </is>
      </c>
      <c r="I328" s="3" t="inlineStr">
        <is>
          <t>Optimize and automate ERP continuity with RTO, RPO, backup, vendor support and manual fallback where practical, use leading indicators, run periodic stress tests and update the crisis playbook.</t>
        </is>
      </c>
      <c r="J328" s="3" t="inlineStr">
        <is>
          <t>Maintain maturity for ERP continuity with RTO, RPO, backup, vendor support and manual fallback. Monitor drift, keep evidence current, benchmark externally and refresh tests after major changes.</t>
        </is>
      </c>
      <c r="K328" s="3" t="inlineStr">
        <is>
          <t>Reduces exposure to IT outage; Decision failure; Process disruption; improves ERP maturity, continuity and management visibility.</t>
        </is>
      </c>
      <c r="L328" s="3" t="n">
        <v>5</v>
      </c>
      <c r="M328" s="3" t="n">
        <v>5</v>
      </c>
      <c r="N328" s="3" t="n">
        <v>4</v>
      </c>
      <c r="O328" s="3" t="n">
        <v>3</v>
      </c>
      <c r="P328" s="3" t="n">
        <v>2</v>
      </c>
      <c r="Q328" s="3" t="n">
        <v>1</v>
      </c>
      <c r="R328" s="3" t="inlineStr">
        <is>
          <t>COBIT; ITIL 4; ISO/IEC 27001; ISO/IEC 20000-1; ERP/CRM/MES/HRMS implementation practices</t>
        </is>
      </c>
      <c r="S328" s="3" t="inlineStr">
        <is>
          <t>Policy/SOP; owner/RACI; system report; dashboard; contracts; test records; incident history; interview evidence related to ERP continuity with RTO, RPO, backup, vendor support and manual fallback.</t>
        </is>
      </c>
      <c r="T328" s="3" t="inlineStr">
        <is>
          <t>IT outage; Decision failure; Process disruption</t>
        </is>
      </c>
      <c r="U328" s="3" t="inlineStr">
        <is>
          <t>CIO / Business Systems</t>
        </is>
      </c>
      <c r="V328" s="3" t="inlineStr">
        <is>
          <t>Business Systems!8</t>
        </is>
      </c>
    </row>
    <row r="329" ht="85.5" customHeight="1" s="209">
      <c r="A329" s="3" t="inlineStr">
        <is>
          <t>BUSI-005</t>
        </is>
      </c>
      <c r="B329" s="3" t="inlineStr">
        <is>
          <t>Business Systems</t>
        </is>
      </c>
      <c r="C329" s="3" t="inlineStr">
        <is>
          <t>ERP</t>
        </is>
      </c>
      <c r="D329" s="3" t="inlineStr">
        <is>
          <t>How mature is the organization in managing ERP workflow for procure-to-pay, order-to-cash, record-to-report and plan-to-produce where relevant, including ownership, evidence, metrics, fallback procedures and crisis stress testing?</t>
        </is>
      </c>
      <c r="E329" s="3" t="inlineStr">
        <is>
          <t>Establish a basic owner and inventory for ERP workflow for procure-to-pay, order-to-cash, record-to-report and plan-to-produce where relevant. Define minimum policy, evidence location and immediate crisis relevance.</t>
        </is>
      </c>
      <c r="F329" s="3" t="inlineStr">
        <is>
          <t>Document ERP workflow for procure-to-pay, order-to-cash, record-to-report and plan-to-produce where relevant, assign RACI, define minimum controls/KPIs and collect evidence across the main business units or sites.</t>
        </is>
      </c>
      <c r="G329" s="3" t="inlineStr">
        <is>
          <t>Standardize ERP workflow for procure-to-pay, order-to-cash, record-to-report and plan-to-produce where relevant across the organization, close coverage gaps, link it to crisis scenarios and train accountable roles.</t>
        </is>
      </c>
      <c r="H329" s="3" t="inlineStr">
        <is>
          <t>Measure ERP workflow for procure-to-pay, order-to-cash, record-to-report and plan-to-produce where relevant, review it periodically, test it against disruption scenarios and integrate it with dependent processes or systems.</t>
        </is>
      </c>
      <c r="I329" s="3" t="inlineStr">
        <is>
          <t>Optimize and automate ERP workflow for procure-to-pay, order-to-cash, record-to-report and plan-to-produce where relevant where practical, use leading indicators, run periodic stress tests and update the crisis playbook.</t>
        </is>
      </c>
      <c r="J329" s="3" t="inlineStr">
        <is>
          <t>Maintain maturity for ERP workflow for procure-to-pay, order-to-cash, record-to-report and plan-to-produce where relevant. Monitor drift, keep evidence current, benchmark externally and refresh tests after major changes.</t>
        </is>
      </c>
      <c r="K329" s="3" t="inlineStr">
        <is>
          <t>Reduces exposure to IT outage; Decision failure; Process disruption; improves ERP maturity, continuity and management visibility.</t>
        </is>
      </c>
      <c r="L329" s="3" t="n">
        <v>5</v>
      </c>
      <c r="M329" s="3" t="n">
        <v>5</v>
      </c>
      <c r="N329" s="3" t="n">
        <v>4</v>
      </c>
      <c r="O329" s="3" t="n">
        <v>3</v>
      </c>
      <c r="P329" s="3" t="n">
        <v>2</v>
      </c>
      <c r="Q329" s="3" t="n">
        <v>1</v>
      </c>
      <c r="R329" s="3" t="inlineStr">
        <is>
          <t>COBIT; ITIL 4; ISO/IEC 27001; ISO/IEC 20000-1; ERP/CRM/MES/HRMS implementation practices</t>
        </is>
      </c>
      <c r="S329" s="3" t="inlineStr">
        <is>
          <t>Policy/SOP; owner/RACI; system report; dashboard; contracts; test records; incident history; interview evidence related to ERP workflow for procure-to-pay, order-to-cash, record-to-report and plan-to-produce where relevant.</t>
        </is>
      </c>
      <c r="T329" s="3" t="inlineStr">
        <is>
          <t>IT outage; Decision failure; Process disruption</t>
        </is>
      </c>
      <c r="U329" s="3" t="inlineStr">
        <is>
          <t>CIO / Business Systems</t>
        </is>
      </c>
      <c r="V329" s="3" t="inlineStr">
        <is>
          <t>Business Systems!9</t>
        </is>
      </c>
    </row>
    <row r="330" ht="85.5" customHeight="1" s="209">
      <c r="A330" s="3" t="inlineStr">
        <is>
          <t>BUSI-006</t>
        </is>
      </c>
      <c r="B330" s="3" t="inlineStr">
        <is>
          <t>Business Systems</t>
        </is>
      </c>
      <c r="C330" s="3" t="inlineStr">
        <is>
          <t>CRM and commerce</t>
        </is>
      </c>
      <c r="D330" s="3" t="inlineStr">
        <is>
          <t>How mature is the organization in managing CRM process coverage for lead-to-cash, customer ownership, pipeline, forecast and account management, including ownership, evidence, metrics, fallback procedures and crisis stress testing?</t>
        </is>
      </c>
      <c r="E330" s="3" t="inlineStr">
        <is>
          <t>Establish a basic owner and inventory for CRM process coverage for lead-to-cash, customer ownership, pipeline, forecast and account management. Define minimum policy, evidence location and immediate crisis relevance.</t>
        </is>
      </c>
      <c r="F330" s="3" t="inlineStr">
        <is>
          <t>Document CRM process coverage for lead-to-cash, customer ownership, pipeline, forecast and account management, assign RACI, define minimum controls/KPIs and collect evidence across the main business units or sites.</t>
        </is>
      </c>
      <c r="G330" s="3" t="inlineStr">
        <is>
          <t>Standardize CRM process coverage for lead-to-cash, customer ownership, pipeline, forecast and account management across the organization, close coverage gaps, link it to crisis scenarios and train accountable roles.</t>
        </is>
      </c>
      <c r="H330" s="3" t="inlineStr">
        <is>
          <t>Measure CRM process coverage for lead-to-cash, customer ownership, pipeline, forecast and account management, review it periodically, test it against disruption scenarios and integrate it with dependent processes or systems.</t>
        </is>
      </c>
      <c r="I330" s="3" t="inlineStr">
        <is>
          <t>Optimize and automate CRM process coverage for lead-to-cash, customer ownership, pipeline, forecast and account management where practical, use leading indicators, run periodic stress tests and update the crisis playbook.</t>
        </is>
      </c>
      <c r="J330" s="3" t="inlineStr">
        <is>
          <t>Maintain maturity for CRM process coverage for lead-to-cash, customer ownership, pipeline, forecast and account management. Monitor drift, keep evidence current, benchmark externally and refresh tests after major changes.</t>
        </is>
      </c>
      <c r="K330" s="3" t="inlineStr">
        <is>
          <t>Reduces exposure to IT outage; Decision failure; Process disruption; improves CRM and commerce maturity, continuity and management visibility.</t>
        </is>
      </c>
      <c r="L330" s="3" t="n">
        <v>5</v>
      </c>
      <c r="M330" s="3" t="n">
        <v>5</v>
      </c>
      <c r="N330" s="3" t="n">
        <v>4</v>
      </c>
      <c r="O330" s="3" t="n">
        <v>3</v>
      </c>
      <c r="P330" s="3" t="n">
        <v>2</v>
      </c>
      <c r="Q330" s="3" t="n">
        <v>1</v>
      </c>
      <c r="R330" s="3" t="inlineStr">
        <is>
          <t>COBIT; ITIL 4; ISO/IEC 27001; ISO/IEC 20000-1; ERP/CRM/MES/HRMS implementation practices</t>
        </is>
      </c>
      <c r="S330" s="3" t="inlineStr">
        <is>
          <t>Policy/SOP; owner/RACI; system report; dashboard; contracts; test records; incident history; interview evidence related to CRM process coverage for lead-to-cash, customer ownership, pipeline, forecast and account management.</t>
        </is>
      </c>
      <c r="T330" s="3" t="inlineStr">
        <is>
          <t>IT outage; Decision failure; Process disruption</t>
        </is>
      </c>
      <c r="U330" s="3" t="inlineStr">
        <is>
          <t>CIO / Business Systems</t>
        </is>
      </c>
      <c r="V330" s="3" t="inlineStr">
        <is>
          <t>Business Systems!10</t>
        </is>
      </c>
    </row>
    <row r="331" ht="85.5" customHeight="1" s="209">
      <c r="A331" s="3" t="inlineStr">
        <is>
          <t>BUSI-007</t>
        </is>
      </c>
      <c r="B331" s="3" t="inlineStr">
        <is>
          <t>Business Systems</t>
        </is>
      </c>
      <c r="C331" s="3" t="inlineStr">
        <is>
          <t>CRM and commerce</t>
        </is>
      </c>
      <c r="D331" s="3" t="inlineStr">
        <is>
          <t>How mature is the organization in managing CRM integration with ERP, billing, support, ecommerce and marketing automation, including ownership, evidence, metrics, fallback procedures and crisis stress testing?</t>
        </is>
      </c>
      <c r="E331" s="3" t="inlineStr">
        <is>
          <t>Establish a basic owner and inventory for CRM integration with ERP, billing, support, ecommerce and marketing automation. Define minimum policy, evidence location and immediate crisis relevance.</t>
        </is>
      </c>
      <c r="F331" s="3" t="inlineStr">
        <is>
          <t>Document CRM integration with ERP, billing, support, ecommerce and marketing automation, assign RACI, define minimum controls/KPIs and collect evidence across the main business units or sites.</t>
        </is>
      </c>
      <c r="G331" s="3" t="inlineStr">
        <is>
          <t>Standardize CRM integration with ERP, billing, support, ecommerce and marketing automation across the organization, close coverage gaps, link it to crisis scenarios and train accountable roles.</t>
        </is>
      </c>
      <c r="H331" s="3" t="inlineStr">
        <is>
          <t>Measure CRM integration with ERP, billing, support, ecommerce and marketing automation, review it periodically, test it against disruption scenarios and integrate it with dependent processes or systems.</t>
        </is>
      </c>
      <c r="I331" s="3" t="inlineStr">
        <is>
          <t>Optimize and automate CRM integration with ERP, billing, support, ecommerce and marketing automation where practical, use leading indicators, run periodic stress tests and update the crisis playbook.</t>
        </is>
      </c>
      <c r="J331" s="3" t="inlineStr">
        <is>
          <t>Maintain maturity for CRM integration with ERP, billing, support, ecommerce and marketing automation. Monitor drift, keep evidence current, benchmark externally and refresh tests after major changes.</t>
        </is>
      </c>
      <c r="K331" s="3" t="inlineStr">
        <is>
          <t>Reduces exposure to IT outage; Decision failure; Process disruption; improves CRM and commerce maturity, continuity and management visibility.</t>
        </is>
      </c>
      <c r="L331" s="3" t="n">
        <v>4</v>
      </c>
      <c r="M331" s="3" t="n">
        <v>4</v>
      </c>
      <c r="N331" s="3" t="n">
        <v>3</v>
      </c>
      <c r="O331" s="3" t="n">
        <v>2</v>
      </c>
      <c r="P331" s="3" t="n">
        <v>1</v>
      </c>
      <c r="Q331" s="3" t="n">
        <v>1</v>
      </c>
      <c r="R331" s="3" t="inlineStr">
        <is>
          <t>COBIT; ITIL 4; ISO/IEC 27001; ISO/IEC 20000-1; ERP/CRM/MES/HRMS implementation practices</t>
        </is>
      </c>
      <c r="S331" s="3" t="inlineStr">
        <is>
          <t>Policy/SOP; owner/RACI; system report; dashboard; contracts; test records; incident history; interview evidence related to CRM integration with ERP, billing, support, ecommerce and marketing automation.</t>
        </is>
      </c>
      <c r="T331" s="3" t="inlineStr">
        <is>
          <t>IT outage; Decision failure; Process disruption</t>
        </is>
      </c>
      <c r="U331" s="3" t="inlineStr">
        <is>
          <t>CIO / Business Systems</t>
        </is>
      </c>
      <c r="V331" s="3" t="inlineStr">
        <is>
          <t>Business Systems!11</t>
        </is>
      </c>
    </row>
    <row r="332" ht="71.25" customHeight="1" s="209">
      <c r="A332" s="3" t="inlineStr">
        <is>
          <t>BUSI-009</t>
        </is>
      </c>
      <c r="B332" s="3" t="inlineStr">
        <is>
          <t>Business Systems</t>
        </is>
      </c>
      <c r="C332" s="3" t="inlineStr">
        <is>
          <t>CRM and commerce</t>
        </is>
      </c>
      <c r="D332" s="3" t="inlineStr">
        <is>
          <t>How mature is the organization in managing customer portal availability and data accuracy during disruption, including ownership, evidence, metrics, fallback procedures and crisis stress testing?</t>
        </is>
      </c>
      <c r="E332" s="3" t="inlineStr">
        <is>
          <t>Establish a basic owner and inventory for customer portal availability and data accuracy during disruption. Define minimum policy, evidence location and immediate crisis relevance.</t>
        </is>
      </c>
      <c r="F332" s="3" t="inlineStr">
        <is>
          <t>Document customer portal availability and data accuracy during disruption, assign RACI, define minimum controls/KPIs and collect evidence across the main business units or sites.</t>
        </is>
      </c>
      <c r="G332" s="3" t="inlineStr">
        <is>
          <t>Standardize customer portal availability and data accuracy during disruption across the organization, close coverage gaps, link it to crisis scenarios and train accountable roles.</t>
        </is>
      </c>
      <c r="H332" s="3" t="inlineStr">
        <is>
          <t>Measure customer portal availability and data accuracy during disruption, review it periodically, test it against disruption scenarios and integrate it with dependent processes or systems.</t>
        </is>
      </c>
      <c r="I332" s="3" t="inlineStr">
        <is>
          <t>Optimize and automate customer portal availability and data accuracy during disruption where practical, use leading indicators, run periodic stress tests and update the crisis playbook.</t>
        </is>
      </c>
      <c r="J332" s="3" t="inlineStr">
        <is>
          <t>Maintain maturity for customer portal availability and data accuracy during disruption. Monitor drift, keep evidence current, benchmark externally and refresh tests after major changes.</t>
        </is>
      </c>
      <c r="K332" s="3" t="inlineStr">
        <is>
          <t>Reduces exposure to IT outage; Decision failure; Process disruption; improves CRM and commerce maturity, continuity and management visibility.</t>
        </is>
      </c>
      <c r="L332" s="3" t="n">
        <v>5</v>
      </c>
      <c r="M332" s="3" t="n">
        <v>5</v>
      </c>
      <c r="N332" s="3" t="n">
        <v>4</v>
      </c>
      <c r="O332" s="3" t="n">
        <v>3</v>
      </c>
      <c r="P332" s="3" t="n">
        <v>2</v>
      </c>
      <c r="Q332" s="3" t="n">
        <v>1</v>
      </c>
      <c r="R332" s="3" t="inlineStr">
        <is>
          <t>COBIT; ITIL 4; ISO/IEC 27001; ISO/IEC 20000-1; ERP/CRM/MES/HRMS implementation practices</t>
        </is>
      </c>
      <c r="S332" s="3" t="inlineStr">
        <is>
          <t>Policy/SOP; owner/RACI; system report; dashboard; contracts; test records; incident history; interview evidence related to customer portal availability and data accuracy during disruption.</t>
        </is>
      </c>
      <c r="T332" s="3" t="inlineStr">
        <is>
          <t>IT outage; Decision failure; Process disruption</t>
        </is>
      </c>
      <c r="U332" s="3" t="inlineStr">
        <is>
          <t>CIO / Business Systems</t>
        </is>
      </c>
      <c r="V332" s="3" t="inlineStr">
        <is>
          <t>Business Systems!12</t>
        </is>
      </c>
    </row>
    <row r="333" ht="85.5" customHeight="1" s="209">
      <c r="A333" s="3" t="inlineStr">
        <is>
          <t>BUSI-010</t>
        </is>
      </c>
      <c r="B333" s="3" t="inlineStr">
        <is>
          <t>Business Systems</t>
        </is>
      </c>
      <c r="C333" s="3" t="inlineStr">
        <is>
          <t>MES WMS TMS</t>
        </is>
      </c>
      <c r="D333" s="3" t="inlineStr">
        <is>
          <t>How mature is the organization in managing MES support for production orders, execution, traceability, downtime, quality and labor, including ownership, evidence, metrics, fallback procedures and crisis stress testing?</t>
        </is>
      </c>
      <c r="E333" s="3" t="inlineStr">
        <is>
          <t>Establish a basic owner and inventory for MES support for production orders, execution, traceability, downtime, quality and labor. Define minimum policy, evidence location and immediate crisis relevance.</t>
        </is>
      </c>
      <c r="F333" s="3" t="inlineStr">
        <is>
          <t>Document MES support for production orders, execution, traceability, downtime, quality and labor, assign RACI, define minimum controls/KPIs and collect evidence across the main business units or sites.</t>
        </is>
      </c>
      <c r="G333" s="3" t="inlineStr">
        <is>
          <t>Standardize MES support for production orders, execution, traceability, downtime, quality and labor across the organization, close coverage gaps, link it to crisis scenarios and train accountable roles.</t>
        </is>
      </c>
      <c r="H333" s="3" t="inlineStr">
        <is>
          <t>Measure MES support for production orders, execution, traceability, downtime, quality and labor, review it periodically, test it against disruption scenarios and integrate it with dependent processes or systems.</t>
        </is>
      </c>
      <c r="I333" s="3" t="inlineStr">
        <is>
          <t>Optimize and automate MES support for production orders, execution, traceability, downtime, quality and labor where practical, use leading indicators, run periodic stress tests and update the crisis playbook.</t>
        </is>
      </c>
      <c r="J333" s="3" t="inlineStr">
        <is>
          <t>Maintain maturity for MES support for production orders, execution, traceability, downtime, quality and labor. Monitor drift, keep evidence current, benchmark externally and refresh tests after major changes.</t>
        </is>
      </c>
      <c r="K333" s="3" t="inlineStr">
        <is>
          <t>Reduces exposure to IT outage; Decision failure; Process disruption; improves MES WMS TMS maturity, continuity and management visibility.</t>
        </is>
      </c>
      <c r="L333" s="3" t="n">
        <v>5</v>
      </c>
      <c r="M333" s="3" t="n">
        <v>5</v>
      </c>
      <c r="N333" s="3" t="n">
        <v>4</v>
      </c>
      <c r="O333" s="3" t="n">
        <v>3</v>
      </c>
      <c r="P333" s="3" t="n">
        <v>2</v>
      </c>
      <c r="Q333" s="3" t="n">
        <v>1</v>
      </c>
      <c r="R333" s="3" t="inlineStr">
        <is>
          <t>COBIT; ITIL 4; ISO/IEC 27001; ISO/IEC 20000-1; ERP/CRM/MES/HRMS implementation practices</t>
        </is>
      </c>
      <c r="S333" s="3" t="inlineStr">
        <is>
          <t>Policy/SOP; owner/RACI; system report; dashboard; contracts; test records; incident history; interview evidence related to MES support for production orders, execution, traceability, downtime, quality and labor.</t>
        </is>
      </c>
      <c r="T333" s="3" t="inlineStr">
        <is>
          <t>IT outage; Decision failure; Process disruption</t>
        </is>
      </c>
      <c r="U333" s="3" t="inlineStr">
        <is>
          <t>CIO / Business Systems</t>
        </is>
      </c>
      <c r="V333" s="3" t="inlineStr">
        <is>
          <t>Business Systems!13</t>
        </is>
      </c>
    </row>
    <row r="334" ht="85.5" customHeight="1" s="209">
      <c r="A334" s="3" t="inlineStr">
        <is>
          <t>BUSI-011</t>
        </is>
      </c>
      <c r="B334" s="3" t="inlineStr">
        <is>
          <t>Business Systems</t>
        </is>
      </c>
      <c r="C334" s="3" t="inlineStr">
        <is>
          <t>MES WMS TMS</t>
        </is>
      </c>
      <c r="D334" s="3" t="inlineStr">
        <is>
          <t>How mature is the organization in managing MES-ERP integration for orders, inventory consumption, output and quality data, including ownership, evidence, metrics, fallback procedures and crisis stress testing?</t>
        </is>
      </c>
      <c r="E334" s="3" t="inlineStr">
        <is>
          <t>Establish a basic owner and inventory for MES-ERP integration for orders, inventory consumption, output and quality data. Define minimum policy, evidence location and immediate crisis relevance.</t>
        </is>
      </c>
      <c r="F334" s="3" t="inlineStr">
        <is>
          <t>Document MES-ERP integration for orders, inventory consumption, output and quality data, assign RACI, define minimum controls/KPIs and collect evidence across the main business units or sites.</t>
        </is>
      </c>
      <c r="G334" s="3" t="inlineStr">
        <is>
          <t>Standardize MES-ERP integration for orders, inventory consumption, output and quality data across the organization, close coverage gaps, link it to crisis scenarios and train accountable roles.</t>
        </is>
      </c>
      <c r="H334" s="3" t="inlineStr">
        <is>
          <t>Measure MES-ERP integration for orders, inventory consumption, output and quality data, review it periodically, test it against disruption scenarios and integrate it with dependent processes or systems.</t>
        </is>
      </c>
      <c r="I334" s="3" t="inlineStr">
        <is>
          <t>Optimize and automate MES-ERP integration for orders, inventory consumption, output and quality data where practical, use leading indicators, run periodic stress tests and update the crisis playbook.</t>
        </is>
      </c>
      <c r="J334" s="3" t="inlineStr">
        <is>
          <t>Maintain maturity for MES-ERP integration for orders, inventory consumption, output and quality data. Monitor drift, keep evidence current, benchmark externally and refresh tests after major changes.</t>
        </is>
      </c>
      <c r="K334" s="3" t="inlineStr">
        <is>
          <t>Reduces exposure to IT outage; Decision failure; Process disruption; improves MES WMS TMS maturity, continuity and management visibility.</t>
        </is>
      </c>
      <c r="L334" s="3" t="n">
        <v>5</v>
      </c>
      <c r="M334" s="3" t="n">
        <v>5</v>
      </c>
      <c r="N334" s="3" t="n">
        <v>4</v>
      </c>
      <c r="O334" s="3" t="n">
        <v>3</v>
      </c>
      <c r="P334" s="3" t="n">
        <v>2</v>
      </c>
      <c r="Q334" s="3" t="n">
        <v>1</v>
      </c>
      <c r="R334" s="3" t="inlineStr">
        <is>
          <t>COBIT; ITIL 4; ISO/IEC 27001; ISO/IEC 20000-1; ERP/CRM/MES/HRMS implementation practices</t>
        </is>
      </c>
      <c r="S334" s="3" t="inlineStr">
        <is>
          <t>Policy/SOP; owner/RACI; system report; dashboard; contracts; test records; incident history; interview evidence related to MES-ERP integration for orders, inventory consumption, output and quality data.</t>
        </is>
      </c>
      <c r="T334" s="3" t="inlineStr">
        <is>
          <t>IT outage; Decision failure; Process disruption</t>
        </is>
      </c>
      <c r="U334" s="3" t="inlineStr">
        <is>
          <t>CIO / Business Systems</t>
        </is>
      </c>
      <c r="V334" s="3" t="inlineStr">
        <is>
          <t>Business Systems!14</t>
        </is>
      </c>
    </row>
    <row r="335" ht="85.5" customHeight="1" s="209">
      <c r="A335" s="3" t="inlineStr">
        <is>
          <t>BUSI-012</t>
        </is>
      </c>
      <c r="B335" s="3" t="inlineStr">
        <is>
          <t>Business Systems</t>
        </is>
      </c>
      <c r="C335" s="3" t="inlineStr">
        <is>
          <t>MES WMS TMS</t>
        </is>
      </c>
      <c r="D335" s="3" t="inlineStr">
        <is>
          <t>How mature is the organization in managing WMS support for inventory movement, location, status, batch, picking, packing and cycle counts, including ownership, evidence, metrics, fallback procedures and crisis stress testing?</t>
        </is>
      </c>
      <c r="E335" s="3" t="inlineStr">
        <is>
          <t>Establish a basic owner and inventory for WMS support for inventory movement, location, status, batch, picking, packing and cycle counts. Define minimum policy, evidence location and immediate crisis relevance.</t>
        </is>
      </c>
      <c r="F335" s="3" t="inlineStr">
        <is>
          <t>Document WMS support for inventory movement, location, status, batch, picking, packing and cycle counts, assign RACI, define minimum controls/KPIs and collect evidence across the main business units or sites.</t>
        </is>
      </c>
      <c r="G335" s="3" t="inlineStr">
        <is>
          <t>Standardize WMS support for inventory movement, location, status, batch, picking, packing and cycle counts across the organization, close coverage gaps, link it to crisis scenarios and train accountable roles.</t>
        </is>
      </c>
      <c r="H335" s="3" t="inlineStr">
        <is>
          <t>Measure WMS support for inventory movement, location, status, batch, picking, packing and cycle counts, review it periodically, test it against disruption scenarios and integrate it with dependent processes or systems.</t>
        </is>
      </c>
      <c r="I335" s="3" t="inlineStr">
        <is>
          <t>Optimize and automate WMS support for inventory movement, location, status, batch, picking, packing and cycle counts where practical, use leading indicators, run periodic stress tests and update the crisis playbook.</t>
        </is>
      </c>
      <c r="J335" s="3" t="inlineStr">
        <is>
          <t>Maintain maturity for WMS support for inventory movement, location, status, batch, picking, packing and cycle counts. Monitor drift, keep evidence current, benchmark externally and refresh tests after major changes.</t>
        </is>
      </c>
      <c r="K335" s="3" t="inlineStr">
        <is>
          <t>Reduces exposure to IT outage; Decision failure; Process disruption; improves MES WMS TMS maturity, continuity and management visibility.</t>
        </is>
      </c>
      <c r="L335" s="3" t="n">
        <v>5</v>
      </c>
      <c r="M335" s="3" t="n">
        <v>5</v>
      </c>
      <c r="N335" s="3" t="n">
        <v>4</v>
      </c>
      <c r="O335" s="3" t="n">
        <v>3</v>
      </c>
      <c r="P335" s="3" t="n">
        <v>2</v>
      </c>
      <c r="Q335" s="3" t="n">
        <v>1</v>
      </c>
      <c r="R335" s="3" t="inlineStr">
        <is>
          <t>COBIT; ITIL 4; ISO/IEC 27001; ISO/IEC 20000-1; ERP/CRM/MES/HRMS implementation practices</t>
        </is>
      </c>
      <c r="S335" s="3" t="inlineStr">
        <is>
          <t>Policy/SOP; owner/RACI; system report; dashboard; contracts; test records; incident history; interview evidence related to WMS support for inventory movement, location, status, batch, picking, packing and cycle counts.</t>
        </is>
      </c>
      <c r="T335" s="3" t="inlineStr">
        <is>
          <t>IT outage; Decision failure; Process disruption</t>
        </is>
      </c>
      <c r="U335" s="3" t="inlineStr">
        <is>
          <t>CIO / Business Systems</t>
        </is>
      </c>
      <c r="V335" s="3" t="inlineStr">
        <is>
          <t>Business Systems!15</t>
        </is>
      </c>
    </row>
    <row r="336" ht="71.25" customHeight="1" s="209">
      <c r="A336" s="3" t="inlineStr">
        <is>
          <t>BUSI-013</t>
        </is>
      </c>
      <c r="B336" s="3" t="inlineStr">
        <is>
          <t>Business Systems</t>
        </is>
      </c>
      <c r="C336" s="3" t="inlineStr">
        <is>
          <t>MES WMS TMS</t>
        </is>
      </c>
      <c r="D336" s="3" t="inlineStr">
        <is>
          <t>How mature is the organization in managing TMS support for carrier booking, route planning, tracking and delivery visibility, including ownership, evidence, metrics, fallback procedures and crisis stress testing?</t>
        </is>
      </c>
      <c r="E336" s="3" t="inlineStr">
        <is>
          <t>Establish a basic owner and inventory for TMS support for carrier booking, route planning, tracking and delivery visibility. Define minimum policy, evidence location and immediate crisis relevance.</t>
        </is>
      </c>
      <c r="F336" s="3" t="inlineStr">
        <is>
          <t>Document TMS support for carrier booking, route planning, tracking and delivery visibility, assign RACI, define minimum controls/KPIs and collect evidence across the main business units or sites.</t>
        </is>
      </c>
      <c r="G336" s="3" t="inlineStr">
        <is>
          <t>Standardize TMS support for carrier booking, route planning, tracking and delivery visibility across the organization, close coverage gaps, link it to crisis scenarios and train accountable roles.</t>
        </is>
      </c>
      <c r="H336" s="3" t="inlineStr">
        <is>
          <t>Measure TMS support for carrier booking, route planning, tracking and delivery visibility, review it periodically, test it against disruption scenarios and integrate it with dependent processes or systems.</t>
        </is>
      </c>
      <c r="I336" s="3" t="inlineStr">
        <is>
          <t>Optimize and automate TMS support for carrier booking, route planning, tracking and delivery visibility where practical, use leading indicators, run periodic stress tests and update the crisis playbook.</t>
        </is>
      </c>
      <c r="J336" s="3" t="inlineStr">
        <is>
          <t>Maintain maturity for TMS support for carrier booking, route planning, tracking and delivery visibility. Monitor drift, keep evidence current, benchmark externally and refresh tests after major changes.</t>
        </is>
      </c>
      <c r="K336" s="3" t="inlineStr">
        <is>
          <t>Reduces exposure to IT outage; Decision failure; Process disruption; improves MES WMS TMS maturity, continuity and management visibility.</t>
        </is>
      </c>
      <c r="L336" s="3" t="n">
        <v>5</v>
      </c>
      <c r="M336" s="3" t="n">
        <v>5</v>
      </c>
      <c r="N336" s="3" t="n">
        <v>4</v>
      </c>
      <c r="O336" s="3" t="n">
        <v>3</v>
      </c>
      <c r="P336" s="3" t="n">
        <v>2</v>
      </c>
      <c r="Q336" s="3" t="n">
        <v>1</v>
      </c>
      <c r="R336" s="3" t="inlineStr">
        <is>
          <t>COBIT; ITIL 4; ISO/IEC 27001; ISO/IEC 20000-1; ERP/CRM/MES/HRMS implementation practices</t>
        </is>
      </c>
      <c r="S336" s="3" t="inlineStr">
        <is>
          <t>Policy/SOP; owner/RACI; system report; dashboard; contracts; test records; incident history; interview evidence related to TMS support for carrier booking, route planning, tracking and delivery visibility.</t>
        </is>
      </c>
      <c r="T336" s="3" t="inlineStr">
        <is>
          <t>IT outage; Decision failure; Process disruption</t>
        </is>
      </c>
      <c r="U336" s="3" t="inlineStr">
        <is>
          <t>CIO / Business Systems</t>
        </is>
      </c>
      <c r="V336" s="3" t="inlineStr">
        <is>
          <t>Business Systems!16</t>
        </is>
      </c>
    </row>
    <row r="337" ht="85.5" customHeight="1" s="209">
      <c r="A337" s="3" t="inlineStr">
        <is>
          <t>BUSI-014</t>
        </is>
      </c>
      <c r="B337" s="3" t="inlineStr">
        <is>
          <t>Business Systems</t>
        </is>
      </c>
      <c r="C337" s="3" t="inlineStr">
        <is>
          <t>HRMS and finance systems</t>
        </is>
      </c>
      <c r="D337" s="3" t="inlineStr">
        <is>
          <t>How mature is the organization in managing HRMS coverage for employee records, roles, skills, absence, payroll inputs and emergency contacts, including ownership, evidence, metrics, fallback procedures and crisis stress testing?</t>
        </is>
      </c>
      <c r="E337" s="3" t="inlineStr">
        <is>
          <t>Establish a basic owner and inventory for HRMS coverage for employee records, roles, skills, absence, payroll inputs and emergency contacts. Define minimum policy, evidence location and immediate crisis relevance.</t>
        </is>
      </c>
      <c r="F337" s="3" t="inlineStr">
        <is>
          <t>Document HRMS coverage for employee records, roles, skills, absence, payroll inputs and emergency contacts, assign RACI, define minimum controls/KPIs and collect evidence across the main business units or sites.</t>
        </is>
      </c>
      <c r="G337" s="3" t="inlineStr">
        <is>
          <t>Standardize HRMS coverage for employee records, roles, skills, absence, payroll inputs and emergency contacts across the organization, close coverage gaps, link it to crisis scenarios and train accountable roles.</t>
        </is>
      </c>
      <c r="H337" s="3" t="inlineStr">
        <is>
          <t>Measure HRMS coverage for employee records, roles, skills, absence, payroll inputs and emergency contacts, review it periodically, test it against disruption scenarios and integrate it with dependent processes or systems.</t>
        </is>
      </c>
      <c r="I337" s="3" t="inlineStr">
        <is>
          <t>Optimize and automate HRMS coverage for employee records, roles, skills, absence, payroll inputs and emergency contacts where practical, use leading indicators, run periodic stress tests and update the crisis playbook.</t>
        </is>
      </c>
      <c r="J337" s="3" t="inlineStr">
        <is>
          <t>Maintain maturity for HRMS coverage for employee records, roles, skills, absence, payroll inputs and emergency contacts. Monitor drift, keep evidence current, benchmark externally and refresh tests after major changes.</t>
        </is>
      </c>
      <c r="K337" s="3" t="inlineStr">
        <is>
          <t>Reduces exposure to IT outage; Decision failure; Process disruption; improves HRMS and finance systems maturity, continuity and management visibility.</t>
        </is>
      </c>
      <c r="L337" s="3" t="n">
        <v>5</v>
      </c>
      <c r="M337" s="3" t="n">
        <v>5</v>
      </c>
      <c r="N337" s="3" t="n">
        <v>4</v>
      </c>
      <c r="O337" s="3" t="n">
        <v>3</v>
      </c>
      <c r="P337" s="3" t="n">
        <v>2</v>
      </c>
      <c r="Q337" s="3" t="n">
        <v>1</v>
      </c>
      <c r="R337" s="3" t="inlineStr">
        <is>
          <t>COBIT; ITIL 4; ISO/IEC 27001; ISO/IEC 20000-1; ERP/CRM/MES/HRMS implementation practices</t>
        </is>
      </c>
      <c r="S337" s="3" t="inlineStr">
        <is>
          <t>Policy/SOP; owner/RACI; system report; dashboard; contracts; test records; incident history; interview evidence related to HRMS coverage for employee records, roles, skills, absence, payroll inputs and emergency contacts.</t>
        </is>
      </c>
      <c r="T337" s="3" t="inlineStr">
        <is>
          <t>IT outage; Decision failure; Process disruption</t>
        </is>
      </c>
      <c r="U337" s="3" t="inlineStr">
        <is>
          <t>CIO / Business Systems</t>
        </is>
      </c>
      <c r="V337" s="3" t="inlineStr">
        <is>
          <t>Business Systems!17</t>
        </is>
      </c>
    </row>
    <row r="338" ht="85.5" customHeight="1" s="209">
      <c r="A338" s="3" t="inlineStr">
        <is>
          <t>BUSI-015</t>
        </is>
      </c>
      <c r="B338" s="3" t="inlineStr">
        <is>
          <t>Business Systems</t>
        </is>
      </c>
      <c r="C338" s="3" t="inlineStr">
        <is>
          <t>HRMS and finance systems</t>
        </is>
      </c>
      <c r="D338" s="3" t="inlineStr">
        <is>
          <t>How mature is the organization in managing HRMS data quality for employee location, manager, emergency contacts and criticality, including ownership, evidence, metrics, fallback procedures and crisis stress testing?</t>
        </is>
      </c>
      <c r="E338" s="3" t="inlineStr">
        <is>
          <t>Establish a basic owner and inventory for HRMS data quality for employee location, manager, emergency contacts and criticality. Define minimum policy, evidence location and immediate crisis relevance.</t>
        </is>
      </c>
      <c r="F338" s="3" t="inlineStr">
        <is>
          <t>Document HRMS data quality for employee location, manager, emergency contacts and criticality, assign RACI, define minimum controls/KPIs and collect evidence across the main business units or sites.</t>
        </is>
      </c>
      <c r="G338" s="3" t="inlineStr">
        <is>
          <t>Standardize HRMS data quality for employee location, manager, emergency contacts and criticality across the organization, close coverage gaps, link it to crisis scenarios and train accountable roles.</t>
        </is>
      </c>
      <c r="H338" s="3" t="inlineStr">
        <is>
          <t>Measure HRMS data quality for employee location, manager, emergency contacts and criticality, review it periodically, test it against disruption scenarios and integrate it with dependent processes or systems.</t>
        </is>
      </c>
      <c r="I338" s="3" t="inlineStr">
        <is>
          <t>Optimize and automate HRMS data quality for employee location, manager, emergency contacts and criticality where practical, use leading indicators, run periodic stress tests and update the crisis playbook.</t>
        </is>
      </c>
      <c r="J338" s="3" t="inlineStr">
        <is>
          <t>Maintain maturity for HRMS data quality for employee location, manager, emergency contacts and criticality. Monitor drift, keep evidence current, benchmark externally and refresh tests after major changes.</t>
        </is>
      </c>
      <c r="K338" s="3" t="inlineStr">
        <is>
          <t>Reduces exposure to IT outage; Decision failure; Process disruption; improves HRMS and finance systems maturity, continuity and management visibility.</t>
        </is>
      </c>
      <c r="L338" s="3" t="n">
        <v>5</v>
      </c>
      <c r="M338" s="3" t="n">
        <v>5</v>
      </c>
      <c r="N338" s="3" t="n">
        <v>4</v>
      </c>
      <c r="O338" s="3" t="n">
        <v>3</v>
      </c>
      <c r="P338" s="3" t="n">
        <v>2</v>
      </c>
      <c r="Q338" s="3" t="n">
        <v>1</v>
      </c>
      <c r="R338" s="3" t="inlineStr">
        <is>
          <t>COBIT; ITIL 4; ISO/IEC 27001; ISO/IEC 20000-1; ERP/CRM/MES/HRMS implementation practices</t>
        </is>
      </c>
      <c r="S338" s="3" t="inlineStr">
        <is>
          <t>Policy/SOP; owner/RACI; system report; dashboard; contracts; test records; incident history; interview evidence related to HRMS data quality for employee location, manager, emergency contacts and criticality.</t>
        </is>
      </c>
      <c r="T338" s="3" t="inlineStr">
        <is>
          <t>IT outage; Decision failure; Process disruption</t>
        </is>
      </c>
      <c r="U338" s="3" t="inlineStr">
        <is>
          <t>CIO / Business Systems</t>
        </is>
      </c>
      <c r="V338" s="3" t="inlineStr">
        <is>
          <t>Business Systems!18</t>
        </is>
      </c>
    </row>
    <row r="339" ht="85.5" customHeight="1" s="209">
      <c r="A339" s="3" t="inlineStr">
        <is>
          <t>BUSI-016</t>
        </is>
      </c>
      <c r="B339" s="3" t="inlineStr">
        <is>
          <t>Business Systems</t>
        </is>
      </c>
      <c r="C339" s="3" t="inlineStr">
        <is>
          <t>HRMS and finance systems</t>
        </is>
      </c>
      <c r="D339" s="3" t="inlineStr">
        <is>
          <t>How mature is the organization in managing finance, banking, expense, payroll and procurement system integration or reconciliation, including ownership, evidence, metrics, fallback procedures and crisis stress testing?</t>
        </is>
      </c>
      <c r="E339" s="3" t="inlineStr">
        <is>
          <t>Establish a basic owner and inventory for finance, banking, expense, payroll and procurement system integration or reconciliation. Define minimum policy, evidence location and immediate crisis relevance.</t>
        </is>
      </c>
      <c r="F339" s="3" t="inlineStr">
        <is>
          <t>Document finance, banking, expense, payroll and procurement system integration or reconciliation, assign RACI, define minimum controls/KPIs and collect evidence across the main business units or sites.</t>
        </is>
      </c>
      <c r="G339" s="3" t="inlineStr">
        <is>
          <t>Standardize finance, banking, expense, payroll and procurement system integration or reconciliation across the organization, close coverage gaps, link it to crisis scenarios and train accountable roles.</t>
        </is>
      </c>
      <c r="H339" s="3" t="inlineStr">
        <is>
          <t>Measure finance, banking, expense, payroll and procurement system integration or reconciliation, review it periodically, test it against disruption scenarios and integrate it with dependent processes or systems.</t>
        </is>
      </c>
      <c r="I339" s="3" t="inlineStr">
        <is>
          <t>Optimize and automate finance, banking, expense, payroll and procurement system integration or reconciliation where practical, use leading indicators, run periodic stress tests and update the crisis playbook.</t>
        </is>
      </c>
      <c r="J339" s="3" t="inlineStr">
        <is>
          <t>Maintain maturity for finance, banking, expense, payroll and procurement system integration or reconciliation. Monitor drift, keep evidence current, benchmark externally and refresh tests after major changes.</t>
        </is>
      </c>
      <c r="K339" s="3" t="inlineStr">
        <is>
          <t>Reduces exposure to IT outage; Decision failure; Process disruption; improves HRMS and finance systems maturity, continuity and management visibility.</t>
        </is>
      </c>
      <c r="L339" s="3" t="n">
        <v>5</v>
      </c>
      <c r="M339" s="3" t="n">
        <v>5</v>
      </c>
      <c r="N339" s="3" t="n">
        <v>4</v>
      </c>
      <c r="O339" s="3" t="n">
        <v>3</v>
      </c>
      <c r="P339" s="3" t="n">
        <v>2</v>
      </c>
      <c r="Q339" s="3" t="n">
        <v>1</v>
      </c>
      <c r="R339" s="3" t="inlineStr">
        <is>
          <t>COBIT; ITIL 4; ISO/IEC 27001; ISO/IEC 20000-1; ERP/CRM/MES/HRMS implementation practices</t>
        </is>
      </c>
      <c r="S339" s="3" t="inlineStr">
        <is>
          <t>Policy/SOP; owner/RACI; system report; dashboard; contracts; test records; incident history; interview evidence related to finance, banking, expense, payroll and procurement system integration or reconciliation.</t>
        </is>
      </c>
      <c r="T339" s="3" t="inlineStr">
        <is>
          <t>IT outage; Decision failure; Process disruption</t>
        </is>
      </c>
      <c r="U339" s="3" t="inlineStr">
        <is>
          <t>CIO / Business Systems</t>
        </is>
      </c>
      <c r="V339" s="3" t="inlineStr">
        <is>
          <t>Business Systems!19</t>
        </is>
      </c>
    </row>
    <row r="340" ht="85.5" customHeight="1" s="209">
      <c r="A340" s="3" t="inlineStr">
        <is>
          <t>BUSI-018</t>
        </is>
      </c>
      <c r="B340" s="3" t="inlineStr">
        <is>
          <t>Business Systems</t>
        </is>
      </c>
      <c r="C340" s="3" t="inlineStr">
        <is>
          <t>Governance and lifecycle</t>
        </is>
      </c>
      <c r="D340" s="3" t="inlineStr">
        <is>
          <t>How mature is the organization in managing system ownership with business owner, technical owner, data owner and support owner, including ownership, evidence, metrics, fallback procedures and crisis stress testing?</t>
        </is>
      </c>
      <c r="E340" s="3" t="inlineStr">
        <is>
          <t>Establish a basic owner and inventory for system ownership with business owner, technical owner, data owner and support owner. Define minimum policy, evidence location and immediate crisis relevance.</t>
        </is>
      </c>
      <c r="F340" s="3" t="inlineStr">
        <is>
          <t>Document system ownership with business owner, technical owner, data owner and support owner, assign RACI, define minimum controls/KPIs and collect evidence across the main business units or sites.</t>
        </is>
      </c>
      <c r="G340" s="3" t="inlineStr">
        <is>
          <t>Standardize system ownership with business owner, technical owner, data owner and support owner across the organization, close coverage gaps, link it to crisis scenarios and train accountable roles.</t>
        </is>
      </c>
      <c r="H340" s="3" t="inlineStr">
        <is>
          <t>Measure system ownership with business owner, technical owner, data owner and support owner, review it periodically, test it against disruption scenarios and integrate it with dependent processes or systems.</t>
        </is>
      </c>
      <c r="I340" s="3" t="inlineStr">
        <is>
          <t>Optimize and automate system ownership with business owner, technical owner, data owner and support owner where practical, use leading indicators, run periodic stress tests and update the crisis playbook.</t>
        </is>
      </c>
      <c r="J340" s="3" t="inlineStr">
        <is>
          <t>Maintain maturity for system ownership with business owner, technical owner, data owner and support owner. Monitor drift, keep evidence current, benchmark externally and refresh tests after major changes.</t>
        </is>
      </c>
      <c r="K340" s="3" t="inlineStr">
        <is>
          <t>Reduces exposure to IT outage; Decision failure; Process disruption; improves Governance and lifecycle maturity, continuity and management visibility.</t>
        </is>
      </c>
      <c r="L340" s="3" t="n">
        <v>4</v>
      </c>
      <c r="M340" s="3" t="n">
        <v>4</v>
      </c>
      <c r="N340" s="3" t="n">
        <v>3</v>
      </c>
      <c r="O340" s="3" t="n">
        <v>2</v>
      </c>
      <c r="P340" s="3" t="n">
        <v>1</v>
      </c>
      <c r="Q340" s="3" t="n">
        <v>1</v>
      </c>
      <c r="R340" s="3" t="inlineStr">
        <is>
          <t>COBIT; ITIL 4; ISO/IEC 27001; ISO/IEC 20000-1; ERP/CRM/MES/HRMS implementation practices</t>
        </is>
      </c>
      <c r="S340" s="3" t="inlineStr">
        <is>
          <t>Policy/SOP; owner/RACI; system report; dashboard; contracts; test records; incident history; interview evidence related to system ownership with business owner, technical owner, data owner and support owner.</t>
        </is>
      </c>
      <c r="T340" s="3" t="inlineStr">
        <is>
          <t>IT outage; Decision failure; Process disruption</t>
        </is>
      </c>
      <c r="U340" s="3" t="inlineStr">
        <is>
          <t>CIO / Business Systems</t>
        </is>
      </c>
      <c r="V340" s="3" t="inlineStr">
        <is>
          <t>Business Systems!20</t>
        </is>
      </c>
    </row>
    <row r="341" ht="85.5" customHeight="1" s="209">
      <c r="A341" s="3" t="inlineStr">
        <is>
          <t>BUSI-019</t>
        </is>
      </c>
      <c r="B341" s="3" t="inlineStr">
        <is>
          <t>Business Systems</t>
        </is>
      </c>
      <c r="C341" s="3" t="inlineStr">
        <is>
          <t>Governance and lifecycle</t>
        </is>
      </c>
      <c r="D341" s="3" t="inlineStr">
        <is>
          <t>How mature is the organization in managing critical system lifecycle review for fit, cost, risk, security, scalability and replacement needs, including ownership, evidence, metrics, fallback procedures and crisis stress testing?</t>
        </is>
      </c>
      <c r="E341" s="3" t="inlineStr">
        <is>
          <t>Establish a basic owner and inventory for critical system lifecycle review for fit, cost, risk, security, scalability and replacement needs. Define minimum policy, evidence location and immediate crisis relevance.</t>
        </is>
      </c>
      <c r="F341" s="3" t="inlineStr">
        <is>
          <t>Document critical system lifecycle review for fit, cost, risk, security, scalability and replacement needs, assign RACI, define minimum controls/KPIs and collect evidence across the main business units or sites.</t>
        </is>
      </c>
      <c r="G341" s="3" t="inlineStr">
        <is>
          <t>Standardize critical system lifecycle review for fit, cost, risk, security, scalability and replacement needs across the organization, close coverage gaps, link it to crisis scenarios and train accountable roles.</t>
        </is>
      </c>
      <c r="H341" s="3" t="inlineStr">
        <is>
          <t>Measure critical system lifecycle review for fit, cost, risk, security, scalability and replacement needs, review it periodically, test it against disruption scenarios and integrate it with dependent processes or systems.</t>
        </is>
      </c>
      <c r="I341" s="3" t="inlineStr">
        <is>
          <t>Optimize and automate critical system lifecycle review for fit, cost, risk, security, scalability and replacement needs where practical, use leading indicators, run periodic stress tests and update the crisis playbook.</t>
        </is>
      </c>
      <c r="J341" s="3" t="inlineStr">
        <is>
          <t>Maintain maturity for critical system lifecycle review for fit, cost, risk, security, scalability and replacement needs. Monitor drift, keep evidence current, benchmark externally and refresh tests after major changes.</t>
        </is>
      </c>
      <c r="K341" s="3" t="inlineStr">
        <is>
          <t>Reduces exposure to IT outage; Decision failure; Process disruption; improves Governance and lifecycle maturity, continuity and management visibility.</t>
        </is>
      </c>
      <c r="L341" s="3" t="n">
        <v>5</v>
      </c>
      <c r="M341" s="3" t="n">
        <v>5</v>
      </c>
      <c r="N341" s="3" t="n">
        <v>4</v>
      </c>
      <c r="O341" s="3" t="n">
        <v>3</v>
      </c>
      <c r="P341" s="3" t="n">
        <v>2</v>
      </c>
      <c r="Q341" s="3" t="n">
        <v>1</v>
      </c>
      <c r="R341" s="3" t="inlineStr">
        <is>
          <t>COBIT; ITIL 4; ISO/IEC 27001; ISO/IEC 20000-1; ERP/CRM/MES/HRMS implementation practices</t>
        </is>
      </c>
      <c r="S341" s="3" t="inlineStr">
        <is>
          <t>Policy/SOP; owner/RACI; system report; dashboard; contracts; test records; incident history; interview evidence related to critical system lifecycle review for fit, cost, risk, security, scalability and replacement needs.</t>
        </is>
      </c>
      <c r="T341" s="3" t="inlineStr">
        <is>
          <t>IT outage; Decision failure; Process disruption</t>
        </is>
      </c>
      <c r="U341" s="3" t="inlineStr">
        <is>
          <t>CIO / Business Systems</t>
        </is>
      </c>
      <c r="V341" s="3" t="inlineStr">
        <is>
          <t>Business Systems!21</t>
        </is>
      </c>
    </row>
    <row r="342" ht="85.5" customHeight="1" s="209">
      <c r="A342" s="3" t="inlineStr">
        <is>
          <t>BUSI-020</t>
        </is>
      </c>
      <c r="B342" s="3" t="inlineStr">
        <is>
          <t>Business Systems</t>
        </is>
      </c>
      <c r="C342" s="3" t="inlineStr">
        <is>
          <t>Governance and lifecycle</t>
        </is>
      </c>
      <c r="D342" s="3" t="inlineStr">
        <is>
          <t>How mature is the organization in managing shadow IT inventory for business-critical spreadsheets, scripts, low-code apps and unmanaged SaaS, including ownership, evidence, metrics, fallback procedures and crisis stress testing?</t>
        </is>
      </c>
      <c r="E342" s="3" t="inlineStr">
        <is>
          <t>Establish a basic owner and inventory for shadow IT inventory for business-critical spreadsheets, scripts, low-code apps and unmanaged SaaS. Define minimum policy, evidence location and immediate crisis relevance.</t>
        </is>
      </c>
      <c r="F342" s="3" t="inlineStr">
        <is>
          <t>Document shadow IT inventory for business-critical spreadsheets, scripts, low-code apps and unmanaged SaaS, assign RACI, define minimum controls/KPIs and collect evidence across the main business units or sites.</t>
        </is>
      </c>
      <c r="G342" s="3" t="inlineStr">
        <is>
          <t>Standardize shadow IT inventory for business-critical spreadsheets, scripts, low-code apps and unmanaged SaaS across the organization, close coverage gaps, link it to crisis scenarios and train accountable roles.</t>
        </is>
      </c>
      <c r="H342" s="3" t="inlineStr">
        <is>
          <t>Measure shadow IT inventory for business-critical spreadsheets, scripts, low-code apps and unmanaged SaaS, review it periodically, test it against disruption scenarios and integrate it with dependent processes or systems.</t>
        </is>
      </c>
      <c r="I342" s="3" t="inlineStr">
        <is>
          <t>Optimize and automate shadow IT inventory for business-critical spreadsheets, scripts, low-code apps and unmanaged SaaS where practical, use leading indicators, run periodic stress tests and update the crisis playbook.</t>
        </is>
      </c>
      <c r="J342" s="3" t="inlineStr">
        <is>
          <t>Maintain maturity for shadow IT inventory for business-critical spreadsheets, scripts, low-code apps and unmanaged SaaS. Monitor drift, keep evidence current, benchmark externally and refresh tests after major changes.</t>
        </is>
      </c>
      <c r="K342" s="3" t="inlineStr">
        <is>
          <t>Reduces exposure to IT outage; Decision failure; Process disruption; improves Governance and lifecycle maturity, continuity and management visibility.</t>
        </is>
      </c>
      <c r="L342" s="3" t="n">
        <v>4</v>
      </c>
      <c r="M342" s="3" t="n">
        <v>4</v>
      </c>
      <c r="N342" s="3" t="n">
        <v>3</v>
      </c>
      <c r="O342" s="3" t="n">
        <v>2</v>
      </c>
      <c r="P342" s="3" t="n">
        <v>1</v>
      </c>
      <c r="Q342" s="3" t="n">
        <v>1</v>
      </c>
      <c r="R342" s="3" t="inlineStr">
        <is>
          <t>COBIT; ITIL 4; ISO/IEC 27001; ISO/IEC 20000-1; ERP/CRM/MES/HRMS implementation practices</t>
        </is>
      </c>
      <c r="S342" s="3" t="inlineStr">
        <is>
          <t>Policy/SOP; owner/RACI; system report; dashboard; contracts; test records; incident history; interview evidence related to shadow IT inventory for business-critical spreadsheets, scripts, low-code apps and unmanaged SaaS.</t>
        </is>
      </c>
      <c r="T342" s="3" t="inlineStr">
        <is>
          <t>IT outage; Decision failure; Process disruption</t>
        </is>
      </c>
      <c r="U342" s="3" t="inlineStr">
        <is>
          <t>CIO / Business Systems</t>
        </is>
      </c>
      <c r="V342" s="3" t="inlineStr">
        <is>
          <t>Business Systems!22</t>
        </is>
      </c>
    </row>
    <row r="343" ht="85.5" customHeight="1" s="209">
      <c r="A343" s="3" t="inlineStr">
        <is>
          <t>BUSI-021</t>
        </is>
      </c>
      <c r="B343" s="3" t="inlineStr">
        <is>
          <t>Business Systems</t>
        </is>
      </c>
      <c r="C343" s="3" t="inlineStr">
        <is>
          <t>Governance and lifecycle</t>
        </is>
      </c>
      <c r="D343" s="3" t="inlineStr">
        <is>
          <t>How mature is the organization in managing admin account governance across ERP, CRM, HRMS, MES, BI and SaaS tools, including ownership, evidence, metrics, fallback procedures and crisis stress testing?</t>
        </is>
      </c>
      <c r="E343" s="3" t="inlineStr">
        <is>
          <t>Establish a basic owner and inventory for admin account governance across ERP, CRM, HRMS, MES, BI and SaaS tools. Define minimum policy, evidence location and immediate crisis relevance.</t>
        </is>
      </c>
      <c r="F343" s="3" t="inlineStr">
        <is>
          <t>Document admin account governance across ERP, CRM, HRMS, MES, BI and SaaS tools, assign RACI, define minimum controls/KPIs and collect evidence across the main business units or sites.</t>
        </is>
      </c>
      <c r="G343" s="3" t="inlineStr">
        <is>
          <t>Standardize admin account governance across ERP, CRM, HRMS, MES, BI and SaaS tools across the organization, close coverage gaps, link it to crisis scenarios and train accountable roles.</t>
        </is>
      </c>
      <c r="H343" s="3" t="inlineStr">
        <is>
          <t>Measure admin account governance across ERP, CRM, HRMS, MES, BI and SaaS tools, review it periodically, test it against disruption scenarios and integrate it with dependent processes or systems.</t>
        </is>
      </c>
      <c r="I343" s="3" t="inlineStr">
        <is>
          <t>Optimize and automate admin account governance across ERP, CRM, HRMS, MES, BI and SaaS tools where practical, use leading indicators, run periodic stress tests and update the crisis playbook.</t>
        </is>
      </c>
      <c r="J343" s="3" t="inlineStr">
        <is>
          <t>Maintain maturity for admin account governance across ERP, CRM, HRMS, MES, BI and SaaS tools. Monitor drift, keep evidence current, benchmark externally and refresh tests after major changes.</t>
        </is>
      </c>
      <c r="K343" s="3" t="inlineStr">
        <is>
          <t>Reduces exposure to IT outage; Decision failure; Process disruption; improves Governance and lifecycle maturity, continuity and management visibility.</t>
        </is>
      </c>
      <c r="L343" s="3" t="n">
        <v>5</v>
      </c>
      <c r="M343" s="3" t="n">
        <v>5</v>
      </c>
      <c r="N343" s="3" t="n">
        <v>4</v>
      </c>
      <c r="O343" s="3" t="n">
        <v>3</v>
      </c>
      <c r="P343" s="3" t="n">
        <v>2</v>
      </c>
      <c r="Q343" s="3" t="n">
        <v>1</v>
      </c>
      <c r="R343" s="3" t="inlineStr">
        <is>
          <t>COBIT; ITIL 4; ISO/IEC 27001; ISO/IEC 20000-1; ERP/CRM/MES/HRMS implementation practices</t>
        </is>
      </c>
      <c r="S343" s="3" t="inlineStr">
        <is>
          <t>Policy/SOP; owner/RACI; system report; dashboard; contracts; test records; incident history; interview evidence related to admin account governance across ERP, CRM, HRMS, MES, BI and SaaS tools.</t>
        </is>
      </c>
      <c r="T343" s="3" t="inlineStr">
        <is>
          <t>IT outage; Decision failure; Process disruption</t>
        </is>
      </c>
      <c r="U343" s="3" t="inlineStr">
        <is>
          <t>CIO / Business Systems</t>
        </is>
      </c>
      <c r="V343" s="3" t="inlineStr">
        <is>
          <t>Business Systems!23</t>
        </is>
      </c>
    </row>
    <row r="344" ht="71.25" customHeight="1" s="209">
      <c r="A344" s="3" t="inlineStr">
        <is>
          <t>BUSI-022</t>
        </is>
      </c>
      <c r="B344" s="3" t="inlineStr">
        <is>
          <t>Business Systems</t>
        </is>
      </c>
      <c r="C344" s="3" t="inlineStr">
        <is>
          <t>Governance and lifecycle</t>
        </is>
      </c>
      <c r="D344" s="3" t="inlineStr">
        <is>
          <t>How mature is the organization in managing data portability and export procedures for critical systems, including ownership, evidence, metrics, fallback procedures and crisis stress testing?</t>
        </is>
      </c>
      <c r="E344" s="3" t="inlineStr">
        <is>
          <t>Establish a basic owner and inventory for data portability and export procedures for critical systems. Define minimum policy, evidence location and immediate crisis relevance.</t>
        </is>
      </c>
      <c r="F344" s="3" t="inlineStr">
        <is>
          <t>Document data portability and export procedures for critical systems, assign RACI, define minimum controls/KPIs and collect evidence across the main business units or sites.</t>
        </is>
      </c>
      <c r="G344" s="3" t="inlineStr">
        <is>
          <t>Standardize data portability and export procedures for critical systems across the organization, close coverage gaps, link it to crisis scenarios and train accountable roles.</t>
        </is>
      </c>
      <c r="H344" s="3" t="inlineStr">
        <is>
          <t>Measure data portability and export procedures for critical systems, review it periodically, test it against disruption scenarios and integrate it with dependent processes or systems.</t>
        </is>
      </c>
      <c r="I344" s="3" t="inlineStr">
        <is>
          <t>Optimize and automate data portability and export procedures for critical systems where practical, use leading indicators, run periodic stress tests and update the crisis playbook.</t>
        </is>
      </c>
      <c r="J344" s="3" t="inlineStr">
        <is>
          <t>Maintain maturity for data portability and export procedures for critical systems. Monitor drift, keep evidence current, benchmark externally and refresh tests after major changes.</t>
        </is>
      </c>
      <c r="K344" s="3" t="inlineStr">
        <is>
          <t>Reduces exposure to IT outage; Decision failure; Process disruption; improves Governance and lifecycle maturity, continuity and management visibility.</t>
        </is>
      </c>
      <c r="L344" s="3" t="n">
        <v>5</v>
      </c>
      <c r="M344" s="3" t="n">
        <v>5</v>
      </c>
      <c r="N344" s="3" t="n">
        <v>4</v>
      </c>
      <c r="O344" s="3" t="n">
        <v>3</v>
      </c>
      <c r="P344" s="3" t="n">
        <v>2</v>
      </c>
      <c r="Q344" s="3" t="n">
        <v>1</v>
      </c>
      <c r="R344" s="3" t="inlineStr">
        <is>
          <t>COBIT; ITIL 4; ISO/IEC 27001; ISO/IEC 20000-1; ERP/CRM/MES/HRMS implementation practices</t>
        </is>
      </c>
      <c r="S344" s="3" t="inlineStr">
        <is>
          <t>Policy/SOP; owner/RACI; system report; dashboard; contracts; test records; incident history; interview evidence related to data portability and export procedures for critical systems.</t>
        </is>
      </c>
      <c r="T344" s="3" t="inlineStr">
        <is>
          <t>IT outage; Decision failure; Process disruption</t>
        </is>
      </c>
      <c r="U344" s="3" t="inlineStr">
        <is>
          <t>CIO / Business Systems</t>
        </is>
      </c>
      <c r="V344" s="3" t="inlineStr">
        <is>
          <t>Business Systems!24</t>
        </is>
      </c>
    </row>
    <row r="345" ht="85.5" customHeight="1" s="209">
      <c r="A345" s="3" t="inlineStr">
        <is>
          <t>BUSI-023</t>
        </is>
      </c>
      <c r="B345" s="3" t="inlineStr">
        <is>
          <t>Business Systems</t>
        </is>
      </c>
      <c r="C345" s="3" t="inlineStr">
        <is>
          <t>Governance and lifecycle</t>
        </is>
      </c>
      <c r="D345" s="3" t="inlineStr">
        <is>
          <t>How mature is the organization in managing configuration and customization documentation for critical business systems, including ownership, evidence, metrics, fallback procedures and crisis stress testing?</t>
        </is>
      </c>
      <c r="E345" s="3" t="inlineStr">
        <is>
          <t>Establish a basic owner and inventory for configuration and customization documentation for critical business systems. Define minimum policy, evidence location and immediate crisis relevance.</t>
        </is>
      </c>
      <c r="F345" s="3" t="inlineStr">
        <is>
          <t>Document configuration and customization documentation for critical business systems, assign RACI, define minimum controls/KPIs and collect evidence across the main business units or sites.</t>
        </is>
      </c>
      <c r="G345" s="3" t="inlineStr">
        <is>
          <t>Standardize configuration and customization documentation for critical business systems across the organization, close coverage gaps, link it to crisis scenarios and train accountable roles.</t>
        </is>
      </c>
      <c r="H345" s="3" t="inlineStr">
        <is>
          <t>Measure configuration and customization documentation for critical business systems, review it periodically, test it against disruption scenarios and integrate it with dependent processes or systems.</t>
        </is>
      </c>
      <c r="I345" s="3" t="inlineStr">
        <is>
          <t>Optimize and automate configuration and customization documentation for critical business systems where practical, use leading indicators, run periodic stress tests and update the crisis playbook.</t>
        </is>
      </c>
      <c r="J345" s="3" t="inlineStr">
        <is>
          <t>Maintain maturity for configuration and customization documentation for critical business systems. Monitor drift, keep evidence current, benchmark externally and refresh tests after major changes.</t>
        </is>
      </c>
      <c r="K345" s="3" t="inlineStr">
        <is>
          <t>Reduces exposure to IT outage; Decision failure; Process disruption; improves Governance and lifecycle maturity, continuity and management visibility.</t>
        </is>
      </c>
      <c r="L345" s="3" t="n">
        <v>4</v>
      </c>
      <c r="M345" s="3" t="n">
        <v>4</v>
      </c>
      <c r="N345" s="3" t="n">
        <v>3</v>
      </c>
      <c r="O345" s="3" t="n">
        <v>2</v>
      </c>
      <c r="P345" s="3" t="n">
        <v>1</v>
      </c>
      <c r="Q345" s="3" t="n">
        <v>1</v>
      </c>
      <c r="R345" s="3" t="inlineStr">
        <is>
          <t>COBIT; ITIL 4; ISO/IEC 27001; ISO/IEC 20000-1; ERP/CRM/MES/HRMS implementation practices</t>
        </is>
      </c>
      <c r="S345" s="3" t="inlineStr">
        <is>
          <t>Policy/SOP; owner/RACI; system report; dashboard; contracts; test records; incident history; interview evidence related to configuration and customization documentation for critical business systems.</t>
        </is>
      </c>
      <c r="T345" s="3" t="inlineStr">
        <is>
          <t>IT outage; Decision failure; Process disruption</t>
        </is>
      </c>
      <c r="U345" s="3" t="inlineStr">
        <is>
          <t>CIO / Business Systems</t>
        </is>
      </c>
      <c r="V345" s="3" t="inlineStr">
        <is>
          <t>Business Systems!25</t>
        </is>
      </c>
    </row>
    <row r="346" ht="71.25" customHeight="1" s="209">
      <c r="A346" s="3" t="inlineStr">
        <is>
          <t>DATA-001</t>
        </is>
      </c>
      <c r="B346" s="3" t="inlineStr">
        <is>
          <t>Data BI AI</t>
        </is>
      </c>
      <c r="C346" s="3" t="inlineStr">
        <is>
          <t>Data governance</t>
        </is>
      </c>
      <c r="D346" s="3" t="inlineStr">
        <is>
          <t>How mature is the organization in managing data owners and stewards for critical data domains, including ownership, evidence, metrics, fallback procedures and crisis stress testing?</t>
        </is>
      </c>
      <c r="E346" s="3" t="inlineStr">
        <is>
          <t>Establish a basic owner and inventory for data owners and stewards for critical data domains. Define minimum policy, evidence location and immediate crisis relevance.</t>
        </is>
      </c>
      <c r="F346" s="3" t="inlineStr">
        <is>
          <t>Document data owners and stewards for critical data domains, assign RACI, define minimum controls/KPIs and collect evidence across the main business units or sites.</t>
        </is>
      </c>
      <c r="G346" s="3" t="inlineStr">
        <is>
          <t>Standardize data owners and stewards for critical data domains across the organization, close coverage gaps, link it to crisis scenarios and train accountable roles.</t>
        </is>
      </c>
      <c r="H346" s="3" t="inlineStr">
        <is>
          <t>Measure data owners and stewards for critical data domains, review it periodically, test it against disruption scenarios and integrate it with dependent processes or systems.</t>
        </is>
      </c>
      <c r="I346" s="3" t="inlineStr">
        <is>
          <t>Optimize and automate data owners and stewards for critical data domains where practical, use leading indicators, run periodic stress tests and update the crisis playbook.</t>
        </is>
      </c>
      <c r="J346" s="3" t="inlineStr">
        <is>
          <t>Maintain maturity for data owners and stewards for critical data domains. Monitor drift, keep evidence current, benchmark externally and refresh tests after major changes.</t>
        </is>
      </c>
      <c r="K346" s="3" t="inlineStr">
        <is>
          <t>Reduces exposure to Decision failure; Data loss; Regulatory/legal shock; improves Data governance maturity, continuity and management visibility.</t>
        </is>
      </c>
      <c r="L346" s="3" t="n">
        <v>5</v>
      </c>
      <c r="M346" s="3" t="n">
        <v>5</v>
      </c>
      <c r="N346" s="3" t="n">
        <v>4</v>
      </c>
      <c r="O346" s="3" t="n">
        <v>3</v>
      </c>
      <c r="P346" s="3" t="n">
        <v>2</v>
      </c>
      <c r="Q346" s="3" t="n">
        <v>1</v>
      </c>
      <c r="R346" s="3" t="inlineStr">
        <is>
          <t>DAMA-DMBOK; ISO/IEC 38505; ISO/IEC 42001; ISO/IEC 23894; NIST AI RMF; DCAM</t>
        </is>
      </c>
      <c r="S346" s="3" t="inlineStr">
        <is>
          <t>Policy/SOP; owner/RACI; system report; dashboard; contracts; test records; incident history; interview evidence related to data owners and stewards for critical data domains.</t>
        </is>
      </c>
      <c r="T346" s="3" t="inlineStr">
        <is>
          <t>Decision failure; Data loss; Regulatory/legal shock</t>
        </is>
      </c>
      <c r="U346" s="3" t="inlineStr">
        <is>
          <t>CDO / BI / Analytics</t>
        </is>
      </c>
      <c r="V346" s="3" t="inlineStr">
        <is>
          <t>Data BI AI!5</t>
        </is>
      </c>
    </row>
    <row r="347" ht="71.25" customHeight="1" s="209">
      <c r="A347" s="3" t="inlineStr">
        <is>
          <t>DATA-002</t>
        </is>
      </c>
      <c r="B347" s="3" t="inlineStr">
        <is>
          <t>Data BI AI</t>
        </is>
      </c>
      <c r="C347" s="3" t="inlineStr">
        <is>
          <t>Data governance</t>
        </is>
      </c>
      <c r="D347" s="3" t="inlineStr">
        <is>
          <t>How mature is the organization in managing data catalog of critical datasets, reports, dashboards, data sources and users, including ownership, evidence, metrics, fallback procedures and crisis stress testing?</t>
        </is>
      </c>
      <c r="E347" s="3" t="inlineStr">
        <is>
          <t>Establish a basic owner and inventory for data catalog of critical datasets, reports, dashboards, data sources and users. Define minimum policy, evidence location and immediate crisis relevance.</t>
        </is>
      </c>
      <c r="F347" s="3" t="inlineStr">
        <is>
          <t>Document data catalog of critical datasets, reports, dashboards, data sources and users, assign RACI, define minimum controls/KPIs and collect evidence across the main business units or sites.</t>
        </is>
      </c>
      <c r="G347" s="3" t="inlineStr">
        <is>
          <t>Standardize data catalog of critical datasets, reports, dashboards, data sources and users across the organization, close coverage gaps, link it to crisis scenarios and train accountable roles.</t>
        </is>
      </c>
      <c r="H347" s="3" t="inlineStr">
        <is>
          <t>Measure data catalog of critical datasets, reports, dashboards, data sources and users, review it periodically, test it against disruption scenarios and integrate it with dependent processes or systems.</t>
        </is>
      </c>
      <c r="I347" s="3" t="inlineStr">
        <is>
          <t>Optimize and automate data catalog of critical datasets, reports, dashboards, data sources and users where practical, use leading indicators, run periodic stress tests and update the crisis playbook.</t>
        </is>
      </c>
      <c r="J347" s="3" t="inlineStr">
        <is>
          <t>Maintain maturity for data catalog of critical datasets, reports, dashboards, data sources and users. Monitor drift, keep evidence current, benchmark externally and refresh tests after major changes.</t>
        </is>
      </c>
      <c r="K347" s="3" t="inlineStr">
        <is>
          <t>Reduces exposure to Decision failure; Data loss; Regulatory/legal shock; improves Data governance maturity, continuity and management visibility.</t>
        </is>
      </c>
      <c r="L347" s="3" t="n">
        <v>5</v>
      </c>
      <c r="M347" s="3" t="n">
        <v>5</v>
      </c>
      <c r="N347" s="3" t="n">
        <v>4</v>
      </c>
      <c r="O347" s="3" t="n">
        <v>3</v>
      </c>
      <c r="P347" s="3" t="n">
        <v>2</v>
      </c>
      <c r="Q347" s="3" t="n">
        <v>1</v>
      </c>
      <c r="R347" s="3" t="inlineStr">
        <is>
          <t>DAMA-DMBOK; ISO/IEC 38505; ISO/IEC 42001; ISO/IEC 23894; NIST AI RMF; DCAM</t>
        </is>
      </c>
      <c r="S347" s="3" t="inlineStr">
        <is>
          <t>Policy/SOP; owner/RACI; system report; dashboard; contracts; test records; incident history; interview evidence related to data catalog of critical datasets, reports, dashboards, data sources and users.</t>
        </is>
      </c>
      <c r="T347" s="3" t="inlineStr">
        <is>
          <t>Decision failure; Data loss; Regulatory/legal shock</t>
        </is>
      </c>
      <c r="U347" s="3" t="inlineStr">
        <is>
          <t>CDO / BI / Analytics</t>
        </is>
      </c>
      <c r="V347" s="3" t="inlineStr">
        <is>
          <t>Data BI AI!6</t>
        </is>
      </c>
    </row>
    <row r="348" ht="85.5" customHeight="1" s="209">
      <c r="A348" s="3" t="inlineStr">
        <is>
          <t>DATA-003</t>
        </is>
      </c>
      <c r="B348" s="3" t="inlineStr">
        <is>
          <t>Data BI AI</t>
        </is>
      </c>
      <c r="C348" s="3" t="inlineStr">
        <is>
          <t>Data governance</t>
        </is>
      </c>
      <c r="D348" s="3" t="inlineStr">
        <is>
          <t>How mature is the organization in managing consistent metric definitions across finance, sales, operations, HR, supply chain and manufacturing, including ownership, evidence, metrics, fallback procedures and crisis stress testing?</t>
        </is>
      </c>
      <c r="E348" s="3" t="inlineStr">
        <is>
          <t>Establish a basic owner and inventory for consistent metric definitions across finance, sales, operations, HR, supply chain and manufacturing. Define minimum policy, evidence location and immediate crisis relevance.</t>
        </is>
      </c>
      <c r="F348" s="3" t="inlineStr">
        <is>
          <t>Document consistent metric definitions across finance, sales, operations, HR, supply chain and manufacturing, assign RACI, define minimum controls/KPIs and collect evidence across the main business units or sites.</t>
        </is>
      </c>
      <c r="G348" s="3" t="inlineStr">
        <is>
          <t>Standardize consistent metric definitions across finance, sales, operations, HR, supply chain and manufacturing across the organization, close coverage gaps, link it to crisis scenarios and train accountable roles.</t>
        </is>
      </c>
      <c r="H348" s="3" t="inlineStr">
        <is>
          <t>Measure consistent metric definitions across finance, sales, operations, HR, supply chain and manufacturing, review it periodically, test it against disruption scenarios and integrate it with dependent processes or systems.</t>
        </is>
      </c>
      <c r="I348" s="3" t="inlineStr">
        <is>
          <t>Optimize and automate consistent metric definitions across finance, sales, operations, HR, supply chain and manufacturing where practical, use leading indicators, run periodic stress tests and update the crisis playbook.</t>
        </is>
      </c>
      <c r="J348" s="3" t="inlineStr">
        <is>
          <t>Maintain maturity for consistent metric definitions across finance, sales, operations, HR, supply chain and manufacturing. Monitor drift, keep evidence current, benchmark externally and refresh tests after major changes.</t>
        </is>
      </c>
      <c r="K348" s="3" t="inlineStr">
        <is>
          <t>Reduces exposure to Decision failure; Data loss; Regulatory/legal shock; improves Data governance maturity, continuity and management visibility.</t>
        </is>
      </c>
      <c r="L348" s="3" t="n">
        <v>5</v>
      </c>
      <c r="M348" s="3" t="n">
        <v>5</v>
      </c>
      <c r="N348" s="3" t="n">
        <v>4</v>
      </c>
      <c r="O348" s="3" t="n">
        <v>3</v>
      </c>
      <c r="P348" s="3" t="n">
        <v>2</v>
      </c>
      <c r="Q348" s="3" t="n">
        <v>1</v>
      </c>
      <c r="R348" s="3" t="inlineStr">
        <is>
          <t>DAMA-DMBOK; ISO/IEC 38505; ISO/IEC 42001; ISO/IEC 23894; NIST AI RMF; DCAM</t>
        </is>
      </c>
      <c r="S348" s="3" t="inlineStr">
        <is>
          <t>Policy/SOP; owner/RACI; system report; dashboard; contracts; test records; incident history; interview evidence related to consistent metric definitions across finance, sales, operations, HR, supply chain and manufacturing.</t>
        </is>
      </c>
      <c r="T348" s="3" t="inlineStr">
        <is>
          <t>Decision failure; Data loss; Regulatory/legal shock</t>
        </is>
      </c>
      <c r="U348" s="3" t="inlineStr">
        <is>
          <t>CDO / BI / Analytics</t>
        </is>
      </c>
      <c r="V348" s="3" t="inlineStr">
        <is>
          <t>Data BI AI!7</t>
        </is>
      </c>
    </row>
    <row r="349" ht="71.25" customHeight="1" s="209">
      <c r="A349" s="3" t="inlineStr">
        <is>
          <t>DATA-004</t>
        </is>
      </c>
      <c r="B349" s="3" t="inlineStr">
        <is>
          <t>Data BI AI</t>
        </is>
      </c>
      <c r="C349" s="3" t="inlineStr">
        <is>
          <t>Data governance</t>
        </is>
      </c>
      <c r="D349" s="3" t="inlineStr">
        <is>
          <t>How mature is the organization in managing data quality rules, monitoring and issue resolution process, including ownership, evidence, metrics, fallback procedures and crisis stress testing?</t>
        </is>
      </c>
      <c r="E349" s="3" t="inlineStr">
        <is>
          <t>Establish a basic owner and inventory for data quality rules, monitoring and issue resolution process. Define minimum policy, evidence location and immediate crisis relevance.</t>
        </is>
      </c>
      <c r="F349" s="3" t="inlineStr">
        <is>
          <t>Document data quality rules, monitoring and issue resolution process, assign RACI, define minimum controls/KPIs and collect evidence across the main business units or sites.</t>
        </is>
      </c>
      <c r="G349" s="3" t="inlineStr">
        <is>
          <t>Standardize data quality rules, monitoring and issue resolution process across the organization, close coverage gaps, link it to crisis scenarios and train accountable roles.</t>
        </is>
      </c>
      <c r="H349" s="3" t="inlineStr">
        <is>
          <t>Measure data quality rules, monitoring and issue resolution process, review it periodically, test it against disruption scenarios and integrate it with dependent processes or systems.</t>
        </is>
      </c>
      <c r="I349" s="3" t="inlineStr">
        <is>
          <t>Optimize and automate data quality rules, monitoring and issue resolution process where practical, use leading indicators, run periodic stress tests and update the crisis playbook.</t>
        </is>
      </c>
      <c r="J349" s="3" t="inlineStr">
        <is>
          <t>Maintain maturity for data quality rules, monitoring and issue resolution process. Monitor drift, keep evidence current, benchmark externally and refresh tests after major changes.</t>
        </is>
      </c>
      <c r="K349" s="3" t="inlineStr">
        <is>
          <t>Reduces exposure to Decision failure; Data loss; Regulatory/legal shock; improves Data governance maturity, continuity and management visibility.</t>
        </is>
      </c>
      <c r="L349" s="3" t="n">
        <v>5</v>
      </c>
      <c r="M349" s="3" t="n">
        <v>5</v>
      </c>
      <c r="N349" s="3" t="n">
        <v>4</v>
      </c>
      <c r="O349" s="3" t="n">
        <v>3</v>
      </c>
      <c r="P349" s="3" t="n">
        <v>2</v>
      </c>
      <c r="Q349" s="3" t="n">
        <v>1</v>
      </c>
      <c r="R349" s="3" t="inlineStr">
        <is>
          <t>DAMA-DMBOK; ISO/IEC 38505; ISO/IEC 42001; ISO/IEC 23894; NIST AI RMF; DCAM</t>
        </is>
      </c>
      <c r="S349" s="3" t="inlineStr">
        <is>
          <t>Policy/SOP; owner/RACI; system report; dashboard; contracts; test records; incident history; interview evidence related to data quality rules, monitoring and issue resolution process.</t>
        </is>
      </c>
      <c r="T349" s="3" t="inlineStr">
        <is>
          <t>Decision failure; Data loss; Regulatory/legal shock</t>
        </is>
      </c>
      <c r="U349" s="3" t="inlineStr">
        <is>
          <t>CDO / BI / Analytics</t>
        </is>
      </c>
      <c r="V349" s="3" t="inlineStr">
        <is>
          <t>Data BI AI!8</t>
        </is>
      </c>
    </row>
    <row r="350" ht="85.5" customHeight="1" s="209">
      <c r="A350" s="3" t="inlineStr">
        <is>
          <t>DATA-005</t>
        </is>
      </c>
      <c r="B350" s="3" t="inlineStr">
        <is>
          <t>Data BI AI</t>
        </is>
      </c>
      <c r="C350" s="3" t="inlineStr">
        <is>
          <t>Data governance</t>
        </is>
      </c>
      <c r="D350" s="3" t="inlineStr">
        <is>
          <t>How mature is the organization in managing data classification by sensitivity, business criticality, privacy and retention requirement, including ownership, evidence, metrics, fallback procedures and crisis stress testing?</t>
        </is>
      </c>
      <c r="E350" s="3" t="inlineStr">
        <is>
          <t>Establish a basic owner and inventory for data classification by sensitivity, business criticality, privacy and retention requirement. Define minimum policy, evidence location and immediate crisis relevance.</t>
        </is>
      </c>
      <c r="F350" s="3" t="inlineStr">
        <is>
          <t>Document data classification by sensitivity, business criticality, privacy and retention requirement, assign RACI, define minimum controls/KPIs and collect evidence across the main business units or sites.</t>
        </is>
      </c>
      <c r="G350" s="3" t="inlineStr">
        <is>
          <t>Standardize data classification by sensitivity, business criticality, privacy and retention requirement across the organization, close coverage gaps, link it to crisis scenarios and train accountable roles.</t>
        </is>
      </c>
      <c r="H350" s="3" t="inlineStr">
        <is>
          <t>Measure data classification by sensitivity, business criticality, privacy and retention requirement, review it periodically, test it against disruption scenarios and integrate it with dependent processes or systems.</t>
        </is>
      </c>
      <c r="I350" s="3" t="inlineStr">
        <is>
          <t>Optimize and automate data classification by sensitivity, business criticality, privacy and retention requirement where practical, use leading indicators, run periodic stress tests and update the crisis playbook.</t>
        </is>
      </c>
      <c r="J350" s="3" t="inlineStr">
        <is>
          <t>Maintain maturity for data classification by sensitivity, business criticality, privacy and retention requirement. Monitor drift, keep evidence current, benchmark externally and refresh tests after major changes.</t>
        </is>
      </c>
      <c r="K350" s="3" t="inlineStr">
        <is>
          <t>Reduces exposure to Decision failure; Data loss; Regulatory/legal shock; improves Data governance maturity, continuity and management visibility.</t>
        </is>
      </c>
      <c r="L350" s="3" t="n">
        <v>5</v>
      </c>
      <c r="M350" s="3" t="n">
        <v>5</v>
      </c>
      <c r="N350" s="3" t="n">
        <v>4</v>
      </c>
      <c r="O350" s="3" t="n">
        <v>3</v>
      </c>
      <c r="P350" s="3" t="n">
        <v>2</v>
      </c>
      <c r="Q350" s="3" t="n">
        <v>1</v>
      </c>
      <c r="R350" s="3" t="inlineStr">
        <is>
          <t>DAMA-DMBOK; ISO/IEC 38505; ISO/IEC 42001; ISO/IEC 23894; NIST AI RMF; DCAM</t>
        </is>
      </c>
      <c r="S350" s="3" t="inlineStr">
        <is>
          <t>Policy/SOP; owner/RACI; system report; dashboard; contracts; test records; incident history; interview evidence related to data classification by sensitivity, business criticality, privacy and retention requirement.</t>
        </is>
      </c>
      <c r="T350" s="3" t="inlineStr">
        <is>
          <t>Decision failure; Data loss; Regulatory/legal shock</t>
        </is>
      </c>
      <c r="U350" s="3" t="inlineStr">
        <is>
          <t>CDO / BI / Analytics</t>
        </is>
      </c>
      <c r="V350" s="3" t="inlineStr">
        <is>
          <t>Data BI AI!9</t>
        </is>
      </c>
    </row>
    <row r="351" ht="85.5" customHeight="1" s="209">
      <c r="A351" s="3" t="inlineStr">
        <is>
          <t>DATA-006</t>
        </is>
      </c>
      <c r="B351" s="3" t="inlineStr">
        <is>
          <t>Data BI AI</t>
        </is>
      </c>
      <c r="C351" s="3" t="inlineStr">
        <is>
          <t>Data governance</t>
        </is>
      </c>
      <c r="D351" s="3" t="inlineStr">
        <is>
          <t>How mature is the organization in managing data access governance for datasets, warehouses, BI reports and analytics workspaces, including ownership, evidence, metrics, fallback procedures and crisis stress testing?</t>
        </is>
      </c>
      <c r="E351" s="3" t="inlineStr">
        <is>
          <t>Establish a basic owner and inventory for data access governance for datasets, warehouses, BI reports and analytics workspaces. Define minimum policy, evidence location and immediate crisis relevance.</t>
        </is>
      </c>
      <c r="F351" s="3" t="inlineStr">
        <is>
          <t>Document data access governance for datasets, warehouses, BI reports and analytics workspaces, assign RACI, define minimum controls/KPIs and collect evidence across the main business units or sites.</t>
        </is>
      </c>
      <c r="G351" s="3" t="inlineStr">
        <is>
          <t>Standardize data access governance for datasets, warehouses, BI reports and analytics workspaces across the organization, close coverage gaps, link it to crisis scenarios and train accountable roles.</t>
        </is>
      </c>
      <c r="H351" s="3" t="inlineStr">
        <is>
          <t>Measure data access governance for datasets, warehouses, BI reports and analytics workspaces, review it periodically, test it against disruption scenarios and integrate it with dependent processes or systems.</t>
        </is>
      </c>
      <c r="I351" s="3" t="inlineStr">
        <is>
          <t>Optimize and automate data access governance for datasets, warehouses, BI reports and analytics workspaces where practical, use leading indicators, run periodic stress tests and update the crisis playbook.</t>
        </is>
      </c>
      <c r="J351" s="3" t="inlineStr">
        <is>
          <t>Maintain maturity for data access governance for datasets, warehouses, BI reports and analytics workspaces. Monitor drift, keep evidence current, benchmark externally and refresh tests after major changes.</t>
        </is>
      </c>
      <c r="K351" s="3" t="inlineStr">
        <is>
          <t>Reduces exposure to Decision failure; Data loss; Regulatory/legal shock; improves Data governance maturity, continuity and management visibility.</t>
        </is>
      </c>
      <c r="L351" s="3" t="n">
        <v>5</v>
      </c>
      <c r="M351" s="3" t="n">
        <v>5</v>
      </c>
      <c r="N351" s="3" t="n">
        <v>4</v>
      </c>
      <c r="O351" s="3" t="n">
        <v>3</v>
      </c>
      <c r="P351" s="3" t="n">
        <v>2</v>
      </c>
      <c r="Q351" s="3" t="n">
        <v>1</v>
      </c>
      <c r="R351" s="3" t="inlineStr">
        <is>
          <t>DAMA-DMBOK; ISO/IEC 38505; ISO/IEC 42001; ISO/IEC 23894; NIST AI RMF; DCAM</t>
        </is>
      </c>
      <c r="S351" s="3" t="inlineStr">
        <is>
          <t>Policy/SOP; owner/RACI; system report; dashboard; contracts; test records; incident history; interview evidence related to data access governance for datasets, warehouses, BI reports and analytics workspaces.</t>
        </is>
      </c>
      <c r="T351" s="3" t="inlineStr">
        <is>
          <t>Decision failure; Data loss; Regulatory/legal shock</t>
        </is>
      </c>
      <c r="U351" s="3" t="inlineStr">
        <is>
          <t>CDO / BI / Analytics</t>
        </is>
      </c>
      <c r="V351" s="3" t="inlineStr">
        <is>
          <t>Data BI AI!10</t>
        </is>
      </c>
    </row>
    <row r="352" ht="85.5" customHeight="1" s="209">
      <c r="A352" s="3" t="inlineStr">
        <is>
          <t>DATA-007</t>
        </is>
      </c>
      <c r="B352" s="3" t="inlineStr">
        <is>
          <t>Data BI AI</t>
        </is>
      </c>
      <c r="C352" s="3" t="inlineStr">
        <is>
          <t>Data architecture</t>
        </is>
      </c>
      <c r="D352" s="3" t="inlineStr">
        <is>
          <t>How mature is the organization in managing data architecture from source systems to warehouse, lake, BI, AI models and reports, including ownership, evidence, metrics, fallback procedures and crisis stress testing?</t>
        </is>
      </c>
      <c r="E352" s="3" t="inlineStr">
        <is>
          <t>Establish a basic owner and inventory for data architecture from source systems to warehouse, lake, BI, AI models and reports. Define minimum policy, evidence location and immediate crisis relevance.</t>
        </is>
      </c>
      <c r="F352" s="3" t="inlineStr">
        <is>
          <t>Document data architecture from source systems to warehouse, lake, BI, AI models and reports, assign RACI, define minimum controls/KPIs and collect evidence across the main business units or sites.</t>
        </is>
      </c>
      <c r="G352" s="3" t="inlineStr">
        <is>
          <t>Standardize data architecture from source systems to warehouse, lake, BI, AI models and reports across the organization, close coverage gaps, link it to crisis scenarios and train accountable roles.</t>
        </is>
      </c>
      <c r="H352" s="3" t="inlineStr">
        <is>
          <t>Measure data architecture from source systems to warehouse, lake, BI, AI models and reports, review it periodically, test it against disruption scenarios and integrate it with dependent processes or systems.</t>
        </is>
      </c>
      <c r="I352" s="3" t="inlineStr">
        <is>
          <t>Optimize and automate data architecture from source systems to warehouse, lake, BI, AI models and reports where practical, use leading indicators, run periodic stress tests and update the crisis playbook.</t>
        </is>
      </c>
      <c r="J352" s="3" t="inlineStr">
        <is>
          <t>Maintain maturity for data architecture from source systems to warehouse, lake, BI, AI models and reports. Monitor drift, keep evidence current, benchmark externally and refresh tests after major changes.</t>
        </is>
      </c>
      <c r="K352" s="3" t="inlineStr">
        <is>
          <t>Reduces exposure to Decision failure; Data loss; Regulatory/legal shock; improves Data architecture maturity, continuity and management visibility.</t>
        </is>
      </c>
      <c r="L352" s="3" t="n">
        <v>5</v>
      </c>
      <c r="M352" s="3" t="n">
        <v>5</v>
      </c>
      <c r="N352" s="3" t="n">
        <v>4</v>
      </c>
      <c r="O352" s="3" t="n">
        <v>3</v>
      </c>
      <c r="P352" s="3" t="n">
        <v>2</v>
      </c>
      <c r="Q352" s="3" t="n">
        <v>1</v>
      </c>
      <c r="R352" s="3" t="inlineStr">
        <is>
          <t>DAMA-DMBOK; ISO/IEC 38505; ISO/IEC 42001; ISO/IEC 23894; NIST AI RMF; DCAM</t>
        </is>
      </c>
      <c r="S352" s="3" t="inlineStr">
        <is>
          <t>Policy/SOP; owner/RACI; system report; dashboard; contracts; test records; incident history; interview evidence related to data architecture from source systems to warehouse, lake, BI, AI models and reports.</t>
        </is>
      </c>
      <c r="T352" s="3" t="inlineStr">
        <is>
          <t>Decision failure; Data loss; Regulatory/legal shock</t>
        </is>
      </c>
      <c r="U352" s="3" t="inlineStr">
        <is>
          <t>CDO / BI / Analytics</t>
        </is>
      </c>
      <c r="V352" s="3" t="inlineStr">
        <is>
          <t>Data BI AI!11</t>
        </is>
      </c>
    </row>
    <row r="353" ht="71.25" customHeight="1" s="209">
      <c r="A353" s="3" t="inlineStr">
        <is>
          <t>DATA-008</t>
        </is>
      </c>
      <c r="B353" s="3" t="inlineStr">
        <is>
          <t>Data BI AI</t>
        </is>
      </c>
      <c r="C353" s="3" t="inlineStr">
        <is>
          <t>Data architecture</t>
        </is>
      </c>
      <c r="D353" s="3" t="inlineStr">
        <is>
          <t>How mature is the organization in managing ETL or ELT monitoring for failures, latency, completeness and reconciliation, including ownership, evidence, metrics, fallback procedures and crisis stress testing?</t>
        </is>
      </c>
      <c r="E353" s="3" t="inlineStr">
        <is>
          <t>Establish a basic owner and inventory for ETL or ELT monitoring for failures, latency, completeness and reconciliation. Define minimum policy, evidence location and immediate crisis relevance.</t>
        </is>
      </c>
      <c r="F353" s="3" t="inlineStr">
        <is>
          <t>Document ETL or ELT monitoring for failures, latency, completeness and reconciliation, assign RACI, define minimum controls/KPIs and collect evidence across the main business units or sites.</t>
        </is>
      </c>
      <c r="G353" s="3" t="inlineStr">
        <is>
          <t>Standardize ETL or ELT monitoring for failures, latency, completeness and reconciliation across the organization, close coverage gaps, link it to crisis scenarios and train accountable roles.</t>
        </is>
      </c>
      <c r="H353" s="3" t="inlineStr">
        <is>
          <t>Measure ETL or ELT monitoring for failures, latency, completeness and reconciliation, review it periodically, test it against disruption scenarios and integrate it with dependent processes or systems.</t>
        </is>
      </c>
      <c r="I353" s="3" t="inlineStr">
        <is>
          <t>Optimize and automate ETL or ELT monitoring for failures, latency, completeness and reconciliation where practical, use leading indicators, run periodic stress tests and update the crisis playbook.</t>
        </is>
      </c>
      <c r="J353" s="3" t="inlineStr">
        <is>
          <t>Maintain maturity for ETL or ELT monitoring for failures, latency, completeness and reconciliation. Monitor drift, keep evidence current, benchmark externally and refresh tests after major changes.</t>
        </is>
      </c>
      <c r="K353" s="3" t="inlineStr">
        <is>
          <t>Reduces exposure to Decision failure; Data loss; Regulatory/legal shock; improves Data architecture maturity, continuity and management visibility.</t>
        </is>
      </c>
      <c r="L353" s="3" t="n">
        <v>5</v>
      </c>
      <c r="M353" s="3" t="n">
        <v>5</v>
      </c>
      <c r="N353" s="3" t="n">
        <v>4</v>
      </c>
      <c r="O353" s="3" t="n">
        <v>3</v>
      </c>
      <c r="P353" s="3" t="n">
        <v>2</v>
      </c>
      <c r="Q353" s="3" t="n">
        <v>1</v>
      </c>
      <c r="R353" s="3" t="inlineStr">
        <is>
          <t>DAMA-DMBOK; ISO/IEC 38505; ISO/IEC 42001; ISO/IEC 23894; NIST AI RMF; DCAM</t>
        </is>
      </c>
      <c r="S353" s="3" t="inlineStr">
        <is>
          <t>Policy/SOP; owner/RACI; system report; dashboard; contracts; test records; incident history; interview evidence related to ETL or ELT monitoring for failures, latency, completeness and reconciliation.</t>
        </is>
      </c>
      <c r="T353" s="3" t="inlineStr">
        <is>
          <t>Decision failure; Data loss; Regulatory/legal shock</t>
        </is>
      </c>
      <c r="U353" s="3" t="inlineStr">
        <is>
          <t>CDO / BI / Analytics</t>
        </is>
      </c>
      <c r="V353" s="3" t="inlineStr">
        <is>
          <t>Data BI AI!12</t>
        </is>
      </c>
    </row>
    <row r="354" ht="71.25" customHeight="1" s="209">
      <c r="A354" s="3" t="inlineStr">
        <is>
          <t>DATA-009</t>
        </is>
      </c>
      <c r="B354" s="3" t="inlineStr">
        <is>
          <t>Data BI AI</t>
        </is>
      </c>
      <c r="C354" s="3" t="inlineStr">
        <is>
          <t>Data architecture</t>
        </is>
      </c>
      <c r="D354" s="3" t="inlineStr">
        <is>
          <t>How mature is the organization in managing data lineage for critical KPIs, regulatory reports and board dashboards, including ownership, evidence, metrics, fallback procedures and crisis stress testing?</t>
        </is>
      </c>
      <c r="E354" s="3" t="inlineStr">
        <is>
          <t>Establish a basic owner and inventory for data lineage for critical KPIs, regulatory reports and board dashboards. Define minimum policy, evidence location and immediate crisis relevance.</t>
        </is>
      </c>
      <c r="F354" s="3" t="inlineStr">
        <is>
          <t>Document data lineage for critical KPIs, regulatory reports and board dashboards, assign RACI, define minimum controls/KPIs and collect evidence across the main business units or sites.</t>
        </is>
      </c>
      <c r="G354" s="3" t="inlineStr">
        <is>
          <t>Standardize data lineage for critical KPIs, regulatory reports and board dashboards across the organization, close coverage gaps, link it to crisis scenarios and train accountable roles.</t>
        </is>
      </c>
      <c r="H354" s="3" t="inlineStr">
        <is>
          <t>Measure data lineage for critical KPIs, regulatory reports and board dashboards, review it periodically, test it against disruption scenarios and integrate it with dependent processes or systems.</t>
        </is>
      </c>
      <c r="I354" s="3" t="inlineStr">
        <is>
          <t>Optimize and automate data lineage for critical KPIs, regulatory reports and board dashboards where practical, use leading indicators, run periodic stress tests and update the crisis playbook.</t>
        </is>
      </c>
      <c r="J354" s="3" t="inlineStr">
        <is>
          <t>Maintain maturity for data lineage for critical KPIs, regulatory reports and board dashboards. Monitor drift, keep evidence current, benchmark externally and refresh tests after major changes.</t>
        </is>
      </c>
      <c r="K354" s="3" t="inlineStr">
        <is>
          <t>Reduces exposure to Decision failure; Data loss; Regulatory/legal shock; improves Data architecture maturity, continuity and management visibility.</t>
        </is>
      </c>
      <c r="L354" s="3" t="n">
        <v>5</v>
      </c>
      <c r="M354" s="3" t="n">
        <v>5</v>
      </c>
      <c r="N354" s="3" t="n">
        <v>4</v>
      </c>
      <c r="O354" s="3" t="n">
        <v>3</v>
      </c>
      <c r="P354" s="3" t="n">
        <v>2</v>
      </c>
      <c r="Q354" s="3" t="n">
        <v>1</v>
      </c>
      <c r="R354" s="3" t="inlineStr">
        <is>
          <t>DAMA-DMBOK; ISO/IEC 38505; ISO/IEC 42001; ISO/IEC 23894; NIST AI RMF; DCAM</t>
        </is>
      </c>
      <c r="S354" s="3" t="inlineStr">
        <is>
          <t>Policy/SOP; owner/RACI; system report; dashboard; contracts; test records; incident history; interview evidence related to data lineage for critical KPIs, regulatory reports and board dashboards.</t>
        </is>
      </c>
      <c r="T354" s="3" t="inlineStr">
        <is>
          <t>Decision failure; Data loss; Regulatory/legal shock</t>
        </is>
      </c>
      <c r="U354" s="3" t="inlineStr">
        <is>
          <t>CDO / BI / Analytics</t>
        </is>
      </c>
      <c r="V354" s="3" t="inlineStr">
        <is>
          <t>Data BI AI!13</t>
        </is>
      </c>
    </row>
    <row r="355" ht="85.5" customHeight="1" s="209">
      <c r="A355" s="3" t="inlineStr">
        <is>
          <t>DATA-010</t>
        </is>
      </c>
      <c r="B355" s="3" t="inlineStr">
        <is>
          <t>Data BI AI</t>
        </is>
      </c>
      <c r="C355" s="3" t="inlineStr">
        <is>
          <t>Data architecture</t>
        </is>
      </c>
      <c r="D355" s="3" t="inlineStr">
        <is>
          <t>How mature is the organization in managing backup and recovery for critical datasets, warehouses, BI content and analytics code, including ownership, evidence, metrics, fallback procedures and crisis stress testing?</t>
        </is>
      </c>
      <c r="E355" s="3" t="inlineStr">
        <is>
          <t>Establish a basic owner and inventory for backup and recovery for critical datasets, warehouses, BI content and analytics code. Define minimum policy, evidence location and immediate crisis relevance.</t>
        </is>
      </c>
      <c r="F355" s="3" t="inlineStr">
        <is>
          <t>Document backup and recovery for critical datasets, warehouses, BI content and analytics code, assign RACI, define minimum controls/KPIs and collect evidence across the main business units or sites.</t>
        </is>
      </c>
      <c r="G355" s="3" t="inlineStr">
        <is>
          <t>Standardize backup and recovery for critical datasets, warehouses, BI content and analytics code across the organization, close coverage gaps, link it to crisis scenarios and train accountable roles.</t>
        </is>
      </c>
      <c r="H355" s="3" t="inlineStr">
        <is>
          <t>Measure backup and recovery for critical datasets, warehouses, BI content and analytics code, review it periodically, test it against disruption scenarios and integrate it with dependent processes or systems.</t>
        </is>
      </c>
      <c r="I355" s="3" t="inlineStr">
        <is>
          <t>Optimize and automate backup and recovery for critical datasets, warehouses, BI content and analytics code where practical, use leading indicators, run periodic stress tests and update the crisis playbook.</t>
        </is>
      </c>
      <c r="J355" s="3" t="inlineStr">
        <is>
          <t>Maintain maturity for backup and recovery for critical datasets, warehouses, BI content and analytics code. Monitor drift, keep evidence current, benchmark externally and refresh tests after major changes.</t>
        </is>
      </c>
      <c r="K355" s="3" t="inlineStr">
        <is>
          <t>Reduces exposure to Decision failure; Data loss; Regulatory/legal shock; improves Data architecture maturity, continuity and management visibility.</t>
        </is>
      </c>
      <c r="L355" s="3" t="n">
        <v>5</v>
      </c>
      <c r="M355" s="3" t="n">
        <v>5</v>
      </c>
      <c r="N355" s="3" t="n">
        <v>4</v>
      </c>
      <c r="O355" s="3" t="n">
        <v>3</v>
      </c>
      <c r="P355" s="3" t="n">
        <v>2</v>
      </c>
      <c r="Q355" s="3" t="n">
        <v>1</v>
      </c>
      <c r="R355" s="3" t="inlineStr">
        <is>
          <t>DAMA-DMBOK; ISO/IEC 38505; ISO/IEC 42001; ISO/IEC 23894; NIST AI RMF; DCAM</t>
        </is>
      </c>
      <c r="S355" s="3" t="inlineStr">
        <is>
          <t>Policy/SOP; owner/RACI; system report; dashboard; contracts; test records; incident history; interview evidence related to backup and recovery for critical datasets, warehouses, BI content and analytics code.</t>
        </is>
      </c>
      <c r="T355" s="3" t="inlineStr">
        <is>
          <t>Decision failure; Data loss; Regulatory/legal shock</t>
        </is>
      </c>
      <c r="U355" s="3" t="inlineStr">
        <is>
          <t>CDO / BI / Analytics</t>
        </is>
      </c>
      <c r="V355" s="3" t="inlineStr">
        <is>
          <t>Data BI AI!14</t>
        </is>
      </c>
    </row>
    <row r="356" ht="71.25" customHeight="1" s="209">
      <c r="A356" s="3" t="inlineStr">
        <is>
          <t>DATA-011</t>
        </is>
      </c>
      <c r="B356" s="3" t="inlineStr">
        <is>
          <t>Data BI AI</t>
        </is>
      </c>
      <c r="C356" s="3" t="inlineStr">
        <is>
          <t>Data architecture</t>
        </is>
      </c>
      <c r="D356" s="3" t="inlineStr">
        <is>
          <t>How mature is the organization in managing retention and deletion rules for structured and unstructured data, including ownership, evidence, metrics, fallback procedures and crisis stress testing?</t>
        </is>
      </c>
      <c r="E356" s="3" t="inlineStr">
        <is>
          <t>Establish a basic owner and inventory for retention and deletion rules for structured and unstructured data. Define minimum policy, evidence location and immediate crisis relevance.</t>
        </is>
      </c>
      <c r="F356" s="3" t="inlineStr">
        <is>
          <t>Document retention and deletion rules for structured and unstructured data, assign RACI, define minimum controls/KPIs and collect evidence across the main business units or sites.</t>
        </is>
      </c>
      <c r="G356" s="3" t="inlineStr">
        <is>
          <t>Standardize retention and deletion rules for structured and unstructured data across the organization, close coverage gaps, link it to crisis scenarios and train accountable roles.</t>
        </is>
      </c>
      <c r="H356" s="3" t="inlineStr">
        <is>
          <t>Measure retention and deletion rules for structured and unstructured data, review it periodically, test it against disruption scenarios and integrate it with dependent processes or systems.</t>
        </is>
      </c>
      <c r="I356" s="3" t="inlineStr">
        <is>
          <t>Optimize and automate retention and deletion rules for structured and unstructured data where practical, use leading indicators, run periodic stress tests and update the crisis playbook.</t>
        </is>
      </c>
      <c r="J356" s="3" t="inlineStr">
        <is>
          <t>Maintain maturity for retention and deletion rules for structured and unstructured data. Monitor drift, keep evidence current, benchmark externally and refresh tests after major changes.</t>
        </is>
      </c>
      <c r="K356" s="3" t="inlineStr">
        <is>
          <t>Reduces exposure to Decision failure; Data loss; Regulatory/legal shock; improves Data architecture maturity, continuity and management visibility.</t>
        </is>
      </c>
      <c r="L356" s="3" t="n">
        <v>5</v>
      </c>
      <c r="M356" s="3" t="n">
        <v>5</v>
      </c>
      <c r="N356" s="3" t="n">
        <v>4</v>
      </c>
      <c r="O356" s="3" t="n">
        <v>3</v>
      </c>
      <c r="P356" s="3" t="n">
        <v>2</v>
      </c>
      <c r="Q356" s="3" t="n">
        <v>1</v>
      </c>
      <c r="R356" s="3" t="inlineStr">
        <is>
          <t>DAMA-DMBOK; ISO/IEC 38505; ISO/IEC 42001; ISO/IEC 23894; NIST AI RMF; DCAM</t>
        </is>
      </c>
      <c r="S356" s="3" t="inlineStr">
        <is>
          <t>Policy/SOP; owner/RACI; system report; dashboard; contracts; test records; incident history; interview evidence related to retention and deletion rules for structured and unstructured data.</t>
        </is>
      </c>
      <c r="T356" s="3" t="inlineStr">
        <is>
          <t>Decision failure; Data loss; Regulatory/legal shock</t>
        </is>
      </c>
      <c r="U356" s="3" t="inlineStr">
        <is>
          <t>CDO / BI / Analytics</t>
        </is>
      </c>
      <c r="V356" s="3" t="inlineStr">
        <is>
          <t>Data BI AI!15</t>
        </is>
      </c>
    </row>
    <row r="357" ht="85.5" customHeight="1" s="209">
      <c r="A357" s="3" t="inlineStr">
        <is>
          <t>DATA-012</t>
        </is>
      </c>
      <c r="B357" s="3" t="inlineStr">
        <is>
          <t>Data BI AI</t>
        </is>
      </c>
      <c r="C357" s="3" t="inlineStr">
        <is>
          <t>Data architecture</t>
        </is>
      </c>
      <c r="D357" s="3" t="inlineStr">
        <is>
          <t>How mature is the organization in managing external data source validation for quality, licensing, availability and continuity, including ownership, evidence, metrics, fallback procedures and crisis stress testing?</t>
        </is>
      </c>
      <c r="E357" s="3" t="inlineStr">
        <is>
          <t>Establish a basic owner and inventory for external data source validation for quality, licensing, availability and continuity. Define minimum policy, evidence location and immediate crisis relevance.</t>
        </is>
      </c>
      <c r="F357" s="3" t="inlineStr">
        <is>
          <t>Document external data source validation for quality, licensing, availability and continuity, assign RACI, define minimum controls/KPIs and collect evidence across the main business units or sites.</t>
        </is>
      </c>
      <c r="G357" s="3" t="inlineStr">
        <is>
          <t>Standardize external data source validation for quality, licensing, availability and continuity across the organization, close coverage gaps, link it to crisis scenarios and train accountable roles.</t>
        </is>
      </c>
      <c r="H357" s="3" t="inlineStr">
        <is>
          <t>Measure external data source validation for quality, licensing, availability and continuity, review it periodically, test it against disruption scenarios and integrate it with dependent processes or systems.</t>
        </is>
      </c>
      <c r="I357" s="3" t="inlineStr">
        <is>
          <t>Optimize and automate external data source validation for quality, licensing, availability and continuity where practical, use leading indicators, run periodic stress tests and update the crisis playbook.</t>
        </is>
      </c>
      <c r="J357" s="3" t="inlineStr">
        <is>
          <t>Maintain maturity for external data source validation for quality, licensing, availability and continuity. Monitor drift, keep evidence current, benchmark externally and refresh tests after major changes.</t>
        </is>
      </c>
      <c r="K357" s="3" t="inlineStr">
        <is>
          <t>Reduces exposure to Decision failure; Data loss; Regulatory/legal shock; improves Data architecture maturity, continuity and management visibility.</t>
        </is>
      </c>
      <c r="L357" s="3" t="n">
        <v>5</v>
      </c>
      <c r="M357" s="3" t="n">
        <v>5</v>
      </c>
      <c r="N357" s="3" t="n">
        <v>4</v>
      </c>
      <c r="O357" s="3" t="n">
        <v>3</v>
      </c>
      <c r="P357" s="3" t="n">
        <v>2</v>
      </c>
      <c r="Q357" s="3" t="n">
        <v>1</v>
      </c>
      <c r="R357" s="3" t="inlineStr">
        <is>
          <t>DAMA-DMBOK; ISO/IEC 38505; ISO/IEC 42001; ISO/IEC 23894; NIST AI RMF; DCAM</t>
        </is>
      </c>
      <c r="S357" s="3" t="inlineStr">
        <is>
          <t>Policy/SOP; owner/RACI; system report; dashboard; contracts; test records; incident history; interview evidence related to external data source validation for quality, licensing, availability and continuity.</t>
        </is>
      </c>
      <c r="T357" s="3" t="inlineStr">
        <is>
          <t>Decision failure; Data loss; Regulatory/legal shock</t>
        </is>
      </c>
      <c r="U357" s="3" t="inlineStr">
        <is>
          <t>CDO / BI / Analytics</t>
        </is>
      </c>
      <c r="V357" s="3" t="inlineStr">
        <is>
          <t>Data BI AI!16</t>
        </is>
      </c>
    </row>
    <row r="358" ht="85.5" customHeight="1" s="209">
      <c r="A358" s="3" t="inlineStr">
        <is>
          <t>DATA-013</t>
        </is>
      </c>
      <c r="B358" s="3" t="inlineStr">
        <is>
          <t>Data BI AI</t>
        </is>
      </c>
      <c r="C358" s="3" t="inlineStr">
        <is>
          <t>BI and analytics</t>
        </is>
      </c>
      <c r="D358" s="3" t="inlineStr">
        <is>
          <t>How mature is the organization in managing executive dashboards for crisis KPIs such as cash, workforce, supply, delivery, revenue and incidents, including ownership, evidence, metrics, fallback procedures and crisis stress testing?</t>
        </is>
      </c>
      <c r="E358" s="3" t="inlineStr">
        <is>
          <t>Establish a basic owner and inventory for executive dashboards for crisis KPIs such as cash, workforce, supply, delivery, revenue and incidents. Define minimum policy, evidence location and immediate crisis relevance.</t>
        </is>
      </c>
      <c r="F358" s="3" t="inlineStr">
        <is>
          <t>Document executive dashboards for crisis KPIs such as cash, workforce, supply, delivery, revenue and incidents, assign RACI, define minimum controls/KPIs and collect evidence across the main business units or sites.</t>
        </is>
      </c>
      <c r="G358" s="3" t="inlineStr">
        <is>
          <t>Standardize executive dashboards for crisis KPIs such as cash, workforce, supply, delivery, revenue and incidents across the organization, close coverage gaps, link it to crisis scenarios and train accountable roles.</t>
        </is>
      </c>
      <c r="H358" s="3" t="inlineStr">
        <is>
          <t>Measure executive dashboards for crisis KPIs such as cash, workforce, supply, delivery, revenue and incidents, review it periodically, test it against disruption scenarios and integrate it with dependent processes or systems.</t>
        </is>
      </c>
      <c r="I358" s="3" t="inlineStr">
        <is>
          <t>Optimize and automate executive dashboards for crisis KPIs such as cash, workforce, supply, delivery, revenue and incidents where practical, use leading indicators, run periodic stress tests and update the crisis playbook.</t>
        </is>
      </c>
      <c r="J358" s="3" t="inlineStr">
        <is>
          <t>Maintain maturity for executive dashboards for crisis KPIs such as cash, workforce, supply, delivery, revenue and incidents. Monitor drift, keep evidence current, benchmark externally and refresh tests after major changes.</t>
        </is>
      </c>
      <c r="K358" s="3" t="inlineStr">
        <is>
          <t>Reduces exposure to Decision failure; Data loss; Regulatory/legal shock; improves BI and analytics maturity, continuity and management visibility.</t>
        </is>
      </c>
      <c r="L358" s="3" t="n">
        <v>5</v>
      </c>
      <c r="M358" s="3" t="n">
        <v>5</v>
      </c>
      <c r="N358" s="3" t="n">
        <v>4</v>
      </c>
      <c r="O358" s="3" t="n">
        <v>3</v>
      </c>
      <c r="P358" s="3" t="n">
        <v>2</v>
      </c>
      <c r="Q358" s="3" t="n">
        <v>1</v>
      </c>
      <c r="R358" s="3" t="inlineStr">
        <is>
          <t>DAMA-DMBOK; ISO/IEC 38505; ISO/IEC 42001; ISO/IEC 23894; NIST AI RMF; DCAM</t>
        </is>
      </c>
      <c r="S358" s="3" t="inlineStr">
        <is>
          <t>Policy/SOP; owner/RACI; system report; dashboard; contracts; test records; incident history; interview evidence related to executive dashboards for crisis KPIs such as cash, workforce, supply, delivery, revenue and incidents.</t>
        </is>
      </c>
      <c r="T358" s="3" t="inlineStr">
        <is>
          <t>Decision failure; Data loss; Regulatory/legal shock</t>
        </is>
      </c>
      <c r="U358" s="3" t="inlineStr">
        <is>
          <t>CDO / BI / Analytics</t>
        </is>
      </c>
      <c r="V358" s="3" t="inlineStr">
        <is>
          <t>Data BI AI!17</t>
        </is>
      </c>
    </row>
    <row r="359" ht="71.25" customHeight="1" s="209">
      <c r="A359" s="3" t="inlineStr">
        <is>
          <t>DATA-014</t>
        </is>
      </c>
      <c r="B359" s="3" t="inlineStr">
        <is>
          <t>Data BI AI</t>
        </is>
      </c>
      <c r="C359" s="3" t="inlineStr">
        <is>
          <t>BI and analytics</t>
        </is>
      </c>
      <c r="D359" s="3" t="inlineStr">
        <is>
          <t>How mature is the organization in managing operational dashboards for daily management and crisis response, including ownership, evidence, metrics, fallback procedures and crisis stress testing?</t>
        </is>
      </c>
      <c r="E359" s="3" t="inlineStr">
        <is>
          <t>Establish a basic owner and inventory for operational dashboards for daily management and crisis response. Define minimum policy, evidence location and immediate crisis relevance.</t>
        </is>
      </c>
      <c r="F359" s="3" t="inlineStr">
        <is>
          <t>Document operational dashboards for daily management and crisis response, assign RACI, define minimum controls/KPIs and collect evidence across the main business units or sites.</t>
        </is>
      </c>
      <c r="G359" s="3" t="inlineStr">
        <is>
          <t>Standardize operational dashboards for daily management and crisis response across the organization, close coverage gaps, link it to crisis scenarios and train accountable roles.</t>
        </is>
      </c>
      <c r="H359" s="3" t="inlineStr">
        <is>
          <t>Measure operational dashboards for daily management and crisis response, review it periodically, test it against disruption scenarios and integrate it with dependent processes or systems.</t>
        </is>
      </c>
      <c r="I359" s="3" t="inlineStr">
        <is>
          <t>Optimize and automate operational dashboards for daily management and crisis response where practical, use leading indicators, run periodic stress tests and update the crisis playbook.</t>
        </is>
      </c>
      <c r="J359" s="3" t="inlineStr">
        <is>
          <t>Maintain maturity for operational dashboards for daily management and crisis response. Monitor drift, keep evidence current, benchmark externally and refresh tests after major changes.</t>
        </is>
      </c>
      <c r="K359" s="3" t="inlineStr">
        <is>
          <t>Reduces exposure to Decision failure; Data loss; Regulatory/legal shock; improves BI and analytics maturity, continuity and management visibility.</t>
        </is>
      </c>
      <c r="L359" s="3" t="n">
        <v>5</v>
      </c>
      <c r="M359" s="3" t="n">
        <v>5</v>
      </c>
      <c r="N359" s="3" t="n">
        <v>4</v>
      </c>
      <c r="O359" s="3" t="n">
        <v>3</v>
      </c>
      <c r="P359" s="3" t="n">
        <v>2</v>
      </c>
      <c r="Q359" s="3" t="n">
        <v>1</v>
      </c>
      <c r="R359" s="3" t="inlineStr">
        <is>
          <t>DAMA-DMBOK; ISO/IEC 38505; ISO/IEC 42001; ISO/IEC 23894; NIST AI RMF; DCAM</t>
        </is>
      </c>
      <c r="S359" s="3" t="inlineStr">
        <is>
          <t>Policy/SOP; owner/RACI; system report; dashboard; contracts; test records; incident history; interview evidence related to operational dashboards for daily management and crisis response.</t>
        </is>
      </c>
      <c r="T359" s="3" t="inlineStr">
        <is>
          <t>Decision failure; Data loss; Regulatory/legal shock</t>
        </is>
      </c>
      <c r="U359" s="3" t="inlineStr">
        <is>
          <t>CDO / BI / Analytics</t>
        </is>
      </c>
      <c r="V359" s="3" t="inlineStr">
        <is>
          <t>Data BI AI!18</t>
        </is>
      </c>
    </row>
    <row r="360" ht="85.5" customHeight="1" s="209">
      <c r="A360" s="3" t="inlineStr">
        <is>
          <t>DATA-015</t>
        </is>
      </c>
      <c r="B360" s="3" t="inlineStr">
        <is>
          <t>Data BI AI</t>
        </is>
      </c>
      <c r="C360" s="3" t="inlineStr">
        <is>
          <t>BI and analytics</t>
        </is>
      </c>
      <c r="D360" s="3" t="inlineStr">
        <is>
          <t>How mature is the organization in managing single source of truth for critical reports instead of manually reconciled spreadsheets, including ownership, evidence, metrics, fallback procedures and crisis stress testing?</t>
        </is>
      </c>
      <c r="E360" s="3" t="inlineStr">
        <is>
          <t>Establish a basic owner and inventory for single source of truth for critical reports instead of manually reconciled spreadsheets. Define minimum policy, evidence location and immediate crisis relevance.</t>
        </is>
      </c>
      <c r="F360" s="3" t="inlineStr">
        <is>
          <t>Document single source of truth for critical reports instead of manually reconciled spreadsheets, assign RACI, define minimum controls/KPIs and collect evidence across the main business units or sites.</t>
        </is>
      </c>
      <c r="G360" s="3" t="inlineStr">
        <is>
          <t>Standardize single source of truth for critical reports instead of manually reconciled spreadsheets across the organization, close coverage gaps, link it to crisis scenarios and train accountable roles.</t>
        </is>
      </c>
      <c r="H360" s="3" t="inlineStr">
        <is>
          <t>Measure single source of truth for critical reports instead of manually reconciled spreadsheets, review it periodically, test it against disruption scenarios and integrate it with dependent processes or systems.</t>
        </is>
      </c>
      <c r="I360" s="3" t="inlineStr">
        <is>
          <t>Optimize and automate single source of truth for critical reports instead of manually reconciled spreadsheets where practical, use leading indicators, run periodic stress tests and update the crisis playbook.</t>
        </is>
      </c>
      <c r="J360" s="3" t="inlineStr">
        <is>
          <t>Maintain maturity for single source of truth for critical reports instead of manually reconciled spreadsheets. Monitor drift, keep evidence current, benchmark externally and refresh tests after major changes.</t>
        </is>
      </c>
      <c r="K360" s="3" t="inlineStr">
        <is>
          <t>Reduces exposure to Decision failure; Data loss; Regulatory/legal shock; improves BI and analytics maturity, continuity and management visibility.</t>
        </is>
      </c>
      <c r="L360" s="3" t="n">
        <v>5</v>
      </c>
      <c r="M360" s="3" t="n">
        <v>5</v>
      </c>
      <c r="N360" s="3" t="n">
        <v>4</v>
      </c>
      <c r="O360" s="3" t="n">
        <v>3</v>
      </c>
      <c r="P360" s="3" t="n">
        <v>2</v>
      </c>
      <c r="Q360" s="3" t="n">
        <v>1</v>
      </c>
      <c r="R360" s="3" t="inlineStr">
        <is>
          <t>DAMA-DMBOK; ISO/IEC 38505; ISO/IEC 42001; ISO/IEC 23894; NIST AI RMF; DCAM</t>
        </is>
      </c>
      <c r="S360" s="3" t="inlineStr">
        <is>
          <t>Policy/SOP; owner/RACI; system report; dashboard; contracts; test records; incident history; interview evidence related to single source of truth for critical reports instead of manually reconciled spreadsheets.</t>
        </is>
      </c>
      <c r="T360" s="3" t="inlineStr">
        <is>
          <t>Decision failure; Data loss; Regulatory/legal shock</t>
        </is>
      </c>
      <c r="U360" s="3" t="inlineStr">
        <is>
          <t>CDO / BI / Analytics</t>
        </is>
      </c>
      <c r="V360" s="3" t="inlineStr">
        <is>
          <t>Data BI AI!19</t>
        </is>
      </c>
    </row>
    <row r="361" ht="71.25" customHeight="1" s="209">
      <c r="A361" s="3" t="inlineStr">
        <is>
          <t>DATA-016</t>
        </is>
      </c>
      <c r="B361" s="3" t="inlineStr">
        <is>
          <t>Data BI AI</t>
        </is>
      </c>
      <c r="C361" s="3" t="inlineStr">
        <is>
          <t>BI and analytics</t>
        </is>
      </c>
      <c r="D361" s="3" t="inlineStr">
        <is>
          <t>How mature is the organization in managing self-service analytics governance to avoid uncontrolled reporting, including ownership, evidence, metrics, fallback procedures and crisis stress testing?</t>
        </is>
      </c>
      <c r="E361" s="3" t="inlineStr">
        <is>
          <t>Establish a basic owner and inventory for self-service analytics governance to avoid uncontrolled reporting. Define minimum policy, evidence location and immediate crisis relevance.</t>
        </is>
      </c>
      <c r="F361" s="3" t="inlineStr">
        <is>
          <t>Document self-service analytics governance to avoid uncontrolled reporting, assign RACI, define minimum controls/KPIs and collect evidence across the main business units or sites.</t>
        </is>
      </c>
      <c r="G361" s="3" t="inlineStr">
        <is>
          <t>Standardize self-service analytics governance to avoid uncontrolled reporting across the organization, close coverage gaps, link it to crisis scenarios and train accountable roles.</t>
        </is>
      </c>
      <c r="H361" s="3" t="inlineStr">
        <is>
          <t>Measure self-service analytics governance to avoid uncontrolled reporting, review it periodically, test it against disruption scenarios and integrate it with dependent processes or systems.</t>
        </is>
      </c>
      <c r="I361" s="3" t="inlineStr">
        <is>
          <t>Optimize and automate self-service analytics governance to avoid uncontrolled reporting where practical, use leading indicators, run periodic stress tests and update the crisis playbook.</t>
        </is>
      </c>
      <c r="J361" s="3" t="inlineStr">
        <is>
          <t>Maintain maturity for self-service analytics governance to avoid uncontrolled reporting. Monitor drift, keep evidence current, benchmark externally and refresh tests after major changes.</t>
        </is>
      </c>
      <c r="K361" s="3" t="inlineStr">
        <is>
          <t>Reduces exposure to Decision failure; Data loss; Regulatory/legal shock; improves BI and analytics maturity, continuity and management visibility.</t>
        </is>
      </c>
      <c r="L361" s="3" t="n">
        <v>5</v>
      </c>
      <c r="M361" s="3" t="n">
        <v>5</v>
      </c>
      <c r="N361" s="3" t="n">
        <v>4</v>
      </c>
      <c r="O361" s="3" t="n">
        <v>3</v>
      </c>
      <c r="P361" s="3" t="n">
        <v>2</v>
      </c>
      <c r="Q361" s="3" t="n">
        <v>1</v>
      </c>
      <c r="R361" s="3" t="inlineStr">
        <is>
          <t>DAMA-DMBOK; ISO/IEC 38505; ISO/IEC 42001; ISO/IEC 23894; NIST AI RMF; DCAM</t>
        </is>
      </c>
      <c r="S361" s="3" t="inlineStr">
        <is>
          <t>Policy/SOP; owner/RACI; system report; dashboard; contracts; test records; incident history; interview evidence related to self-service analytics governance to avoid uncontrolled reporting.</t>
        </is>
      </c>
      <c r="T361" s="3" t="inlineStr">
        <is>
          <t>Decision failure; Data loss; Regulatory/legal shock</t>
        </is>
      </c>
      <c r="U361" s="3" t="inlineStr">
        <is>
          <t>CDO / BI / Analytics</t>
        </is>
      </c>
      <c r="V361" s="3" t="inlineStr">
        <is>
          <t>Data BI AI!20</t>
        </is>
      </c>
    </row>
    <row r="362" ht="71.25" customHeight="1" s="209">
      <c r="A362" s="3" t="inlineStr">
        <is>
          <t>DATA-017</t>
        </is>
      </c>
      <c r="B362" s="3" t="inlineStr">
        <is>
          <t>Data BI AI</t>
        </is>
      </c>
      <c r="C362" s="3" t="inlineStr">
        <is>
          <t>BI and analytics</t>
        </is>
      </c>
      <c r="D362" s="3" t="inlineStr">
        <is>
          <t>How mature is the organization in managing rapid ad hoc crisis reporting without breaking data controls, including ownership, evidence, metrics, fallback procedures and crisis stress testing?</t>
        </is>
      </c>
      <c r="E362" s="3" t="inlineStr">
        <is>
          <t>Establish a basic owner and inventory for rapid ad hoc crisis reporting without breaking data controls. Define minimum policy, evidence location and immediate crisis relevance.</t>
        </is>
      </c>
      <c r="F362" s="3" t="inlineStr">
        <is>
          <t>Document rapid ad hoc crisis reporting without breaking data controls, assign RACI, define minimum controls/KPIs and collect evidence across the main business units or sites.</t>
        </is>
      </c>
      <c r="G362" s="3" t="inlineStr">
        <is>
          <t>Standardize rapid ad hoc crisis reporting without breaking data controls across the organization, close coverage gaps, link it to crisis scenarios and train accountable roles.</t>
        </is>
      </c>
      <c r="H362" s="3" t="inlineStr">
        <is>
          <t>Measure rapid ad hoc crisis reporting without breaking data controls, review it periodically, test it against disruption scenarios and integrate it with dependent processes or systems.</t>
        </is>
      </c>
      <c r="I362" s="3" t="inlineStr">
        <is>
          <t>Optimize and automate rapid ad hoc crisis reporting without breaking data controls where practical, use leading indicators, run periodic stress tests and update the crisis playbook.</t>
        </is>
      </c>
      <c r="J362" s="3" t="inlineStr">
        <is>
          <t>Maintain maturity for rapid ad hoc crisis reporting without breaking data controls. Monitor drift, keep evidence current, benchmark externally and refresh tests after major changes.</t>
        </is>
      </c>
      <c r="K362" s="3" t="inlineStr">
        <is>
          <t>Reduces exposure to Decision failure; Data loss; Regulatory/legal shock; improves BI and analytics maturity, continuity and management visibility.</t>
        </is>
      </c>
      <c r="L362" s="3" t="n">
        <v>5</v>
      </c>
      <c r="M362" s="3" t="n">
        <v>5</v>
      </c>
      <c r="N362" s="3" t="n">
        <v>4</v>
      </c>
      <c r="O362" s="3" t="n">
        <v>3</v>
      </c>
      <c r="P362" s="3" t="n">
        <v>2</v>
      </c>
      <c r="Q362" s="3" t="n">
        <v>1</v>
      </c>
      <c r="R362" s="3" t="inlineStr">
        <is>
          <t>DAMA-DMBOK; ISO/IEC 38505; ISO/IEC 42001; ISO/IEC 23894; NIST AI RMF; DCAM</t>
        </is>
      </c>
      <c r="S362" s="3" t="inlineStr">
        <is>
          <t>Policy/SOP; owner/RACI; system report; dashboard; contracts; test records; incident history; interview evidence related to rapid ad hoc crisis reporting without breaking data controls.</t>
        </is>
      </c>
      <c r="T362" s="3" t="inlineStr">
        <is>
          <t>Decision failure; Data loss; Regulatory/legal shock</t>
        </is>
      </c>
      <c r="U362" s="3" t="inlineStr">
        <is>
          <t>CDO / BI / Analytics</t>
        </is>
      </c>
      <c r="V362" s="3" t="inlineStr">
        <is>
          <t>Data BI AI!21</t>
        </is>
      </c>
    </row>
    <row r="363" ht="85.5" customHeight="1" s="209">
      <c r="A363" s="3" t="inlineStr">
        <is>
          <t>DATA-018</t>
        </is>
      </c>
      <c r="B363" s="3" t="inlineStr">
        <is>
          <t>Data BI AI</t>
        </is>
      </c>
      <c r="C363" s="3" t="inlineStr">
        <is>
          <t>BI and analytics</t>
        </is>
      </c>
      <c r="D363" s="3" t="inlineStr">
        <is>
          <t>How mature is the organization in managing data literacy of managers and employees interpreting KPIs, forecasts and analytics, including ownership, evidence, metrics, fallback procedures and crisis stress testing?</t>
        </is>
      </c>
      <c r="E363" s="3" t="inlineStr">
        <is>
          <t>Establish a basic owner and inventory for data literacy of managers and employees interpreting KPIs, forecasts and analytics. Define minimum policy, evidence location and immediate crisis relevance.</t>
        </is>
      </c>
      <c r="F363" s="3" t="inlineStr">
        <is>
          <t>Document data literacy of managers and employees interpreting KPIs, forecasts and analytics, assign RACI, define minimum controls/KPIs and collect evidence across the main business units or sites.</t>
        </is>
      </c>
      <c r="G363" s="3" t="inlineStr">
        <is>
          <t>Standardize data literacy of managers and employees interpreting KPIs, forecasts and analytics across the organization, close coverage gaps, link it to crisis scenarios and train accountable roles.</t>
        </is>
      </c>
      <c r="H363" s="3" t="inlineStr">
        <is>
          <t>Measure data literacy of managers and employees interpreting KPIs, forecasts and analytics, review it periodically, test it against disruption scenarios and integrate it with dependent processes or systems.</t>
        </is>
      </c>
      <c r="I363" s="3" t="inlineStr">
        <is>
          <t>Optimize and automate data literacy of managers and employees interpreting KPIs, forecasts and analytics where practical, use leading indicators, run periodic stress tests and update the crisis playbook.</t>
        </is>
      </c>
      <c r="J363" s="3" t="inlineStr">
        <is>
          <t>Maintain maturity for data literacy of managers and employees interpreting KPIs, forecasts and analytics. Monitor drift, keep evidence current, benchmark externally and refresh tests after major changes.</t>
        </is>
      </c>
      <c r="K363" s="3" t="inlineStr">
        <is>
          <t>Reduces exposure to Decision failure; Data loss; Regulatory/legal shock; improves BI and analytics maturity, continuity and management visibility.</t>
        </is>
      </c>
      <c r="L363" s="3" t="n">
        <v>5</v>
      </c>
      <c r="M363" s="3" t="n">
        <v>5</v>
      </c>
      <c r="N363" s="3" t="n">
        <v>4</v>
      </c>
      <c r="O363" s="3" t="n">
        <v>3</v>
      </c>
      <c r="P363" s="3" t="n">
        <v>2</v>
      </c>
      <c r="Q363" s="3" t="n">
        <v>1</v>
      </c>
      <c r="R363" s="3" t="inlineStr">
        <is>
          <t>DAMA-DMBOK; ISO/IEC 38505; ISO/IEC 42001; ISO/IEC 23894; NIST AI RMF; DCAM</t>
        </is>
      </c>
      <c r="S363" s="3" t="inlineStr">
        <is>
          <t>Policy/SOP; owner/RACI; system report; dashboard; contracts; test records; incident history; interview evidence related to data literacy of managers and employees interpreting KPIs, forecasts and analytics.</t>
        </is>
      </c>
      <c r="T363" s="3" t="inlineStr">
        <is>
          <t>Decision failure; Data loss; Regulatory/legal shock</t>
        </is>
      </c>
      <c r="U363" s="3" t="inlineStr">
        <is>
          <t>CDO / BI / Analytics</t>
        </is>
      </c>
      <c r="V363" s="3" t="inlineStr">
        <is>
          <t>Data BI AI!22</t>
        </is>
      </c>
    </row>
    <row r="364" ht="85.5" customHeight="1" s="209">
      <c r="A364" s="3" t="inlineStr">
        <is>
          <t>DATA-019</t>
        </is>
      </c>
      <c r="B364" s="3" t="inlineStr">
        <is>
          <t>Data BI AI</t>
        </is>
      </c>
      <c r="C364" s="3" t="inlineStr">
        <is>
          <t>Forecasting and scenarios</t>
        </is>
      </c>
      <c r="D364" s="3" t="inlineStr">
        <is>
          <t>How mature is the organization in managing forecasting capability for demand, cash, inventory, workforce, production, churn or supplier risk, including ownership, evidence, metrics, fallback procedures and crisis stress testing?</t>
        </is>
      </c>
      <c r="E364" s="3" t="inlineStr">
        <is>
          <t>Establish a basic owner and inventory for forecasting capability for demand, cash, inventory, workforce, production, churn or supplier risk. Define minimum policy, evidence location and immediate crisis relevance.</t>
        </is>
      </c>
      <c r="F364" s="3" t="inlineStr">
        <is>
          <t>Document forecasting capability for demand, cash, inventory, workforce, production, churn or supplier risk, assign RACI, define minimum controls/KPIs and collect evidence across the main business units or sites.</t>
        </is>
      </c>
      <c r="G364" s="3" t="inlineStr">
        <is>
          <t>Standardize forecasting capability for demand, cash, inventory, workforce, production, churn or supplier risk across the organization, close coverage gaps, link it to crisis scenarios and train accountable roles.</t>
        </is>
      </c>
      <c r="H364" s="3" t="inlineStr">
        <is>
          <t>Measure forecasting capability for demand, cash, inventory, workforce, production, churn or supplier risk, review it periodically, test it against disruption scenarios and integrate it with dependent processes or systems.</t>
        </is>
      </c>
      <c r="I364" s="3" t="inlineStr">
        <is>
          <t>Optimize and automate forecasting capability for demand, cash, inventory, workforce, production, churn or supplier risk where practical, use leading indicators, run periodic stress tests and update the crisis playbook.</t>
        </is>
      </c>
      <c r="J364" s="3" t="inlineStr">
        <is>
          <t>Maintain maturity for forecasting capability for demand, cash, inventory, workforce, production, churn or supplier risk. Monitor drift, keep evidence current, benchmark externally and refresh tests after major changes.</t>
        </is>
      </c>
      <c r="K364" s="3" t="inlineStr">
        <is>
          <t>Reduces exposure to Decision failure; Data loss; Regulatory/legal shock; improves Forecasting and scenarios maturity, continuity and management visibility.</t>
        </is>
      </c>
      <c r="L364" s="3" t="n">
        <v>5</v>
      </c>
      <c r="M364" s="3" t="n">
        <v>5</v>
      </c>
      <c r="N364" s="3" t="n">
        <v>4</v>
      </c>
      <c r="O364" s="3" t="n">
        <v>3</v>
      </c>
      <c r="P364" s="3" t="n">
        <v>2</v>
      </c>
      <c r="Q364" s="3" t="n">
        <v>1</v>
      </c>
      <c r="R364" s="3" t="inlineStr">
        <is>
          <t>DAMA-DMBOK; ISO/IEC 38505; ISO/IEC 42001; ISO/IEC 23894; NIST AI RMF; DCAM</t>
        </is>
      </c>
      <c r="S364" s="3" t="inlineStr">
        <is>
          <t>Policy/SOP; owner/RACI; system report; dashboard; contracts; test records; incident history; interview evidence related to forecasting capability for demand, cash, inventory, workforce, production, churn or supplier risk.</t>
        </is>
      </c>
      <c r="T364" s="3" t="inlineStr">
        <is>
          <t>Decision failure; Data loss; Regulatory/legal shock</t>
        </is>
      </c>
      <c r="U364" s="3" t="inlineStr">
        <is>
          <t>CDO / BI / Analytics</t>
        </is>
      </c>
      <c r="V364" s="3" t="inlineStr">
        <is>
          <t>Data BI AI!23</t>
        </is>
      </c>
    </row>
    <row r="365" ht="85.5" customHeight="1" s="209">
      <c r="A365" s="3" t="inlineStr">
        <is>
          <t>DATA-020</t>
        </is>
      </c>
      <c r="B365" s="3" t="inlineStr">
        <is>
          <t>Data BI AI</t>
        </is>
      </c>
      <c r="C365" s="3" t="inlineStr">
        <is>
          <t>Forecasting and scenarios</t>
        </is>
      </c>
      <c r="D365" s="3" t="inlineStr">
        <is>
          <t>How mature is the organization in managing scenario modeling using sales, suppliers, workforce, cash, inventory and system downtime, including ownership, evidence, metrics, fallback procedures and crisis stress testing?</t>
        </is>
      </c>
      <c r="E365" s="3" t="inlineStr">
        <is>
          <t>Establish a basic owner and inventory for scenario modeling using sales, suppliers, workforce, cash, inventory and system downtime. Define minimum policy, evidence location and immediate crisis relevance.</t>
        </is>
      </c>
      <c r="F365" s="3" t="inlineStr">
        <is>
          <t>Document scenario modeling using sales, suppliers, workforce, cash, inventory and system downtime, assign RACI, define minimum controls/KPIs and collect evidence across the main business units or sites.</t>
        </is>
      </c>
      <c r="G365" s="3" t="inlineStr">
        <is>
          <t>Standardize scenario modeling using sales, suppliers, workforce, cash, inventory and system downtime across the organization, close coverage gaps, link it to crisis scenarios and train accountable roles.</t>
        </is>
      </c>
      <c r="H365" s="3" t="inlineStr">
        <is>
          <t>Measure scenario modeling using sales, suppliers, workforce, cash, inventory and system downtime, review it periodically, test it against disruption scenarios and integrate it with dependent processes or systems.</t>
        </is>
      </c>
      <c r="I365" s="3" t="inlineStr">
        <is>
          <t>Optimize and automate scenario modeling using sales, suppliers, workforce, cash, inventory and system downtime where practical, use leading indicators, run periodic stress tests and update the crisis playbook.</t>
        </is>
      </c>
      <c r="J365" s="3" t="inlineStr">
        <is>
          <t>Maintain maturity for scenario modeling using sales, suppliers, workforce, cash, inventory and system downtime. Monitor drift, keep evidence current, benchmark externally and refresh tests after major changes.</t>
        </is>
      </c>
      <c r="K365" s="3" t="inlineStr">
        <is>
          <t>Reduces exposure to Decision failure; Data loss; Regulatory/legal shock; improves Forecasting and scenarios maturity, continuity and management visibility.</t>
        </is>
      </c>
      <c r="L365" s="3" t="n">
        <v>5</v>
      </c>
      <c r="M365" s="3" t="n">
        <v>5</v>
      </c>
      <c r="N365" s="3" t="n">
        <v>4</v>
      </c>
      <c r="O365" s="3" t="n">
        <v>3</v>
      </c>
      <c r="P365" s="3" t="n">
        <v>2</v>
      </c>
      <c r="Q365" s="3" t="n">
        <v>1</v>
      </c>
      <c r="R365" s="3" t="inlineStr">
        <is>
          <t>DAMA-DMBOK; ISO/IEC 38505; ISO/IEC 42001; ISO/IEC 23894; NIST AI RMF; DCAM</t>
        </is>
      </c>
      <c r="S365" s="3" t="inlineStr">
        <is>
          <t>Policy/SOP; owner/RACI; system report; dashboard; contracts; test records; incident history; interview evidence related to scenario modeling using sales, suppliers, workforce, cash, inventory and system downtime.</t>
        </is>
      </c>
      <c r="T365" s="3" t="inlineStr">
        <is>
          <t>Decision failure; Data loss; Regulatory/legal shock</t>
        </is>
      </c>
      <c r="U365" s="3" t="inlineStr">
        <is>
          <t>CDO / BI / Analytics</t>
        </is>
      </c>
      <c r="V365" s="3" t="inlineStr">
        <is>
          <t>Data BI AI!24</t>
        </is>
      </c>
    </row>
    <row r="366" ht="71.25" customHeight="1" s="209">
      <c r="A366" s="3" t="inlineStr">
        <is>
          <t>DATA-021</t>
        </is>
      </c>
      <c r="B366" s="3" t="inlineStr">
        <is>
          <t>Data BI AI</t>
        </is>
      </c>
      <c r="C366" s="3" t="inlineStr">
        <is>
          <t>Forecasting and scenarios</t>
        </is>
      </c>
      <c r="D366" s="3" t="inlineStr">
        <is>
          <t>How mature is the organization in managing leading indicators and early warnings built from internal and external data, including ownership, evidence, metrics, fallback procedures and crisis stress testing?</t>
        </is>
      </c>
      <c r="E366" s="3" t="inlineStr">
        <is>
          <t>Establish a basic owner and inventory for leading indicators and early warnings built from internal and external data. Define minimum policy, evidence location and immediate crisis relevance.</t>
        </is>
      </c>
      <c r="F366" s="3" t="inlineStr">
        <is>
          <t>Document leading indicators and early warnings built from internal and external data, assign RACI, define minimum controls/KPIs and collect evidence across the main business units or sites.</t>
        </is>
      </c>
      <c r="G366" s="3" t="inlineStr">
        <is>
          <t>Standardize leading indicators and early warnings built from internal and external data across the organization, close coverage gaps, link it to crisis scenarios and train accountable roles.</t>
        </is>
      </c>
      <c r="H366" s="3" t="inlineStr">
        <is>
          <t>Measure leading indicators and early warnings built from internal and external data, review it periodically, test it against disruption scenarios and integrate it with dependent processes or systems.</t>
        </is>
      </c>
      <c r="I366" s="3" t="inlineStr">
        <is>
          <t>Optimize and automate leading indicators and early warnings built from internal and external data where practical, use leading indicators, run periodic stress tests and update the crisis playbook.</t>
        </is>
      </c>
      <c r="J366" s="3" t="inlineStr">
        <is>
          <t>Maintain maturity for leading indicators and early warnings built from internal and external data. Monitor drift, keep evidence current, benchmark externally and refresh tests after major changes.</t>
        </is>
      </c>
      <c r="K366" s="3" t="inlineStr">
        <is>
          <t>Reduces exposure to Decision failure; Data loss; Regulatory/legal shock; improves Forecasting and scenarios maturity, continuity and management visibility.</t>
        </is>
      </c>
      <c r="L366" s="3" t="n">
        <v>5</v>
      </c>
      <c r="M366" s="3" t="n">
        <v>5</v>
      </c>
      <c r="N366" s="3" t="n">
        <v>4</v>
      </c>
      <c r="O366" s="3" t="n">
        <v>3</v>
      </c>
      <c r="P366" s="3" t="n">
        <v>2</v>
      </c>
      <c r="Q366" s="3" t="n">
        <v>1</v>
      </c>
      <c r="R366" s="3" t="inlineStr">
        <is>
          <t>DAMA-DMBOK; ISO/IEC 38505; ISO/IEC 42001; ISO/IEC 23894; NIST AI RMF; DCAM</t>
        </is>
      </c>
      <c r="S366" s="3" t="inlineStr">
        <is>
          <t>Policy/SOP; owner/RACI; system report; dashboard; contracts; test records; incident history; interview evidence related to leading indicators and early warnings built from internal and external data.</t>
        </is>
      </c>
      <c r="T366" s="3" t="inlineStr">
        <is>
          <t>Decision failure; Data loss; Regulatory/legal shock</t>
        </is>
      </c>
      <c r="U366" s="3" t="inlineStr">
        <is>
          <t>CDO / BI / Analytics</t>
        </is>
      </c>
      <c r="V366" s="3" t="inlineStr">
        <is>
          <t>Data BI AI!25</t>
        </is>
      </c>
    </row>
    <row r="367" ht="71.25" customHeight="1" s="209">
      <c r="A367" s="3" t="inlineStr">
        <is>
          <t>DATA-022</t>
        </is>
      </c>
      <c r="B367" s="3" t="inlineStr">
        <is>
          <t>Data BI AI</t>
        </is>
      </c>
      <c r="C367" s="3" t="inlineStr">
        <is>
          <t>Forecasting and scenarios</t>
        </is>
      </c>
      <c r="D367" s="3" t="inlineStr">
        <is>
          <t>How mature is the organization in managing model validation and backtesting for forecasts and risk models, including ownership, evidence, metrics, fallback procedures and crisis stress testing?</t>
        </is>
      </c>
      <c r="E367" s="3" t="inlineStr">
        <is>
          <t>Establish a basic owner and inventory for model validation and backtesting for forecasts and risk models. Define minimum policy, evidence location and immediate crisis relevance.</t>
        </is>
      </c>
      <c r="F367" s="3" t="inlineStr">
        <is>
          <t>Document model validation and backtesting for forecasts and risk models, assign RACI, define minimum controls/KPIs and collect evidence across the main business units or sites.</t>
        </is>
      </c>
      <c r="G367" s="3" t="inlineStr">
        <is>
          <t>Standardize model validation and backtesting for forecasts and risk models across the organization, close coverage gaps, link it to crisis scenarios and train accountable roles.</t>
        </is>
      </c>
      <c r="H367" s="3" t="inlineStr">
        <is>
          <t>Measure model validation and backtesting for forecasts and risk models, review it periodically, test it against disruption scenarios and integrate it with dependent processes or systems.</t>
        </is>
      </c>
      <c r="I367" s="3" t="inlineStr">
        <is>
          <t>Optimize and automate model validation and backtesting for forecasts and risk models where practical, use leading indicators, run periodic stress tests and update the crisis playbook.</t>
        </is>
      </c>
      <c r="J367" s="3" t="inlineStr">
        <is>
          <t>Maintain maturity for model validation and backtesting for forecasts and risk models. Monitor drift, keep evidence current, benchmark externally and refresh tests after major changes.</t>
        </is>
      </c>
      <c r="K367" s="3" t="inlineStr">
        <is>
          <t>Reduces exposure to Decision failure; Data loss; Regulatory/legal shock; improves Forecasting and scenarios maturity, continuity and management visibility.</t>
        </is>
      </c>
      <c r="L367" s="3" t="n">
        <v>5</v>
      </c>
      <c r="M367" s="3" t="n">
        <v>5</v>
      </c>
      <c r="N367" s="3" t="n">
        <v>4</v>
      </c>
      <c r="O367" s="3" t="n">
        <v>3</v>
      </c>
      <c r="P367" s="3" t="n">
        <v>2</v>
      </c>
      <c r="Q367" s="3" t="n">
        <v>1</v>
      </c>
      <c r="R367" s="3" t="inlineStr">
        <is>
          <t>DAMA-DMBOK; ISO/IEC 38505; ISO/IEC 42001; ISO/IEC 23894; NIST AI RMF; DCAM</t>
        </is>
      </c>
      <c r="S367" s="3" t="inlineStr">
        <is>
          <t>Policy/SOP; owner/RACI; system report; dashboard; contracts; test records; incident history; interview evidence related to model validation and backtesting for forecasts and risk models.</t>
        </is>
      </c>
      <c r="T367" s="3" t="inlineStr">
        <is>
          <t>Decision failure; Data loss; Regulatory/legal shock</t>
        </is>
      </c>
      <c r="U367" s="3" t="inlineStr">
        <is>
          <t>CDO / BI / Analytics</t>
        </is>
      </c>
      <c r="V367" s="3" t="inlineStr">
        <is>
          <t>Data BI AI!26</t>
        </is>
      </c>
    </row>
    <row r="368" ht="85.5" customHeight="1" s="209">
      <c r="A368" s="3" t="inlineStr">
        <is>
          <t>DATA-023</t>
        </is>
      </c>
      <c r="B368" s="3" t="inlineStr">
        <is>
          <t>Data BI AI</t>
        </is>
      </c>
      <c r="C368" s="3" t="inlineStr">
        <is>
          <t>AI readiness</t>
        </is>
      </c>
      <c r="D368" s="3" t="inlineStr">
        <is>
          <t>How mature is the organization in managing AI and analytics use case portfolio linked to business value, risk and feasibility, including ownership, evidence, metrics, fallback procedures and crisis stress testing?</t>
        </is>
      </c>
      <c r="E368" s="3" t="inlineStr">
        <is>
          <t>Establish a basic owner and inventory for AI and analytics use case portfolio linked to business value, risk and feasibility. Define minimum policy, evidence location and immediate crisis relevance.</t>
        </is>
      </c>
      <c r="F368" s="3" t="inlineStr">
        <is>
          <t>Document AI and analytics use case portfolio linked to business value, risk and feasibility, assign RACI, define minimum controls/KPIs and collect evidence across the main business units or sites.</t>
        </is>
      </c>
      <c r="G368" s="3" t="inlineStr">
        <is>
          <t>Standardize AI and analytics use case portfolio linked to business value, risk and feasibility across the organization, close coverage gaps, link it to crisis scenarios and train accountable roles.</t>
        </is>
      </c>
      <c r="H368" s="3" t="inlineStr">
        <is>
          <t>Measure AI and analytics use case portfolio linked to business value, risk and feasibility, review it periodically, test it against disruption scenarios and integrate it with dependent processes or systems.</t>
        </is>
      </c>
      <c r="I368" s="3" t="inlineStr">
        <is>
          <t>Optimize and automate AI and analytics use case portfolio linked to business value, risk and feasibility where practical, use leading indicators, run periodic stress tests and update the crisis playbook.</t>
        </is>
      </c>
      <c r="J368" s="3" t="inlineStr">
        <is>
          <t>Maintain maturity for AI and analytics use case portfolio linked to business value, risk and feasibility. Monitor drift, keep evidence current, benchmark externally and refresh tests after major changes.</t>
        </is>
      </c>
      <c r="K368" s="3" t="inlineStr">
        <is>
          <t>Reduces exposure to Decision failure; Data loss; Regulatory/legal shock; improves AI readiness maturity, continuity and management visibility.</t>
        </is>
      </c>
      <c r="L368" s="3" t="n">
        <v>5</v>
      </c>
      <c r="M368" s="3" t="n">
        <v>5</v>
      </c>
      <c r="N368" s="3" t="n">
        <v>4</v>
      </c>
      <c r="O368" s="3" t="n">
        <v>3</v>
      </c>
      <c r="P368" s="3" t="n">
        <v>2</v>
      </c>
      <c r="Q368" s="3" t="n">
        <v>1</v>
      </c>
      <c r="R368" s="3" t="inlineStr">
        <is>
          <t>DAMA-DMBOK; ISO/IEC 38505; ISO/IEC 42001; ISO/IEC 23894; NIST AI RMF; DCAM</t>
        </is>
      </c>
      <c r="S368" s="3" t="inlineStr">
        <is>
          <t>Policy/SOP; owner/RACI; system report; dashboard; contracts; test records; incident history; interview evidence related to AI and analytics use case portfolio linked to business value, risk and feasibility.</t>
        </is>
      </c>
      <c r="T368" s="3" t="inlineStr">
        <is>
          <t>Decision failure; Data loss; Regulatory/legal shock</t>
        </is>
      </c>
      <c r="U368" s="3" t="inlineStr">
        <is>
          <t>CDO / BI / Analytics</t>
        </is>
      </c>
      <c r="V368" s="3" t="inlineStr">
        <is>
          <t>Data BI AI!27</t>
        </is>
      </c>
    </row>
    <row r="369" ht="85.5" customHeight="1" s="209">
      <c r="A369" s="3" t="inlineStr">
        <is>
          <t>DATA-024</t>
        </is>
      </c>
      <c r="B369" s="3" t="inlineStr">
        <is>
          <t>Data BI AI</t>
        </is>
      </c>
      <c r="C369" s="3" t="inlineStr">
        <is>
          <t>AI readiness</t>
        </is>
      </c>
      <c r="D369" s="3" t="inlineStr">
        <is>
          <t>How mature is the organization in managing AI governance for privacy, security, explainability, bias, human oversight and model risk, including ownership, evidence, metrics, fallback procedures and crisis stress testing?</t>
        </is>
      </c>
      <c r="E369" s="3" t="inlineStr">
        <is>
          <t>Establish a basic owner and inventory for AI governance for privacy, security, explainability, bias, human oversight and model risk. Define minimum policy, evidence location and immediate crisis relevance.</t>
        </is>
      </c>
      <c r="F369" s="3" t="inlineStr">
        <is>
          <t>Document AI governance for privacy, security, explainability, bias, human oversight and model risk, assign RACI, define minimum controls/KPIs and collect evidence across the main business units or sites.</t>
        </is>
      </c>
      <c r="G369" s="3" t="inlineStr">
        <is>
          <t>Standardize AI governance for privacy, security, explainability, bias, human oversight and model risk across the organization, close coverage gaps, link it to crisis scenarios and train accountable roles.</t>
        </is>
      </c>
      <c r="H369" s="3" t="inlineStr">
        <is>
          <t>Measure AI governance for privacy, security, explainability, bias, human oversight and model risk, review it periodically, test it against disruption scenarios and integrate it with dependent processes or systems.</t>
        </is>
      </c>
      <c r="I369" s="3" t="inlineStr">
        <is>
          <t>Optimize and automate AI governance for privacy, security, explainability, bias, human oversight and model risk where practical, use leading indicators, run periodic stress tests and update the crisis playbook.</t>
        </is>
      </c>
      <c r="J369" s="3" t="inlineStr">
        <is>
          <t>Maintain maturity for AI governance for privacy, security, explainability, bias, human oversight and model risk. Monitor drift, keep evidence current, benchmark externally and refresh tests after major changes.</t>
        </is>
      </c>
      <c r="K369" s="3" t="inlineStr">
        <is>
          <t>Reduces exposure to Decision failure; Data loss; Regulatory/legal shock; improves AI readiness maturity, continuity and management visibility.</t>
        </is>
      </c>
      <c r="L369" s="3" t="n">
        <v>5</v>
      </c>
      <c r="M369" s="3" t="n">
        <v>5</v>
      </c>
      <c r="N369" s="3" t="n">
        <v>4</v>
      </c>
      <c r="O369" s="3" t="n">
        <v>3</v>
      </c>
      <c r="P369" s="3" t="n">
        <v>2</v>
      </c>
      <c r="Q369" s="3" t="n">
        <v>1</v>
      </c>
      <c r="R369" s="3" t="inlineStr">
        <is>
          <t>DAMA-DMBOK; ISO/IEC 38505; ISO/IEC 42001; ISO/IEC 23894; NIST AI RMF; DCAM</t>
        </is>
      </c>
      <c r="S369" s="3" t="inlineStr">
        <is>
          <t>Policy/SOP; owner/RACI; system report; dashboard; contracts; test records; incident history; interview evidence related to AI governance for privacy, security, explainability, bias, human oversight and model risk.</t>
        </is>
      </c>
      <c r="T369" s="3" t="inlineStr">
        <is>
          <t>Decision failure; Data loss; Regulatory/legal shock</t>
        </is>
      </c>
      <c r="U369" s="3" t="inlineStr">
        <is>
          <t>CDO / BI / Analytics</t>
        </is>
      </c>
      <c r="V369" s="3" t="inlineStr">
        <is>
          <t>Data BI AI!28</t>
        </is>
      </c>
    </row>
    <row r="370" ht="85.5" customHeight="1" s="209">
      <c r="A370" s="3" t="inlineStr">
        <is>
          <t>DATA-025</t>
        </is>
      </c>
      <c r="B370" s="3" t="inlineStr">
        <is>
          <t>Data BI AI</t>
        </is>
      </c>
      <c r="C370" s="3" t="inlineStr">
        <is>
          <t>AI readiness</t>
        </is>
      </c>
      <c r="D370" s="3" t="inlineStr">
        <is>
          <t>How mature is the organization in managing LLM usage policy covering data leakage, IP, accuracy, approval and acceptable use, including ownership, evidence, metrics, fallback procedures and crisis stress testing?</t>
        </is>
      </c>
      <c r="E370" s="3" t="inlineStr">
        <is>
          <t>Establish a basic owner and inventory for LLM usage policy covering data leakage, IP, accuracy, approval and acceptable use. Define minimum policy, evidence location and immediate crisis relevance.</t>
        </is>
      </c>
      <c r="F370" s="3" t="inlineStr">
        <is>
          <t>Document LLM usage policy covering data leakage, IP, accuracy, approval and acceptable use, assign RACI, define minimum controls/KPIs and collect evidence across the main business units or sites.</t>
        </is>
      </c>
      <c r="G370" s="3" t="inlineStr">
        <is>
          <t>Standardize LLM usage policy covering data leakage, IP, accuracy, approval and acceptable use across the organization, close coverage gaps, link it to crisis scenarios and train accountable roles.</t>
        </is>
      </c>
      <c r="H370" s="3" t="inlineStr">
        <is>
          <t>Measure LLM usage policy covering data leakage, IP, accuracy, approval and acceptable use, review it periodically, test it against disruption scenarios and integrate it with dependent processes or systems.</t>
        </is>
      </c>
      <c r="I370" s="3" t="inlineStr">
        <is>
          <t>Optimize and automate LLM usage policy covering data leakage, IP, accuracy, approval and acceptable use where practical, use leading indicators, run periodic stress tests and update the crisis playbook.</t>
        </is>
      </c>
      <c r="J370" s="3" t="inlineStr">
        <is>
          <t>Maintain maturity for LLM usage policy covering data leakage, IP, accuracy, approval and acceptable use. Monitor drift, keep evidence current, benchmark externally and refresh tests after major changes.</t>
        </is>
      </c>
      <c r="K370" s="3" t="inlineStr">
        <is>
          <t>Reduces exposure to Decision failure; Data loss; Regulatory/legal shock; improves AI readiness maturity, continuity and management visibility.</t>
        </is>
      </c>
      <c r="L370" s="3" t="n">
        <v>5</v>
      </c>
      <c r="M370" s="3" t="n">
        <v>5</v>
      </c>
      <c r="N370" s="3" t="n">
        <v>4</v>
      </c>
      <c r="O370" s="3" t="n">
        <v>3</v>
      </c>
      <c r="P370" s="3" t="n">
        <v>2</v>
      </c>
      <c r="Q370" s="3" t="n">
        <v>1</v>
      </c>
      <c r="R370" s="3" t="inlineStr">
        <is>
          <t>DAMA-DMBOK; ISO/IEC 38505; ISO/IEC 42001; ISO/IEC 23894; NIST AI RMF; DCAM</t>
        </is>
      </c>
      <c r="S370" s="3" t="inlineStr">
        <is>
          <t>Policy/SOP; owner/RACI; system report; dashboard; contracts; test records; incident history; interview evidence related to LLM usage policy covering data leakage, IP, accuracy, approval and acceptable use.</t>
        </is>
      </c>
      <c r="T370" s="3" t="inlineStr">
        <is>
          <t>Decision failure; Data loss; Regulatory/legal shock</t>
        </is>
      </c>
      <c r="U370" s="3" t="inlineStr">
        <is>
          <t>CDO / BI / Analytics</t>
        </is>
      </c>
      <c r="V370" s="3" t="inlineStr">
        <is>
          <t>Data BI AI!29</t>
        </is>
      </c>
    </row>
    <row r="371" ht="85.5" customHeight="1" s="209">
      <c r="A371" s="3" t="inlineStr">
        <is>
          <t>DATA-026</t>
        </is>
      </c>
      <c r="B371" s="3" t="inlineStr">
        <is>
          <t>Data BI AI</t>
        </is>
      </c>
      <c r="C371" s="3" t="inlineStr">
        <is>
          <t>AI readiness</t>
        </is>
      </c>
      <c r="D371" s="3" t="inlineStr">
        <is>
          <t>How mature is the organization in managing AI model register and monitoring for drift, accuracy, performance and business impact, including ownership, evidence, metrics, fallback procedures and crisis stress testing?</t>
        </is>
      </c>
      <c r="E371" s="3" t="inlineStr">
        <is>
          <t>Establish a basic owner and inventory for AI model register and monitoring for drift, accuracy, performance and business impact. Define minimum policy, evidence location and immediate crisis relevance.</t>
        </is>
      </c>
      <c r="F371" s="3" t="inlineStr">
        <is>
          <t>Document AI model register and monitoring for drift, accuracy, performance and business impact, assign RACI, define minimum controls/KPIs and collect evidence across the main business units or sites.</t>
        </is>
      </c>
      <c r="G371" s="3" t="inlineStr">
        <is>
          <t>Standardize AI model register and monitoring for drift, accuracy, performance and business impact across the organization, close coverage gaps, link it to crisis scenarios and train accountable roles.</t>
        </is>
      </c>
      <c r="H371" s="3" t="inlineStr">
        <is>
          <t>Measure AI model register and monitoring for drift, accuracy, performance and business impact, review it periodically, test it against disruption scenarios and integrate it with dependent processes or systems.</t>
        </is>
      </c>
      <c r="I371" s="3" t="inlineStr">
        <is>
          <t>Optimize and automate AI model register and monitoring for drift, accuracy, performance and business impact where practical, use leading indicators, run periodic stress tests and update the crisis playbook.</t>
        </is>
      </c>
      <c r="J371" s="3" t="inlineStr">
        <is>
          <t>Maintain maturity for AI model register and monitoring for drift, accuracy, performance and business impact. Monitor drift, keep evidence current, benchmark externally and refresh tests after major changes.</t>
        </is>
      </c>
      <c r="K371" s="3" t="inlineStr">
        <is>
          <t>Reduces exposure to Decision failure; Data loss; Regulatory/legal shock; improves AI readiness maturity, continuity and management visibility.</t>
        </is>
      </c>
      <c r="L371" s="3" t="n">
        <v>5</v>
      </c>
      <c r="M371" s="3" t="n">
        <v>5</v>
      </c>
      <c r="N371" s="3" t="n">
        <v>4</v>
      </c>
      <c r="O371" s="3" t="n">
        <v>3</v>
      </c>
      <c r="P371" s="3" t="n">
        <v>2</v>
      </c>
      <c r="Q371" s="3" t="n">
        <v>1</v>
      </c>
      <c r="R371" s="3" t="inlineStr">
        <is>
          <t>DAMA-DMBOK; ISO/IEC 38505; ISO/IEC 42001; ISO/IEC 23894; NIST AI RMF; DCAM</t>
        </is>
      </c>
      <c r="S371" s="3" t="inlineStr">
        <is>
          <t>Policy/SOP; owner/RACI; system report; dashboard; contracts; test records; incident history; interview evidence related to AI model register and monitoring for drift, accuracy, performance and business impact.</t>
        </is>
      </c>
      <c r="T371" s="3" t="inlineStr">
        <is>
          <t>Decision failure; Data loss; Regulatory/legal shock</t>
        </is>
      </c>
      <c r="U371" s="3" t="inlineStr">
        <is>
          <t>CDO / BI / Analytics</t>
        </is>
      </c>
      <c r="V371" s="3" t="inlineStr">
        <is>
          <t>Data BI AI!30</t>
        </is>
      </c>
    </row>
    <row r="372" ht="85.5" customHeight="1" s="209">
      <c r="A372" s="3" t="inlineStr">
        <is>
          <t>DATA-027</t>
        </is>
      </c>
      <c r="B372" s="3" t="inlineStr">
        <is>
          <t>Data BI AI</t>
        </is>
      </c>
      <c r="C372" s="3" t="inlineStr">
        <is>
          <t>AI readiness</t>
        </is>
      </c>
      <c r="D372" s="3" t="inlineStr">
        <is>
          <t>How mature is the organization in managing responsible AI controls for customer-facing, employee-facing and decision-support use cases, including ownership, evidence, metrics, fallback procedures and crisis stress testing?</t>
        </is>
      </c>
      <c r="E372" s="3" t="inlineStr">
        <is>
          <t>Establish a basic owner and inventory for responsible AI controls for customer-facing, employee-facing and decision-support use cases. Define minimum policy, evidence location and immediate crisis relevance.</t>
        </is>
      </c>
      <c r="F372" s="3" t="inlineStr">
        <is>
          <t>Document responsible AI controls for customer-facing, employee-facing and decision-support use cases, assign RACI, define minimum controls/KPIs and collect evidence across the main business units or sites.</t>
        </is>
      </c>
      <c r="G372" s="3" t="inlineStr">
        <is>
          <t>Standardize responsible AI controls for customer-facing, employee-facing and decision-support use cases across the organization, close coverage gaps, link it to crisis scenarios and train accountable roles.</t>
        </is>
      </c>
      <c r="H372" s="3" t="inlineStr">
        <is>
          <t>Measure responsible AI controls for customer-facing, employee-facing and decision-support use cases, review it periodically, test it against disruption scenarios and integrate it with dependent processes or systems.</t>
        </is>
      </c>
      <c r="I372" s="3" t="inlineStr">
        <is>
          <t>Optimize and automate responsible AI controls for customer-facing, employee-facing and decision-support use cases where practical, use leading indicators, run periodic stress tests and update the crisis playbook.</t>
        </is>
      </c>
      <c r="J372" s="3" t="inlineStr">
        <is>
          <t>Maintain maturity for responsible AI controls for customer-facing, employee-facing and decision-support use cases. Monitor drift, keep evidence current, benchmark externally and refresh tests after major changes.</t>
        </is>
      </c>
      <c r="K372" s="3" t="inlineStr">
        <is>
          <t>Reduces exposure to Decision failure; Data loss; Regulatory/legal shock; improves AI readiness maturity, continuity and management visibility.</t>
        </is>
      </c>
      <c r="L372" s="3" t="n">
        <v>5</v>
      </c>
      <c r="M372" s="3" t="n">
        <v>5</v>
      </c>
      <c r="N372" s="3" t="n">
        <v>4</v>
      </c>
      <c r="O372" s="3" t="n">
        <v>3</v>
      </c>
      <c r="P372" s="3" t="n">
        <v>2</v>
      </c>
      <c r="Q372" s="3" t="n">
        <v>1</v>
      </c>
      <c r="R372" s="3" t="inlineStr">
        <is>
          <t>DAMA-DMBOK; ISO/IEC 38505; ISO/IEC 42001; ISO/IEC 23894; NIST AI RMF; DCAM</t>
        </is>
      </c>
      <c r="S372" s="3" t="inlineStr">
        <is>
          <t>Policy/SOP; owner/RACI; system report; dashboard; contracts; test records; incident history; interview evidence related to responsible AI controls for customer-facing, employee-facing and decision-support use cases.</t>
        </is>
      </c>
      <c r="T372" s="3" t="inlineStr">
        <is>
          <t>Decision failure; Data loss; Regulatory/legal shock</t>
        </is>
      </c>
      <c r="U372" s="3" t="inlineStr">
        <is>
          <t>CDO / BI / Analytics</t>
        </is>
      </c>
      <c r="V372" s="3" t="inlineStr">
        <is>
          <t>Data BI AI!31</t>
        </is>
      </c>
    </row>
    <row r="373" ht="85.5" customHeight="1" s="209">
      <c r="A373" s="3" t="inlineStr">
        <is>
          <t>CYBE-001</t>
        </is>
      </c>
      <c r="B373" s="3" t="inlineStr">
        <is>
          <t>Cyber Privacy</t>
        </is>
      </c>
      <c r="C373" s="3" t="inlineStr">
        <is>
          <t>Security governance</t>
        </is>
      </c>
      <c r="D373" s="3" t="inlineStr">
        <is>
          <t>How mature is the organization in managing information security management system with policies, owners, risks and controls, including ownership, evidence, metrics, fallback procedures and crisis stress testing?</t>
        </is>
      </c>
      <c r="E373" s="3" t="inlineStr">
        <is>
          <t>Establish a basic owner and inventory for information security management system with policies, owners, risks and controls. Define minimum policy, evidence location and immediate crisis relevance.</t>
        </is>
      </c>
      <c r="F373" s="3" t="inlineStr">
        <is>
          <t>Document information security management system with policies, owners, risks and controls, assign RACI, define minimum controls/KPIs and collect evidence across the main business units or sites.</t>
        </is>
      </c>
      <c r="G373" s="3" t="inlineStr">
        <is>
          <t>Standardize information security management system with policies, owners, risks and controls across the organization, close coverage gaps, link it to crisis scenarios and train accountable roles.</t>
        </is>
      </c>
      <c r="H373" s="3" t="inlineStr">
        <is>
          <t>Measure information security management system with policies, owners, risks and controls, review it periodically, test it against disruption scenarios and integrate it with dependent processes or systems.</t>
        </is>
      </c>
      <c r="I373" s="3" t="inlineStr">
        <is>
          <t>Optimize and automate information security management system with policies, owners, risks and controls where practical, use leading indicators, run periodic stress tests and update the crisis playbook.</t>
        </is>
      </c>
      <c r="J373" s="3" t="inlineStr">
        <is>
          <t>Maintain maturity for information security management system with policies, owners, risks and controls. Monitor drift, keep evidence current, benchmark externally and refresh tests after major changes.</t>
        </is>
      </c>
      <c r="K373" s="3" t="inlineStr">
        <is>
          <t>Reduces exposure to Cyberattack; Data breach; Ransomware; Insider threat; improves Security governance maturity, continuity and management visibility.</t>
        </is>
      </c>
      <c r="L373" s="3" t="n">
        <v>5</v>
      </c>
      <c r="M373" s="3" t="n">
        <v>5</v>
      </c>
      <c r="N373" s="3" t="n">
        <v>4</v>
      </c>
      <c r="O373" s="3" t="n">
        <v>3</v>
      </c>
      <c r="P373" s="3" t="n">
        <v>2</v>
      </c>
      <c r="Q373" s="3" t="n">
        <v>1</v>
      </c>
      <c r="R373" s="3" t="inlineStr">
        <is>
          <t>ISO/IEC 27001; ISO/IEC 27002; NIST CSF 2.0; CIS Controls; ISO/IEC 27701; GDPR; IEC 62443</t>
        </is>
      </c>
      <c r="S373" s="3" t="inlineStr">
        <is>
          <t>Policy/SOP; owner/RACI; system report; dashboard; contracts; test records; incident history; interview evidence related to information security management system with policies, owners, risks and controls.</t>
        </is>
      </c>
      <c r="T373" s="3" t="inlineStr">
        <is>
          <t>Cyberattack; Data breach; Ransomware; Insider threat</t>
        </is>
      </c>
      <c r="U373" s="3" t="inlineStr">
        <is>
          <t>CISO / IT Security</t>
        </is>
      </c>
      <c r="V373" s="3" t="inlineStr">
        <is>
          <t>Cyber Privacy!5</t>
        </is>
      </c>
    </row>
    <row r="374" ht="71.25" customHeight="1" s="209">
      <c r="A374" s="3" t="inlineStr">
        <is>
          <t>CYBE-002</t>
        </is>
      </c>
      <c r="B374" s="3" t="inlineStr">
        <is>
          <t>Cyber Privacy</t>
        </is>
      </c>
      <c r="C374" s="3" t="inlineStr">
        <is>
          <t>Security governance</t>
        </is>
      </c>
      <c r="D374" s="3" t="inlineStr">
        <is>
          <t>How mature is the organization in managing cyber risk register linked to business impact and crisis scenarios, including ownership, evidence, metrics, fallback procedures and crisis stress testing?</t>
        </is>
      </c>
      <c r="E374" s="3" t="inlineStr">
        <is>
          <t>Establish a basic owner and inventory for cyber risk register linked to business impact and crisis scenarios. Define minimum policy, evidence location and immediate crisis relevance.</t>
        </is>
      </c>
      <c r="F374" s="3" t="inlineStr">
        <is>
          <t>Document cyber risk register linked to business impact and crisis scenarios, assign RACI, define minimum controls/KPIs and collect evidence across the main business units or sites.</t>
        </is>
      </c>
      <c r="G374" s="3" t="inlineStr">
        <is>
          <t>Standardize cyber risk register linked to business impact and crisis scenarios across the organization, close coverage gaps, link it to crisis scenarios and train accountable roles.</t>
        </is>
      </c>
      <c r="H374" s="3" t="inlineStr">
        <is>
          <t>Measure cyber risk register linked to business impact and crisis scenarios, review it periodically, test it against disruption scenarios and integrate it with dependent processes or systems.</t>
        </is>
      </c>
      <c r="I374" s="3" t="inlineStr">
        <is>
          <t>Optimize and automate cyber risk register linked to business impact and crisis scenarios where practical, use leading indicators, run periodic stress tests and update the crisis playbook.</t>
        </is>
      </c>
      <c r="J374" s="3" t="inlineStr">
        <is>
          <t>Maintain maturity for cyber risk register linked to business impact and crisis scenarios. Monitor drift, keep evidence current, benchmark externally and refresh tests after major changes.</t>
        </is>
      </c>
      <c r="K374" s="3" t="inlineStr">
        <is>
          <t>Reduces exposure to Cyberattack; Data breach; Ransomware; Insider threat; improves Security governance maturity, continuity and management visibility.</t>
        </is>
      </c>
      <c r="L374" s="3" t="n">
        <v>5</v>
      </c>
      <c r="M374" s="3" t="n">
        <v>5</v>
      </c>
      <c r="N374" s="3" t="n">
        <v>4</v>
      </c>
      <c r="O374" s="3" t="n">
        <v>3</v>
      </c>
      <c r="P374" s="3" t="n">
        <v>2</v>
      </c>
      <c r="Q374" s="3" t="n">
        <v>1</v>
      </c>
      <c r="R374" s="3" t="inlineStr">
        <is>
          <t>ISO/IEC 27001; ISO/IEC 27002; NIST CSF 2.0; CIS Controls; ISO/IEC 27701; GDPR; IEC 62443</t>
        </is>
      </c>
      <c r="S374" s="3" t="inlineStr">
        <is>
          <t>Policy/SOP; owner/RACI; system report; dashboard; contracts; test records; incident history; interview evidence related to cyber risk register linked to business impact and crisis scenarios.</t>
        </is>
      </c>
      <c r="T374" s="3" t="inlineStr">
        <is>
          <t>Cyberattack; Data breach; Ransomware; Insider threat</t>
        </is>
      </c>
      <c r="U374" s="3" t="inlineStr">
        <is>
          <t>CISO / IT Security</t>
        </is>
      </c>
      <c r="V374" s="3" t="inlineStr">
        <is>
          <t>Cyber Privacy!6</t>
        </is>
      </c>
    </row>
    <row r="375" ht="85.5" customHeight="1" s="209">
      <c r="A375" s="3" t="inlineStr">
        <is>
          <t>CYBE-003</t>
        </is>
      </c>
      <c r="B375" s="3" t="inlineStr">
        <is>
          <t>Cyber Privacy</t>
        </is>
      </c>
      <c r="C375" s="3" t="inlineStr">
        <is>
          <t>Security governance</t>
        </is>
      </c>
      <c r="D375" s="3" t="inlineStr">
        <is>
          <t>How mature is the organization in managing security KPI reporting to leadership covering vulnerabilities, incidents, MFA, phishing, backups and access reviews, including ownership, evidence, metrics, fallback procedures and crisis stress testing?</t>
        </is>
      </c>
      <c r="E375" s="3" t="inlineStr">
        <is>
          <t>Establish a basic owner and inventory for security KPI reporting to leadership covering vulnerabilities, incidents, MFA, phishing, backups and access reviews. Define minimum policy, evidence location and immediate crisis relevance.</t>
        </is>
      </c>
      <c r="F375" s="3" t="inlineStr">
        <is>
          <t>Document security KPI reporting to leadership covering vulnerabilities, incidents, MFA, phishing, backups and access reviews, assign RACI, define minimum controls/KPIs and collect evidence across the main business units or sites.</t>
        </is>
      </c>
      <c r="G375" s="3" t="inlineStr">
        <is>
          <t>Standardize security KPI reporting to leadership covering vulnerabilities, incidents, MFA, phishing, backups and access reviews across the organization, close coverage gaps, link it to crisis scenarios and train accountable roles.</t>
        </is>
      </c>
      <c r="H375" s="3" t="inlineStr">
        <is>
          <t>Measure security KPI reporting to leadership covering vulnerabilities, incidents, MFA, phishing, backups and access reviews, review it periodically, test it against disruption scenarios and integrate it with dependent processes or systems.</t>
        </is>
      </c>
      <c r="I375" s="3" t="inlineStr">
        <is>
          <t>Optimize and automate security KPI reporting to leadership covering vulnerabilities, incidents, MFA, phishing, backups and access reviews where practical, use leading indicators, run periodic stress tests and update the crisis playbook.</t>
        </is>
      </c>
      <c r="J375" s="3" t="inlineStr">
        <is>
          <t>Maintain maturity for security KPI reporting to leadership covering vulnerabilities, incidents, MFA, phishing, backups and access reviews. Monitor drift, keep evidence current, benchmark externally and refresh tests after major changes.</t>
        </is>
      </c>
      <c r="K375" s="3" t="inlineStr">
        <is>
          <t>Reduces exposure to Cyberattack; Data breach; Ransomware; Insider threat; improves Security governance maturity, continuity and management visibility.</t>
        </is>
      </c>
      <c r="L375" s="3" t="n">
        <v>5</v>
      </c>
      <c r="M375" s="3" t="n">
        <v>5</v>
      </c>
      <c r="N375" s="3" t="n">
        <v>4</v>
      </c>
      <c r="O375" s="3" t="n">
        <v>3</v>
      </c>
      <c r="P375" s="3" t="n">
        <v>2</v>
      </c>
      <c r="Q375" s="3" t="n">
        <v>1</v>
      </c>
      <c r="R375" s="3" t="inlineStr">
        <is>
          <t>ISO/IEC 27001; ISO/IEC 27002; NIST CSF 2.0; CIS Controls; ISO/IEC 27701; GDPR; IEC 62443</t>
        </is>
      </c>
      <c r="S375" s="3" t="inlineStr">
        <is>
          <t>Policy/SOP; owner/RACI; system report; dashboard; contracts; test records; incident history; interview evidence related to security KPI reporting to leadership covering vulnerabilities, incidents, MFA, phishing, backups and access reviews.</t>
        </is>
      </c>
      <c r="T375" s="3" t="inlineStr">
        <is>
          <t>Cyberattack; Data breach; Ransomware; Insider threat</t>
        </is>
      </c>
      <c r="U375" s="3" t="inlineStr">
        <is>
          <t>CISO / IT Security</t>
        </is>
      </c>
      <c r="V375" s="3" t="inlineStr">
        <is>
          <t>Cyber Privacy!7</t>
        </is>
      </c>
    </row>
    <row r="376" ht="85.5" customHeight="1" s="209">
      <c r="A376" s="3" t="inlineStr">
        <is>
          <t>CYBE-004</t>
        </is>
      </c>
      <c r="B376" s="3" t="inlineStr">
        <is>
          <t>Cyber Privacy</t>
        </is>
      </c>
      <c r="C376" s="3" t="inlineStr">
        <is>
          <t>Security governance</t>
        </is>
      </c>
      <c r="D376" s="3" t="inlineStr">
        <is>
          <t>How mature is the organization in managing security evidence readiness for customers, regulators, insurers and partners, including ownership, evidence, metrics, fallback procedures and crisis stress testing?</t>
        </is>
      </c>
      <c r="E376" s="3" t="inlineStr">
        <is>
          <t>Establish a basic owner and inventory for security evidence readiness for customers, regulators, insurers and partners. Define minimum policy, evidence location and immediate crisis relevance.</t>
        </is>
      </c>
      <c r="F376" s="3" t="inlineStr">
        <is>
          <t>Document security evidence readiness for customers, regulators, insurers and partners, assign RACI, define minimum controls/KPIs and collect evidence across the main business units or sites.</t>
        </is>
      </c>
      <c r="G376" s="3" t="inlineStr">
        <is>
          <t>Standardize security evidence readiness for customers, regulators, insurers and partners across the organization, close coverage gaps, link it to crisis scenarios and train accountable roles.</t>
        </is>
      </c>
      <c r="H376" s="3" t="inlineStr">
        <is>
          <t>Measure security evidence readiness for customers, regulators, insurers and partners, review it periodically, test it against disruption scenarios and integrate it with dependent processes or systems.</t>
        </is>
      </c>
      <c r="I376" s="3" t="inlineStr">
        <is>
          <t>Optimize and automate security evidence readiness for customers, regulators, insurers and partners where practical, use leading indicators, run periodic stress tests and update the crisis playbook.</t>
        </is>
      </c>
      <c r="J376" s="3" t="inlineStr">
        <is>
          <t>Maintain maturity for security evidence readiness for customers, regulators, insurers and partners. Monitor drift, keep evidence current, benchmark externally and refresh tests after major changes.</t>
        </is>
      </c>
      <c r="K376" s="3" t="inlineStr">
        <is>
          <t>Reduces exposure to Cyberattack; Data breach; Ransomware; Insider threat; improves Security governance maturity, continuity and management visibility.</t>
        </is>
      </c>
      <c r="L376" s="3" t="n">
        <v>5</v>
      </c>
      <c r="M376" s="3" t="n">
        <v>5</v>
      </c>
      <c r="N376" s="3" t="n">
        <v>4</v>
      </c>
      <c r="O376" s="3" t="n">
        <v>3</v>
      </c>
      <c r="P376" s="3" t="n">
        <v>2</v>
      </c>
      <c r="Q376" s="3" t="n">
        <v>1</v>
      </c>
      <c r="R376" s="3" t="inlineStr">
        <is>
          <t>ISO/IEC 27001; ISO/IEC 27002; NIST CSF 2.0; CIS Controls; ISO/IEC 27701; GDPR; IEC 62443</t>
        </is>
      </c>
      <c r="S376" s="3" t="inlineStr">
        <is>
          <t>Policy/SOP; owner/RACI; system report; dashboard; contracts; test records; incident history; interview evidence related to security evidence readiness for customers, regulators, insurers and partners.</t>
        </is>
      </c>
      <c r="T376" s="3" t="inlineStr">
        <is>
          <t>Cyberattack; Data breach; Ransomware; Insider threat</t>
        </is>
      </c>
      <c r="U376" s="3" t="inlineStr">
        <is>
          <t>CISO / IT Security</t>
        </is>
      </c>
      <c r="V376" s="3" t="inlineStr">
        <is>
          <t>Cyber Privacy!8</t>
        </is>
      </c>
    </row>
    <row r="377" ht="71.25" customHeight="1" s="209">
      <c r="A377" s="3" t="inlineStr">
        <is>
          <t>CYBE-005</t>
        </is>
      </c>
      <c r="B377" s="3" t="inlineStr">
        <is>
          <t>Cyber Privacy</t>
        </is>
      </c>
      <c r="C377" s="3" t="inlineStr">
        <is>
          <t>Security governance</t>
        </is>
      </c>
      <c r="D377" s="3" t="inlineStr">
        <is>
          <t>How mature is the organization in managing third-party cyber risk assessment for critical vendors and outsourced services, including ownership, evidence, metrics, fallback procedures and crisis stress testing?</t>
        </is>
      </c>
      <c r="E377" s="3" t="inlineStr">
        <is>
          <t>Establish a basic owner and inventory for third-party cyber risk assessment for critical vendors and outsourced services. Define minimum policy, evidence location and immediate crisis relevance.</t>
        </is>
      </c>
      <c r="F377" s="3" t="inlineStr">
        <is>
          <t>Document third-party cyber risk assessment for critical vendors and outsourced services, assign RACI, define minimum controls/KPIs and collect evidence across the main business units or sites.</t>
        </is>
      </c>
      <c r="G377" s="3" t="inlineStr">
        <is>
          <t>Standardize third-party cyber risk assessment for critical vendors and outsourced services across the organization, close coverage gaps, link it to crisis scenarios and train accountable roles.</t>
        </is>
      </c>
      <c r="H377" s="3" t="inlineStr">
        <is>
          <t>Measure third-party cyber risk assessment for critical vendors and outsourced services, review it periodically, test it against disruption scenarios and integrate it with dependent processes or systems.</t>
        </is>
      </c>
      <c r="I377" s="3" t="inlineStr">
        <is>
          <t>Optimize and automate third-party cyber risk assessment for critical vendors and outsourced services where practical, use leading indicators, run periodic stress tests and update the crisis playbook.</t>
        </is>
      </c>
      <c r="J377" s="3" t="inlineStr">
        <is>
          <t>Maintain maturity for third-party cyber risk assessment for critical vendors and outsourced services. Monitor drift, keep evidence current, benchmark externally and refresh tests after major changes.</t>
        </is>
      </c>
      <c r="K377" s="3" t="inlineStr">
        <is>
          <t>Reduces exposure to Cyberattack; Data breach; Ransomware; Insider threat; improves Security governance maturity, continuity and management visibility.</t>
        </is>
      </c>
      <c r="L377" s="3" t="n">
        <v>5</v>
      </c>
      <c r="M377" s="3" t="n">
        <v>5</v>
      </c>
      <c r="N377" s="3" t="n">
        <v>4</v>
      </c>
      <c r="O377" s="3" t="n">
        <v>3</v>
      </c>
      <c r="P377" s="3" t="n">
        <v>2</v>
      </c>
      <c r="Q377" s="3" t="n">
        <v>1</v>
      </c>
      <c r="R377" s="3" t="inlineStr">
        <is>
          <t>ISO/IEC 27001; ISO/IEC 27002; NIST CSF 2.0; CIS Controls; ISO/IEC 27701; GDPR; IEC 62443</t>
        </is>
      </c>
      <c r="S377" s="3" t="inlineStr">
        <is>
          <t>Policy/SOP; owner/RACI; system report; dashboard; contracts; test records; incident history; interview evidence related to third-party cyber risk assessment for critical vendors and outsourced services.</t>
        </is>
      </c>
      <c r="T377" s="3" t="inlineStr">
        <is>
          <t>Cyberattack; Data breach; Ransomware; Insider threat</t>
        </is>
      </c>
      <c r="U377" s="3" t="inlineStr">
        <is>
          <t>CISO / IT Security</t>
        </is>
      </c>
      <c r="V377" s="3" t="inlineStr">
        <is>
          <t>Cyber Privacy!9</t>
        </is>
      </c>
    </row>
    <row r="378" ht="71.25" customHeight="1" s="209">
      <c r="A378" s="3" t="inlineStr">
        <is>
          <t>CYBE-006</t>
        </is>
      </c>
      <c r="B378" s="3" t="inlineStr">
        <is>
          <t>Cyber Privacy</t>
        </is>
      </c>
      <c r="C378" s="3" t="inlineStr">
        <is>
          <t>Security governance</t>
        </is>
      </c>
      <c r="D378" s="3" t="inlineStr">
        <is>
          <t>How mature is the organization in managing security awareness and phishing training for employees and contractors, including ownership, evidence, metrics, fallback procedures and crisis stress testing?</t>
        </is>
      </c>
      <c r="E378" s="3" t="inlineStr">
        <is>
          <t>Establish a basic owner and inventory for security awareness and phishing training for employees and contractors. Define minimum policy, evidence location and immediate crisis relevance.</t>
        </is>
      </c>
      <c r="F378" s="3" t="inlineStr">
        <is>
          <t>Document security awareness and phishing training for employees and contractors, assign RACI, define minimum controls/KPIs and collect evidence across the main business units or sites.</t>
        </is>
      </c>
      <c r="G378" s="3" t="inlineStr">
        <is>
          <t>Standardize security awareness and phishing training for employees and contractors across the organization, close coverage gaps, link it to crisis scenarios and train accountable roles.</t>
        </is>
      </c>
      <c r="H378" s="3" t="inlineStr">
        <is>
          <t>Measure security awareness and phishing training for employees and contractors, review it periodically, test it against disruption scenarios and integrate it with dependent processes or systems.</t>
        </is>
      </c>
      <c r="I378" s="3" t="inlineStr">
        <is>
          <t>Optimize and automate security awareness and phishing training for employees and contractors where practical, use leading indicators, run periodic stress tests and update the crisis playbook.</t>
        </is>
      </c>
      <c r="J378" s="3" t="inlineStr">
        <is>
          <t>Maintain maturity for security awareness and phishing training for employees and contractors. Monitor drift, keep evidence current, benchmark externally and refresh tests after major changes.</t>
        </is>
      </c>
      <c r="K378" s="3" t="inlineStr">
        <is>
          <t>Reduces exposure to Cyberattack; Data breach; Ransomware; Insider threat; improves Security governance maturity, continuity and management visibility.</t>
        </is>
      </c>
      <c r="L378" s="3" t="n">
        <v>5</v>
      </c>
      <c r="M378" s="3" t="n">
        <v>5</v>
      </c>
      <c r="N378" s="3" t="n">
        <v>4</v>
      </c>
      <c r="O378" s="3" t="n">
        <v>3</v>
      </c>
      <c r="P378" s="3" t="n">
        <v>2</v>
      </c>
      <c r="Q378" s="3" t="n">
        <v>1</v>
      </c>
      <c r="R378" s="3" t="inlineStr">
        <is>
          <t>ISO/IEC 27001; ISO/IEC 27002; NIST CSF 2.0; CIS Controls; ISO/IEC 27701; GDPR; IEC 62443</t>
        </is>
      </c>
      <c r="S378" s="3" t="inlineStr">
        <is>
          <t>Policy/SOP; owner/RACI; system report; dashboard; contracts; test records; incident history; interview evidence related to security awareness and phishing training for employees and contractors.</t>
        </is>
      </c>
      <c r="T378" s="3" t="inlineStr">
        <is>
          <t>Cyberattack; Data breach; Ransomware; Insider threat</t>
        </is>
      </c>
      <c r="U378" s="3" t="inlineStr">
        <is>
          <t>CISO / IT Security</t>
        </is>
      </c>
      <c r="V378" s="3" t="inlineStr">
        <is>
          <t>Cyber Privacy!10</t>
        </is>
      </c>
    </row>
    <row r="379" ht="85.5" customHeight="1" s="209">
      <c r="A379" s="3" t="inlineStr">
        <is>
          <t>CYBE-007</t>
        </is>
      </c>
      <c r="B379" s="3" t="inlineStr">
        <is>
          <t>Cyber Privacy</t>
        </is>
      </c>
      <c r="C379" s="3" t="inlineStr">
        <is>
          <t>Identity and access</t>
        </is>
      </c>
      <c r="D379" s="3" t="inlineStr">
        <is>
          <t>How mature is the organization in managing joiner-mover-leaver access lifecycle across systems, SaaS and physical access, including ownership, evidence, metrics, fallback procedures and crisis stress testing?</t>
        </is>
      </c>
      <c r="E379" s="3" t="inlineStr">
        <is>
          <t>Establish a basic owner and inventory for joiner-mover-leaver access lifecycle across systems, SaaS and physical access. Define minimum policy, evidence location and immediate crisis relevance.</t>
        </is>
      </c>
      <c r="F379" s="3" t="inlineStr">
        <is>
          <t>Document joiner-mover-leaver access lifecycle across systems, SaaS and physical access, assign RACI, define minimum controls/KPIs and collect evidence across the main business units or sites.</t>
        </is>
      </c>
      <c r="G379" s="3" t="inlineStr">
        <is>
          <t>Standardize joiner-mover-leaver access lifecycle across systems, SaaS and physical access across the organization, close coverage gaps, link it to crisis scenarios and train accountable roles.</t>
        </is>
      </c>
      <c r="H379" s="3" t="inlineStr">
        <is>
          <t>Measure joiner-mover-leaver access lifecycle across systems, SaaS and physical access, review it periodically, test it against disruption scenarios and integrate it with dependent processes or systems.</t>
        </is>
      </c>
      <c r="I379" s="3" t="inlineStr">
        <is>
          <t>Optimize and automate joiner-mover-leaver access lifecycle across systems, SaaS and physical access where practical, use leading indicators, run periodic stress tests and update the crisis playbook.</t>
        </is>
      </c>
      <c r="J379" s="3" t="inlineStr">
        <is>
          <t>Maintain maturity for joiner-mover-leaver access lifecycle across systems, SaaS and physical access. Monitor drift, keep evidence current, benchmark externally and refresh tests after major changes.</t>
        </is>
      </c>
      <c r="K379" s="3" t="inlineStr">
        <is>
          <t>Reduces exposure to Cyberattack; Data breach; Ransomware; Insider threat; improves Identity and access maturity, continuity and management visibility.</t>
        </is>
      </c>
      <c r="L379" s="3" t="n">
        <v>5</v>
      </c>
      <c r="M379" s="3" t="n">
        <v>5</v>
      </c>
      <c r="N379" s="3" t="n">
        <v>4</v>
      </c>
      <c r="O379" s="3" t="n">
        <v>3</v>
      </c>
      <c r="P379" s="3" t="n">
        <v>2</v>
      </c>
      <c r="Q379" s="3" t="n">
        <v>1</v>
      </c>
      <c r="R379" s="3" t="inlineStr">
        <is>
          <t>ISO/IEC 27001; ISO/IEC 27002; NIST CSF 2.0; CIS Controls; ISO/IEC 27701; GDPR; IEC 62443</t>
        </is>
      </c>
      <c r="S379" s="3" t="inlineStr">
        <is>
          <t>Policy/SOP; owner/RACI; system report; dashboard; contracts; test records; incident history; interview evidence related to joiner-mover-leaver access lifecycle across systems, SaaS and physical access.</t>
        </is>
      </c>
      <c r="T379" s="3" t="inlineStr">
        <is>
          <t>Cyberattack; Data breach; Ransomware; Insider threat</t>
        </is>
      </c>
      <c r="U379" s="3" t="inlineStr">
        <is>
          <t>CISO / IT Security</t>
        </is>
      </c>
      <c r="V379" s="3" t="inlineStr">
        <is>
          <t>Cyber Privacy!11</t>
        </is>
      </c>
    </row>
    <row r="380" ht="85.5" customHeight="1" s="209">
      <c r="A380" s="3" t="inlineStr">
        <is>
          <t>CYBE-008</t>
        </is>
      </c>
      <c r="B380" s="3" t="inlineStr">
        <is>
          <t>Cyber Privacy</t>
        </is>
      </c>
      <c r="C380" s="3" t="inlineStr">
        <is>
          <t>Identity and access</t>
        </is>
      </c>
      <c r="D380" s="3" t="inlineStr">
        <is>
          <t>How mature is the organization in managing MFA enforcement for email, cloud, VPN/ZTNA, admin accounts, finance systems and critical SaaS, including ownership, evidence, metrics, fallback procedures and crisis stress testing?</t>
        </is>
      </c>
      <c r="E380" s="3" t="inlineStr">
        <is>
          <t>Establish a basic owner and inventory for MFA enforcement for email, cloud, VPN/ZTNA, admin accounts, finance systems and critical SaaS. Define minimum policy, evidence location and immediate crisis relevance.</t>
        </is>
      </c>
      <c r="F380" s="3" t="inlineStr">
        <is>
          <t>Document MFA enforcement for email, cloud, VPN/ZTNA, admin accounts, finance systems and critical SaaS, assign RACI, define minimum controls/KPIs and collect evidence across the main business units or sites.</t>
        </is>
      </c>
      <c r="G380" s="3" t="inlineStr">
        <is>
          <t>Standardize MFA enforcement for email, cloud, VPN/ZTNA, admin accounts, finance systems and critical SaaS across the organization, close coverage gaps, link it to crisis scenarios and train accountable roles.</t>
        </is>
      </c>
      <c r="H380" s="3" t="inlineStr">
        <is>
          <t>Measure MFA enforcement for email, cloud, VPN/ZTNA, admin accounts, finance systems and critical SaaS, review it periodically, test it against disruption scenarios and integrate it with dependent processes or systems.</t>
        </is>
      </c>
      <c r="I380" s="3" t="inlineStr">
        <is>
          <t>Optimize and automate MFA enforcement for email, cloud, VPN/ZTNA, admin accounts, finance systems and critical SaaS where practical, use leading indicators, run periodic stress tests and update the crisis playbook.</t>
        </is>
      </c>
      <c r="J380" s="3" t="inlineStr">
        <is>
          <t>Maintain maturity for MFA enforcement for email, cloud, VPN/ZTNA, admin accounts, finance systems and critical SaaS. Monitor drift, keep evidence current, benchmark externally and refresh tests after major changes.</t>
        </is>
      </c>
      <c r="K380" s="3" t="inlineStr">
        <is>
          <t>Reduces exposure to Cyberattack; Data breach; Ransomware; Insider threat; improves Identity and access maturity, continuity and management visibility.</t>
        </is>
      </c>
      <c r="L380" s="3" t="n">
        <v>5</v>
      </c>
      <c r="M380" s="3" t="n">
        <v>5</v>
      </c>
      <c r="N380" s="3" t="n">
        <v>4</v>
      </c>
      <c r="O380" s="3" t="n">
        <v>3</v>
      </c>
      <c r="P380" s="3" t="n">
        <v>2</v>
      </c>
      <c r="Q380" s="3" t="n">
        <v>1</v>
      </c>
      <c r="R380" s="3" t="inlineStr">
        <is>
          <t>ISO/IEC 27001; ISO/IEC 27002; NIST CSF 2.0; CIS Controls; ISO/IEC 27701; GDPR; IEC 62443</t>
        </is>
      </c>
      <c r="S380" s="3" t="inlineStr">
        <is>
          <t>Policy/SOP; owner/RACI; system report; dashboard; contracts; test records; incident history; interview evidence related to MFA enforcement for email, cloud, VPN/ZTNA, admin accounts, finance systems and critical SaaS.</t>
        </is>
      </c>
      <c r="T380" s="3" t="inlineStr">
        <is>
          <t>Cyberattack; Data breach; Ransomware; Insider threat</t>
        </is>
      </c>
      <c r="U380" s="3" t="inlineStr">
        <is>
          <t>CISO / IT Security</t>
        </is>
      </c>
      <c r="V380" s="3" t="inlineStr">
        <is>
          <t>Cyber Privacy!12</t>
        </is>
      </c>
    </row>
    <row r="381" ht="71.25" customHeight="1" s="209">
      <c r="A381" s="3" t="inlineStr">
        <is>
          <t>CYBE-009</t>
        </is>
      </c>
      <c r="B381" s="3" t="inlineStr">
        <is>
          <t>Cyber Privacy</t>
        </is>
      </c>
      <c r="C381" s="3" t="inlineStr">
        <is>
          <t>Identity and access</t>
        </is>
      </c>
      <c r="D381" s="3" t="inlineStr">
        <is>
          <t>How mature is the organization in managing privileged access management for admin accounts and superusers, including ownership, evidence, metrics, fallback procedures and crisis stress testing?</t>
        </is>
      </c>
      <c r="E381" s="3" t="inlineStr">
        <is>
          <t>Establish a basic owner and inventory for privileged access management for admin accounts and superusers. Define minimum policy, evidence location and immediate crisis relevance.</t>
        </is>
      </c>
      <c r="F381" s="3" t="inlineStr">
        <is>
          <t>Document privileged access management for admin accounts and superusers, assign RACI, define minimum controls/KPIs and collect evidence across the main business units or sites.</t>
        </is>
      </c>
      <c r="G381" s="3" t="inlineStr">
        <is>
          <t>Standardize privileged access management for admin accounts and superusers across the organization, close coverage gaps, link it to crisis scenarios and train accountable roles.</t>
        </is>
      </c>
      <c r="H381" s="3" t="inlineStr">
        <is>
          <t>Measure privileged access management for admin accounts and superusers, review it periodically, test it against disruption scenarios and integrate it with dependent processes or systems.</t>
        </is>
      </c>
      <c r="I381" s="3" t="inlineStr">
        <is>
          <t>Optimize and automate privileged access management for admin accounts and superusers where practical, use leading indicators, run periodic stress tests and update the crisis playbook.</t>
        </is>
      </c>
      <c r="J381" s="3" t="inlineStr">
        <is>
          <t>Maintain maturity for privileged access management for admin accounts and superusers. Monitor drift, keep evidence current, benchmark externally and refresh tests after major changes.</t>
        </is>
      </c>
      <c r="K381" s="3" t="inlineStr">
        <is>
          <t>Reduces exposure to Cyberattack; Data breach; Ransomware; Insider threat; improves Identity and access maturity, continuity and management visibility.</t>
        </is>
      </c>
      <c r="L381" s="3" t="n">
        <v>5</v>
      </c>
      <c r="M381" s="3" t="n">
        <v>5</v>
      </c>
      <c r="N381" s="3" t="n">
        <v>4</v>
      </c>
      <c r="O381" s="3" t="n">
        <v>3</v>
      </c>
      <c r="P381" s="3" t="n">
        <v>2</v>
      </c>
      <c r="Q381" s="3" t="n">
        <v>1</v>
      </c>
      <c r="R381" s="3" t="inlineStr">
        <is>
          <t>ISO/IEC 27001; ISO/IEC 27002; NIST CSF 2.0; CIS Controls; ISO/IEC 27701; GDPR; IEC 62443</t>
        </is>
      </c>
      <c r="S381" s="3" t="inlineStr">
        <is>
          <t>Policy/SOP; owner/RACI; system report; dashboard; contracts; test records; incident history; interview evidence related to privileged access management for admin accounts and superusers.</t>
        </is>
      </c>
      <c r="T381" s="3" t="inlineStr">
        <is>
          <t>Cyberattack; Data breach; Ransomware; Insider threat</t>
        </is>
      </c>
      <c r="U381" s="3" t="inlineStr">
        <is>
          <t>CISO / IT Security</t>
        </is>
      </c>
      <c r="V381" s="3" t="inlineStr">
        <is>
          <t>Cyber Privacy!13</t>
        </is>
      </c>
    </row>
    <row r="382" ht="71.25" customHeight="1" s="209">
      <c r="A382" s="3" t="inlineStr">
        <is>
          <t>CYBE-010</t>
        </is>
      </c>
      <c r="B382" s="3" t="inlineStr">
        <is>
          <t>Cyber Privacy</t>
        </is>
      </c>
      <c r="C382" s="3" t="inlineStr">
        <is>
          <t>Identity and access</t>
        </is>
      </c>
      <c r="D382" s="3" t="inlineStr">
        <is>
          <t>How mature is the organization in managing break-glass account control, monitoring and testing, including ownership, evidence, metrics, fallback procedures and crisis stress testing?</t>
        </is>
      </c>
      <c r="E382" s="3" t="inlineStr">
        <is>
          <t>Establish a basic owner and inventory for break-glass account control, monitoring and testing. Define minimum policy, evidence location and immediate crisis relevance.</t>
        </is>
      </c>
      <c r="F382" s="3" t="inlineStr">
        <is>
          <t>Document break-glass account control, monitoring and testing, assign RACI, define minimum controls/KPIs and collect evidence across the main business units or sites.</t>
        </is>
      </c>
      <c r="G382" s="3" t="inlineStr">
        <is>
          <t>Standardize break-glass account control, monitoring and testing across the organization, close coverage gaps, link it to crisis scenarios and train accountable roles.</t>
        </is>
      </c>
      <c r="H382" s="3" t="inlineStr">
        <is>
          <t>Measure break-glass account control, monitoring and testing, review it periodically, test it against disruption scenarios and integrate it with dependent processes or systems.</t>
        </is>
      </c>
      <c r="I382" s="3" t="inlineStr">
        <is>
          <t>Optimize and automate break-glass account control, monitoring and testing where practical, use leading indicators, run periodic stress tests and update the crisis playbook.</t>
        </is>
      </c>
      <c r="J382" s="3" t="inlineStr">
        <is>
          <t>Maintain maturity for break-glass account control, monitoring and testing. Monitor drift, keep evidence current, benchmark externally and refresh tests after major changes.</t>
        </is>
      </c>
      <c r="K382" s="3" t="inlineStr">
        <is>
          <t>Reduces exposure to Cyberattack; Data breach; Ransomware; Insider threat; improves Identity and access maturity, continuity and management visibility.</t>
        </is>
      </c>
      <c r="L382" s="3" t="n">
        <v>5</v>
      </c>
      <c r="M382" s="3" t="n">
        <v>5</v>
      </c>
      <c r="N382" s="3" t="n">
        <v>4</v>
      </c>
      <c r="O382" s="3" t="n">
        <v>3</v>
      </c>
      <c r="P382" s="3" t="n">
        <v>2</v>
      </c>
      <c r="Q382" s="3" t="n">
        <v>1</v>
      </c>
      <c r="R382" s="3" t="inlineStr">
        <is>
          <t>ISO/IEC 27001; ISO/IEC 27002; NIST CSF 2.0; CIS Controls; ISO/IEC 27701; GDPR; IEC 62443</t>
        </is>
      </c>
      <c r="S382" s="3" t="inlineStr">
        <is>
          <t>Policy/SOP; owner/RACI; system report; dashboard; contracts; test records; incident history; interview evidence related to break-glass account control, monitoring and testing.</t>
        </is>
      </c>
      <c r="T382" s="3" t="inlineStr">
        <is>
          <t>Cyberattack; Data breach; Ransomware; Insider threat</t>
        </is>
      </c>
      <c r="U382" s="3" t="inlineStr">
        <is>
          <t>CISO / IT Security</t>
        </is>
      </c>
      <c r="V382" s="3" t="inlineStr">
        <is>
          <t>Cyber Privacy!14</t>
        </is>
      </c>
    </row>
    <row r="383" ht="71.25" customHeight="1" s="209">
      <c r="A383" s="3" t="inlineStr">
        <is>
          <t>CYBE-011</t>
        </is>
      </c>
      <c r="B383" s="3" t="inlineStr">
        <is>
          <t>Cyber Privacy</t>
        </is>
      </c>
      <c r="C383" s="3" t="inlineStr">
        <is>
          <t>Identity and access</t>
        </is>
      </c>
      <c r="D383" s="3" t="inlineStr">
        <is>
          <t>How mature is the organization in managing third-party access that is limited, monitored, time-bound and reviewed, including ownership, evidence, metrics, fallback procedures and crisis stress testing?</t>
        </is>
      </c>
      <c r="E383" s="3" t="inlineStr">
        <is>
          <t>Establish a basic owner and inventory for third-party access that is limited, monitored, time-bound and reviewed. Define minimum policy, evidence location and immediate crisis relevance.</t>
        </is>
      </c>
      <c r="F383" s="3" t="inlineStr">
        <is>
          <t>Document third-party access that is limited, monitored, time-bound and reviewed, assign RACI, define minimum controls/KPIs and collect evidence across the main business units or sites.</t>
        </is>
      </c>
      <c r="G383" s="3" t="inlineStr">
        <is>
          <t>Standardize third-party access that is limited, monitored, time-bound and reviewed across the organization, close coverage gaps, link it to crisis scenarios and train accountable roles.</t>
        </is>
      </c>
      <c r="H383" s="3" t="inlineStr">
        <is>
          <t>Measure third-party access that is limited, monitored, time-bound and reviewed, review it periodically, test it against disruption scenarios and integrate it with dependent processes or systems.</t>
        </is>
      </c>
      <c r="I383" s="3" t="inlineStr">
        <is>
          <t>Optimize and automate third-party access that is limited, monitored, time-bound and reviewed where practical, use leading indicators, run periodic stress tests and update the crisis playbook.</t>
        </is>
      </c>
      <c r="J383" s="3" t="inlineStr">
        <is>
          <t>Maintain maturity for third-party access that is limited, monitored, time-bound and reviewed. Monitor drift, keep evidence current, benchmark externally and refresh tests after major changes.</t>
        </is>
      </c>
      <c r="K383" s="3" t="inlineStr">
        <is>
          <t>Reduces exposure to Cyberattack; Data breach; Ransomware; Insider threat; improves Identity and access maturity, continuity and management visibility.</t>
        </is>
      </c>
      <c r="L383" s="3" t="n">
        <v>5</v>
      </c>
      <c r="M383" s="3" t="n">
        <v>5</v>
      </c>
      <c r="N383" s="3" t="n">
        <v>4</v>
      </c>
      <c r="O383" s="3" t="n">
        <v>3</v>
      </c>
      <c r="P383" s="3" t="n">
        <v>2</v>
      </c>
      <c r="Q383" s="3" t="n">
        <v>1</v>
      </c>
      <c r="R383" s="3" t="inlineStr">
        <is>
          <t>ISO/IEC 27001; ISO/IEC 27002; NIST CSF 2.0; CIS Controls; ISO/IEC 27701; GDPR; IEC 62443</t>
        </is>
      </c>
      <c r="S383" s="3" t="inlineStr">
        <is>
          <t>Policy/SOP; owner/RACI; system report; dashboard; contracts; test records; incident history; interview evidence related to third-party access that is limited, monitored, time-bound and reviewed.</t>
        </is>
      </c>
      <c r="T383" s="3" t="inlineStr">
        <is>
          <t>Cyberattack; Data breach; Ransomware; Insider threat</t>
        </is>
      </c>
      <c r="U383" s="3" t="inlineStr">
        <is>
          <t>CISO / IT Security</t>
        </is>
      </c>
      <c r="V383" s="3" t="inlineStr">
        <is>
          <t>Cyber Privacy!15</t>
        </is>
      </c>
    </row>
    <row r="384" ht="85.5" customHeight="1" s="209">
      <c r="A384" s="3" t="inlineStr">
        <is>
          <t>CYBE-012</t>
        </is>
      </c>
      <c r="B384" s="3" t="inlineStr">
        <is>
          <t>Cyber Privacy</t>
        </is>
      </c>
      <c r="C384" s="3" t="inlineStr">
        <is>
          <t>Identity and access</t>
        </is>
      </c>
      <c r="D384" s="3" t="inlineStr">
        <is>
          <t>How mature is the organization in managing access reviews for critical systems, datasets, ERP, CRM, HRMS, MES and cloud, including ownership, evidence, metrics, fallback procedures and crisis stress testing?</t>
        </is>
      </c>
      <c r="E384" s="3" t="inlineStr">
        <is>
          <t>Establish a basic owner and inventory for access reviews for critical systems, datasets, ERP, CRM, HRMS, MES and cloud. Define minimum policy, evidence location and immediate crisis relevance.</t>
        </is>
      </c>
      <c r="F384" s="3" t="inlineStr">
        <is>
          <t>Document access reviews for critical systems, datasets, ERP, CRM, HRMS, MES and cloud, assign RACI, define minimum controls/KPIs and collect evidence across the main business units or sites.</t>
        </is>
      </c>
      <c r="G384" s="3" t="inlineStr">
        <is>
          <t>Standardize access reviews for critical systems, datasets, ERP, CRM, HRMS, MES and cloud across the organization, close coverage gaps, link it to crisis scenarios and train accountable roles.</t>
        </is>
      </c>
      <c r="H384" s="3" t="inlineStr">
        <is>
          <t>Measure access reviews for critical systems, datasets, ERP, CRM, HRMS, MES and cloud, review it periodically, test it against disruption scenarios and integrate it with dependent processes or systems.</t>
        </is>
      </c>
      <c r="I384" s="3" t="inlineStr">
        <is>
          <t>Optimize and automate access reviews for critical systems, datasets, ERP, CRM, HRMS, MES and cloud where practical, use leading indicators, run periodic stress tests and update the crisis playbook.</t>
        </is>
      </c>
      <c r="J384" s="3" t="inlineStr">
        <is>
          <t>Maintain maturity for access reviews for critical systems, datasets, ERP, CRM, HRMS, MES and cloud. Monitor drift, keep evidence current, benchmark externally and refresh tests after major changes.</t>
        </is>
      </c>
      <c r="K384" s="3" t="inlineStr">
        <is>
          <t>Reduces exposure to Cyberattack; Data breach; Ransomware; Insider threat; improves Identity and access maturity, continuity and management visibility.</t>
        </is>
      </c>
      <c r="L384" s="3" t="n">
        <v>5</v>
      </c>
      <c r="M384" s="3" t="n">
        <v>5</v>
      </c>
      <c r="N384" s="3" t="n">
        <v>4</v>
      </c>
      <c r="O384" s="3" t="n">
        <v>3</v>
      </c>
      <c r="P384" s="3" t="n">
        <v>2</v>
      </c>
      <c r="Q384" s="3" t="n">
        <v>1</v>
      </c>
      <c r="R384" s="3" t="inlineStr">
        <is>
          <t>ISO/IEC 27001; ISO/IEC 27002; NIST CSF 2.0; CIS Controls; ISO/IEC 27701; GDPR; IEC 62443</t>
        </is>
      </c>
      <c r="S384" s="3" t="inlineStr">
        <is>
          <t>Policy/SOP; owner/RACI; system report; dashboard; contracts; test records; incident history; interview evidence related to access reviews for critical systems, datasets, ERP, CRM, HRMS, MES and cloud.</t>
        </is>
      </c>
      <c r="T384" s="3" t="inlineStr">
        <is>
          <t>Cyberattack; Data breach; Ransomware; Insider threat</t>
        </is>
      </c>
      <c r="U384" s="3" t="inlineStr">
        <is>
          <t>CISO / IT Security</t>
        </is>
      </c>
      <c r="V384" s="3" t="inlineStr">
        <is>
          <t>Cyber Privacy!16</t>
        </is>
      </c>
    </row>
    <row r="385" ht="85.5" customHeight="1" s="209">
      <c r="A385" s="3" t="inlineStr">
        <is>
          <t>CYBE-013</t>
        </is>
      </c>
      <c r="B385" s="3" t="inlineStr">
        <is>
          <t>Cyber Privacy</t>
        </is>
      </c>
      <c r="C385" s="3" t="inlineStr">
        <is>
          <t>Protection</t>
        </is>
      </c>
      <c r="D385" s="3" t="inlineStr">
        <is>
          <t>How mature is the organization in managing endpoint protection with EDR, disk encryption, patching and remote management, including ownership, evidence, metrics, fallback procedures and crisis stress testing?</t>
        </is>
      </c>
      <c r="E385" s="3" t="inlineStr">
        <is>
          <t>Establish a basic owner and inventory for endpoint protection with EDR, disk encryption, patching and remote management. Define minimum policy, evidence location and immediate crisis relevance.</t>
        </is>
      </c>
      <c r="F385" s="3" t="inlineStr">
        <is>
          <t>Document endpoint protection with EDR, disk encryption, patching and remote management, assign RACI, define minimum controls/KPIs and collect evidence across the main business units or sites.</t>
        </is>
      </c>
      <c r="G385" s="3" t="inlineStr">
        <is>
          <t>Standardize endpoint protection with EDR, disk encryption, patching and remote management across the organization, close coverage gaps, link it to crisis scenarios and train accountable roles.</t>
        </is>
      </c>
      <c r="H385" s="3" t="inlineStr">
        <is>
          <t>Measure endpoint protection with EDR, disk encryption, patching and remote management, review it periodically, test it against disruption scenarios and integrate it with dependent processes or systems.</t>
        </is>
      </c>
      <c r="I385" s="3" t="inlineStr">
        <is>
          <t>Optimize and automate endpoint protection with EDR, disk encryption, patching and remote management where practical, use leading indicators, run periodic stress tests and update the crisis playbook.</t>
        </is>
      </c>
      <c r="J385" s="3" t="inlineStr">
        <is>
          <t>Maintain maturity for endpoint protection with EDR, disk encryption, patching and remote management. Monitor drift, keep evidence current, benchmark externally and refresh tests after major changes.</t>
        </is>
      </c>
      <c r="K385" s="3" t="inlineStr">
        <is>
          <t>Reduces exposure to Cyberattack; Data breach; Ransomware; Insider threat; improves Protection maturity, continuity and management visibility.</t>
        </is>
      </c>
      <c r="L385" s="3" t="n">
        <v>5</v>
      </c>
      <c r="M385" s="3" t="n">
        <v>5</v>
      </c>
      <c r="N385" s="3" t="n">
        <v>4</v>
      </c>
      <c r="O385" s="3" t="n">
        <v>3</v>
      </c>
      <c r="P385" s="3" t="n">
        <v>2</v>
      </c>
      <c r="Q385" s="3" t="n">
        <v>1</v>
      </c>
      <c r="R385" s="3" t="inlineStr">
        <is>
          <t>ISO/IEC 27001; ISO/IEC 27002; NIST CSF 2.0; CIS Controls; ISO/IEC 27701; GDPR; IEC 62443</t>
        </is>
      </c>
      <c r="S385" s="3" t="inlineStr">
        <is>
          <t>Policy/SOP; owner/RACI; system report; dashboard; contracts; test records; incident history; interview evidence related to endpoint protection with EDR, disk encryption, patching and remote management.</t>
        </is>
      </c>
      <c r="T385" s="3" t="inlineStr">
        <is>
          <t>Cyberattack; Data breach; Ransomware; Insider threat</t>
        </is>
      </c>
      <c r="U385" s="3" t="inlineStr">
        <is>
          <t>CISO / IT Security</t>
        </is>
      </c>
      <c r="V385" s="3" t="inlineStr">
        <is>
          <t>Cyber Privacy!17</t>
        </is>
      </c>
    </row>
    <row r="386" ht="85.5" customHeight="1" s="209">
      <c r="A386" s="3" t="inlineStr">
        <is>
          <t>CYBE-014</t>
        </is>
      </c>
      <c r="B386" s="3" t="inlineStr">
        <is>
          <t>Cyber Privacy</t>
        </is>
      </c>
      <c r="C386" s="3" t="inlineStr">
        <is>
          <t>Protection</t>
        </is>
      </c>
      <c r="D386" s="3" t="inlineStr">
        <is>
          <t>How mature is the organization in managing vulnerability and patch management prioritized by risk, exposure and asset criticality, including ownership, evidence, metrics, fallback procedures and crisis stress testing?</t>
        </is>
      </c>
      <c r="E386" s="3" t="inlineStr">
        <is>
          <t>Establish a basic owner and inventory for vulnerability and patch management prioritized by risk, exposure and asset criticality. Define minimum policy, evidence location and immediate crisis relevance.</t>
        </is>
      </c>
      <c r="F386" s="3" t="inlineStr">
        <is>
          <t>Document vulnerability and patch management prioritized by risk, exposure and asset criticality, assign RACI, define minimum controls/KPIs and collect evidence across the main business units or sites.</t>
        </is>
      </c>
      <c r="G386" s="3" t="inlineStr">
        <is>
          <t>Standardize vulnerability and patch management prioritized by risk, exposure and asset criticality across the organization, close coverage gaps, link it to crisis scenarios and train accountable roles.</t>
        </is>
      </c>
      <c r="H386" s="3" t="inlineStr">
        <is>
          <t>Measure vulnerability and patch management prioritized by risk, exposure and asset criticality, review it periodically, test it against disruption scenarios and integrate it with dependent processes or systems.</t>
        </is>
      </c>
      <c r="I386" s="3" t="inlineStr">
        <is>
          <t>Optimize and automate vulnerability and patch management prioritized by risk, exposure and asset criticality where practical, use leading indicators, run periodic stress tests and update the crisis playbook.</t>
        </is>
      </c>
      <c r="J386" s="3" t="inlineStr">
        <is>
          <t>Maintain maturity for vulnerability and patch management prioritized by risk, exposure and asset criticality. Monitor drift, keep evidence current, benchmark externally and refresh tests after major changes.</t>
        </is>
      </c>
      <c r="K386" s="3" t="inlineStr">
        <is>
          <t>Reduces exposure to Cyberattack; Data breach; Ransomware; Insider threat; improves Protection maturity, continuity and management visibility.</t>
        </is>
      </c>
      <c r="L386" s="3" t="n">
        <v>5</v>
      </c>
      <c r="M386" s="3" t="n">
        <v>5</v>
      </c>
      <c r="N386" s="3" t="n">
        <v>4</v>
      </c>
      <c r="O386" s="3" t="n">
        <v>3</v>
      </c>
      <c r="P386" s="3" t="n">
        <v>2</v>
      </c>
      <c r="Q386" s="3" t="n">
        <v>1</v>
      </c>
      <c r="R386" s="3" t="inlineStr">
        <is>
          <t>ISO/IEC 27001; ISO/IEC 27002; NIST CSF 2.0; CIS Controls; ISO/IEC 27701; GDPR; IEC 62443</t>
        </is>
      </c>
      <c r="S386" s="3" t="inlineStr">
        <is>
          <t>Policy/SOP; owner/RACI; system report; dashboard; contracts; test records; incident history; interview evidence related to vulnerability and patch management prioritized by risk, exposure and asset criticality.</t>
        </is>
      </c>
      <c r="T386" s="3" t="inlineStr">
        <is>
          <t>Cyberattack; Data breach; Ransomware; Insider threat</t>
        </is>
      </c>
      <c r="U386" s="3" t="inlineStr">
        <is>
          <t>CISO / IT Security</t>
        </is>
      </c>
      <c r="V386" s="3" t="inlineStr">
        <is>
          <t>Cyber Privacy!18</t>
        </is>
      </c>
    </row>
    <row r="387" ht="85.5" customHeight="1" s="209">
      <c r="A387" s="3" t="inlineStr">
        <is>
          <t>CYBE-015</t>
        </is>
      </c>
      <c r="B387" s="3" t="inlineStr">
        <is>
          <t>Cyber Privacy</t>
        </is>
      </c>
      <c r="C387" s="3" t="inlineStr">
        <is>
          <t>Protection</t>
        </is>
      </c>
      <c r="D387" s="3" t="inlineStr">
        <is>
          <t>How mature is the organization in managing network segmentation for users, servers, cloud, OT, guest, production and sensitive systems, including ownership, evidence, metrics, fallback procedures and crisis stress testing?</t>
        </is>
      </c>
      <c r="E387" s="3" t="inlineStr">
        <is>
          <t>Establish a basic owner and inventory for network segmentation for users, servers, cloud, OT, guest, production and sensitive systems. Define minimum policy, evidence location and immediate crisis relevance.</t>
        </is>
      </c>
      <c r="F387" s="3" t="inlineStr">
        <is>
          <t>Document network segmentation for users, servers, cloud, OT, guest, production and sensitive systems, assign RACI, define minimum controls/KPIs and collect evidence across the main business units or sites.</t>
        </is>
      </c>
      <c r="G387" s="3" t="inlineStr">
        <is>
          <t>Standardize network segmentation for users, servers, cloud, OT, guest, production and sensitive systems across the organization, close coverage gaps, link it to crisis scenarios and train accountable roles.</t>
        </is>
      </c>
      <c r="H387" s="3" t="inlineStr">
        <is>
          <t>Measure network segmentation for users, servers, cloud, OT, guest, production and sensitive systems, review it periodically, test it against disruption scenarios and integrate it with dependent processes or systems.</t>
        </is>
      </c>
      <c r="I387" s="3" t="inlineStr">
        <is>
          <t>Optimize and automate network segmentation for users, servers, cloud, OT, guest, production and sensitive systems where practical, use leading indicators, run periodic stress tests and update the crisis playbook.</t>
        </is>
      </c>
      <c r="J387" s="3" t="inlineStr">
        <is>
          <t>Maintain maturity for network segmentation for users, servers, cloud, OT, guest, production and sensitive systems. Monitor drift, keep evidence current, benchmark externally and refresh tests after major changes.</t>
        </is>
      </c>
      <c r="K387" s="3" t="inlineStr">
        <is>
          <t>Reduces exposure to Cyberattack; Data breach; Ransomware; Insider threat; improves Protection maturity, continuity and management visibility.</t>
        </is>
      </c>
      <c r="L387" s="3" t="n">
        <v>5</v>
      </c>
      <c r="M387" s="3" t="n">
        <v>5</v>
      </c>
      <c r="N387" s="3" t="n">
        <v>4</v>
      </c>
      <c r="O387" s="3" t="n">
        <v>3</v>
      </c>
      <c r="P387" s="3" t="n">
        <v>2</v>
      </c>
      <c r="Q387" s="3" t="n">
        <v>1</v>
      </c>
      <c r="R387" s="3" t="inlineStr">
        <is>
          <t>ISO/IEC 27001; ISO/IEC 27002; NIST CSF 2.0; CIS Controls; ISO/IEC 27701; GDPR; IEC 62443</t>
        </is>
      </c>
      <c r="S387" s="3" t="inlineStr">
        <is>
          <t>Policy/SOP; owner/RACI; system report; dashboard; contracts; test records; incident history; interview evidence related to network segmentation for users, servers, cloud, OT, guest, production and sensitive systems.</t>
        </is>
      </c>
      <c r="T387" s="3" t="inlineStr">
        <is>
          <t>Cyberattack; Data breach; Ransomware; Insider threat</t>
        </is>
      </c>
      <c r="U387" s="3" t="inlineStr">
        <is>
          <t>CISO / IT Security</t>
        </is>
      </c>
      <c r="V387" s="3" t="inlineStr">
        <is>
          <t>Cyber Privacy!19</t>
        </is>
      </c>
    </row>
    <row r="388" ht="85.5" customHeight="1" s="209">
      <c r="A388" s="3" t="inlineStr">
        <is>
          <t>CYBE-016</t>
        </is>
      </c>
      <c r="B388" s="3" t="inlineStr">
        <is>
          <t>Cyber Privacy</t>
        </is>
      </c>
      <c r="C388" s="3" t="inlineStr">
        <is>
          <t>Protection</t>
        </is>
      </c>
      <c r="D388" s="3" t="inlineStr">
        <is>
          <t>How mature is the organization in managing email protection against phishing, spoofing, malware and business email compromise, including ownership, evidence, metrics, fallback procedures and crisis stress testing?</t>
        </is>
      </c>
      <c r="E388" s="3" t="inlineStr">
        <is>
          <t>Establish a basic owner and inventory for email protection against phishing, spoofing, malware and business email compromise. Define minimum policy, evidence location and immediate crisis relevance.</t>
        </is>
      </c>
      <c r="F388" s="3" t="inlineStr">
        <is>
          <t>Document email protection against phishing, spoofing, malware and business email compromise, assign RACI, define minimum controls/KPIs and collect evidence across the main business units or sites.</t>
        </is>
      </c>
      <c r="G388" s="3" t="inlineStr">
        <is>
          <t>Standardize email protection against phishing, spoofing, malware and business email compromise across the organization, close coverage gaps, link it to crisis scenarios and train accountable roles.</t>
        </is>
      </c>
      <c r="H388" s="3" t="inlineStr">
        <is>
          <t>Measure email protection against phishing, spoofing, malware and business email compromise, review it periodically, test it against disruption scenarios and integrate it with dependent processes or systems.</t>
        </is>
      </c>
      <c r="I388" s="3" t="inlineStr">
        <is>
          <t>Optimize and automate email protection against phishing, spoofing, malware and business email compromise where practical, use leading indicators, run periodic stress tests and update the crisis playbook.</t>
        </is>
      </c>
      <c r="J388" s="3" t="inlineStr">
        <is>
          <t>Maintain maturity for email protection against phishing, spoofing, malware and business email compromise. Monitor drift, keep evidence current, benchmark externally and refresh tests after major changes.</t>
        </is>
      </c>
      <c r="K388" s="3" t="inlineStr">
        <is>
          <t>Reduces exposure to Cyberattack; Data breach; Ransomware; Insider threat; improves Protection maturity, continuity and management visibility.</t>
        </is>
      </c>
      <c r="L388" s="3" t="n">
        <v>5</v>
      </c>
      <c r="M388" s="3" t="n">
        <v>5</v>
      </c>
      <c r="N388" s="3" t="n">
        <v>4</v>
      </c>
      <c r="O388" s="3" t="n">
        <v>3</v>
      </c>
      <c r="P388" s="3" t="n">
        <v>2</v>
      </c>
      <c r="Q388" s="3" t="n">
        <v>1</v>
      </c>
      <c r="R388" s="3" t="inlineStr">
        <is>
          <t>ISO/IEC 27001; ISO/IEC 27002; NIST CSF 2.0; CIS Controls; ISO/IEC 27701; GDPR; IEC 62443</t>
        </is>
      </c>
      <c r="S388" s="3" t="inlineStr">
        <is>
          <t>Policy/SOP; owner/RACI; system report; dashboard; contracts; test records; incident history; interview evidence related to email protection against phishing, spoofing, malware and business email compromise.</t>
        </is>
      </c>
      <c r="T388" s="3" t="inlineStr">
        <is>
          <t>Cyberattack; Data breach; Ransomware; Insider threat</t>
        </is>
      </c>
      <c r="U388" s="3" t="inlineStr">
        <is>
          <t>CISO / IT Security</t>
        </is>
      </c>
      <c r="V388" s="3" t="inlineStr">
        <is>
          <t>Cyber Privacy!20</t>
        </is>
      </c>
    </row>
    <row r="389" ht="85.5" customHeight="1" s="209">
      <c r="A389" s="3" t="inlineStr">
        <is>
          <t>CYBE-017</t>
        </is>
      </c>
      <c r="B389" s="3" t="inlineStr">
        <is>
          <t>Cyber Privacy</t>
        </is>
      </c>
      <c r="C389" s="3" t="inlineStr">
        <is>
          <t>Protection</t>
        </is>
      </c>
      <c r="D389" s="3" t="inlineStr">
        <is>
          <t>How mature is the organization in managing cloud security guardrails for IAM, logging, encryption, public exposure, secrets and network access, including ownership, evidence, metrics, fallback procedures and crisis stress testing?</t>
        </is>
      </c>
      <c r="E389" s="3" t="inlineStr">
        <is>
          <t>Establish a basic owner and inventory for cloud security guardrails for IAM, logging, encryption, public exposure, secrets and network access. Define minimum policy, evidence location and immediate crisis relevance.</t>
        </is>
      </c>
      <c r="F389" s="3" t="inlineStr">
        <is>
          <t>Document cloud security guardrails for IAM, logging, encryption, public exposure, secrets and network access, assign RACI, define minimum controls/KPIs and collect evidence across the main business units or sites.</t>
        </is>
      </c>
      <c r="G389" s="3" t="inlineStr">
        <is>
          <t>Standardize cloud security guardrails for IAM, logging, encryption, public exposure, secrets and network access across the organization, close coverage gaps, link it to crisis scenarios and train accountable roles.</t>
        </is>
      </c>
      <c r="H389" s="3" t="inlineStr">
        <is>
          <t>Measure cloud security guardrails for IAM, logging, encryption, public exposure, secrets and network access, review it periodically, test it against disruption scenarios and integrate it with dependent processes or systems.</t>
        </is>
      </c>
      <c r="I389" s="3" t="inlineStr">
        <is>
          <t>Optimize and automate cloud security guardrails for IAM, logging, encryption, public exposure, secrets and network access where practical, use leading indicators, run periodic stress tests and update the crisis playbook.</t>
        </is>
      </c>
      <c r="J389" s="3" t="inlineStr">
        <is>
          <t>Maintain maturity for cloud security guardrails for IAM, logging, encryption, public exposure, secrets and network access. Monitor drift, keep evidence current, benchmark externally and refresh tests after major changes.</t>
        </is>
      </c>
      <c r="K389" s="3" t="inlineStr">
        <is>
          <t>Reduces exposure to Cyberattack; Data breach; Ransomware; Insider threat; improves Protection maturity, continuity and management visibility.</t>
        </is>
      </c>
      <c r="L389" s="3" t="n">
        <v>5</v>
      </c>
      <c r="M389" s="3" t="n">
        <v>5</v>
      </c>
      <c r="N389" s="3" t="n">
        <v>4</v>
      </c>
      <c r="O389" s="3" t="n">
        <v>3</v>
      </c>
      <c r="P389" s="3" t="n">
        <v>2</v>
      </c>
      <c r="Q389" s="3" t="n">
        <v>1</v>
      </c>
      <c r="R389" s="3" t="inlineStr">
        <is>
          <t>ISO/IEC 27001; ISO/IEC 27002; NIST CSF 2.0; CIS Controls; ISO/IEC 27701; GDPR; IEC 62443</t>
        </is>
      </c>
      <c r="S389" s="3" t="inlineStr">
        <is>
          <t>Policy/SOP; owner/RACI; system report; dashboard; contracts; test records; incident history; interview evidence related to cloud security guardrails for IAM, logging, encryption, public exposure, secrets and network access.</t>
        </is>
      </c>
      <c r="T389" s="3" t="inlineStr">
        <is>
          <t>Cyberattack; Data breach; Ransomware; Insider threat</t>
        </is>
      </c>
      <c r="U389" s="3" t="inlineStr">
        <is>
          <t>CISO / IT Security</t>
        </is>
      </c>
      <c r="V389" s="3" t="inlineStr">
        <is>
          <t>Cyber Privacy!21</t>
        </is>
      </c>
    </row>
    <row r="390" ht="71.25" customHeight="1" s="209">
      <c r="A390" s="3" t="inlineStr">
        <is>
          <t>CYBE-018</t>
        </is>
      </c>
      <c r="B390" s="3" t="inlineStr">
        <is>
          <t>Cyber Privacy</t>
        </is>
      </c>
      <c r="C390" s="3" t="inlineStr">
        <is>
          <t>Protection</t>
        </is>
      </c>
      <c r="D390" s="3" t="inlineStr">
        <is>
          <t>How mature is the organization in managing secrets, API keys, certificates and credentials management and rotation, including ownership, evidence, metrics, fallback procedures and crisis stress testing?</t>
        </is>
      </c>
      <c r="E390" s="3" t="inlineStr">
        <is>
          <t>Establish a basic owner and inventory for secrets, API keys, certificates and credentials management and rotation. Define minimum policy, evidence location and immediate crisis relevance.</t>
        </is>
      </c>
      <c r="F390" s="3" t="inlineStr">
        <is>
          <t>Document secrets, API keys, certificates and credentials management and rotation, assign RACI, define minimum controls/KPIs and collect evidence across the main business units or sites.</t>
        </is>
      </c>
      <c r="G390" s="3" t="inlineStr">
        <is>
          <t>Standardize secrets, API keys, certificates and credentials management and rotation across the organization, close coverage gaps, link it to crisis scenarios and train accountable roles.</t>
        </is>
      </c>
      <c r="H390" s="3" t="inlineStr">
        <is>
          <t>Measure secrets, API keys, certificates and credentials management and rotation, review it periodically, test it against disruption scenarios and integrate it with dependent processes or systems.</t>
        </is>
      </c>
      <c r="I390" s="3" t="inlineStr">
        <is>
          <t>Optimize and automate secrets, API keys, certificates and credentials management and rotation where practical, use leading indicators, run periodic stress tests and update the crisis playbook.</t>
        </is>
      </c>
      <c r="J390" s="3" t="inlineStr">
        <is>
          <t>Maintain maturity for secrets, API keys, certificates and credentials management and rotation. Monitor drift, keep evidence current, benchmark externally and refresh tests after major changes.</t>
        </is>
      </c>
      <c r="K390" s="3" t="inlineStr">
        <is>
          <t>Reduces exposure to Cyberattack; Data breach; Ransomware; Insider threat; improves Protection maturity, continuity and management visibility.</t>
        </is>
      </c>
      <c r="L390" s="3" t="n">
        <v>5</v>
      </c>
      <c r="M390" s="3" t="n">
        <v>5</v>
      </c>
      <c r="N390" s="3" t="n">
        <v>4</v>
      </c>
      <c r="O390" s="3" t="n">
        <v>3</v>
      </c>
      <c r="P390" s="3" t="n">
        <v>2</v>
      </c>
      <c r="Q390" s="3" t="n">
        <v>1</v>
      </c>
      <c r="R390" s="3" t="inlineStr">
        <is>
          <t>ISO/IEC 27001; ISO/IEC 27002; NIST CSF 2.0; CIS Controls; ISO/IEC 27701; GDPR; IEC 62443</t>
        </is>
      </c>
      <c r="S390" s="3" t="inlineStr">
        <is>
          <t>Policy/SOP; owner/RACI; system report; dashboard; contracts; test records; incident history; interview evidence related to secrets, API keys, certificates and credentials management and rotation.</t>
        </is>
      </c>
      <c r="T390" s="3" t="inlineStr">
        <is>
          <t>Cyberattack; Data breach; Ransomware; Insider threat</t>
        </is>
      </c>
      <c r="U390" s="3" t="inlineStr">
        <is>
          <t>CISO / IT Security</t>
        </is>
      </c>
      <c r="V390" s="3" t="inlineStr">
        <is>
          <t>Cyber Privacy!22</t>
        </is>
      </c>
    </row>
    <row r="391" ht="71.25" customHeight="1" s="209">
      <c r="A391" s="3" t="inlineStr">
        <is>
          <t>CYBE-019</t>
        </is>
      </c>
      <c r="B391" s="3" t="inlineStr">
        <is>
          <t>Cyber Privacy</t>
        </is>
      </c>
      <c r="C391" s="3" t="inlineStr">
        <is>
          <t>Protection</t>
        </is>
      </c>
      <c r="D391" s="3" t="inlineStr">
        <is>
          <t>How mature is the organization in managing encryption for sensitive data at rest and in transit, including ownership, evidence, metrics, fallback procedures and crisis stress testing?</t>
        </is>
      </c>
      <c r="E391" s="3" t="inlineStr">
        <is>
          <t>Establish a basic owner and inventory for encryption for sensitive data at rest and in transit. Define minimum policy, evidence location and immediate crisis relevance.</t>
        </is>
      </c>
      <c r="F391" s="3" t="inlineStr">
        <is>
          <t>Document encryption for sensitive data at rest and in transit, assign RACI, define minimum controls/KPIs and collect evidence across the main business units or sites.</t>
        </is>
      </c>
      <c r="G391" s="3" t="inlineStr">
        <is>
          <t>Standardize encryption for sensitive data at rest and in transit across the organization, close coverage gaps, link it to crisis scenarios and train accountable roles.</t>
        </is>
      </c>
      <c r="H391" s="3" t="inlineStr">
        <is>
          <t>Measure encryption for sensitive data at rest and in transit, review it periodically, test it against disruption scenarios and integrate it with dependent processes or systems.</t>
        </is>
      </c>
      <c r="I391" s="3" t="inlineStr">
        <is>
          <t>Optimize and automate encryption for sensitive data at rest and in transit where practical, use leading indicators, run periodic stress tests and update the crisis playbook.</t>
        </is>
      </c>
      <c r="J391" s="3" t="inlineStr">
        <is>
          <t>Maintain maturity for encryption for sensitive data at rest and in transit. Monitor drift, keep evidence current, benchmark externally and refresh tests after major changes.</t>
        </is>
      </c>
      <c r="K391" s="3" t="inlineStr">
        <is>
          <t>Reduces exposure to Cyberattack; Data breach; Ransomware; Insider threat; improves Protection maturity, continuity and management visibility.</t>
        </is>
      </c>
      <c r="L391" s="3" t="n">
        <v>5</v>
      </c>
      <c r="M391" s="3" t="n">
        <v>5</v>
      </c>
      <c r="N391" s="3" t="n">
        <v>4</v>
      </c>
      <c r="O391" s="3" t="n">
        <v>3</v>
      </c>
      <c r="P391" s="3" t="n">
        <v>2</v>
      </c>
      <c r="Q391" s="3" t="n">
        <v>1</v>
      </c>
      <c r="R391" s="3" t="inlineStr">
        <is>
          <t>ISO/IEC 27001; ISO/IEC 27002; NIST CSF 2.0; CIS Controls; ISO/IEC 27701; GDPR; IEC 62443</t>
        </is>
      </c>
      <c r="S391" s="3" t="inlineStr">
        <is>
          <t>Policy/SOP; owner/RACI; system report; dashboard; contracts; test records; incident history; interview evidence related to encryption for sensitive data at rest and in transit.</t>
        </is>
      </c>
      <c r="T391" s="3" t="inlineStr">
        <is>
          <t>Cyberattack; Data breach; Ransomware; Insider threat</t>
        </is>
      </c>
      <c r="U391" s="3" t="inlineStr">
        <is>
          <t>CISO / IT Security</t>
        </is>
      </c>
      <c r="V391" s="3" t="inlineStr">
        <is>
          <t>Cyber Privacy!23</t>
        </is>
      </c>
    </row>
    <row r="392" ht="85.5" customHeight="1" s="209">
      <c r="A392" s="3" t="inlineStr">
        <is>
          <t>CYBE-020</t>
        </is>
      </c>
      <c r="B392" s="3" t="inlineStr">
        <is>
          <t>Cyber Privacy</t>
        </is>
      </c>
      <c r="C392" s="3" t="inlineStr">
        <is>
          <t>Protection</t>
        </is>
      </c>
      <c r="D392" s="3" t="inlineStr">
        <is>
          <t>How mature is the organization in managing DLP controls for sensitive data in email, cloud storage, endpoints and collaboration tools, including ownership, evidence, metrics, fallback procedures and crisis stress testing?</t>
        </is>
      </c>
      <c r="E392" s="3" t="inlineStr">
        <is>
          <t>Establish a basic owner and inventory for DLP controls for sensitive data in email, cloud storage, endpoints and collaboration tools. Define minimum policy, evidence location and immediate crisis relevance.</t>
        </is>
      </c>
      <c r="F392" s="3" t="inlineStr">
        <is>
          <t>Document DLP controls for sensitive data in email, cloud storage, endpoints and collaboration tools, assign RACI, define minimum controls/KPIs and collect evidence across the main business units or sites.</t>
        </is>
      </c>
      <c r="G392" s="3" t="inlineStr">
        <is>
          <t>Standardize DLP controls for sensitive data in email, cloud storage, endpoints and collaboration tools across the organization, close coverage gaps, link it to crisis scenarios and train accountable roles.</t>
        </is>
      </c>
      <c r="H392" s="3" t="inlineStr">
        <is>
          <t>Measure DLP controls for sensitive data in email, cloud storage, endpoints and collaboration tools, review it periodically, test it against disruption scenarios and integrate it with dependent processes or systems.</t>
        </is>
      </c>
      <c r="I392" s="3" t="inlineStr">
        <is>
          <t>Optimize and automate DLP controls for sensitive data in email, cloud storage, endpoints and collaboration tools where practical, use leading indicators, run periodic stress tests and update the crisis playbook.</t>
        </is>
      </c>
      <c r="J392" s="3" t="inlineStr">
        <is>
          <t>Maintain maturity for DLP controls for sensitive data in email, cloud storage, endpoints and collaboration tools. Monitor drift, keep evidence current, benchmark externally and refresh tests after major changes.</t>
        </is>
      </c>
      <c r="K392" s="3" t="inlineStr">
        <is>
          <t>Reduces exposure to Cyberattack; Data breach; Ransomware; Insider threat; improves Protection maturity, continuity and management visibility.</t>
        </is>
      </c>
      <c r="L392" s="3" t="n">
        <v>5</v>
      </c>
      <c r="M392" s="3" t="n">
        <v>5</v>
      </c>
      <c r="N392" s="3" t="n">
        <v>4</v>
      </c>
      <c r="O392" s="3" t="n">
        <v>3</v>
      </c>
      <c r="P392" s="3" t="n">
        <v>2</v>
      </c>
      <c r="Q392" s="3" t="n">
        <v>1</v>
      </c>
      <c r="R392" s="3" t="inlineStr">
        <is>
          <t>ISO/IEC 27001; ISO/IEC 27002; NIST CSF 2.0; CIS Controls; ISO/IEC 27701; GDPR; IEC 62443</t>
        </is>
      </c>
      <c r="S392" s="3" t="inlineStr">
        <is>
          <t>Policy/SOP; owner/RACI; system report; dashboard; contracts; test records; incident history; interview evidence related to DLP controls for sensitive data in email, cloud storage, endpoints and collaboration tools.</t>
        </is>
      </c>
      <c r="T392" s="3" t="inlineStr">
        <is>
          <t>Cyberattack; Data breach; Ransomware; Insider threat</t>
        </is>
      </c>
      <c r="U392" s="3" t="inlineStr">
        <is>
          <t>CISO / IT Security</t>
        </is>
      </c>
      <c r="V392" s="3" t="inlineStr">
        <is>
          <t>Cyber Privacy!24</t>
        </is>
      </c>
    </row>
    <row r="393" ht="85.5" customHeight="1" s="209">
      <c r="A393" s="3" t="inlineStr">
        <is>
          <t>CYBE-021</t>
        </is>
      </c>
      <c r="B393" s="3" t="inlineStr">
        <is>
          <t>Cyber Privacy</t>
        </is>
      </c>
      <c r="C393" s="3" t="inlineStr">
        <is>
          <t>Detection and response</t>
        </is>
      </c>
      <c r="D393" s="3" t="inlineStr">
        <is>
          <t>How mature is the organization in managing log collection and monitoring for identity, endpoints, cloud, network, critical apps and security tools, including ownership, evidence, metrics, fallback procedures and crisis stress testing?</t>
        </is>
      </c>
      <c r="E393" s="3" t="inlineStr">
        <is>
          <t>Establish a basic owner and inventory for log collection and monitoring for identity, endpoints, cloud, network, critical apps and security tools. Define minimum policy, evidence location and immediate crisis relevance.</t>
        </is>
      </c>
      <c r="F393" s="3" t="inlineStr">
        <is>
          <t>Document log collection and monitoring for identity, endpoints, cloud, network, critical apps and security tools, assign RACI, define minimum controls/KPIs and collect evidence across the main business units or sites.</t>
        </is>
      </c>
      <c r="G393" s="3" t="inlineStr">
        <is>
          <t>Standardize log collection and monitoring for identity, endpoints, cloud, network, critical apps and security tools across the organization, close coverage gaps, link it to crisis scenarios and train accountable roles.</t>
        </is>
      </c>
      <c r="H393" s="3" t="inlineStr">
        <is>
          <t>Measure log collection and monitoring for identity, endpoints, cloud, network, critical apps and security tools, review it periodically, test it against disruption scenarios and integrate it with dependent processes or systems.</t>
        </is>
      </c>
      <c r="I393" s="3" t="inlineStr">
        <is>
          <t>Optimize and automate log collection and monitoring for identity, endpoints, cloud, network, critical apps and security tools where practical, use leading indicators, run periodic stress tests and update the crisis playbook.</t>
        </is>
      </c>
      <c r="J393" s="3" t="inlineStr">
        <is>
          <t>Maintain maturity for log collection and monitoring for identity, endpoints, cloud, network, critical apps and security tools. Monitor drift, keep evidence current, benchmark externally and refresh tests after major changes.</t>
        </is>
      </c>
      <c r="K393" s="3" t="inlineStr">
        <is>
          <t>Reduces exposure to Cyberattack; Data breach; Ransomware; Insider threat; improves Detection and response maturity, continuity and management visibility.</t>
        </is>
      </c>
      <c r="L393" s="3" t="n">
        <v>5</v>
      </c>
      <c r="M393" s="3" t="n">
        <v>5</v>
      </c>
      <c r="N393" s="3" t="n">
        <v>4</v>
      </c>
      <c r="O393" s="3" t="n">
        <v>3</v>
      </c>
      <c r="P393" s="3" t="n">
        <v>2</v>
      </c>
      <c r="Q393" s="3" t="n">
        <v>1</v>
      </c>
      <c r="R393" s="3" t="inlineStr">
        <is>
          <t>ISO/IEC 27001; ISO/IEC 27002; NIST CSF 2.0; CIS Controls; ISO/IEC 27701; GDPR; IEC 62443</t>
        </is>
      </c>
      <c r="S393" s="3" t="inlineStr">
        <is>
          <t>Policy/SOP; owner/RACI; system report; dashboard; contracts; test records; incident history; interview evidence related to log collection and monitoring for identity, endpoints, cloud, network, critical apps and security tools.</t>
        </is>
      </c>
      <c r="T393" s="3" t="inlineStr">
        <is>
          <t>Cyberattack; Data breach; Ransomware; Insider threat</t>
        </is>
      </c>
      <c r="U393" s="3" t="inlineStr">
        <is>
          <t>CISO / IT Security</t>
        </is>
      </c>
      <c r="V393" s="3" t="inlineStr">
        <is>
          <t>Cyber Privacy!25</t>
        </is>
      </c>
    </row>
    <row r="394" ht="71.25" customHeight="1" s="209">
      <c r="A394" s="3" t="inlineStr">
        <is>
          <t>CYBE-022</t>
        </is>
      </c>
      <c r="B394" s="3" t="inlineStr">
        <is>
          <t>Cyber Privacy</t>
        </is>
      </c>
      <c r="C394" s="3" t="inlineStr">
        <is>
          <t>Detection and response</t>
        </is>
      </c>
      <c r="D394" s="3" t="inlineStr">
        <is>
          <t>How mature is the organization in managing threat detection coverage mapped to likely threat scenarios, including ownership, evidence, metrics, fallback procedures and crisis stress testing?</t>
        </is>
      </c>
      <c r="E394" s="3" t="inlineStr">
        <is>
          <t>Establish a basic owner and inventory for threat detection coverage mapped to likely threat scenarios. Define minimum policy, evidence location and immediate crisis relevance.</t>
        </is>
      </c>
      <c r="F394" s="3" t="inlineStr">
        <is>
          <t>Document threat detection coverage mapped to likely threat scenarios, assign RACI, define minimum controls/KPIs and collect evidence across the main business units or sites.</t>
        </is>
      </c>
      <c r="G394" s="3" t="inlineStr">
        <is>
          <t>Standardize threat detection coverage mapped to likely threat scenarios across the organization, close coverage gaps, link it to crisis scenarios and train accountable roles.</t>
        </is>
      </c>
      <c r="H394" s="3" t="inlineStr">
        <is>
          <t>Measure threat detection coverage mapped to likely threat scenarios, review it periodically, test it against disruption scenarios and integrate it with dependent processes or systems.</t>
        </is>
      </c>
      <c r="I394" s="3" t="inlineStr">
        <is>
          <t>Optimize and automate threat detection coverage mapped to likely threat scenarios where practical, use leading indicators, run periodic stress tests and update the crisis playbook.</t>
        </is>
      </c>
      <c r="J394" s="3" t="inlineStr">
        <is>
          <t>Maintain maturity for threat detection coverage mapped to likely threat scenarios. Monitor drift, keep evidence current, benchmark externally and refresh tests after major changes.</t>
        </is>
      </c>
      <c r="K394" s="3" t="inlineStr">
        <is>
          <t>Reduces exposure to Cyberattack; Data breach; Ransomware; Insider threat; improves Detection and response maturity, continuity and management visibility.</t>
        </is>
      </c>
      <c r="L394" s="3" t="n">
        <v>5</v>
      </c>
      <c r="M394" s="3" t="n">
        <v>5</v>
      </c>
      <c r="N394" s="3" t="n">
        <v>4</v>
      </c>
      <c r="O394" s="3" t="n">
        <v>3</v>
      </c>
      <c r="P394" s="3" t="n">
        <v>2</v>
      </c>
      <c r="Q394" s="3" t="n">
        <v>1</v>
      </c>
      <c r="R394" s="3" t="inlineStr">
        <is>
          <t>ISO/IEC 27001; ISO/IEC 27002; NIST CSF 2.0; CIS Controls; ISO/IEC 27701; GDPR; IEC 62443</t>
        </is>
      </c>
      <c r="S394" s="3" t="inlineStr">
        <is>
          <t>Policy/SOP; owner/RACI; system report; dashboard; contracts; test records; incident history; interview evidence related to threat detection coverage mapped to likely threat scenarios.</t>
        </is>
      </c>
      <c r="T394" s="3" t="inlineStr">
        <is>
          <t>Cyberattack; Data breach; Ransomware; Insider threat</t>
        </is>
      </c>
      <c r="U394" s="3" t="inlineStr">
        <is>
          <t>CISO / IT Security</t>
        </is>
      </c>
      <c r="V394" s="3" t="inlineStr">
        <is>
          <t>Cyber Privacy!26</t>
        </is>
      </c>
    </row>
    <row r="395" ht="85.5" customHeight="1" s="209">
      <c r="A395" s="3" t="inlineStr">
        <is>
          <t>CYBE-023</t>
        </is>
      </c>
      <c r="B395" s="3" t="inlineStr">
        <is>
          <t>Cyber Privacy</t>
        </is>
      </c>
      <c r="C395" s="3" t="inlineStr">
        <is>
          <t>Detection and response</t>
        </is>
      </c>
      <c r="D395" s="3" t="inlineStr">
        <is>
          <t>How mature is the organization in managing cyber incident response plan involving IT, legal, communications, executives and insurers, including ownership, evidence, metrics, fallback procedures and crisis stress testing?</t>
        </is>
      </c>
      <c r="E395" s="3" t="inlineStr">
        <is>
          <t>Establish a basic owner and inventory for cyber incident response plan involving IT, legal, communications, executives and insurers. Define minimum policy, evidence location and immediate crisis relevance.</t>
        </is>
      </c>
      <c r="F395" s="3" t="inlineStr">
        <is>
          <t>Document cyber incident response plan involving IT, legal, communications, executives and insurers, assign RACI, define minimum controls/KPIs and collect evidence across the main business units or sites.</t>
        </is>
      </c>
      <c r="G395" s="3" t="inlineStr">
        <is>
          <t>Standardize cyber incident response plan involving IT, legal, communications, executives and insurers across the organization, close coverage gaps, link it to crisis scenarios and train accountable roles.</t>
        </is>
      </c>
      <c r="H395" s="3" t="inlineStr">
        <is>
          <t>Measure cyber incident response plan involving IT, legal, communications, executives and insurers, review it periodically, test it against disruption scenarios and integrate it with dependent processes or systems.</t>
        </is>
      </c>
      <c r="I395" s="3" t="inlineStr">
        <is>
          <t>Optimize and automate cyber incident response plan involving IT, legal, communications, executives and insurers where practical, use leading indicators, run periodic stress tests and update the crisis playbook.</t>
        </is>
      </c>
      <c r="J395" s="3" t="inlineStr">
        <is>
          <t>Maintain maturity for cyber incident response plan involving IT, legal, communications, executives and insurers. Monitor drift, keep evidence current, benchmark externally and refresh tests after major changes.</t>
        </is>
      </c>
      <c r="K395" s="3" t="inlineStr">
        <is>
          <t>Reduces exposure to Cyberattack; Data breach; Ransomware; Insider threat; improves Detection and response maturity, continuity and management visibility.</t>
        </is>
      </c>
      <c r="L395" s="3" t="n">
        <v>5</v>
      </c>
      <c r="M395" s="3" t="n">
        <v>5</v>
      </c>
      <c r="N395" s="3" t="n">
        <v>4</v>
      </c>
      <c r="O395" s="3" t="n">
        <v>3</v>
      </c>
      <c r="P395" s="3" t="n">
        <v>2</v>
      </c>
      <c r="Q395" s="3" t="n">
        <v>1</v>
      </c>
      <c r="R395" s="3" t="inlineStr">
        <is>
          <t>ISO/IEC 27001; ISO/IEC 27002; NIST CSF 2.0; CIS Controls; ISO/IEC 27701; GDPR; IEC 62443</t>
        </is>
      </c>
      <c r="S395" s="3" t="inlineStr">
        <is>
          <t>Policy/SOP; owner/RACI; system report; dashboard; contracts; test records; incident history; interview evidence related to cyber incident response plan involving IT, legal, communications, executives and insurers.</t>
        </is>
      </c>
      <c r="T395" s="3" t="inlineStr">
        <is>
          <t>Cyberattack; Data breach; Ransomware; Insider threat</t>
        </is>
      </c>
      <c r="U395" s="3" t="inlineStr">
        <is>
          <t>CISO / IT Security</t>
        </is>
      </c>
      <c r="V395" s="3" t="inlineStr">
        <is>
          <t>Cyber Privacy!27</t>
        </is>
      </c>
    </row>
    <row r="396" ht="85.5" customHeight="1" s="209">
      <c r="A396" s="3" t="inlineStr">
        <is>
          <t>CYBE-024</t>
        </is>
      </c>
      <c r="B396" s="3" t="inlineStr">
        <is>
          <t>Cyber Privacy</t>
        </is>
      </c>
      <c r="C396" s="3" t="inlineStr">
        <is>
          <t>Detection and response</t>
        </is>
      </c>
      <c r="D396" s="3" t="inlineStr">
        <is>
          <t>How mature is the organization in managing ransomware playbook covering isolation, recovery, communication, legal and decision-making, including ownership, evidence, metrics, fallback procedures and crisis stress testing?</t>
        </is>
      </c>
      <c r="E396" s="3" t="inlineStr">
        <is>
          <t>Establish a basic owner and inventory for ransomware playbook covering isolation, recovery, communication, legal and decision-making. Define minimum policy, evidence location and immediate crisis relevance.</t>
        </is>
      </c>
      <c r="F396" s="3" t="inlineStr">
        <is>
          <t>Document ransomware playbook covering isolation, recovery, communication, legal and decision-making, assign RACI, define minimum controls/KPIs and collect evidence across the main business units or sites.</t>
        </is>
      </c>
      <c r="G396" s="3" t="inlineStr">
        <is>
          <t>Standardize ransomware playbook covering isolation, recovery, communication, legal and decision-making across the organization, close coverage gaps, link it to crisis scenarios and train accountable roles.</t>
        </is>
      </c>
      <c r="H396" s="3" t="inlineStr">
        <is>
          <t>Measure ransomware playbook covering isolation, recovery, communication, legal and decision-making, review it periodically, test it against disruption scenarios and integrate it with dependent processes or systems.</t>
        </is>
      </c>
      <c r="I396" s="3" t="inlineStr">
        <is>
          <t>Optimize and automate ransomware playbook covering isolation, recovery, communication, legal and decision-making where practical, use leading indicators, run periodic stress tests and update the crisis playbook.</t>
        </is>
      </c>
      <c r="J396" s="3" t="inlineStr">
        <is>
          <t>Maintain maturity for ransomware playbook covering isolation, recovery, communication, legal and decision-making. Monitor drift, keep evidence current, benchmark externally and refresh tests after major changes.</t>
        </is>
      </c>
      <c r="K396" s="3" t="inlineStr">
        <is>
          <t>Reduces exposure to Cyberattack; Data breach; Ransomware; Insider threat; improves Detection and response maturity, continuity and management visibility.</t>
        </is>
      </c>
      <c r="L396" s="3" t="n">
        <v>5</v>
      </c>
      <c r="M396" s="3" t="n">
        <v>5</v>
      </c>
      <c r="N396" s="3" t="n">
        <v>4</v>
      </c>
      <c r="O396" s="3" t="n">
        <v>3</v>
      </c>
      <c r="P396" s="3" t="n">
        <v>2</v>
      </c>
      <c r="Q396" s="3" t="n">
        <v>1</v>
      </c>
      <c r="R396" s="3" t="inlineStr">
        <is>
          <t>ISO/IEC 27001; ISO/IEC 27002; NIST CSF 2.0; CIS Controls; ISO/IEC 27701; GDPR; IEC 62443</t>
        </is>
      </c>
      <c r="S396" s="3" t="inlineStr">
        <is>
          <t>Policy/SOP; owner/RACI; system report; dashboard; contracts; test records; incident history; interview evidence related to ransomware playbook covering isolation, recovery, communication, legal and decision-making.</t>
        </is>
      </c>
      <c r="T396" s="3" t="inlineStr">
        <is>
          <t>Cyberattack; Data breach; Ransomware; Insider threat</t>
        </is>
      </c>
      <c r="U396" s="3" t="inlineStr">
        <is>
          <t>CISO / IT Security</t>
        </is>
      </c>
      <c r="V396" s="3" t="inlineStr">
        <is>
          <t>Cyber Privacy!28</t>
        </is>
      </c>
    </row>
    <row r="397" ht="71.25" customHeight="1" s="209">
      <c r="A397" s="3" t="inlineStr">
        <is>
          <t>CYBE-025</t>
        </is>
      </c>
      <c r="B397" s="3" t="inlineStr">
        <is>
          <t>Cyber Privacy</t>
        </is>
      </c>
      <c r="C397" s="3" t="inlineStr">
        <is>
          <t>Detection and response</t>
        </is>
      </c>
      <c r="D397" s="3" t="inlineStr">
        <is>
          <t>How mature is the organization in managing cyber incident exercises with business, legal, communication, IT and executives, including ownership, evidence, metrics, fallback procedures and crisis stress testing?</t>
        </is>
      </c>
      <c r="E397" s="3" t="inlineStr">
        <is>
          <t>Establish a basic owner and inventory for cyber incident exercises with business, legal, communication, IT and executives. Define minimum policy, evidence location and immediate crisis relevance.</t>
        </is>
      </c>
      <c r="F397" s="3" t="inlineStr">
        <is>
          <t>Document cyber incident exercises with business, legal, communication, IT and executives, assign RACI, define minimum controls/KPIs and collect evidence across the main business units or sites.</t>
        </is>
      </c>
      <c r="G397" s="3" t="inlineStr">
        <is>
          <t>Standardize cyber incident exercises with business, legal, communication, IT and executives across the organization, close coverage gaps, link it to crisis scenarios and train accountable roles.</t>
        </is>
      </c>
      <c r="H397" s="3" t="inlineStr">
        <is>
          <t>Measure cyber incident exercises with business, legal, communication, IT and executives, review it periodically, test it against disruption scenarios and integrate it with dependent processes or systems.</t>
        </is>
      </c>
      <c r="I397" s="3" t="inlineStr">
        <is>
          <t>Optimize and automate cyber incident exercises with business, legal, communication, IT and executives where practical, use leading indicators, run periodic stress tests and update the crisis playbook.</t>
        </is>
      </c>
      <c r="J397" s="3" t="inlineStr">
        <is>
          <t>Maintain maturity for cyber incident exercises with business, legal, communication, IT and executives. Monitor drift, keep evidence current, benchmark externally and refresh tests after major changes.</t>
        </is>
      </c>
      <c r="K397" s="3" t="inlineStr">
        <is>
          <t>Reduces exposure to Cyberattack; Data breach; Ransomware; Insider threat; improves Detection and response maturity, continuity and management visibility.</t>
        </is>
      </c>
      <c r="L397" s="3" t="n">
        <v>5</v>
      </c>
      <c r="M397" s="3" t="n">
        <v>5</v>
      </c>
      <c r="N397" s="3" t="n">
        <v>4</v>
      </c>
      <c r="O397" s="3" t="n">
        <v>3</v>
      </c>
      <c r="P397" s="3" t="n">
        <v>2</v>
      </c>
      <c r="Q397" s="3" t="n">
        <v>1</v>
      </c>
      <c r="R397" s="3" t="inlineStr">
        <is>
          <t>ISO/IEC 27001; ISO/IEC 27002; NIST CSF 2.0; CIS Controls; ISO/IEC 27701; GDPR; IEC 62443</t>
        </is>
      </c>
      <c r="S397" s="3" t="inlineStr">
        <is>
          <t>Policy/SOP; owner/RACI; system report; dashboard; contracts; test records; incident history; interview evidence related to cyber incident exercises with business, legal, communication, IT and executives.</t>
        </is>
      </c>
      <c r="T397" s="3" t="inlineStr">
        <is>
          <t>Cyberattack; Data breach; Ransomware; Insider threat</t>
        </is>
      </c>
      <c r="U397" s="3" t="inlineStr">
        <is>
          <t>CISO / IT Security</t>
        </is>
      </c>
      <c r="V397" s="3" t="inlineStr">
        <is>
          <t>Cyber Privacy!29</t>
        </is>
      </c>
    </row>
    <row r="398" ht="71.25" customHeight="1" s="209">
      <c r="A398" s="3" t="inlineStr">
        <is>
          <t>CYBE-026</t>
        </is>
      </c>
      <c r="B398" s="3" t="inlineStr">
        <is>
          <t>Cyber Privacy</t>
        </is>
      </c>
      <c r="C398" s="3" t="inlineStr">
        <is>
          <t>Detection and response</t>
        </is>
      </c>
      <c r="D398" s="3" t="inlineStr">
        <is>
          <t>How mature is the organization in managing immutable or isolated backups protected against ransomware, including ownership, evidence, metrics, fallback procedures and crisis stress testing?</t>
        </is>
      </c>
      <c r="E398" s="3" t="inlineStr">
        <is>
          <t>Establish a basic owner and inventory for immutable or isolated backups protected against ransomware. Define minimum policy, evidence location and immediate crisis relevance.</t>
        </is>
      </c>
      <c r="F398" s="3" t="inlineStr">
        <is>
          <t>Document immutable or isolated backups protected against ransomware, assign RACI, define minimum controls/KPIs and collect evidence across the main business units or sites.</t>
        </is>
      </c>
      <c r="G398" s="3" t="inlineStr">
        <is>
          <t>Standardize immutable or isolated backups protected against ransomware across the organization, close coverage gaps, link it to crisis scenarios and train accountable roles.</t>
        </is>
      </c>
      <c r="H398" s="3" t="inlineStr">
        <is>
          <t>Measure immutable or isolated backups protected against ransomware, review it periodically, test it against disruption scenarios and integrate it with dependent processes or systems.</t>
        </is>
      </c>
      <c r="I398" s="3" t="inlineStr">
        <is>
          <t>Optimize and automate immutable or isolated backups protected against ransomware where practical, use leading indicators, run periodic stress tests and update the crisis playbook.</t>
        </is>
      </c>
      <c r="J398" s="3" t="inlineStr">
        <is>
          <t>Maintain maturity for immutable or isolated backups protected against ransomware. Monitor drift, keep evidence current, benchmark externally and refresh tests after major changes.</t>
        </is>
      </c>
      <c r="K398" s="3" t="inlineStr">
        <is>
          <t>Reduces exposure to Cyberattack; Data breach; Ransomware; Insider threat; improves Detection and response maturity, continuity and management visibility.</t>
        </is>
      </c>
      <c r="L398" s="3" t="n">
        <v>5</v>
      </c>
      <c r="M398" s="3" t="n">
        <v>5</v>
      </c>
      <c r="N398" s="3" t="n">
        <v>4</v>
      </c>
      <c r="O398" s="3" t="n">
        <v>3</v>
      </c>
      <c r="P398" s="3" t="n">
        <v>2</v>
      </c>
      <c r="Q398" s="3" t="n">
        <v>1</v>
      </c>
      <c r="R398" s="3" t="inlineStr">
        <is>
          <t>ISO/IEC 27001; ISO/IEC 27002; NIST CSF 2.0; CIS Controls; ISO/IEC 27701; GDPR; IEC 62443</t>
        </is>
      </c>
      <c r="S398" s="3" t="inlineStr">
        <is>
          <t>Policy/SOP; owner/RACI; system report; dashboard; contracts; test records; incident history; interview evidence related to immutable or isolated backups protected against ransomware.</t>
        </is>
      </c>
      <c r="T398" s="3" t="inlineStr">
        <is>
          <t>Cyberattack; Data breach; Ransomware; Insider threat</t>
        </is>
      </c>
      <c r="U398" s="3" t="inlineStr">
        <is>
          <t>CISO / IT Security</t>
        </is>
      </c>
      <c r="V398" s="3" t="inlineStr">
        <is>
          <t>Cyber Privacy!30</t>
        </is>
      </c>
    </row>
    <row r="399" ht="71.25" customHeight="1" s="209">
      <c r="A399" s="3" t="inlineStr">
        <is>
          <t>CYBE-027</t>
        </is>
      </c>
      <c r="B399" s="3" t="inlineStr">
        <is>
          <t>Cyber Privacy</t>
        </is>
      </c>
      <c r="C399" s="3" t="inlineStr">
        <is>
          <t>Application and OT security</t>
        </is>
      </c>
      <c r="D399" s="3" t="inlineStr">
        <is>
          <t>How mature is the organization in managing secure SDLC for internally developed applications, APIs and integrations, including ownership, evidence, metrics, fallback procedures and crisis stress testing?</t>
        </is>
      </c>
      <c r="E399" s="3" t="inlineStr">
        <is>
          <t>Establish a basic owner and inventory for secure SDLC for internally developed applications, APIs and integrations. Define minimum policy, evidence location and immediate crisis relevance.</t>
        </is>
      </c>
      <c r="F399" s="3" t="inlineStr">
        <is>
          <t>Document secure SDLC for internally developed applications, APIs and integrations, assign RACI, define minimum controls/KPIs and collect evidence across the main business units or sites.</t>
        </is>
      </c>
      <c r="G399" s="3" t="inlineStr">
        <is>
          <t>Standardize secure SDLC for internally developed applications, APIs and integrations across the organization, close coverage gaps, link it to crisis scenarios and train accountable roles.</t>
        </is>
      </c>
      <c r="H399" s="3" t="inlineStr">
        <is>
          <t>Measure secure SDLC for internally developed applications, APIs and integrations, review it periodically, test it against disruption scenarios and integrate it with dependent processes or systems.</t>
        </is>
      </c>
      <c r="I399" s="3" t="inlineStr">
        <is>
          <t>Optimize and automate secure SDLC for internally developed applications, APIs and integrations where practical, use leading indicators, run periodic stress tests and update the crisis playbook.</t>
        </is>
      </c>
      <c r="J399" s="3" t="inlineStr">
        <is>
          <t>Maintain maturity for secure SDLC for internally developed applications, APIs and integrations. Monitor drift, keep evidence current, benchmark externally and refresh tests after major changes.</t>
        </is>
      </c>
      <c r="K399" s="3" t="inlineStr">
        <is>
          <t>Reduces exposure to Cyberattack; Data breach; Ransomware; Insider threat; improves Application and OT security maturity, continuity and management visibility.</t>
        </is>
      </c>
      <c r="L399" s="3" t="n">
        <v>5</v>
      </c>
      <c r="M399" s="3" t="n">
        <v>5</v>
      </c>
      <c r="N399" s="3" t="n">
        <v>5</v>
      </c>
      <c r="O399" s="3" t="n">
        <v>4</v>
      </c>
      <c r="P399" s="3" t="n">
        <v>3</v>
      </c>
      <c r="Q399" s="3" t="n">
        <v>1</v>
      </c>
      <c r="R399" s="3" t="inlineStr">
        <is>
          <t>ISO/IEC 27001; ISO/IEC 27002; NIST CSF 2.0; CIS Controls; ISO/IEC 27701; GDPR; IEC 62443</t>
        </is>
      </c>
      <c r="S399" s="3" t="inlineStr">
        <is>
          <t>Policy/SOP; owner/RACI; system report; dashboard; contracts; test records; incident history; interview evidence related to secure SDLC for internally developed applications, APIs and integrations.</t>
        </is>
      </c>
      <c r="T399" s="3" t="inlineStr">
        <is>
          <t>Cyberattack; Data breach; Ransomware; Insider threat</t>
        </is>
      </c>
      <c r="U399" s="3" t="inlineStr">
        <is>
          <t>CISO / IT Security</t>
        </is>
      </c>
      <c r="V399" s="3" t="inlineStr">
        <is>
          <t>Cyber Privacy!31</t>
        </is>
      </c>
    </row>
    <row r="400" ht="85.5" customHeight="1" s="209">
      <c r="A400" s="3" t="inlineStr">
        <is>
          <t>CYBE-028</t>
        </is>
      </c>
      <c r="B400" s="3" t="inlineStr">
        <is>
          <t>Cyber Privacy</t>
        </is>
      </c>
      <c r="C400" s="3" t="inlineStr">
        <is>
          <t>Application and OT security</t>
        </is>
      </c>
      <c r="D400" s="3" t="inlineStr">
        <is>
          <t>How mature is the organization in managing application vulnerability testing through SAST, DAST, code review and penetration testing, including ownership, evidence, metrics, fallback procedures and crisis stress testing?</t>
        </is>
      </c>
      <c r="E400" s="3" t="inlineStr">
        <is>
          <t>Establish a basic owner and inventory for application vulnerability testing through SAST, DAST, code review and penetration testing. Define minimum policy, evidence location and immediate crisis relevance.</t>
        </is>
      </c>
      <c r="F400" s="3" t="inlineStr">
        <is>
          <t>Document application vulnerability testing through SAST, DAST, code review and penetration testing, assign RACI, define minimum controls/KPIs and collect evidence across the main business units or sites.</t>
        </is>
      </c>
      <c r="G400" s="3" t="inlineStr">
        <is>
          <t>Standardize application vulnerability testing through SAST, DAST, code review and penetration testing across the organization, close coverage gaps, link it to crisis scenarios and train accountable roles.</t>
        </is>
      </c>
      <c r="H400" s="3" t="inlineStr">
        <is>
          <t>Measure application vulnerability testing through SAST, DAST, code review and penetration testing, review it periodically, test it against disruption scenarios and integrate it with dependent processes or systems.</t>
        </is>
      </c>
      <c r="I400" s="3" t="inlineStr">
        <is>
          <t>Optimize and automate application vulnerability testing through SAST, DAST, code review and penetration testing where practical, use leading indicators, run periodic stress tests and update the crisis playbook.</t>
        </is>
      </c>
      <c r="J400" s="3" t="inlineStr">
        <is>
          <t>Maintain maturity for application vulnerability testing through SAST, DAST, code review and penetration testing. Monitor drift, keep evidence current, benchmark externally and refresh tests after major changes.</t>
        </is>
      </c>
      <c r="K400" s="3" t="inlineStr">
        <is>
          <t>Reduces exposure to Cyberattack; Data breach; Ransomware; Insider threat; improves Application and OT security maturity, continuity and management visibility.</t>
        </is>
      </c>
      <c r="L400" s="3" t="n">
        <v>5</v>
      </c>
      <c r="M400" s="3" t="n">
        <v>5</v>
      </c>
      <c r="N400" s="3" t="n">
        <v>5</v>
      </c>
      <c r="O400" s="3" t="n">
        <v>4</v>
      </c>
      <c r="P400" s="3" t="n">
        <v>3</v>
      </c>
      <c r="Q400" s="3" t="n">
        <v>1</v>
      </c>
      <c r="R400" s="3" t="inlineStr">
        <is>
          <t>ISO/IEC 27001; ISO/IEC 27002; NIST CSF 2.0; CIS Controls; ISO/IEC 27701; GDPR; IEC 62443</t>
        </is>
      </c>
      <c r="S400" s="3" t="inlineStr">
        <is>
          <t>Policy/SOP; owner/RACI; system report; dashboard; contracts; test records; incident history; interview evidence related to application vulnerability testing through SAST, DAST, code review and penetration testing.</t>
        </is>
      </c>
      <c r="T400" s="3" t="inlineStr">
        <is>
          <t>Cyberattack; Data breach; Ransomware; Insider threat</t>
        </is>
      </c>
      <c r="U400" s="3" t="inlineStr">
        <is>
          <t>CISO / IT Security</t>
        </is>
      </c>
      <c r="V400" s="3" t="inlineStr">
        <is>
          <t>Cyber Privacy!32</t>
        </is>
      </c>
    </row>
    <row r="401" ht="85.5" customHeight="1" s="209">
      <c r="A401" s="3" t="inlineStr">
        <is>
          <t>CYBE-032</t>
        </is>
      </c>
      <c r="B401" s="3" t="inlineStr">
        <is>
          <t>Cyber Privacy</t>
        </is>
      </c>
      <c r="C401" s="3" t="inlineStr">
        <is>
          <t>Privacy</t>
        </is>
      </c>
      <c r="D401" s="3" t="inlineStr">
        <is>
          <t>How mature is the organization in managing privacy governance with roles, lawful basis, DPIA, RoPA and data subject processes, including ownership, evidence, metrics, fallback procedures and crisis stress testing?</t>
        </is>
      </c>
      <c r="E401" s="3" t="inlineStr">
        <is>
          <t>Establish a basic owner and inventory for privacy governance with roles, lawful basis, DPIA, RoPA and data subject processes. Define minimum policy, evidence location and immediate crisis relevance.</t>
        </is>
      </c>
      <c r="F401" s="3" t="inlineStr">
        <is>
          <t>Document privacy governance with roles, lawful basis, DPIA, RoPA and data subject processes, assign RACI, define minimum controls/KPIs and collect evidence across the main business units or sites.</t>
        </is>
      </c>
      <c r="G401" s="3" t="inlineStr">
        <is>
          <t>Standardize privacy governance with roles, lawful basis, DPIA, RoPA and data subject processes across the organization, close coverage gaps, link it to crisis scenarios and train accountable roles.</t>
        </is>
      </c>
      <c r="H401" s="3" t="inlineStr">
        <is>
          <t>Measure privacy governance with roles, lawful basis, DPIA, RoPA and data subject processes, review it periodically, test it against disruption scenarios and integrate it with dependent processes or systems.</t>
        </is>
      </c>
      <c r="I401" s="3" t="inlineStr">
        <is>
          <t>Optimize and automate privacy governance with roles, lawful basis, DPIA, RoPA and data subject processes where practical, use leading indicators, run periodic stress tests and update the crisis playbook.</t>
        </is>
      </c>
      <c r="J401" s="3" t="inlineStr">
        <is>
          <t>Maintain maturity for privacy governance with roles, lawful basis, DPIA, RoPA and data subject processes. Monitor drift, keep evidence current, benchmark externally and refresh tests after major changes.</t>
        </is>
      </c>
      <c r="K401" s="3" t="inlineStr">
        <is>
          <t>Reduces exposure to Cyberattack; Data breach; Ransomware; Insider threat; improves Privacy maturity, continuity and management visibility.</t>
        </is>
      </c>
      <c r="L401" s="3" t="n">
        <v>5</v>
      </c>
      <c r="M401" s="3" t="n">
        <v>5</v>
      </c>
      <c r="N401" s="3" t="n">
        <v>4</v>
      </c>
      <c r="O401" s="3" t="n">
        <v>3</v>
      </c>
      <c r="P401" s="3" t="n">
        <v>2</v>
      </c>
      <c r="Q401" s="3" t="n">
        <v>1</v>
      </c>
      <c r="R401" s="3" t="inlineStr">
        <is>
          <t>ISO/IEC 27001; ISO/IEC 27002; NIST CSF 2.0; CIS Controls; ISO/IEC 27701; GDPR; IEC 62443</t>
        </is>
      </c>
      <c r="S401" s="3" t="inlineStr">
        <is>
          <t>Policy/SOP; owner/RACI; system report; dashboard; contracts; test records; incident history; interview evidence related to privacy governance with roles, lawful basis, DPIA, RoPA and data subject processes.</t>
        </is>
      </c>
      <c r="T401" s="3" t="inlineStr">
        <is>
          <t>Cyberattack; Data breach; Ransomware; Insider threat</t>
        </is>
      </c>
      <c r="U401" s="3" t="inlineStr">
        <is>
          <t>CISO / IT Security</t>
        </is>
      </c>
      <c r="V401" s="3" t="inlineStr">
        <is>
          <t>Cyber Privacy!33</t>
        </is>
      </c>
    </row>
    <row r="402" ht="85.5" customHeight="1" s="209">
      <c r="A402" s="3" t="inlineStr">
        <is>
          <t>CYBE-033</t>
        </is>
      </c>
      <c r="B402" s="3" t="inlineStr">
        <is>
          <t>Cyber Privacy</t>
        </is>
      </c>
      <c r="C402" s="3" t="inlineStr">
        <is>
          <t>Privacy</t>
        </is>
      </c>
      <c r="D402" s="3" t="inlineStr">
        <is>
          <t>How mature is the organization in managing personal data breach detection, assessment and notification within required timelines, including ownership, evidence, metrics, fallback procedures and crisis stress testing?</t>
        </is>
      </c>
      <c r="E402" s="3" t="inlineStr">
        <is>
          <t>Establish a basic owner and inventory for personal data breach detection, assessment and notification within required timelines. Define minimum policy, evidence location and immediate crisis relevance.</t>
        </is>
      </c>
      <c r="F402" s="3" t="inlineStr">
        <is>
          <t>Document personal data breach detection, assessment and notification within required timelines, assign RACI, define minimum controls/KPIs and collect evidence across the main business units or sites.</t>
        </is>
      </c>
      <c r="G402" s="3" t="inlineStr">
        <is>
          <t>Standardize personal data breach detection, assessment and notification within required timelines across the organization, close coverage gaps, link it to crisis scenarios and train accountable roles.</t>
        </is>
      </c>
      <c r="H402" s="3" t="inlineStr">
        <is>
          <t>Measure personal data breach detection, assessment and notification within required timelines, review it periodically, test it against disruption scenarios and integrate it with dependent processes or systems.</t>
        </is>
      </c>
      <c r="I402" s="3" t="inlineStr">
        <is>
          <t>Optimize and automate personal data breach detection, assessment and notification within required timelines where practical, use leading indicators, run periodic stress tests and update the crisis playbook.</t>
        </is>
      </c>
      <c r="J402" s="3" t="inlineStr">
        <is>
          <t>Maintain maturity for personal data breach detection, assessment and notification within required timelines. Monitor drift, keep evidence current, benchmark externally and refresh tests after major changes.</t>
        </is>
      </c>
      <c r="K402" s="3" t="inlineStr">
        <is>
          <t>Reduces exposure to Cyberattack; Data breach; Ransomware; Insider threat; improves Privacy maturity, continuity and management visibility.</t>
        </is>
      </c>
      <c r="L402" s="3" t="n">
        <v>5</v>
      </c>
      <c r="M402" s="3" t="n">
        <v>5</v>
      </c>
      <c r="N402" s="3" t="n">
        <v>4</v>
      </c>
      <c r="O402" s="3" t="n">
        <v>3</v>
      </c>
      <c r="P402" s="3" t="n">
        <v>2</v>
      </c>
      <c r="Q402" s="3" t="n">
        <v>1</v>
      </c>
      <c r="R402" s="3" t="inlineStr">
        <is>
          <t>ISO/IEC 27001; ISO/IEC 27002; NIST CSF 2.0; CIS Controls; ISO/IEC 27701; GDPR; IEC 62443</t>
        </is>
      </c>
      <c r="S402" s="3" t="inlineStr">
        <is>
          <t>Policy/SOP; owner/RACI; system report; dashboard; contracts; test records; incident history; interview evidence related to personal data breach detection, assessment and notification within required timelines.</t>
        </is>
      </c>
      <c r="T402" s="3" t="inlineStr">
        <is>
          <t>Cyberattack; Data breach; Ransomware; Insider threat</t>
        </is>
      </c>
      <c r="U402" s="3" t="inlineStr">
        <is>
          <t>CISO / IT Security</t>
        </is>
      </c>
      <c r="V402" s="3" t="inlineStr">
        <is>
          <t>Cyber Privacy!34</t>
        </is>
      </c>
    </row>
    <row r="403" ht="85.5" customHeight="1" s="209">
      <c r="A403" s="3" t="inlineStr">
        <is>
          <t>CYBE-035</t>
        </is>
      </c>
      <c r="B403" s="3" t="inlineStr">
        <is>
          <t>Cyber Privacy</t>
        </is>
      </c>
      <c r="C403" s="3" t="inlineStr">
        <is>
          <t>Security governance</t>
        </is>
      </c>
      <c r="D403" s="3" t="inlineStr">
        <is>
          <t>How mature is the organization in managing inclusion of critical suppliers and service providers in incident response planning, contact lists and joint exercises, including ownership, evidence, metrics, fallback procedures and crisis stress testing?</t>
        </is>
      </c>
      <c r="E403" s="3" t="inlineStr">
        <is>
          <t>Establish a basic owner and inventory for inclusion of critical suppliers and service providers in incident response planning, contact lists and joint exercises. Define minimum policy, evidence location and immediate crisis relevance.</t>
        </is>
      </c>
      <c r="F403" s="3" t="inlineStr">
        <is>
          <t>Document inclusion of critical suppliers and service providers in incident response planning, contact lists and joint exercises, assign RACI, define minimum controls/KPIs and collect evidence across the main business units or sites.</t>
        </is>
      </c>
      <c r="G403" s="3" t="inlineStr">
        <is>
          <t>Standardize inclusion of critical suppliers and service providers in incident response planning, contact lists and joint exercises across the organization, close coverage gaps, link it to crisis scenarios and train accountable roles.</t>
        </is>
      </c>
      <c r="H403" s="3" t="inlineStr">
        <is>
          <t>Measure inclusion of critical suppliers and service providers in incident response planning, contact lists and joint exercises, review it periodically, test it against disruption scenarios and integrate it with dependent processes or systems.</t>
        </is>
      </c>
      <c r="I403" s="3" t="inlineStr">
        <is>
          <t>Optimize and automate inclusion of critical suppliers and service providers in incident response planning, contact lists and joint exercises where practical, use leading indicators, run periodic stress tests and update the crisis playbook.</t>
        </is>
      </c>
      <c r="J403" s="3" t="inlineStr">
        <is>
          <t>Maintain maturity for inclusion of critical suppliers and service providers in incident response planning, contact lists and joint exercises. Monitor drift, keep evidence current, benchmark externally and refresh tests after major changes.</t>
        </is>
      </c>
      <c r="K403" s="3" t="inlineStr">
        <is>
          <t>Reduces exposure to Cyberattack/ransomware; Supplier/logistics disruption; Cloud/SaaS outage; improves Security governance maturity, continuity and management visibility.</t>
        </is>
      </c>
      <c r="L403" s="3" t="n">
        <v>3</v>
      </c>
      <c r="M403" s="3" t="n">
        <v>3</v>
      </c>
      <c r="N403" s="3" t="n">
        <v>2</v>
      </c>
      <c r="O403" s="3" t="n">
        <v>2</v>
      </c>
      <c r="P403" s="3" t="n">
        <v>2</v>
      </c>
      <c r="Q403" s="3" t="n">
        <v>1</v>
      </c>
      <c r="R403" s="3" t="inlineStr">
        <is>
          <t>NIST CSF 2.0 GV.SC-08; ISO 27036; ISO 22301</t>
        </is>
      </c>
      <c r="S403" s="3" t="inlineStr">
        <is>
          <t>Policy/SOP; owner/RACI; system report; dashboard; contracts; test records; incident history; interview evidence related to inclusion of critical suppliers and service providers in incident response planning, contact lists and joint exercises</t>
        </is>
      </c>
      <c r="T403" s="3" t="inlineStr">
        <is>
          <t>Cyberattack/ransomware; Supplier/logistics disruption; Cloud/SaaS outage</t>
        </is>
      </c>
      <c r="U403" s="3" t="inlineStr">
        <is>
          <t>CISO / IT</t>
        </is>
      </c>
      <c r="V403" s="3" t="inlineStr">
        <is>
          <t>Cyber Privacy!35</t>
        </is>
      </c>
    </row>
    <row r="404" ht="85.5" customHeight="1" s="209">
      <c r="A404" s="3" t="inlineStr">
        <is>
          <t>CYBE-036</t>
        </is>
      </c>
      <c r="B404" s="3" t="inlineStr">
        <is>
          <t>Cyber Privacy</t>
        </is>
      </c>
      <c r="C404" s="3" t="inlineStr">
        <is>
          <t>Security governance</t>
        </is>
      </c>
      <c r="D404" s="3" t="inlineStr">
        <is>
          <t>How mature is the organization in managing vendor offboarding with access revocation, data return or deletion and post-contract security obligations, including ownership, evidence, metrics, fallback procedures and crisis stress testing?</t>
        </is>
      </c>
      <c r="E404" s="3" t="inlineStr">
        <is>
          <t>Establish a basic owner and inventory for vendor offboarding with access revocation, data return or deletion and post-contract security obligations. Define minimum policy, evidence location and immediate crisis relevance.</t>
        </is>
      </c>
      <c r="F404" s="3" t="inlineStr">
        <is>
          <t>Document vendor offboarding with access revocation, data return or deletion and post-contract security obligations, assign RACI, define minimum controls/KPIs and collect evidence across the main business units or sites.</t>
        </is>
      </c>
      <c r="G404" s="3" t="inlineStr">
        <is>
          <t>Standardize vendor offboarding with access revocation, data return or deletion and post-contract security obligations across the organization, close coverage gaps, link it to crisis scenarios and train accountable roles.</t>
        </is>
      </c>
      <c r="H404" s="3" t="inlineStr">
        <is>
          <t>Measure vendor offboarding with access revocation, data return or deletion and post-contract security obligations, review it periodically, test it against disruption scenarios and integrate it with dependent processes or systems.</t>
        </is>
      </c>
      <c r="I404" s="3" t="inlineStr">
        <is>
          <t>Optimize and automate vendor offboarding with access revocation, data return or deletion and post-contract security obligations where practical, use leading indicators, run periodic stress tests and update the crisis playbook.</t>
        </is>
      </c>
      <c r="J404" s="3" t="inlineStr">
        <is>
          <t>Maintain maturity for vendor offboarding with access revocation, data return or deletion and post-contract security obligations. Monitor drift, keep evidence current, benchmark externally and refresh tests after major changes.</t>
        </is>
      </c>
      <c r="K404" s="3" t="inlineStr">
        <is>
          <t>Reduces exposure to Cyberattack/ransomware; Regulatory/legal shock; improves Security governance maturity, continuity and management visibility.</t>
        </is>
      </c>
      <c r="L404" s="3" t="n">
        <v>2</v>
      </c>
      <c r="M404" s="3" t="n">
        <v>2</v>
      </c>
      <c r="N404" s="3" t="n">
        <v>2</v>
      </c>
      <c r="O404" s="3" t="n">
        <v>2</v>
      </c>
      <c r="P404" s="3" t="n">
        <v>1</v>
      </c>
      <c r="Q404" s="3" t="n">
        <v>1</v>
      </c>
      <c r="R404" s="3" t="inlineStr">
        <is>
          <t>NIST CSF 2.0 GV.SC-10; ISO 27001; GDPR</t>
        </is>
      </c>
      <c r="S404" s="3" t="inlineStr">
        <is>
          <t>Policy/SOP; owner/RACI; system report; dashboard; contracts; test records; incident history; interview evidence related to vendor offboarding with access revocation, data return or deletion and post-contract security obligations</t>
        </is>
      </c>
      <c r="T404" s="3" t="inlineStr">
        <is>
          <t>Cyberattack/ransomware; Regulatory/legal shock</t>
        </is>
      </c>
      <c r="U404" s="3" t="inlineStr">
        <is>
          <t>CISO / Procurement</t>
        </is>
      </c>
      <c r="V404" s="3" t="inlineStr">
        <is>
          <t>Cyber Privacy!36</t>
        </is>
      </c>
    </row>
    <row r="405" ht="85.5" customHeight="1" s="209">
      <c r="A405" s="3" t="inlineStr">
        <is>
          <t>CYBE-037</t>
        </is>
      </c>
      <c r="B405" s="3" t="inlineStr">
        <is>
          <t>Cyber Privacy</t>
        </is>
      </c>
      <c r="C405" s="3" t="inlineStr">
        <is>
          <t>Detection and response</t>
        </is>
      </c>
      <c r="D405" s="3" t="inlineStr">
        <is>
          <t>How mature is the organization in managing threat intelligence intake from CERT, sector and vendor sources integrated into detection and patch priorities, including ownership, evidence, metrics, fallback procedures and crisis stress testing?</t>
        </is>
      </c>
      <c r="E405" s="3" t="inlineStr">
        <is>
          <t>Establish a basic owner and inventory for threat intelligence intake from CERT, sector and vendor sources integrated into detection and patch priorities. Define minimum policy, evidence location and immediate crisis relevance.</t>
        </is>
      </c>
      <c r="F405" s="3" t="inlineStr">
        <is>
          <t>Document threat intelligence intake from CERT, sector and vendor sources integrated into detection and patch priorities, assign RACI, define minimum controls/KPIs and collect evidence across the main business units or sites.</t>
        </is>
      </c>
      <c r="G405" s="3" t="inlineStr">
        <is>
          <t>Standardize threat intelligence intake from CERT, sector and vendor sources integrated into detection and patch priorities across the organization, close coverage gaps, link it to crisis scenarios and train accountable roles.</t>
        </is>
      </c>
      <c r="H405" s="3" t="inlineStr">
        <is>
          <t>Measure threat intelligence intake from CERT, sector and vendor sources integrated into detection and patch priorities, review it periodically, test it against disruption scenarios and integrate it with dependent processes or systems.</t>
        </is>
      </c>
      <c r="I405" s="3" t="inlineStr">
        <is>
          <t>Optimize and automate threat intelligence intake from CERT, sector and vendor sources integrated into detection and patch priorities where practical, use leading indicators, run periodic stress tests and update the crisis playbook.</t>
        </is>
      </c>
      <c r="J405" s="3" t="inlineStr">
        <is>
          <t>Maintain maturity for threat intelligence intake from CERT, sector and vendor sources integrated into detection and patch priorities. Monitor drift, keep evidence current, benchmark externally and refresh tests after major changes.</t>
        </is>
      </c>
      <c r="K405" s="3" t="inlineStr">
        <is>
          <t>Reduces exposure to Cyberattack/ransomware; improves Detection and response maturity, continuity and management visibility.</t>
        </is>
      </c>
      <c r="L405" s="3" t="n">
        <v>3</v>
      </c>
      <c r="M405" s="3" t="n">
        <v>2</v>
      </c>
      <c r="N405" s="3" t="n">
        <v>2</v>
      </c>
      <c r="O405" s="3" t="n">
        <v>2</v>
      </c>
      <c r="P405" s="3" t="n">
        <v>1</v>
      </c>
      <c r="Q405" s="3" t="n">
        <v>1</v>
      </c>
      <c r="R405" s="3" t="inlineStr">
        <is>
          <t>NIST CSF 2.0 ID.RA-02; CIS Controls; ISO 27001</t>
        </is>
      </c>
      <c r="S405" s="3" t="inlineStr">
        <is>
          <t>Policy/SOP; owner/RACI; system report; dashboard; contracts; test records; incident history; interview evidence related to threat intelligence intake from CERT, sector and vendor sources integrated into detection and patch priorities</t>
        </is>
      </c>
      <c r="T405" s="3" t="inlineStr">
        <is>
          <t>Cyberattack/ransomware</t>
        </is>
      </c>
      <c r="U405" s="3" t="inlineStr">
        <is>
          <t>CISO / SOC</t>
        </is>
      </c>
      <c r="V405" s="3" t="inlineStr">
        <is>
          <t>Cyber Privacy!37</t>
        </is>
      </c>
    </row>
    <row r="406" ht="85.5" customHeight="1" s="209">
      <c r="A406" s="3" t="inlineStr">
        <is>
          <t>CYBE-038</t>
        </is>
      </c>
      <c r="B406" s="3" t="inlineStr">
        <is>
          <t>Cyber Privacy</t>
        </is>
      </c>
      <c r="C406" s="3" t="inlineStr">
        <is>
          <t>Detection and response</t>
        </is>
      </c>
      <c r="D406" s="3" t="inlineStr">
        <is>
          <t>How mature is the organization in managing forensic evidence preservation with defined collection procedures, integrity protection and chain of custody, including ownership, evidence, metrics, fallback procedures and crisis stress testing?</t>
        </is>
      </c>
      <c r="E406" s="3" t="inlineStr">
        <is>
          <t>Establish a basic owner and inventory for forensic evidence preservation with defined collection procedures, integrity protection and chain of custody. Define minimum policy, evidence location and immediate crisis relevance.</t>
        </is>
      </c>
      <c r="F406" s="3" t="inlineStr">
        <is>
          <t>Document forensic evidence preservation with defined collection procedures, integrity protection and chain of custody, assign RACI, define minimum controls/KPIs and collect evidence across the main business units or sites.</t>
        </is>
      </c>
      <c r="G406" s="3" t="inlineStr">
        <is>
          <t>Standardize forensic evidence preservation with defined collection procedures, integrity protection and chain of custody across the organization, close coverage gaps, link it to crisis scenarios and train accountable roles.</t>
        </is>
      </c>
      <c r="H406" s="3" t="inlineStr">
        <is>
          <t>Measure forensic evidence preservation with defined collection procedures, integrity protection and chain of custody, review it periodically, test it against disruption scenarios and integrate it with dependent processes or systems.</t>
        </is>
      </c>
      <c r="I406" s="3" t="inlineStr">
        <is>
          <t>Optimize and automate forensic evidence preservation with defined collection procedures, integrity protection and chain of custody where practical, use leading indicators, run periodic stress tests and update the crisis playbook.</t>
        </is>
      </c>
      <c r="J406" s="3" t="inlineStr">
        <is>
          <t>Maintain maturity for forensic evidence preservation with defined collection procedures, integrity protection and chain of custody. Monitor drift, keep evidence current, benchmark externally and refresh tests after major changes.</t>
        </is>
      </c>
      <c r="K406" s="3" t="inlineStr">
        <is>
          <t>Reduces exposure to Cyberattack/ransomware; Regulatory/legal shock; improves Detection and response maturity, continuity and management visibility.</t>
        </is>
      </c>
      <c r="L406" s="3" t="n">
        <v>3</v>
      </c>
      <c r="M406" s="3" t="n">
        <v>2</v>
      </c>
      <c r="N406" s="3" t="n">
        <v>2</v>
      </c>
      <c r="O406" s="3" t="n">
        <v>2</v>
      </c>
      <c r="P406" s="3" t="n">
        <v>1</v>
      </c>
      <c r="Q406" s="3" t="n">
        <v>1</v>
      </c>
      <c r="R406" s="3" t="inlineStr">
        <is>
          <t>NIST CSF 2.0 RS.AN-06/07; ISO 27037</t>
        </is>
      </c>
      <c r="S406" s="3" t="inlineStr">
        <is>
          <t>Policy/SOP; owner/RACI; system report; dashboard; contracts; test records; incident history; interview evidence related to forensic evidence preservation with defined collection procedures, integrity protection and chain of custody</t>
        </is>
      </c>
      <c r="T406" s="3" t="inlineStr">
        <is>
          <t>Cyberattack/ransomware; Regulatory/legal shock</t>
        </is>
      </c>
      <c r="U406" s="3" t="inlineStr">
        <is>
          <t>CISO / Legal</t>
        </is>
      </c>
      <c r="V406" s="3" t="inlineStr">
        <is>
          <t>Cyber Privacy!38</t>
        </is>
      </c>
    </row>
    <row r="407" ht="71.25" customHeight="1" s="209">
      <c r="A407" s="3" t="inlineStr">
        <is>
          <t>QUAL-001</t>
        </is>
      </c>
      <c r="B407" s="3" t="inlineStr">
        <is>
          <t>Quality Portfolio</t>
        </is>
      </c>
      <c r="C407" s="3" t="inlineStr">
        <is>
          <t>Process management</t>
        </is>
      </c>
      <c r="D407" s="3" t="inlineStr">
        <is>
          <t>How mature is the organization in managing process architecture covering major value streams and support processes, including ownership, evidence, metrics, fallback procedures and crisis stress testing?</t>
        </is>
      </c>
      <c r="E407" s="3" t="inlineStr">
        <is>
          <t>Establish a basic owner and inventory for process architecture covering major value streams and support processes. Define minimum policy, evidence location and immediate crisis relevance.</t>
        </is>
      </c>
      <c r="F407" s="3" t="inlineStr">
        <is>
          <t>Document process architecture covering major value streams and support processes, assign RACI, define minimum controls/KPIs and collect evidence across the main business units or sites.</t>
        </is>
      </c>
      <c r="G407" s="3" t="inlineStr">
        <is>
          <t>Standardize process architecture covering major value streams and support processes across the organization, close coverage gaps, link it to crisis scenarios and train accountable roles.</t>
        </is>
      </c>
      <c r="H407" s="3" t="inlineStr">
        <is>
          <t>Measure process architecture covering major value streams and support processes, review it periodically, test it against disruption scenarios and integrate it with dependent processes or systems.</t>
        </is>
      </c>
      <c r="I407" s="3" t="inlineStr">
        <is>
          <t>Optimize and automate process architecture covering major value streams and support processes where practical, use leading indicators, run periodic stress tests and update the crisis playbook.</t>
        </is>
      </c>
      <c r="J407" s="3" t="inlineStr">
        <is>
          <t>Maintain maturity for process architecture covering major value streams and support processes. Monitor drift, keep evidence current, benchmark externally and refresh tests after major changes.</t>
        </is>
      </c>
      <c r="K407" s="3" t="inlineStr">
        <is>
          <t>Reduces exposure to Execution failure; Delivery disruption; Decision failure; improves Process management maturity, continuity and management visibility.</t>
        </is>
      </c>
      <c r="L407" s="3" t="n">
        <v>4</v>
      </c>
      <c r="M407" s="3" t="n">
        <v>4</v>
      </c>
      <c r="N407" s="3" t="n">
        <v>3</v>
      </c>
      <c r="O407" s="3" t="n">
        <v>2</v>
      </c>
      <c r="P407" s="3" t="n">
        <v>1</v>
      </c>
      <c r="Q407" s="3" t="n">
        <v>1</v>
      </c>
      <c r="R407" s="3" t="inlineStr">
        <is>
          <t>ISO 9001; ISO 21502; ISO 21500; APQC; Lean; Six Sigma; PMBOK; COBIT</t>
        </is>
      </c>
      <c r="S407" s="3" t="inlineStr">
        <is>
          <t>Policy/SOP; owner/RACI; system report; dashboard; contracts; test records; incident history; interview evidence related to process architecture covering major value streams and support processes.</t>
        </is>
      </c>
      <c r="T407" s="3" t="inlineStr">
        <is>
          <t>Execution failure; Delivery disruption; Decision failure</t>
        </is>
      </c>
      <c r="U407" s="3" t="inlineStr">
        <is>
          <t>COO / PMO / Quality</t>
        </is>
      </c>
      <c r="V407" s="3" t="inlineStr">
        <is>
          <t>Quality Portfolio!5</t>
        </is>
      </c>
    </row>
    <row r="408" ht="85.5" customHeight="1" s="209">
      <c r="A408" s="3" t="inlineStr">
        <is>
          <t>QUAL-002</t>
        </is>
      </c>
      <c r="B408" s="3" t="inlineStr">
        <is>
          <t>Quality Portfolio</t>
        </is>
      </c>
      <c r="C408" s="3" t="inlineStr">
        <is>
          <t>Process management</t>
        </is>
      </c>
      <c r="D408" s="3" t="inlineStr">
        <is>
          <t>How mature is the organization in managing process ownership for critical processes with inputs, outputs, controls and KPIs, including ownership, evidence, metrics, fallback procedures and crisis stress testing?</t>
        </is>
      </c>
      <c r="E408" s="3" t="inlineStr">
        <is>
          <t>Establish a basic owner and inventory for process ownership for critical processes with inputs, outputs, controls and KPIs. Define minimum policy, evidence location and immediate crisis relevance.</t>
        </is>
      </c>
      <c r="F408" s="3" t="inlineStr">
        <is>
          <t>Document process ownership for critical processes with inputs, outputs, controls and KPIs, assign RACI, define minimum controls/KPIs and collect evidence across the main business units or sites.</t>
        </is>
      </c>
      <c r="G408" s="3" t="inlineStr">
        <is>
          <t>Standardize process ownership for critical processes with inputs, outputs, controls and KPIs across the organization, close coverage gaps, link it to crisis scenarios and train accountable roles.</t>
        </is>
      </c>
      <c r="H408" s="3" t="inlineStr">
        <is>
          <t>Measure process ownership for critical processes with inputs, outputs, controls and KPIs, review it periodically, test it against disruption scenarios and integrate it with dependent processes or systems.</t>
        </is>
      </c>
      <c r="I408" s="3" t="inlineStr">
        <is>
          <t>Optimize and automate process ownership for critical processes with inputs, outputs, controls and KPIs where practical, use leading indicators, run periodic stress tests and update the crisis playbook.</t>
        </is>
      </c>
      <c r="J408" s="3" t="inlineStr">
        <is>
          <t>Maintain maturity for process ownership for critical processes with inputs, outputs, controls and KPIs. Monitor drift, keep evidence current, benchmark externally and refresh tests after major changes.</t>
        </is>
      </c>
      <c r="K408" s="3" t="inlineStr">
        <is>
          <t>Reduces exposure to Execution failure; Delivery disruption; Decision failure; improves Process management maturity, continuity and management visibility.</t>
        </is>
      </c>
      <c r="L408" s="3" t="n">
        <v>4</v>
      </c>
      <c r="M408" s="3" t="n">
        <v>4</v>
      </c>
      <c r="N408" s="3" t="n">
        <v>3</v>
      </c>
      <c r="O408" s="3" t="n">
        <v>2</v>
      </c>
      <c r="P408" s="3" t="n">
        <v>1</v>
      </c>
      <c r="Q408" s="3" t="n">
        <v>1</v>
      </c>
      <c r="R408" s="3" t="inlineStr">
        <is>
          <t>ISO 9001; ISO 21502; ISO 21500; APQC; Lean; Six Sigma; PMBOK; COBIT</t>
        </is>
      </c>
      <c r="S408" s="3" t="inlineStr">
        <is>
          <t>Policy/SOP; owner/RACI; system report; dashboard; contracts; test records; incident history; interview evidence related to process ownership for critical processes with inputs, outputs, controls and KPIs.</t>
        </is>
      </c>
      <c r="T408" s="3" t="inlineStr">
        <is>
          <t>Execution failure; Delivery disruption; Decision failure</t>
        </is>
      </c>
      <c r="U408" s="3" t="inlineStr">
        <is>
          <t>COO / PMO / Quality</t>
        </is>
      </c>
      <c r="V408" s="3" t="inlineStr">
        <is>
          <t>Quality Portfolio!6</t>
        </is>
      </c>
    </row>
    <row r="409" ht="85.5" customHeight="1" s="209">
      <c r="A409" s="3" t="inlineStr">
        <is>
          <t>QUAL-004</t>
        </is>
      </c>
      <c r="B409" s="3" t="inlineStr">
        <is>
          <t>Quality Portfolio</t>
        </is>
      </c>
      <c r="C409" s="3" t="inlineStr">
        <is>
          <t>Process management</t>
        </is>
      </c>
      <c r="D409" s="3" t="inlineStr">
        <is>
          <t>How mature is the organization in managing SOP and policy document control with versioning, ownership and review cadence, including ownership, evidence, metrics, fallback procedures and crisis stress testing?</t>
        </is>
      </c>
      <c r="E409" s="3" t="inlineStr">
        <is>
          <t>Establish a basic owner and inventory for SOP and policy document control with versioning, ownership and review cadence. Define minimum policy, evidence location and immediate crisis relevance.</t>
        </is>
      </c>
      <c r="F409" s="3" t="inlineStr">
        <is>
          <t>Document SOP and policy document control with versioning, ownership and review cadence, assign RACI, define minimum controls/KPIs and collect evidence across the main business units or sites.</t>
        </is>
      </c>
      <c r="G409" s="3" t="inlineStr">
        <is>
          <t>Standardize SOP and policy document control with versioning, ownership and review cadence across the organization, close coverage gaps, link it to crisis scenarios and train accountable roles.</t>
        </is>
      </c>
      <c r="H409" s="3" t="inlineStr">
        <is>
          <t>Measure SOP and policy document control with versioning, ownership and review cadence, review it periodically, test it against disruption scenarios and integrate it with dependent processes or systems.</t>
        </is>
      </c>
      <c r="I409" s="3" t="inlineStr">
        <is>
          <t>Optimize and automate SOP and policy document control with versioning, ownership and review cadence where practical, use leading indicators, run periodic stress tests and update the crisis playbook.</t>
        </is>
      </c>
      <c r="J409" s="3" t="inlineStr">
        <is>
          <t>Maintain maturity for SOP and policy document control with versioning, ownership and review cadence. Monitor drift, keep evidence current, benchmark externally and refresh tests after major changes.</t>
        </is>
      </c>
      <c r="K409" s="3" t="inlineStr">
        <is>
          <t>Reduces exposure to Execution failure; Delivery disruption; Decision failure; improves Process management maturity, continuity and management visibility.</t>
        </is>
      </c>
      <c r="L409" s="3" t="n">
        <v>4</v>
      </c>
      <c r="M409" s="3" t="n">
        <v>4</v>
      </c>
      <c r="N409" s="3" t="n">
        <v>3</v>
      </c>
      <c r="O409" s="3" t="n">
        <v>2</v>
      </c>
      <c r="P409" s="3" t="n">
        <v>1</v>
      </c>
      <c r="Q409" s="3" t="n">
        <v>1</v>
      </c>
      <c r="R409" s="3" t="inlineStr">
        <is>
          <t>ISO 9001; ISO 21502; ISO 21500; APQC; Lean; Six Sigma; PMBOK; COBIT</t>
        </is>
      </c>
      <c r="S409" s="3" t="inlineStr">
        <is>
          <t>Policy/SOP; owner/RACI; system report; dashboard; contracts; test records; incident history; interview evidence related to SOP and policy document control with versioning, ownership and review cadence.</t>
        </is>
      </c>
      <c r="T409" s="3" t="inlineStr">
        <is>
          <t>Execution failure; Delivery disruption; Decision failure</t>
        </is>
      </c>
      <c r="U409" s="3" t="inlineStr">
        <is>
          <t>COO / PMO / Quality</t>
        </is>
      </c>
      <c r="V409" s="3" t="inlineStr">
        <is>
          <t>Quality Portfolio!7</t>
        </is>
      </c>
    </row>
    <row r="410" ht="85.5" customHeight="1" s="209">
      <c r="A410" s="3" t="inlineStr">
        <is>
          <t>QUAL-005</t>
        </is>
      </c>
      <c r="B410" s="3" t="inlineStr">
        <is>
          <t>Quality Portfolio</t>
        </is>
      </c>
      <c r="C410" s="3" t="inlineStr">
        <is>
          <t>Process management</t>
        </is>
      </c>
      <c r="D410" s="3" t="inlineStr">
        <is>
          <t>How mature is the organization in managing process automation documented, monitored and covered by manual fallback, including ownership, evidence, metrics, fallback procedures and crisis stress testing?</t>
        </is>
      </c>
      <c r="E410" s="3" t="inlineStr">
        <is>
          <t>Establish a basic owner and inventory for process automation documented, monitored and covered by manual fallback. Define minimum policy, evidence location and immediate crisis relevance.</t>
        </is>
      </c>
      <c r="F410" s="3" t="inlineStr">
        <is>
          <t>Document process automation documented, monitored and covered by manual fallback, assign RACI, define minimum controls/KPIs and collect evidence across the main business units or sites.</t>
        </is>
      </c>
      <c r="G410" s="3" t="inlineStr">
        <is>
          <t>Standardize process automation documented, monitored and covered by manual fallback across the organization, close coverage gaps, link it to crisis scenarios and train accountable roles.</t>
        </is>
      </c>
      <c r="H410" s="3" t="inlineStr">
        <is>
          <t>Measure process automation documented, monitored and covered by manual fallback, review it periodically, test it against disruption scenarios and integrate it with dependent processes or systems.</t>
        </is>
      </c>
      <c r="I410" s="3" t="inlineStr">
        <is>
          <t>Optimize and automate process automation documented, monitored and covered by manual fallback where practical, use leading indicators, run periodic stress tests and update the crisis playbook.</t>
        </is>
      </c>
      <c r="J410" s="3" t="inlineStr">
        <is>
          <t>Maintain maturity for process automation documented, monitored and covered by manual fallback. Monitor drift, keep evidence current, benchmark externally and refresh tests after major changes.</t>
        </is>
      </c>
      <c r="K410" s="3" t="inlineStr">
        <is>
          <t>Reduces exposure to Execution failure; Delivery disruption; Decision failure; improves Process management maturity, continuity and management visibility.</t>
        </is>
      </c>
      <c r="L410" s="3" t="n">
        <v>4</v>
      </c>
      <c r="M410" s="3" t="n">
        <v>4</v>
      </c>
      <c r="N410" s="3" t="n">
        <v>3</v>
      </c>
      <c r="O410" s="3" t="n">
        <v>2</v>
      </c>
      <c r="P410" s="3" t="n">
        <v>1</v>
      </c>
      <c r="Q410" s="3" t="n">
        <v>1</v>
      </c>
      <c r="R410" s="3" t="inlineStr">
        <is>
          <t>ISO 9001; ISO 21502; ISO 21500; APQC; Lean; Six Sigma; PMBOK; COBIT</t>
        </is>
      </c>
      <c r="S410" s="3" t="inlineStr">
        <is>
          <t>Policy/SOP; owner/RACI; system report; dashboard; contracts; test records; incident history; interview evidence related to process automation documented, monitored and covered by manual fallback.</t>
        </is>
      </c>
      <c r="T410" s="3" t="inlineStr">
        <is>
          <t>Execution failure; Delivery disruption; Decision failure</t>
        </is>
      </c>
      <c r="U410" s="3" t="inlineStr">
        <is>
          <t>COO / PMO / Quality</t>
        </is>
      </c>
      <c r="V410" s="3" t="inlineStr">
        <is>
          <t>Quality Portfolio!8</t>
        </is>
      </c>
    </row>
    <row r="411" ht="71.25" customHeight="1" s="209">
      <c r="A411" s="3" t="inlineStr">
        <is>
          <t>QUAL-006</t>
        </is>
      </c>
      <c r="B411" s="3" t="inlineStr">
        <is>
          <t>Quality Portfolio</t>
        </is>
      </c>
      <c r="C411" s="3" t="inlineStr">
        <is>
          <t>Quality management</t>
        </is>
      </c>
      <c r="D411" s="3" t="inlineStr">
        <is>
          <t>How mature is the organization in managing quality objectives linked to customer, delivery and operational performance, including ownership, evidence, metrics, fallback procedures and crisis stress testing?</t>
        </is>
      </c>
      <c r="E411" s="3" t="inlineStr">
        <is>
          <t>Establish a basic owner and inventory for quality objectives linked to customer, delivery and operational performance. Define minimum policy, evidence location and immediate crisis relevance.</t>
        </is>
      </c>
      <c r="F411" s="3" t="inlineStr">
        <is>
          <t>Document quality objectives linked to customer, delivery and operational performance, assign RACI, define minimum controls/KPIs and collect evidence across the main business units or sites.</t>
        </is>
      </c>
      <c r="G411" s="3" t="inlineStr">
        <is>
          <t>Standardize quality objectives linked to customer, delivery and operational performance across the organization, close coverage gaps, link it to crisis scenarios and train accountable roles.</t>
        </is>
      </c>
      <c r="H411" s="3" t="inlineStr">
        <is>
          <t>Measure quality objectives linked to customer, delivery and operational performance, review it periodically, test it against disruption scenarios and integrate it with dependent processes or systems.</t>
        </is>
      </c>
      <c r="I411" s="3" t="inlineStr">
        <is>
          <t>Optimize and automate quality objectives linked to customer, delivery and operational performance where practical, use leading indicators, run periodic stress tests and update the crisis playbook.</t>
        </is>
      </c>
      <c r="J411" s="3" t="inlineStr">
        <is>
          <t>Maintain maturity for quality objectives linked to customer, delivery and operational performance. Monitor drift, keep evidence current, benchmark externally and refresh tests after major changes.</t>
        </is>
      </c>
      <c r="K411" s="3" t="inlineStr">
        <is>
          <t>Reduces exposure to Execution failure; Delivery disruption; Decision failure; improves Quality management maturity, continuity and management visibility.</t>
        </is>
      </c>
      <c r="L411" s="3" t="n">
        <v>4</v>
      </c>
      <c r="M411" s="3" t="n">
        <v>4</v>
      </c>
      <c r="N411" s="3" t="n">
        <v>3</v>
      </c>
      <c r="O411" s="3" t="n">
        <v>2</v>
      </c>
      <c r="P411" s="3" t="n">
        <v>1</v>
      </c>
      <c r="Q411" s="3" t="n">
        <v>1</v>
      </c>
      <c r="R411" s="3" t="inlineStr">
        <is>
          <t>ISO 9001; ISO 21502; ISO 21500; APQC; Lean; Six Sigma; PMBOK; COBIT</t>
        </is>
      </c>
      <c r="S411" s="3" t="inlineStr">
        <is>
          <t>Policy/SOP; owner/RACI; system report; dashboard; contracts; test records; incident history; interview evidence related to quality objectives linked to customer, delivery and operational performance.</t>
        </is>
      </c>
      <c r="T411" s="3" t="inlineStr">
        <is>
          <t>Execution failure; Delivery disruption; Decision failure</t>
        </is>
      </c>
      <c r="U411" s="3" t="inlineStr">
        <is>
          <t>COO / PMO / Quality</t>
        </is>
      </c>
      <c r="V411" s="3" t="inlineStr">
        <is>
          <t>Quality Portfolio!9</t>
        </is>
      </c>
    </row>
    <row r="412">
      <c r="A412" t="inlineStr">
        <is>
          <t>QUAL-007</t>
        </is>
      </c>
      <c r="B412" t="inlineStr">
        <is>
          <t>Quality Portfolio</t>
        </is>
      </c>
      <c r="C412" t="inlineStr">
        <is>
          <t>Quality management</t>
        </is>
      </c>
      <c r="D412" t="inlineStr">
        <is>
          <t>How mature is the organization in managing nonconformity, defect, complaint and corrective action management, including ownership, evidence, metrics, fallback procedures and crisis stress testing?</t>
        </is>
      </c>
      <c r="E412" t="inlineStr">
        <is>
          <t>Establish a basic owner and inventory for nonconformity, defect, complaint and corrective action management. Define minimum policy, evidence location and immediate crisis relevance.</t>
        </is>
      </c>
      <c r="F412" t="inlineStr">
        <is>
          <t>Document nonconformity, defect, complaint and corrective action management, assign RACI, define minimum controls/KPIs and collect evidence across the main business units or sites.</t>
        </is>
      </c>
      <c r="G412" t="inlineStr">
        <is>
          <t>Standardize nonconformity, defect, complaint and corrective action management across the organization, close coverage gaps, link it to crisis scenarios and train accountable roles.</t>
        </is>
      </c>
      <c r="H412" t="inlineStr">
        <is>
          <t>Measure nonconformity, defect, complaint and corrective action management, review it periodically, test it against disruption scenarios and integrate it with dependent processes or systems.</t>
        </is>
      </c>
      <c r="I412" t="inlineStr">
        <is>
          <t>Optimize and automate nonconformity, defect, complaint and corrective action management where practical, use leading indicators, run periodic stress tests and update the crisis playbook.</t>
        </is>
      </c>
      <c r="J412" t="inlineStr">
        <is>
          <t>Maintain maturity for nonconformity, defect, complaint and corrective action management. Monitor drift, keep evidence current, benchmark externally and refresh tests after major changes.</t>
        </is>
      </c>
      <c r="K412" t="inlineStr">
        <is>
          <t>Reduces exposure to Execution failure; Delivery disruption; Decision failure; improves Quality management maturity, continuity and management visibility.</t>
        </is>
      </c>
      <c r="L412" t="n">
        <v>4</v>
      </c>
      <c r="M412" t="n">
        <v>4</v>
      </c>
      <c r="N412" t="n">
        <v>3</v>
      </c>
      <c r="O412" t="n">
        <v>2</v>
      </c>
      <c r="P412" t="n">
        <v>1</v>
      </c>
      <c r="Q412" t="n">
        <v>1</v>
      </c>
      <c r="R412" t="inlineStr">
        <is>
          <t>ISO 9001; ISO 21502; ISO 21500; APQC; Lean; Six Sigma; PMBOK; COBIT</t>
        </is>
      </c>
      <c r="S412" t="inlineStr">
        <is>
          <t>Policy/SOP; owner/RACI; system report; dashboard; contracts; test records; incident history; interview evidence related to nonconformity, defect, complaint and corrective action management.</t>
        </is>
      </c>
      <c r="T412" t="inlineStr">
        <is>
          <t>Execution failure; Delivery disruption; Decision failure</t>
        </is>
      </c>
      <c r="U412" t="inlineStr">
        <is>
          <t>COO / PMO / Quality</t>
        </is>
      </c>
      <c r="V412" t="inlineStr">
        <is>
          <t>Quality Portfolio!10</t>
        </is>
      </c>
    </row>
    <row r="413">
      <c r="A413" t="inlineStr">
        <is>
          <t>QUAL-008</t>
        </is>
      </c>
      <c r="B413" t="inlineStr">
        <is>
          <t>Quality Portfolio</t>
        </is>
      </c>
      <c r="C413" t="inlineStr">
        <is>
          <t>Quality management</t>
        </is>
      </c>
      <c r="D413" t="inlineStr">
        <is>
          <t>How mature is the organization in managing internal audit program for critical processes and controls, including ownership, evidence, metrics, fallback procedures and crisis stress testing?</t>
        </is>
      </c>
      <c r="E413" t="inlineStr">
        <is>
          <t>Establish a basic owner and inventory for internal audit program for critical processes and controls. Define minimum policy, evidence location and immediate crisis relevance.</t>
        </is>
      </c>
      <c r="F413" t="inlineStr">
        <is>
          <t>Document internal audit program for critical processes and controls, assign RACI, define minimum controls/KPIs and collect evidence across the main business units or sites.</t>
        </is>
      </c>
      <c r="G413" t="inlineStr">
        <is>
          <t>Standardize internal audit program for critical processes and controls across the organization, close coverage gaps, link it to crisis scenarios and train accountable roles.</t>
        </is>
      </c>
      <c r="H413" t="inlineStr">
        <is>
          <t>Measure internal audit program for critical processes and controls, review it periodically, test it against disruption scenarios and integrate it with dependent processes or systems.</t>
        </is>
      </c>
      <c r="I413" t="inlineStr">
        <is>
          <t>Optimize and automate internal audit program for critical processes and controls where practical, use leading indicators, run periodic stress tests and update the crisis playbook.</t>
        </is>
      </c>
      <c r="J413" t="inlineStr">
        <is>
          <t>Maintain maturity for internal audit program for critical processes and controls. Monitor drift, keep evidence current, benchmark externally and refresh tests after major changes.</t>
        </is>
      </c>
      <c r="K413" t="inlineStr">
        <is>
          <t>Reduces exposure to Execution failure; Delivery disruption; Decision failure; improves Quality management maturity, continuity and management visibility.</t>
        </is>
      </c>
      <c r="L413" t="n">
        <v>4</v>
      </c>
      <c r="M413" t="n">
        <v>4</v>
      </c>
      <c r="N413" t="n">
        <v>3</v>
      </c>
      <c r="O413" t="n">
        <v>2</v>
      </c>
      <c r="P413" t="n">
        <v>1</v>
      </c>
      <c r="Q413" t="n">
        <v>1</v>
      </c>
      <c r="R413" t="inlineStr">
        <is>
          <t>ISO 9001; ISO 21502; ISO 21500; APQC; Lean; Six Sigma; PMBOK; COBIT</t>
        </is>
      </c>
      <c r="S413" t="inlineStr">
        <is>
          <t>Policy/SOP; owner/RACI; system report; dashboard; contracts; test records; incident history; interview evidence related to internal audit program for critical processes and controls.</t>
        </is>
      </c>
      <c r="T413" t="inlineStr">
        <is>
          <t>Execution failure; Delivery disruption; Decision failure</t>
        </is>
      </c>
      <c r="U413" t="inlineStr">
        <is>
          <t>COO / PMO / Quality</t>
        </is>
      </c>
      <c r="V413" t="inlineStr">
        <is>
          <t>Quality Portfolio!11</t>
        </is>
      </c>
    </row>
    <row r="414">
      <c r="A414" t="inlineStr">
        <is>
          <t>QUAL-009</t>
        </is>
      </c>
      <c r="B414" t="inlineStr">
        <is>
          <t>Quality Portfolio</t>
        </is>
      </c>
      <c r="C414" t="inlineStr">
        <is>
          <t>Quality management</t>
        </is>
      </c>
      <c r="D414" t="inlineStr">
        <is>
          <t>How mature is the organization in managing control testing for effectiveness, not only existence, including ownership, evidence, metrics, fallback procedures and crisis stress testing?</t>
        </is>
      </c>
      <c r="E414" t="inlineStr">
        <is>
          <t>Establish a basic owner and inventory for control testing for effectiveness, not only existence. Define minimum policy, evidence location and immediate crisis relevance.</t>
        </is>
      </c>
      <c r="F414" t="inlineStr">
        <is>
          <t>Document control testing for effectiveness, not only existence, assign RACI, define minimum controls/KPIs and collect evidence across the main business units or sites.</t>
        </is>
      </c>
      <c r="G414" t="inlineStr">
        <is>
          <t>Standardize control testing for effectiveness, not only existence across the organization, close coverage gaps, link it to crisis scenarios and train accountable roles.</t>
        </is>
      </c>
      <c r="H414" t="inlineStr">
        <is>
          <t>Measure control testing for effectiveness, not only existence, review it periodically, test it against disruption scenarios and integrate it with dependent processes or systems.</t>
        </is>
      </c>
      <c r="I414" t="inlineStr">
        <is>
          <t>Optimize and automate control testing for effectiveness, not only existence where practical, use leading indicators, run periodic stress tests and update the crisis playbook.</t>
        </is>
      </c>
      <c r="J414" t="inlineStr">
        <is>
          <t>Maintain maturity for control testing for effectiveness, not only existence. Monitor drift, keep evidence current, benchmark externally and refresh tests after major changes.</t>
        </is>
      </c>
      <c r="K414" t="inlineStr">
        <is>
          <t>Reduces exposure to Execution failure; Delivery disruption; Decision failure; improves Quality management maturity, continuity and management visibility.</t>
        </is>
      </c>
      <c r="L414" t="n">
        <v>4</v>
      </c>
      <c r="M414" t="n">
        <v>4</v>
      </c>
      <c r="N414" t="n">
        <v>3</v>
      </c>
      <c r="O414" t="n">
        <v>2</v>
      </c>
      <c r="P414" t="n">
        <v>1</v>
      </c>
      <c r="Q414" t="n">
        <v>1</v>
      </c>
      <c r="R414" t="inlineStr">
        <is>
          <t>ISO 9001; ISO 21502; ISO 21500; APQC; Lean; Six Sigma; PMBOK; COBIT</t>
        </is>
      </c>
      <c r="S414" t="inlineStr">
        <is>
          <t>Policy/SOP; owner/RACI; system report; dashboard; contracts; test records; incident history; interview evidence related to control testing for effectiveness, not only existence.</t>
        </is>
      </c>
      <c r="T414" t="inlineStr">
        <is>
          <t>Execution failure; Delivery disruption; Decision failure</t>
        </is>
      </c>
      <c r="U414" t="inlineStr">
        <is>
          <t>COO / PMO / Quality</t>
        </is>
      </c>
      <c r="V414" t="inlineStr">
        <is>
          <t>Quality Portfolio!12</t>
        </is>
      </c>
    </row>
    <row r="415">
      <c r="A415" t="inlineStr">
        <is>
          <t>QUAL-010</t>
        </is>
      </c>
      <c r="B415" t="inlineStr">
        <is>
          <t>Quality Portfolio</t>
        </is>
      </c>
      <c r="C415" t="inlineStr">
        <is>
          <t>Quality management</t>
        </is>
      </c>
      <c r="D415" t="inlineStr">
        <is>
          <t>How mature is the organization in managing customer complaint handling and root cause analysis, including ownership, evidence, metrics, fallback procedures and crisis stress testing?</t>
        </is>
      </c>
      <c r="E415" t="inlineStr">
        <is>
          <t>Establish a basic owner and inventory for customer complaint handling and root cause analysis. Define minimum policy, evidence location and immediate crisis relevance.</t>
        </is>
      </c>
      <c r="F415" t="inlineStr">
        <is>
          <t>Document customer complaint handling and root cause analysis, assign RACI, define minimum controls/KPIs and collect evidence across the main business units or sites.</t>
        </is>
      </c>
      <c r="G415" t="inlineStr">
        <is>
          <t>Standardize customer complaint handling and root cause analysis across the organization, close coverage gaps, link it to crisis scenarios and train accountable roles.</t>
        </is>
      </c>
      <c r="H415" t="inlineStr">
        <is>
          <t>Measure customer complaint handling and root cause analysis, review it periodically, test it against disruption scenarios and integrate it with dependent processes or systems.</t>
        </is>
      </c>
      <c r="I415" t="inlineStr">
        <is>
          <t>Optimize and automate customer complaint handling and root cause analysis where practical, use leading indicators, run periodic stress tests and update the crisis playbook.</t>
        </is>
      </c>
      <c r="J415" t="inlineStr">
        <is>
          <t>Maintain maturity for customer complaint handling and root cause analysis. Monitor drift, keep evidence current, benchmark externally and refresh tests after major changes.</t>
        </is>
      </c>
      <c r="K415" t="inlineStr">
        <is>
          <t>Reduces exposure to Execution failure; Delivery disruption; Decision failure; improves Quality management maturity, continuity and management visibility.</t>
        </is>
      </c>
      <c r="L415" t="n">
        <v>4</v>
      </c>
      <c r="M415" t="n">
        <v>4</v>
      </c>
      <c r="N415" t="n">
        <v>3</v>
      </c>
      <c r="O415" t="n">
        <v>2</v>
      </c>
      <c r="P415" t="n">
        <v>1</v>
      </c>
      <c r="Q415" t="n">
        <v>1</v>
      </c>
      <c r="R415" t="inlineStr">
        <is>
          <t>ISO 9001; ISO 21502; ISO 21500; APQC; Lean; Six Sigma; PMBOK; COBIT</t>
        </is>
      </c>
      <c r="S415" t="inlineStr">
        <is>
          <t>Policy/SOP; owner/RACI; system report; dashboard; contracts; test records; incident history; interview evidence related to customer complaint handling and root cause analysis.</t>
        </is>
      </c>
      <c r="T415" t="inlineStr">
        <is>
          <t>Execution failure; Delivery disruption; Decision failure</t>
        </is>
      </c>
      <c r="U415" t="inlineStr">
        <is>
          <t>COO / PMO / Quality</t>
        </is>
      </c>
      <c r="V415" t="inlineStr">
        <is>
          <t>Quality Portfolio!13</t>
        </is>
      </c>
    </row>
    <row r="416">
      <c r="A416" t="inlineStr">
        <is>
          <t>QUAL-011</t>
        </is>
      </c>
      <c r="B416" t="inlineStr">
        <is>
          <t>Quality Portfolio</t>
        </is>
      </c>
      <c r="C416" t="inlineStr">
        <is>
          <t>Portfolio and change</t>
        </is>
      </c>
      <c r="D416" t="inlineStr">
        <is>
          <t>How mature is the organization in managing portfolio governance with prioritization, capacity, benefits, risks and dependencies, including ownership, evidence, metrics, fallback procedures and crisis stress testing?</t>
        </is>
      </c>
      <c r="E416" t="inlineStr">
        <is>
          <t>Establish a basic owner and inventory for portfolio governance with prioritization, capacity, benefits, risks and dependencies. Define minimum policy, evidence location and immediate crisis relevance.</t>
        </is>
      </c>
      <c r="F416" t="inlineStr">
        <is>
          <t>Document portfolio governance with prioritization, capacity, benefits, risks and dependencies, assign RACI, define minimum controls/KPIs and collect evidence across the main business units or sites.</t>
        </is>
      </c>
      <c r="G416" t="inlineStr">
        <is>
          <t>Standardize portfolio governance with prioritization, capacity, benefits, risks and dependencies across the organization, close coverage gaps, link it to crisis scenarios and train accountable roles.</t>
        </is>
      </c>
      <c r="H416" t="inlineStr">
        <is>
          <t>Measure portfolio governance with prioritization, capacity, benefits, risks and dependencies, review it periodically, test it against disruption scenarios and integrate it with dependent processes or systems.</t>
        </is>
      </c>
      <c r="I416" t="inlineStr">
        <is>
          <t>Optimize and automate portfolio governance with prioritization, capacity, benefits, risks and dependencies where practical, use leading indicators, run periodic stress tests and update the crisis playbook.</t>
        </is>
      </c>
      <c r="J416" t="inlineStr">
        <is>
          <t>Maintain maturity for portfolio governance with prioritization, capacity, benefits, risks and dependencies. Monitor drift, keep evidence current, benchmark externally and refresh tests after major changes.</t>
        </is>
      </c>
      <c r="K416" t="inlineStr">
        <is>
          <t>Reduces exposure to Execution failure; Delivery disruption; Decision failure; improves Portfolio and change maturity, continuity and management visibility.</t>
        </is>
      </c>
      <c r="L416" t="n">
        <v>4</v>
      </c>
      <c r="M416" t="n">
        <v>4</v>
      </c>
      <c r="N416" t="n">
        <v>3</v>
      </c>
      <c r="O416" t="n">
        <v>2</v>
      </c>
      <c r="P416" t="n">
        <v>1</v>
      </c>
      <c r="Q416" t="n">
        <v>1</v>
      </c>
      <c r="R416" t="inlineStr">
        <is>
          <t>ISO 9001; ISO 21502; ISO 21500; APQC; Lean; Six Sigma; PMBOK; COBIT</t>
        </is>
      </c>
      <c r="S416" t="inlineStr">
        <is>
          <t>Policy/SOP; owner/RACI; system report; dashboard; contracts; test records; incident history; interview evidence related to portfolio governance with prioritization, capacity, benefits, risks and dependencies.</t>
        </is>
      </c>
      <c r="T416" t="inlineStr">
        <is>
          <t>Execution failure; Delivery disruption; Decision failure</t>
        </is>
      </c>
      <c r="U416" t="inlineStr">
        <is>
          <t>COO / PMO / Quality</t>
        </is>
      </c>
      <c r="V416" t="inlineStr">
        <is>
          <t>Quality Portfolio!14</t>
        </is>
      </c>
    </row>
    <row r="417">
      <c r="A417" t="inlineStr">
        <is>
          <t>QUAL-012</t>
        </is>
      </c>
      <c r="B417" t="inlineStr">
        <is>
          <t>Quality Portfolio</t>
        </is>
      </c>
      <c r="C417" t="inlineStr">
        <is>
          <t>Portfolio and change</t>
        </is>
      </c>
      <c r="D417" t="inlineStr">
        <is>
          <t>How mature is the organization in managing rapid reprioritization of initiatives during crisis using value, urgency, risk and capacity, including ownership, evidence, metrics, fallback procedures and crisis stress testing?</t>
        </is>
      </c>
      <c r="E417" t="inlineStr">
        <is>
          <t>Establish a basic owner and inventory for rapid reprioritization of initiatives during crisis using value, urgency, risk and capacity. Define minimum policy, evidence location and immediate crisis relevance.</t>
        </is>
      </c>
      <c r="F417" t="inlineStr">
        <is>
          <t>Document rapid reprioritization of initiatives during crisis using value, urgency, risk and capacity, assign RACI, define minimum controls/KPIs and collect evidence across the main business units or sites.</t>
        </is>
      </c>
      <c r="G417" t="inlineStr">
        <is>
          <t>Standardize rapid reprioritization of initiatives during crisis using value, urgency, risk and capacity across the organization, close coverage gaps, link it to crisis scenarios and train accountable roles.</t>
        </is>
      </c>
      <c r="H417" t="inlineStr">
        <is>
          <t>Measure rapid reprioritization of initiatives during crisis using value, urgency, risk and capacity, review it periodically, test it against disruption scenarios and integrate it with dependent processes or systems.</t>
        </is>
      </c>
      <c r="I417" t="inlineStr">
        <is>
          <t>Optimize and automate rapid reprioritization of initiatives during crisis using value, urgency, risk and capacity where practical, use leading indicators, run periodic stress tests and update the crisis playbook.</t>
        </is>
      </c>
      <c r="J417" t="inlineStr">
        <is>
          <t>Maintain maturity for rapid reprioritization of initiatives during crisis using value, urgency, risk and capacity. Monitor drift, keep evidence current, benchmark externally and refresh tests after major changes.</t>
        </is>
      </c>
      <c r="K417" t="inlineStr">
        <is>
          <t>Reduces exposure to Execution failure; Delivery disruption; Decision failure; improves Portfolio and change maturity, continuity and management visibility.</t>
        </is>
      </c>
      <c r="L417" t="n">
        <v>4</v>
      </c>
      <c r="M417" t="n">
        <v>4</v>
      </c>
      <c r="N417" t="n">
        <v>3</v>
      </c>
      <c r="O417" t="n">
        <v>2</v>
      </c>
      <c r="P417" t="n">
        <v>1</v>
      </c>
      <c r="Q417" t="n">
        <v>1</v>
      </c>
      <c r="R417" t="inlineStr">
        <is>
          <t>ISO 9001; ISO 21502; ISO 21500; APQC; Lean; Six Sigma; PMBOK; COBIT</t>
        </is>
      </c>
      <c r="S417" t="inlineStr">
        <is>
          <t>Policy/SOP; owner/RACI; system report; dashboard; contracts; test records; incident history; interview evidence related to rapid reprioritization of initiatives during crisis using value, urgency, risk and capacity.</t>
        </is>
      </c>
      <c r="T417" t="inlineStr">
        <is>
          <t>Execution failure; Delivery disruption; Decision failure</t>
        </is>
      </c>
      <c r="U417" t="inlineStr">
        <is>
          <t>COO / PMO / Quality</t>
        </is>
      </c>
      <c r="V417" t="inlineStr">
        <is>
          <t>Quality Portfolio!15</t>
        </is>
      </c>
    </row>
    <row r="418">
      <c r="A418" t="inlineStr">
        <is>
          <t>QUAL-013</t>
        </is>
      </c>
      <c r="B418" t="inlineStr">
        <is>
          <t>Quality Portfolio</t>
        </is>
      </c>
      <c r="C418" t="inlineStr">
        <is>
          <t>Portfolio and change</t>
        </is>
      </c>
      <c r="D418" t="inlineStr">
        <is>
          <t>How mature is the organization in managing benefits realization tracking for resilience, digital and operational initiatives, including ownership, evidence, metrics, fallback procedures and crisis stress testing?</t>
        </is>
      </c>
      <c r="E418" t="inlineStr">
        <is>
          <t>Establish a basic owner and inventory for benefits realization tracking for resilience, digital and operational initiatives. Define minimum policy, evidence location and immediate crisis relevance.</t>
        </is>
      </c>
      <c r="F418" t="inlineStr">
        <is>
          <t>Document benefits realization tracking for resilience, digital and operational initiatives, assign RACI, define minimum controls/KPIs and collect evidence across the main business units or sites.</t>
        </is>
      </c>
      <c r="G418" t="inlineStr">
        <is>
          <t>Standardize benefits realization tracking for resilience, digital and operational initiatives across the organization, close coverage gaps, link it to crisis scenarios and train accountable roles.</t>
        </is>
      </c>
      <c r="H418" t="inlineStr">
        <is>
          <t>Measure benefits realization tracking for resilience, digital and operational initiatives, review it periodically, test it against disruption scenarios and integrate it with dependent processes or systems.</t>
        </is>
      </c>
      <c r="I418" t="inlineStr">
        <is>
          <t>Optimize and automate benefits realization tracking for resilience, digital and operational initiatives where practical, use leading indicators, run periodic stress tests and update the crisis playbook.</t>
        </is>
      </c>
      <c r="J418" t="inlineStr">
        <is>
          <t>Maintain maturity for benefits realization tracking for resilience, digital and operational initiatives. Monitor drift, keep evidence current, benchmark externally and refresh tests after major changes.</t>
        </is>
      </c>
      <c r="K418" t="inlineStr">
        <is>
          <t>Reduces exposure to Execution failure; Delivery disruption; Decision failure; improves Portfolio and change maturity, continuity and management visibility.</t>
        </is>
      </c>
      <c r="L418" t="n">
        <v>4</v>
      </c>
      <c r="M418" t="n">
        <v>4</v>
      </c>
      <c r="N418" t="n">
        <v>3</v>
      </c>
      <c r="O418" t="n">
        <v>2</v>
      </c>
      <c r="P418" t="n">
        <v>1</v>
      </c>
      <c r="Q418" t="n">
        <v>1</v>
      </c>
      <c r="R418" t="inlineStr">
        <is>
          <t>ISO 9001; ISO 21502; ISO 21500; APQC; Lean; Six Sigma; PMBOK; COBIT</t>
        </is>
      </c>
      <c r="S418" t="inlineStr">
        <is>
          <t>Policy/SOP; owner/RACI; system report; dashboard; contracts; test records; incident history; interview evidence related to benefits realization tracking for resilience, digital and operational initiatives.</t>
        </is>
      </c>
      <c r="T418" t="inlineStr">
        <is>
          <t>Execution failure; Delivery disruption; Decision failure</t>
        </is>
      </c>
      <c r="U418" t="inlineStr">
        <is>
          <t>COO / PMO / Quality</t>
        </is>
      </c>
      <c r="V418" t="inlineStr">
        <is>
          <t>Quality Portfolio!16</t>
        </is>
      </c>
    </row>
    <row r="419">
      <c r="A419" t="inlineStr">
        <is>
          <t>QUAL-014</t>
        </is>
      </c>
      <c r="B419" t="inlineStr">
        <is>
          <t>Quality Portfolio</t>
        </is>
      </c>
      <c r="C419" t="inlineStr">
        <is>
          <t>Portfolio and change</t>
        </is>
      </c>
      <c r="D419" t="inlineStr">
        <is>
          <t>How mature is the organization in managing change adoption management with communication, training, sponsor accountability and adoption metrics, including ownership, evidence, metrics, fallback procedures and crisis stress testing?</t>
        </is>
      </c>
      <c r="E419" t="inlineStr">
        <is>
          <t>Establish a basic owner and inventory for change adoption management with communication, training, sponsor accountability and adoption metrics. Define minimum policy, evidence location and immediate crisis relevance.</t>
        </is>
      </c>
      <c r="F419" t="inlineStr">
        <is>
          <t>Document change adoption management with communication, training, sponsor accountability and adoption metrics, assign RACI, define minimum controls/KPIs and collect evidence across the main business units or sites.</t>
        </is>
      </c>
      <c r="G419" t="inlineStr">
        <is>
          <t>Standardize change adoption management with communication, training, sponsor accountability and adoption metrics across the organization, close coverage gaps, link it to crisis scenarios and train accountable roles.</t>
        </is>
      </c>
      <c r="H419" t="inlineStr">
        <is>
          <t>Measure change adoption management with communication, training, sponsor accountability and adoption metrics, review it periodically, test it against disruption scenarios and integrate it with dependent processes or systems.</t>
        </is>
      </c>
      <c r="I419" t="inlineStr">
        <is>
          <t>Optimize and automate change adoption management with communication, training, sponsor accountability and adoption metrics where practical, use leading indicators, run periodic stress tests and update the crisis playbook.</t>
        </is>
      </c>
      <c r="J419" t="inlineStr">
        <is>
          <t>Maintain maturity for change adoption management with communication, training, sponsor accountability and adoption metrics. Monitor drift, keep evidence current, benchmark externally and refresh tests after major changes.</t>
        </is>
      </c>
      <c r="K419" t="inlineStr">
        <is>
          <t>Reduces exposure to Execution failure; Delivery disruption; Decision failure; improves Portfolio and change maturity, continuity and management visibility.</t>
        </is>
      </c>
      <c r="L419" t="n">
        <v>5</v>
      </c>
      <c r="M419" t="n">
        <v>5</v>
      </c>
      <c r="N419" t="n">
        <v>4</v>
      </c>
      <c r="O419" t="n">
        <v>3</v>
      </c>
      <c r="P419" t="n">
        <v>2</v>
      </c>
      <c r="Q419" t="n">
        <v>1</v>
      </c>
      <c r="R419" t="inlineStr">
        <is>
          <t>ISO 9001; ISO 21502; ISO 21500; APQC; Lean; Six Sigma; PMBOK; COBIT</t>
        </is>
      </c>
      <c r="S419" t="inlineStr">
        <is>
          <t>Policy/SOP; owner/RACI; system report; dashboard; contracts; test records; incident history; interview evidence related to change adoption management with communication, training, sponsor accountability and adoption metrics.</t>
        </is>
      </c>
      <c r="T419" t="inlineStr">
        <is>
          <t>Execution failure; Delivery disruption; Decision failure</t>
        </is>
      </c>
      <c r="U419" t="inlineStr">
        <is>
          <t>COO / PMO / Quality</t>
        </is>
      </c>
      <c r="V419" t="inlineStr">
        <is>
          <t>Quality Portfolio!17</t>
        </is>
      </c>
    </row>
    <row r="420">
      <c r="A420" t="inlineStr">
        <is>
          <t>QUAL-015</t>
        </is>
      </c>
      <c r="B420" t="inlineStr">
        <is>
          <t>Quality Portfolio</t>
        </is>
      </c>
      <c r="C420" t="inlineStr">
        <is>
          <t>Portfolio and change</t>
        </is>
      </c>
      <c r="D420" t="inlineStr">
        <is>
          <t>How mature is the organization in managing improvement backlog linked to incidents, audits, customer feedback, risk and strategy, including ownership, evidence, metrics, fallback procedures and crisis stress testing?</t>
        </is>
      </c>
      <c r="E420" t="inlineStr">
        <is>
          <t>Establish a basic owner and inventory for improvement backlog linked to incidents, audits, customer feedback, risk and strategy. Define minimum policy, evidence location and immediate crisis relevance.</t>
        </is>
      </c>
      <c r="F420" t="inlineStr">
        <is>
          <t>Document improvement backlog linked to incidents, audits, customer feedback, risk and strategy, assign RACI, define minimum controls/KPIs and collect evidence across the main business units or sites.</t>
        </is>
      </c>
      <c r="G420" t="inlineStr">
        <is>
          <t>Standardize improvement backlog linked to incidents, audits, customer feedback, risk and strategy across the organization, close coverage gaps, link it to crisis scenarios and train accountable roles.</t>
        </is>
      </c>
      <c r="H420" t="inlineStr">
        <is>
          <t>Measure improvement backlog linked to incidents, audits, customer feedback, risk and strategy, review it periodically, test it against disruption scenarios and integrate it with dependent processes or systems.</t>
        </is>
      </c>
      <c r="I420" t="inlineStr">
        <is>
          <t>Optimize and automate improvement backlog linked to incidents, audits, customer feedback, risk and strategy where practical, use leading indicators, run periodic stress tests and update the crisis playbook.</t>
        </is>
      </c>
      <c r="J420" t="inlineStr">
        <is>
          <t>Maintain maturity for improvement backlog linked to incidents, audits, customer feedback, risk and strategy. Monitor drift, keep evidence current, benchmark externally and refresh tests after major changes.</t>
        </is>
      </c>
      <c r="K420" t="inlineStr">
        <is>
          <t>Reduces exposure to Execution failure; Delivery disruption; Decision failure; improves Portfolio and change maturity, continuity and management visibility.</t>
        </is>
      </c>
      <c r="L420" t="n">
        <v>4</v>
      </c>
      <c r="M420" t="n">
        <v>4</v>
      </c>
      <c r="N420" t="n">
        <v>3</v>
      </c>
      <c r="O420" t="n">
        <v>2</v>
      </c>
      <c r="P420" t="n">
        <v>1</v>
      </c>
      <c r="Q420" t="n">
        <v>1</v>
      </c>
      <c r="R420" t="inlineStr">
        <is>
          <t>ISO 9001; ISO 21502; ISO 21500; APQC; Lean; Six Sigma; PMBOK; COBIT</t>
        </is>
      </c>
      <c r="S420" t="inlineStr">
        <is>
          <t>Policy/SOP; owner/RACI; system report; dashboard; contracts; test records; incident history; interview evidence related to improvement backlog linked to incidents, audits, customer feedback, risk and strategy.</t>
        </is>
      </c>
      <c r="T420" t="inlineStr">
        <is>
          <t>Execution failure; Delivery disruption; Decision failure</t>
        </is>
      </c>
      <c r="U420" t="inlineStr">
        <is>
          <t>COO / PMO / Quality</t>
        </is>
      </c>
      <c r="V420" t="inlineStr">
        <is>
          <t>Quality Portfolio!18</t>
        </is>
      </c>
    </row>
    <row r="421">
      <c r="A421" t="inlineStr">
        <is>
          <t>QUAL-016</t>
        </is>
      </c>
      <c r="B421" t="inlineStr">
        <is>
          <t>Quality Portfolio</t>
        </is>
      </c>
      <c r="C421" t="inlineStr">
        <is>
          <t>Management system</t>
        </is>
      </c>
      <c r="D421" t="inlineStr">
        <is>
          <t>How mature is the organization in managing KPI hierarchy from strategy to functions, processes, teams and crisis readiness, including ownership, evidence, metrics, fallback procedures and crisis stress testing?</t>
        </is>
      </c>
      <c r="E421" t="inlineStr">
        <is>
          <t>Establish a basic owner and inventory for KPI hierarchy from strategy to functions, processes, teams and crisis readiness. Define minimum policy, evidence location and immediate crisis relevance.</t>
        </is>
      </c>
      <c r="F421" t="inlineStr">
        <is>
          <t>Document KPI hierarchy from strategy to functions, processes, teams and crisis readiness, assign RACI, define minimum controls/KPIs and collect evidence across the main business units or sites.</t>
        </is>
      </c>
      <c r="G421" t="inlineStr">
        <is>
          <t>Standardize KPI hierarchy from strategy to functions, processes, teams and crisis readiness across the organization, close coverage gaps, link it to crisis scenarios and train accountable roles.</t>
        </is>
      </c>
      <c r="H421" t="inlineStr">
        <is>
          <t>Measure KPI hierarchy from strategy to functions, processes, teams and crisis readiness, review it periodically, test it against disruption scenarios and integrate it with dependent processes or systems.</t>
        </is>
      </c>
      <c r="I421" t="inlineStr">
        <is>
          <t>Optimize and automate KPI hierarchy from strategy to functions, processes, teams and crisis readiness where practical, use leading indicators, run periodic stress tests and update the crisis playbook.</t>
        </is>
      </c>
      <c r="J421" t="inlineStr">
        <is>
          <t>Maintain maturity for KPI hierarchy from strategy to functions, processes, teams and crisis readiness. Monitor drift, keep evidence current, benchmark externally and refresh tests after major changes.</t>
        </is>
      </c>
      <c r="K421" t="inlineStr">
        <is>
          <t>Reduces exposure to Execution failure; Delivery disruption; Decision failure; improves Management system maturity, continuity and management visibility.</t>
        </is>
      </c>
      <c r="L421" t="n">
        <v>4</v>
      </c>
      <c r="M421" t="n">
        <v>4</v>
      </c>
      <c r="N421" t="n">
        <v>3</v>
      </c>
      <c r="O421" t="n">
        <v>2</v>
      </c>
      <c r="P421" t="n">
        <v>1</v>
      </c>
      <c r="Q421" t="n">
        <v>1</v>
      </c>
      <c r="R421" t="inlineStr">
        <is>
          <t>ISO 9001; ISO 21502; ISO 21500; APQC; Lean; Six Sigma; PMBOK; COBIT</t>
        </is>
      </c>
      <c r="S421" t="inlineStr">
        <is>
          <t>Policy/SOP; owner/RACI; system report; dashboard; contracts; test records; incident history; interview evidence related to KPI hierarchy from strategy to functions, processes, teams and crisis readiness.</t>
        </is>
      </c>
      <c r="T421" t="inlineStr">
        <is>
          <t>Execution failure; Delivery disruption; Decision failure</t>
        </is>
      </c>
      <c r="U421" t="inlineStr">
        <is>
          <t>COO / PMO / Quality</t>
        </is>
      </c>
      <c r="V421" t="inlineStr">
        <is>
          <t>Quality Portfolio!19</t>
        </is>
      </c>
    </row>
    <row r="422">
      <c r="A422" t="inlineStr">
        <is>
          <t>QUAL-017</t>
        </is>
      </c>
      <c r="B422" t="inlineStr">
        <is>
          <t>Quality Portfolio</t>
        </is>
      </c>
      <c r="C422" t="inlineStr">
        <is>
          <t>Management system</t>
        </is>
      </c>
      <c r="D422" t="inlineStr">
        <is>
          <t>How mature is the organization in managing management review of performance, risks, audit findings, incidents, customers and improvements, including ownership, evidence, metrics, fallback procedures and crisis stress testing?</t>
        </is>
      </c>
      <c r="E422" t="inlineStr">
        <is>
          <t>Establish a basic owner and inventory for management review of performance, risks, audit findings, incidents, customers and improvements. Define minimum policy, evidence location and immediate crisis relevance.</t>
        </is>
      </c>
      <c r="F422" t="inlineStr">
        <is>
          <t>Document management review of performance, risks, audit findings, incidents, customers and improvements, assign RACI, define minimum controls/KPIs and collect evidence across the main business units or sites.</t>
        </is>
      </c>
      <c r="G422" t="inlineStr">
        <is>
          <t>Standardize management review of performance, risks, audit findings, incidents, customers and improvements across the organization, close coverage gaps, link it to crisis scenarios and train accountable roles.</t>
        </is>
      </c>
      <c r="H422" t="inlineStr">
        <is>
          <t>Measure management review of performance, risks, audit findings, incidents, customers and improvements, review it periodically, test it against disruption scenarios and integrate it with dependent processes or systems.</t>
        </is>
      </c>
      <c r="I422" t="inlineStr">
        <is>
          <t>Optimize and automate management review of performance, risks, audit findings, incidents, customers and improvements where practical, use leading indicators, run periodic stress tests and update the crisis playbook.</t>
        </is>
      </c>
      <c r="J422" t="inlineStr">
        <is>
          <t>Maintain maturity for management review of performance, risks, audit findings, incidents, customers and improvements. Monitor drift, keep evidence current, benchmark externally and refresh tests after major changes.</t>
        </is>
      </c>
      <c r="K422" t="inlineStr">
        <is>
          <t>Reduces exposure to Execution failure; Delivery disruption; Decision failure; improves Management system maturity, continuity and management visibility.</t>
        </is>
      </c>
      <c r="L422" t="n">
        <v>4</v>
      </c>
      <c r="M422" t="n">
        <v>4</v>
      </c>
      <c r="N422" t="n">
        <v>3</v>
      </c>
      <c r="O422" t="n">
        <v>2</v>
      </c>
      <c r="P422" t="n">
        <v>1</v>
      </c>
      <c r="Q422" t="n">
        <v>1</v>
      </c>
      <c r="R422" t="inlineStr">
        <is>
          <t>ISO 9001; ISO 21502; ISO 21500; APQC; Lean; Six Sigma; PMBOK; COBIT</t>
        </is>
      </c>
      <c r="S422" t="inlineStr">
        <is>
          <t>Policy/SOP; owner/RACI; system report; dashboard; contracts; test records; incident history; interview evidence related to management review of performance, risks, audit findings, incidents, customers and improvements.</t>
        </is>
      </c>
      <c r="T422" t="inlineStr">
        <is>
          <t>Execution failure; Delivery disruption; Decision failure</t>
        </is>
      </c>
      <c r="U422" t="inlineStr">
        <is>
          <t>COO / PMO / Quality</t>
        </is>
      </c>
      <c r="V422" t="inlineStr">
        <is>
          <t>Quality Portfolio!20</t>
        </is>
      </c>
    </row>
    <row r="423">
      <c r="A423" t="inlineStr">
        <is>
          <t>QUAL-018</t>
        </is>
      </c>
      <c r="B423" t="inlineStr">
        <is>
          <t>Quality Portfolio</t>
        </is>
      </c>
      <c r="C423" t="inlineStr">
        <is>
          <t>Management system</t>
        </is>
      </c>
      <c r="D423" t="inlineStr">
        <is>
          <t>How mature is the organization in managing decision log for major decisions with alternatives, risks, assumptions, owners and follow-up, including ownership, evidence, metrics, fallback procedures and crisis stress testing?</t>
        </is>
      </c>
      <c r="E423" t="inlineStr">
        <is>
          <t>Establish a basic owner and inventory for decision log for major decisions with alternatives, risks, assumptions, owners and follow-up. Define minimum policy, evidence location and immediate crisis relevance.</t>
        </is>
      </c>
      <c r="F423" t="inlineStr">
        <is>
          <t>Document decision log for major decisions with alternatives, risks, assumptions, owners and follow-up, assign RACI, define minimum controls/KPIs and collect evidence across the main business units or sites.</t>
        </is>
      </c>
      <c r="G423" t="inlineStr">
        <is>
          <t>Standardize decision log for major decisions with alternatives, risks, assumptions, owners and follow-up across the organization, close coverage gaps, link it to crisis scenarios and train accountable roles.</t>
        </is>
      </c>
      <c r="H423" t="inlineStr">
        <is>
          <t>Measure decision log for major decisions with alternatives, risks, assumptions, owners and follow-up, review it periodically, test it against disruption scenarios and integrate it with dependent processes or systems.</t>
        </is>
      </c>
      <c r="I423" t="inlineStr">
        <is>
          <t>Optimize and automate decision log for major decisions with alternatives, risks, assumptions, owners and follow-up where practical, use leading indicators, run periodic stress tests and update the crisis playbook.</t>
        </is>
      </c>
      <c r="J423" t="inlineStr">
        <is>
          <t>Maintain maturity for decision log for major decisions with alternatives, risks, assumptions, owners and follow-up. Monitor drift, keep evidence current, benchmark externally and refresh tests after major changes.</t>
        </is>
      </c>
      <c r="K423" t="inlineStr">
        <is>
          <t>Reduces exposure to Execution failure; Delivery disruption; Decision failure; improves Management system maturity, continuity and management visibility.</t>
        </is>
      </c>
      <c r="L423" t="n">
        <v>4</v>
      </c>
      <c r="M423" t="n">
        <v>4</v>
      </c>
      <c r="N423" t="n">
        <v>3</v>
      </c>
      <c r="O423" t="n">
        <v>2</v>
      </c>
      <c r="P423" t="n">
        <v>1</v>
      </c>
      <c r="Q423" t="n">
        <v>1</v>
      </c>
      <c r="R423" t="inlineStr">
        <is>
          <t>ISO 9001; ISO 21502; ISO 21500; APQC; Lean; Six Sigma; PMBOK; COBIT</t>
        </is>
      </c>
      <c r="S423" t="inlineStr">
        <is>
          <t>Policy/SOP; owner/RACI; system report; dashboard; contracts; test records; incident history; interview evidence related to decision log for major decisions with alternatives, risks, assumptions, owners and follow-up.</t>
        </is>
      </c>
      <c r="T423" t="inlineStr">
        <is>
          <t>Execution failure; Delivery disruption; Decision failure</t>
        </is>
      </c>
      <c r="U423" t="inlineStr">
        <is>
          <t>COO / PMO / Quality</t>
        </is>
      </c>
      <c r="V423" t="inlineStr">
        <is>
          <t>Quality Portfolio!21</t>
        </is>
      </c>
    </row>
    <row r="424">
      <c r="A424" t="inlineStr">
        <is>
          <t>QUAL-019</t>
        </is>
      </c>
      <c r="B424" t="inlineStr">
        <is>
          <t>Quality Portfolio</t>
        </is>
      </c>
      <c r="C424" t="inlineStr">
        <is>
          <t>Management system</t>
        </is>
      </c>
      <c r="D424" t="inlineStr">
        <is>
          <t>How mature is the organization in managing evidence readiness for audits, customers, insurers or regulators during crisis, including ownership, evidence, metrics, fallback procedures and crisis stress testing?</t>
        </is>
      </c>
      <c r="E424" t="inlineStr">
        <is>
          <t>Establish a basic owner and inventory for evidence readiness for audits, customers, insurers or regulators during crisis. Define minimum policy, evidence location and immediate crisis relevance.</t>
        </is>
      </c>
      <c r="F424" t="inlineStr">
        <is>
          <t>Document evidence readiness for audits, customers, insurers or regulators during crisis, assign RACI, define minimum controls/KPIs and collect evidence across the main business units or sites.</t>
        </is>
      </c>
      <c r="G424" t="inlineStr">
        <is>
          <t>Standardize evidence readiness for audits, customers, insurers or regulators during crisis across the organization, close coverage gaps, link it to crisis scenarios and train accountable roles.</t>
        </is>
      </c>
      <c r="H424" t="inlineStr">
        <is>
          <t>Measure evidence readiness for audits, customers, insurers or regulators during crisis, review it periodically, test it against disruption scenarios and integrate it with dependent processes or systems.</t>
        </is>
      </c>
      <c r="I424" t="inlineStr">
        <is>
          <t>Optimize and automate evidence readiness for audits, customers, insurers or regulators during crisis where practical, use leading indicators, run periodic stress tests and update the crisis playbook.</t>
        </is>
      </c>
      <c r="J424" t="inlineStr">
        <is>
          <t>Maintain maturity for evidence readiness for audits, customers, insurers or regulators during crisis. Monitor drift, keep evidence current, benchmark externally and refresh tests after major changes.</t>
        </is>
      </c>
      <c r="K424" t="inlineStr">
        <is>
          <t>Reduces exposure to Execution failure; Delivery disruption; Decision failure; improves Management system maturity, continuity and management visibility.</t>
        </is>
      </c>
      <c r="L424" t="n">
        <v>4</v>
      </c>
      <c r="M424" t="n">
        <v>4</v>
      </c>
      <c r="N424" t="n">
        <v>3</v>
      </c>
      <c r="O424" t="n">
        <v>2</v>
      </c>
      <c r="P424" t="n">
        <v>1</v>
      </c>
      <c r="Q424" t="n">
        <v>1</v>
      </c>
      <c r="R424" t="inlineStr">
        <is>
          <t>ISO 9001; ISO 21502; ISO 21500; APQC; Lean; Six Sigma; PMBOK; COBIT</t>
        </is>
      </c>
      <c r="S424" t="inlineStr">
        <is>
          <t>Policy/SOP; owner/RACI; system report; dashboard; contracts; test records; incident history; interview evidence related to evidence readiness for audits, customers, insurers or regulators during crisis.</t>
        </is>
      </c>
      <c r="T424" t="inlineStr">
        <is>
          <t>Execution failure; Delivery disruption; Decision failure</t>
        </is>
      </c>
      <c r="U424" t="inlineStr">
        <is>
          <t>COO / PMO / Quality</t>
        </is>
      </c>
      <c r="V424" t="inlineStr">
        <is>
          <t>Quality Portfolio!22</t>
        </is>
      </c>
    </row>
    <row r="425">
      <c r="A425" t="inlineStr">
        <is>
          <t>QUAL-021</t>
        </is>
      </c>
      <c r="B425" t="inlineStr">
        <is>
          <t>Quality Portfolio</t>
        </is>
      </c>
      <c r="C425" t="inlineStr">
        <is>
          <t>Portfolio and change</t>
        </is>
      </c>
      <c r="D425" t="inlineStr">
        <is>
          <t>How mature is the organization in managing organizational project management alignment connecting strategy to portfolios, programs and projects with defined governance layers, including ownership, evidence, metrics, fallback procedures and crisis stress testing?</t>
        </is>
      </c>
      <c r="E425" t="inlineStr">
        <is>
          <t>Establish a basic owner and inventory for organizational project management alignment connecting strategy to portfolios, programs and projects with defined governance layers. Define minimum policy, evidence location and immediate crisis relevance.</t>
        </is>
      </c>
      <c r="F425" t="inlineStr">
        <is>
          <t>Document organizational project management alignment connecting strategy to portfolios, programs and projects with defined governance layers, assign RACI, define minimum controls/KPIs and collect evidence across the main business units or sites.</t>
        </is>
      </c>
      <c r="G425" t="inlineStr">
        <is>
          <t>Standardize organizational project management alignment connecting strategy to portfolios, programs and projects with defined governance layers across the organization, close coverage gaps, link it to crisis scenarios and train accountable roles.</t>
        </is>
      </c>
      <c r="H425" t="inlineStr">
        <is>
          <t>Measure organizational project management alignment connecting strategy to portfolios, programs and projects with defined governance layers, review it periodically, test it against disruption scenarios and integrate it with dependent processes or systems.</t>
        </is>
      </c>
      <c r="I425" t="inlineStr">
        <is>
          <t>Optimize and automate organizational project management alignment connecting strategy to portfolios, programs and projects with defined governance layers where practical, use leading indicators, run periodic stress tests and update the crisis playbook.</t>
        </is>
      </c>
      <c r="J425" t="inlineStr">
        <is>
          <t>Maintain maturity for organizational project management alignment connecting strategy to portfolios, programs and projects with defined governance layers. Monitor drift, keep evidence current, benchmark externally and refresh tests after major changes.</t>
        </is>
      </c>
      <c r="K425" t="inlineStr">
        <is>
          <t>Reduces exposure to Financial/liquidity crisis; Demand shock; improves Portfolio and change maturity, continuity and management visibility.</t>
        </is>
      </c>
      <c r="L425" t="n">
        <v>3</v>
      </c>
      <c r="M425" t="n">
        <v>3</v>
      </c>
      <c r="N425" t="n">
        <v>2</v>
      </c>
      <c r="O425" t="n">
        <v>2</v>
      </c>
      <c r="P425" t="n">
        <v>1</v>
      </c>
      <c r="Q425" t="n">
        <v>1</v>
      </c>
      <c r="R425" t="inlineStr">
        <is>
          <t>PMI Standard for OPM; ISO 21502; APQC PCF 13.0</t>
        </is>
      </c>
      <c r="S425" t="inlineStr">
        <is>
          <t>Policy/SOP; owner/RACI; system report; dashboard; contracts; test records; incident history; interview evidence related to organizational project management alignment connecting strategy to portfolios, programs and projects with defined governance layers</t>
        </is>
      </c>
      <c r="T425" t="inlineStr">
        <is>
          <t>Financial/liquidity crisis; Demand shock</t>
        </is>
      </c>
      <c r="U425" t="inlineStr">
        <is>
          <t>PMO / COO</t>
        </is>
      </c>
      <c r="V425" t="inlineStr">
        <is>
          <t>Quality Portfolio!23</t>
        </is>
      </c>
    </row>
    <row r="426">
      <c r="A426" t="inlineStr">
        <is>
          <t>QUAL-022</t>
        </is>
      </c>
      <c r="B426" t="inlineStr">
        <is>
          <t>Quality Portfolio</t>
        </is>
      </c>
      <c r="C426" t="inlineStr">
        <is>
          <t>Portfolio and change</t>
        </is>
      </c>
      <c r="D426" t="inlineStr">
        <is>
          <t>How mature is the organization in managing standardized and tailored project delivery methodology with knowledge transfer between initiatives, including ownership, evidence, metrics, fallback procedures and crisis stress testing?</t>
        </is>
      </c>
      <c r="E426" t="inlineStr">
        <is>
          <t>Establish a basic owner and inventory for standardized and tailored project delivery methodology with knowledge transfer between initiatives. Define minimum policy, evidence location and immediate crisis relevance.</t>
        </is>
      </c>
      <c r="F426" t="inlineStr">
        <is>
          <t>Document standardized and tailored project delivery methodology with knowledge transfer between initiatives, assign RACI, define minimum controls/KPIs and collect evidence across the main business units or sites.</t>
        </is>
      </c>
      <c r="G426" t="inlineStr">
        <is>
          <t>Standardize standardized and tailored project delivery methodology with knowledge transfer between initiatives across the organization, close coverage gaps, link it to crisis scenarios and train accountable roles.</t>
        </is>
      </c>
      <c r="H426" t="inlineStr">
        <is>
          <t>Measure standardized and tailored project delivery methodology with knowledge transfer between initiatives, review it periodically, test it against disruption scenarios and integrate it with dependent processes or systems.</t>
        </is>
      </c>
      <c r="I426" t="inlineStr">
        <is>
          <t>Optimize and automate standardized and tailored project delivery methodology with knowledge transfer between initiatives where practical, use leading indicators, run periodic stress tests and update the crisis playbook.</t>
        </is>
      </c>
      <c r="J426" t="inlineStr">
        <is>
          <t>Maintain maturity for standardized and tailored project delivery methodology with knowledge transfer between initiatives. Monitor drift, keep evidence current, benchmark externally and refresh tests after major changes.</t>
        </is>
      </c>
      <c r="K426" t="inlineStr">
        <is>
          <t>Reduces exposure to Demand shock; Workforce disruption; improves Portfolio and change maturity, continuity and management visibility.</t>
        </is>
      </c>
      <c r="L426" t="n">
        <v>2</v>
      </c>
      <c r="M426" t="n">
        <v>2</v>
      </c>
      <c r="N426" t="n">
        <v>2</v>
      </c>
      <c r="O426" t="n">
        <v>2</v>
      </c>
      <c r="P426" t="n">
        <v>1</v>
      </c>
      <c r="Q426" t="n">
        <v>1</v>
      </c>
      <c r="R426" t="inlineStr">
        <is>
          <t>PMI OPM; PMBOK; ISO 21502</t>
        </is>
      </c>
      <c r="S426" t="inlineStr">
        <is>
          <t>Policy/SOP; owner/RACI; system report; dashboard; contracts; test records; incident history; interview evidence related to standardized and tailored project delivery methodology with knowledge transfer between initiatives</t>
        </is>
      </c>
      <c r="T426" t="inlineStr">
        <is>
          <t>Demand shock; Workforce disruption</t>
        </is>
      </c>
      <c r="U426" t="inlineStr">
        <is>
          <t>PMO</t>
        </is>
      </c>
      <c r="V426" t="inlineStr">
        <is>
          <t>Quality Portfolio!24</t>
        </is>
      </c>
    </row>
    <row r="427">
      <c r="A427" t="inlineStr">
        <is>
          <t>QUAL-023</t>
        </is>
      </c>
      <c r="B427" t="inlineStr">
        <is>
          <t>Quality Portfolio</t>
        </is>
      </c>
      <c r="C427" t="inlineStr">
        <is>
          <t>Portfolio and change</t>
        </is>
      </c>
      <c r="D427" t="inlineStr">
        <is>
          <t>How mature is the organization in managing project and change management competency development with a visible resource pool and capacity view, including ownership, evidence, metrics, fallback procedures and crisis stress testing?</t>
        </is>
      </c>
      <c r="E427" t="inlineStr">
        <is>
          <t>Establish a basic owner and inventory for project and change management competency development with a visible resource pool and capacity view. Define minimum policy, evidence location and immediate crisis relevance.</t>
        </is>
      </c>
      <c r="F427" t="inlineStr">
        <is>
          <t>Document project and change management competency development with a visible resource pool and capacity view, assign RACI, define minimum controls/KPIs and collect evidence across the main business units or sites.</t>
        </is>
      </c>
      <c r="G427" t="inlineStr">
        <is>
          <t>Standardize project and change management competency development with a visible resource pool and capacity view across the organization, close coverage gaps, link it to crisis scenarios and train accountable roles.</t>
        </is>
      </c>
      <c r="H427" t="inlineStr">
        <is>
          <t>Measure project and change management competency development with a visible resource pool and capacity view, review it periodically, test it against disruption scenarios and integrate it with dependent processes or systems.</t>
        </is>
      </c>
      <c r="I427" t="inlineStr">
        <is>
          <t>Optimize and automate project and change management competency development with a visible resource pool and capacity view where practical, use leading indicators, run periodic stress tests and update the crisis playbook.</t>
        </is>
      </c>
      <c r="J427" t="inlineStr">
        <is>
          <t>Maintain maturity for project and change management competency development with a visible resource pool and capacity view. Monitor drift, keep evidence current, benchmark externally and refresh tests after major changes.</t>
        </is>
      </c>
      <c r="K427" t="inlineStr">
        <is>
          <t>Reduces exposure to Workforce disruption; Demand shock; improves Portfolio and change maturity, continuity and management visibility.</t>
        </is>
      </c>
      <c r="L427" t="n">
        <v>2</v>
      </c>
      <c r="M427" t="n">
        <v>2</v>
      </c>
      <c r="N427" t="n">
        <v>2</v>
      </c>
      <c r="O427" t="n">
        <v>2</v>
      </c>
      <c r="P427" t="n">
        <v>1</v>
      </c>
      <c r="Q427" t="n">
        <v>1</v>
      </c>
      <c r="R427" t="inlineStr">
        <is>
          <t>PMI OPM organizational enablers; APQC PCF 13.0</t>
        </is>
      </c>
      <c r="S427" t="inlineStr">
        <is>
          <t>Policy/SOP; owner/RACI; system report; dashboard; contracts; test records; incident history; interview evidence related to project and change management competency development with a visible resource pool and capacity view</t>
        </is>
      </c>
      <c r="T427" t="inlineStr">
        <is>
          <t>Workforce disruption; Demand shock</t>
        </is>
      </c>
      <c r="U427" t="inlineStr">
        <is>
          <t>PMO / HR</t>
        </is>
      </c>
      <c r="V427" t="inlineStr">
        <is>
          <t>Quality Portfolio!25</t>
        </is>
      </c>
    </row>
    <row r="428">
      <c r="A428" t="inlineStr">
        <is>
          <t>QUAL-024</t>
        </is>
      </c>
      <c r="B428" t="inlineStr">
        <is>
          <t>Quality Portfolio</t>
        </is>
      </c>
      <c r="C428" t="inlineStr">
        <is>
          <t>Portfolio and change</t>
        </is>
      </c>
      <c r="D428" t="inlineStr">
        <is>
          <t>How mature is the organization in managing innovation and idea pipeline capturing, evaluating and funding employee and customer-driven improvements, including ownership, evidence, metrics, fallback procedures and crisis stress testing?</t>
        </is>
      </c>
      <c r="E428" t="inlineStr">
        <is>
          <t>Establish a basic owner and inventory for innovation and idea pipeline capturing, evaluating and funding employee and customer-driven improvements. Define minimum policy, evidence location and immediate crisis relevance.</t>
        </is>
      </c>
      <c r="F428" t="inlineStr">
        <is>
          <t>Document innovation and idea pipeline capturing, evaluating and funding employee and customer-driven improvements, assign RACI, define minimum controls/KPIs and collect evidence across the main business units or sites.</t>
        </is>
      </c>
      <c r="G428" t="inlineStr">
        <is>
          <t>Standardize innovation and idea pipeline capturing, evaluating and funding employee and customer-driven improvements across the organization, close coverage gaps, link it to crisis scenarios and train accountable roles.</t>
        </is>
      </c>
      <c r="H428" t="inlineStr">
        <is>
          <t>Measure innovation and idea pipeline capturing, evaluating and funding employee and customer-driven improvements, review it periodically, test it against disruption scenarios and integrate it with dependent processes or systems.</t>
        </is>
      </c>
      <c r="I428" t="inlineStr">
        <is>
          <t>Optimize and automate innovation and idea pipeline capturing, evaluating and funding employee and customer-driven improvements where practical, use leading indicators, run periodic stress tests and update the crisis playbook.</t>
        </is>
      </c>
      <c r="J428" t="inlineStr">
        <is>
          <t>Maintain maturity for innovation and idea pipeline capturing, evaluating and funding employee and customer-driven improvements. Monitor drift, keep evidence current, benchmark externally and refresh tests after major changes.</t>
        </is>
      </c>
      <c r="K428" t="inlineStr">
        <is>
          <t>Reduces exposure to Demand shock; Reputation crisis; improves Portfolio and change maturity, continuity and management visibility.</t>
        </is>
      </c>
      <c r="L428" t="n">
        <v>2</v>
      </c>
      <c r="M428" t="n">
        <v>2</v>
      </c>
      <c r="N428" t="n">
        <v>2</v>
      </c>
      <c r="O428" t="n">
        <v>2</v>
      </c>
      <c r="P428" t="n">
        <v>1</v>
      </c>
      <c r="Q428" t="n">
        <v>1</v>
      </c>
      <c r="R428" t="inlineStr">
        <is>
          <t>EFQM 2025 2.3; ISO 56002; APQC PCF 13.0</t>
        </is>
      </c>
      <c r="S428" t="inlineStr">
        <is>
          <t>Policy/SOP; owner/RACI; system report; dashboard; contracts; test records; incident history; interview evidence related to innovation and idea pipeline capturing, evaluating and funding employee and customer-driven improvements</t>
        </is>
      </c>
      <c r="T428" t="inlineStr">
        <is>
          <t>Demand shock; Reputation crisis</t>
        </is>
      </c>
      <c r="U428" t="inlineStr">
        <is>
          <t>CEO / PMO</t>
        </is>
      </c>
      <c r="V428" t="inlineStr">
        <is>
          <t>Quality Portfolio!26</t>
        </is>
      </c>
    </row>
    <row r="440">
      <c r="A440" t="inlineStr">
        <is>
          <t>_DATA_Mappings — P1</t>
        </is>
      </c>
    </row>
    <row r="441">
      <c r="A441" t="inlineStr">
        <is>
          <t>Purpose</t>
        </is>
      </c>
      <c r="B441" t="inlineStr">
        <is>
          <t>Expanded many-to-many mapping from initiative rows to related question/risk IDs. Used by P1 initiative risk-pressure and uplift formulas.</t>
        </is>
      </c>
    </row>
    <row r="443">
      <c r="A443" t="inlineStr">
        <is>
          <t>Initiative ID</t>
        </is>
      </c>
      <c r="B443" t="inlineStr">
        <is>
          <t>Initiative theme</t>
        </is>
      </c>
      <c r="C443" t="inlineStr">
        <is>
          <t>Strategy ID</t>
        </is>
      </c>
      <c r="D443" t="inlineStr">
        <is>
          <t>Question ID</t>
        </is>
      </c>
      <c r="E443" t="inlineStr">
        <is>
          <t>Domain</t>
        </is>
      </c>
      <c r="F443" t="inlineStr">
        <is>
          <t>Subdomain</t>
        </is>
      </c>
      <c r="G443" t="inlineStr">
        <is>
          <t>P1 adjusted risk score</t>
        </is>
      </c>
      <c r="H443" t="inlineStr">
        <is>
          <t>Coverage weight</t>
        </is>
      </c>
      <c r="I443" t="inlineStr">
        <is>
          <t>Expected score uplift</t>
        </is>
      </c>
      <c r="J443" t="inlineStr">
        <is>
          <t>Notes</t>
        </is>
      </c>
      <c r="K443" t="inlineStr">
        <is>
          <t>P2 scenario-adjusted ALE coverage (EUR k/yr)</t>
        </is>
      </c>
      <c r="L443" t="inlineStr">
        <is>
          <t>P2 financial value score</t>
        </is>
      </c>
    </row>
    <row r="444">
      <c r="A444" t="inlineStr">
        <is>
          <t>INI-001</t>
        </is>
      </c>
      <c r="B444" t="inlineStr">
        <is>
          <t>Create company context, entity and operating model register</t>
        </is>
      </c>
      <c r="C444" t="inlineStr">
        <is>
          <t>STR-02</t>
        </is>
      </c>
      <c r="D444" t="inlineStr">
        <is>
          <t>COMP-001</t>
        </is>
      </c>
      <c r="E444" t="inlineStr">
        <is>
          <t>Company Geography</t>
        </is>
      </c>
      <c r="F444" t="inlineStr">
        <is>
          <t>Company profile</t>
        </is>
      </c>
      <c r="G444">
        <f>IFERROR(INDEX('_ENGINE_Risk'!$BS$500:$BS$923,MATCH($D444,'_ENGINE_Risk'!$E$500:$E$923,0)),0)</f>
        <v/>
      </c>
      <c r="H444" t="n">
        <v>1</v>
      </c>
      <c r="I444">
        <f>IFERROR(MAX(0,5-INDEX('_ENGINE_Risk'!$H$500:$H$923,MATCH($D444,'_ENGINE_Risk'!$E$500:$E$923,0))),0)</f>
        <v/>
      </c>
      <c r="J444" t="inlineStr">
        <is>
          <t>P1 many-to-many coverage row</t>
        </is>
      </c>
      <c r="K444">
        <f>IFERROR(INDEX('_ENGINE_Risk'!$BI$500:$BI$923,MATCH($D444,'_ENGINE_Risk'!$E$500:$E$923,0))*N($H444),0)</f>
        <v/>
      </c>
      <c r="L444">
        <f>IFERROR(MIN(5,$K444/MAX(1,'_CONFIG_Model_Settings'!$B$105)),0)</f>
        <v/>
      </c>
    </row>
    <row r="445">
      <c r="A445" t="inlineStr">
        <is>
          <t>INI-001</t>
        </is>
      </c>
      <c r="B445" t="inlineStr">
        <is>
          <t>Create company context, entity and operating model register</t>
        </is>
      </c>
      <c r="C445" t="inlineStr">
        <is>
          <t>STR-02</t>
        </is>
      </c>
      <c r="D445" t="inlineStr">
        <is>
          <t>COMP-002</t>
        </is>
      </c>
      <c r="E445" t="inlineStr">
        <is>
          <t>Company Geography</t>
        </is>
      </c>
      <c r="F445" t="inlineStr">
        <is>
          <t>Company profile</t>
        </is>
      </c>
      <c r="G445">
        <f>IFERROR(INDEX('_ENGINE_Risk'!$BS$500:$BS$923,MATCH($D445,'_ENGINE_Risk'!$E$500:$E$923,0)),0)</f>
        <v/>
      </c>
      <c r="H445" t="n">
        <v>1</v>
      </c>
      <c r="I445">
        <f>IFERROR(MAX(0,5-INDEX('_ENGINE_Risk'!$H$500:$H$923,MATCH($D445,'_ENGINE_Risk'!$E$500:$E$923,0))),0)</f>
        <v/>
      </c>
      <c r="J445" t="inlineStr">
        <is>
          <t>P1 many-to-many coverage row</t>
        </is>
      </c>
      <c r="K445">
        <f>IFERROR(INDEX('_ENGINE_Risk'!$BI$500:$BI$923,MATCH($D445,'_ENGINE_Risk'!$E$500:$E$923,0))*N($H445),0)</f>
        <v/>
      </c>
      <c r="L445">
        <f>IFERROR(MIN(5,$K445/MAX(1,'_CONFIG_Model_Settings'!$B$105)),0)</f>
        <v/>
      </c>
    </row>
    <row r="446">
      <c r="A446" t="inlineStr">
        <is>
          <t>INI-001</t>
        </is>
      </c>
      <c r="B446" t="inlineStr">
        <is>
          <t>Create company context, entity and operating model register</t>
        </is>
      </c>
      <c r="C446" t="inlineStr">
        <is>
          <t>STR-02</t>
        </is>
      </c>
      <c r="D446" t="inlineStr">
        <is>
          <t>COMP-003</t>
        </is>
      </c>
      <c r="E446" t="inlineStr">
        <is>
          <t>Company Geography</t>
        </is>
      </c>
      <c r="F446" t="inlineStr">
        <is>
          <t>Company profile</t>
        </is>
      </c>
      <c r="G446">
        <f>IFERROR(INDEX('_ENGINE_Risk'!$BS$500:$BS$923,MATCH($D446,'_ENGINE_Risk'!$E$500:$E$923,0)),0)</f>
        <v/>
      </c>
      <c r="H446" t="n">
        <v>1</v>
      </c>
      <c r="I446">
        <f>IFERROR(MAX(0,5-INDEX('_ENGINE_Risk'!$H$500:$H$923,MATCH($D446,'_ENGINE_Risk'!$E$500:$E$923,0))),0)</f>
        <v/>
      </c>
      <c r="J446" t="inlineStr">
        <is>
          <t>P1 many-to-many coverage row</t>
        </is>
      </c>
      <c r="K446">
        <f>IFERROR(INDEX('_ENGINE_Risk'!$BI$500:$BI$923,MATCH($D446,'_ENGINE_Risk'!$E$500:$E$923,0))*N($H446),0)</f>
        <v/>
      </c>
      <c r="L446">
        <f>IFERROR(MIN(5,$K446/MAX(1,'_CONFIG_Model_Settings'!$B$105)),0)</f>
        <v/>
      </c>
    </row>
    <row r="447">
      <c r="A447" t="inlineStr">
        <is>
          <t>INI-001</t>
        </is>
      </c>
      <c r="B447" t="inlineStr">
        <is>
          <t>Create company context, entity and operating model register</t>
        </is>
      </c>
      <c r="C447" t="inlineStr">
        <is>
          <t>STR-02</t>
        </is>
      </c>
      <c r="D447" t="inlineStr">
        <is>
          <t>COMP-004</t>
        </is>
      </c>
      <c r="E447" t="inlineStr">
        <is>
          <t>Company Geography</t>
        </is>
      </c>
      <c r="F447" t="inlineStr">
        <is>
          <t>Company profile</t>
        </is>
      </c>
      <c r="G447">
        <f>IFERROR(INDEX('_ENGINE_Risk'!$BS$500:$BS$923,MATCH($D447,'_ENGINE_Risk'!$E$500:$E$923,0)),0)</f>
        <v/>
      </c>
      <c r="H447" t="n">
        <v>1</v>
      </c>
      <c r="I447">
        <f>IFERROR(MAX(0,5-INDEX('_ENGINE_Risk'!$H$500:$H$923,MATCH($D447,'_ENGINE_Risk'!$E$500:$E$923,0))),0)</f>
        <v/>
      </c>
      <c r="J447" t="inlineStr">
        <is>
          <t>P1 many-to-many coverage row</t>
        </is>
      </c>
      <c r="K447">
        <f>IFERROR(INDEX('_ENGINE_Risk'!$BI$500:$BI$923,MATCH($D447,'_ENGINE_Risk'!$E$500:$E$923,0))*N($H447),0)</f>
        <v/>
      </c>
      <c r="L447">
        <f>IFERROR(MIN(5,$K447/MAX(1,'_CONFIG_Model_Settings'!$B$105)),0)</f>
        <v/>
      </c>
    </row>
    <row r="448">
      <c r="A448" t="inlineStr">
        <is>
          <t>INI-001</t>
        </is>
      </c>
      <c r="B448" t="inlineStr">
        <is>
          <t>Create company context, entity and operating model register</t>
        </is>
      </c>
      <c r="C448" t="inlineStr">
        <is>
          <t>STR-02</t>
        </is>
      </c>
      <c r="D448" t="inlineStr">
        <is>
          <t>COMP-005</t>
        </is>
      </c>
      <c r="E448" t="inlineStr">
        <is>
          <t>Company Geography</t>
        </is>
      </c>
      <c r="F448" t="inlineStr">
        <is>
          <t>Company profile</t>
        </is>
      </c>
      <c r="G448">
        <f>IFERROR(INDEX('_ENGINE_Risk'!$BS$500:$BS$923,MATCH($D448,'_ENGINE_Risk'!$E$500:$E$923,0)),0)</f>
        <v/>
      </c>
      <c r="H448" t="n">
        <v>1</v>
      </c>
      <c r="I448">
        <f>IFERROR(MAX(0,5-INDEX('_ENGINE_Risk'!$H$500:$H$923,MATCH($D448,'_ENGINE_Risk'!$E$500:$E$923,0))),0)</f>
        <v/>
      </c>
      <c r="J448" t="inlineStr">
        <is>
          <t>P1 many-to-many coverage row</t>
        </is>
      </c>
      <c r="K448">
        <f>IFERROR(INDEX('_ENGINE_Risk'!$BI$500:$BI$923,MATCH($D448,'_ENGINE_Risk'!$E$500:$E$923,0))*N($H448),0)</f>
        <v/>
      </c>
      <c r="L448">
        <f>IFERROR(MIN(5,$K448/MAX(1,'_CONFIG_Model_Settings'!$B$105)),0)</f>
        <v/>
      </c>
    </row>
    <row r="449">
      <c r="A449" t="inlineStr">
        <is>
          <t>INI-001</t>
        </is>
      </c>
      <c r="B449" t="inlineStr">
        <is>
          <t>Create company context, entity and operating model register</t>
        </is>
      </c>
      <c r="C449" t="inlineStr">
        <is>
          <t>STR-02</t>
        </is>
      </c>
      <c r="D449" t="inlineStr">
        <is>
          <t>COMP-006</t>
        </is>
      </c>
      <c r="E449" t="inlineStr">
        <is>
          <t>Company Geography</t>
        </is>
      </c>
      <c r="F449" t="inlineStr">
        <is>
          <t>Company profile</t>
        </is>
      </c>
      <c r="G449">
        <f>IFERROR(INDEX('_ENGINE_Risk'!$BS$500:$BS$923,MATCH($D449,'_ENGINE_Risk'!$E$500:$E$923,0)),0)</f>
        <v/>
      </c>
      <c r="H449" t="n">
        <v>1</v>
      </c>
      <c r="I449">
        <f>IFERROR(MAX(0,5-INDEX('_ENGINE_Risk'!$H$500:$H$923,MATCH($D449,'_ENGINE_Risk'!$E$500:$E$923,0))),0)</f>
        <v/>
      </c>
      <c r="J449" t="inlineStr">
        <is>
          <t>P1 many-to-many coverage row</t>
        </is>
      </c>
      <c r="K449">
        <f>IFERROR(INDEX('_ENGINE_Risk'!$BI$500:$BI$923,MATCH($D449,'_ENGINE_Risk'!$E$500:$E$923,0))*N($H449),0)</f>
        <v/>
      </c>
      <c r="L449">
        <f>IFERROR(MIN(5,$K449/MAX(1,'_CONFIG_Model_Settings'!$B$105)),0)</f>
        <v/>
      </c>
    </row>
    <row r="450">
      <c r="A450" t="inlineStr">
        <is>
          <t>INI-001</t>
        </is>
      </c>
      <c r="B450" t="inlineStr">
        <is>
          <t>Create company context, entity and operating model register</t>
        </is>
      </c>
      <c r="C450" t="inlineStr">
        <is>
          <t>STR-02</t>
        </is>
      </c>
      <c r="D450" t="inlineStr">
        <is>
          <t>COMP-007</t>
        </is>
      </c>
      <c r="E450" t="inlineStr">
        <is>
          <t>Company Geography</t>
        </is>
      </c>
      <c r="F450" t="inlineStr">
        <is>
          <t>Company profile</t>
        </is>
      </c>
      <c r="G450">
        <f>IFERROR(INDEX('_ENGINE_Risk'!$BS$500:$BS$923,MATCH($D450,'_ENGINE_Risk'!$E$500:$E$923,0)),0)</f>
        <v/>
      </c>
      <c r="H450" t="n">
        <v>1</v>
      </c>
      <c r="I450">
        <f>IFERROR(MAX(0,5-INDEX('_ENGINE_Risk'!$H$500:$H$923,MATCH($D450,'_ENGINE_Risk'!$E$500:$E$923,0))),0)</f>
        <v/>
      </c>
      <c r="J450" t="inlineStr">
        <is>
          <t>P1 many-to-many coverage row</t>
        </is>
      </c>
      <c r="K450">
        <f>IFERROR(INDEX('_ENGINE_Risk'!$BI$500:$BI$923,MATCH($D450,'_ENGINE_Risk'!$E$500:$E$923,0))*N($H450),0)</f>
        <v/>
      </c>
      <c r="L450">
        <f>IFERROR(MIN(5,$K450/MAX(1,'_CONFIG_Model_Settings'!$B$105)),0)</f>
        <v/>
      </c>
    </row>
    <row r="451">
      <c r="A451" t="inlineStr">
        <is>
          <t>INI-002</t>
        </is>
      </c>
      <c r="B451" t="inlineStr">
        <is>
          <t>Build geographic exposure and site continuity model</t>
        </is>
      </c>
      <c r="C451" t="inlineStr">
        <is>
          <t>STR-02</t>
        </is>
      </c>
      <c r="D451" t="inlineStr">
        <is>
          <t>COMP-008</t>
        </is>
      </c>
      <c r="E451" t="inlineStr">
        <is>
          <t>Company Geography</t>
        </is>
      </c>
      <c r="F451" t="inlineStr">
        <is>
          <t>Geographical distribution</t>
        </is>
      </c>
      <c r="G451">
        <f>IFERROR(INDEX('_ENGINE_Risk'!$BS$500:$BS$923,MATCH($D451,'_ENGINE_Risk'!$E$500:$E$923,0)),0)</f>
        <v/>
      </c>
      <c r="H451" t="n">
        <v>1</v>
      </c>
      <c r="I451">
        <f>IFERROR(MAX(0,5-INDEX('_ENGINE_Risk'!$H$500:$H$923,MATCH($D451,'_ENGINE_Risk'!$E$500:$E$923,0))),0)</f>
        <v/>
      </c>
      <c r="J451" t="inlineStr">
        <is>
          <t>P1 many-to-many coverage row</t>
        </is>
      </c>
      <c r="K451">
        <f>IFERROR(INDEX('_ENGINE_Risk'!$BI$500:$BI$923,MATCH($D451,'_ENGINE_Risk'!$E$500:$E$923,0))*N($H451),0)</f>
        <v/>
      </c>
      <c r="L451">
        <f>IFERROR(MIN(5,$K451/MAX(1,'_CONFIG_Model_Settings'!$B$105)),0)</f>
        <v/>
      </c>
    </row>
    <row r="452">
      <c r="A452" t="inlineStr">
        <is>
          <t>INI-002</t>
        </is>
      </c>
      <c r="B452" t="inlineStr">
        <is>
          <t>Build geographic exposure and site continuity model</t>
        </is>
      </c>
      <c r="C452" t="inlineStr">
        <is>
          <t>STR-02</t>
        </is>
      </c>
      <c r="D452" t="inlineStr">
        <is>
          <t>COMP-009</t>
        </is>
      </c>
      <c r="E452" t="inlineStr">
        <is>
          <t>Company Geography</t>
        </is>
      </c>
      <c r="F452" t="inlineStr">
        <is>
          <t>Geographical distribution</t>
        </is>
      </c>
      <c r="G452">
        <f>IFERROR(INDEX('_ENGINE_Risk'!$BS$500:$BS$923,MATCH($D452,'_ENGINE_Risk'!$E$500:$E$923,0)),0)</f>
        <v/>
      </c>
      <c r="H452" t="n">
        <v>1</v>
      </c>
      <c r="I452">
        <f>IFERROR(MAX(0,5-INDEX('_ENGINE_Risk'!$H$500:$H$923,MATCH($D452,'_ENGINE_Risk'!$E$500:$E$923,0))),0)</f>
        <v/>
      </c>
      <c r="J452" t="inlineStr">
        <is>
          <t>P1 many-to-many coverage row</t>
        </is>
      </c>
      <c r="K452">
        <f>IFERROR(INDEX('_ENGINE_Risk'!$BI$500:$BI$923,MATCH($D452,'_ENGINE_Risk'!$E$500:$E$923,0))*N($H452),0)</f>
        <v/>
      </c>
      <c r="L452">
        <f>IFERROR(MIN(5,$K452/MAX(1,'_CONFIG_Model_Settings'!$B$105)),0)</f>
        <v/>
      </c>
    </row>
    <row r="453">
      <c r="A453" t="inlineStr">
        <is>
          <t>INI-002</t>
        </is>
      </c>
      <c r="B453" t="inlineStr">
        <is>
          <t>Build geographic exposure and site continuity model</t>
        </is>
      </c>
      <c r="C453" t="inlineStr">
        <is>
          <t>STR-02</t>
        </is>
      </c>
      <c r="D453" t="inlineStr">
        <is>
          <t>COMP-010</t>
        </is>
      </c>
      <c r="E453" t="inlineStr">
        <is>
          <t>Company Geography</t>
        </is>
      </c>
      <c r="F453" t="inlineStr">
        <is>
          <t>Geographical distribution</t>
        </is>
      </c>
      <c r="G453">
        <f>IFERROR(INDEX('_ENGINE_Risk'!$BS$500:$BS$923,MATCH($D453,'_ENGINE_Risk'!$E$500:$E$923,0)),0)</f>
        <v/>
      </c>
      <c r="H453" t="n">
        <v>1</v>
      </c>
      <c r="I453">
        <f>IFERROR(MAX(0,5-INDEX('_ENGINE_Risk'!$H$500:$H$923,MATCH($D453,'_ENGINE_Risk'!$E$500:$E$923,0))),0)</f>
        <v/>
      </c>
      <c r="J453" t="inlineStr">
        <is>
          <t>P1 many-to-many coverage row</t>
        </is>
      </c>
      <c r="K453">
        <f>IFERROR(INDEX('_ENGINE_Risk'!$BI$500:$BI$923,MATCH($D453,'_ENGINE_Risk'!$E$500:$E$923,0))*N($H453),0)</f>
        <v/>
      </c>
      <c r="L453">
        <f>IFERROR(MIN(5,$K453/MAX(1,'_CONFIG_Model_Settings'!$B$105)),0)</f>
        <v/>
      </c>
    </row>
    <row r="454">
      <c r="A454" t="inlineStr">
        <is>
          <t>INI-002</t>
        </is>
      </c>
      <c r="B454" t="inlineStr">
        <is>
          <t>Build geographic exposure and site continuity model</t>
        </is>
      </c>
      <c r="C454" t="inlineStr">
        <is>
          <t>STR-02</t>
        </is>
      </c>
      <c r="D454" t="inlineStr">
        <is>
          <t>COMP-011</t>
        </is>
      </c>
      <c r="E454" t="inlineStr">
        <is>
          <t>Company Geography</t>
        </is>
      </c>
      <c r="F454" t="inlineStr">
        <is>
          <t>Geographical distribution</t>
        </is>
      </c>
      <c r="G454">
        <f>IFERROR(INDEX('_ENGINE_Risk'!$BS$500:$BS$923,MATCH($D454,'_ENGINE_Risk'!$E$500:$E$923,0)),0)</f>
        <v/>
      </c>
      <c r="H454" t="n">
        <v>1</v>
      </c>
      <c r="I454">
        <f>IFERROR(MAX(0,5-INDEX('_ENGINE_Risk'!$H$500:$H$923,MATCH($D454,'_ENGINE_Risk'!$E$500:$E$923,0))),0)</f>
        <v/>
      </c>
      <c r="J454" t="inlineStr">
        <is>
          <t>P1 many-to-many coverage row</t>
        </is>
      </c>
      <c r="K454">
        <f>IFERROR(INDEX('_ENGINE_Risk'!$BI$500:$BI$923,MATCH($D454,'_ENGINE_Risk'!$E$500:$E$923,0))*N($H454),0)</f>
        <v/>
      </c>
      <c r="L454">
        <f>IFERROR(MIN(5,$K454/MAX(1,'_CONFIG_Model_Settings'!$B$105)),0)</f>
        <v/>
      </c>
    </row>
    <row r="455">
      <c r="A455" t="inlineStr">
        <is>
          <t>INI-002</t>
        </is>
      </c>
      <c r="B455" t="inlineStr">
        <is>
          <t>Build geographic exposure and site continuity model</t>
        </is>
      </c>
      <c r="C455" t="inlineStr">
        <is>
          <t>STR-02</t>
        </is>
      </c>
      <c r="D455" t="inlineStr">
        <is>
          <t>COMP-012</t>
        </is>
      </c>
      <c r="E455" t="inlineStr">
        <is>
          <t>Company Geography</t>
        </is>
      </c>
      <c r="F455" t="inlineStr">
        <is>
          <t>Geographical distribution</t>
        </is>
      </c>
      <c r="G455">
        <f>IFERROR(INDEX('_ENGINE_Risk'!$BS$500:$BS$923,MATCH($D455,'_ENGINE_Risk'!$E$500:$E$923,0)),0)</f>
        <v/>
      </c>
      <c r="H455" t="n">
        <v>1</v>
      </c>
      <c r="I455">
        <f>IFERROR(MAX(0,5-INDEX('_ENGINE_Risk'!$H$500:$H$923,MATCH($D455,'_ENGINE_Risk'!$E$500:$E$923,0))),0)</f>
        <v/>
      </c>
      <c r="J455" t="inlineStr">
        <is>
          <t>P1 many-to-many coverage row</t>
        </is>
      </c>
      <c r="K455">
        <f>IFERROR(INDEX('_ENGINE_Risk'!$BI$500:$BI$923,MATCH($D455,'_ENGINE_Risk'!$E$500:$E$923,0))*N($H455),0)</f>
        <v/>
      </c>
      <c r="L455">
        <f>IFERROR(MIN(5,$K455/MAX(1,'_CONFIG_Model_Settings'!$B$105)),0)</f>
        <v/>
      </c>
    </row>
    <row r="456">
      <c r="A456" t="inlineStr">
        <is>
          <t>INI-002</t>
        </is>
      </c>
      <c r="B456" t="inlineStr">
        <is>
          <t>Build geographic exposure and site continuity model</t>
        </is>
      </c>
      <c r="C456" t="inlineStr">
        <is>
          <t>STR-02</t>
        </is>
      </c>
      <c r="D456" t="inlineStr">
        <is>
          <t>COMP-013</t>
        </is>
      </c>
      <c r="E456" t="inlineStr">
        <is>
          <t>Company Geography</t>
        </is>
      </c>
      <c r="F456" t="inlineStr">
        <is>
          <t>Geographical distribution</t>
        </is>
      </c>
      <c r="G456">
        <f>IFERROR(INDEX('_ENGINE_Risk'!$BS$500:$BS$923,MATCH($D456,'_ENGINE_Risk'!$E$500:$E$923,0)),0)</f>
        <v/>
      </c>
      <c r="H456" t="n">
        <v>1</v>
      </c>
      <c r="I456">
        <f>IFERROR(MAX(0,5-INDEX('_ENGINE_Risk'!$H$500:$H$923,MATCH($D456,'_ENGINE_Risk'!$E$500:$E$923,0))),0)</f>
        <v/>
      </c>
      <c r="J456" t="inlineStr">
        <is>
          <t>P1 many-to-many coverage row</t>
        </is>
      </c>
      <c r="K456">
        <f>IFERROR(INDEX('_ENGINE_Risk'!$BI$500:$BI$923,MATCH($D456,'_ENGINE_Risk'!$E$500:$E$923,0))*N($H456),0)</f>
        <v/>
      </c>
      <c r="L456">
        <f>IFERROR(MIN(5,$K456/MAX(1,'_CONFIG_Model_Settings'!$B$105)),0)</f>
        <v/>
      </c>
    </row>
    <row r="457">
      <c r="A457" t="inlineStr">
        <is>
          <t>INI-002</t>
        </is>
      </c>
      <c r="B457" t="inlineStr">
        <is>
          <t>Build geographic exposure and site continuity model</t>
        </is>
      </c>
      <c r="C457" t="inlineStr">
        <is>
          <t>STR-02</t>
        </is>
      </c>
      <c r="D457" t="inlineStr">
        <is>
          <t>COMP-014</t>
        </is>
      </c>
      <c r="E457" t="inlineStr">
        <is>
          <t>Company Geography</t>
        </is>
      </c>
      <c r="F457" t="inlineStr">
        <is>
          <t>Geographical distribution</t>
        </is>
      </c>
      <c r="G457">
        <f>IFERROR(INDEX('_ENGINE_Risk'!$BS$500:$BS$923,MATCH($D457,'_ENGINE_Risk'!$E$500:$E$923,0)),0)</f>
        <v/>
      </c>
      <c r="H457" t="n">
        <v>1</v>
      </c>
      <c r="I457">
        <f>IFERROR(MAX(0,5-INDEX('_ENGINE_Risk'!$H$500:$H$923,MATCH($D457,'_ENGINE_Risk'!$E$500:$E$923,0))),0)</f>
        <v/>
      </c>
      <c r="J457" t="inlineStr">
        <is>
          <t>P1 many-to-many coverage row</t>
        </is>
      </c>
      <c r="K457">
        <f>IFERROR(INDEX('_ENGINE_Risk'!$BI$500:$BI$923,MATCH($D457,'_ENGINE_Risk'!$E$500:$E$923,0))*N($H457),0)</f>
        <v/>
      </c>
      <c r="L457">
        <f>IFERROR(MIN(5,$K457/MAX(1,'_CONFIG_Model_Settings'!$B$105)),0)</f>
        <v/>
      </c>
    </row>
    <row r="458">
      <c r="A458" t="inlineStr">
        <is>
          <t>INI-003</t>
        </is>
      </c>
      <c r="B458" t="inlineStr">
        <is>
          <t>Map critical business dependencies and external exposures</t>
        </is>
      </c>
      <c r="C458" t="inlineStr">
        <is>
          <t>STR-02</t>
        </is>
      </c>
      <c r="D458" t="inlineStr">
        <is>
          <t>COMP-015</t>
        </is>
      </c>
      <c r="E458" t="inlineStr">
        <is>
          <t>Company Geography</t>
        </is>
      </c>
      <c r="F458" t="inlineStr">
        <is>
          <t>Context and dependencies</t>
        </is>
      </c>
      <c r="G458">
        <f>IFERROR(INDEX('_ENGINE_Risk'!$BS$500:$BS$923,MATCH($D458,'_ENGINE_Risk'!$E$500:$E$923,0)),0)</f>
        <v/>
      </c>
      <c r="H458" t="n">
        <v>1</v>
      </c>
      <c r="I458">
        <f>IFERROR(MAX(0,5-INDEX('_ENGINE_Risk'!$H$500:$H$923,MATCH($D458,'_ENGINE_Risk'!$E$500:$E$923,0))),0)</f>
        <v/>
      </c>
      <c r="J458" t="inlineStr">
        <is>
          <t>P1 many-to-many coverage row</t>
        </is>
      </c>
      <c r="K458">
        <f>IFERROR(INDEX('_ENGINE_Risk'!$BI$500:$BI$923,MATCH($D458,'_ENGINE_Risk'!$E$500:$E$923,0))*N($H458),0)</f>
        <v/>
      </c>
      <c r="L458">
        <f>IFERROR(MIN(5,$K458/MAX(1,'_CONFIG_Model_Settings'!$B$105)),0)</f>
        <v/>
      </c>
    </row>
    <row r="459">
      <c r="A459" t="inlineStr">
        <is>
          <t>INI-003</t>
        </is>
      </c>
      <c r="B459" t="inlineStr">
        <is>
          <t>Map critical business dependencies and external exposures</t>
        </is>
      </c>
      <c r="C459" t="inlineStr">
        <is>
          <t>STR-02</t>
        </is>
      </c>
      <c r="D459" t="inlineStr">
        <is>
          <t>COMP-016</t>
        </is>
      </c>
      <c r="E459" t="inlineStr">
        <is>
          <t>Company Geography</t>
        </is>
      </c>
      <c r="F459" t="inlineStr">
        <is>
          <t>Context and dependencies</t>
        </is>
      </c>
      <c r="G459">
        <f>IFERROR(INDEX('_ENGINE_Risk'!$BS$500:$BS$923,MATCH($D459,'_ENGINE_Risk'!$E$500:$E$923,0)),0)</f>
        <v/>
      </c>
      <c r="H459" t="n">
        <v>1</v>
      </c>
      <c r="I459">
        <f>IFERROR(MAX(0,5-INDEX('_ENGINE_Risk'!$H$500:$H$923,MATCH($D459,'_ENGINE_Risk'!$E$500:$E$923,0))),0)</f>
        <v/>
      </c>
      <c r="J459" t="inlineStr">
        <is>
          <t>P1 many-to-many coverage row</t>
        </is>
      </c>
      <c r="K459">
        <f>IFERROR(INDEX('_ENGINE_Risk'!$BI$500:$BI$923,MATCH($D459,'_ENGINE_Risk'!$E$500:$E$923,0))*N($H459),0)</f>
        <v/>
      </c>
      <c r="L459">
        <f>IFERROR(MIN(5,$K459/MAX(1,'_CONFIG_Model_Settings'!$B$105)),0)</f>
        <v/>
      </c>
    </row>
    <row r="460">
      <c r="A460" t="inlineStr">
        <is>
          <t>INI-003</t>
        </is>
      </c>
      <c r="B460" t="inlineStr">
        <is>
          <t>Map critical business dependencies and external exposures</t>
        </is>
      </c>
      <c r="C460" t="inlineStr">
        <is>
          <t>STR-02</t>
        </is>
      </c>
      <c r="D460" t="inlineStr">
        <is>
          <t>COMP-017</t>
        </is>
      </c>
      <c r="E460" t="inlineStr">
        <is>
          <t>Company Geography</t>
        </is>
      </c>
      <c r="F460" t="inlineStr">
        <is>
          <t>Context and dependencies</t>
        </is>
      </c>
      <c r="G460">
        <f>IFERROR(INDEX('_ENGINE_Risk'!$BS$500:$BS$923,MATCH($D460,'_ENGINE_Risk'!$E$500:$E$923,0)),0)</f>
        <v/>
      </c>
      <c r="H460" t="n">
        <v>1</v>
      </c>
      <c r="I460">
        <f>IFERROR(MAX(0,5-INDEX('_ENGINE_Risk'!$H$500:$H$923,MATCH($D460,'_ENGINE_Risk'!$E$500:$E$923,0))),0)</f>
        <v/>
      </c>
      <c r="J460" t="inlineStr">
        <is>
          <t>P1 many-to-many coverage row</t>
        </is>
      </c>
      <c r="K460">
        <f>IFERROR(INDEX('_ENGINE_Risk'!$BI$500:$BI$923,MATCH($D460,'_ENGINE_Risk'!$E$500:$E$923,0))*N($H460),0)</f>
        <v/>
      </c>
      <c r="L460">
        <f>IFERROR(MIN(5,$K460/MAX(1,'_CONFIG_Model_Settings'!$B$105)),0)</f>
        <v/>
      </c>
    </row>
    <row r="461">
      <c r="A461" t="inlineStr">
        <is>
          <t>INI-003</t>
        </is>
      </c>
      <c r="B461" t="inlineStr">
        <is>
          <t>Map critical business dependencies and external exposures</t>
        </is>
      </c>
      <c r="C461" t="inlineStr">
        <is>
          <t>STR-02</t>
        </is>
      </c>
      <c r="D461" t="inlineStr">
        <is>
          <t>COMP-018</t>
        </is>
      </c>
      <c r="E461" t="inlineStr">
        <is>
          <t>Company Geography</t>
        </is>
      </c>
      <c r="F461" t="inlineStr">
        <is>
          <t>Context and dependencies</t>
        </is>
      </c>
      <c r="G461">
        <f>IFERROR(INDEX('_ENGINE_Risk'!$BS$500:$BS$923,MATCH($D461,'_ENGINE_Risk'!$E$500:$E$923,0)),0)</f>
        <v/>
      </c>
      <c r="H461" t="n">
        <v>1</v>
      </c>
      <c r="I461">
        <f>IFERROR(MAX(0,5-INDEX('_ENGINE_Risk'!$H$500:$H$923,MATCH($D461,'_ENGINE_Risk'!$E$500:$E$923,0))),0)</f>
        <v/>
      </c>
      <c r="J461" t="inlineStr">
        <is>
          <t>P1 many-to-many coverage row</t>
        </is>
      </c>
      <c r="K461">
        <f>IFERROR(INDEX('_ENGINE_Risk'!$BI$500:$BI$923,MATCH($D461,'_ENGINE_Risk'!$E$500:$E$923,0))*N($H461),0)</f>
        <v/>
      </c>
      <c r="L461">
        <f>IFERROR(MIN(5,$K461/MAX(1,'_CONFIG_Model_Settings'!$B$105)),0)</f>
        <v/>
      </c>
    </row>
    <row r="462">
      <c r="A462" t="inlineStr">
        <is>
          <t>INI-003</t>
        </is>
      </c>
      <c r="B462" t="inlineStr">
        <is>
          <t>Map critical business dependencies and external exposures</t>
        </is>
      </c>
      <c r="C462" t="inlineStr">
        <is>
          <t>STR-02</t>
        </is>
      </c>
      <c r="D462" t="inlineStr">
        <is>
          <t>COMP-019</t>
        </is>
      </c>
      <c r="E462" t="inlineStr">
        <is>
          <t>Company Geography</t>
        </is>
      </c>
      <c r="F462" t="inlineStr">
        <is>
          <t>Context and dependencies</t>
        </is>
      </c>
      <c r="G462">
        <f>IFERROR(INDEX('_ENGINE_Risk'!$BS$500:$BS$923,MATCH($D462,'_ENGINE_Risk'!$E$500:$E$923,0)),0)</f>
        <v/>
      </c>
      <c r="H462" t="n">
        <v>1</v>
      </c>
      <c r="I462">
        <f>IFERROR(MAX(0,5-INDEX('_ENGINE_Risk'!$H$500:$H$923,MATCH($D462,'_ENGINE_Risk'!$E$500:$E$923,0))),0)</f>
        <v/>
      </c>
      <c r="J462" t="inlineStr">
        <is>
          <t>P1 many-to-many coverage row</t>
        </is>
      </c>
      <c r="K462">
        <f>IFERROR(INDEX('_ENGINE_Risk'!$BI$500:$BI$923,MATCH($D462,'_ENGINE_Risk'!$E$500:$E$923,0))*N($H462),0)</f>
        <v/>
      </c>
      <c r="L462">
        <f>IFERROR(MIN(5,$K462/MAX(1,'_CONFIG_Model_Settings'!$B$105)),0)</f>
        <v/>
      </c>
    </row>
    <row r="463">
      <c r="A463" t="inlineStr">
        <is>
          <t>INI-003</t>
        </is>
      </c>
      <c r="B463" t="inlineStr">
        <is>
          <t>Map critical business dependencies and external exposures</t>
        </is>
      </c>
      <c r="C463" t="inlineStr">
        <is>
          <t>STR-02</t>
        </is>
      </c>
      <c r="D463" t="inlineStr">
        <is>
          <t>COMP-020</t>
        </is>
      </c>
      <c r="E463" t="inlineStr">
        <is>
          <t>Company Geography</t>
        </is>
      </c>
      <c r="F463" t="inlineStr">
        <is>
          <t>Context and dependencies</t>
        </is>
      </c>
      <c r="G463">
        <f>IFERROR(INDEX('_ENGINE_Risk'!$BS$500:$BS$923,MATCH($D463,'_ENGINE_Risk'!$E$500:$E$923,0)),0)</f>
        <v/>
      </c>
      <c r="H463" t="n">
        <v>1</v>
      </c>
      <c r="I463">
        <f>IFERROR(MAX(0,5-INDEX('_ENGINE_Risk'!$H$500:$H$923,MATCH($D463,'_ENGINE_Risk'!$E$500:$E$923,0))),0)</f>
        <v/>
      </c>
      <c r="J463" t="inlineStr">
        <is>
          <t>P1 many-to-many coverage row</t>
        </is>
      </c>
      <c r="K463">
        <f>IFERROR(INDEX('_ENGINE_Risk'!$BI$500:$BI$923,MATCH($D463,'_ENGINE_Risk'!$E$500:$E$923,0))*N($H463),0)</f>
        <v/>
      </c>
      <c r="L463">
        <f>IFERROR(MIN(5,$K463/MAX(1,'_CONFIG_Model_Settings'!$B$105)),0)</f>
        <v/>
      </c>
    </row>
    <row r="464">
      <c r="A464" t="inlineStr">
        <is>
          <t>INI-004</t>
        </is>
      </c>
      <c r="B464" t="inlineStr">
        <is>
          <t>Stress-test corporate strategy and decision assumptions</t>
        </is>
      </c>
      <c r="C464" t="inlineStr">
        <is>
          <t>STR-14</t>
        </is>
      </c>
      <c r="D464" t="inlineStr">
        <is>
          <t>STRA-001</t>
        </is>
      </c>
      <c r="E464" t="inlineStr">
        <is>
          <t>Strategy GTM</t>
        </is>
      </c>
      <c r="F464" t="inlineStr">
        <is>
          <t>Corporate strategy</t>
        </is>
      </c>
      <c r="G464">
        <f>IFERROR(INDEX('_ENGINE_Risk'!$BS$500:$BS$923,MATCH($D464,'_ENGINE_Risk'!$E$500:$E$923,0)),0)</f>
        <v/>
      </c>
      <c r="H464" t="n">
        <v>1</v>
      </c>
      <c r="I464">
        <f>IFERROR(MAX(0,5-INDEX('_ENGINE_Risk'!$H$500:$H$923,MATCH($D464,'_ENGINE_Risk'!$E$500:$E$923,0))),0)</f>
        <v/>
      </c>
      <c r="J464" t="inlineStr">
        <is>
          <t>P1 many-to-many coverage row</t>
        </is>
      </c>
      <c r="K464">
        <f>IFERROR(INDEX('_ENGINE_Risk'!$BI$500:$BI$923,MATCH($D464,'_ENGINE_Risk'!$E$500:$E$923,0))*N($H464),0)</f>
        <v/>
      </c>
      <c r="L464">
        <f>IFERROR(MIN(5,$K464/MAX(1,'_CONFIG_Model_Settings'!$B$105)),0)</f>
        <v/>
      </c>
    </row>
    <row r="465">
      <c r="A465" t="inlineStr">
        <is>
          <t>INI-004</t>
        </is>
      </c>
      <c r="B465" t="inlineStr">
        <is>
          <t>Stress-test corporate strategy and decision assumptions</t>
        </is>
      </c>
      <c r="C465" t="inlineStr">
        <is>
          <t>STR-14</t>
        </is>
      </c>
      <c r="D465" t="inlineStr">
        <is>
          <t>STRA-002</t>
        </is>
      </c>
      <c r="E465" t="inlineStr">
        <is>
          <t>Strategy GTM</t>
        </is>
      </c>
      <c r="F465" t="inlineStr">
        <is>
          <t>Corporate strategy</t>
        </is>
      </c>
      <c r="G465">
        <f>IFERROR(INDEX('_ENGINE_Risk'!$BS$500:$BS$923,MATCH($D465,'_ENGINE_Risk'!$E$500:$E$923,0)),0)</f>
        <v/>
      </c>
      <c r="H465" t="n">
        <v>1</v>
      </c>
      <c r="I465">
        <f>IFERROR(MAX(0,5-INDEX('_ENGINE_Risk'!$H$500:$H$923,MATCH($D465,'_ENGINE_Risk'!$E$500:$E$923,0))),0)</f>
        <v/>
      </c>
      <c r="J465" t="inlineStr">
        <is>
          <t>P1 many-to-many coverage row</t>
        </is>
      </c>
      <c r="K465">
        <f>IFERROR(INDEX('_ENGINE_Risk'!$BI$500:$BI$923,MATCH($D465,'_ENGINE_Risk'!$E$500:$E$923,0))*N($H465),0)</f>
        <v/>
      </c>
      <c r="L465">
        <f>IFERROR(MIN(5,$K465/MAX(1,'_CONFIG_Model_Settings'!$B$105)),0)</f>
        <v/>
      </c>
    </row>
    <row r="466">
      <c r="A466" t="inlineStr">
        <is>
          <t>INI-004</t>
        </is>
      </c>
      <c r="B466" t="inlineStr">
        <is>
          <t>Stress-test corporate strategy and decision assumptions</t>
        </is>
      </c>
      <c r="C466" t="inlineStr">
        <is>
          <t>STR-14</t>
        </is>
      </c>
      <c r="D466" t="inlineStr">
        <is>
          <t>STRA-003</t>
        </is>
      </c>
      <c r="E466" t="inlineStr">
        <is>
          <t>Strategy GTM</t>
        </is>
      </c>
      <c r="F466" t="inlineStr">
        <is>
          <t>Corporate strategy</t>
        </is>
      </c>
      <c r="G466">
        <f>IFERROR(INDEX('_ENGINE_Risk'!$BS$500:$BS$923,MATCH($D466,'_ENGINE_Risk'!$E$500:$E$923,0)),0)</f>
        <v/>
      </c>
      <c r="H466" t="n">
        <v>1</v>
      </c>
      <c r="I466">
        <f>IFERROR(MAX(0,5-INDEX('_ENGINE_Risk'!$H$500:$H$923,MATCH($D466,'_ENGINE_Risk'!$E$500:$E$923,0))),0)</f>
        <v/>
      </c>
      <c r="J466" t="inlineStr">
        <is>
          <t>P1 many-to-many coverage row</t>
        </is>
      </c>
      <c r="K466">
        <f>IFERROR(INDEX('_ENGINE_Risk'!$BI$500:$BI$923,MATCH($D466,'_ENGINE_Risk'!$E$500:$E$923,0))*N($H466),0)</f>
        <v/>
      </c>
      <c r="L466">
        <f>IFERROR(MIN(5,$K466/MAX(1,'_CONFIG_Model_Settings'!$B$105)),0)</f>
        <v/>
      </c>
    </row>
    <row r="467">
      <c r="A467" t="inlineStr">
        <is>
          <t>INI-004</t>
        </is>
      </c>
      <c r="B467" t="inlineStr">
        <is>
          <t>Stress-test corporate strategy and decision assumptions</t>
        </is>
      </c>
      <c r="C467" t="inlineStr">
        <is>
          <t>STR-14</t>
        </is>
      </c>
      <c r="D467" t="inlineStr">
        <is>
          <t>STRA-004</t>
        </is>
      </c>
      <c r="E467" t="inlineStr">
        <is>
          <t>Strategy GTM</t>
        </is>
      </c>
      <c r="F467" t="inlineStr">
        <is>
          <t>Corporate strategy</t>
        </is>
      </c>
      <c r="G467">
        <f>IFERROR(INDEX('_ENGINE_Risk'!$BS$500:$BS$923,MATCH($D467,'_ENGINE_Risk'!$E$500:$E$923,0)),0)</f>
        <v/>
      </c>
      <c r="H467" t="n">
        <v>1</v>
      </c>
      <c r="I467">
        <f>IFERROR(MAX(0,5-INDEX('_ENGINE_Risk'!$H$500:$H$923,MATCH($D467,'_ENGINE_Risk'!$E$500:$E$923,0))),0)</f>
        <v/>
      </c>
      <c r="J467" t="inlineStr">
        <is>
          <t>P1 many-to-many coverage row</t>
        </is>
      </c>
      <c r="K467">
        <f>IFERROR(INDEX('_ENGINE_Risk'!$BI$500:$BI$923,MATCH($D467,'_ENGINE_Risk'!$E$500:$E$923,0))*N($H467),0)</f>
        <v/>
      </c>
      <c r="L467">
        <f>IFERROR(MIN(5,$K467/MAX(1,'_CONFIG_Model_Settings'!$B$105)),0)</f>
        <v/>
      </c>
    </row>
    <row r="468">
      <c r="A468" t="inlineStr">
        <is>
          <t>INI-004</t>
        </is>
      </c>
      <c r="B468" t="inlineStr">
        <is>
          <t>Stress-test corporate strategy and decision assumptions</t>
        </is>
      </c>
      <c r="C468" t="inlineStr">
        <is>
          <t>STR-14</t>
        </is>
      </c>
      <c r="D468" t="inlineStr">
        <is>
          <t>STRA-005</t>
        </is>
      </c>
      <c r="E468" t="inlineStr">
        <is>
          <t>Strategy GTM</t>
        </is>
      </c>
      <c r="F468" t="inlineStr">
        <is>
          <t>Corporate strategy</t>
        </is>
      </c>
      <c r="G468">
        <f>IFERROR(INDEX('_ENGINE_Risk'!$BS$500:$BS$923,MATCH($D468,'_ENGINE_Risk'!$E$500:$E$923,0)),0)</f>
        <v/>
      </c>
      <c r="H468" t="n">
        <v>1</v>
      </c>
      <c r="I468">
        <f>IFERROR(MAX(0,5-INDEX('_ENGINE_Risk'!$H$500:$H$923,MATCH($D468,'_ENGINE_Risk'!$E$500:$E$923,0))),0)</f>
        <v/>
      </c>
      <c r="J468" t="inlineStr">
        <is>
          <t>P1 many-to-many coverage row</t>
        </is>
      </c>
      <c r="K468">
        <f>IFERROR(INDEX('_ENGINE_Risk'!$BI$500:$BI$923,MATCH($D468,'_ENGINE_Risk'!$E$500:$E$923,0))*N($H468),0)</f>
        <v/>
      </c>
      <c r="L468">
        <f>IFERROR(MIN(5,$K468/MAX(1,'_CONFIG_Model_Settings'!$B$105)),0)</f>
        <v/>
      </c>
    </row>
    <row r="469">
      <c r="A469" t="inlineStr">
        <is>
          <t>INI-004</t>
        </is>
      </c>
      <c r="B469" t="inlineStr">
        <is>
          <t>Stress-test corporate strategy and decision assumptions</t>
        </is>
      </c>
      <c r="C469" t="inlineStr">
        <is>
          <t>STR-14</t>
        </is>
      </c>
      <c r="D469" t="inlineStr">
        <is>
          <t>STRA-006</t>
        </is>
      </c>
      <c r="E469" t="inlineStr">
        <is>
          <t>Strategy GTM</t>
        </is>
      </c>
      <c r="F469" t="inlineStr">
        <is>
          <t>Corporate strategy</t>
        </is>
      </c>
      <c r="G469">
        <f>IFERROR(INDEX('_ENGINE_Risk'!$BS$500:$BS$923,MATCH($D469,'_ENGINE_Risk'!$E$500:$E$923,0)),0)</f>
        <v/>
      </c>
      <c r="H469" t="n">
        <v>1</v>
      </c>
      <c r="I469">
        <f>IFERROR(MAX(0,5-INDEX('_ENGINE_Risk'!$H$500:$H$923,MATCH($D469,'_ENGINE_Risk'!$E$500:$E$923,0))),0)</f>
        <v/>
      </c>
      <c r="J469" t="inlineStr">
        <is>
          <t>P1 many-to-many coverage row</t>
        </is>
      </c>
      <c r="K469">
        <f>IFERROR(INDEX('_ENGINE_Risk'!$BI$500:$BI$923,MATCH($D469,'_ENGINE_Risk'!$E$500:$E$923,0))*N($H469),0)</f>
        <v/>
      </c>
      <c r="L469">
        <f>IFERROR(MIN(5,$K469/MAX(1,'_CONFIG_Model_Settings'!$B$105)),0)</f>
        <v/>
      </c>
    </row>
    <row r="470">
      <c r="A470" t="inlineStr">
        <is>
          <t>INI-005</t>
        </is>
      </c>
      <c r="B470" t="inlineStr">
        <is>
          <t>Define crisis-adjusted ICP, market segments and demand exposure</t>
        </is>
      </c>
      <c r="C470" t="inlineStr">
        <is>
          <t>STR-11</t>
        </is>
      </c>
      <c r="D470" t="inlineStr">
        <is>
          <t>STRA-007</t>
        </is>
      </c>
      <c r="E470" t="inlineStr">
        <is>
          <t>Strategy GTM</t>
        </is>
      </c>
      <c r="F470" t="inlineStr">
        <is>
          <t>Market and ICP</t>
        </is>
      </c>
      <c r="G470">
        <f>IFERROR(INDEX('_ENGINE_Risk'!$BS$500:$BS$923,MATCH($D470,'_ENGINE_Risk'!$E$500:$E$923,0)),0)</f>
        <v/>
      </c>
      <c r="H470" t="n">
        <v>1</v>
      </c>
      <c r="I470">
        <f>IFERROR(MAX(0,5-INDEX('_ENGINE_Risk'!$H$500:$H$923,MATCH($D470,'_ENGINE_Risk'!$E$500:$E$923,0))),0)</f>
        <v/>
      </c>
      <c r="J470" t="inlineStr">
        <is>
          <t>P1 many-to-many coverage row</t>
        </is>
      </c>
      <c r="K470">
        <f>IFERROR(INDEX('_ENGINE_Risk'!$BI$500:$BI$923,MATCH($D470,'_ENGINE_Risk'!$E$500:$E$923,0))*N($H470),0)</f>
        <v/>
      </c>
      <c r="L470">
        <f>IFERROR(MIN(5,$K470/MAX(1,'_CONFIG_Model_Settings'!$B$105)),0)</f>
        <v/>
      </c>
    </row>
    <row r="471">
      <c r="A471" t="inlineStr">
        <is>
          <t>INI-005</t>
        </is>
      </c>
      <c r="B471" t="inlineStr">
        <is>
          <t>Define crisis-adjusted ICP, market segments and demand exposure</t>
        </is>
      </c>
      <c r="C471" t="inlineStr">
        <is>
          <t>STR-11</t>
        </is>
      </c>
      <c r="D471" t="inlineStr">
        <is>
          <t>STRA-008</t>
        </is>
      </c>
      <c r="E471" t="inlineStr">
        <is>
          <t>Strategy GTM</t>
        </is>
      </c>
      <c r="F471" t="inlineStr">
        <is>
          <t>Market and ICP</t>
        </is>
      </c>
      <c r="G471">
        <f>IFERROR(INDEX('_ENGINE_Risk'!$BS$500:$BS$923,MATCH($D471,'_ENGINE_Risk'!$E$500:$E$923,0)),0)</f>
        <v/>
      </c>
      <c r="H471" t="n">
        <v>1</v>
      </c>
      <c r="I471">
        <f>IFERROR(MAX(0,5-INDEX('_ENGINE_Risk'!$H$500:$H$923,MATCH($D471,'_ENGINE_Risk'!$E$500:$E$923,0))),0)</f>
        <v/>
      </c>
      <c r="J471" t="inlineStr">
        <is>
          <t>P1 many-to-many coverage row</t>
        </is>
      </c>
      <c r="K471">
        <f>IFERROR(INDEX('_ENGINE_Risk'!$BI$500:$BI$923,MATCH($D471,'_ENGINE_Risk'!$E$500:$E$923,0))*N($H471),0)</f>
        <v/>
      </c>
      <c r="L471">
        <f>IFERROR(MIN(5,$K471/MAX(1,'_CONFIG_Model_Settings'!$B$105)),0)</f>
        <v/>
      </c>
    </row>
    <row r="472">
      <c r="A472" t="inlineStr">
        <is>
          <t>INI-005</t>
        </is>
      </c>
      <c r="B472" t="inlineStr">
        <is>
          <t>Define crisis-adjusted ICP, market segments and demand exposure</t>
        </is>
      </c>
      <c r="C472" t="inlineStr">
        <is>
          <t>STR-11</t>
        </is>
      </c>
      <c r="D472" t="inlineStr">
        <is>
          <t>STRA-009</t>
        </is>
      </c>
      <c r="E472" t="inlineStr">
        <is>
          <t>Strategy GTM</t>
        </is>
      </c>
      <c r="F472" t="inlineStr">
        <is>
          <t>Market and ICP</t>
        </is>
      </c>
      <c r="G472">
        <f>IFERROR(INDEX('_ENGINE_Risk'!$BS$500:$BS$923,MATCH($D472,'_ENGINE_Risk'!$E$500:$E$923,0)),0)</f>
        <v/>
      </c>
      <c r="H472" t="n">
        <v>1</v>
      </c>
      <c r="I472">
        <f>IFERROR(MAX(0,5-INDEX('_ENGINE_Risk'!$H$500:$H$923,MATCH($D472,'_ENGINE_Risk'!$E$500:$E$923,0))),0)</f>
        <v/>
      </c>
      <c r="J472" t="inlineStr">
        <is>
          <t>P1 many-to-many coverage row</t>
        </is>
      </c>
      <c r="K472">
        <f>IFERROR(INDEX('_ENGINE_Risk'!$BI$500:$BI$923,MATCH($D472,'_ENGINE_Risk'!$E$500:$E$923,0))*N($H472),0)</f>
        <v/>
      </c>
      <c r="L472">
        <f>IFERROR(MIN(5,$K472/MAX(1,'_CONFIG_Model_Settings'!$B$105)),0)</f>
        <v/>
      </c>
    </row>
    <row r="473">
      <c r="A473" t="inlineStr">
        <is>
          <t>INI-005</t>
        </is>
      </c>
      <c r="B473" t="inlineStr">
        <is>
          <t>Define crisis-adjusted ICP, market segments and demand exposure</t>
        </is>
      </c>
      <c r="C473" t="inlineStr">
        <is>
          <t>STR-11</t>
        </is>
      </c>
      <c r="D473" t="inlineStr">
        <is>
          <t>STRA-010</t>
        </is>
      </c>
      <c r="E473" t="inlineStr">
        <is>
          <t>Strategy GTM</t>
        </is>
      </c>
      <c r="F473" t="inlineStr">
        <is>
          <t>Market and ICP</t>
        </is>
      </c>
      <c r="G473">
        <f>IFERROR(INDEX('_ENGINE_Risk'!$BS$500:$BS$923,MATCH($D473,'_ENGINE_Risk'!$E$500:$E$923,0)),0)</f>
        <v/>
      </c>
      <c r="H473" t="n">
        <v>1</v>
      </c>
      <c r="I473">
        <f>IFERROR(MAX(0,5-INDEX('_ENGINE_Risk'!$H$500:$H$923,MATCH($D473,'_ENGINE_Risk'!$E$500:$E$923,0))),0)</f>
        <v/>
      </c>
      <c r="J473" t="inlineStr">
        <is>
          <t>P1 many-to-many coverage row</t>
        </is>
      </c>
      <c r="K473">
        <f>IFERROR(INDEX('_ENGINE_Risk'!$BI$500:$BI$923,MATCH($D473,'_ENGINE_Risk'!$E$500:$E$923,0))*N($H473),0)</f>
        <v/>
      </c>
      <c r="L473">
        <f>IFERROR(MIN(5,$K473/MAX(1,'_CONFIG_Model_Settings'!$B$105)),0)</f>
        <v/>
      </c>
    </row>
    <row r="474">
      <c r="A474" t="inlineStr">
        <is>
          <t>INI-005</t>
        </is>
      </c>
      <c r="B474" t="inlineStr">
        <is>
          <t>Define crisis-adjusted ICP, market segments and demand exposure</t>
        </is>
      </c>
      <c r="C474" t="inlineStr">
        <is>
          <t>STR-11</t>
        </is>
      </c>
      <c r="D474" t="inlineStr">
        <is>
          <t>STRA-011</t>
        </is>
      </c>
      <c r="E474" t="inlineStr">
        <is>
          <t>Strategy GTM</t>
        </is>
      </c>
      <c r="F474" t="inlineStr">
        <is>
          <t>Market and ICP</t>
        </is>
      </c>
      <c r="G474">
        <f>IFERROR(INDEX('_ENGINE_Risk'!$BS$500:$BS$923,MATCH($D474,'_ENGINE_Risk'!$E$500:$E$923,0)),0)</f>
        <v/>
      </c>
      <c r="H474" t="n">
        <v>1</v>
      </c>
      <c r="I474">
        <f>IFERROR(MAX(0,5-INDEX('_ENGINE_Risk'!$H$500:$H$923,MATCH($D474,'_ENGINE_Risk'!$E$500:$E$923,0))),0)</f>
        <v/>
      </c>
      <c r="J474" t="inlineStr">
        <is>
          <t>P1 many-to-many coverage row</t>
        </is>
      </c>
      <c r="K474">
        <f>IFERROR(INDEX('_ENGINE_Risk'!$BI$500:$BI$923,MATCH($D474,'_ENGINE_Risk'!$E$500:$E$923,0))*N($H474),0)</f>
        <v/>
      </c>
      <c r="L474">
        <f>IFERROR(MIN(5,$K474/MAX(1,'_CONFIG_Model_Settings'!$B$105)),0)</f>
        <v/>
      </c>
    </row>
    <row r="475">
      <c r="A475" t="inlineStr">
        <is>
          <t>INI-005</t>
        </is>
      </c>
      <c r="B475" t="inlineStr">
        <is>
          <t>Define crisis-adjusted ICP, market segments and demand exposure</t>
        </is>
      </c>
      <c r="C475" t="inlineStr">
        <is>
          <t>STR-11</t>
        </is>
      </c>
      <c r="D475" t="inlineStr">
        <is>
          <t>STRA-012</t>
        </is>
      </c>
      <c r="E475" t="inlineStr">
        <is>
          <t>Strategy GTM</t>
        </is>
      </c>
      <c r="F475" t="inlineStr">
        <is>
          <t>Market and ICP</t>
        </is>
      </c>
      <c r="G475">
        <f>IFERROR(INDEX('_ENGINE_Risk'!$BS$500:$BS$923,MATCH($D475,'_ENGINE_Risk'!$E$500:$E$923,0)),0)</f>
        <v/>
      </c>
      <c r="H475" t="n">
        <v>1</v>
      </c>
      <c r="I475">
        <f>IFERROR(MAX(0,5-INDEX('_ENGINE_Risk'!$H$500:$H$923,MATCH($D475,'_ENGINE_Risk'!$E$500:$E$923,0))),0)</f>
        <v/>
      </c>
      <c r="J475" t="inlineStr">
        <is>
          <t>P1 many-to-many coverage row</t>
        </is>
      </c>
      <c r="K475">
        <f>IFERROR(INDEX('_ENGINE_Risk'!$BI$500:$BI$923,MATCH($D475,'_ENGINE_Risk'!$E$500:$E$923,0))*N($H475),0)</f>
        <v/>
      </c>
      <c r="L475">
        <f>IFERROR(MIN(5,$K475/MAX(1,'_CONFIG_Model_Settings'!$B$105)),0)</f>
        <v/>
      </c>
    </row>
    <row r="476">
      <c r="A476" t="inlineStr">
        <is>
          <t>INI-006</t>
        </is>
      </c>
      <c r="B476" t="inlineStr">
        <is>
          <t>Standardize offering architecture and crisis-proof value proposition</t>
        </is>
      </c>
      <c r="C476" t="inlineStr">
        <is>
          <t>STR-11</t>
        </is>
      </c>
      <c r="D476" t="inlineStr">
        <is>
          <t>STRA-013</t>
        </is>
      </c>
      <c r="E476" t="inlineStr">
        <is>
          <t>Strategy GTM</t>
        </is>
      </c>
      <c r="F476" t="inlineStr">
        <is>
          <t>Offering and positioning</t>
        </is>
      </c>
      <c r="G476">
        <f>IFERROR(INDEX('_ENGINE_Risk'!$BS$500:$BS$923,MATCH($D476,'_ENGINE_Risk'!$E$500:$E$923,0)),0)</f>
        <v/>
      </c>
      <c r="H476" t="n">
        <v>1</v>
      </c>
      <c r="I476">
        <f>IFERROR(MAX(0,5-INDEX('_ENGINE_Risk'!$H$500:$H$923,MATCH($D476,'_ENGINE_Risk'!$E$500:$E$923,0))),0)</f>
        <v/>
      </c>
      <c r="J476" t="inlineStr">
        <is>
          <t>P1 many-to-many coverage row</t>
        </is>
      </c>
      <c r="K476">
        <f>IFERROR(INDEX('_ENGINE_Risk'!$BI$500:$BI$923,MATCH($D476,'_ENGINE_Risk'!$E$500:$E$923,0))*N($H476),0)</f>
        <v/>
      </c>
      <c r="L476">
        <f>IFERROR(MIN(5,$K476/MAX(1,'_CONFIG_Model_Settings'!$B$105)),0)</f>
        <v/>
      </c>
    </row>
    <row r="477">
      <c r="A477" t="inlineStr">
        <is>
          <t>INI-006</t>
        </is>
      </c>
      <c r="B477" t="inlineStr">
        <is>
          <t>Standardize offering architecture and crisis-proof value proposition</t>
        </is>
      </c>
      <c r="C477" t="inlineStr">
        <is>
          <t>STR-11</t>
        </is>
      </c>
      <c r="D477" t="inlineStr">
        <is>
          <t>STRA-014</t>
        </is>
      </c>
      <c r="E477" t="inlineStr">
        <is>
          <t>Strategy GTM</t>
        </is>
      </c>
      <c r="F477" t="inlineStr">
        <is>
          <t>Offering and positioning</t>
        </is>
      </c>
      <c r="G477">
        <f>IFERROR(INDEX('_ENGINE_Risk'!$BS$500:$BS$923,MATCH($D477,'_ENGINE_Risk'!$E$500:$E$923,0)),0)</f>
        <v/>
      </c>
      <c r="H477" t="n">
        <v>1</v>
      </c>
      <c r="I477">
        <f>IFERROR(MAX(0,5-INDEX('_ENGINE_Risk'!$H$500:$H$923,MATCH($D477,'_ENGINE_Risk'!$E$500:$E$923,0))),0)</f>
        <v/>
      </c>
      <c r="J477" t="inlineStr">
        <is>
          <t>P1 many-to-many coverage row</t>
        </is>
      </c>
      <c r="K477">
        <f>IFERROR(INDEX('_ENGINE_Risk'!$BI$500:$BI$923,MATCH($D477,'_ENGINE_Risk'!$E$500:$E$923,0))*N($H477),0)</f>
        <v/>
      </c>
      <c r="L477">
        <f>IFERROR(MIN(5,$K477/MAX(1,'_CONFIG_Model_Settings'!$B$105)),0)</f>
        <v/>
      </c>
    </row>
    <row r="478">
      <c r="A478" t="inlineStr">
        <is>
          <t>INI-006</t>
        </is>
      </c>
      <c r="B478" t="inlineStr">
        <is>
          <t>Standardize offering architecture and crisis-proof value proposition</t>
        </is>
      </c>
      <c r="C478" t="inlineStr">
        <is>
          <t>STR-11</t>
        </is>
      </c>
      <c r="D478" t="inlineStr">
        <is>
          <t>STRA-015</t>
        </is>
      </c>
      <c r="E478" t="inlineStr">
        <is>
          <t>Strategy GTM</t>
        </is>
      </c>
      <c r="F478" t="inlineStr">
        <is>
          <t>Offering and positioning</t>
        </is>
      </c>
      <c r="G478">
        <f>IFERROR(INDEX('_ENGINE_Risk'!$BS$500:$BS$923,MATCH($D478,'_ENGINE_Risk'!$E$500:$E$923,0)),0)</f>
        <v/>
      </c>
      <c r="H478" t="n">
        <v>1</v>
      </c>
      <c r="I478">
        <f>IFERROR(MAX(0,5-INDEX('_ENGINE_Risk'!$H$500:$H$923,MATCH($D478,'_ENGINE_Risk'!$E$500:$E$923,0))),0)</f>
        <v/>
      </c>
      <c r="J478" t="inlineStr">
        <is>
          <t>P1 many-to-many coverage row</t>
        </is>
      </c>
      <c r="K478">
        <f>IFERROR(INDEX('_ENGINE_Risk'!$BI$500:$BI$923,MATCH($D478,'_ENGINE_Risk'!$E$500:$E$923,0))*N($H478),0)</f>
        <v/>
      </c>
      <c r="L478">
        <f>IFERROR(MIN(5,$K478/MAX(1,'_CONFIG_Model_Settings'!$B$105)),0)</f>
        <v/>
      </c>
    </row>
    <row r="479">
      <c r="A479" t="inlineStr">
        <is>
          <t>INI-006</t>
        </is>
      </c>
      <c r="B479" t="inlineStr">
        <is>
          <t>Standardize offering architecture and crisis-proof value proposition</t>
        </is>
      </c>
      <c r="C479" t="inlineStr">
        <is>
          <t>STR-11</t>
        </is>
      </c>
      <c r="D479" t="inlineStr">
        <is>
          <t>STRA-016</t>
        </is>
      </c>
      <c r="E479" t="inlineStr">
        <is>
          <t>Strategy GTM</t>
        </is>
      </c>
      <c r="F479" t="inlineStr">
        <is>
          <t>Offering and positioning</t>
        </is>
      </c>
      <c r="G479">
        <f>IFERROR(INDEX('_ENGINE_Risk'!$BS$500:$BS$923,MATCH($D479,'_ENGINE_Risk'!$E$500:$E$923,0)),0)</f>
        <v/>
      </c>
      <c r="H479" t="n">
        <v>1</v>
      </c>
      <c r="I479">
        <f>IFERROR(MAX(0,5-INDEX('_ENGINE_Risk'!$H$500:$H$923,MATCH($D479,'_ENGINE_Risk'!$E$500:$E$923,0))),0)</f>
        <v/>
      </c>
      <c r="J479" t="inlineStr">
        <is>
          <t>P1 many-to-many coverage row</t>
        </is>
      </c>
      <c r="K479">
        <f>IFERROR(INDEX('_ENGINE_Risk'!$BI$500:$BI$923,MATCH($D479,'_ENGINE_Risk'!$E$500:$E$923,0))*N($H479),0)</f>
        <v/>
      </c>
      <c r="L479">
        <f>IFERROR(MIN(5,$K479/MAX(1,'_CONFIG_Model_Settings'!$B$105)),0)</f>
        <v/>
      </c>
    </row>
    <row r="480">
      <c r="A480" t="inlineStr">
        <is>
          <t>INI-006</t>
        </is>
      </c>
      <c r="B480" t="inlineStr">
        <is>
          <t>Standardize offering architecture and crisis-proof value proposition</t>
        </is>
      </c>
      <c r="C480" t="inlineStr">
        <is>
          <t>STR-11</t>
        </is>
      </c>
      <c r="D480" t="inlineStr">
        <is>
          <t>STRA-017</t>
        </is>
      </c>
      <c r="E480" t="inlineStr">
        <is>
          <t>Strategy GTM</t>
        </is>
      </c>
      <c r="F480" t="inlineStr">
        <is>
          <t>Offering and positioning</t>
        </is>
      </c>
      <c r="G480">
        <f>IFERROR(INDEX('_ENGINE_Risk'!$BS$500:$BS$923,MATCH($D480,'_ENGINE_Risk'!$E$500:$E$923,0)),0)</f>
        <v/>
      </c>
      <c r="H480" t="n">
        <v>1</v>
      </c>
      <c r="I480">
        <f>IFERROR(MAX(0,5-INDEX('_ENGINE_Risk'!$H$500:$H$923,MATCH($D480,'_ENGINE_Risk'!$E$500:$E$923,0))),0)</f>
        <v/>
      </c>
      <c r="J480" t="inlineStr">
        <is>
          <t>P1 many-to-many coverage row</t>
        </is>
      </c>
      <c r="K480">
        <f>IFERROR(INDEX('_ENGINE_Risk'!$BI$500:$BI$923,MATCH($D480,'_ENGINE_Risk'!$E$500:$E$923,0))*N($H480),0)</f>
        <v/>
      </c>
      <c r="L480">
        <f>IFERROR(MIN(5,$K480/MAX(1,'_CONFIG_Model_Settings'!$B$105)),0)</f>
        <v/>
      </c>
    </row>
    <row r="481">
      <c r="A481" t="inlineStr">
        <is>
          <t>INI-006</t>
        </is>
      </c>
      <c r="B481" t="inlineStr">
        <is>
          <t>Standardize offering architecture and crisis-proof value proposition</t>
        </is>
      </c>
      <c r="C481" t="inlineStr">
        <is>
          <t>STR-11</t>
        </is>
      </c>
      <c r="D481" t="inlineStr">
        <is>
          <t>STRA-018</t>
        </is>
      </c>
      <c r="E481" t="inlineStr">
        <is>
          <t>Strategy GTM</t>
        </is>
      </c>
      <c r="F481" t="inlineStr">
        <is>
          <t>Offering and positioning</t>
        </is>
      </c>
      <c r="G481">
        <f>IFERROR(INDEX('_ENGINE_Risk'!$BS$500:$BS$923,MATCH($D481,'_ENGINE_Risk'!$E$500:$E$923,0)),0)</f>
        <v/>
      </c>
      <c r="H481" t="n">
        <v>1</v>
      </c>
      <c r="I481">
        <f>IFERROR(MAX(0,5-INDEX('_ENGINE_Risk'!$H$500:$H$923,MATCH($D481,'_ENGINE_Risk'!$E$500:$E$923,0))),0)</f>
        <v/>
      </c>
      <c r="J481" t="inlineStr">
        <is>
          <t>P1 many-to-many coverage row</t>
        </is>
      </c>
      <c r="K481">
        <f>IFERROR(INDEX('_ENGINE_Risk'!$BI$500:$BI$923,MATCH($D481,'_ENGINE_Risk'!$E$500:$E$923,0))*N($H481),0)</f>
        <v/>
      </c>
      <c r="L481">
        <f>IFERROR(MIN(5,$K481/MAX(1,'_CONFIG_Model_Settings'!$B$105)),0)</f>
        <v/>
      </c>
    </row>
    <row r="482">
      <c r="A482" t="inlineStr">
        <is>
          <t>INI-007</t>
        </is>
      </c>
      <c r="B482" t="inlineStr">
        <is>
          <t>Build resilient GTM execution cadence and channel plan</t>
        </is>
      </c>
      <c r="C482" t="inlineStr">
        <is>
          <t>STR-11</t>
        </is>
      </c>
      <c r="D482" t="inlineStr">
        <is>
          <t>STRA-019</t>
        </is>
      </c>
      <c r="E482" t="inlineStr">
        <is>
          <t>Strategy GTM</t>
        </is>
      </c>
      <c r="F482" t="inlineStr">
        <is>
          <t>GTM execution</t>
        </is>
      </c>
      <c r="G482">
        <f>IFERROR(INDEX('_ENGINE_Risk'!$BS$500:$BS$923,MATCH($D482,'_ENGINE_Risk'!$E$500:$E$923,0)),0)</f>
        <v/>
      </c>
      <c r="H482" t="n">
        <v>1</v>
      </c>
      <c r="I482">
        <f>IFERROR(MAX(0,5-INDEX('_ENGINE_Risk'!$H$500:$H$923,MATCH($D482,'_ENGINE_Risk'!$E$500:$E$923,0))),0)</f>
        <v/>
      </c>
      <c r="J482" t="inlineStr">
        <is>
          <t>P1 many-to-many coverage row</t>
        </is>
      </c>
      <c r="K482">
        <f>IFERROR(INDEX('_ENGINE_Risk'!$BI$500:$BI$923,MATCH($D482,'_ENGINE_Risk'!$E$500:$E$923,0))*N($H482),0)</f>
        <v/>
      </c>
      <c r="L482">
        <f>IFERROR(MIN(5,$K482/MAX(1,'_CONFIG_Model_Settings'!$B$105)),0)</f>
        <v/>
      </c>
    </row>
    <row r="483">
      <c r="A483" t="inlineStr">
        <is>
          <t>INI-007</t>
        </is>
      </c>
      <c r="B483" t="inlineStr">
        <is>
          <t>Build resilient GTM execution cadence and channel plan</t>
        </is>
      </c>
      <c r="C483" t="inlineStr">
        <is>
          <t>STR-11</t>
        </is>
      </c>
      <c r="D483" t="inlineStr">
        <is>
          <t>STRA-020</t>
        </is>
      </c>
      <c r="E483" t="inlineStr">
        <is>
          <t>Strategy GTM</t>
        </is>
      </c>
      <c r="F483" t="inlineStr">
        <is>
          <t>GTM execution</t>
        </is>
      </c>
      <c r="G483">
        <f>IFERROR(INDEX('_ENGINE_Risk'!$BS$500:$BS$923,MATCH($D483,'_ENGINE_Risk'!$E$500:$E$923,0)),0)</f>
        <v/>
      </c>
      <c r="H483" t="n">
        <v>1</v>
      </c>
      <c r="I483">
        <f>IFERROR(MAX(0,5-INDEX('_ENGINE_Risk'!$H$500:$H$923,MATCH($D483,'_ENGINE_Risk'!$E$500:$E$923,0))),0)</f>
        <v/>
      </c>
      <c r="J483" t="inlineStr">
        <is>
          <t>P1 many-to-many coverage row</t>
        </is>
      </c>
      <c r="K483">
        <f>IFERROR(INDEX('_ENGINE_Risk'!$BI$500:$BI$923,MATCH($D483,'_ENGINE_Risk'!$E$500:$E$923,0))*N($H483),0)</f>
        <v/>
      </c>
      <c r="L483">
        <f>IFERROR(MIN(5,$K483/MAX(1,'_CONFIG_Model_Settings'!$B$105)),0)</f>
        <v/>
      </c>
    </row>
    <row r="484">
      <c r="A484" t="inlineStr">
        <is>
          <t>INI-007</t>
        </is>
      </c>
      <c r="B484" t="inlineStr">
        <is>
          <t>Build resilient GTM execution cadence and channel plan</t>
        </is>
      </c>
      <c r="C484" t="inlineStr">
        <is>
          <t>STR-11</t>
        </is>
      </c>
      <c r="D484" t="inlineStr">
        <is>
          <t>STRA-021</t>
        </is>
      </c>
      <c r="E484" t="inlineStr">
        <is>
          <t>Strategy GTM</t>
        </is>
      </c>
      <c r="F484" t="inlineStr">
        <is>
          <t>GTM execution</t>
        </is>
      </c>
      <c r="G484">
        <f>IFERROR(INDEX('_ENGINE_Risk'!$BS$500:$BS$923,MATCH($D484,'_ENGINE_Risk'!$E$500:$E$923,0)),0)</f>
        <v/>
      </c>
      <c r="H484" t="n">
        <v>1</v>
      </c>
      <c r="I484">
        <f>IFERROR(MAX(0,5-INDEX('_ENGINE_Risk'!$H$500:$H$923,MATCH($D484,'_ENGINE_Risk'!$E$500:$E$923,0))),0)</f>
        <v/>
      </c>
      <c r="J484" t="inlineStr">
        <is>
          <t>P1 many-to-many coverage row</t>
        </is>
      </c>
      <c r="K484">
        <f>IFERROR(INDEX('_ENGINE_Risk'!$BI$500:$BI$923,MATCH($D484,'_ENGINE_Risk'!$E$500:$E$923,0))*N($H484),0)</f>
        <v/>
      </c>
      <c r="L484">
        <f>IFERROR(MIN(5,$K484/MAX(1,'_CONFIG_Model_Settings'!$B$105)),0)</f>
        <v/>
      </c>
    </row>
    <row r="485">
      <c r="A485" t="inlineStr">
        <is>
          <t>INI-007</t>
        </is>
      </c>
      <c r="B485" t="inlineStr">
        <is>
          <t>Build resilient GTM execution cadence and channel plan</t>
        </is>
      </c>
      <c r="C485" t="inlineStr">
        <is>
          <t>STR-11</t>
        </is>
      </c>
      <c r="D485" t="inlineStr">
        <is>
          <t>STRA-022</t>
        </is>
      </c>
      <c r="E485" t="inlineStr">
        <is>
          <t>Strategy GTM</t>
        </is>
      </c>
      <c r="F485" t="inlineStr">
        <is>
          <t>GTM execution</t>
        </is>
      </c>
      <c r="G485">
        <f>IFERROR(INDEX('_ENGINE_Risk'!$BS$500:$BS$923,MATCH($D485,'_ENGINE_Risk'!$E$500:$E$923,0)),0)</f>
        <v/>
      </c>
      <c r="H485" t="n">
        <v>1</v>
      </c>
      <c r="I485">
        <f>IFERROR(MAX(0,5-INDEX('_ENGINE_Risk'!$H$500:$H$923,MATCH($D485,'_ENGINE_Risk'!$E$500:$E$923,0))),0)</f>
        <v/>
      </c>
      <c r="J485" t="inlineStr">
        <is>
          <t>P1 many-to-many coverage row</t>
        </is>
      </c>
      <c r="K485">
        <f>IFERROR(INDEX('_ENGINE_Risk'!$BI$500:$BI$923,MATCH($D485,'_ENGINE_Risk'!$E$500:$E$923,0))*N($H485),0)</f>
        <v/>
      </c>
      <c r="L485">
        <f>IFERROR(MIN(5,$K485/MAX(1,'_CONFIG_Model_Settings'!$B$105)),0)</f>
        <v/>
      </c>
    </row>
    <row r="486">
      <c r="A486" t="inlineStr">
        <is>
          <t>INI-007</t>
        </is>
      </c>
      <c r="B486" t="inlineStr">
        <is>
          <t>Build resilient GTM execution cadence and channel plan</t>
        </is>
      </c>
      <c r="C486" t="inlineStr">
        <is>
          <t>STR-11</t>
        </is>
      </c>
      <c r="D486" t="inlineStr">
        <is>
          <t>STRA-023</t>
        </is>
      </c>
      <c r="E486" t="inlineStr">
        <is>
          <t>Strategy GTM</t>
        </is>
      </c>
      <c r="F486" t="inlineStr">
        <is>
          <t>GTM execution</t>
        </is>
      </c>
      <c r="G486">
        <f>IFERROR(INDEX('_ENGINE_Risk'!$BS$500:$BS$923,MATCH($D486,'_ENGINE_Risk'!$E$500:$E$923,0)),0)</f>
        <v/>
      </c>
      <c r="H486" t="n">
        <v>1</v>
      </c>
      <c r="I486">
        <f>IFERROR(MAX(0,5-INDEX('_ENGINE_Risk'!$H$500:$H$923,MATCH($D486,'_ENGINE_Risk'!$E$500:$E$923,0))),0)</f>
        <v/>
      </c>
      <c r="J486" t="inlineStr">
        <is>
          <t>P1 many-to-many coverage row</t>
        </is>
      </c>
      <c r="K486">
        <f>IFERROR(INDEX('_ENGINE_Risk'!$BI$500:$BI$923,MATCH($D486,'_ENGINE_Risk'!$E$500:$E$923,0))*N($H486),0)</f>
        <v/>
      </c>
      <c r="L486">
        <f>IFERROR(MIN(5,$K486/MAX(1,'_CONFIG_Model_Settings'!$B$105)),0)</f>
        <v/>
      </c>
    </row>
    <row r="487">
      <c r="A487" t="inlineStr">
        <is>
          <t>INI-007</t>
        </is>
      </c>
      <c r="B487" t="inlineStr">
        <is>
          <t>Build resilient GTM execution cadence and channel plan</t>
        </is>
      </c>
      <c r="C487" t="inlineStr">
        <is>
          <t>STR-11</t>
        </is>
      </c>
      <c r="D487" t="inlineStr">
        <is>
          <t>STRA-024</t>
        </is>
      </c>
      <c r="E487" t="inlineStr">
        <is>
          <t>Strategy GTM</t>
        </is>
      </c>
      <c r="F487" t="inlineStr">
        <is>
          <t>GTM execution</t>
        </is>
      </c>
      <c r="G487">
        <f>IFERROR(INDEX('_ENGINE_Risk'!$BS$500:$BS$923,MATCH($D487,'_ENGINE_Risk'!$E$500:$E$923,0)),0)</f>
        <v/>
      </c>
      <c r="H487" t="n">
        <v>1</v>
      </c>
      <c r="I487">
        <f>IFERROR(MAX(0,5-INDEX('_ENGINE_Risk'!$H$500:$H$923,MATCH($D487,'_ENGINE_Risk'!$E$500:$E$923,0))),0)</f>
        <v/>
      </c>
      <c r="J487" t="inlineStr">
        <is>
          <t>P1 many-to-many coverage row</t>
        </is>
      </c>
      <c r="K487">
        <f>IFERROR(INDEX('_ENGINE_Risk'!$BI$500:$BI$923,MATCH($D487,'_ENGINE_Risk'!$E$500:$E$923,0))*N($H487),0)</f>
        <v/>
      </c>
      <c r="L487">
        <f>IFERROR(MIN(5,$K487/MAX(1,'_CONFIG_Model_Settings'!$B$105)),0)</f>
        <v/>
      </c>
    </row>
    <row r="488">
      <c r="A488" t="inlineStr">
        <is>
          <t>INI-008</t>
        </is>
      </c>
      <c r="B488" t="inlineStr">
        <is>
          <t>Implement crisis governance, roles and escalation model</t>
        </is>
      </c>
      <c r="C488" t="inlineStr">
        <is>
          <t>STR-14</t>
        </is>
      </c>
      <c r="D488" t="inlineStr">
        <is>
          <t>GOVE-001</t>
        </is>
      </c>
      <c r="E488" t="inlineStr">
        <is>
          <t>Governance Crisis</t>
        </is>
      </c>
      <c r="F488" t="inlineStr">
        <is>
          <t>Crisis governance</t>
        </is>
      </c>
      <c r="G488">
        <f>IFERROR(INDEX('_ENGINE_Risk'!$BS$500:$BS$923,MATCH($D488,'_ENGINE_Risk'!$E$500:$E$923,0)),0)</f>
        <v/>
      </c>
      <c r="H488" t="n">
        <v>1</v>
      </c>
      <c r="I488">
        <f>IFERROR(MAX(0,5-INDEX('_ENGINE_Risk'!$H$500:$H$923,MATCH($D488,'_ENGINE_Risk'!$E$500:$E$923,0))),0)</f>
        <v/>
      </c>
      <c r="J488" t="inlineStr">
        <is>
          <t>P1 many-to-many coverage row</t>
        </is>
      </c>
      <c r="K488">
        <f>IFERROR(INDEX('_ENGINE_Risk'!$BI$500:$BI$923,MATCH($D488,'_ENGINE_Risk'!$E$500:$E$923,0))*N($H488),0)</f>
        <v/>
      </c>
      <c r="L488">
        <f>IFERROR(MIN(5,$K488/MAX(1,'_CONFIG_Model_Settings'!$B$105)),0)</f>
        <v/>
      </c>
    </row>
    <row r="489">
      <c r="A489" t="inlineStr">
        <is>
          <t>INI-008</t>
        </is>
      </c>
      <c r="B489" t="inlineStr">
        <is>
          <t>Implement crisis governance, roles and escalation model</t>
        </is>
      </c>
      <c r="C489" t="inlineStr">
        <is>
          <t>STR-14</t>
        </is>
      </c>
      <c r="D489" t="inlineStr">
        <is>
          <t>GOVE-002</t>
        </is>
      </c>
      <c r="E489" t="inlineStr">
        <is>
          <t>Governance Crisis</t>
        </is>
      </c>
      <c r="F489" t="inlineStr">
        <is>
          <t>Crisis governance</t>
        </is>
      </c>
      <c r="G489">
        <f>IFERROR(INDEX('_ENGINE_Risk'!$BS$500:$BS$923,MATCH($D489,'_ENGINE_Risk'!$E$500:$E$923,0)),0)</f>
        <v/>
      </c>
      <c r="H489" t="n">
        <v>1</v>
      </c>
      <c r="I489">
        <f>IFERROR(MAX(0,5-INDEX('_ENGINE_Risk'!$H$500:$H$923,MATCH($D489,'_ENGINE_Risk'!$E$500:$E$923,0))),0)</f>
        <v/>
      </c>
      <c r="J489" t="inlineStr">
        <is>
          <t>P1 many-to-many coverage row</t>
        </is>
      </c>
      <c r="K489">
        <f>IFERROR(INDEX('_ENGINE_Risk'!$BI$500:$BI$923,MATCH($D489,'_ENGINE_Risk'!$E$500:$E$923,0))*N($H489),0)</f>
        <v/>
      </c>
      <c r="L489">
        <f>IFERROR(MIN(5,$K489/MAX(1,'_CONFIG_Model_Settings'!$B$105)),0)</f>
        <v/>
      </c>
    </row>
    <row r="490">
      <c r="A490" t="inlineStr">
        <is>
          <t>INI-008</t>
        </is>
      </c>
      <c r="B490" t="inlineStr">
        <is>
          <t>Implement crisis governance, roles and escalation model</t>
        </is>
      </c>
      <c r="C490" t="inlineStr">
        <is>
          <t>STR-14</t>
        </is>
      </c>
      <c r="D490" t="inlineStr">
        <is>
          <t>GOVE-003</t>
        </is>
      </c>
      <c r="E490" t="inlineStr">
        <is>
          <t>Governance Crisis</t>
        </is>
      </c>
      <c r="F490" t="inlineStr">
        <is>
          <t>Crisis governance</t>
        </is>
      </c>
      <c r="G490">
        <f>IFERROR(INDEX('_ENGINE_Risk'!$BS$500:$BS$923,MATCH($D490,'_ENGINE_Risk'!$E$500:$E$923,0)),0)</f>
        <v/>
      </c>
      <c r="H490" t="n">
        <v>1</v>
      </c>
      <c r="I490">
        <f>IFERROR(MAX(0,5-INDEX('_ENGINE_Risk'!$H$500:$H$923,MATCH($D490,'_ENGINE_Risk'!$E$500:$E$923,0))),0)</f>
        <v/>
      </c>
      <c r="J490" t="inlineStr">
        <is>
          <t>P1 many-to-many coverage row</t>
        </is>
      </c>
      <c r="K490">
        <f>IFERROR(INDEX('_ENGINE_Risk'!$BI$500:$BI$923,MATCH($D490,'_ENGINE_Risk'!$E$500:$E$923,0))*N($H490),0)</f>
        <v/>
      </c>
      <c r="L490">
        <f>IFERROR(MIN(5,$K490/MAX(1,'_CONFIG_Model_Settings'!$B$105)),0)</f>
        <v/>
      </c>
    </row>
    <row r="491">
      <c r="A491" t="inlineStr">
        <is>
          <t>INI-008</t>
        </is>
      </c>
      <c r="B491" t="inlineStr">
        <is>
          <t>Implement crisis governance, roles and escalation model</t>
        </is>
      </c>
      <c r="C491" t="inlineStr">
        <is>
          <t>STR-14</t>
        </is>
      </c>
      <c r="D491" t="inlineStr">
        <is>
          <t>GOVE-004</t>
        </is>
      </c>
      <c r="E491" t="inlineStr">
        <is>
          <t>Governance Crisis</t>
        </is>
      </c>
      <c r="F491" t="inlineStr">
        <is>
          <t>Crisis governance</t>
        </is>
      </c>
      <c r="G491">
        <f>IFERROR(INDEX('_ENGINE_Risk'!$BS$500:$BS$923,MATCH($D491,'_ENGINE_Risk'!$E$500:$E$923,0)),0)</f>
        <v/>
      </c>
      <c r="H491" t="n">
        <v>1</v>
      </c>
      <c r="I491">
        <f>IFERROR(MAX(0,5-INDEX('_ENGINE_Risk'!$H$500:$H$923,MATCH($D491,'_ENGINE_Risk'!$E$500:$E$923,0))),0)</f>
        <v/>
      </c>
      <c r="J491" t="inlineStr">
        <is>
          <t>P1 many-to-many coverage row</t>
        </is>
      </c>
      <c r="K491">
        <f>IFERROR(INDEX('_ENGINE_Risk'!$BI$500:$BI$923,MATCH($D491,'_ENGINE_Risk'!$E$500:$E$923,0))*N($H491),0)</f>
        <v/>
      </c>
      <c r="L491">
        <f>IFERROR(MIN(5,$K491/MAX(1,'_CONFIG_Model_Settings'!$B$105)),0)</f>
        <v/>
      </c>
    </row>
    <row r="492">
      <c r="A492" t="inlineStr">
        <is>
          <t>INI-008</t>
        </is>
      </c>
      <c r="B492" t="inlineStr">
        <is>
          <t>Implement crisis governance, roles and escalation model</t>
        </is>
      </c>
      <c r="C492" t="inlineStr">
        <is>
          <t>STR-14</t>
        </is>
      </c>
      <c r="D492" t="inlineStr">
        <is>
          <t>GOVE-005</t>
        </is>
      </c>
      <c r="E492" t="inlineStr">
        <is>
          <t>Governance Crisis</t>
        </is>
      </c>
      <c r="F492" t="inlineStr">
        <is>
          <t>Crisis governance</t>
        </is>
      </c>
      <c r="G492">
        <f>IFERROR(INDEX('_ENGINE_Risk'!$BS$500:$BS$923,MATCH($D492,'_ENGINE_Risk'!$E$500:$E$923,0)),0)</f>
        <v/>
      </c>
      <c r="H492" t="n">
        <v>1</v>
      </c>
      <c r="I492">
        <f>IFERROR(MAX(0,5-INDEX('_ENGINE_Risk'!$H$500:$H$923,MATCH($D492,'_ENGINE_Risk'!$E$500:$E$923,0))),0)</f>
        <v/>
      </c>
      <c r="J492" t="inlineStr">
        <is>
          <t>P1 many-to-many coverage row</t>
        </is>
      </c>
      <c r="K492">
        <f>IFERROR(INDEX('_ENGINE_Risk'!$BI$500:$BI$923,MATCH($D492,'_ENGINE_Risk'!$E$500:$E$923,0))*N($H492),0)</f>
        <v/>
      </c>
      <c r="L492">
        <f>IFERROR(MIN(5,$K492/MAX(1,'_CONFIG_Model_Settings'!$B$105)),0)</f>
        <v/>
      </c>
    </row>
    <row r="493">
      <c r="A493" t="inlineStr">
        <is>
          <t>INI-008</t>
        </is>
      </c>
      <c r="B493" t="inlineStr">
        <is>
          <t>Implement crisis governance, roles and escalation model</t>
        </is>
      </c>
      <c r="C493" t="inlineStr">
        <is>
          <t>STR-14</t>
        </is>
      </c>
      <c r="D493" t="inlineStr">
        <is>
          <t>GOVE-006</t>
        </is>
      </c>
      <c r="E493" t="inlineStr">
        <is>
          <t>Governance Crisis</t>
        </is>
      </c>
      <c r="F493" t="inlineStr">
        <is>
          <t>Crisis governance</t>
        </is>
      </c>
      <c r="G493">
        <f>IFERROR(INDEX('_ENGINE_Risk'!$BS$500:$BS$923,MATCH($D493,'_ENGINE_Risk'!$E$500:$E$923,0)),0)</f>
        <v/>
      </c>
      <c r="H493" t="n">
        <v>1</v>
      </c>
      <c r="I493">
        <f>IFERROR(MAX(0,5-INDEX('_ENGINE_Risk'!$H$500:$H$923,MATCH($D493,'_ENGINE_Risk'!$E$500:$E$923,0))),0)</f>
        <v/>
      </c>
      <c r="J493" t="inlineStr">
        <is>
          <t>P1 many-to-many coverage row</t>
        </is>
      </c>
      <c r="K493">
        <f>IFERROR(INDEX('_ENGINE_Risk'!$BI$500:$BI$923,MATCH($D493,'_ENGINE_Risk'!$E$500:$E$923,0))*N($H493),0)</f>
        <v/>
      </c>
      <c r="L493">
        <f>IFERROR(MIN(5,$K493/MAX(1,'_CONFIG_Model_Settings'!$B$105)),0)</f>
        <v/>
      </c>
    </row>
    <row r="494">
      <c r="A494" t="inlineStr">
        <is>
          <t>INI-009</t>
        </is>
      </c>
      <c r="B494" t="inlineStr">
        <is>
          <t>Build integrated risk, continuity and resilience control cycle</t>
        </is>
      </c>
      <c r="C494" t="inlineStr">
        <is>
          <t>STR-14</t>
        </is>
      </c>
      <c r="D494" t="inlineStr">
        <is>
          <t>GOVE-007</t>
        </is>
      </c>
      <c r="E494" t="inlineStr">
        <is>
          <t>Governance Crisis</t>
        </is>
      </c>
      <c r="F494" t="inlineStr">
        <is>
          <t>Risk and continuity</t>
        </is>
      </c>
      <c r="G494">
        <f>IFERROR(INDEX('_ENGINE_Risk'!$BS$500:$BS$923,MATCH($D494,'_ENGINE_Risk'!$E$500:$E$923,0)),0)</f>
        <v/>
      </c>
      <c r="H494" t="n">
        <v>1</v>
      </c>
      <c r="I494">
        <f>IFERROR(MAX(0,5-INDEX('_ENGINE_Risk'!$H$500:$H$923,MATCH($D494,'_ENGINE_Risk'!$E$500:$E$923,0))),0)</f>
        <v/>
      </c>
      <c r="J494" t="inlineStr">
        <is>
          <t>P1 many-to-many coverage row</t>
        </is>
      </c>
      <c r="K494">
        <f>IFERROR(INDEX('_ENGINE_Risk'!$BI$500:$BI$923,MATCH($D494,'_ENGINE_Risk'!$E$500:$E$923,0))*N($H494),0)</f>
        <v/>
      </c>
      <c r="L494">
        <f>IFERROR(MIN(5,$K494/MAX(1,'_CONFIG_Model_Settings'!$B$105)),0)</f>
        <v/>
      </c>
    </row>
    <row r="495">
      <c r="A495" t="inlineStr">
        <is>
          <t>INI-009</t>
        </is>
      </c>
      <c r="B495" t="inlineStr">
        <is>
          <t>Build integrated risk, continuity and resilience control cycle</t>
        </is>
      </c>
      <c r="C495" t="inlineStr">
        <is>
          <t>STR-14</t>
        </is>
      </c>
      <c r="D495" t="inlineStr">
        <is>
          <t>GOVE-008</t>
        </is>
      </c>
      <c r="E495" t="inlineStr">
        <is>
          <t>Governance Crisis</t>
        </is>
      </c>
      <c r="F495" t="inlineStr">
        <is>
          <t>Risk and continuity</t>
        </is>
      </c>
      <c r="G495">
        <f>IFERROR(INDEX('_ENGINE_Risk'!$BS$500:$BS$923,MATCH($D495,'_ENGINE_Risk'!$E$500:$E$923,0)),0)</f>
        <v/>
      </c>
      <c r="H495" t="n">
        <v>1</v>
      </c>
      <c r="I495">
        <f>IFERROR(MAX(0,5-INDEX('_ENGINE_Risk'!$H$500:$H$923,MATCH($D495,'_ENGINE_Risk'!$E$500:$E$923,0))),0)</f>
        <v/>
      </c>
      <c r="J495" t="inlineStr">
        <is>
          <t>P1 many-to-many coverage row</t>
        </is>
      </c>
      <c r="K495">
        <f>IFERROR(INDEX('_ENGINE_Risk'!$BI$500:$BI$923,MATCH($D495,'_ENGINE_Risk'!$E$500:$E$923,0))*N($H495),0)</f>
        <v/>
      </c>
      <c r="L495">
        <f>IFERROR(MIN(5,$K495/MAX(1,'_CONFIG_Model_Settings'!$B$105)),0)</f>
        <v/>
      </c>
    </row>
    <row r="496">
      <c r="A496" t="inlineStr">
        <is>
          <t>INI-009</t>
        </is>
      </c>
      <c r="B496" t="inlineStr">
        <is>
          <t>Build integrated risk, continuity and resilience control cycle</t>
        </is>
      </c>
      <c r="C496" t="inlineStr">
        <is>
          <t>STR-14</t>
        </is>
      </c>
      <c r="D496" t="inlineStr">
        <is>
          <t>GOVE-009</t>
        </is>
      </c>
      <c r="E496" t="inlineStr">
        <is>
          <t>Governance Crisis</t>
        </is>
      </c>
      <c r="F496" t="inlineStr">
        <is>
          <t>Risk and continuity</t>
        </is>
      </c>
      <c r="G496">
        <f>IFERROR(INDEX('_ENGINE_Risk'!$BS$500:$BS$923,MATCH($D496,'_ENGINE_Risk'!$E$500:$E$923,0)),0)</f>
        <v/>
      </c>
      <c r="H496" t="n">
        <v>1</v>
      </c>
      <c r="I496">
        <f>IFERROR(MAX(0,5-INDEX('_ENGINE_Risk'!$H$500:$H$923,MATCH($D496,'_ENGINE_Risk'!$E$500:$E$923,0))),0)</f>
        <v/>
      </c>
      <c r="J496" t="inlineStr">
        <is>
          <t>P1 many-to-many coverage row</t>
        </is>
      </c>
      <c r="K496">
        <f>IFERROR(INDEX('_ENGINE_Risk'!$BI$500:$BI$923,MATCH($D496,'_ENGINE_Risk'!$E$500:$E$923,0))*N($H496),0)</f>
        <v/>
      </c>
      <c r="L496">
        <f>IFERROR(MIN(5,$K496/MAX(1,'_CONFIG_Model_Settings'!$B$105)),0)</f>
        <v/>
      </c>
    </row>
    <row r="497">
      <c r="A497" t="inlineStr">
        <is>
          <t>INI-009</t>
        </is>
      </c>
      <c r="B497" t="inlineStr">
        <is>
          <t>Build integrated risk, continuity and resilience control cycle</t>
        </is>
      </c>
      <c r="C497" t="inlineStr">
        <is>
          <t>STR-14</t>
        </is>
      </c>
      <c r="D497" t="inlineStr">
        <is>
          <t>GOVE-010</t>
        </is>
      </c>
      <c r="E497" t="inlineStr">
        <is>
          <t>Governance Crisis</t>
        </is>
      </c>
      <c r="F497" t="inlineStr">
        <is>
          <t>Risk and continuity</t>
        </is>
      </c>
      <c r="G497">
        <f>IFERROR(INDEX('_ENGINE_Risk'!$BS$500:$BS$923,MATCH($D497,'_ENGINE_Risk'!$E$500:$E$923,0)),0)</f>
        <v/>
      </c>
      <c r="H497" t="n">
        <v>1</v>
      </c>
      <c r="I497">
        <f>IFERROR(MAX(0,5-INDEX('_ENGINE_Risk'!$H$500:$H$923,MATCH($D497,'_ENGINE_Risk'!$E$500:$E$923,0))),0)</f>
        <v/>
      </c>
      <c r="J497" t="inlineStr">
        <is>
          <t>P1 many-to-many coverage row</t>
        </is>
      </c>
      <c r="K497">
        <f>IFERROR(INDEX('_ENGINE_Risk'!$BI$500:$BI$923,MATCH($D497,'_ENGINE_Risk'!$E$500:$E$923,0))*N($H497),0)</f>
        <v/>
      </c>
      <c r="L497">
        <f>IFERROR(MIN(5,$K497/MAX(1,'_CONFIG_Model_Settings'!$B$105)),0)</f>
        <v/>
      </c>
    </row>
    <row r="498">
      <c r="A498" t="inlineStr">
        <is>
          <t>INI-009</t>
        </is>
      </c>
      <c r="B498" t="inlineStr">
        <is>
          <t>Build integrated risk, continuity and resilience control cycle</t>
        </is>
      </c>
      <c r="C498" t="inlineStr">
        <is>
          <t>STR-14</t>
        </is>
      </c>
      <c r="D498" t="inlineStr">
        <is>
          <t>GOVE-011</t>
        </is>
      </c>
      <c r="E498" t="inlineStr">
        <is>
          <t>Governance Crisis</t>
        </is>
      </c>
      <c r="F498" t="inlineStr">
        <is>
          <t>Risk and continuity</t>
        </is>
      </c>
      <c r="G498">
        <f>IFERROR(INDEX('_ENGINE_Risk'!$BS$500:$BS$923,MATCH($D498,'_ENGINE_Risk'!$E$500:$E$923,0)),0)</f>
        <v/>
      </c>
      <c r="H498" t="n">
        <v>1</v>
      </c>
      <c r="I498">
        <f>IFERROR(MAX(0,5-INDEX('_ENGINE_Risk'!$H$500:$H$923,MATCH($D498,'_ENGINE_Risk'!$E$500:$E$923,0))),0)</f>
        <v/>
      </c>
      <c r="J498" t="inlineStr">
        <is>
          <t>P1 many-to-many coverage row</t>
        </is>
      </c>
      <c r="K498">
        <f>IFERROR(INDEX('_ENGINE_Risk'!$BI$500:$BI$923,MATCH($D498,'_ENGINE_Risk'!$E$500:$E$923,0))*N($H498),0)</f>
        <v/>
      </c>
      <c r="L498">
        <f>IFERROR(MIN(5,$K498/MAX(1,'_CONFIG_Model_Settings'!$B$105)),0)</f>
        <v/>
      </c>
    </row>
    <row r="499">
      <c r="A499" t="inlineStr">
        <is>
          <t>INI-009</t>
        </is>
      </c>
      <c r="B499" t="inlineStr">
        <is>
          <t>Build integrated risk, continuity and resilience control cycle</t>
        </is>
      </c>
      <c r="C499" t="inlineStr">
        <is>
          <t>STR-14</t>
        </is>
      </c>
      <c r="D499" t="inlineStr">
        <is>
          <t>GOVE-012</t>
        </is>
      </c>
      <c r="E499" t="inlineStr">
        <is>
          <t>Governance Crisis</t>
        </is>
      </c>
      <c r="F499" t="inlineStr">
        <is>
          <t>Risk and continuity</t>
        </is>
      </c>
      <c r="G499">
        <f>IFERROR(INDEX('_ENGINE_Risk'!$BS$500:$BS$923,MATCH($D499,'_ENGINE_Risk'!$E$500:$E$923,0)),0)</f>
        <v/>
      </c>
      <c r="H499" t="n">
        <v>1</v>
      </c>
      <c r="I499">
        <f>IFERROR(MAX(0,5-INDEX('_ENGINE_Risk'!$H$500:$H$923,MATCH($D499,'_ENGINE_Risk'!$E$500:$E$923,0))),0)</f>
        <v/>
      </c>
      <c r="J499" t="inlineStr">
        <is>
          <t>P1 many-to-many coverage row</t>
        </is>
      </c>
      <c r="K499">
        <f>IFERROR(INDEX('_ENGINE_Risk'!$BI$500:$BI$923,MATCH($D499,'_ENGINE_Risk'!$E$500:$E$923,0))*N($H499),0)</f>
        <v/>
      </c>
      <c r="L499">
        <f>IFERROR(MIN(5,$K499/MAX(1,'_CONFIG_Model_Settings'!$B$105)),0)</f>
        <v/>
      </c>
    </row>
    <row r="500">
      <c r="A500" t="inlineStr">
        <is>
          <t>INI-009</t>
        </is>
      </c>
      <c r="B500" t="inlineStr">
        <is>
          <t>Build integrated risk, continuity and resilience control cycle</t>
        </is>
      </c>
      <c r="C500" t="inlineStr">
        <is>
          <t>STR-14</t>
        </is>
      </c>
      <c r="D500" t="inlineStr">
        <is>
          <t>GOVE-013</t>
        </is>
      </c>
      <c r="E500" t="inlineStr">
        <is>
          <t>Governance Crisis</t>
        </is>
      </c>
      <c r="F500" t="inlineStr">
        <is>
          <t>Risk and continuity</t>
        </is>
      </c>
      <c r="G500">
        <f>IFERROR(INDEX('_ENGINE_Risk'!$BS$500:$BS$923,MATCH($D500,'_ENGINE_Risk'!$E$500:$E$923,0)),0)</f>
        <v/>
      </c>
      <c r="H500" t="n">
        <v>1</v>
      </c>
      <c r="I500">
        <f>IFERROR(MAX(0,5-INDEX('_ENGINE_Risk'!$H$500:$H$923,MATCH($D500,'_ENGINE_Risk'!$E$500:$E$923,0))),0)</f>
        <v/>
      </c>
      <c r="J500" t="inlineStr">
        <is>
          <t>P1 many-to-many coverage row</t>
        </is>
      </c>
      <c r="K500">
        <f>IFERROR(INDEX('_ENGINE_Risk'!$BI$500:$BI$923,MATCH($D500,'_ENGINE_Risk'!$E$500:$E$923,0))*N($H500),0)</f>
        <v/>
      </c>
      <c r="L500">
        <f>IFERROR(MIN(5,$K500/MAX(1,'_CONFIG_Model_Settings'!$B$105)),0)</f>
        <v/>
      </c>
    </row>
    <row r="501">
      <c r="A501" t="inlineStr">
        <is>
          <t>INI-010</t>
        </is>
      </c>
      <c r="B501" t="inlineStr">
        <is>
          <t>Implement incident command, escalation and after-action review</t>
        </is>
      </c>
      <c r="C501" t="inlineStr">
        <is>
          <t>STR-14</t>
        </is>
      </c>
      <c r="D501" t="inlineStr">
        <is>
          <t>GOVE-014</t>
        </is>
      </c>
      <c r="E501" t="inlineStr">
        <is>
          <t>Governance Crisis</t>
        </is>
      </c>
      <c r="F501" t="inlineStr">
        <is>
          <t>Incident management</t>
        </is>
      </c>
      <c r="G501">
        <f>IFERROR(INDEX('_ENGINE_Risk'!$BS$500:$BS$923,MATCH($D501,'_ENGINE_Risk'!$E$500:$E$923,0)),0)</f>
        <v/>
      </c>
      <c r="H501" t="n">
        <v>1</v>
      </c>
      <c r="I501">
        <f>IFERROR(MAX(0,5-INDEX('_ENGINE_Risk'!$H$500:$H$923,MATCH($D501,'_ENGINE_Risk'!$E$500:$E$923,0))),0)</f>
        <v/>
      </c>
      <c r="J501" t="inlineStr">
        <is>
          <t>P1 many-to-many coverage row</t>
        </is>
      </c>
      <c r="K501">
        <f>IFERROR(INDEX('_ENGINE_Risk'!$BI$500:$BI$923,MATCH($D501,'_ENGINE_Risk'!$E$500:$E$923,0))*N($H501),0)</f>
        <v/>
      </c>
      <c r="L501">
        <f>IFERROR(MIN(5,$K501/MAX(1,'_CONFIG_Model_Settings'!$B$105)),0)</f>
        <v/>
      </c>
    </row>
    <row r="502">
      <c r="A502" t="inlineStr">
        <is>
          <t>INI-010</t>
        </is>
      </c>
      <c r="B502" t="inlineStr">
        <is>
          <t>Implement incident command, escalation and after-action review</t>
        </is>
      </c>
      <c r="C502" t="inlineStr">
        <is>
          <t>STR-14</t>
        </is>
      </c>
      <c r="D502" t="inlineStr">
        <is>
          <t>GOVE-015</t>
        </is>
      </c>
      <c r="E502" t="inlineStr">
        <is>
          <t>Governance Crisis</t>
        </is>
      </c>
      <c r="F502" t="inlineStr">
        <is>
          <t>Incident management</t>
        </is>
      </c>
      <c r="G502">
        <f>IFERROR(INDEX('_ENGINE_Risk'!$BS$500:$BS$923,MATCH($D502,'_ENGINE_Risk'!$E$500:$E$923,0)),0)</f>
        <v/>
      </c>
      <c r="H502" t="n">
        <v>1</v>
      </c>
      <c r="I502">
        <f>IFERROR(MAX(0,5-INDEX('_ENGINE_Risk'!$H$500:$H$923,MATCH($D502,'_ENGINE_Risk'!$E$500:$E$923,0))),0)</f>
        <v/>
      </c>
      <c r="J502" t="inlineStr">
        <is>
          <t>P1 many-to-many coverage row</t>
        </is>
      </c>
      <c r="K502">
        <f>IFERROR(INDEX('_ENGINE_Risk'!$BI$500:$BI$923,MATCH($D502,'_ENGINE_Risk'!$E$500:$E$923,0))*N($H502),0)</f>
        <v/>
      </c>
      <c r="L502">
        <f>IFERROR(MIN(5,$K502/MAX(1,'_CONFIG_Model_Settings'!$B$105)),0)</f>
        <v/>
      </c>
    </row>
    <row r="503">
      <c r="A503" t="inlineStr">
        <is>
          <t>INI-010</t>
        </is>
      </c>
      <c r="B503" t="inlineStr">
        <is>
          <t>Implement incident command, escalation and after-action review</t>
        </is>
      </c>
      <c r="C503" t="inlineStr">
        <is>
          <t>STR-14</t>
        </is>
      </c>
      <c r="D503" t="inlineStr">
        <is>
          <t>GOVE-016</t>
        </is>
      </c>
      <c r="E503" t="inlineStr">
        <is>
          <t>Governance Crisis</t>
        </is>
      </c>
      <c r="F503" t="inlineStr">
        <is>
          <t>Incident management</t>
        </is>
      </c>
      <c r="G503">
        <f>IFERROR(INDEX('_ENGINE_Risk'!$BS$500:$BS$923,MATCH($D503,'_ENGINE_Risk'!$E$500:$E$923,0)),0)</f>
        <v/>
      </c>
      <c r="H503" t="n">
        <v>1</v>
      </c>
      <c r="I503">
        <f>IFERROR(MAX(0,5-INDEX('_ENGINE_Risk'!$H$500:$H$923,MATCH($D503,'_ENGINE_Risk'!$E$500:$E$923,0))),0)</f>
        <v/>
      </c>
      <c r="J503" t="inlineStr">
        <is>
          <t>P1 many-to-many coverage row</t>
        </is>
      </c>
      <c r="K503">
        <f>IFERROR(INDEX('_ENGINE_Risk'!$BI$500:$BI$923,MATCH($D503,'_ENGINE_Risk'!$E$500:$E$923,0))*N($H503),0)</f>
        <v/>
      </c>
      <c r="L503">
        <f>IFERROR(MIN(5,$K503/MAX(1,'_CONFIG_Model_Settings'!$B$105)),0)</f>
        <v/>
      </c>
    </row>
    <row r="504">
      <c r="A504" t="inlineStr">
        <is>
          <t>INI-010</t>
        </is>
      </c>
      <c r="B504" t="inlineStr">
        <is>
          <t>Implement incident command, escalation and after-action review</t>
        </is>
      </c>
      <c r="C504" t="inlineStr">
        <is>
          <t>STR-14</t>
        </is>
      </c>
      <c r="D504" t="inlineStr">
        <is>
          <t>GOVE-017</t>
        </is>
      </c>
      <c r="E504" t="inlineStr">
        <is>
          <t>Governance Crisis</t>
        </is>
      </c>
      <c r="F504" t="inlineStr">
        <is>
          <t>Incident management</t>
        </is>
      </c>
      <c r="G504">
        <f>IFERROR(INDEX('_ENGINE_Risk'!$BS$500:$BS$923,MATCH($D504,'_ENGINE_Risk'!$E$500:$E$923,0)),0)</f>
        <v/>
      </c>
      <c r="H504" t="n">
        <v>1</v>
      </c>
      <c r="I504">
        <f>IFERROR(MAX(0,5-INDEX('_ENGINE_Risk'!$H$500:$H$923,MATCH($D504,'_ENGINE_Risk'!$E$500:$E$923,0))),0)</f>
        <v/>
      </c>
      <c r="J504" t="inlineStr">
        <is>
          <t>P1 many-to-many coverage row</t>
        </is>
      </c>
      <c r="K504">
        <f>IFERROR(INDEX('_ENGINE_Risk'!$BI$500:$BI$923,MATCH($D504,'_ENGINE_Risk'!$E$500:$E$923,0))*N($H504),0)</f>
        <v/>
      </c>
      <c r="L504">
        <f>IFERROR(MIN(5,$K504/MAX(1,'_CONFIG_Model_Settings'!$B$105)),0)</f>
        <v/>
      </c>
    </row>
    <row r="505">
      <c r="A505" t="inlineStr">
        <is>
          <t>INI-010</t>
        </is>
      </c>
      <c r="B505" t="inlineStr">
        <is>
          <t>Implement incident command, escalation and after-action review</t>
        </is>
      </c>
      <c r="C505" t="inlineStr">
        <is>
          <t>STR-14</t>
        </is>
      </c>
      <c r="D505" t="inlineStr">
        <is>
          <t>GOVE-018</t>
        </is>
      </c>
      <c r="E505" t="inlineStr">
        <is>
          <t>Governance Crisis</t>
        </is>
      </c>
      <c r="F505" t="inlineStr">
        <is>
          <t>Incident management</t>
        </is>
      </c>
      <c r="G505">
        <f>IFERROR(INDEX('_ENGINE_Risk'!$BS$500:$BS$923,MATCH($D505,'_ENGINE_Risk'!$E$500:$E$923,0)),0)</f>
        <v/>
      </c>
      <c r="H505" t="n">
        <v>1</v>
      </c>
      <c r="I505">
        <f>IFERROR(MAX(0,5-INDEX('_ENGINE_Risk'!$H$500:$H$923,MATCH($D505,'_ENGINE_Risk'!$E$500:$E$923,0))),0)</f>
        <v/>
      </c>
      <c r="J505" t="inlineStr">
        <is>
          <t>P1 many-to-many coverage row</t>
        </is>
      </c>
      <c r="K505">
        <f>IFERROR(INDEX('_ENGINE_Risk'!$BI$500:$BI$923,MATCH($D505,'_ENGINE_Risk'!$E$500:$E$923,0))*N($H505),0)</f>
        <v/>
      </c>
      <c r="L505">
        <f>IFERROR(MIN(5,$K505/MAX(1,'_CONFIG_Model_Settings'!$B$105)),0)</f>
        <v/>
      </c>
    </row>
    <row r="506">
      <c r="A506" t="inlineStr">
        <is>
          <t>INI-010</t>
        </is>
      </c>
      <c r="B506" t="inlineStr">
        <is>
          <t>Implement incident command, escalation and after-action review</t>
        </is>
      </c>
      <c r="C506" t="inlineStr">
        <is>
          <t>STR-14</t>
        </is>
      </c>
      <c r="D506" t="inlineStr">
        <is>
          <t>GOVE-019</t>
        </is>
      </c>
      <c r="E506" t="inlineStr">
        <is>
          <t>Governance Crisis</t>
        </is>
      </c>
      <c r="F506" t="inlineStr">
        <is>
          <t>Incident management</t>
        </is>
      </c>
      <c r="G506">
        <f>IFERROR(INDEX('_ENGINE_Risk'!$BS$500:$BS$923,MATCH($D506,'_ENGINE_Risk'!$E$500:$E$923,0)),0)</f>
        <v/>
      </c>
      <c r="H506" t="n">
        <v>1</v>
      </c>
      <c r="I506">
        <f>IFERROR(MAX(0,5-INDEX('_ENGINE_Risk'!$H$500:$H$923,MATCH($D506,'_ENGINE_Risk'!$E$500:$E$923,0))),0)</f>
        <v/>
      </c>
      <c r="J506" t="inlineStr">
        <is>
          <t>P1 many-to-many coverage row</t>
        </is>
      </c>
      <c r="K506">
        <f>IFERROR(INDEX('_ENGINE_Risk'!$BI$500:$BI$923,MATCH($D506,'_ENGINE_Risk'!$E$500:$E$923,0))*N($H506),0)</f>
        <v/>
      </c>
      <c r="L506">
        <f>IFERROR(MIN(5,$K506/MAX(1,'_CONFIG_Model_Settings'!$B$105)),0)</f>
        <v/>
      </c>
    </row>
    <row r="507">
      <c r="A507" t="inlineStr">
        <is>
          <t>INI-011</t>
        </is>
      </c>
      <c r="B507" t="inlineStr">
        <is>
          <t>Create workforce visibility, critical-role and location dashboard</t>
        </is>
      </c>
      <c r="C507" t="inlineStr">
        <is>
          <t>STR-06</t>
        </is>
      </c>
      <c r="D507" t="inlineStr">
        <is>
          <t>HRWO-001</t>
        </is>
      </c>
      <c r="E507" t="inlineStr">
        <is>
          <t>HR Workforce</t>
        </is>
      </c>
      <c r="F507" t="inlineStr">
        <is>
          <t>Workforce visibility</t>
        </is>
      </c>
      <c r="G507">
        <f>IFERROR(INDEX('_ENGINE_Risk'!$BS$500:$BS$923,MATCH($D507,'_ENGINE_Risk'!$E$500:$E$923,0)),0)</f>
        <v/>
      </c>
      <c r="H507" t="n">
        <v>1</v>
      </c>
      <c r="I507">
        <f>IFERROR(MAX(0,5-INDEX('_ENGINE_Risk'!$H$500:$H$923,MATCH($D507,'_ENGINE_Risk'!$E$500:$E$923,0))),0)</f>
        <v/>
      </c>
      <c r="J507" t="inlineStr">
        <is>
          <t>P1 many-to-many coverage row</t>
        </is>
      </c>
      <c r="K507">
        <f>IFERROR(INDEX('_ENGINE_Risk'!$BI$500:$BI$923,MATCH($D507,'_ENGINE_Risk'!$E$500:$E$923,0))*N($H507),0)</f>
        <v/>
      </c>
      <c r="L507">
        <f>IFERROR(MIN(5,$K507/MAX(1,'_CONFIG_Model_Settings'!$B$105)),0)</f>
        <v/>
      </c>
    </row>
    <row r="508">
      <c r="A508" t="inlineStr">
        <is>
          <t>INI-011</t>
        </is>
      </c>
      <c r="B508" t="inlineStr">
        <is>
          <t>Create workforce visibility, critical-role and location dashboard</t>
        </is>
      </c>
      <c r="C508" t="inlineStr">
        <is>
          <t>STR-06</t>
        </is>
      </c>
      <c r="D508" t="inlineStr">
        <is>
          <t>HRWO-002</t>
        </is>
      </c>
      <c r="E508" t="inlineStr">
        <is>
          <t>HR Workforce</t>
        </is>
      </c>
      <c r="F508" t="inlineStr">
        <is>
          <t>Workforce visibility</t>
        </is>
      </c>
      <c r="G508">
        <f>IFERROR(INDEX('_ENGINE_Risk'!$BS$500:$BS$923,MATCH($D508,'_ENGINE_Risk'!$E$500:$E$923,0)),0)</f>
        <v/>
      </c>
      <c r="H508" t="n">
        <v>1</v>
      </c>
      <c r="I508">
        <f>IFERROR(MAX(0,5-INDEX('_ENGINE_Risk'!$H$500:$H$923,MATCH($D508,'_ENGINE_Risk'!$E$500:$E$923,0))),0)</f>
        <v/>
      </c>
      <c r="J508" t="inlineStr">
        <is>
          <t>P1 many-to-many coverage row</t>
        </is>
      </c>
      <c r="K508">
        <f>IFERROR(INDEX('_ENGINE_Risk'!$BI$500:$BI$923,MATCH($D508,'_ENGINE_Risk'!$E$500:$E$923,0))*N($H508),0)</f>
        <v/>
      </c>
      <c r="L508">
        <f>IFERROR(MIN(5,$K508/MAX(1,'_CONFIG_Model_Settings'!$B$105)),0)</f>
        <v/>
      </c>
    </row>
    <row r="509">
      <c r="A509" t="inlineStr">
        <is>
          <t>INI-011</t>
        </is>
      </c>
      <c r="B509" t="inlineStr">
        <is>
          <t>Create workforce visibility, critical-role and location dashboard</t>
        </is>
      </c>
      <c r="C509" t="inlineStr">
        <is>
          <t>STR-06</t>
        </is>
      </c>
      <c r="D509" t="inlineStr">
        <is>
          <t>HRWO-003</t>
        </is>
      </c>
      <c r="E509" t="inlineStr">
        <is>
          <t>HR Workforce</t>
        </is>
      </c>
      <c r="F509" t="inlineStr">
        <is>
          <t>Workforce visibility</t>
        </is>
      </c>
      <c r="G509">
        <f>IFERROR(INDEX('_ENGINE_Risk'!$BS$500:$BS$923,MATCH($D509,'_ENGINE_Risk'!$E$500:$E$923,0)),0)</f>
        <v/>
      </c>
      <c r="H509" t="n">
        <v>1</v>
      </c>
      <c r="I509">
        <f>IFERROR(MAX(0,5-INDEX('_ENGINE_Risk'!$H$500:$H$923,MATCH($D509,'_ENGINE_Risk'!$E$500:$E$923,0))),0)</f>
        <v/>
      </c>
      <c r="J509" t="inlineStr">
        <is>
          <t>P1 many-to-many coverage row</t>
        </is>
      </c>
      <c r="K509">
        <f>IFERROR(INDEX('_ENGINE_Risk'!$BI$500:$BI$923,MATCH($D509,'_ENGINE_Risk'!$E$500:$E$923,0))*N($H509),0)</f>
        <v/>
      </c>
      <c r="L509">
        <f>IFERROR(MIN(5,$K509/MAX(1,'_CONFIG_Model_Settings'!$B$105)),0)</f>
        <v/>
      </c>
    </row>
    <row r="510">
      <c r="A510" t="inlineStr">
        <is>
          <t>INI-011</t>
        </is>
      </c>
      <c r="B510" t="inlineStr">
        <is>
          <t>Create workforce visibility, critical-role and location dashboard</t>
        </is>
      </c>
      <c r="C510" t="inlineStr">
        <is>
          <t>STR-06</t>
        </is>
      </c>
      <c r="D510" t="inlineStr">
        <is>
          <t>HRWO-004</t>
        </is>
      </c>
      <c r="E510" t="inlineStr">
        <is>
          <t>HR Workforce</t>
        </is>
      </c>
      <c r="F510" t="inlineStr">
        <is>
          <t>Workforce visibility</t>
        </is>
      </c>
      <c r="G510">
        <f>IFERROR(INDEX('_ENGINE_Risk'!$BS$500:$BS$923,MATCH($D510,'_ENGINE_Risk'!$E$500:$E$923,0)),0)</f>
        <v/>
      </c>
      <c r="H510" t="n">
        <v>1</v>
      </c>
      <c r="I510">
        <f>IFERROR(MAX(0,5-INDEX('_ENGINE_Risk'!$H$500:$H$923,MATCH($D510,'_ENGINE_Risk'!$E$500:$E$923,0))),0)</f>
        <v/>
      </c>
      <c r="J510" t="inlineStr">
        <is>
          <t>P1 many-to-many coverage row</t>
        </is>
      </c>
      <c r="K510">
        <f>IFERROR(INDEX('_ENGINE_Risk'!$BI$500:$BI$923,MATCH($D510,'_ENGINE_Risk'!$E$500:$E$923,0))*N($H510),0)</f>
        <v/>
      </c>
      <c r="L510">
        <f>IFERROR(MIN(5,$K510/MAX(1,'_CONFIG_Model_Settings'!$B$105)),0)</f>
        <v/>
      </c>
    </row>
    <row r="511">
      <c r="A511" t="inlineStr">
        <is>
          <t>INI-011</t>
        </is>
      </c>
      <c r="B511" t="inlineStr">
        <is>
          <t>Create workforce visibility, critical-role and location dashboard</t>
        </is>
      </c>
      <c r="C511" t="inlineStr">
        <is>
          <t>STR-06</t>
        </is>
      </c>
      <c r="D511" t="inlineStr">
        <is>
          <t>HRWO-005</t>
        </is>
      </c>
      <c r="E511" t="inlineStr">
        <is>
          <t>HR Workforce</t>
        </is>
      </c>
      <c r="F511" t="inlineStr">
        <is>
          <t>Workforce visibility</t>
        </is>
      </c>
      <c r="G511">
        <f>IFERROR(INDEX('_ENGINE_Risk'!$BS$500:$BS$923,MATCH($D511,'_ENGINE_Risk'!$E$500:$E$923,0)),0)</f>
        <v/>
      </c>
      <c r="H511" t="n">
        <v>1</v>
      </c>
      <c r="I511">
        <f>IFERROR(MAX(0,5-INDEX('_ENGINE_Risk'!$H$500:$H$923,MATCH($D511,'_ENGINE_Risk'!$E$500:$E$923,0))),0)</f>
        <v/>
      </c>
      <c r="J511" t="inlineStr">
        <is>
          <t>P1 many-to-many coverage row</t>
        </is>
      </c>
      <c r="K511">
        <f>IFERROR(INDEX('_ENGINE_Risk'!$BI$500:$BI$923,MATCH($D511,'_ENGINE_Risk'!$E$500:$E$923,0))*N($H511),0)</f>
        <v/>
      </c>
      <c r="L511">
        <f>IFERROR(MIN(5,$K511/MAX(1,'_CONFIG_Model_Settings'!$B$105)),0)</f>
        <v/>
      </c>
    </row>
    <row r="512">
      <c r="A512" t="inlineStr">
        <is>
          <t>INI-011</t>
        </is>
      </c>
      <c r="B512" t="inlineStr">
        <is>
          <t>Create workforce visibility, critical-role and location dashboard</t>
        </is>
      </c>
      <c r="C512" t="inlineStr">
        <is>
          <t>STR-06</t>
        </is>
      </c>
      <c r="D512" t="inlineStr">
        <is>
          <t>HRWO-006</t>
        </is>
      </c>
      <c r="E512" t="inlineStr">
        <is>
          <t>HR Workforce</t>
        </is>
      </c>
      <c r="F512" t="inlineStr">
        <is>
          <t>Workforce visibility</t>
        </is>
      </c>
      <c r="G512">
        <f>IFERROR(INDEX('_ENGINE_Risk'!$BS$500:$BS$923,MATCH($D512,'_ENGINE_Risk'!$E$500:$E$923,0)),0)</f>
        <v/>
      </c>
      <c r="H512" t="n">
        <v>1</v>
      </c>
      <c r="I512">
        <f>IFERROR(MAX(0,5-INDEX('_ENGINE_Risk'!$H$500:$H$923,MATCH($D512,'_ENGINE_Risk'!$E$500:$E$923,0))),0)</f>
        <v/>
      </c>
      <c r="J512" t="inlineStr">
        <is>
          <t>P1 many-to-many coverage row</t>
        </is>
      </c>
      <c r="K512">
        <f>IFERROR(INDEX('_ENGINE_Risk'!$BI$500:$BI$923,MATCH($D512,'_ENGINE_Risk'!$E$500:$E$923,0))*N($H512),0)</f>
        <v/>
      </c>
      <c r="L512">
        <f>IFERROR(MIN(5,$K512/MAX(1,'_CONFIG_Model_Settings'!$B$105)),0)</f>
        <v/>
      </c>
    </row>
    <row r="513">
      <c r="A513" t="inlineStr">
        <is>
          <t>INI-012</t>
        </is>
      </c>
      <c r="B513" t="inlineStr">
        <is>
          <t>Build recruitment, retention and succession resilience plan</t>
        </is>
      </c>
      <c r="C513" t="inlineStr">
        <is>
          <t>STR-06</t>
        </is>
      </c>
      <c r="D513" t="inlineStr">
        <is>
          <t>HRWO-007</t>
        </is>
      </c>
      <c r="E513" t="inlineStr">
        <is>
          <t>HR Workforce</t>
        </is>
      </c>
      <c r="F513" t="inlineStr">
        <is>
          <t>Recruitment and retention</t>
        </is>
      </c>
      <c r="G513">
        <f>IFERROR(INDEX('_ENGINE_Risk'!$BS$500:$BS$923,MATCH($D513,'_ENGINE_Risk'!$E$500:$E$923,0)),0)</f>
        <v/>
      </c>
      <c r="H513" t="n">
        <v>1</v>
      </c>
      <c r="I513">
        <f>IFERROR(MAX(0,5-INDEX('_ENGINE_Risk'!$H$500:$H$923,MATCH($D513,'_ENGINE_Risk'!$E$500:$E$923,0))),0)</f>
        <v/>
      </c>
      <c r="J513" t="inlineStr">
        <is>
          <t>P1 many-to-many coverage row</t>
        </is>
      </c>
      <c r="K513">
        <f>IFERROR(INDEX('_ENGINE_Risk'!$BI$500:$BI$923,MATCH($D513,'_ENGINE_Risk'!$E$500:$E$923,0))*N($H513),0)</f>
        <v/>
      </c>
      <c r="L513">
        <f>IFERROR(MIN(5,$K513/MAX(1,'_CONFIG_Model_Settings'!$B$105)),0)</f>
        <v/>
      </c>
    </row>
    <row r="514">
      <c r="A514" t="inlineStr">
        <is>
          <t>INI-012</t>
        </is>
      </c>
      <c r="B514" t="inlineStr">
        <is>
          <t>Build recruitment, retention and succession resilience plan</t>
        </is>
      </c>
      <c r="C514" t="inlineStr">
        <is>
          <t>STR-06</t>
        </is>
      </c>
      <c r="D514" t="inlineStr">
        <is>
          <t>HRWO-008</t>
        </is>
      </c>
      <c r="E514" t="inlineStr">
        <is>
          <t>HR Workforce</t>
        </is>
      </c>
      <c r="F514" t="inlineStr">
        <is>
          <t>Recruitment and retention</t>
        </is>
      </c>
      <c r="G514">
        <f>IFERROR(INDEX('_ENGINE_Risk'!$BS$500:$BS$923,MATCH($D514,'_ENGINE_Risk'!$E$500:$E$923,0)),0)</f>
        <v/>
      </c>
      <c r="H514" t="n">
        <v>1</v>
      </c>
      <c r="I514">
        <f>IFERROR(MAX(0,5-INDEX('_ENGINE_Risk'!$H$500:$H$923,MATCH($D514,'_ENGINE_Risk'!$E$500:$E$923,0))),0)</f>
        <v/>
      </c>
      <c r="J514" t="inlineStr">
        <is>
          <t>P1 many-to-many coverage row</t>
        </is>
      </c>
      <c r="K514">
        <f>IFERROR(INDEX('_ENGINE_Risk'!$BI$500:$BI$923,MATCH($D514,'_ENGINE_Risk'!$E$500:$E$923,0))*N($H514),0)</f>
        <v/>
      </c>
      <c r="L514">
        <f>IFERROR(MIN(5,$K514/MAX(1,'_CONFIG_Model_Settings'!$B$105)),0)</f>
        <v/>
      </c>
    </row>
    <row r="515">
      <c r="A515" t="inlineStr">
        <is>
          <t>INI-012</t>
        </is>
      </c>
      <c r="B515" t="inlineStr">
        <is>
          <t>Build recruitment, retention and succession resilience plan</t>
        </is>
      </c>
      <c r="C515" t="inlineStr">
        <is>
          <t>STR-06</t>
        </is>
      </c>
      <c r="D515" t="inlineStr">
        <is>
          <t>HRWO-009</t>
        </is>
      </c>
      <c r="E515" t="inlineStr">
        <is>
          <t>HR Workforce</t>
        </is>
      </c>
      <c r="F515" t="inlineStr">
        <is>
          <t>Recruitment and retention</t>
        </is>
      </c>
      <c r="G515">
        <f>IFERROR(INDEX('_ENGINE_Risk'!$BS$500:$BS$923,MATCH($D515,'_ENGINE_Risk'!$E$500:$E$923,0)),0)</f>
        <v/>
      </c>
      <c r="H515" t="n">
        <v>1</v>
      </c>
      <c r="I515">
        <f>IFERROR(MAX(0,5-INDEX('_ENGINE_Risk'!$H$500:$H$923,MATCH($D515,'_ENGINE_Risk'!$E$500:$E$923,0))),0)</f>
        <v/>
      </c>
      <c r="J515" t="inlineStr">
        <is>
          <t>P1 many-to-many coverage row</t>
        </is>
      </c>
      <c r="K515">
        <f>IFERROR(INDEX('_ENGINE_Risk'!$BI$500:$BI$923,MATCH($D515,'_ENGINE_Risk'!$E$500:$E$923,0))*N($H515),0)</f>
        <v/>
      </c>
      <c r="L515">
        <f>IFERROR(MIN(5,$K515/MAX(1,'_CONFIG_Model_Settings'!$B$105)),0)</f>
        <v/>
      </c>
    </row>
    <row r="516">
      <c r="A516" t="inlineStr">
        <is>
          <t>INI-012</t>
        </is>
      </c>
      <c r="B516" t="inlineStr">
        <is>
          <t>Build recruitment, retention and succession resilience plan</t>
        </is>
      </c>
      <c r="C516" t="inlineStr">
        <is>
          <t>STR-06</t>
        </is>
      </c>
      <c r="D516" t="inlineStr">
        <is>
          <t>HRWO-010</t>
        </is>
      </c>
      <c r="E516" t="inlineStr">
        <is>
          <t>HR Workforce</t>
        </is>
      </c>
      <c r="F516" t="inlineStr">
        <is>
          <t>Recruitment and retention</t>
        </is>
      </c>
      <c r="G516">
        <f>IFERROR(INDEX('_ENGINE_Risk'!$BS$500:$BS$923,MATCH($D516,'_ENGINE_Risk'!$E$500:$E$923,0)),0)</f>
        <v/>
      </c>
      <c r="H516" t="n">
        <v>1</v>
      </c>
      <c r="I516">
        <f>IFERROR(MAX(0,5-INDEX('_ENGINE_Risk'!$H$500:$H$923,MATCH($D516,'_ENGINE_Risk'!$E$500:$E$923,0))),0)</f>
        <v/>
      </c>
      <c r="J516" t="inlineStr">
        <is>
          <t>P1 many-to-many coverage row</t>
        </is>
      </c>
      <c r="K516">
        <f>IFERROR(INDEX('_ENGINE_Risk'!$BI$500:$BI$923,MATCH($D516,'_ENGINE_Risk'!$E$500:$E$923,0))*N($H516),0)</f>
        <v/>
      </c>
      <c r="L516">
        <f>IFERROR(MIN(5,$K516/MAX(1,'_CONFIG_Model_Settings'!$B$105)),0)</f>
        <v/>
      </c>
    </row>
    <row r="517">
      <c r="A517" t="inlineStr">
        <is>
          <t>INI-012</t>
        </is>
      </c>
      <c r="B517" t="inlineStr">
        <is>
          <t>Build recruitment, retention and succession resilience plan</t>
        </is>
      </c>
      <c r="C517" t="inlineStr">
        <is>
          <t>STR-06</t>
        </is>
      </c>
      <c r="D517" t="inlineStr">
        <is>
          <t>HRWO-011</t>
        </is>
      </c>
      <c r="E517" t="inlineStr">
        <is>
          <t>HR Workforce</t>
        </is>
      </c>
      <c r="F517" t="inlineStr">
        <is>
          <t>Recruitment and retention</t>
        </is>
      </c>
      <c r="G517">
        <f>IFERROR(INDEX('_ENGINE_Risk'!$BS$500:$BS$923,MATCH($D517,'_ENGINE_Risk'!$E$500:$E$923,0)),0)</f>
        <v/>
      </c>
      <c r="H517" t="n">
        <v>1</v>
      </c>
      <c r="I517">
        <f>IFERROR(MAX(0,5-INDEX('_ENGINE_Risk'!$H$500:$H$923,MATCH($D517,'_ENGINE_Risk'!$E$500:$E$923,0))),0)</f>
        <v/>
      </c>
      <c r="J517" t="inlineStr">
        <is>
          <t>P1 many-to-many coverage row</t>
        </is>
      </c>
      <c r="K517">
        <f>IFERROR(INDEX('_ENGINE_Risk'!$BI$500:$BI$923,MATCH($D517,'_ENGINE_Risk'!$E$500:$E$923,0))*N($H517),0)</f>
        <v/>
      </c>
      <c r="L517">
        <f>IFERROR(MIN(5,$K517/MAX(1,'_CONFIG_Model_Settings'!$B$105)),0)</f>
        <v/>
      </c>
    </row>
    <row r="518">
      <c r="A518" t="inlineStr">
        <is>
          <t>INI-012</t>
        </is>
      </c>
      <c r="B518" t="inlineStr">
        <is>
          <t>Build recruitment, retention and succession resilience plan</t>
        </is>
      </c>
      <c r="C518" t="inlineStr">
        <is>
          <t>STR-06</t>
        </is>
      </c>
      <c r="D518" t="inlineStr">
        <is>
          <t>HRWO-012</t>
        </is>
      </c>
      <c r="E518" t="inlineStr">
        <is>
          <t>HR Workforce</t>
        </is>
      </c>
      <c r="F518" t="inlineStr">
        <is>
          <t>Recruitment and retention</t>
        </is>
      </c>
      <c r="G518">
        <f>IFERROR(INDEX('_ENGINE_Risk'!$BS$500:$BS$923,MATCH($D518,'_ENGINE_Risk'!$E$500:$E$923,0)),0)</f>
        <v/>
      </c>
      <c r="H518" t="n">
        <v>1</v>
      </c>
      <c r="I518">
        <f>IFERROR(MAX(0,5-INDEX('_ENGINE_Risk'!$H$500:$H$923,MATCH($D518,'_ENGINE_Risk'!$E$500:$E$923,0))),0)</f>
        <v/>
      </c>
      <c r="J518" t="inlineStr">
        <is>
          <t>P1 many-to-many coverage row</t>
        </is>
      </c>
      <c r="K518">
        <f>IFERROR(INDEX('_ENGINE_Risk'!$BI$500:$BI$923,MATCH($D518,'_ENGINE_Risk'!$E$500:$E$923,0))*N($H518),0)</f>
        <v/>
      </c>
      <c r="L518">
        <f>IFERROR(MIN(5,$K518/MAX(1,'_CONFIG_Model_Settings'!$B$105)),0)</f>
        <v/>
      </c>
    </row>
    <row r="519">
      <c r="A519" t="inlineStr">
        <is>
          <t>INI-013</t>
        </is>
      </c>
      <c r="B519" t="inlineStr">
        <is>
          <t>Implement workforce continuity, wellbeing and availability playbook</t>
        </is>
      </c>
      <c r="C519" t="inlineStr">
        <is>
          <t>STR-06</t>
        </is>
      </c>
      <c r="D519" t="inlineStr">
        <is>
          <t>HRWO-013</t>
        </is>
      </c>
      <c r="E519" t="inlineStr">
        <is>
          <t>HR Workforce</t>
        </is>
      </c>
      <c r="F519" t="inlineStr">
        <is>
          <t>Continuity and wellbeing</t>
        </is>
      </c>
      <c r="G519">
        <f>IFERROR(INDEX('_ENGINE_Risk'!$BS$500:$BS$923,MATCH($D519,'_ENGINE_Risk'!$E$500:$E$923,0)),0)</f>
        <v/>
      </c>
      <c r="H519" t="n">
        <v>1</v>
      </c>
      <c r="I519">
        <f>IFERROR(MAX(0,5-INDEX('_ENGINE_Risk'!$H$500:$H$923,MATCH($D519,'_ENGINE_Risk'!$E$500:$E$923,0))),0)</f>
        <v/>
      </c>
      <c r="J519" t="inlineStr">
        <is>
          <t>P1 many-to-many coverage row</t>
        </is>
      </c>
      <c r="K519">
        <f>IFERROR(INDEX('_ENGINE_Risk'!$BI$500:$BI$923,MATCH($D519,'_ENGINE_Risk'!$E$500:$E$923,0))*N($H519),0)</f>
        <v/>
      </c>
      <c r="L519">
        <f>IFERROR(MIN(5,$K519/MAX(1,'_CONFIG_Model_Settings'!$B$105)),0)</f>
        <v/>
      </c>
    </row>
    <row r="520">
      <c r="A520" t="inlineStr">
        <is>
          <t>INI-013</t>
        </is>
      </c>
      <c r="B520" t="inlineStr">
        <is>
          <t>Implement workforce continuity, wellbeing and availability playbook</t>
        </is>
      </c>
      <c r="C520" t="inlineStr">
        <is>
          <t>STR-06</t>
        </is>
      </c>
      <c r="D520" t="inlineStr">
        <is>
          <t>HRWO-014</t>
        </is>
      </c>
      <c r="E520" t="inlineStr">
        <is>
          <t>HR Workforce</t>
        </is>
      </c>
      <c r="F520" t="inlineStr">
        <is>
          <t>Continuity and wellbeing</t>
        </is>
      </c>
      <c r="G520">
        <f>IFERROR(INDEX('_ENGINE_Risk'!$BS$500:$BS$923,MATCH($D520,'_ENGINE_Risk'!$E$500:$E$923,0)),0)</f>
        <v/>
      </c>
      <c r="H520" t="n">
        <v>1</v>
      </c>
      <c r="I520">
        <f>IFERROR(MAX(0,5-INDEX('_ENGINE_Risk'!$H$500:$H$923,MATCH($D520,'_ENGINE_Risk'!$E$500:$E$923,0))),0)</f>
        <v/>
      </c>
      <c r="J520" t="inlineStr">
        <is>
          <t>P1 many-to-many coverage row</t>
        </is>
      </c>
      <c r="K520">
        <f>IFERROR(INDEX('_ENGINE_Risk'!$BI$500:$BI$923,MATCH($D520,'_ENGINE_Risk'!$E$500:$E$923,0))*N($H520),0)</f>
        <v/>
      </c>
      <c r="L520">
        <f>IFERROR(MIN(5,$K520/MAX(1,'_CONFIG_Model_Settings'!$B$105)),0)</f>
        <v/>
      </c>
    </row>
    <row r="521">
      <c r="A521" t="inlineStr">
        <is>
          <t>INI-013</t>
        </is>
      </c>
      <c r="B521" t="inlineStr">
        <is>
          <t>Implement workforce continuity, wellbeing and availability playbook</t>
        </is>
      </c>
      <c r="C521" t="inlineStr">
        <is>
          <t>STR-06</t>
        </is>
      </c>
      <c r="D521" t="inlineStr">
        <is>
          <t>HRWO-015</t>
        </is>
      </c>
      <c r="E521" t="inlineStr">
        <is>
          <t>HR Workforce</t>
        </is>
      </c>
      <c r="F521" t="inlineStr">
        <is>
          <t>Continuity and wellbeing</t>
        </is>
      </c>
      <c r="G521">
        <f>IFERROR(INDEX('_ENGINE_Risk'!$BS$500:$BS$923,MATCH($D521,'_ENGINE_Risk'!$E$500:$E$923,0)),0)</f>
        <v/>
      </c>
      <c r="H521" t="n">
        <v>1</v>
      </c>
      <c r="I521">
        <f>IFERROR(MAX(0,5-INDEX('_ENGINE_Risk'!$H$500:$H$923,MATCH($D521,'_ENGINE_Risk'!$E$500:$E$923,0))),0)</f>
        <v/>
      </c>
      <c r="J521" t="inlineStr">
        <is>
          <t>P1 many-to-many coverage row</t>
        </is>
      </c>
      <c r="K521">
        <f>IFERROR(INDEX('_ENGINE_Risk'!$BI$500:$BI$923,MATCH($D521,'_ENGINE_Risk'!$E$500:$E$923,0))*N($H521),0)</f>
        <v/>
      </c>
      <c r="L521">
        <f>IFERROR(MIN(5,$K521/MAX(1,'_CONFIG_Model_Settings'!$B$105)),0)</f>
        <v/>
      </c>
    </row>
    <row r="522">
      <c r="A522" t="inlineStr">
        <is>
          <t>INI-013</t>
        </is>
      </c>
      <c r="B522" t="inlineStr">
        <is>
          <t>Implement workforce continuity, wellbeing and availability playbook</t>
        </is>
      </c>
      <c r="C522" t="inlineStr">
        <is>
          <t>STR-06</t>
        </is>
      </c>
      <c r="D522" t="inlineStr">
        <is>
          <t>HRWO-016</t>
        </is>
      </c>
      <c r="E522" t="inlineStr">
        <is>
          <t>HR Workforce</t>
        </is>
      </c>
      <c r="F522" t="inlineStr">
        <is>
          <t>Continuity and wellbeing</t>
        </is>
      </c>
      <c r="G522">
        <f>IFERROR(INDEX('_ENGINE_Risk'!$BS$500:$BS$923,MATCH($D522,'_ENGINE_Risk'!$E$500:$E$923,0)),0)</f>
        <v/>
      </c>
      <c r="H522" t="n">
        <v>1</v>
      </c>
      <c r="I522">
        <f>IFERROR(MAX(0,5-INDEX('_ENGINE_Risk'!$H$500:$H$923,MATCH($D522,'_ENGINE_Risk'!$E$500:$E$923,0))),0)</f>
        <v/>
      </c>
      <c r="J522" t="inlineStr">
        <is>
          <t>P1 many-to-many coverage row</t>
        </is>
      </c>
      <c r="K522">
        <f>IFERROR(INDEX('_ENGINE_Risk'!$BI$500:$BI$923,MATCH($D522,'_ENGINE_Risk'!$E$500:$E$923,0))*N($H522),0)</f>
        <v/>
      </c>
      <c r="L522">
        <f>IFERROR(MIN(5,$K522/MAX(1,'_CONFIG_Model_Settings'!$B$105)),0)</f>
        <v/>
      </c>
    </row>
    <row r="523">
      <c r="A523" t="inlineStr">
        <is>
          <t>INI-013</t>
        </is>
      </c>
      <c r="B523" t="inlineStr">
        <is>
          <t>Implement workforce continuity, wellbeing and availability playbook</t>
        </is>
      </c>
      <c r="C523" t="inlineStr">
        <is>
          <t>STR-06</t>
        </is>
      </c>
      <c r="D523" t="inlineStr">
        <is>
          <t>HRWO-017</t>
        </is>
      </c>
      <c r="E523" t="inlineStr">
        <is>
          <t>HR Workforce</t>
        </is>
      </c>
      <c r="F523" t="inlineStr">
        <is>
          <t>Continuity and wellbeing</t>
        </is>
      </c>
      <c r="G523">
        <f>IFERROR(INDEX('_ENGINE_Risk'!$BS$500:$BS$923,MATCH($D523,'_ENGINE_Risk'!$E$500:$E$923,0)),0)</f>
        <v/>
      </c>
      <c r="H523" t="n">
        <v>1</v>
      </c>
      <c r="I523">
        <f>IFERROR(MAX(0,5-INDEX('_ENGINE_Risk'!$H$500:$H$923,MATCH($D523,'_ENGINE_Risk'!$E$500:$E$923,0))),0)</f>
        <v/>
      </c>
      <c r="J523" t="inlineStr">
        <is>
          <t>P1 many-to-many coverage row</t>
        </is>
      </c>
      <c r="K523">
        <f>IFERROR(INDEX('_ENGINE_Risk'!$BI$500:$BI$923,MATCH($D523,'_ENGINE_Risk'!$E$500:$E$923,0))*N($H523),0)</f>
        <v/>
      </c>
      <c r="L523">
        <f>IFERROR(MIN(5,$K523/MAX(1,'_CONFIG_Model_Settings'!$B$105)),0)</f>
        <v/>
      </c>
    </row>
    <row r="524">
      <c r="A524" t="inlineStr">
        <is>
          <t>INI-013</t>
        </is>
      </c>
      <c r="B524" t="inlineStr">
        <is>
          <t>Implement workforce continuity, wellbeing and availability playbook</t>
        </is>
      </c>
      <c r="C524" t="inlineStr">
        <is>
          <t>STR-06</t>
        </is>
      </c>
      <c r="D524" t="inlineStr">
        <is>
          <t>HRWO-018</t>
        </is>
      </c>
      <c r="E524" t="inlineStr">
        <is>
          <t>HR Workforce</t>
        </is>
      </c>
      <c r="F524" t="inlineStr">
        <is>
          <t>Continuity and wellbeing</t>
        </is>
      </c>
      <c r="G524">
        <f>IFERROR(INDEX('_ENGINE_Risk'!$BS$500:$BS$923,MATCH($D524,'_ENGINE_Risk'!$E$500:$E$923,0)),0)</f>
        <v/>
      </c>
      <c r="H524" t="n">
        <v>1</v>
      </c>
      <c r="I524">
        <f>IFERROR(MAX(0,5-INDEX('_ENGINE_Risk'!$H$500:$H$923,MATCH($D524,'_ENGINE_Risk'!$E$500:$E$923,0))),0)</f>
        <v/>
      </c>
      <c r="J524" t="inlineStr">
        <is>
          <t>P1 many-to-many coverage row</t>
        </is>
      </c>
      <c r="K524">
        <f>IFERROR(INDEX('_ENGINE_Risk'!$BI$500:$BI$923,MATCH($D524,'_ENGINE_Risk'!$E$500:$E$923,0))*N($H524),0)</f>
        <v/>
      </c>
      <c r="L524">
        <f>IFERROR(MIN(5,$K524/MAX(1,'_CONFIG_Model_Settings'!$B$105)),0)</f>
        <v/>
      </c>
    </row>
    <row r="525">
      <c r="A525" t="inlineStr">
        <is>
          <t>INI-013</t>
        </is>
      </c>
      <c r="B525" t="inlineStr">
        <is>
          <t>Implement workforce continuity, wellbeing and availability playbook</t>
        </is>
      </c>
      <c r="C525" t="inlineStr">
        <is>
          <t>STR-06</t>
        </is>
      </c>
      <c r="D525" t="inlineStr">
        <is>
          <t>HRWO-019</t>
        </is>
      </c>
      <c r="E525" t="inlineStr">
        <is>
          <t>HR Workforce</t>
        </is>
      </c>
      <c r="F525" t="inlineStr">
        <is>
          <t>Continuity and wellbeing</t>
        </is>
      </c>
      <c r="G525">
        <f>IFERROR(INDEX('_ENGINE_Risk'!$BS$500:$BS$923,MATCH($D525,'_ENGINE_Risk'!$E$500:$E$923,0)),0)</f>
        <v/>
      </c>
      <c r="H525" t="n">
        <v>1</v>
      </c>
      <c r="I525">
        <f>IFERROR(MAX(0,5-INDEX('_ENGINE_Risk'!$H$500:$H$923,MATCH($D525,'_ENGINE_Risk'!$E$500:$E$923,0))),0)</f>
        <v/>
      </c>
      <c r="J525" t="inlineStr">
        <is>
          <t>P1 many-to-many coverage row</t>
        </is>
      </c>
      <c r="K525">
        <f>IFERROR(INDEX('_ENGINE_Risk'!$BI$500:$BI$923,MATCH($D525,'_ENGINE_Risk'!$E$500:$E$923,0))*N($H525),0)</f>
        <v/>
      </c>
      <c r="L525">
        <f>IFERROR(MIN(5,$K525/MAX(1,'_CONFIG_Model_Settings'!$B$105)),0)</f>
        <v/>
      </c>
    </row>
    <row r="526">
      <c r="A526" t="inlineStr">
        <is>
          <t>INI-014</t>
        </is>
      </c>
      <c r="B526" t="inlineStr">
        <is>
          <t>Stabilize HRMS, workforce data and HR compliance controls</t>
        </is>
      </c>
      <c r="C526" t="inlineStr">
        <is>
          <t>STR-06</t>
        </is>
      </c>
      <c r="D526" t="inlineStr">
        <is>
          <t>HRWO-020</t>
        </is>
      </c>
      <c r="E526" t="inlineStr">
        <is>
          <t>HR Workforce</t>
        </is>
      </c>
      <c r="F526" t="inlineStr">
        <is>
          <t>HR systems and compliance</t>
        </is>
      </c>
      <c r="G526">
        <f>IFERROR(INDEX('_ENGINE_Risk'!$BS$500:$BS$923,MATCH($D526,'_ENGINE_Risk'!$E$500:$E$923,0)),0)</f>
        <v/>
      </c>
      <c r="H526" t="n">
        <v>1</v>
      </c>
      <c r="I526">
        <f>IFERROR(MAX(0,5-INDEX('_ENGINE_Risk'!$H$500:$H$923,MATCH($D526,'_ENGINE_Risk'!$E$500:$E$923,0))),0)</f>
        <v/>
      </c>
      <c r="J526" t="inlineStr">
        <is>
          <t>P1 many-to-many coverage row</t>
        </is>
      </c>
      <c r="K526">
        <f>IFERROR(INDEX('_ENGINE_Risk'!$BI$500:$BI$923,MATCH($D526,'_ENGINE_Risk'!$E$500:$E$923,0))*N($H526),0)</f>
        <v/>
      </c>
      <c r="L526">
        <f>IFERROR(MIN(5,$K526/MAX(1,'_CONFIG_Model_Settings'!$B$105)),0)</f>
        <v/>
      </c>
    </row>
    <row r="527">
      <c r="A527" t="inlineStr">
        <is>
          <t>INI-014</t>
        </is>
      </c>
      <c r="B527" t="inlineStr">
        <is>
          <t>Stabilize HRMS, workforce data and HR compliance controls</t>
        </is>
      </c>
      <c r="C527" t="inlineStr">
        <is>
          <t>STR-06</t>
        </is>
      </c>
      <c r="D527" t="inlineStr">
        <is>
          <t>HRWO-021</t>
        </is>
      </c>
      <c r="E527" t="inlineStr">
        <is>
          <t>HR Workforce</t>
        </is>
      </c>
      <c r="F527" t="inlineStr">
        <is>
          <t>HR systems and compliance</t>
        </is>
      </c>
      <c r="G527">
        <f>IFERROR(INDEX('_ENGINE_Risk'!$BS$500:$BS$923,MATCH($D527,'_ENGINE_Risk'!$E$500:$E$923,0)),0)</f>
        <v/>
      </c>
      <c r="H527" t="n">
        <v>1</v>
      </c>
      <c r="I527">
        <f>IFERROR(MAX(0,5-INDEX('_ENGINE_Risk'!$H$500:$H$923,MATCH($D527,'_ENGINE_Risk'!$E$500:$E$923,0))),0)</f>
        <v/>
      </c>
      <c r="J527" t="inlineStr">
        <is>
          <t>P1 many-to-many coverage row</t>
        </is>
      </c>
      <c r="K527">
        <f>IFERROR(INDEX('_ENGINE_Risk'!$BI$500:$BI$923,MATCH($D527,'_ENGINE_Risk'!$E$500:$E$923,0))*N($H527),0)</f>
        <v/>
      </c>
      <c r="L527">
        <f>IFERROR(MIN(5,$K527/MAX(1,'_CONFIG_Model_Settings'!$B$105)),0)</f>
        <v/>
      </c>
    </row>
    <row r="528">
      <c r="A528" t="inlineStr">
        <is>
          <t>INI-014</t>
        </is>
      </c>
      <c r="B528" t="inlineStr">
        <is>
          <t>Stabilize HRMS, workforce data and HR compliance controls</t>
        </is>
      </c>
      <c r="C528" t="inlineStr">
        <is>
          <t>STR-06</t>
        </is>
      </c>
      <c r="D528" t="inlineStr">
        <is>
          <t>HRWO-022</t>
        </is>
      </c>
      <c r="E528" t="inlineStr">
        <is>
          <t>HR Workforce</t>
        </is>
      </c>
      <c r="F528" t="inlineStr">
        <is>
          <t>HR systems and compliance</t>
        </is>
      </c>
      <c r="G528">
        <f>IFERROR(INDEX('_ENGINE_Risk'!$BS$500:$BS$923,MATCH($D528,'_ENGINE_Risk'!$E$500:$E$923,0)),0)</f>
        <v/>
      </c>
      <c r="H528" t="n">
        <v>1</v>
      </c>
      <c r="I528">
        <f>IFERROR(MAX(0,5-INDEX('_ENGINE_Risk'!$H$500:$H$923,MATCH($D528,'_ENGINE_Risk'!$E$500:$E$923,0))),0)</f>
        <v/>
      </c>
      <c r="J528" t="inlineStr">
        <is>
          <t>P1 many-to-many coverage row</t>
        </is>
      </c>
      <c r="K528">
        <f>IFERROR(INDEX('_ENGINE_Risk'!$BI$500:$BI$923,MATCH($D528,'_ENGINE_Risk'!$E$500:$E$923,0))*N($H528),0)</f>
        <v/>
      </c>
      <c r="L528">
        <f>IFERROR(MIN(5,$K528/MAX(1,'_CONFIG_Model_Settings'!$B$105)),0)</f>
        <v/>
      </c>
    </row>
    <row r="529">
      <c r="A529" t="inlineStr">
        <is>
          <t>INI-014</t>
        </is>
      </c>
      <c r="B529" t="inlineStr">
        <is>
          <t>Stabilize HRMS, workforce data and HR compliance controls</t>
        </is>
      </c>
      <c r="C529" t="inlineStr">
        <is>
          <t>STR-06</t>
        </is>
      </c>
      <c r="D529" t="inlineStr">
        <is>
          <t>HRWO-023</t>
        </is>
      </c>
      <c r="E529" t="inlineStr">
        <is>
          <t>HR Workforce</t>
        </is>
      </c>
      <c r="F529" t="inlineStr">
        <is>
          <t>HR systems and compliance</t>
        </is>
      </c>
      <c r="G529">
        <f>IFERROR(INDEX('_ENGINE_Risk'!$BS$500:$BS$923,MATCH($D529,'_ENGINE_Risk'!$E$500:$E$923,0)),0)</f>
        <v/>
      </c>
      <c r="H529" t="n">
        <v>1</v>
      </c>
      <c r="I529">
        <f>IFERROR(MAX(0,5-INDEX('_ENGINE_Risk'!$H$500:$H$923,MATCH($D529,'_ENGINE_Risk'!$E$500:$E$923,0))),0)</f>
        <v/>
      </c>
      <c r="J529" t="inlineStr">
        <is>
          <t>P1 many-to-many coverage row</t>
        </is>
      </c>
      <c r="K529">
        <f>IFERROR(INDEX('_ENGINE_Risk'!$BI$500:$BI$923,MATCH($D529,'_ENGINE_Risk'!$E$500:$E$923,0))*N($H529),0)</f>
        <v/>
      </c>
      <c r="L529">
        <f>IFERROR(MIN(5,$K529/MAX(1,'_CONFIG_Model_Settings'!$B$105)),0)</f>
        <v/>
      </c>
    </row>
    <row r="530">
      <c r="A530" t="inlineStr">
        <is>
          <t>INI-014</t>
        </is>
      </c>
      <c r="B530" t="inlineStr">
        <is>
          <t>Stabilize HRMS, workforce data and HR compliance controls</t>
        </is>
      </c>
      <c r="C530" t="inlineStr">
        <is>
          <t>STR-06</t>
        </is>
      </c>
      <c r="D530" t="inlineStr">
        <is>
          <t>HRWO-024</t>
        </is>
      </c>
      <c r="E530" t="inlineStr">
        <is>
          <t>HR Workforce</t>
        </is>
      </c>
      <c r="F530" t="inlineStr">
        <is>
          <t>HR systems and compliance</t>
        </is>
      </c>
      <c r="G530">
        <f>IFERROR(INDEX('_ENGINE_Risk'!$BS$500:$BS$923,MATCH($D530,'_ENGINE_Risk'!$E$500:$E$923,0)),0)</f>
        <v/>
      </c>
      <c r="H530" t="n">
        <v>1</v>
      </c>
      <c r="I530">
        <f>IFERROR(MAX(0,5-INDEX('_ENGINE_Risk'!$H$500:$H$923,MATCH($D530,'_ENGINE_Risk'!$E$500:$E$923,0))),0)</f>
        <v/>
      </c>
      <c r="J530" t="inlineStr">
        <is>
          <t>P1 many-to-many coverage row</t>
        </is>
      </c>
      <c r="K530">
        <f>IFERROR(INDEX('_ENGINE_Risk'!$BI$500:$BI$923,MATCH($D530,'_ENGINE_Risk'!$E$500:$E$923,0))*N($H530),0)</f>
        <v/>
      </c>
      <c r="L530">
        <f>IFERROR(MIN(5,$K530/MAX(1,'_CONFIG_Model_Settings'!$B$105)),0)</f>
        <v/>
      </c>
    </row>
    <row r="531">
      <c r="A531" t="inlineStr">
        <is>
          <t>INI-015</t>
        </is>
      </c>
      <c r="B531" t="inlineStr">
        <is>
          <t>Implement cash-flow resilience and financial scenario planning</t>
        </is>
      </c>
      <c r="C531" t="inlineStr">
        <is>
          <t>STR-02</t>
        </is>
      </c>
      <c r="D531" t="inlineStr">
        <is>
          <t>FINA-001</t>
        </is>
      </c>
      <c r="E531" t="inlineStr">
        <is>
          <t>Finance Procurement</t>
        </is>
      </c>
      <c r="F531" t="inlineStr">
        <is>
          <t>Financial resilience</t>
        </is>
      </c>
      <c r="G531">
        <f>IFERROR(INDEX('_ENGINE_Risk'!$BS$500:$BS$923,MATCH($D531,'_ENGINE_Risk'!$E$500:$E$923,0)),0)</f>
        <v/>
      </c>
      <c r="H531" t="n">
        <v>1</v>
      </c>
      <c r="I531">
        <f>IFERROR(MAX(0,5-INDEX('_ENGINE_Risk'!$H$500:$H$923,MATCH($D531,'_ENGINE_Risk'!$E$500:$E$923,0))),0)</f>
        <v/>
      </c>
      <c r="J531" t="inlineStr">
        <is>
          <t>P1 many-to-many coverage row</t>
        </is>
      </c>
      <c r="K531">
        <f>IFERROR(INDEX('_ENGINE_Risk'!$BI$500:$BI$923,MATCH($D531,'_ENGINE_Risk'!$E$500:$E$923,0))*N($H531),0)</f>
        <v/>
      </c>
      <c r="L531">
        <f>IFERROR(MIN(5,$K531/MAX(1,'_CONFIG_Model_Settings'!$B$105)),0)</f>
        <v/>
      </c>
    </row>
    <row r="532">
      <c r="A532" t="inlineStr">
        <is>
          <t>INI-015</t>
        </is>
      </c>
      <c r="B532" t="inlineStr">
        <is>
          <t>Implement cash-flow resilience and financial scenario planning</t>
        </is>
      </c>
      <c r="C532" t="inlineStr">
        <is>
          <t>STR-02</t>
        </is>
      </c>
      <c r="D532" t="inlineStr">
        <is>
          <t>FINA-002</t>
        </is>
      </c>
      <c r="E532" t="inlineStr">
        <is>
          <t>Finance Procurement</t>
        </is>
      </c>
      <c r="F532" t="inlineStr">
        <is>
          <t>Financial resilience</t>
        </is>
      </c>
      <c r="G532">
        <f>IFERROR(INDEX('_ENGINE_Risk'!$BS$500:$BS$923,MATCH($D532,'_ENGINE_Risk'!$E$500:$E$923,0)),0)</f>
        <v/>
      </c>
      <c r="H532" t="n">
        <v>1</v>
      </c>
      <c r="I532">
        <f>IFERROR(MAX(0,5-INDEX('_ENGINE_Risk'!$H$500:$H$923,MATCH($D532,'_ENGINE_Risk'!$E$500:$E$923,0))),0)</f>
        <v/>
      </c>
      <c r="J532" t="inlineStr">
        <is>
          <t>P1 many-to-many coverage row</t>
        </is>
      </c>
      <c r="K532">
        <f>IFERROR(INDEX('_ENGINE_Risk'!$BI$500:$BI$923,MATCH($D532,'_ENGINE_Risk'!$E$500:$E$923,0))*N($H532),0)</f>
        <v/>
      </c>
      <c r="L532">
        <f>IFERROR(MIN(5,$K532/MAX(1,'_CONFIG_Model_Settings'!$B$105)),0)</f>
        <v/>
      </c>
    </row>
    <row r="533">
      <c r="A533" t="inlineStr">
        <is>
          <t>INI-015</t>
        </is>
      </c>
      <c r="B533" t="inlineStr">
        <is>
          <t>Implement cash-flow resilience and financial scenario planning</t>
        </is>
      </c>
      <c r="C533" t="inlineStr">
        <is>
          <t>STR-02</t>
        </is>
      </c>
      <c r="D533" t="inlineStr">
        <is>
          <t>FINA-003</t>
        </is>
      </c>
      <c r="E533" t="inlineStr">
        <is>
          <t>Finance Procurement</t>
        </is>
      </c>
      <c r="F533" t="inlineStr">
        <is>
          <t>Financial resilience</t>
        </is>
      </c>
      <c r="G533">
        <f>IFERROR(INDEX('_ENGINE_Risk'!$BS$500:$BS$923,MATCH($D533,'_ENGINE_Risk'!$E$500:$E$923,0)),0)</f>
        <v/>
      </c>
      <c r="H533" t="n">
        <v>1</v>
      </c>
      <c r="I533">
        <f>IFERROR(MAX(0,5-INDEX('_ENGINE_Risk'!$H$500:$H$923,MATCH($D533,'_ENGINE_Risk'!$E$500:$E$923,0))),0)</f>
        <v/>
      </c>
      <c r="J533" t="inlineStr">
        <is>
          <t>P1 many-to-many coverage row</t>
        </is>
      </c>
      <c r="K533">
        <f>IFERROR(INDEX('_ENGINE_Risk'!$BI$500:$BI$923,MATCH($D533,'_ENGINE_Risk'!$E$500:$E$923,0))*N($H533),0)</f>
        <v/>
      </c>
      <c r="L533">
        <f>IFERROR(MIN(5,$K533/MAX(1,'_CONFIG_Model_Settings'!$B$105)),0)</f>
        <v/>
      </c>
    </row>
    <row r="534">
      <c r="A534" t="inlineStr">
        <is>
          <t>INI-015</t>
        </is>
      </c>
      <c r="B534" t="inlineStr">
        <is>
          <t>Implement cash-flow resilience and financial scenario planning</t>
        </is>
      </c>
      <c r="C534" t="inlineStr">
        <is>
          <t>STR-02</t>
        </is>
      </c>
      <c r="D534" t="inlineStr">
        <is>
          <t>FINA-004</t>
        </is>
      </c>
      <c r="E534" t="inlineStr">
        <is>
          <t>Finance Procurement</t>
        </is>
      </c>
      <c r="F534" t="inlineStr">
        <is>
          <t>Financial resilience</t>
        </is>
      </c>
      <c r="G534">
        <f>IFERROR(INDEX('_ENGINE_Risk'!$BS$500:$BS$923,MATCH($D534,'_ENGINE_Risk'!$E$500:$E$923,0)),0)</f>
        <v/>
      </c>
      <c r="H534" t="n">
        <v>1</v>
      </c>
      <c r="I534">
        <f>IFERROR(MAX(0,5-INDEX('_ENGINE_Risk'!$H$500:$H$923,MATCH($D534,'_ENGINE_Risk'!$E$500:$E$923,0))),0)</f>
        <v/>
      </c>
      <c r="J534" t="inlineStr">
        <is>
          <t>P1 many-to-many coverage row</t>
        </is>
      </c>
      <c r="K534">
        <f>IFERROR(INDEX('_ENGINE_Risk'!$BI$500:$BI$923,MATCH($D534,'_ENGINE_Risk'!$E$500:$E$923,0))*N($H534),0)</f>
        <v/>
      </c>
      <c r="L534">
        <f>IFERROR(MIN(5,$K534/MAX(1,'_CONFIG_Model_Settings'!$B$105)),0)</f>
        <v/>
      </c>
    </row>
    <row r="535">
      <c r="A535" t="inlineStr">
        <is>
          <t>INI-015</t>
        </is>
      </c>
      <c r="B535" t="inlineStr">
        <is>
          <t>Implement cash-flow resilience and financial scenario planning</t>
        </is>
      </c>
      <c r="C535" t="inlineStr">
        <is>
          <t>STR-02</t>
        </is>
      </c>
      <c r="D535" t="inlineStr">
        <is>
          <t>FINA-005</t>
        </is>
      </c>
      <c r="E535" t="inlineStr">
        <is>
          <t>Finance Procurement</t>
        </is>
      </c>
      <c r="F535" t="inlineStr">
        <is>
          <t>Financial resilience</t>
        </is>
      </c>
      <c r="G535">
        <f>IFERROR(INDEX('_ENGINE_Risk'!$BS$500:$BS$923,MATCH($D535,'_ENGINE_Risk'!$E$500:$E$923,0)),0)</f>
        <v/>
      </c>
      <c r="H535" t="n">
        <v>1</v>
      </c>
      <c r="I535">
        <f>IFERROR(MAX(0,5-INDEX('_ENGINE_Risk'!$H$500:$H$923,MATCH($D535,'_ENGINE_Risk'!$E$500:$E$923,0))),0)</f>
        <v/>
      </c>
      <c r="J535" t="inlineStr">
        <is>
          <t>P1 many-to-many coverage row</t>
        </is>
      </c>
      <c r="K535">
        <f>IFERROR(INDEX('_ENGINE_Risk'!$BI$500:$BI$923,MATCH($D535,'_ENGINE_Risk'!$E$500:$E$923,0))*N($H535),0)</f>
        <v/>
      </c>
      <c r="L535">
        <f>IFERROR(MIN(5,$K535/MAX(1,'_CONFIG_Model_Settings'!$B$105)),0)</f>
        <v/>
      </c>
    </row>
    <row r="536">
      <c r="A536" t="inlineStr">
        <is>
          <t>INI-015</t>
        </is>
      </c>
      <c r="B536" t="inlineStr">
        <is>
          <t>Implement cash-flow resilience and financial scenario planning</t>
        </is>
      </c>
      <c r="C536" t="inlineStr">
        <is>
          <t>STR-02</t>
        </is>
      </c>
      <c r="D536" t="inlineStr">
        <is>
          <t>FINA-006</t>
        </is>
      </c>
      <c r="E536" t="inlineStr">
        <is>
          <t>Finance Procurement</t>
        </is>
      </c>
      <c r="F536" t="inlineStr">
        <is>
          <t>Financial resilience</t>
        </is>
      </c>
      <c r="G536">
        <f>IFERROR(INDEX('_ENGINE_Risk'!$BS$500:$BS$923,MATCH($D536,'_ENGINE_Risk'!$E$500:$E$923,0)),0)</f>
        <v/>
      </c>
      <c r="H536" t="n">
        <v>1</v>
      </c>
      <c r="I536">
        <f>IFERROR(MAX(0,5-INDEX('_ENGINE_Risk'!$H$500:$H$923,MATCH($D536,'_ENGINE_Risk'!$E$500:$E$923,0))),0)</f>
        <v/>
      </c>
      <c r="J536" t="inlineStr">
        <is>
          <t>P1 many-to-many coverage row</t>
        </is>
      </c>
      <c r="K536">
        <f>IFERROR(INDEX('_ENGINE_Risk'!$BI$500:$BI$923,MATCH($D536,'_ENGINE_Risk'!$E$500:$E$923,0))*N($H536),0)</f>
        <v/>
      </c>
      <c r="L536">
        <f>IFERROR(MIN(5,$K536/MAX(1,'_CONFIG_Model_Settings'!$B$105)),0)</f>
        <v/>
      </c>
    </row>
    <row r="537">
      <c r="A537" t="inlineStr">
        <is>
          <t>INI-016</t>
        </is>
      </c>
      <c r="B537" t="inlineStr">
        <is>
          <t>Strengthen financial controls, approvals and accounting continuity</t>
        </is>
      </c>
      <c r="C537" t="inlineStr">
        <is>
          <t>STR-13</t>
        </is>
      </c>
      <c r="D537" t="inlineStr">
        <is>
          <t>FINA-007</t>
        </is>
      </c>
      <c r="E537" t="inlineStr">
        <is>
          <t>Finance Procurement</t>
        </is>
      </c>
      <c r="F537" t="inlineStr">
        <is>
          <t>Controls and accounting</t>
        </is>
      </c>
      <c r="G537">
        <f>IFERROR(INDEX('_ENGINE_Risk'!$BS$500:$BS$923,MATCH($D537,'_ENGINE_Risk'!$E$500:$E$923,0)),0)</f>
        <v/>
      </c>
      <c r="H537" t="n">
        <v>1</v>
      </c>
      <c r="I537">
        <f>IFERROR(MAX(0,5-INDEX('_ENGINE_Risk'!$H$500:$H$923,MATCH($D537,'_ENGINE_Risk'!$E$500:$E$923,0))),0)</f>
        <v/>
      </c>
      <c r="J537" t="inlineStr">
        <is>
          <t>P1 many-to-many coverage row</t>
        </is>
      </c>
      <c r="K537">
        <f>IFERROR(INDEX('_ENGINE_Risk'!$BI$500:$BI$923,MATCH($D537,'_ENGINE_Risk'!$E$500:$E$923,0))*N($H537),0)</f>
        <v/>
      </c>
      <c r="L537">
        <f>IFERROR(MIN(5,$K537/MAX(1,'_CONFIG_Model_Settings'!$B$105)),0)</f>
        <v/>
      </c>
    </row>
    <row r="538">
      <c r="A538" t="inlineStr">
        <is>
          <t>INI-016</t>
        </is>
      </c>
      <c r="B538" t="inlineStr">
        <is>
          <t>Strengthen financial controls, approvals and accounting continuity</t>
        </is>
      </c>
      <c r="C538" t="inlineStr">
        <is>
          <t>STR-13</t>
        </is>
      </c>
      <c r="D538" t="inlineStr">
        <is>
          <t>FINA-008</t>
        </is>
      </c>
      <c r="E538" t="inlineStr">
        <is>
          <t>Finance Procurement</t>
        </is>
      </c>
      <c r="F538" t="inlineStr">
        <is>
          <t>Controls and accounting</t>
        </is>
      </c>
      <c r="G538">
        <f>IFERROR(INDEX('_ENGINE_Risk'!$BS$500:$BS$923,MATCH($D538,'_ENGINE_Risk'!$E$500:$E$923,0)),0)</f>
        <v/>
      </c>
      <c r="H538" t="n">
        <v>1</v>
      </c>
      <c r="I538">
        <f>IFERROR(MAX(0,5-INDEX('_ENGINE_Risk'!$H$500:$H$923,MATCH($D538,'_ENGINE_Risk'!$E$500:$E$923,0))),0)</f>
        <v/>
      </c>
      <c r="J538" t="inlineStr">
        <is>
          <t>P1 many-to-many coverage row</t>
        </is>
      </c>
      <c r="K538">
        <f>IFERROR(INDEX('_ENGINE_Risk'!$BI$500:$BI$923,MATCH($D538,'_ENGINE_Risk'!$E$500:$E$923,0))*N($H538),0)</f>
        <v/>
      </c>
      <c r="L538">
        <f>IFERROR(MIN(5,$K538/MAX(1,'_CONFIG_Model_Settings'!$B$105)),0)</f>
        <v/>
      </c>
    </row>
    <row r="539">
      <c r="A539" t="inlineStr">
        <is>
          <t>INI-016</t>
        </is>
      </c>
      <c r="B539" t="inlineStr">
        <is>
          <t>Strengthen financial controls, approvals and accounting continuity</t>
        </is>
      </c>
      <c r="C539" t="inlineStr">
        <is>
          <t>STR-13</t>
        </is>
      </c>
      <c r="D539" t="inlineStr">
        <is>
          <t>FINA-009</t>
        </is>
      </c>
      <c r="E539" t="inlineStr">
        <is>
          <t>Finance Procurement</t>
        </is>
      </c>
      <c r="F539" t="inlineStr">
        <is>
          <t>Controls and accounting</t>
        </is>
      </c>
      <c r="G539">
        <f>IFERROR(INDEX('_ENGINE_Risk'!$BS$500:$BS$923,MATCH($D539,'_ENGINE_Risk'!$E$500:$E$923,0)),0)</f>
        <v/>
      </c>
      <c r="H539" t="n">
        <v>1</v>
      </c>
      <c r="I539">
        <f>IFERROR(MAX(0,5-INDEX('_ENGINE_Risk'!$H$500:$H$923,MATCH($D539,'_ENGINE_Risk'!$E$500:$E$923,0))),0)</f>
        <v/>
      </c>
      <c r="J539" t="inlineStr">
        <is>
          <t>P1 many-to-many coverage row</t>
        </is>
      </c>
      <c r="K539">
        <f>IFERROR(INDEX('_ENGINE_Risk'!$BI$500:$BI$923,MATCH($D539,'_ENGINE_Risk'!$E$500:$E$923,0))*N($H539),0)</f>
        <v/>
      </c>
      <c r="L539">
        <f>IFERROR(MIN(5,$K539/MAX(1,'_CONFIG_Model_Settings'!$B$105)),0)</f>
        <v/>
      </c>
    </row>
    <row r="540">
      <c r="A540" t="inlineStr">
        <is>
          <t>INI-016</t>
        </is>
      </c>
      <c r="B540" t="inlineStr">
        <is>
          <t>Strengthen financial controls, approvals and accounting continuity</t>
        </is>
      </c>
      <c r="C540" t="inlineStr">
        <is>
          <t>STR-13</t>
        </is>
      </c>
      <c r="D540" t="inlineStr">
        <is>
          <t>FINA-010</t>
        </is>
      </c>
      <c r="E540" t="inlineStr">
        <is>
          <t>Finance Procurement</t>
        </is>
      </c>
      <c r="F540" t="inlineStr">
        <is>
          <t>Controls and accounting</t>
        </is>
      </c>
      <c r="G540">
        <f>IFERROR(INDEX('_ENGINE_Risk'!$BS$500:$BS$923,MATCH($D540,'_ENGINE_Risk'!$E$500:$E$923,0)),0)</f>
        <v/>
      </c>
      <c r="H540" t="n">
        <v>1</v>
      </c>
      <c r="I540">
        <f>IFERROR(MAX(0,5-INDEX('_ENGINE_Risk'!$H$500:$H$923,MATCH($D540,'_ENGINE_Risk'!$E$500:$E$923,0))),0)</f>
        <v/>
      </c>
      <c r="J540" t="inlineStr">
        <is>
          <t>P1 many-to-many coverage row</t>
        </is>
      </c>
      <c r="K540">
        <f>IFERROR(INDEX('_ENGINE_Risk'!$BI$500:$BI$923,MATCH($D540,'_ENGINE_Risk'!$E$500:$E$923,0))*N($H540),0)</f>
        <v/>
      </c>
      <c r="L540">
        <f>IFERROR(MIN(5,$K540/MAX(1,'_CONFIG_Model_Settings'!$B$105)),0)</f>
        <v/>
      </c>
    </row>
    <row r="541">
      <c r="A541" t="inlineStr">
        <is>
          <t>INI-016</t>
        </is>
      </c>
      <c r="B541" t="inlineStr">
        <is>
          <t>Strengthen financial controls, approvals and accounting continuity</t>
        </is>
      </c>
      <c r="C541" t="inlineStr">
        <is>
          <t>STR-13</t>
        </is>
      </c>
      <c r="D541" t="inlineStr">
        <is>
          <t>FINA-011</t>
        </is>
      </c>
      <c r="E541" t="inlineStr">
        <is>
          <t>Finance Procurement</t>
        </is>
      </c>
      <c r="F541" t="inlineStr">
        <is>
          <t>Controls and accounting</t>
        </is>
      </c>
      <c r="G541">
        <f>IFERROR(INDEX('_ENGINE_Risk'!$BS$500:$BS$923,MATCH($D541,'_ENGINE_Risk'!$E$500:$E$923,0)),0)</f>
        <v/>
      </c>
      <c r="H541" t="n">
        <v>1</v>
      </c>
      <c r="I541">
        <f>IFERROR(MAX(0,5-INDEX('_ENGINE_Risk'!$H$500:$H$923,MATCH($D541,'_ENGINE_Risk'!$E$500:$E$923,0))),0)</f>
        <v/>
      </c>
      <c r="J541" t="inlineStr">
        <is>
          <t>P1 many-to-many coverage row</t>
        </is>
      </c>
      <c r="K541">
        <f>IFERROR(INDEX('_ENGINE_Risk'!$BI$500:$BI$923,MATCH($D541,'_ENGINE_Risk'!$E$500:$E$923,0))*N($H541),0)</f>
        <v/>
      </c>
      <c r="L541">
        <f>IFERROR(MIN(5,$K541/MAX(1,'_CONFIG_Model_Settings'!$B$105)),0)</f>
        <v/>
      </c>
    </row>
    <row r="542">
      <c r="A542" t="inlineStr">
        <is>
          <t>INI-016</t>
        </is>
      </c>
      <c r="B542" t="inlineStr">
        <is>
          <t>Strengthen financial controls, approvals and accounting continuity</t>
        </is>
      </c>
      <c r="C542" t="inlineStr">
        <is>
          <t>STR-13</t>
        </is>
      </c>
      <c r="D542" t="inlineStr">
        <is>
          <t>FINA-012</t>
        </is>
      </c>
      <c r="E542" t="inlineStr">
        <is>
          <t>Finance Procurement</t>
        </is>
      </c>
      <c r="F542" t="inlineStr">
        <is>
          <t>Controls and accounting</t>
        </is>
      </c>
      <c r="G542">
        <f>IFERROR(INDEX('_ENGINE_Risk'!$BS$500:$BS$923,MATCH($D542,'_ENGINE_Risk'!$E$500:$E$923,0)),0)</f>
        <v/>
      </c>
      <c r="H542" t="n">
        <v>1</v>
      </c>
      <c r="I542">
        <f>IFERROR(MAX(0,5-INDEX('_ENGINE_Risk'!$H$500:$H$923,MATCH($D542,'_ENGINE_Risk'!$E$500:$E$923,0))),0)</f>
        <v/>
      </c>
      <c r="J542" t="inlineStr">
        <is>
          <t>P1 many-to-many coverage row</t>
        </is>
      </c>
      <c r="K542">
        <f>IFERROR(INDEX('_ENGINE_Risk'!$BI$500:$BI$923,MATCH($D542,'_ENGINE_Risk'!$E$500:$E$923,0))*N($H542),0)</f>
        <v/>
      </c>
      <c r="L542">
        <f>IFERROR(MIN(5,$K542/MAX(1,'_CONFIG_Model_Settings'!$B$105)),0)</f>
        <v/>
      </c>
    </row>
    <row r="543">
      <c r="A543" t="inlineStr">
        <is>
          <t>INI-017</t>
        </is>
      </c>
      <c r="B543" t="inlineStr">
        <is>
          <t>Build resilient procurement governance and supplier risk controls</t>
        </is>
      </c>
      <c r="C543" t="inlineStr">
        <is>
          <t>STR-08</t>
        </is>
      </c>
      <c r="D543" t="inlineStr">
        <is>
          <t>FINA-013</t>
        </is>
      </c>
      <c r="E543" t="inlineStr">
        <is>
          <t>Finance Procurement</t>
        </is>
      </c>
      <c r="F543" t="inlineStr">
        <is>
          <t>Procurement and suppliers</t>
        </is>
      </c>
      <c r="G543">
        <f>IFERROR(INDEX('_ENGINE_Risk'!$BS$500:$BS$923,MATCH($D543,'_ENGINE_Risk'!$E$500:$E$923,0)),0)</f>
        <v/>
      </c>
      <c r="H543" t="n">
        <v>1</v>
      </c>
      <c r="I543">
        <f>IFERROR(MAX(0,5-INDEX('_ENGINE_Risk'!$H$500:$H$923,MATCH($D543,'_ENGINE_Risk'!$E$500:$E$923,0))),0)</f>
        <v/>
      </c>
      <c r="J543" t="inlineStr">
        <is>
          <t>P1 many-to-many coverage row</t>
        </is>
      </c>
      <c r="K543">
        <f>IFERROR(INDEX('_ENGINE_Risk'!$BI$500:$BI$923,MATCH($D543,'_ENGINE_Risk'!$E$500:$E$923,0))*N($H543),0)</f>
        <v/>
      </c>
      <c r="L543">
        <f>IFERROR(MIN(5,$K543/MAX(1,'_CONFIG_Model_Settings'!$B$105)),0)</f>
        <v/>
      </c>
    </row>
    <row r="544">
      <c r="A544" t="inlineStr">
        <is>
          <t>INI-017</t>
        </is>
      </c>
      <c r="B544" t="inlineStr">
        <is>
          <t>Build resilient procurement governance and supplier risk controls</t>
        </is>
      </c>
      <c r="C544" t="inlineStr">
        <is>
          <t>STR-08</t>
        </is>
      </c>
      <c r="D544" t="inlineStr">
        <is>
          <t>FINA-014</t>
        </is>
      </c>
      <c r="E544" t="inlineStr">
        <is>
          <t>Finance Procurement</t>
        </is>
      </c>
      <c r="F544" t="inlineStr">
        <is>
          <t>Procurement and suppliers</t>
        </is>
      </c>
      <c r="G544">
        <f>IFERROR(INDEX('_ENGINE_Risk'!$BS$500:$BS$923,MATCH($D544,'_ENGINE_Risk'!$E$500:$E$923,0)),0)</f>
        <v/>
      </c>
      <c r="H544" t="n">
        <v>1</v>
      </c>
      <c r="I544">
        <f>IFERROR(MAX(0,5-INDEX('_ENGINE_Risk'!$H$500:$H$923,MATCH($D544,'_ENGINE_Risk'!$E$500:$E$923,0))),0)</f>
        <v/>
      </c>
      <c r="J544" t="inlineStr">
        <is>
          <t>P1 many-to-many coverage row</t>
        </is>
      </c>
      <c r="K544">
        <f>IFERROR(INDEX('_ENGINE_Risk'!$BI$500:$BI$923,MATCH($D544,'_ENGINE_Risk'!$E$500:$E$923,0))*N($H544),0)</f>
        <v/>
      </c>
      <c r="L544">
        <f>IFERROR(MIN(5,$K544/MAX(1,'_CONFIG_Model_Settings'!$B$105)),0)</f>
        <v/>
      </c>
    </row>
    <row r="545">
      <c r="A545" t="inlineStr">
        <is>
          <t>INI-017</t>
        </is>
      </c>
      <c r="B545" t="inlineStr">
        <is>
          <t>Build resilient procurement governance and supplier risk controls</t>
        </is>
      </c>
      <c r="C545" t="inlineStr">
        <is>
          <t>STR-08</t>
        </is>
      </c>
      <c r="D545" t="inlineStr">
        <is>
          <t>FINA-015</t>
        </is>
      </c>
      <c r="E545" t="inlineStr">
        <is>
          <t>Finance Procurement</t>
        </is>
      </c>
      <c r="F545" t="inlineStr">
        <is>
          <t>Procurement and suppliers</t>
        </is>
      </c>
      <c r="G545">
        <f>IFERROR(INDEX('_ENGINE_Risk'!$BS$500:$BS$923,MATCH($D545,'_ENGINE_Risk'!$E$500:$E$923,0)),0)</f>
        <v/>
      </c>
      <c r="H545" t="n">
        <v>1</v>
      </c>
      <c r="I545">
        <f>IFERROR(MAX(0,5-INDEX('_ENGINE_Risk'!$H$500:$H$923,MATCH($D545,'_ENGINE_Risk'!$E$500:$E$923,0))),0)</f>
        <v/>
      </c>
      <c r="J545" t="inlineStr">
        <is>
          <t>P1 many-to-many coverage row</t>
        </is>
      </c>
      <c r="K545">
        <f>IFERROR(INDEX('_ENGINE_Risk'!$BI$500:$BI$923,MATCH($D545,'_ENGINE_Risk'!$E$500:$E$923,0))*N($H545),0)</f>
        <v/>
      </c>
      <c r="L545">
        <f>IFERROR(MIN(5,$K545/MAX(1,'_CONFIG_Model_Settings'!$B$105)),0)</f>
        <v/>
      </c>
    </row>
    <row r="546">
      <c r="A546" t="inlineStr">
        <is>
          <t>INI-017</t>
        </is>
      </c>
      <c r="B546" t="inlineStr">
        <is>
          <t>Build resilient procurement governance and supplier risk controls</t>
        </is>
      </c>
      <c r="C546" t="inlineStr">
        <is>
          <t>STR-08</t>
        </is>
      </c>
      <c r="D546" t="inlineStr">
        <is>
          <t>FINA-016</t>
        </is>
      </c>
      <c r="E546" t="inlineStr">
        <is>
          <t>Finance Procurement</t>
        </is>
      </c>
      <c r="F546" t="inlineStr">
        <is>
          <t>Procurement and suppliers</t>
        </is>
      </c>
      <c r="G546">
        <f>IFERROR(INDEX('_ENGINE_Risk'!$BS$500:$BS$923,MATCH($D546,'_ENGINE_Risk'!$E$500:$E$923,0)),0)</f>
        <v/>
      </c>
      <c r="H546" t="n">
        <v>1</v>
      </c>
      <c r="I546">
        <f>IFERROR(MAX(0,5-INDEX('_ENGINE_Risk'!$H$500:$H$923,MATCH($D546,'_ENGINE_Risk'!$E$500:$E$923,0))),0)</f>
        <v/>
      </c>
      <c r="J546" t="inlineStr">
        <is>
          <t>P1 many-to-many coverage row</t>
        </is>
      </c>
      <c r="K546">
        <f>IFERROR(INDEX('_ENGINE_Risk'!$BI$500:$BI$923,MATCH($D546,'_ENGINE_Risk'!$E$500:$E$923,0))*N($H546),0)</f>
        <v/>
      </c>
      <c r="L546">
        <f>IFERROR(MIN(5,$K546/MAX(1,'_CONFIG_Model_Settings'!$B$105)),0)</f>
        <v/>
      </c>
    </row>
    <row r="547">
      <c r="A547" t="inlineStr">
        <is>
          <t>INI-017</t>
        </is>
      </c>
      <c r="B547" t="inlineStr">
        <is>
          <t>Build resilient procurement governance and supplier risk controls</t>
        </is>
      </c>
      <c r="C547" t="inlineStr">
        <is>
          <t>STR-08</t>
        </is>
      </c>
      <c r="D547" t="inlineStr">
        <is>
          <t>FINA-017</t>
        </is>
      </c>
      <c r="E547" t="inlineStr">
        <is>
          <t>Finance Procurement</t>
        </is>
      </c>
      <c r="F547" t="inlineStr">
        <is>
          <t>Procurement and suppliers</t>
        </is>
      </c>
      <c r="G547">
        <f>IFERROR(INDEX('_ENGINE_Risk'!$BS$500:$BS$923,MATCH($D547,'_ENGINE_Risk'!$E$500:$E$923,0)),0)</f>
        <v/>
      </c>
      <c r="H547" t="n">
        <v>1</v>
      </c>
      <c r="I547">
        <f>IFERROR(MAX(0,5-INDEX('_ENGINE_Risk'!$H$500:$H$923,MATCH($D547,'_ENGINE_Risk'!$E$500:$E$923,0))),0)</f>
        <v/>
      </c>
      <c r="J547" t="inlineStr">
        <is>
          <t>P1 many-to-many coverage row</t>
        </is>
      </c>
      <c r="K547">
        <f>IFERROR(INDEX('_ENGINE_Risk'!$BI$500:$BI$923,MATCH($D547,'_ENGINE_Risk'!$E$500:$E$923,0))*N($H547),0)</f>
        <v/>
      </c>
      <c r="L547">
        <f>IFERROR(MIN(5,$K547/MAX(1,'_CONFIG_Model_Settings'!$B$105)),0)</f>
        <v/>
      </c>
    </row>
    <row r="548">
      <c r="A548" t="inlineStr">
        <is>
          <t>INI-017</t>
        </is>
      </c>
      <c r="B548" t="inlineStr">
        <is>
          <t>Build resilient procurement governance and supplier risk controls</t>
        </is>
      </c>
      <c r="C548" t="inlineStr">
        <is>
          <t>STR-08</t>
        </is>
      </c>
      <c r="D548" t="inlineStr">
        <is>
          <t>FINA-018</t>
        </is>
      </c>
      <c r="E548" t="inlineStr">
        <is>
          <t>Finance Procurement</t>
        </is>
      </c>
      <c r="F548" t="inlineStr">
        <is>
          <t>Procurement and suppliers</t>
        </is>
      </c>
      <c r="G548">
        <f>IFERROR(INDEX('_ENGINE_Risk'!$BS$500:$BS$923,MATCH($D548,'_ENGINE_Risk'!$E$500:$E$923,0)),0)</f>
        <v/>
      </c>
      <c r="H548" t="n">
        <v>1</v>
      </c>
      <c r="I548">
        <f>IFERROR(MAX(0,5-INDEX('_ENGINE_Risk'!$H$500:$H$923,MATCH($D548,'_ENGINE_Risk'!$E$500:$E$923,0))),0)</f>
        <v/>
      </c>
      <c r="J548" t="inlineStr">
        <is>
          <t>P1 many-to-many coverage row</t>
        </is>
      </c>
      <c r="K548">
        <f>IFERROR(INDEX('_ENGINE_Risk'!$BI$500:$BI$923,MATCH($D548,'_ENGINE_Risk'!$E$500:$E$923,0))*N($H548),0)</f>
        <v/>
      </c>
      <c r="L548">
        <f>IFERROR(MIN(5,$K548/MAX(1,'_CONFIG_Model_Settings'!$B$105)),0)</f>
        <v/>
      </c>
    </row>
    <row r="549">
      <c r="A549" t="inlineStr">
        <is>
          <t>INI-017</t>
        </is>
      </c>
      <c r="B549" t="inlineStr">
        <is>
          <t>Build resilient procurement governance and supplier risk controls</t>
        </is>
      </c>
      <c r="C549" t="inlineStr">
        <is>
          <t>STR-08</t>
        </is>
      </c>
      <c r="D549" t="inlineStr">
        <is>
          <t>FINA-019</t>
        </is>
      </c>
      <c r="E549" t="inlineStr">
        <is>
          <t>Finance Procurement</t>
        </is>
      </c>
      <c r="F549" t="inlineStr">
        <is>
          <t>Procurement and suppliers</t>
        </is>
      </c>
      <c r="G549">
        <f>IFERROR(INDEX('_ENGINE_Risk'!$BS$500:$BS$923,MATCH($D549,'_ENGINE_Risk'!$E$500:$E$923,0)),0)</f>
        <v/>
      </c>
      <c r="H549" t="n">
        <v>1</v>
      </c>
      <c r="I549">
        <f>IFERROR(MAX(0,5-INDEX('_ENGINE_Risk'!$H$500:$H$923,MATCH($D549,'_ENGINE_Risk'!$E$500:$E$923,0))),0)</f>
        <v/>
      </c>
      <c r="J549" t="inlineStr">
        <is>
          <t>P1 many-to-many coverage row</t>
        </is>
      </c>
      <c r="K549">
        <f>IFERROR(INDEX('_ENGINE_Risk'!$BI$500:$BI$923,MATCH($D549,'_ENGINE_Risk'!$E$500:$E$923,0))*N($H549),0)</f>
        <v/>
      </c>
      <c r="L549">
        <f>IFERROR(MIN(5,$K549/MAX(1,'_CONFIG_Model_Settings'!$B$105)),0)</f>
        <v/>
      </c>
    </row>
    <row r="550">
      <c r="A550" t="inlineStr">
        <is>
          <t>INI-018</t>
        </is>
      </c>
      <c r="B550" t="inlineStr">
        <is>
          <t>Optimize working capital and liquidity early-warning controls</t>
        </is>
      </c>
      <c r="C550" t="inlineStr">
        <is>
          <t>STR-02</t>
        </is>
      </c>
      <c r="D550" t="inlineStr">
        <is>
          <t>FINA-020</t>
        </is>
      </c>
      <c r="E550" t="inlineStr">
        <is>
          <t>Finance Procurement</t>
        </is>
      </c>
      <c r="F550" t="inlineStr">
        <is>
          <t>Working capital</t>
        </is>
      </c>
      <c r="G550">
        <f>IFERROR(INDEX('_ENGINE_Risk'!$BS$500:$BS$923,MATCH($D550,'_ENGINE_Risk'!$E$500:$E$923,0)),0)</f>
        <v/>
      </c>
      <c r="H550" t="n">
        <v>1</v>
      </c>
      <c r="I550">
        <f>IFERROR(MAX(0,5-INDEX('_ENGINE_Risk'!$H$500:$H$923,MATCH($D550,'_ENGINE_Risk'!$E$500:$E$923,0))),0)</f>
        <v/>
      </c>
      <c r="J550" t="inlineStr">
        <is>
          <t>P1 many-to-many coverage row</t>
        </is>
      </c>
      <c r="K550">
        <f>IFERROR(INDEX('_ENGINE_Risk'!$BI$500:$BI$923,MATCH($D550,'_ENGINE_Risk'!$E$500:$E$923,0))*N($H550),0)</f>
        <v/>
      </c>
      <c r="L550">
        <f>IFERROR(MIN(5,$K550/MAX(1,'_CONFIG_Model_Settings'!$B$105)),0)</f>
        <v/>
      </c>
    </row>
    <row r="551">
      <c r="A551" t="inlineStr">
        <is>
          <t>INI-018</t>
        </is>
      </c>
      <c r="B551" t="inlineStr">
        <is>
          <t>Optimize working capital and liquidity early-warning controls</t>
        </is>
      </c>
      <c r="C551" t="inlineStr">
        <is>
          <t>STR-02</t>
        </is>
      </c>
      <c r="D551" t="inlineStr">
        <is>
          <t>FINA-021</t>
        </is>
      </c>
      <c r="E551" t="inlineStr">
        <is>
          <t>Finance Procurement</t>
        </is>
      </c>
      <c r="F551" t="inlineStr">
        <is>
          <t>Working capital</t>
        </is>
      </c>
      <c r="G551">
        <f>IFERROR(INDEX('_ENGINE_Risk'!$BS$500:$BS$923,MATCH($D551,'_ENGINE_Risk'!$E$500:$E$923,0)),0)</f>
        <v/>
      </c>
      <c r="H551" t="n">
        <v>1</v>
      </c>
      <c r="I551">
        <f>IFERROR(MAX(0,5-INDEX('_ENGINE_Risk'!$H$500:$H$923,MATCH($D551,'_ENGINE_Risk'!$E$500:$E$923,0))),0)</f>
        <v/>
      </c>
      <c r="J551" t="inlineStr">
        <is>
          <t>P1 many-to-many coverage row</t>
        </is>
      </c>
      <c r="K551">
        <f>IFERROR(INDEX('_ENGINE_Risk'!$BI$500:$BI$923,MATCH($D551,'_ENGINE_Risk'!$E$500:$E$923,0))*N($H551),0)</f>
        <v/>
      </c>
      <c r="L551">
        <f>IFERROR(MIN(5,$K551/MAX(1,'_CONFIG_Model_Settings'!$B$105)),0)</f>
        <v/>
      </c>
    </row>
    <row r="552">
      <c r="A552" t="inlineStr">
        <is>
          <t>INI-018</t>
        </is>
      </c>
      <c r="B552" t="inlineStr">
        <is>
          <t>Optimize working capital and liquidity early-warning controls</t>
        </is>
      </c>
      <c r="C552" t="inlineStr">
        <is>
          <t>STR-02</t>
        </is>
      </c>
      <c r="D552" t="inlineStr">
        <is>
          <t>FINA-022</t>
        </is>
      </c>
      <c r="E552" t="inlineStr">
        <is>
          <t>Finance Procurement</t>
        </is>
      </c>
      <c r="F552" t="inlineStr">
        <is>
          <t>Working capital</t>
        </is>
      </c>
      <c r="G552">
        <f>IFERROR(INDEX('_ENGINE_Risk'!$BS$500:$BS$923,MATCH($D552,'_ENGINE_Risk'!$E$500:$E$923,0)),0)</f>
        <v/>
      </c>
      <c r="H552" t="n">
        <v>1</v>
      </c>
      <c r="I552">
        <f>IFERROR(MAX(0,5-INDEX('_ENGINE_Risk'!$H$500:$H$923,MATCH($D552,'_ENGINE_Risk'!$E$500:$E$923,0))),0)</f>
        <v/>
      </c>
      <c r="J552" t="inlineStr">
        <is>
          <t>P1 many-to-many coverage row</t>
        </is>
      </c>
      <c r="K552">
        <f>IFERROR(INDEX('_ENGINE_Risk'!$BI$500:$BI$923,MATCH($D552,'_ENGINE_Risk'!$E$500:$E$923,0))*N($H552),0)</f>
        <v/>
      </c>
      <c r="L552">
        <f>IFERROR(MIN(5,$K552/MAX(1,'_CONFIG_Model_Settings'!$B$105)),0)</f>
        <v/>
      </c>
    </row>
    <row r="553">
      <c r="A553" t="inlineStr">
        <is>
          <t>INI-018</t>
        </is>
      </c>
      <c r="B553" t="inlineStr">
        <is>
          <t>Optimize working capital and liquidity early-warning controls</t>
        </is>
      </c>
      <c r="C553" t="inlineStr">
        <is>
          <t>STR-02</t>
        </is>
      </c>
      <c r="D553" t="inlineStr">
        <is>
          <t>FINA-023</t>
        </is>
      </c>
      <c r="E553" t="inlineStr">
        <is>
          <t>Finance Procurement</t>
        </is>
      </c>
      <c r="F553" t="inlineStr">
        <is>
          <t>Working capital</t>
        </is>
      </c>
      <c r="G553">
        <f>IFERROR(INDEX('_ENGINE_Risk'!$BS$500:$BS$923,MATCH($D553,'_ENGINE_Risk'!$E$500:$E$923,0)),0)</f>
        <v/>
      </c>
      <c r="H553" t="n">
        <v>1</v>
      </c>
      <c r="I553">
        <f>IFERROR(MAX(0,5-INDEX('_ENGINE_Risk'!$H$500:$H$923,MATCH($D553,'_ENGINE_Risk'!$E$500:$E$923,0))),0)</f>
        <v/>
      </c>
      <c r="J553" t="inlineStr">
        <is>
          <t>P1 many-to-many coverage row</t>
        </is>
      </c>
      <c r="K553">
        <f>IFERROR(INDEX('_ENGINE_Risk'!$BI$500:$BI$923,MATCH($D553,'_ENGINE_Risk'!$E$500:$E$923,0))*N($H553),0)</f>
        <v/>
      </c>
      <c r="L553">
        <f>IFERROR(MIN(5,$K553/MAX(1,'_CONFIG_Model_Settings'!$B$105)),0)</f>
        <v/>
      </c>
    </row>
    <row r="554">
      <c r="A554" t="inlineStr">
        <is>
          <t>INI-018</t>
        </is>
      </c>
      <c r="B554" t="inlineStr">
        <is>
          <t>Optimize working capital and liquidity early-warning controls</t>
        </is>
      </c>
      <c r="C554" t="inlineStr">
        <is>
          <t>STR-02</t>
        </is>
      </c>
      <c r="D554" t="inlineStr">
        <is>
          <t>FINA-024</t>
        </is>
      </c>
      <c r="E554" t="inlineStr">
        <is>
          <t>Finance Procurement</t>
        </is>
      </c>
      <c r="F554" t="inlineStr">
        <is>
          <t>Working capital</t>
        </is>
      </c>
      <c r="G554">
        <f>IFERROR(INDEX('_ENGINE_Risk'!$BS$500:$BS$923,MATCH($D554,'_ENGINE_Risk'!$E$500:$E$923,0)),0)</f>
        <v/>
      </c>
      <c r="H554" t="n">
        <v>1</v>
      </c>
      <c r="I554">
        <f>IFERROR(MAX(0,5-INDEX('_ENGINE_Risk'!$H$500:$H$923,MATCH($D554,'_ENGINE_Risk'!$E$500:$E$923,0))),0)</f>
        <v/>
      </c>
      <c r="J554" t="inlineStr">
        <is>
          <t>P1 many-to-many coverage row</t>
        </is>
      </c>
      <c r="K554">
        <f>IFERROR(INDEX('_ENGINE_Risk'!$BI$500:$BI$923,MATCH($D554,'_ENGINE_Risk'!$E$500:$E$923,0))*N($H554),0)</f>
        <v/>
      </c>
      <c r="L554">
        <f>IFERROR(MIN(5,$K554/MAX(1,'_CONFIG_Model_Settings'!$B$105)),0)</f>
        <v/>
      </c>
    </row>
    <row r="555">
      <c r="A555" t="inlineStr">
        <is>
          <t>INI-019</t>
        </is>
      </c>
      <c r="B555" t="inlineStr">
        <is>
          <t>Implement compliance obligation monitoring and crisis legal controls</t>
        </is>
      </c>
      <c r="C555" t="inlineStr">
        <is>
          <t>STR-13</t>
        </is>
      </c>
      <c r="D555" t="inlineStr">
        <is>
          <t>LEGA-001</t>
        </is>
      </c>
      <c r="E555" t="inlineStr">
        <is>
          <t>Legal Risk</t>
        </is>
      </c>
      <c r="F555" t="inlineStr">
        <is>
          <t>Compliance</t>
        </is>
      </c>
      <c r="G555">
        <f>IFERROR(INDEX('_ENGINE_Risk'!$BS$500:$BS$923,MATCH($D555,'_ENGINE_Risk'!$E$500:$E$923,0)),0)</f>
        <v/>
      </c>
      <c r="H555" t="n">
        <v>1</v>
      </c>
      <c r="I555">
        <f>IFERROR(MAX(0,5-INDEX('_ENGINE_Risk'!$H$500:$H$923,MATCH($D555,'_ENGINE_Risk'!$E$500:$E$923,0))),0)</f>
        <v/>
      </c>
      <c r="J555" t="inlineStr">
        <is>
          <t>P1 many-to-many coverage row</t>
        </is>
      </c>
      <c r="K555">
        <f>IFERROR(INDEX('_ENGINE_Risk'!$BI$500:$BI$923,MATCH($D555,'_ENGINE_Risk'!$E$500:$E$923,0))*N($H555),0)</f>
        <v/>
      </c>
      <c r="L555">
        <f>IFERROR(MIN(5,$K555/MAX(1,'_CONFIG_Model_Settings'!$B$105)),0)</f>
        <v/>
      </c>
    </row>
    <row r="556">
      <c r="A556" t="inlineStr">
        <is>
          <t>INI-019</t>
        </is>
      </c>
      <c r="B556" t="inlineStr">
        <is>
          <t>Implement compliance obligation monitoring and crisis legal controls</t>
        </is>
      </c>
      <c r="C556" t="inlineStr">
        <is>
          <t>STR-13</t>
        </is>
      </c>
      <c r="D556" t="inlineStr">
        <is>
          <t>LEGA-002</t>
        </is>
      </c>
      <c r="E556" t="inlineStr">
        <is>
          <t>Legal Risk</t>
        </is>
      </c>
      <c r="F556" t="inlineStr">
        <is>
          <t>Compliance</t>
        </is>
      </c>
      <c r="G556">
        <f>IFERROR(INDEX('_ENGINE_Risk'!$BS$500:$BS$923,MATCH($D556,'_ENGINE_Risk'!$E$500:$E$923,0)),0)</f>
        <v/>
      </c>
      <c r="H556" t="n">
        <v>1</v>
      </c>
      <c r="I556">
        <f>IFERROR(MAX(0,5-INDEX('_ENGINE_Risk'!$H$500:$H$923,MATCH($D556,'_ENGINE_Risk'!$E$500:$E$923,0))),0)</f>
        <v/>
      </c>
      <c r="J556" t="inlineStr">
        <is>
          <t>P1 many-to-many coverage row</t>
        </is>
      </c>
      <c r="K556">
        <f>IFERROR(INDEX('_ENGINE_Risk'!$BI$500:$BI$923,MATCH($D556,'_ENGINE_Risk'!$E$500:$E$923,0))*N($H556),0)</f>
        <v/>
      </c>
      <c r="L556">
        <f>IFERROR(MIN(5,$K556/MAX(1,'_CONFIG_Model_Settings'!$B$105)),0)</f>
        <v/>
      </c>
    </row>
    <row r="557">
      <c r="A557" t="inlineStr">
        <is>
          <t>INI-019</t>
        </is>
      </c>
      <c r="B557" t="inlineStr">
        <is>
          <t>Implement compliance obligation monitoring and crisis legal controls</t>
        </is>
      </c>
      <c r="C557" t="inlineStr">
        <is>
          <t>STR-13</t>
        </is>
      </c>
      <c r="D557" t="inlineStr">
        <is>
          <t>LEGA-003</t>
        </is>
      </c>
      <c r="E557" t="inlineStr">
        <is>
          <t>Legal Risk</t>
        </is>
      </c>
      <c r="F557" t="inlineStr">
        <is>
          <t>Compliance</t>
        </is>
      </c>
      <c r="G557">
        <f>IFERROR(INDEX('_ENGINE_Risk'!$BS$500:$BS$923,MATCH($D557,'_ENGINE_Risk'!$E$500:$E$923,0)),0)</f>
        <v/>
      </c>
      <c r="H557" t="n">
        <v>1</v>
      </c>
      <c r="I557">
        <f>IFERROR(MAX(0,5-INDEX('_ENGINE_Risk'!$H$500:$H$923,MATCH($D557,'_ENGINE_Risk'!$E$500:$E$923,0))),0)</f>
        <v/>
      </c>
      <c r="J557" t="inlineStr">
        <is>
          <t>P1 many-to-many coverage row</t>
        </is>
      </c>
      <c r="K557">
        <f>IFERROR(INDEX('_ENGINE_Risk'!$BI$500:$BI$923,MATCH($D557,'_ENGINE_Risk'!$E$500:$E$923,0))*N($H557),0)</f>
        <v/>
      </c>
      <c r="L557">
        <f>IFERROR(MIN(5,$K557/MAX(1,'_CONFIG_Model_Settings'!$B$105)),0)</f>
        <v/>
      </c>
    </row>
    <row r="558">
      <c r="A558" t="inlineStr">
        <is>
          <t>INI-019</t>
        </is>
      </c>
      <c r="B558" t="inlineStr">
        <is>
          <t>Implement compliance obligation monitoring and crisis legal controls</t>
        </is>
      </c>
      <c r="C558" t="inlineStr">
        <is>
          <t>STR-13</t>
        </is>
      </c>
      <c r="D558" t="inlineStr">
        <is>
          <t>LEGA-004</t>
        </is>
      </c>
      <c r="E558" t="inlineStr">
        <is>
          <t>Legal Risk</t>
        </is>
      </c>
      <c r="F558" t="inlineStr">
        <is>
          <t>Compliance</t>
        </is>
      </c>
      <c r="G558">
        <f>IFERROR(INDEX('_ENGINE_Risk'!$BS$500:$BS$923,MATCH($D558,'_ENGINE_Risk'!$E$500:$E$923,0)),0)</f>
        <v/>
      </c>
      <c r="H558" t="n">
        <v>1</v>
      </c>
      <c r="I558">
        <f>IFERROR(MAX(0,5-INDEX('_ENGINE_Risk'!$H$500:$H$923,MATCH($D558,'_ENGINE_Risk'!$E$500:$E$923,0))),0)</f>
        <v/>
      </c>
      <c r="J558" t="inlineStr">
        <is>
          <t>P1 many-to-many coverage row</t>
        </is>
      </c>
      <c r="K558">
        <f>IFERROR(INDEX('_ENGINE_Risk'!$BI$500:$BI$923,MATCH($D558,'_ENGINE_Risk'!$E$500:$E$923,0))*N($H558),0)</f>
        <v/>
      </c>
      <c r="L558">
        <f>IFERROR(MIN(5,$K558/MAX(1,'_CONFIG_Model_Settings'!$B$105)),0)</f>
        <v/>
      </c>
    </row>
    <row r="559">
      <c r="A559" t="inlineStr">
        <is>
          <t>INI-019</t>
        </is>
      </c>
      <c r="B559" t="inlineStr">
        <is>
          <t>Implement compliance obligation monitoring and crisis legal controls</t>
        </is>
      </c>
      <c r="C559" t="inlineStr">
        <is>
          <t>STR-13</t>
        </is>
      </c>
      <c r="D559" t="inlineStr">
        <is>
          <t>LEGA-005</t>
        </is>
      </c>
      <c r="E559" t="inlineStr">
        <is>
          <t>Legal Risk</t>
        </is>
      </c>
      <c r="F559" t="inlineStr">
        <is>
          <t>Compliance</t>
        </is>
      </c>
      <c r="G559">
        <f>IFERROR(INDEX('_ENGINE_Risk'!$BS$500:$BS$923,MATCH($D559,'_ENGINE_Risk'!$E$500:$E$923,0)),0)</f>
        <v/>
      </c>
      <c r="H559" t="n">
        <v>1</v>
      </c>
      <c r="I559">
        <f>IFERROR(MAX(0,5-INDEX('_ENGINE_Risk'!$H$500:$H$923,MATCH($D559,'_ENGINE_Risk'!$E$500:$E$923,0))),0)</f>
        <v/>
      </c>
      <c r="J559" t="inlineStr">
        <is>
          <t>P1 many-to-many coverage row</t>
        </is>
      </c>
      <c r="K559">
        <f>IFERROR(INDEX('_ENGINE_Risk'!$BI$500:$BI$923,MATCH($D559,'_ENGINE_Risk'!$E$500:$E$923,0))*N($H559),0)</f>
        <v/>
      </c>
      <c r="L559">
        <f>IFERROR(MIN(5,$K559/MAX(1,'_CONFIG_Model_Settings'!$B$105)),0)</f>
        <v/>
      </c>
    </row>
    <row r="560">
      <c r="A560" t="inlineStr">
        <is>
          <t>INI-019</t>
        </is>
      </c>
      <c r="B560" t="inlineStr">
        <is>
          <t>Implement compliance obligation monitoring and crisis legal controls</t>
        </is>
      </c>
      <c r="C560" t="inlineStr">
        <is>
          <t>STR-13</t>
        </is>
      </c>
      <c r="D560" t="inlineStr">
        <is>
          <t>LEGA-006</t>
        </is>
      </c>
      <c r="E560" t="inlineStr">
        <is>
          <t>Legal Risk</t>
        </is>
      </c>
      <c r="F560" t="inlineStr">
        <is>
          <t>Compliance</t>
        </is>
      </c>
      <c r="G560">
        <f>IFERROR(INDEX('_ENGINE_Risk'!$BS$500:$BS$923,MATCH($D560,'_ENGINE_Risk'!$E$500:$E$923,0)),0)</f>
        <v/>
      </c>
      <c r="H560" t="n">
        <v>1</v>
      </c>
      <c r="I560">
        <f>IFERROR(MAX(0,5-INDEX('_ENGINE_Risk'!$H$500:$H$923,MATCH($D560,'_ENGINE_Risk'!$E$500:$E$923,0))),0)</f>
        <v/>
      </c>
      <c r="J560" t="inlineStr">
        <is>
          <t>P1 many-to-many coverage row</t>
        </is>
      </c>
      <c r="K560">
        <f>IFERROR(INDEX('_ENGINE_Risk'!$BI$500:$BI$923,MATCH($D560,'_ENGINE_Risk'!$E$500:$E$923,0))*N($H560),0)</f>
        <v/>
      </c>
      <c r="L560">
        <f>IFERROR(MIN(5,$K560/MAX(1,'_CONFIG_Model_Settings'!$B$105)),0)</f>
        <v/>
      </c>
    </row>
    <row r="561">
      <c r="A561" t="inlineStr">
        <is>
          <t>INI-020</t>
        </is>
      </c>
      <c r="B561" t="inlineStr">
        <is>
          <t>Build contract register, obligations and force-majeure response model</t>
        </is>
      </c>
      <c r="C561" t="inlineStr">
        <is>
          <t>STR-13</t>
        </is>
      </c>
      <c r="D561" t="inlineStr">
        <is>
          <t>LEGA-007</t>
        </is>
      </c>
      <c r="E561" t="inlineStr">
        <is>
          <t>Legal Risk</t>
        </is>
      </c>
      <c r="F561" t="inlineStr">
        <is>
          <t>Contracts</t>
        </is>
      </c>
      <c r="G561">
        <f>IFERROR(INDEX('_ENGINE_Risk'!$BS$500:$BS$923,MATCH($D561,'_ENGINE_Risk'!$E$500:$E$923,0)),0)</f>
        <v/>
      </c>
      <c r="H561" t="n">
        <v>1</v>
      </c>
      <c r="I561">
        <f>IFERROR(MAX(0,5-INDEX('_ENGINE_Risk'!$H$500:$H$923,MATCH($D561,'_ENGINE_Risk'!$E$500:$E$923,0))),0)</f>
        <v/>
      </c>
      <c r="J561" t="inlineStr">
        <is>
          <t>P1 many-to-many coverage row</t>
        </is>
      </c>
      <c r="K561">
        <f>IFERROR(INDEX('_ENGINE_Risk'!$BI$500:$BI$923,MATCH($D561,'_ENGINE_Risk'!$E$500:$E$923,0))*N($H561),0)</f>
        <v/>
      </c>
      <c r="L561">
        <f>IFERROR(MIN(5,$K561/MAX(1,'_CONFIG_Model_Settings'!$B$105)),0)</f>
        <v/>
      </c>
    </row>
    <row r="562">
      <c r="A562" t="inlineStr">
        <is>
          <t>INI-020</t>
        </is>
      </c>
      <c r="B562" t="inlineStr">
        <is>
          <t>Build contract register, obligations and force-majeure response model</t>
        </is>
      </c>
      <c r="C562" t="inlineStr">
        <is>
          <t>STR-13</t>
        </is>
      </c>
      <c r="D562" t="inlineStr">
        <is>
          <t>LEGA-008</t>
        </is>
      </c>
      <c r="E562" t="inlineStr">
        <is>
          <t>Legal Risk</t>
        </is>
      </c>
      <c r="F562" t="inlineStr">
        <is>
          <t>Contracts</t>
        </is>
      </c>
      <c r="G562">
        <f>IFERROR(INDEX('_ENGINE_Risk'!$BS$500:$BS$923,MATCH($D562,'_ENGINE_Risk'!$E$500:$E$923,0)),0)</f>
        <v/>
      </c>
      <c r="H562" t="n">
        <v>1</v>
      </c>
      <c r="I562">
        <f>IFERROR(MAX(0,5-INDEX('_ENGINE_Risk'!$H$500:$H$923,MATCH($D562,'_ENGINE_Risk'!$E$500:$E$923,0))),0)</f>
        <v/>
      </c>
      <c r="J562" t="inlineStr">
        <is>
          <t>P1 many-to-many coverage row</t>
        </is>
      </c>
      <c r="K562">
        <f>IFERROR(INDEX('_ENGINE_Risk'!$BI$500:$BI$923,MATCH($D562,'_ENGINE_Risk'!$E$500:$E$923,0))*N($H562),0)</f>
        <v/>
      </c>
      <c r="L562">
        <f>IFERROR(MIN(5,$K562/MAX(1,'_CONFIG_Model_Settings'!$B$105)),0)</f>
        <v/>
      </c>
    </row>
    <row r="563">
      <c r="A563" t="inlineStr">
        <is>
          <t>INI-020</t>
        </is>
      </c>
      <c r="B563" t="inlineStr">
        <is>
          <t>Build contract register, obligations and force-majeure response model</t>
        </is>
      </c>
      <c r="C563" t="inlineStr">
        <is>
          <t>STR-13</t>
        </is>
      </c>
      <c r="D563" t="inlineStr">
        <is>
          <t>LEGA-009</t>
        </is>
      </c>
      <c r="E563" t="inlineStr">
        <is>
          <t>Legal Risk</t>
        </is>
      </c>
      <c r="F563" t="inlineStr">
        <is>
          <t>Contracts</t>
        </is>
      </c>
      <c r="G563">
        <f>IFERROR(INDEX('_ENGINE_Risk'!$BS$500:$BS$923,MATCH($D563,'_ENGINE_Risk'!$E$500:$E$923,0)),0)</f>
        <v/>
      </c>
      <c r="H563" t="n">
        <v>1</v>
      </c>
      <c r="I563">
        <f>IFERROR(MAX(0,5-INDEX('_ENGINE_Risk'!$H$500:$H$923,MATCH($D563,'_ENGINE_Risk'!$E$500:$E$923,0))),0)</f>
        <v/>
      </c>
      <c r="J563" t="inlineStr">
        <is>
          <t>P1 many-to-many coverage row</t>
        </is>
      </c>
      <c r="K563">
        <f>IFERROR(INDEX('_ENGINE_Risk'!$BI$500:$BI$923,MATCH($D563,'_ENGINE_Risk'!$E$500:$E$923,0))*N($H563),0)</f>
        <v/>
      </c>
      <c r="L563">
        <f>IFERROR(MIN(5,$K563/MAX(1,'_CONFIG_Model_Settings'!$B$105)),0)</f>
        <v/>
      </c>
    </row>
    <row r="564">
      <c r="A564" t="inlineStr">
        <is>
          <t>INI-020</t>
        </is>
      </c>
      <c r="B564" t="inlineStr">
        <is>
          <t>Build contract register, obligations and force-majeure response model</t>
        </is>
      </c>
      <c r="C564" t="inlineStr">
        <is>
          <t>STR-13</t>
        </is>
      </c>
      <c r="D564" t="inlineStr">
        <is>
          <t>LEGA-010</t>
        </is>
      </c>
      <c r="E564" t="inlineStr">
        <is>
          <t>Legal Risk</t>
        </is>
      </c>
      <c r="F564" t="inlineStr">
        <is>
          <t>Contracts</t>
        </is>
      </c>
      <c r="G564">
        <f>IFERROR(INDEX('_ENGINE_Risk'!$BS$500:$BS$923,MATCH($D564,'_ENGINE_Risk'!$E$500:$E$923,0)),0)</f>
        <v/>
      </c>
      <c r="H564" t="n">
        <v>1</v>
      </c>
      <c r="I564">
        <f>IFERROR(MAX(0,5-INDEX('_ENGINE_Risk'!$H$500:$H$923,MATCH($D564,'_ENGINE_Risk'!$E$500:$E$923,0))),0)</f>
        <v/>
      </c>
      <c r="J564" t="inlineStr">
        <is>
          <t>P1 many-to-many coverage row</t>
        </is>
      </c>
      <c r="K564">
        <f>IFERROR(INDEX('_ENGINE_Risk'!$BI$500:$BI$923,MATCH($D564,'_ENGINE_Risk'!$E$500:$E$923,0))*N($H564),0)</f>
        <v/>
      </c>
      <c r="L564">
        <f>IFERROR(MIN(5,$K564/MAX(1,'_CONFIG_Model_Settings'!$B$105)),0)</f>
        <v/>
      </c>
    </row>
    <row r="565">
      <c r="A565" t="inlineStr">
        <is>
          <t>INI-020</t>
        </is>
      </c>
      <c r="B565" t="inlineStr">
        <is>
          <t>Build contract register, obligations and force-majeure response model</t>
        </is>
      </c>
      <c r="C565" t="inlineStr">
        <is>
          <t>STR-13</t>
        </is>
      </c>
      <c r="D565" t="inlineStr">
        <is>
          <t>LEGA-011</t>
        </is>
      </c>
      <c r="E565" t="inlineStr">
        <is>
          <t>Legal Risk</t>
        </is>
      </c>
      <c r="F565" t="inlineStr">
        <is>
          <t>Contracts</t>
        </is>
      </c>
      <c r="G565">
        <f>IFERROR(INDEX('_ENGINE_Risk'!$BS$500:$BS$923,MATCH($D565,'_ENGINE_Risk'!$E$500:$E$923,0)),0)</f>
        <v/>
      </c>
      <c r="H565" t="n">
        <v>1</v>
      </c>
      <c r="I565">
        <f>IFERROR(MAX(0,5-INDEX('_ENGINE_Risk'!$H$500:$H$923,MATCH($D565,'_ENGINE_Risk'!$E$500:$E$923,0))),0)</f>
        <v/>
      </c>
      <c r="J565" t="inlineStr">
        <is>
          <t>P1 many-to-many coverage row</t>
        </is>
      </c>
      <c r="K565">
        <f>IFERROR(INDEX('_ENGINE_Risk'!$BI$500:$BI$923,MATCH($D565,'_ENGINE_Risk'!$E$500:$E$923,0))*N($H565),0)</f>
        <v/>
      </c>
      <c r="L565">
        <f>IFERROR(MIN(5,$K565/MAX(1,'_CONFIG_Model_Settings'!$B$105)),0)</f>
        <v/>
      </c>
    </row>
    <row r="566">
      <c r="A566" t="inlineStr">
        <is>
          <t>INI-020</t>
        </is>
      </c>
      <c r="B566" t="inlineStr">
        <is>
          <t>Build contract register, obligations and force-majeure response model</t>
        </is>
      </c>
      <c r="C566" t="inlineStr">
        <is>
          <t>STR-13</t>
        </is>
      </c>
      <c r="D566" t="inlineStr">
        <is>
          <t>LEGA-012</t>
        </is>
      </c>
      <c r="E566" t="inlineStr">
        <is>
          <t>Legal Risk</t>
        </is>
      </c>
      <c r="F566" t="inlineStr">
        <is>
          <t>Contracts</t>
        </is>
      </c>
      <c r="G566">
        <f>IFERROR(INDEX('_ENGINE_Risk'!$BS$500:$BS$923,MATCH($D566,'_ENGINE_Risk'!$E$500:$E$923,0)),0)</f>
        <v/>
      </c>
      <c r="H566" t="n">
        <v>1</v>
      </c>
      <c r="I566">
        <f>IFERROR(MAX(0,5-INDEX('_ENGINE_Risk'!$H$500:$H$923,MATCH($D566,'_ENGINE_Risk'!$E$500:$E$923,0))),0)</f>
        <v/>
      </c>
      <c r="J566" t="inlineStr">
        <is>
          <t>P1 many-to-many coverage row</t>
        </is>
      </c>
      <c r="K566">
        <f>IFERROR(INDEX('_ENGINE_Risk'!$BI$500:$BI$923,MATCH($D566,'_ENGINE_Risk'!$E$500:$E$923,0))*N($H566),0)</f>
        <v/>
      </c>
      <c r="L566">
        <f>IFERROR(MIN(5,$K566/MAX(1,'_CONFIG_Model_Settings'!$B$105)),0)</f>
        <v/>
      </c>
    </row>
    <row r="567">
      <c r="A567" t="inlineStr">
        <is>
          <t>INI-021</t>
        </is>
      </c>
      <c r="B567" t="inlineStr">
        <is>
          <t>Strengthen data, IP and confidentiality legal safeguards</t>
        </is>
      </c>
      <c r="C567" t="inlineStr">
        <is>
          <t>STR-13</t>
        </is>
      </c>
      <c r="D567" t="inlineStr">
        <is>
          <t>LEGA-013</t>
        </is>
      </c>
      <c r="E567" t="inlineStr">
        <is>
          <t>Legal Risk</t>
        </is>
      </c>
      <c r="F567" t="inlineStr">
        <is>
          <t>Data and IP</t>
        </is>
      </c>
      <c r="G567">
        <f>IFERROR(INDEX('_ENGINE_Risk'!$BS$500:$BS$923,MATCH($D567,'_ENGINE_Risk'!$E$500:$E$923,0)),0)</f>
        <v/>
      </c>
      <c r="H567" t="n">
        <v>1</v>
      </c>
      <c r="I567">
        <f>IFERROR(MAX(0,5-INDEX('_ENGINE_Risk'!$H$500:$H$923,MATCH($D567,'_ENGINE_Risk'!$E$500:$E$923,0))),0)</f>
        <v/>
      </c>
      <c r="J567" t="inlineStr">
        <is>
          <t>P1 many-to-many coverage row</t>
        </is>
      </c>
      <c r="K567">
        <f>IFERROR(INDEX('_ENGINE_Risk'!$BI$500:$BI$923,MATCH($D567,'_ENGINE_Risk'!$E$500:$E$923,0))*N($H567),0)</f>
        <v/>
      </c>
      <c r="L567">
        <f>IFERROR(MIN(5,$K567/MAX(1,'_CONFIG_Model_Settings'!$B$105)),0)</f>
        <v/>
      </c>
    </row>
    <row r="568">
      <c r="A568" t="inlineStr">
        <is>
          <t>INI-021</t>
        </is>
      </c>
      <c r="B568" t="inlineStr">
        <is>
          <t>Strengthen data, IP and confidentiality legal safeguards</t>
        </is>
      </c>
      <c r="C568" t="inlineStr">
        <is>
          <t>STR-13</t>
        </is>
      </c>
      <c r="D568" t="inlineStr">
        <is>
          <t>LEGA-014</t>
        </is>
      </c>
      <c r="E568" t="inlineStr">
        <is>
          <t>Legal Risk</t>
        </is>
      </c>
      <c r="F568" t="inlineStr">
        <is>
          <t>Data and IP</t>
        </is>
      </c>
      <c r="G568">
        <f>IFERROR(INDEX('_ENGINE_Risk'!$BS$500:$BS$923,MATCH($D568,'_ENGINE_Risk'!$E$500:$E$923,0)),0)</f>
        <v/>
      </c>
      <c r="H568" t="n">
        <v>1</v>
      </c>
      <c r="I568">
        <f>IFERROR(MAX(0,5-INDEX('_ENGINE_Risk'!$H$500:$H$923,MATCH($D568,'_ENGINE_Risk'!$E$500:$E$923,0))),0)</f>
        <v/>
      </c>
      <c r="J568" t="inlineStr">
        <is>
          <t>P1 many-to-many coverage row</t>
        </is>
      </c>
      <c r="K568">
        <f>IFERROR(INDEX('_ENGINE_Risk'!$BI$500:$BI$923,MATCH($D568,'_ENGINE_Risk'!$E$500:$E$923,0))*N($H568),0)</f>
        <v/>
      </c>
      <c r="L568">
        <f>IFERROR(MIN(5,$K568/MAX(1,'_CONFIG_Model_Settings'!$B$105)),0)</f>
        <v/>
      </c>
    </row>
    <row r="569">
      <c r="A569" t="inlineStr">
        <is>
          <t>INI-021</t>
        </is>
      </c>
      <c r="B569" t="inlineStr">
        <is>
          <t>Strengthen data, IP and confidentiality legal safeguards</t>
        </is>
      </c>
      <c r="C569" t="inlineStr">
        <is>
          <t>STR-13</t>
        </is>
      </c>
      <c r="D569" t="inlineStr">
        <is>
          <t>LEGA-015</t>
        </is>
      </c>
      <c r="E569" t="inlineStr">
        <is>
          <t>Legal Risk</t>
        </is>
      </c>
      <c r="F569" t="inlineStr">
        <is>
          <t>Data and IP</t>
        </is>
      </c>
      <c r="G569">
        <f>IFERROR(INDEX('_ENGINE_Risk'!$BS$500:$BS$923,MATCH($D569,'_ENGINE_Risk'!$E$500:$E$923,0)),0)</f>
        <v/>
      </c>
      <c r="H569" t="n">
        <v>1</v>
      </c>
      <c r="I569">
        <f>IFERROR(MAX(0,5-INDEX('_ENGINE_Risk'!$H$500:$H$923,MATCH($D569,'_ENGINE_Risk'!$E$500:$E$923,0))),0)</f>
        <v/>
      </c>
      <c r="J569" t="inlineStr">
        <is>
          <t>P1 many-to-many coverage row</t>
        </is>
      </c>
      <c r="K569">
        <f>IFERROR(INDEX('_ENGINE_Risk'!$BI$500:$BI$923,MATCH($D569,'_ENGINE_Risk'!$E$500:$E$923,0))*N($H569),0)</f>
        <v/>
      </c>
      <c r="L569">
        <f>IFERROR(MIN(5,$K569/MAX(1,'_CONFIG_Model_Settings'!$B$105)),0)</f>
        <v/>
      </c>
    </row>
    <row r="570">
      <c r="A570" t="inlineStr">
        <is>
          <t>INI-021</t>
        </is>
      </c>
      <c r="B570" t="inlineStr">
        <is>
          <t>Strengthen data, IP and confidentiality legal safeguards</t>
        </is>
      </c>
      <c r="C570" t="inlineStr">
        <is>
          <t>STR-13</t>
        </is>
      </c>
      <c r="D570" t="inlineStr">
        <is>
          <t>LEGA-016</t>
        </is>
      </c>
      <c r="E570" t="inlineStr">
        <is>
          <t>Legal Risk</t>
        </is>
      </c>
      <c r="F570" t="inlineStr">
        <is>
          <t>Data and IP</t>
        </is>
      </c>
      <c r="G570">
        <f>IFERROR(INDEX('_ENGINE_Risk'!$BS$500:$BS$923,MATCH($D570,'_ENGINE_Risk'!$E$500:$E$923,0)),0)</f>
        <v/>
      </c>
      <c r="H570" t="n">
        <v>1</v>
      </c>
      <c r="I570">
        <f>IFERROR(MAX(0,5-INDEX('_ENGINE_Risk'!$H$500:$H$923,MATCH($D570,'_ENGINE_Risk'!$E$500:$E$923,0))),0)</f>
        <v/>
      </c>
      <c r="J570" t="inlineStr">
        <is>
          <t>P1 many-to-many coverage row</t>
        </is>
      </c>
      <c r="K570">
        <f>IFERROR(INDEX('_ENGINE_Risk'!$BI$500:$BI$923,MATCH($D570,'_ENGINE_Risk'!$E$500:$E$923,0))*N($H570),0)</f>
        <v/>
      </c>
      <c r="L570">
        <f>IFERROR(MIN(5,$K570/MAX(1,'_CONFIG_Model_Settings'!$B$105)),0)</f>
        <v/>
      </c>
    </row>
    <row r="571">
      <c r="A571" t="inlineStr">
        <is>
          <t>INI-021</t>
        </is>
      </c>
      <c r="B571" t="inlineStr">
        <is>
          <t>Strengthen data, IP and confidentiality legal safeguards</t>
        </is>
      </c>
      <c r="C571" t="inlineStr">
        <is>
          <t>STR-13</t>
        </is>
      </c>
      <c r="D571" t="inlineStr">
        <is>
          <t>LEGA-017</t>
        </is>
      </c>
      <c r="E571" t="inlineStr">
        <is>
          <t>Legal Risk</t>
        </is>
      </c>
      <c r="F571" t="inlineStr">
        <is>
          <t>Data and IP</t>
        </is>
      </c>
      <c r="G571">
        <f>IFERROR(INDEX('_ENGINE_Risk'!$BS$500:$BS$923,MATCH($D571,'_ENGINE_Risk'!$E$500:$E$923,0)),0)</f>
        <v/>
      </c>
      <c r="H571" t="n">
        <v>1</v>
      </c>
      <c r="I571">
        <f>IFERROR(MAX(0,5-INDEX('_ENGINE_Risk'!$H$500:$H$923,MATCH($D571,'_ENGINE_Risk'!$E$500:$E$923,0))),0)</f>
        <v/>
      </c>
      <c r="J571" t="inlineStr">
        <is>
          <t>P1 many-to-many coverage row</t>
        </is>
      </c>
      <c r="K571">
        <f>IFERROR(INDEX('_ENGINE_Risk'!$BI$500:$BI$923,MATCH($D571,'_ENGINE_Risk'!$E$500:$E$923,0))*N($H571),0)</f>
        <v/>
      </c>
      <c r="L571">
        <f>IFERROR(MIN(5,$K571/MAX(1,'_CONFIG_Model_Settings'!$B$105)),0)</f>
        <v/>
      </c>
    </row>
    <row r="572">
      <c r="A572" t="inlineStr">
        <is>
          <t>INI-021</t>
        </is>
      </c>
      <c r="B572" t="inlineStr">
        <is>
          <t>Strengthen data, IP and confidentiality legal safeguards</t>
        </is>
      </c>
      <c r="C572" t="inlineStr">
        <is>
          <t>STR-13</t>
        </is>
      </c>
      <c r="D572" t="inlineStr">
        <is>
          <t>LEGA-018</t>
        </is>
      </c>
      <c r="E572" t="inlineStr">
        <is>
          <t>Legal Risk</t>
        </is>
      </c>
      <c r="F572" t="inlineStr">
        <is>
          <t>Data and IP</t>
        </is>
      </c>
      <c r="G572">
        <f>IFERROR(INDEX('_ENGINE_Risk'!$BS$500:$BS$923,MATCH($D572,'_ENGINE_Risk'!$E$500:$E$923,0)),0)</f>
        <v/>
      </c>
      <c r="H572" t="n">
        <v>1</v>
      </c>
      <c r="I572">
        <f>IFERROR(MAX(0,5-INDEX('_ENGINE_Risk'!$H$500:$H$923,MATCH($D572,'_ENGINE_Risk'!$E$500:$E$923,0))),0)</f>
        <v/>
      </c>
      <c r="J572" t="inlineStr">
        <is>
          <t>P1 many-to-many coverage row</t>
        </is>
      </c>
      <c r="K572">
        <f>IFERROR(INDEX('_ENGINE_Risk'!$BI$500:$BI$923,MATCH($D572,'_ENGINE_Risk'!$E$500:$E$923,0))*N($H572),0)</f>
        <v/>
      </c>
      <c r="L572">
        <f>IFERROR(MIN(5,$K572/MAX(1,'_CONFIG_Model_Settings'!$B$105)),0)</f>
        <v/>
      </c>
    </row>
    <row r="573">
      <c r="A573" t="inlineStr">
        <is>
          <t>INI-022</t>
        </is>
      </c>
      <c r="B573" t="inlineStr">
        <is>
          <t>Prepare employment-law continuity and workforce-location compliance</t>
        </is>
      </c>
      <c r="C573" t="inlineStr">
        <is>
          <t>STR-13</t>
        </is>
      </c>
      <c r="D573" t="inlineStr">
        <is>
          <t>LEGA-019</t>
        </is>
      </c>
      <c r="E573" t="inlineStr">
        <is>
          <t>Legal Risk</t>
        </is>
      </c>
      <c r="F573" t="inlineStr">
        <is>
          <t>Employment law</t>
        </is>
      </c>
      <c r="G573">
        <f>IFERROR(INDEX('_ENGINE_Risk'!$BS$500:$BS$923,MATCH($D573,'_ENGINE_Risk'!$E$500:$E$923,0)),0)</f>
        <v/>
      </c>
      <c r="H573" t="n">
        <v>1</v>
      </c>
      <c r="I573">
        <f>IFERROR(MAX(0,5-INDEX('_ENGINE_Risk'!$H$500:$H$923,MATCH($D573,'_ENGINE_Risk'!$E$500:$E$923,0))),0)</f>
        <v/>
      </c>
      <c r="J573" t="inlineStr">
        <is>
          <t>P1 many-to-many coverage row</t>
        </is>
      </c>
      <c r="K573">
        <f>IFERROR(INDEX('_ENGINE_Risk'!$BI$500:$BI$923,MATCH($D573,'_ENGINE_Risk'!$E$500:$E$923,0))*N($H573),0)</f>
        <v/>
      </c>
      <c r="L573">
        <f>IFERROR(MIN(5,$K573/MAX(1,'_CONFIG_Model_Settings'!$B$105)),0)</f>
        <v/>
      </c>
    </row>
    <row r="574">
      <c r="A574" t="inlineStr">
        <is>
          <t>INI-022</t>
        </is>
      </c>
      <c r="B574" t="inlineStr">
        <is>
          <t>Prepare employment-law continuity and workforce-location compliance</t>
        </is>
      </c>
      <c r="C574" t="inlineStr">
        <is>
          <t>STR-13</t>
        </is>
      </c>
      <c r="D574" t="inlineStr">
        <is>
          <t>LEGA-020</t>
        </is>
      </c>
      <c r="E574" t="inlineStr">
        <is>
          <t>Legal Risk</t>
        </is>
      </c>
      <c r="F574" t="inlineStr">
        <is>
          <t>Employment law</t>
        </is>
      </c>
      <c r="G574">
        <f>IFERROR(INDEX('_ENGINE_Risk'!$BS$500:$BS$923,MATCH($D574,'_ENGINE_Risk'!$E$500:$E$923,0)),0)</f>
        <v/>
      </c>
      <c r="H574" t="n">
        <v>1</v>
      </c>
      <c r="I574">
        <f>IFERROR(MAX(0,5-INDEX('_ENGINE_Risk'!$H$500:$H$923,MATCH($D574,'_ENGINE_Risk'!$E$500:$E$923,0))),0)</f>
        <v/>
      </c>
      <c r="J574" t="inlineStr">
        <is>
          <t>P1 many-to-many coverage row</t>
        </is>
      </c>
      <c r="K574">
        <f>IFERROR(INDEX('_ENGINE_Risk'!$BI$500:$BI$923,MATCH($D574,'_ENGINE_Risk'!$E$500:$E$923,0))*N($H574),0)</f>
        <v/>
      </c>
      <c r="L574">
        <f>IFERROR(MIN(5,$K574/MAX(1,'_CONFIG_Model_Settings'!$B$105)),0)</f>
        <v/>
      </c>
    </row>
    <row r="575">
      <c r="A575" t="inlineStr">
        <is>
          <t>INI-023</t>
        </is>
      </c>
      <c r="B575" t="inlineStr">
        <is>
          <t>Implement occupational health and safety governance system</t>
        </is>
      </c>
      <c r="C575" t="inlineStr">
        <is>
          <t>STR-10</t>
        </is>
      </c>
      <c r="D575" t="inlineStr">
        <is>
          <t>PHYS-001</t>
        </is>
      </c>
      <c r="E575" t="inlineStr">
        <is>
          <t>Physical Safety</t>
        </is>
      </c>
      <c r="F575" t="inlineStr">
        <is>
          <t>OH&amp;S governance</t>
        </is>
      </c>
      <c r="G575">
        <f>IFERROR(INDEX('_ENGINE_Risk'!$BS$500:$BS$923,MATCH($D575,'_ENGINE_Risk'!$E$500:$E$923,0)),0)</f>
        <v/>
      </c>
      <c r="H575" t="n">
        <v>1</v>
      </c>
      <c r="I575">
        <f>IFERROR(MAX(0,5-INDEX('_ENGINE_Risk'!$H$500:$H$923,MATCH($D575,'_ENGINE_Risk'!$E$500:$E$923,0))),0)</f>
        <v/>
      </c>
      <c r="J575" t="inlineStr">
        <is>
          <t>P1 many-to-many coverage row</t>
        </is>
      </c>
      <c r="K575">
        <f>IFERROR(INDEX('_ENGINE_Risk'!$BI$500:$BI$923,MATCH($D575,'_ENGINE_Risk'!$E$500:$E$923,0))*N($H575),0)</f>
        <v/>
      </c>
      <c r="L575">
        <f>IFERROR(MIN(5,$K575/MAX(1,'_CONFIG_Model_Settings'!$B$105)),0)</f>
        <v/>
      </c>
    </row>
    <row r="576">
      <c r="A576" t="inlineStr">
        <is>
          <t>INI-023</t>
        </is>
      </c>
      <c r="B576" t="inlineStr">
        <is>
          <t>Implement occupational health and safety governance system</t>
        </is>
      </c>
      <c r="C576" t="inlineStr">
        <is>
          <t>STR-10</t>
        </is>
      </c>
      <c r="D576" t="inlineStr">
        <is>
          <t>PHYS-002</t>
        </is>
      </c>
      <c r="E576" t="inlineStr">
        <is>
          <t>Physical Safety</t>
        </is>
      </c>
      <c r="F576" t="inlineStr">
        <is>
          <t>OH&amp;S governance</t>
        </is>
      </c>
      <c r="G576">
        <f>IFERROR(INDEX('_ENGINE_Risk'!$BS$500:$BS$923,MATCH($D576,'_ENGINE_Risk'!$E$500:$E$923,0)),0)</f>
        <v/>
      </c>
      <c r="H576" t="n">
        <v>1</v>
      </c>
      <c r="I576">
        <f>IFERROR(MAX(0,5-INDEX('_ENGINE_Risk'!$H$500:$H$923,MATCH($D576,'_ENGINE_Risk'!$E$500:$E$923,0))),0)</f>
        <v/>
      </c>
      <c r="J576" t="inlineStr">
        <is>
          <t>P1 many-to-many coverage row</t>
        </is>
      </c>
      <c r="K576">
        <f>IFERROR(INDEX('_ENGINE_Risk'!$BI$500:$BI$923,MATCH($D576,'_ENGINE_Risk'!$E$500:$E$923,0))*N($H576),0)</f>
        <v/>
      </c>
      <c r="L576">
        <f>IFERROR(MIN(5,$K576/MAX(1,'_CONFIG_Model_Settings'!$B$105)),0)</f>
        <v/>
      </c>
    </row>
    <row r="577">
      <c r="A577" t="inlineStr">
        <is>
          <t>INI-023</t>
        </is>
      </c>
      <c r="B577" t="inlineStr">
        <is>
          <t>Implement occupational health and safety governance system</t>
        </is>
      </c>
      <c r="C577" t="inlineStr">
        <is>
          <t>STR-10</t>
        </is>
      </c>
      <c r="D577" t="inlineStr">
        <is>
          <t>PHYS-003</t>
        </is>
      </c>
      <c r="E577" t="inlineStr">
        <is>
          <t>Physical Safety</t>
        </is>
      </c>
      <c r="F577" t="inlineStr">
        <is>
          <t>OH&amp;S governance</t>
        </is>
      </c>
      <c r="G577">
        <f>IFERROR(INDEX('_ENGINE_Risk'!$BS$500:$BS$923,MATCH($D577,'_ENGINE_Risk'!$E$500:$E$923,0)),0)</f>
        <v/>
      </c>
      <c r="H577" t="n">
        <v>1</v>
      </c>
      <c r="I577">
        <f>IFERROR(MAX(0,5-INDEX('_ENGINE_Risk'!$H$500:$H$923,MATCH($D577,'_ENGINE_Risk'!$E$500:$E$923,0))),0)</f>
        <v/>
      </c>
      <c r="J577" t="inlineStr">
        <is>
          <t>P1 many-to-many coverage row</t>
        </is>
      </c>
      <c r="K577">
        <f>IFERROR(INDEX('_ENGINE_Risk'!$BI$500:$BI$923,MATCH($D577,'_ENGINE_Risk'!$E$500:$E$923,0))*N($H577),0)</f>
        <v/>
      </c>
      <c r="L577">
        <f>IFERROR(MIN(5,$K577/MAX(1,'_CONFIG_Model_Settings'!$B$105)),0)</f>
        <v/>
      </c>
    </row>
    <row r="578">
      <c r="A578" t="inlineStr">
        <is>
          <t>INI-023</t>
        </is>
      </c>
      <c r="B578" t="inlineStr">
        <is>
          <t>Implement occupational health and safety governance system</t>
        </is>
      </c>
      <c r="C578" t="inlineStr">
        <is>
          <t>STR-10</t>
        </is>
      </c>
      <c r="D578" t="inlineStr">
        <is>
          <t>PHYS-004</t>
        </is>
      </c>
      <c r="E578" t="inlineStr">
        <is>
          <t>Physical Safety</t>
        </is>
      </c>
      <c r="F578" t="inlineStr">
        <is>
          <t>OH&amp;S governance</t>
        </is>
      </c>
      <c r="G578">
        <f>IFERROR(INDEX('_ENGINE_Risk'!$BS$500:$BS$923,MATCH($D578,'_ENGINE_Risk'!$E$500:$E$923,0)),0)</f>
        <v/>
      </c>
      <c r="H578" t="n">
        <v>1</v>
      </c>
      <c r="I578">
        <f>IFERROR(MAX(0,5-INDEX('_ENGINE_Risk'!$H$500:$H$923,MATCH($D578,'_ENGINE_Risk'!$E$500:$E$923,0))),0)</f>
        <v/>
      </c>
      <c r="J578" t="inlineStr">
        <is>
          <t>P1 many-to-many coverage row</t>
        </is>
      </c>
      <c r="K578">
        <f>IFERROR(INDEX('_ENGINE_Risk'!$BI$500:$BI$923,MATCH($D578,'_ENGINE_Risk'!$E$500:$E$923,0))*N($H578),0)</f>
        <v/>
      </c>
      <c r="L578">
        <f>IFERROR(MIN(5,$K578/MAX(1,'_CONFIG_Model_Settings'!$B$105)),0)</f>
        <v/>
      </c>
    </row>
    <row r="579">
      <c r="A579" t="inlineStr">
        <is>
          <t>INI-023</t>
        </is>
      </c>
      <c r="B579" t="inlineStr">
        <is>
          <t>Implement occupational health and safety governance system</t>
        </is>
      </c>
      <c r="C579" t="inlineStr">
        <is>
          <t>STR-10</t>
        </is>
      </c>
      <c r="D579" t="inlineStr">
        <is>
          <t>PHYS-005</t>
        </is>
      </c>
      <c r="E579" t="inlineStr">
        <is>
          <t>Physical Safety</t>
        </is>
      </c>
      <c r="F579" t="inlineStr">
        <is>
          <t>OH&amp;S governance</t>
        </is>
      </c>
      <c r="G579">
        <f>IFERROR(INDEX('_ENGINE_Risk'!$BS$500:$BS$923,MATCH($D579,'_ENGINE_Risk'!$E$500:$E$923,0)),0)</f>
        <v/>
      </c>
      <c r="H579" t="n">
        <v>1</v>
      </c>
      <c r="I579">
        <f>IFERROR(MAX(0,5-INDEX('_ENGINE_Risk'!$H$500:$H$923,MATCH($D579,'_ENGINE_Risk'!$E$500:$E$923,0))),0)</f>
        <v/>
      </c>
      <c r="J579" t="inlineStr">
        <is>
          <t>P1 many-to-many coverage row</t>
        </is>
      </c>
      <c r="K579">
        <f>IFERROR(INDEX('_ENGINE_Risk'!$BI$500:$BI$923,MATCH($D579,'_ENGINE_Risk'!$E$500:$E$923,0))*N($H579),0)</f>
        <v/>
      </c>
      <c r="L579">
        <f>IFERROR(MIN(5,$K579/MAX(1,'_CONFIG_Model_Settings'!$B$105)),0)</f>
        <v/>
      </c>
    </row>
    <row r="580">
      <c r="A580" t="inlineStr">
        <is>
          <t>INI-023</t>
        </is>
      </c>
      <c r="B580" t="inlineStr">
        <is>
          <t>Implement occupational health and safety governance system</t>
        </is>
      </c>
      <c r="C580" t="inlineStr">
        <is>
          <t>STR-10</t>
        </is>
      </c>
      <c r="D580" t="inlineStr">
        <is>
          <t>PHYS-006</t>
        </is>
      </c>
      <c r="E580" t="inlineStr">
        <is>
          <t>Physical Safety</t>
        </is>
      </c>
      <c r="F580" t="inlineStr">
        <is>
          <t>OH&amp;S governance</t>
        </is>
      </c>
      <c r="G580">
        <f>IFERROR(INDEX('_ENGINE_Risk'!$BS$500:$BS$923,MATCH($D580,'_ENGINE_Risk'!$E$500:$E$923,0)),0)</f>
        <v/>
      </c>
      <c r="H580" t="n">
        <v>1</v>
      </c>
      <c r="I580">
        <f>IFERROR(MAX(0,5-INDEX('_ENGINE_Risk'!$H$500:$H$923,MATCH($D580,'_ENGINE_Risk'!$E$500:$E$923,0))),0)</f>
        <v/>
      </c>
      <c r="J580" t="inlineStr">
        <is>
          <t>P1 many-to-many coverage row</t>
        </is>
      </c>
      <c r="K580">
        <f>IFERROR(INDEX('_ENGINE_Risk'!$BI$500:$BI$923,MATCH($D580,'_ENGINE_Risk'!$E$500:$E$923,0))*N($H580),0)</f>
        <v/>
      </c>
      <c r="L580">
        <f>IFERROR(MIN(5,$K580/MAX(1,'_CONFIG_Model_Settings'!$B$105)),0)</f>
        <v/>
      </c>
    </row>
    <row r="581">
      <c r="A581" t="inlineStr">
        <is>
          <t>INI-024</t>
        </is>
      </c>
      <c r="B581" t="inlineStr">
        <is>
          <t>Secure facilities, physical access and site protection controls</t>
        </is>
      </c>
      <c r="C581" t="inlineStr">
        <is>
          <t>STR-10</t>
        </is>
      </c>
      <c r="D581" t="inlineStr">
        <is>
          <t>PHYS-007</t>
        </is>
      </c>
      <c r="E581" t="inlineStr">
        <is>
          <t>Physical Safety</t>
        </is>
      </c>
      <c r="F581" t="inlineStr">
        <is>
          <t>Facilities and access</t>
        </is>
      </c>
      <c r="G581">
        <f>IFERROR(INDEX('_ENGINE_Risk'!$BS$500:$BS$923,MATCH($D581,'_ENGINE_Risk'!$E$500:$E$923,0)),0)</f>
        <v/>
      </c>
      <c r="H581" t="n">
        <v>1</v>
      </c>
      <c r="I581">
        <f>IFERROR(MAX(0,5-INDEX('_ENGINE_Risk'!$H$500:$H$923,MATCH($D581,'_ENGINE_Risk'!$E$500:$E$923,0))),0)</f>
        <v/>
      </c>
      <c r="J581" t="inlineStr">
        <is>
          <t>P1 many-to-many coverage row</t>
        </is>
      </c>
      <c r="K581">
        <f>IFERROR(INDEX('_ENGINE_Risk'!$BI$500:$BI$923,MATCH($D581,'_ENGINE_Risk'!$E$500:$E$923,0))*N($H581),0)</f>
        <v/>
      </c>
      <c r="L581">
        <f>IFERROR(MIN(5,$K581/MAX(1,'_CONFIG_Model_Settings'!$B$105)),0)</f>
        <v/>
      </c>
    </row>
    <row r="582">
      <c r="A582" t="inlineStr">
        <is>
          <t>INI-024</t>
        </is>
      </c>
      <c r="B582" t="inlineStr">
        <is>
          <t>Secure facilities, physical access and site protection controls</t>
        </is>
      </c>
      <c r="C582" t="inlineStr">
        <is>
          <t>STR-10</t>
        </is>
      </c>
      <c r="D582" t="inlineStr">
        <is>
          <t>PHYS-008</t>
        </is>
      </c>
      <c r="E582" t="inlineStr">
        <is>
          <t>Physical Safety</t>
        </is>
      </c>
      <c r="F582" t="inlineStr">
        <is>
          <t>Facilities and access</t>
        </is>
      </c>
      <c r="G582">
        <f>IFERROR(INDEX('_ENGINE_Risk'!$BS$500:$BS$923,MATCH($D582,'_ENGINE_Risk'!$E$500:$E$923,0)),0)</f>
        <v/>
      </c>
      <c r="H582" t="n">
        <v>1</v>
      </c>
      <c r="I582">
        <f>IFERROR(MAX(0,5-INDEX('_ENGINE_Risk'!$H$500:$H$923,MATCH($D582,'_ENGINE_Risk'!$E$500:$E$923,0))),0)</f>
        <v/>
      </c>
      <c r="J582" t="inlineStr">
        <is>
          <t>P1 many-to-many coverage row</t>
        </is>
      </c>
      <c r="K582">
        <f>IFERROR(INDEX('_ENGINE_Risk'!$BI$500:$BI$923,MATCH($D582,'_ENGINE_Risk'!$E$500:$E$923,0))*N($H582),0)</f>
        <v/>
      </c>
      <c r="L582">
        <f>IFERROR(MIN(5,$K582/MAX(1,'_CONFIG_Model_Settings'!$B$105)),0)</f>
        <v/>
      </c>
    </row>
    <row r="583">
      <c r="A583" t="inlineStr">
        <is>
          <t>INI-024</t>
        </is>
      </c>
      <c r="B583" t="inlineStr">
        <is>
          <t>Secure facilities, physical access and site protection controls</t>
        </is>
      </c>
      <c r="C583" t="inlineStr">
        <is>
          <t>STR-10</t>
        </is>
      </c>
      <c r="D583" t="inlineStr">
        <is>
          <t>PHYS-009</t>
        </is>
      </c>
      <c r="E583" t="inlineStr">
        <is>
          <t>Physical Safety</t>
        </is>
      </c>
      <c r="F583" t="inlineStr">
        <is>
          <t>Facilities and access</t>
        </is>
      </c>
      <c r="G583">
        <f>IFERROR(INDEX('_ENGINE_Risk'!$BS$500:$BS$923,MATCH($D583,'_ENGINE_Risk'!$E$500:$E$923,0)),0)</f>
        <v/>
      </c>
      <c r="H583" t="n">
        <v>1</v>
      </c>
      <c r="I583">
        <f>IFERROR(MAX(0,5-INDEX('_ENGINE_Risk'!$H$500:$H$923,MATCH($D583,'_ENGINE_Risk'!$E$500:$E$923,0))),0)</f>
        <v/>
      </c>
      <c r="J583" t="inlineStr">
        <is>
          <t>P1 many-to-many coverage row</t>
        </is>
      </c>
      <c r="K583">
        <f>IFERROR(INDEX('_ENGINE_Risk'!$BI$500:$BI$923,MATCH($D583,'_ENGINE_Risk'!$E$500:$E$923,0))*N($H583),0)</f>
        <v/>
      </c>
      <c r="L583">
        <f>IFERROR(MIN(5,$K583/MAX(1,'_CONFIG_Model_Settings'!$B$105)),0)</f>
        <v/>
      </c>
    </row>
    <row r="584">
      <c r="A584" t="inlineStr">
        <is>
          <t>INI-024</t>
        </is>
      </c>
      <c r="B584" t="inlineStr">
        <is>
          <t>Secure facilities, physical access and site protection controls</t>
        </is>
      </c>
      <c r="C584" t="inlineStr">
        <is>
          <t>STR-10</t>
        </is>
      </c>
      <c r="D584" t="inlineStr">
        <is>
          <t>PHYS-010</t>
        </is>
      </c>
      <c r="E584" t="inlineStr">
        <is>
          <t>Physical Safety</t>
        </is>
      </c>
      <c r="F584" t="inlineStr">
        <is>
          <t>Facilities and access</t>
        </is>
      </c>
      <c r="G584">
        <f>IFERROR(INDEX('_ENGINE_Risk'!$BS$500:$BS$923,MATCH($D584,'_ENGINE_Risk'!$E$500:$E$923,0)),0)</f>
        <v/>
      </c>
      <c r="H584" t="n">
        <v>1</v>
      </c>
      <c r="I584">
        <f>IFERROR(MAX(0,5-INDEX('_ENGINE_Risk'!$H$500:$H$923,MATCH($D584,'_ENGINE_Risk'!$E$500:$E$923,0))),0)</f>
        <v/>
      </c>
      <c r="J584" t="inlineStr">
        <is>
          <t>P1 many-to-many coverage row</t>
        </is>
      </c>
      <c r="K584">
        <f>IFERROR(INDEX('_ENGINE_Risk'!$BI$500:$BI$923,MATCH($D584,'_ENGINE_Risk'!$E$500:$E$923,0))*N($H584),0)</f>
        <v/>
      </c>
      <c r="L584">
        <f>IFERROR(MIN(5,$K584/MAX(1,'_CONFIG_Model_Settings'!$B$105)),0)</f>
        <v/>
      </c>
    </row>
    <row r="585">
      <c r="A585" t="inlineStr">
        <is>
          <t>INI-024</t>
        </is>
      </c>
      <c r="B585" t="inlineStr">
        <is>
          <t>Secure facilities, physical access and site protection controls</t>
        </is>
      </c>
      <c r="C585" t="inlineStr">
        <is>
          <t>STR-10</t>
        </is>
      </c>
      <c r="D585" t="inlineStr">
        <is>
          <t>PHYS-011</t>
        </is>
      </c>
      <c r="E585" t="inlineStr">
        <is>
          <t>Physical Safety</t>
        </is>
      </c>
      <c r="F585" t="inlineStr">
        <is>
          <t>Facilities and access</t>
        </is>
      </c>
      <c r="G585">
        <f>IFERROR(INDEX('_ENGINE_Risk'!$BS$500:$BS$923,MATCH($D585,'_ENGINE_Risk'!$E$500:$E$923,0)),0)</f>
        <v/>
      </c>
      <c r="H585" t="n">
        <v>1</v>
      </c>
      <c r="I585">
        <f>IFERROR(MAX(0,5-INDEX('_ENGINE_Risk'!$H$500:$H$923,MATCH($D585,'_ENGINE_Risk'!$E$500:$E$923,0))),0)</f>
        <v/>
      </c>
      <c r="J585" t="inlineStr">
        <is>
          <t>P1 many-to-many coverage row</t>
        </is>
      </c>
      <c r="K585">
        <f>IFERROR(INDEX('_ENGINE_Risk'!$BI$500:$BI$923,MATCH($D585,'_ENGINE_Risk'!$E$500:$E$923,0))*N($H585),0)</f>
        <v/>
      </c>
      <c r="L585">
        <f>IFERROR(MIN(5,$K585/MAX(1,'_CONFIG_Model_Settings'!$B$105)),0)</f>
        <v/>
      </c>
    </row>
    <row r="586">
      <c r="A586" t="inlineStr">
        <is>
          <t>INI-024</t>
        </is>
      </c>
      <c r="B586" t="inlineStr">
        <is>
          <t>Secure facilities, physical access and site protection controls</t>
        </is>
      </c>
      <c r="C586" t="inlineStr">
        <is>
          <t>STR-10</t>
        </is>
      </c>
      <c r="D586" t="inlineStr">
        <is>
          <t>PHYS-012</t>
        </is>
      </c>
      <c r="E586" t="inlineStr">
        <is>
          <t>Physical Safety</t>
        </is>
      </c>
      <c r="F586" t="inlineStr">
        <is>
          <t>Facilities and access</t>
        </is>
      </c>
      <c r="G586">
        <f>IFERROR(INDEX('_ENGINE_Risk'!$BS$500:$BS$923,MATCH($D586,'_ENGINE_Risk'!$E$500:$E$923,0)),0)</f>
        <v/>
      </c>
      <c r="H586" t="n">
        <v>1</v>
      </c>
      <c r="I586">
        <f>IFERROR(MAX(0,5-INDEX('_ENGINE_Risk'!$H$500:$H$923,MATCH($D586,'_ENGINE_Risk'!$E$500:$E$923,0))),0)</f>
        <v/>
      </c>
      <c r="J586" t="inlineStr">
        <is>
          <t>P1 many-to-many coverage row</t>
        </is>
      </c>
      <c r="K586">
        <f>IFERROR(INDEX('_ENGINE_Risk'!$BI$500:$BI$923,MATCH($D586,'_ENGINE_Risk'!$E$500:$E$923,0))*N($H586),0)</f>
        <v/>
      </c>
      <c r="L586">
        <f>IFERROR(MIN(5,$K586/MAX(1,'_CONFIG_Model_Settings'!$B$105)),0)</f>
        <v/>
      </c>
    </row>
    <row r="587">
      <c r="A587" t="inlineStr">
        <is>
          <t>INI-025</t>
        </is>
      </c>
      <c r="B587" t="inlineStr">
        <is>
          <t>Build emergency response, evacuation and shelter procedures</t>
        </is>
      </c>
      <c r="C587" t="inlineStr">
        <is>
          <t>STR-10</t>
        </is>
      </c>
      <c r="D587" t="inlineStr">
        <is>
          <t>PHYS-013</t>
        </is>
      </c>
      <c r="E587" t="inlineStr">
        <is>
          <t>Physical Safety</t>
        </is>
      </c>
      <c r="F587" t="inlineStr">
        <is>
          <t>Emergency response</t>
        </is>
      </c>
      <c r="G587">
        <f>IFERROR(INDEX('_ENGINE_Risk'!$BS$500:$BS$923,MATCH($D587,'_ENGINE_Risk'!$E$500:$E$923,0)),0)</f>
        <v/>
      </c>
      <c r="H587" t="n">
        <v>1</v>
      </c>
      <c r="I587">
        <f>IFERROR(MAX(0,5-INDEX('_ENGINE_Risk'!$H$500:$H$923,MATCH($D587,'_ENGINE_Risk'!$E$500:$E$923,0))),0)</f>
        <v/>
      </c>
      <c r="J587" t="inlineStr">
        <is>
          <t>P1 many-to-many coverage row</t>
        </is>
      </c>
      <c r="K587">
        <f>IFERROR(INDEX('_ENGINE_Risk'!$BI$500:$BI$923,MATCH($D587,'_ENGINE_Risk'!$E$500:$E$923,0))*N($H587),0)</f>
        <v/>
      </c>
      <c r="L587">
        <f>IFERROR(MIN(5,$K587/MAX(1,'_CONFIG_Model_Settings'!$B$105)),0)</f>
        <v/>
      </c>
    </row>
    <row r="588">
      <c r="A588" t="inlineStr">
        <is>
          <t>INI-025</t>
        </is>
      </c>
      <c r="B588" t="inlineStr">
        <is>
          <t>Build emergency response, evacuation and shelter procedures</t>
        </is>
      </c>
      <c r="C588" t="inlineStr">
        <is>
          <t>STR-10</t>
        </is>
      </c>
      <c r="D588" t="inlineStr">
        <is>
          <t>PHYS-014</t>
        </is>
      </c>
      <c r="E588" t="inlineStr">
        <is>
          <t>Physical Safety</t>
        </is>
      </c>
      <c r="F588" t="inlineStr">
        <is>
          <t>Emergency response</t>
        </is>
      </c>
      <c r="G588">
        <f>IFERROR(INDEX('_ENGINE_Risk'!$BS$500:$BS$923,MATCH($D588,'_ENGINE_Risk'!$E$500:$E$923,0)),0)</f>
        <v/>
      </c>
      <c r="H588" t="n">
        <v>1</v>
      </c>
      <c r="I588">
        <f>IFERROR(MAX(0,5-INDEX('_ENGINE_Risk'!$H$500:$H$923,MATCH($D588,'_ENGINE_Risk'!$E$500:$E$923,0))),0)</f>
        <v/>
      </c>
      <c r="J588" t="inlineStr">
        <is>
          <t>P1 many-to-many coverage row</t>
        </is>
      </c>
      <c r="K588">
        <f>IFERROR(INDEX('_ENGINE_Risk'!$BI$500:$BI$923,MATCH($D588,'_ENGINE_Risk'!$E$500:$E$923,0))*N($H588),0)</f>
        <v/>
      </c>
      <c r="L588">
        <f>IFERROR(MIN(5,$K588/MAX(1,'_CONFIG_Model_Settings'!$B$105)),0)</f>
        <v/>
      </c>
    </row>
    <row r="589">
      <c r="A589" t="inlineStr">
        <is>
          <t>INI-025</t>
        </is>
      </c>
      <c r="B589" t="inlineStr">
        <is>
          <t>Build emergency response, evacuation and shelter procedures</t>
        </is>
      </c>
      <c r="C589" t="inlineStr">
        <is>
          <t>STR-10</t>
        </is>
      </c>
      <c r="D589" t="inlineStr">
        <is>
          <t>PHYS-015</t>
        </is>
      </c>
      <c r="E589" t="inlineStr">
        <is>
          <t>Physical Safety</t>
        </is>
      </c>
      <c r="F589" t="inlineStr">
        <is>
          <t>Emergency response</t>
        </is>
      </c>
      <c r="G589">
        <f>IFERROR(INDEX('_ENGINE_Risk'!$BS$500:$BS$923,MATCH($D589,'_ENGINE_Risk'!$E$500:$E$923,0)),0)</f>
        <v/>
      </c>
      <c r="H589" t="n">
        <v>1</v>
      </c>
      <c r="I589">
        <f>IFERROR(MAX(0,5-INDEX('_ENGINE_Risk'!$H$500:$H$923,MATCH($D589,'_ENGINE_Risk'!$E$500:$E$923,0))),0)</f>
        <v/>
      </c>
      <c r="J589" t="inlineStr">
        <is>
          <t>P1 many-to-many coverage row</t>
        </is>
      </c>
      <c r="K589">
        <f>IFERROR(INDEX('_ENGINE_Risk'!$BI$500:$BI$923,MATCH($D589,'_ENGINE_Risk'!$E$500:$E$923,0))*N($H589),0)</f>
        <v/>
      </c>
      <c r="L589">
        <f>IFERROR(MIN(5,$K589/MAX(1,'_CONFIG_Model_Settings'!$B$105)),0)</f>
        <v/>
      </c>
    </row>
    <row r="590">
      <c r="A590" t="inlineStr">
        <is>
          <t>INI-025</t>
        </is>
      </c>
      <c r="B590" t="inlineStr">
        <is>
          <t>Build emergency response, evacuation and shelter procedures</t>
        </is>
      </c>
      <c r="C590" t="inlineStr">
        <is>
          <t>STR-10</t>
        </is>
      </c>
      <c r="D590" t="inlineStr">
        <is>
          <t>PHYS-016</t>
        </is>
      </c>
      <c r="E590" t="inlineStr">
        <is>
          <t>Physical Safety</t>
        </is>
      </c>
      <c r="F590" t="inlineStr">
        <is>
          <t>Emergency response</t>
        </is>
      </c>
      <c r="G590">
        <f>IFERROR(INDEX('_ENGINE_Risk'!$BS$500:$BS$923,MATCH($D590,'_ENGINE_Risk'!$E$500:$E$923,0)),0)</f>
        <v/>
      </c>
      <c r="H590" t="n">
        <v>1</v>
      </c>
      <c r="I590">
        <f>IFERROR(MAX(0,5-INDEX('_ENGINE_Risk'!$H$500:$H$923,MATCH($D590,'_ENGINE_Risk'!$E$500:$E$923,0))),0)</f>
        <v/>
      </c>
      <c r="J590" t="inlineStr">
        <is>
          <t>P1 many-to-many coverage row</t>
        </is>
      </c>
      <c r="K590">
        <f>IFERROR(INDEX('_ENGINE_Risk'!$BI$500:$BI$923,MATCH($D590,'_ENGINE_Risk'!$E$500:$E$923,0))*N($H590),0)</f>
        <v/>
      </c>
      <c r="L590">
        <f>IFERROR(MIN(5,$K590/MAX(1,'_CONFIG_Model_Settings'!$B$105)),0)</f>
        <v/>
      </c>
    </row>
    <row r="591">
      <c r="A591" t="inlineStr">
        <is>
          <t>INI-025</t>
        </is>
      </c>
      <c r="B591" t="inlineStr">
        <is>
          <t>Build emergency response, evacuation and shelter procedures</t>
        </is>
      </c>
      <c r="C591" t="inlineStr">
        <is>
          <t>STR-10</t>
        </is>
      </c>
      <c r="D591" t="inlineStr">
        <is>
          <t>PHYS-017</t>
        </is>
      </c>
      <c r="E591" t="inlineStr">
        <is>
          <t>Physical Safety</t>
        </is>
      </c>
      <c r="F591" t="inlineStr">
        <is>
          <t>Emergency response</t>
        </is>
      </c>
      <c r="G591">
        <f>IFERROR(INDEX('_ENGINE_Risk'!$BS$500:$BS$923,MATCH($D591,'_ENGINE_Risk'!$E$500:$E$923,0)),0)</f>
        <v/>
      </c>
      <c r="H591" t="n">
        <v>1</v>
      </c>
      <c r="I591">
        <f>IFERROR(MAX(0,5-INDEX('_ENGINE_Risk'!$H$500:$H$923,MATCH($D591,'_ENGINE_Risk'!$E$500:$E$923,0))),0)</f>
        <v/>
      </c>
      <c r="J591" t="inlineStr">
        <is>
          <t>P1 many-to-many coverage row</t>
        </is>
      </c>
      <c r="K591">
        <f>IFERROR(INDEX('_ENGINE_Risk'!$BI$500:$BI$923,MATCH($D591,'_ENGINE_Risk'!$E$500:$E$923,0))*N($H591),0)</f>
        <v/>
      </c>
      <c r="L591">
        <f>IFERROR(MIN(5,$K591/MAX(1,'_CONFIG_Model_Settings'!$B$105)),0)</f>
        <v/>
      </c>
    </row>
    <row r="592">
      <c r="A592" t="inlineStr">
        <is>
          <t>INI-025</t>
        </is>
      </c>
      <c r="B592" t="inlineStr">
        <is>
          <t>Build emergency response, evacuation and shelter procedures</t>
        </is>
      </c>
      <c r="C592" t="inlineStr">
        <is>
          <t>STR-10</t>
        </is>
      </c>
      <c r="D592" t="inlineStr">
        <is>
          <t>PHYS-018</t>
        </is>
      </c>
      <c r="E592" t="inlineStr">
        <is>
          <t>Physical Safety</t>
        </is>
      </c>
      <c r="F592" t="inlineStr">
        <is>
          <t>Emergency response</t>
        </is>
      </c>
      <c r="G592">
        <f>IFERROR(INDEX('_ENGINE_Risk'!$BS$500:$BS$923,MATCH($D592,'_ENGINE_Risk'!$E$500:$E$923,0)),0)</f>
        <v/>
      </c>
      <c r="H592" t="n">
        <v>1</v>
      </c>
      <c r="I592">
        <f>IFERROR(MAX(0,5-INDEX('_ENGINE_Risk'!$H$500:$H$923,MATCH($D592,'_ENGINE_Risk'!$E$500:$E$923,0))),0)</f>
        <v/>
      </c>
      <c r="J592" t="inlineStr">
        <is>
          <t>P1 many-to-many coverage row</t>
        </is>
      </c>
      <c r="K592">
        <f>IFERROR(INDEX('_ENGINE_Risk'!$BI$500:$BI$923,MATCH($D592,'_ENGINE_Risk'!$E$500:$E$923,0))*N($H592),0)</f>
        <v/>
      </c>
      <c r="L592">
        <f>IFERROR(MIN(5,$K592/MAX(1,'_CONFIG_Model_Settings'!$B$105)),0)</f>
        <v/>
      </c>
    </row>
    <row r="593">
      <c r="A593" t="inlineStr">
        <is>
          <t>INI-026</t>
        </is>
      </c>
      <c r="B593" t="inlineStr">
        <is>
          <t>Implement physical security and travel risk management</t>
        </is>
      </c>
      <c r="C593" t="inlineStr">
        <is>
          <t>STR-10</t>
        </is>
      </c>
      <c r="D593" t="inlineStr">
        <is>
          <t>PHYS-019</t>
        </is>
      </c>
      <c r="E593" t="inlineStr">
        <is>
          <t>Physical Safety</t>
        </is>
      </c>
      <c r="F593" t="inlineStr">
        <is>
          <t>Security and travel</t>
        </is>
      </c>
      <c r="G593">
        <f>IFERROR(INDEX('_ENGINE_Risk'!$BS$500:$BS$923,MATCH($D593,'_ENGINE_Risk'!$E$500:$E$923,0)),0)</f>
        <v/>
      </c>
      <c r="H593" t="n">
        <v>1</v>
      </c>
      <c r="I593">
        <f>IFERROR(MAX(0,5-INDEX('_ENGINE_Risk'!$H$500:$H$923,MATCH($D593,'_ENGINE_Risk'!$E$500:$E$923,0))),0)</f>
        <v/>
      </c>
      <c r="J593" t="inlineStr">
        <is>
          <t>P1 many-to-many coverage row</t>
        </is>
      </c>
      <c r="K593">
        <f>IFERROR(INDEX('_ENGINE_Risk'!$BI$500:$BI$923,MATCH($D593,'_ENGINE_Risk'!$E$500:$E$923,0))*N($H593),0)</f>
        <v/>
      </c>
      <c r="L593">
        <f>IFERROR(MIN(5,$K593/MAX(1,'_CONFIG_Model_Settings'!$B$105)),0)</f>
        <v/>
      </c>
    </row>
    <row r="594">
      <c r="A594" t="inlineStr">
        <is>
          <t>INI-026</t>
        </is>
      </c>
      <c r="B594" t="inlineStr">
        <is>
          <t>Implement physical security and travel risk management</t>
        </is>
      </c>
      <c r="C594" t="inlineStr">
        <is>
          <t>STR-10</t>
        </is>
      </c>
      <c r="D594" t="inlineStr">
        <is>
          <t>PHYS-020</t>
        </is>
      </c>
      <c r="E594" t="inlineStr">
        <is>
          <t>Physical Safety</t>
        </is>
      </c>
      <c r="F594" t="inlineStr">
        <is>
          <t>Security and travel</t>
        </is>
      </c>
      <c r="G594">
        <f>IFERROR(INDEX('_ENGINE_Risk'!$BS$500:$BS$923,MATCH($D594,'_ENGINE_Risk'!$E$500:$E$923,0)),0)</f>
        <v/>
      </c>
      <c r="H594" t="n">
        <v>1</v>
      </c>
      <c r="I594">
        <f>IFERROR(MAX(0,5-INDEX('_ENGINE_Risk'!$H$500:$H$923,MATCH($D594,'_ENGINE_Risk'!$E$500:$E$923,0))),0)</f>
        <v/>
      </c>
      <c r="J594" t="inlineStr">
        <is>
          <t>P1 many-to-many coverage row</t>
        </is>
      </c>
      <c r="K594">
        <f>IFERROR(INDEX('_ENGINE_Risk'!$BI$500:$BI$923,MATCH($D594,'_ENGINE_Risk'!$E$500:$E$923,0))*N($H594),0)</f>
        <v/>
      </c>
      <c r="L594">
        <f>IFERROR(MIN(5,$K594/MAX(1,'_CONFIG_Model_Settings'!$B$105)),0)</f>
        <v/>
      </c>
    </row>
    <row r="595">
      <c r="A595" t="inlineStr">
        <is>
          <t>INI-026</t>
        </is>
      </c>
      <c r="B595" t="inlineStr">
        <is>
          <t>Implement physical security and travel risk management</t>
        </is>
      </c>
      <c r="C595" t="inlineStr">
        <is>
          <t>STR-10</t>
        </is>
      </c>
      <c r="D595" t="inlineStr">
        <is>
          <t>PHYS-021</t>
        </is>
      </c>
      <c r="E595" t="inlineStr">
        <is>
          <t>Physical Safety</t>
        </is>
      </c>
      <c r="F595" t="inlineStr">
        <is>
          <t>Security and travel</t>
        </is>
      </c>
      <c r="G595">
        <f>IFERROR(INDEX('_ENGINE_Risk'!$BS$500:$BS$923,MATCH($D595,'_ENGINE_Risk'!$E$500:$E$923,0)),0)</f>
        <v/>
      </c>
      <c r="H595" t="n">
        <v>1</v>
      </c>
      <c r="I595">
        <f>IFERROR(MAX(0,5-INDEX('_ENGINE_Risk'!$H$500:$H$923,MATCH($D595,'_ENGINE_Risk'!$E$500:$E$923,0))),0)</f>
        <v/>
      </c>
      <c r="J595" t="inlineStr">
        <is>
          <t>P1 many-to-many coverage row</t>
        </is>
      </c>
      <c r="K595">
        <f>IFERROR(INDEX('_ENGINE_Risk'!$BI$500:$BI$923,MATCH($D595,'_ENGINE_Risk'!$E$500:$E$923,0))*N($H595),0)</f>
        <v/>
      </c>
      <c r="L595">
        <f>IFERROR(MIN(5,$K595/MAX(1,'_CONFIG_Model_Settings'!$B$105)),0)</f>
        <v/>
      </c>
    </row>
    <row r="596">
      <c r="A596" t="inlineStr">
        <is>
          <t>INI-026</t>
        </is>
      </c>
      <c r="B596" t="inlineStr">
        <is>
          <t>Implement physical security and travel risk management</t>
        </is>
      </c>
      <c r="C596" t="inlineStr">
        <is>
          <t>STR-10</t>
        </is>
      </c>
      <c r="D596" t="inlineStr">
        <is>
          <t>PHYS-022</t>
        </is>
      </c>
      <c r="E596" t="inlineStr">
        <is>
          <t>Physical Safety</t>
        </is>
      </c>
      <c r="F596" t="inlineStr">
        <is>
          <t>Security and travel</t>
        </is>
      </c>
      <c r="G596">
        <f>IFERROR(INDEX('_ENGINE_Risk'!$BS$500:$BS$923,MATCH($D596,'_ENGINE_Risk'!$E$500:$E$923,0)),0)</f>
        <v/>
      </c>
      <c r="H596" t="n">
        <v>1</v>
      </c>
      <c r="I596">
        <f>IFERROR(MAX(0,5-INDEX('_ENGINE_Risk'!$H$500:$H$923,MATCH($D596,'_ENGINE_Risk'!$E$500:$E$923,0))),0)</f>
        <v/>
      </c>
      <c r="J596" t="inlineStr">
        <is>
          <t>P1 many-to-many coverage row</t>
        </is>
      </c>
      <c r="K596">
        <f>IFERROR(INDEX('_ENGINE_Risk'!$BI$500:$BI$923,MATCH($D596,'_ENGINE_Risk'!$E$500:$E$923,0))*N($H596),0)</f>
        <v/>
      </c>
      <c r="L596">
        <f>IFERROR(MIN(5,$K596/MAX(1,'_CONFIG_Model_Settings'!$B$105)),0)</f>
        <v/>
      </c>
    </row>
    <row r="597">
      <c r="A597" t="inlineStr">
        <is>
          <t>INI-026</t>
        </is>
      </c>
      <c r="B597" t="inlineStr">
        <is>
          <t>Implement physical security and travel risk management</t>
        </is>
      </c>
      <c r="C597" t="inlineStr">
        <is>
          <t>STR-10</t>
        </is>
      </c>
      <c r="D597" t="inlineStr">
        <is>
          <t>PHYS-023</t>
        </is>
      </c>
      <c r="E597" t="inlineStr">
        <is>
          <t>Physical Safety</t>
        </is>
      </c>
      <c r="F597" t="inlineStr">
        <is>
          <t>Security and travel</t>
        </is>
      </c>
      <c r="G597">
        <f>IFERROR(INDEX('_ENGINE_Risk'!$BS$500:$BS$923,MATCH($D597,'_ENGINE_Risk'!$E$500:$E$923,0)),0)</f>
        <v/>
      </c>
      <c r="H597" t="n">
        <v>1</v>
      </c>
      <c r="I597">
        <f>IFERROR(MAX(0,5-INDEX('_ENGINE_Risk'!$H$500:$H$923,MATCH($D597,'_ENGINE_Risk'!$E$500:$E$923,0))),0)</f>
        <v/>
      </c>
      <c r="J597" t="inlineStr">
        <is>
          <t>P1 many-to-many coverage row</t>
        </is>
      </c>
      <c r="K597">
        <f>IFERROR(INDEX('_ENGINE_Risk'!$BI$500:$BI$923,MATCH($D597,'_ENGINE_Risk'!$E$500:$E$923,0))*N($H597),0)</f>
        <v/>
      </c>
      <c r="L597">
        <f>IFERROR(MIN(5,$K597/MAX(1,'_CONFIG_Model_Settings'!$B$105)),0)</f>
        <v/>
      </c>
    </row>
    <row r="598">
      <c r="A598" t="inlineStr">
        <is>
          <t>INI-027</t>
        </is>
      </c>
      <c r="B598" t="inlineStr">
        <is>
          <t>Build utilities backup and facility resilience plan</t>
        </is>
      </c>
      <c r="C598" t="inlineStr">
        <is>
          <t>STR-10</t>
        </is>
      </c>
      <c r="D598" t="inlineStr">
        <is>
          <t>PHYS-024</t>
        </is>
      </c>
      <c r="E598" t="inlineStr">
        <is>
          <t>Physical Safety</t>
        </is>
      </c>
      <c r="F598" t="inlineStr">
        <is>
          <t>Utilities and resilience</t>
        </is>
      </c>
      <c r="G598">
        <f>IFERROR(INDEX('_ENGINE_Risk'!$BS$500:$BS$923,MATCH($D598,'_ENGINE_Risk'!$E$500:$E$923,0)),0)</f>
        <v/>
      </c>
      <c r="H598" t="n">
        <v>1</v>
      </c>
      <c r="I598">
        <f>IFERROR(MAX(0,5-INDEX('_ENGINE_Risk'!$H$500:$H$923,MATCH($D598,'_ENGINE_Risk'!$E$500:$E$923,0))),0)</f>
        <v/>
      </c>
      <c r="J598" t="inlineStr">
        <is>
          <t>P1 many-to-many coverage row</t>
        </is>
      </c>
      <c r="K598">
        <f>IFERROR(INDEX('_ENGINE_Risk'!$BI$500:$BI$923,MATCH($D598,'_ENGINE_Risk'!$E$500:$E$923,0))*N($H598),0)</f>
        <v/>
      </c>
      <c r="L598">
        <f>IFERROR(MIN(5,$K598/MAX(1,'_CONFIG_Model_Settings'!$B$105)),0)</f>
        <v/>
      </c>
    </row>
    <row r="599">
      <c r="A599" t="inlineStr">
        <is>
          <t>INI-027</t>
        </is>
      </c>
      <c r="B599" t="inlineStr">
        <is>
          <t>Build utilities backup and facility resilience plan</t>
        </is>
      </c>
      <c r="C599" t="inlineStr">
        <is>
          <t>STR-10</t>
        </is>
      </c>
      <c r="D599" t="inlineStr">
        <is>
          <t>PHYS-025</t>
        </is>
      </c>
      <c r="E599" t="inlineStr">
        <is>
          <t>Physical Safety</t>
        </is>
      </c>
      <c r="F599" t="inlineStr">
        <is>
          <t>Utilities and resilience</t>
        </is>
      </c>
      <c r="G599">
        <f>IFERROR(INDEX('_ENGINE_Risk'!$BS$500:$BS$923,MATCH($D599,'_ENGINE_Risk'!$E$500:$E$923,0)),0)</f>
        <v/>
      </c>
      <c r="H599" t="n">
        <v>1</v>
      </c>
      <c r="I599">
        <f>IFERROR(MAX(0,5-INDEX('_ENGINE_Risk'!$H$500:$H$923,MATCH($D599,'_ENGINE_Risk'!$E$500:$E$923,0))),0)</f>
        <v/>
      </c>
      <c r="J599" t="inlineStr">
        <is>
          <t>P1 many-to-many coverage row</t>
        </is>
      </c>
      <c r="K599">
        <f>IFERROR(INDEX('_ENGINE_Risk'!$BI$500:$BI$923,MATCH($D599,'_ENGINE_Risk'!$E$500:$E$923,0))*N($H599),0)</f>
        <v/>
      </c>
      <c r="L599">
        <f>IFERROR(MIN(5,$K599/MAX(1,'_CONFIG_Model_Settings'!$B$105)),0)</f>
        <v/>
      </c>
    </row>
    <row r="600">
      <c r="A600" t="inlineStr">
        <is>
          <t>INI-027</t>
        </is>
      </c>
      <c r="B600" t="inlineStr">
        <is>
          <t>Build utilities backup and facility resilience plan</t>
        </is>
      </c>
      <c r="C600" t="inlineStr">
        <is>
          <t>STR-10</t>
        </is>
      </c>
      <c r="D600" t="inlineStr">
        <is>
          <t>PHYS-026</t>
        </is>
      </c>
      <c r="E600" t="inlineStr">
        <is>
          <t>Physical Safety</t>
        </is>
      </c>
      <c r="F600" t="inlineStr">
        <is>
          <t>Utilities and resilience</t>
        </is>
      </c>
      <c r="G600">
        <f>IFERROR(INDEX('_ENGINE_Risk'!$BS$500:$BS$923,MATCH($D600,'_ENGINE_Risk'!$E$500:$E$923,0)),0)</f>
        <v/>
      </c>
      <c r="H600" t="n">
        <v>1</v>
      </c>
      <c r="I600">
        <f>IFERROR(MAX(0,5-INDEX('_ENGINE_Risk'!$H$500:$H$923,MATCH($D600,'_ENGINE_Risk'!$E$500:$E$923,0))),0)</f>
        <v/>
      </c>
      <c r="J600" t="inlineStr">
        <is>
          <t>P1 many-to-many coverage row</t>
        </is>
      </c>
      <c r="K600">
        <f>IFERROR(INDEX('_ENGINE_Risk'!$BI$500:$BI$923,MATCH($D600,'_ENGINE_Risk'!$E$500:$E$923,0))*N($H600),0)</f>
        <v/>
      </c>
      <c r="L600">
        <f>IFERROR(MIN(5,$K600/MAX(1,'_CONFIG_Model_Settings'!$B$105)),0)</f>
        <v/>
      </c>
    </row>
    <row r="601">
      <c r="A601" t="inlineStr">
        <is>
          <t>INI-027</t>
        </is>
      </c>
      <c r="B601" t="inlineStr">
        <is>
          <t>Build utilities backup and facility resilience plan</t>
        </is>
      </c>
      <c r="C601" t="inlineStr">
        <is>
          <t>STR-10</t>
        </is>
      </c>
      <c r="D601" t="inlineStr">
        <is>
          <t>PHYS-027</t>
        </is>
      </c>
      <c r="E601" t="inlineStr">
        <is>
          <t>Physical Safety</t>
        </is>
      </c>
      <c r="F601" t="inlineStr">
        <is>
          <t>Utilities and resilience</t>
        </is>
      </c>
      <c r="G601">
        <f>IFERROR(INDEX('_ENGINE_Risk'!$BS$500:$BS$923,MATCH($D601,'_ENGINE_Risk'!$E$500:$E$923,0)),0)</f>
        <v/>
      </c>
      <c r="H601" t="n">
        <v>1</v>
      </c>
      <c r="I601">
        <f>IFERROR(MAX(0,5-INDEX('_ENGINE_Risk'!$H$500:$H$923,MATCH($D601,'_ENGINE_Risk'!$E$500:$E$923,0))),0)</f>
        <v/>
      </c>
      <c r="J601" t="inlineStr">
        <is>
          <t>P1 many-to-many coverage row</t>
        </is>
      </c>
      <c r="K601">
        <f>IFERROR(INDEX('_ENGINE_Risk'!$BI$500:$BI$923,MATCH($D601,'_ENGINE_Risk'!$E$500:$E$923,0))*N($H601),0)</f>
        <v/>
      </c>
      <c r="L601">
        <f>IFERROR(MIN(5,$K601/MAX(1,'_CONFIG_Model_Settings'!$B$105)),0)</f>
        <v/>
      </c>
    </row>
    <row r="602">
      <c r="A602" t="inlineStr">
        <is>
          <t>INI-027</t>
        </is>
      </c>
      <c r="B602" t="inlineStr">
        <is>
          <t>Build utilities backup and facility resilience plan</t>
        </is>
      </c>
      <c r="C602" t="inlineStr">
        <is>
          <t>STR-10</t>
        </is>
      </c>
      <c r="D602" t="inlineStr">
        <is>
          <t>PHYS-028</t>
        </is>
      </c>
      <c r="E602" t="inlineStr">
        <is>
          <t>Physical Safety</t>
        </is>
      </c>
      <c r="F602" t="inlineStr">
        <is>
          <t>Utilities and resilience</t>
        </is>
      </c>
      <c r="G602">
        <f>IFERROR(INDEX('_ENGINE_Risk'!$BS$500:$BS$923,MATCH($D602,'_ENGINE_Risk'!$E$500:$E$923,0)),0)</f>
        <v/>
      </c>
      <c r="H602" t="n">
        <v>1</v>
      </c>
      <c r="I602">
        <f>IFERROR(MAX(0,5-INDEX('_ENGINE_Risk'!$H$500:$H$923,MATCH($D602,'_ENGINE_Risk'!$E$500:$E$923,0))),0)</f>
        <v/>
      </c>
      <c r="J602" t="inlineStr">
        <is>
          <t>P1 many-to-many coverage row</t>
        </is>
      </c>
      <c r="K602">
        <f>IFERROR(INDEX('_ENGINE_Risk'!$BI$500:$BI$923,MATCH($D602,'_ENGINE_Risk'!$E$500:$E$923,0))*N($H602),0)</f>
        <v/>
      </c>
      <c r="L602">
        <f>IFERROR(MIN(5,$K602/MAX(1,'_CONFIG_Model_Settings'!$B$105)),0)</f>
        <v/>
      </c>
    </row>
    <row r="603">
      <c r="A603" t="inlineStr">
        <is>
          <t>INI-028</t>
        </is>
      </c>
      <c r="B603" t="inlineStr">
        <is>
          <t>Standardize delivery governance, ownership and escalation</t>
        </is>
      </c>
      <c r="C603" t="inlineStr">
        <is>
          <t>STR-07</t>
        </is>
      </c>
      <c r="D603" t="inlineStr">
        <is>
          <t>DELI-001</t>
        </is>
      </c>
      <c r="E603" t="inlineStr">
        <is>
          <t>Delivery Ops</t>
        </is>
      </c>
      <c r="F603" t="inlineStr">
        <is>
          <t>Delivery governance</t>
        </is>
      </c>
      <c r="G603">
        <f>IFERROR(INDEX('_ENGINE_Risk'!$BS$500:$BS$923,MATCH($D603,'_ENGINE_Risk'!$E$500:$E$923,0)),0)</f>
        <v/>
      </c>
      <c r="H603" t="n">
        <v>1</v>
      </c>
      <c r="I603">
        <f>IFERROR(MAX(0,5-INDEX('_ENGINE_Risk'!$H$500:$H$923,MATCH($D603,'_ENGINE_Risk'!$E$500:$E$923,0))),0)</f>
        <v/>
      </c>
      <c r="J603" t="inlineStr">
        <is>
          <t>P1 many-to-many coverage row</t>
        </is>
      </c>
      <c r="K603">
        <f>IFERROR(INDEX('_ENGINE_Risk'!$BI$500:$BI$923,MATCH($D603,'_ENGINE_Risk'!$E$500:$E$923,0))*N($H603),0)</f>
        <v/>
      </c>
      <c r="L603">
        <f>IFERROR(MIN(5,$K603/MAX(1,'_CONFIG_Model_Settings'!$B$105)),0)</f>
        <v/>
      </c>
    </row>
    <row r="604">
      <c r="A604" t="inlineStr">
        <is>
          <t>INI-028</t>
        </is>
      </c>
      <c r="B604" t="inlineStr">
        <is>
          <t>Standardize delivery governance, ownership and escalation</t>
        </is>
      </c>
      <c r="C604" t="inlineStr">
        <is>
          <t>STR-07</t>
        </is>
      </c>
      <c r="D604" t="inlineStr">
        <is>
          <t>DELI-002</t>
        </is>
      </c>
      <c r="E604" t="inlineStr">
        <is>
          <t>Delivery Ops</t>
        </is>
      </c>
      <c r="F604" t="inlineStr">
        <is>
          <t>Delivery governance</t>
        </is>
      </c>
      <c r="G604">
        <f>IFERROR(INDEX('_ENGINE_Risk'!$BS$500:$BS$923,MATCH($D604,'_ENGINE_Risk'!$E$500:$E$923,0)),0)</f>
        <v/>
      </c>
      <c r="H604" t="n">
        <v>1</v>
      </c>
      <c r="I604">
        <f>IFERROR(MAX(0,5-INDEX('_ENGINE_Risk'!$H$500:$H$923,MATCH($D604,'_ENGINE_Risk'!$E$500:$E$923,0))),0)</f>
        <v/>
      </c>
      <c r="J604" t="inlineStr">
        <is>
          <t>P1 many-to-many coverage row</t>
        </is>
      </c>
      <c r="K604">
        <f>IFERROR(INDEX('_ENGINE_Risk'!$BI$500:$BI$923,MATCH($D604,'_ENGINE_Risk'!$E$500:$E$923,0))*N($H604),0)</f>
        <v/>
      </c>
      <c r="L604">
        <f>IFERROR(MIN(5,$K604/MAX(1,'_CONFIG_Model_Settings'!$B$105)),0)</f>
        <v/>
      </c>
    </row>
    <row r="605">
      <c r="A605" t="inlineStr">
        <is>
          <t>INI-028</t>
        </is>
      </c>
      <c r="B605" t="inlineStr">
        <is>
          <t>Standardize delivery governance, ownership and escalation</t>
        </is>
      </c>
      <c r="C605" t="inlineStr">
        <is>
          <t>STR-07</t>
        </is>
      </c>
      <c r="D605" t="inlineStr">
        <is>
          <t>DELI-003</t>
        </is>
      </c>
      <c r="E605" t="inlineStr">
        <is>
          <t>Delivery Ops</t>
        </is>
      </c>
      <c r="F605" t="inlineStr">
        <is>
          <t>Delivery governance</t>
        </is>
      </c>
      <c r="G605">
        <f>IFERROR(INDEX('_ENGINE_Risk'!$BS$500:$BS$923,MATCH($D605,'_ENGINE_Risk'!$E$500:$E$923,0)),0)</f>
        <v/>
      </c>
      <c r="H605" t="n">
        <v>1</v>
      </c>
      <c r="I605">
        <f>IFERROR(MAX(0,5-INDEX('_ENGINE_Risk'!$H$500:$H$923,MATCH($D605,'_ENGINE_Risk'!$E$500:$E$923,0))),0)</f>
        <v/>
      </c>
      <c r="J605" t="inlineStr">
        <is>
          <t>P1 many-to-many coverage row</t>
        </is>
      </c>
      <c r="K605">
        <f>IFERROR(INDEX('_ENGINE_Risk'!$BI$500:$BI$923,MATCH($D605,'_ENGINE_Risk'!$E$500:$E$923,0))*N($H605),0)</f>
        <v/>
      </c>
      <c r="L605">
        <f>IFERROR(MIN(5,$K605/MAX(1,'_CONFIG_Model_Settings'!$B$105)),0)</f>
        <v/>
      </c>
    </row>
    <row r="606">
      <c r="A606" t="inlineStr">
        <is>
          <t>INI-028</t>
        </is>
      </c>
      <c r="B606" t="inlineStr">
        <is>
          <t>Standardize delivery governance, ownership and escalation</t>
        </is>
      </c>
      <c r="C606" t="inlineStr">
        <is>
          <t>STR-07</t>
        </is>
      </c>
      <c r="D606" t="inlineStr">
        <is>
          <t>DELI-004</t>
        </is>
      </c>
      <c r="E606" t="inlineStr">
        <is>
          <t>Delivery Ops</t>
        </is>
      </c>
      <c r="F606" t="inlineStr">
        <is>
          <t>Delivery governance</t>
        </is>
      </c>
      <c r="G606">
        <f>IFERROR(INDEX('_ENGINE_Risk'!$BS$500:$BS$923,MATCH($D606,'_ENGINE_Risk'!$E$500:$E$923,0)),0)</f>
        <v/>
      </c>
      <c r="H606" t="n">
        <v>1</v>
      </c>
      <c r="I606">
        <f>IFERROR(MAX(0,5-INDEX('_ENGINE_Risk'!$H$500:$H$923,MATCH($D606,'_ENGINE_Risk'!$E$500:$E$923,0))),0)</f>
        <v/>
      </c>
      <c r="J606" t="inlineStr">
        <is>
          <t>P1 many-to-many coverage row</t>
        </is>
      </c>
      <c r="K606">
        <f>IFERROR(INDEX('_ENGINE_Risk'!$BI$500:$BI$923,MATCH($D606,'_ENGINE_Risk'!$E$500:$E$923,0))*N($H606),0)</f>
        <v/>
      </c>
      <c r="L606">
        <f>IFERROR(MIN(5,$K606/MAX(1,'_CONFIG_Model_Settings'!$B$105)),0)</f>
        <v/>
      </c>
    </row>
    <row r="607">
      <c r="A607" t="inlineStr">
        <is>
          <t>INI-028</t>
        </is>
      </c>
      <c r="B607" t="inlineStr">
        <is>
          <t>Standardize delivery governance, ownership and escalation</t>
        </is>
      </c>
      <c r="C607" t="inlineStr">
        <is>
          <t>STR-07</t>
        </is>
      </c>
      <c r="D607" t="inlineStr">
        <is>
          <t>DELI-005</t>
        </is>
      </c>
      <c r="E607" t="inlineStr">
        <is>
          <t>Delivery Ops</t>
        </is>
      </c>
      <c r="F607" t="inlineStr">
        <is>
          <t>Delivery governance</t>
        </is>
      </c>
      <c r="G607">
        <f>IFERROR(INDEX('_ENGINE_Risk'!$BS$500:$BS$923,MATCH($D607,'_ENGINE_Risk'!$E$500:$E$923,0)),0)</f>
        <v/>
      </c>
      <c r="H607" t="n">
        <v>1</v>
      </c>
      <c r="I607">
        <f>IFERROR(MAX(0,5-INDEX('_ENGINE_Risk'!$H$500:$H$923,MATCH($D607,'_ENGINE_Risk'!$E$500:$E$923,0))),0)</f>
        <v/>
      </c>
      <c r="J607" t="inlineStr">
        <is>
          <t>P1 many-to-many coverage row</t>
        </is>
      </c>
      <c r="K607">
        <f>IFERROR(INDEX('_ENGINE_Risk'!$BI$500:$BI$923,MATCH($D607,'_ENGINE_Risk'!$E$500:$E$923,0))*N($H607),0)</f>
        <v/>
      </c>
      <c r="L607">
        <f>IFERROR(MIN(5,$K607/MAX(1,'_CONFIG_Model_Settings'!$B$105)),0)</f>
        <v/>
      </c>
    </row>
    <row r="608">
      <c r="A608" t="inlineStr">
        <is>
          <t>INI-028</t>
        </is>
      </c>
      <c r="B608" t="inlineStr">
        <is>
          <t>Standardize delivery governance, ownership and escalation</t>
        </is>
      </c>
      <c r="C608" t="inlineStr">
        <is>
          <t>STR-07</t>
        </is>
      </c>
      <c r="D608" t="inlineStr">
        <is>
          <t>DELI-006</t>
        </is>
      </c>
      <c r="E608" t="inlineStr">
        <is>
          <t>Delivery Ops</t>
        </is>
      </c>
      <c r="F608" t="inlineStr">
        <is>
          <t>Delivery governance</t>
        </is>
      </c>
      <c r="G608">
        <f>IFERROR(INDEX('_ENGINE_Risk'!$BS$500:$BS$923,MATCH($D608,'_ENGINE_Risk'!$E$500:$E$923,0)),0)</f>
        <v/>
      </c>
      <c r="H608" t="n">
        <v>1</v>
      </c>
      <c r="I608">
        <f>IFERROR(MAX(0,5-INDEX('_ENGINE_Risk'!$H$500:$H$923,MATCH($D608,'_ENGINE_Risk'!$E$500:$E$923,0))),0)</f>
        <v/>
      </c>
      <c r="J608" t="inlineStr">
        <is>
          <t>P1 many-to-many coverage row</t>
        </is>
      </c>
      <c r="K608">
        <f>IFERROR(INDEX('_ENGINE_Risk'!$BI$500:$BI$923,MATCH($D608,'_ENGINE_Risk'!$E$500:$E$923,0))*N($H608),0)</f>
        <v/>
      </c>
      <c r="L608">
        <f>IFERROR(MIN(5,$K608/MAX(1,'_CONFIG_Model_Settings'!$B$105)),0)</f>
        <v/>
      </c>
    </row>
    <row r="609">
      <c r="A609" t="inlineStr">
        <is>
          <t>INI-029</t>
        </is>
      </c>
      <c r="B609" t="inlineStr">
        <is>
          <t>Build capacity resilience and delivery continuity model</t>
        </is>
      </c>
      <c r="C609" t="inlineStr">
        <is>
          <t>STR-07</t>
        </is>
      </c>
      <c r="D609" t="inlineStr">
        <is>
          <t>DELI-007</t>
        </is>
      </c>
      <c r="E609" t="inlineStr">
        <is>
          <t>Delivery Ops</t>
        </is>
      </c>
      <c r="F609" t="inlineStr">
        <is>
          <t>Capacity and continuity</t>
        </is>
      </c>
      <c r="G609">
        <f>IFERROR(INDEX('_ENGINE_Risk'!$BS$500:$BS$923,MATCH($D609,'_ENGINE_Risk'!$E$500:$E$923,0)),0)</f>
        <v/>
      </c>
      <c r="H609" t="n">
        <v>1</v>
      </c>
      <c r="I609">
        <f>IFERROR(MAX(0,5-INDEX('_ENGINE_Risk'!$H$500:$H$923,MATCH($D609,'_ENGINE_Risk'!$E$500:$E$923,0))),0)</f>
        <v/>
      </c>
      <c r="J609" t="inlineStr">
        <is>
          <t>P1 many-to-many coverage row</t>
        </is>
      </c>
      <c r="K609">
        <f>IFERROR(INDEX('_ENGINE_Risk'!$BI$500:$BI$923,MATCH($D609,'_ENGINE_Risk'!$E$500:$E$923,0))*N($H609),0)</f>
        <v/>
      </c>
      <c r="L609">
        <f>IFERROR(MIN(5,$K609/MAX(1,'_CONFIG_Model_Settings'!$B$105)),0)</f>
        <v/>
      </c>
    </row>
    <row r="610">
      <c r="A610" t="inlineStr">
        <is>
          <t>INI-029</t>
        </is>
      </c>
      <c r="B610" t="inlineStr">
        <is>
          <t>Build capacity resilience and delivery continuity model</t>
        </is>
      </c>
      <c r="C610" t="inlineStr">
        <is>
          <t>STR-07</t>
        </is>
      </c>
      <c r="D610" t="inlineStr">
        <is>
          <t>DELI-008</t>
        </is>
      </c>
      <c r="E610" t="inlineStr">
        <is>
          <t>Delivery Ops</t>
        </is>
      </c>
      <c r="F610" t="inlineStr">
        <is>
          <t>Capacity and continuity</t>
        </is>
      </c>
      <c r="G610">
        <f>IFERROR(INDEX('_ENGINE_Risk'!$BS$500:$BS$923,MATCH($D610,'_ENGINE_Risk'!$E$500:$E$923,0)),0)</f>
        <v/>
      </c>
      <c r="H610" t="n">
        <v>1</v>
      </c>
      <c r="I610">
        <f>IFERROR(MAX(0,5-INDEX('_ENGINE_Risk'!$H$500:$H$923,MATCH($D610,'_ENGINE_Risk'!$E$500:$E$923,0))),0)</f>
        <v/>
      </c>
      <c r="J610" t="inlineStr">
        <is>
          <t>P1 many-to-many coverage row</t>
        </is>
      </c>
      <c r="K610">
        <f>IFERROR(INDEX('_ENGINE_Risk'!$BI$500:$BI$923,MATCH($D610,'_ENGINE_Risk'!$E$500:$E$923,0))*N($H610),0)</f>
        <v/>
      </c>
      <c r="L610">
        <f>IFERROR(MIN(5,$K610/MAX(1,'_CONFIG_Model_Settings'!$B$105)),0)</f>
        <v/>
      </c>
    </row>
    <row r="611">
      <c r="A611" t="inlineStr">
        <is>
          <t>INI-029</t>
        </is>
      </c>
      <c r="B611" t="inlineStr">
        <is>
          <t>Build capacity resilience and delivery continuity model</t>
        </is>
      </c>
      <c r="C611" t="inlineStr">
        <is>
          <t>STR-07</t>
        </is>
      </c>
      <c r="D611" t="inlineStr">
        <is>
          <t>DELI-009</t>
        </is>
      </c>
      <c r="E611" t="inlineStr">
        <is>
          <t>Delivery Ops</t>
        </is>
      </c>
      <c r="F611" t="inlineStr">
        <is>
          <t>Capacity and continuity</t>
        </is>
      </c>
      <c r="G611">
        <f>IFERROR(INDEX('_ENGINE_Risk'!$BS$500:$BS$923,MATCH($D611,'_ENGINE_Risk'!$E$500:$E$923,0)),0)</f>
        <v/>
      </c>
      <c r="H611" t="n">
        <v>1</v>
      </c>
      <c r="I611">
        <f>IFERROR(MAX(0,5-INDEX('_ENGINE_Risk'!$H$500:$H$923,MATCH($D611,'_ENGINE_Risk'!$E$500:$E$923,0))),0)</f>
        <v/>
      </c>
      <c r="J611" t="inlineStr">
        <is>
          <t>P1 many-to-many coverage row</t>
        </is>
      </c>
      <c r="K611">
        <f>IFERROR(INDEX('_ENGINE_Risk'!$BI$500:$BI$923,MATCH($D611,'_ENGINE_Risk'!$E$500:$E$923,0))*N($H611),0)</f>
        <v/>
      </c>
      <c r="L611">
        <f>IFERROR(MIN(5,$K611/MAX(1,'_CONFIG_Model_Settings'!$B$105)),0)</f>
        <v/>
      </c>
    </row>
    <row r="612">
      <c r="A612" t="inlineStr">
        <is>
          <t>INI-029</t>
        </is>
      </c>
      <c r="B612" t="inlineStr">
        <is>
          <t>Build capacity resilience and delivery continuity model</t>
        </is>
      </c>
      <c r="C612" t="inlineStr">
        <is>
          <t>STR-07</t>
        </is>
      </c>
      <c r="D612" t="inlineStr">
        <is>
          <t>DELI-010</t>
        </is>
      </c>
      <c r="E612" t="inlineStr">
        <is>
          <t>Delivery Ops</t>
        </is>
      </c>
      <c r="F612" t="inlineStr">
        <is>
          <t>Capacity and continuity</t>
        </is>
      </c>
      <c r="G612">
        <f>IFERROR(INDEX('_ENGINE_Risk'!$BS$500:$BS$923,MATCH($D612,'_ENGINE_Risk'!$E$500:$E$923,0)),0)</f>
        <v/>
      </c>
      <c r="H612" t="n">
        <v>1</v>
      </c>
      <c r="I612">
        <f>IFERROR(MAX(0,5-INDEX('_ENGINE_Risk'!$H$500:$H$923,MATCH($D612,'_ENGINE_Risk'!$E$500:$E$923,0))),0)</f>
        <v/>
      </c>
      <c r="J612" t="inlineStr">
        <is>
          <t>P1 many-to-many coverage row</t>
        </is>
      </c>
      <c r="K612">
        <f>IFERROR(INDEX('_ENGINE_Risk'!$BI$500:$BI$923,MATCH($D612,'_ENGINE_Risk'!$E$500:$E$923,0))*N($H612),0)</f>
        <v/>
      </c>
      <c r="L612">
        <f>IFERROR(MIN(5,$K612/MAX(1,'_CONFIG_Model_Settings'!$B$105)),0)</f>
        <v/>
      </c>
    </row>
    <row r="613">
      <c r="A613" t="inlineStr">
        <is>
          <t>INI-029</t>
        </is>
      </c>
      <c r="B613" t="inlineStr">
        <is>
          <t>Build capacity resilience and delivery continuity model</t>
        </is>
      </c>
      <c r="C613" t="inlineStr">
        <is>
          <t>STR-07</t>
        </is>
      </c>
      <c r="D613" t="inlineStr">
        <is>
          <t>DELI-011</t>
        </is>
      </c>
      <c r="E613" t="inlineStr">
        <is>
          <t>Delivery Ops</t>
        </is>
      </c>
      <c r="F613" t="inlineStr">
        <is>
          <t>Capacity and continuity</t>
        </is>
      </c>
      <c r="G613">
        <f>IFERROR(INDEX('_ENGINE_Risk'!$BS$500:$BS$923,MATCH($D613,'_ENGINE_Risk'!$E$500:$E$923,0)),0)</f>
        <v/>
      </c>
      <c r="H613" t="n">
        <v>1</v>
      </c>
      <c r="I613">
        <f>IFERROR(MAX(0,5-INDEX('_ENGINE_Risk'!$H$500:$H$923,MATCH($D613,'_ENGINE_Risk'!$E$500:$E$923,0))),0)</f>
        <v/>
      </c>
      <c r="J613" t="inlineStr">
        <is>
          <t>P1 many-to-many coverage row</t>
        </is>
      </c>
      <c r="K613">
        <f>IFERROR(INDEX('_ENGINE_Risk'!$BI$500:$BI$923,MATCH($D613,'_ENGINE_Risk'!$E$500:$E$923,0))*N($H613),0)</f>
        <v/>
      </c>
      <c r="L613">
        <f>IFERROR(MIN(5,$K613/MAX(1,'_CONFIG_Model_Settings'!$B$105)),0)</f>
        <v/>
      </c>
    </row>
    <row r="614">
      <c r="A614" t="inlineStr">
        <is>
          <t>INI-029</t>
        </is>
      </c>
      <c r="B614" t="inlineStr">
        <is>
          <t>Build capacity resilience and delivery continuity model</t>
        </is>
      </c>
      <c r="C614" t="inlineStr">
        <is>
          <t>STR-07</t>
        </is>
      </c>
      <c r="D614" t="inlineStr">
        <is>
          <t>DELI-012</t>
        </is>
      </c>
      <c r="E614" t="inlineStr">
        <is>
          <t>Delivery Ops</t>
        </is>
      </c>
      <c r="F614" t="inlineStr">
        <is>
          <t>Capacity and continuity</t>
        </is>
      </c>
      <c r="G614">
        <f>IFERROR(INDEX('_ENGINE_Risk'!$BS$500:$BS$923,MATCH($D614,'_ENGINE_Risk'!$E$500:$E$923,0)),0)</f>
        <v/>
      </c>
      <c r="H614" t="n">
        <v>1</v>
      </c>
      <c r="I614">
        <f>IFERROR(MAX(0,5-INDEX('_ENGINE_Risk'!$H$500:$H$923,MATCH($D614,'_ENGINE_Risk'!$E$500:$E$923,0))),0)</f>
        <v/>
      </c>
      <c r="J614" t="inlineStr">
        <is>
          <t>P1 many-to-many coverage row</t>
        </is>
      </c>
      <c r="K614">
        <f>IFERROR(INDEX('_ENGINE_Risk'!$BI$500:$BI$923,MATCH($D614,'_ENGINE_Risk'!$E$500:$E$923,0))*N($H614),0)</f>
        <v/>
      </c>
      <c r="L614">
        <f>IFERROR(MIN(5,$K614/MAX(1,'_CONFIG_Model_Settings'!$B$105)),0)</f>
        <v/>
      </c>
    </row>
    <row r="615">
      <c r="A615" t="inlineStr">
        <is>
          <t>INI-030</t>
        </is>
      </c>
      <c r="B615" t="inlineStr">
        <is>
          <t>Strengthen process control, SOPs and operational quality gates</t>
        </is>
      </c>
      <c r="C615" t="inlineStr">
        <is>
          <t>STR-07</t>
        </is>
      </c>
      <c r="D615" t="inlineStr">
        <is>
          <t>DELI-013</t>
        </is>
      </c>
      <c r="E615" t="inlineStr">
        <is>
          <t>Delivery Ops</t>
        </is>
      </c>
      <c r="F615" t="inlineStr">
        <is>
          <t>Process control</t>
        </is>
      </c>
      <c r="G615">
        <f>IFERROR(INDEX('_ENGINE_Risk'!$BS$500:$BS$923,MATCH($D615,'_ENGINE_Risk'!$E$500:$E$923,0)),0)</f>
        <v/>
      </c>
      <c r="H615" t="n">
        <v>1</v>
      </c>
      <c r="I615">
        <f>IFERROR(MAX(0,5-INDEX('_ENGINE_Risk'!$H$500:$H$923,MATCH($D615,'_ENGINE_Risk'!$E$500:$E$923,0))),0)</f>
        <v/>
      </c>
      <c r="J615" t="inlineStr">
        <is>
          <t>P1 many-to-many coverage row</t>
        </is>
      </c>
      <c r="K615">
        <f>IFERROR(INDEX('_ENGINE_Risk'!$BI$500:$BI$923,MATCH($D615,'_ENGINE_Risk'!$E$500:$E$923,0))*N($H615),0)</f>
        <v/>
      </c>
      <c r="L615">
        <f>IFERROR(MIN(5,$K615/MAX(1,'_CONFIG_Model_Settings'!$B$105)),0)</f>
        <v/>
      </c>
    </row>
    <row r="616">
      <c r="A616" t="inlineStr">
        <is>
          <t>INI-030</t>
        </is>
      </c>
      <c r="B616" t="inlineStr">
        <is>
          <t>Strengthen process control, SOPs and operational quality gates</t>
        </is>
      </c>
      <c r="C616" t="inlineStr">
        <is>
          <t>STR-07</t>
        </is>
      </c>
      <c r="D616" t="inlineStr">
        <is>
          <t>DELI-014</t>
        </is>
      </c>
      <c r="E616" t="inlineStr">
        <is>
          <t>Delivery Ops</t>
        </is>
      </c>
      <c r="F616" t="inlineStr">
        <is>
          <t>Process control</t>
        </is>
      </c>
      <c r="G616">
        <f>IFERROR(INDEX('_ENGINE_Risk'!$BS$500:$BS$923,MATCH($D616,'_ENGINE_Risk'!$E$500:$E$923,0)),0)</f>
        <v/>
      </c>
      <c r="H616" t="n">
        <v>1</v>
      </c>
      <c r="I616">
        <f>IFERROR(MAX(0,5-INDEX('_ENGINE_Risk'!$H$500:$H$923,MATCH($D616,'_ENGINE_Risk'!$E$500:$E$923,0))),0)</f>
        <v/>
      </c>
      <c r="J616" t="inlineStr">
        <is>
          <t>P1 many-to-many coverage row</t>
        </is>
      </c>
      <c r="K616">
        <f>IFERROR(INDEX('_ENGINE_Risk'!$BI$500:$BI$923,MATCH($D616,'_ENGINE_Risk'!$E$500:$E$923,0))*N($H616),0)</f>
        <v/>
      </c>
      <c r="L616">
        <f>IFERROR(MIN(5,$K616/MAX(1,'_CONFIG_Model_Settings'!$B$105)),0)</f>
        <v/>
      </c>
    </row>
    <row r="617">
      <c r="A617" t="inlineStr">
        <is>
          <t>INI-030</t>
        </is>
      </c>
      <c r="B617" t="inlineStr">
        <is>
          <t>Strengthen process control, SOPs and operational quality gates</t>
        </is>
      </c>
      <c r="C617" t="inlineStr">
        <is>
          <t>STR-07</t>
        </is>
      </c>
      <c r="D617" t="inlineStr">
        <is>
          <t>DELI-015</t>
        </is>
      </c>
      <c r="E617" t="inlineStr">
        <is>
          <t>Delivery Ops</t>
        </is>
      </c>
      <c r="F617" t="inlineStr">
        <is>
          <t>Process control</t>
        </is>
      </c>
      <c r="G617">
        <f>IFERROR(INDEX('_ENGINE_Risk'!$BS$500:$BS$923,MATCH($D617,'_ENGINE_Risk'!$E$500:$E$923,0)),0)</f>
        <v/>
      </c>
      <c r="H617" t="n">
        <v>1</v>
      </c>
      <c r="I617">
        <f>IFERROR(MAX(0,5-INDEX('_ENGINE_Risk'!$H$500:$H$923,MATCH($D617,'_ENGINE_Risk'!$E$500:$E$923,0))),0)</f>
        <v/>
      </c>
      <c r="J617" t="inlineStr">
        <is>
          <t>P1 many-to-many coverage row</t>
        </is>
      </c>
      <c r="K617">
        <f>IFERROR(INDEX('_ENGINE_Risk'!$BI$500:$BI$923,MATCH($D617,'_ENGINE_Risk'!$E$500:$E$923,0))*N($H617),0)</f>
        <v/>
      </c>
      <c r="L617">
        <f>IFERROR(MIN(5,$K617/MAX(1,'_CONFIG_Model_Settings'!$B$105)),0)</f>
        <v/>
      </c>
    </row>
    <row r="618">
      <c r="A618" t="inlineStr">
        <is>
          <t>INI-030</t>
        </is>
      </c>
      <c r="B618" t="inlineStr">
        <is>
          <t>Strengthen process control, SOPs and operational quality gates</t>
        </is>
      </c>
      <c r="C618" t="inlineStr">
        <is>
          <t>STR-07</t>
        </is>
      </c>
      <c r="D618" t="inlineStr">
        <is>
          <t>DELI-016</t>
        </is>
      </c>
      <c r="E618" t="inlineStr">
        <is>
          <t>Delivery Ops</t>
        </is>
      </c>
      <c r="F618" t="inlineStr">
        <is>
          <t>Process control</t>
        </is>
      </c>
      <c r="G618">
        <f>IFERROR(INDEX('_ENGINE_Risk'!$BS$500:$BS$923,MATCH($D618,'_ENGINE_Risk'!$E$500:$E$923,0)),0)</f>
        <v/>
      </c>
      <c r="H618" t="n">
        <v>1</v>
      </c>
      <c r="I618">
        <f>IFERROR(MAX(0,5-INDEX('_ENGINE_Risk'!$H$500:$H$923,MATCH($D618,'_ENGINE_Risk'!$E$500:$E$923,0))),0)</f>
        <v/>
      </c>
      <c r="J618" t="inlineStr">
        <is>
          <t>P1 many-to-many coverage row</t>
        </is>
      </c>
      <c r="K618">
        <f>IFERROR(INDEX('_ENGINE_Risk'!$BI$500:$BI$923,MATCH($D618,'_ENGINE_Risk'!$E$500:$E$923,0))*N($H618),0)</f>
        <v/>
      </c>
      <c r="L618">
        <f>IFERROR(MIN(5,$K618/MAX(1,'_CONFIG_Model_Settings'!$B$105)),0)</f>
        <v/>
      </c>
    </row>
    <row r="619">
      <c r="A619" t="inlineStr">
        <is>
          <t>INI-030</t>
        </is>
      </c>
      <c r="B619" t="inlineStr">
        <is>
          <t>Strengthen process control, SOPs and operational quality gates</t>
        </is>
      </c>
      <c r="C619" t="inlineStr">
        <is>
          <t>STR-07</t>
        </is>
      </c>
      <c r="D619" t="inlineStr">
        <is>
          <t>DELI-017</t>
        </is>
      </c>
      <c r="E619" t="inlineStr">
        <is>
          <t>Delivery Ops</t>
        </is>
      </c>
      <c r="F619" t="inlineStr">
        <is>
          <t>Process control</t>
        </is>
      </c>
      <c r="G619">
        <f>IFERROR(INDEX('_ENGINE_Risk'!$BS$500:$BS$923,MATCH($D619,'_ENGINE_Risk'!$E$500:$E$923,0)),0)</f>
        <v/>
      </c>
      <c r="H619" t="n">
        <v>1</v>
      </c>
      <c r="I619">
        <f>IFERROR(MAX(0,5-INDEX('_ENGINE_Risk'!$H$500:$H$923,MATCH($D619,'_ENGINE_Risk'!$E$500:$E$923,0))),0)</f>
        <v/>
      </c>
      <c r="J619" t="inlineStr">
        <is>
          <t>P1 many-to-many coverage row</t>
        </is>
      </c>
      <c r="K619">
        <f>IFERROR(INDEX('_ENGINE_Risk'!$BI$500:$BI$923,MATCH($D619,'_ENGINE_Risk'!$E$500:$E$923,0))*N($H619),0)</f>
        <v/>
      </c>
      <c r="L619">
        <f>IFERROR(MIN(5,$K619/MAX(1,'_CONFIG_Model_Settings'!$B$105)),0)</f>
        <v/>
      </c>
    </row>
    <row r="620">
      <c r="A620" t="inlineStr">
        <is>
          <t>INI-030</t>
        </is>
      </c>
      <c r="B620" t="inlineStr">
        <is>
          <t>Strengthen process control, SOPs and operational quality gates</t>
        </is>
      </c>
      <c r="C620" t="inlineStr">
        <is>
          <t>STR-07</t>
        </is>
      </c>
      <c r="D620" t="inlineStr">
        <is>
          <t>DELI-018</t>
        </is>
      </c>
      <c r="E620" t="inlineStr">
        <is>
          <t>Delivery Ops</t>
        </is>
      </c>
      <c r="F620" t="inlineStr">
        <is>
          <t>Process control</t>
        </is>
      </c>
      <c r="G620">
        <f>IFERROR(INDEX('_ENGINE_Risk'!$BS$500:$BS$923,MATCH($D620,'_ENGINE_Risk'!$E$500:$E$923,0)),0)</f>
        <v/>
      </c>
      <c r="H620" t="n">
        <v>1</v>
      </c>
      <c r="I620">
        <f>IFERROR(MAX(0,5-INDEX('_ENGINE_Risk'!$H$500:$H$923,MATCH($D620,'_ENGINE_Risk'!$E$500:$E$923,0))),0)</f>
        <v/>
      </c>
      <c r="J620" t="inlineStr">
        <is>
          <t>P1 many-to-many coverage row</t>
        </is>
      </c>
      <c r="K620">
        <f>IFERROR(INDEX('_ENGINE_Risk'!$BI$500:$BI$923,MATCH($D620,'_ENGINE_Risk'!$E$500:$E$923,0))*N($H620),0)</f>
        <v/>
      </c>
      <c r="L620">
        <f>IFERROR(MIN(5,$K620/MAX(1,'_CONFIG_Model_Settings'!$B$105)),0)</f>
        <v/>
      </c>
    </row>
    <row r="621">
      <c r="A621" t="inlineStr">
        <is>
          <t>INI-031</t>
        </is>
      </c>
      <c r="B621" t="inlineStr">
        <is>
          <t>Implement operational visibility dashboards and early warning</t>
        </is>
      </c>
      <c r="C621" t="inlineStr">
        <is>
          <t>STR-07</t>
        </is>
      </c>
      <c r="D621" t="inlineStr">
        <is>
          <t>DELI-019</t>
        </is>
      </c>
      <c r="E621" t="inlineStr">
        <is>
          <t>Delivery Ops</t>
        </is>
      </c>
      <c r="F621" t="inlineStr">
        <is>
          <t>Operational visibility</t>
        </is>
      </c>
      <c r="G621">
        <f>IFERROR(INDEX('_ENGINE_Risk'!$BS$500:$BS$923,MATCH($D621,'_ENGINE_Risk'!$E$500:$E$923,0)),0)</f>
        <v/>
      </c>
      <c r="H621" t="n">
        <v>1</v>
      </c>
      <c r="I621">
        <f>IFERROR(MAX(0,5-INDEX('_ENGINE_Risk'!$H$500:$H$923,MATCH($D621,'_ENGINE_Risk'!$E$500:$E$923,0))),0)</f>
        <v/>
      </c>
      <c r="J621" t="inlineStr">
        <is>
          <t>P1 many-to-many coverage row</t>
        </is>
      </c>
      <c r="K621">
        <f>IFERROR(INDEX('_ENGINE_Risk'!$BI$500:$BI$923,MATCH($D621,'_ENGINE_Risk'!$E$500:$E$923,0))*N($H621),0)</f>
        <v/>
      </c>
      <c r="L621">
        <f>IFERROR(MIN(5,$K621/MAX(1,'_CONFIG_Model_Settings'!$B$105)),0)</f>
        <v/>
      </c>
    </row>
    <row r="622">
      <c r="A622" t="inlineStr">
        <is>
          <t>INI-031</t>
        </is>
      </c>
      <c r="B622" t="inlineStr">
        <is>
          <t>Implement operational visibility dashboards and early warning</t>
        </is>
      </c>
      <c r="C622" t="inlineStr">
        <is>
          <t>STR-07</t>
        </is>
      </c>
      <c r="D622" t="inlineStr">
        <is>
          <t>DELI-020</t>
        </is>
      </c>
      <c r="E622" t="inlineStr">
        <is>
          <t>Delivery Ops</t>
        </is>
      </c>
      <c r="F622" t="inlineStr">
        <is>
          <t>Operational visibility</t>
        </is>
      </c>
      <c r="G622">
        <f>IFERROR(INDEX('_ENGINE_Risk'!$BS$500:$BS$923,MATCH($D622,'_ENGINE_Risk'!$E$500:$E$923,0)),0)</f>
        <v/>
      </c>
      <c r="H622" t="n">
        <v>1</v>
      </c>
      <c r="I622">
        <f>IFERROR(MAX(0,5-INDEX('_ENGINE_Risk'!$H$500:$H$923,MATCH($D622,'_ENGINE_Risk'!$E$500:$E$923,0))),0)</f>
        <v/>
      </c>
      <c r="J622" t="inlineStr">
        <is>
          <t>P1 many-to-many coverage row</t>
        </is>
      </c>
      <c r="K622">
        <f>IFERROR(INDEX('_ENGINE_Risk'!$BI$500:$BI$923,MATCH($D622,'_ENGINE_Risk'!$E$500:$E$923,0))*N($H622),0)</f>
        <v/>
      </c>
      <c r="L622">
        <f>IFERROR(MIN(5,$K622/MAX(1,'_CONFIG_Model_Settings'!$B$105)),0)</f>
        <v/>
      </c>
    </row>
    <row r="623">
      <c r="A623" t="inlineStr">
        <is>
          <t>INI-031</t>
        </is>
      </c>
      <c r="B623" t="inlineStr">
        <is>
          <t>Implement operational visibility dashboards and early warning</t>
        </is>
      </c>
      <c r="C623" t="inlineStr">
        <is>
          <t>STR-07</t>
        </is>
      </c>
      <c r="D623" t="inlineStr">
        <is>
          <t>DELI-021</t>
        </is>
      </c>
      <c r="E623" t="inlineStr">
        <is>
          <t>Delivery Ops</t>
        </is>
      </c>
      <c r="F623" t="inlineStr">
        <is>
          <t>Operational visibility</t>
        </is>
      </c>
      <c r="G623">
        <f>IFERROR(INDEX('_ENGINE_Risk'!$BS$500:$BS$923,MATCH($D623,'_ENGINE_Risk'!$E$500:$E$923,0)),0)</f>
        <v/>
      </c>
      <c r="H623" t="n">
        <v>1</v>
      </c>
      <c r="I623">
        <f>IFERROR(MAX(0,5-INDEX('_ENGINE_Risk'!$H$500:$H$923,MATCH($D623,'_ENGINE_Risk'!$E$500:$E$923,0))),0)</f>
        <v/>
      </c>
      <c r="J623" t="inlineStr">
        <is>
          <t>P1 many-to-many coverage row</t>
        </is>
      </c>
      <c r="K623">
        <f>IFERROR(INDEX('_ENGINE_Risk'!$BI$500:$BI$923,MATCH($D623,'_ENGINE_Risk'!$E$500:$E$923,0))*N($H623),0)</f>
        <v/>
      </c>
      <c r="L623">
        <f>IFERROR(MIN(5,$K623/MAX(1,'_CONFIG_Model_Settings'!$B$105)),0)</f>
        <v/>
      </c>
    </row>
    <row r="624">
      <c r="A624" t="inlineStr">
        <is>
          <t>INI-031</t>
        </is>
      </c>
      <c r="B624" t="inlineStr">
        <is>
          <t>Implement operational visibility dashboards and early warning</t>
        </is>
      </c>
      <c r="C624" t="inlineStr">
        <is>
          <t>STR-07</t>
        </is>
      </c>
      <c r="D624" t="inlineStr">
        <is>
          <t>DELI-022</t>
        </is>
      </c>
      <c r="E624" t="inlineStr">
        <is>
          <t>Delivery Ops</t>
        </is>
      </c>
      <c r="F624" t="inlineStr">
        <is>
          <t>Operational visibility</t>
        </is>
      </c>
      <c r="G624">
        <f>IFERROR(INDEX('_ENGINE_Risk'!$BS$500:$BS$923,MATCH($D624,'_ENGINE_Risk'!$E$500:$E$923,0)),0)</f>
        <v/>
      </c>
      <c r="H624" t="n">
        <v>1</v>
      </c>
      <c r="I624">
        <f>IFERROR(MAX(0,5-INDEX('_ENGINE_Risk'!$H$500:$H$923,MATCH($D624,'_ENGINE_Risk'!$E$500:$E$923,0))),0)</f>
        <v/>
      </c>
      <c r="J624" t="inlineStr">
        <is>
          <t>P1 many-to-many coverage row</t>
        </is>
      </c>
      <c r="K624">
        <f>IFERROR(INDEX('_ENGINE_Risk'!$BI$500:$BI$923,MATCH($D624,'_ENGINE_Risk'!$E$500:$E$923,0))*N($H624),0)</f>
        <v/>
      </c>
      <c r="L624">
        <f>IFERROR(MIN(5,$K624/MAX(1,'_CONFIG_Model_Settings'!$B$105)),0)</f>
        <v/>
      </c>
    </row>
    <row r="625">
      <c r="A625" t="inlineStr">
        <is>
          <t>INI-031</t>
        </is>
      </c>
      <c r="B625" t="inlineStr">
        <is>
          <t>Implement operational visibility dashboards and early warning</t>
        </is>
      </c>
      <c r="C625" t="inlineStr">
        <is>
          <t>STR-07</t>
        </is>
      </c>
      <c r="D625" t="inlineStr">
        <is>
          <t>DELI-023</t>
        </is>
      </c>
      <c r="E625" t="inlineStr">
        <is>
          <t>Delivery Ops</t>
        </is>
      </c>
      <c r="F625" t="inlineStr">
        <is>
          <t>Operational visibility</t>
        </is>
      </c>
      <c r="G625">
        <f>IFERROR(INDEX('_ENGINE_Risk'!$BS$500:$BS$923,MATCH($D625,'_ENGINE_Risk'!$E$500:$E$923,0)),0)</f>
        <v/>
      </c>
      <c r="H625" t="n">
        <v>1</v>
      </c>
      <c r="I625">
        <f>IFERROR(MAX(0,5-INDEX('_ENGINE_Risk'!$H$500:$H$923,MATCH($D625,'_ENGINE_Risk'!$E$500:$E$923,0))),0)</f>
        <v/>
      </c>
      <c r="J625" t="inlineStr">
        <is>
          <t>P1 many-to-many coverage row</t>
        </is>
      </c>
      <c r="K625">
        <f>IFERROR(INDEX('_ENGINE_Risk'!$BI$500:$BI$923,MATCH($D625,'_ENGINE_Risk'!$E$500:$E$923,0))*N($H625),0)</f>
        <v/>
      </c>
      <c r="L625">
        <f>IFERROR(MIN(5,$K625/MAX(1,'_CONFIG_Model_Settings'!$B$105)),0)</f>
        <v/>
      </c>
    </row>
    <row r="626">
      <c r="A626" t="inlineStr">
        <is>
          <t>INI-031</t>
        </is>
      </c>
      <c r="B626" t="inlineStr">
        <is>
          <t>Implement operational visibility dashboards and early warning</t>
        </is>
      </c>
      <c r="C626" t="inlineStr">
        <is>
          <t>STR-07</t>
        </is>
      </c>
      <c r="D626" t="inlineStr">
        <is>
          <t>DELI-024</t>
        </is>
      </c>
      <c r="E626" t="inlineStr">
        <is>
          <t>Delivery Ops</t>
        </is>
      </c>
      <c r="F626" t="inlineStr">
        <is>
          <t>Operational visibility</t>
        </is>
      </c>
      <c r="G626">
        <f>IFERROR(INDEX('_ENGINE_Risk'!$BS$500:$BS$923,MATCH($D626,'_ENGINE_Risk'!$E$500:$E$923,0)),0)</f>
        <v/>
      </c>
      <c r="H626" t="n">
        <v>1</v>
      </c>
      <c r="I626">
        <f>IFERROR(MAX(0,5-INDEX('_ENGINE_Risk'!$H$500:$H$923,MATCH($D626,'_ENGINE_Risk'!$E$500:$E$923,0))),0)</f>
        <v/>
      </c>
      <c r="J626" t="inlineStr">
        <is>
          <t>P1 many-to-many coverage row</t>
        </is>
      </c>
      <c r="K626">
        <f>IFERROR(INDEX('_ENGINE_Risk'!$BI$500:$BI$923,MATCH($D626,'_ENGINE_Risk'!$E$500:$E$923,0))*N($H626),0)</f>
        <v/>
      </c>
      <c r="L626">
        <f>IFERROR(MIN(5,$K626/MAX(1,'_CONFIG_Model_Settings'!$B$105)),0)</f>
        <v/>
      </c>
    </row>
    <row r="627">
      <c r="A627" t="inlineStr">
        <is>
          <t>INI-032</t>
        </is>
      </c>
      <c r="B627" t="inlineStr">
        <is>
          <t>Redesign supply chain for resilience and alternative sourcing</t>
        </is>
      </c>
      <c r="C627" t="inlineStr">
        <is>
          <t>STR-08</t>
        </is>
      </c>
      <c r="D627" t="inlineStr">
        <is>
          <t>SUPP-001</t>
        </is>
      </c>
      <c r="E627" t="inlineStr">
        <is>
          <t>Supply Chain</t>
        </is>
      </c>
      <c r="F627" t="inlineStr">
        <is>
          <t>Supply chain design</t>
        </is>
      </c>
      <c r="G627">
        <f>IFERROR(INDEX('_ENGINE_Risk'!$BS$500:$BS$923,MATCH($D627,'_ENGINE_Risk'!$E$500:$E$923,0)),0)</f>
        <v/>
      </c>
      <c r="H627" t="n">
        <v>1</v>
      </c>
      <c r="I627">
        <f>IFERROR(MAX(0,5-INDEX('_ENGINE_Risk'!$H$500:$H$923,MATCH($D627,'_ENGINE_Risk'!$E$500:$E$923,0))),0)</f>
        <v/>
      </c>
      <c r="J627" t="inlineStr">
        <is>
          <t>P1 many-to-many coverage row</t>
        </is>
      </c>
      <c r="K627">
        <f>IFERROR(INDEX('_ENGINE_Risk'!$BI$500:$BI$923,MATCH($D627,'_ENGINE_Risk'!$E$500:$E$923,0))*N($H627),0)</f>
        <v/>
      </c>
      <c r="L627">
        <f>IFERROR(MIN(5,$K627/MAX(1,'_CONFIG_Model_Settings'!$B$105)),0)</f>
        <v/>
      </c>
    </row>
    <row r="628">
      <c r="A628" t="inlineStr">
        <is>
          <t>INI-032</t>
        </is>
      </c>
      <c r="B628" t="inlineStr">
        <is>
          <t>Redesign supply chain for resilience and alternative sourcing</t>
        </is>
      </c>
      <c r="C628" t="inlineStr">
        <is>
          <t>STR-08</t>
        </is>
      </c>
      <c r="D628" t="inlineStr">
        <is>
          <t>SUPP-002</t>
        </is>
      </c>
      <c r="E628" t="inlineStr">
        <is>
          <t>Supply Chain</t>
        </is>
      </c>
      <c r="F628" t="inlineStr">
        <is>
          <t>Supply chain design</t>
        </is>
      </c>
      <c r="G628">
        <f>IFERROR(INDEX('_ENGINE_Risk'!$BS$500:$BS$923,MATCH($D628,'_ENGINE_Risk'!$E$500:$E$923,0)),0)</f>
        <v/>
      </c>
      <c r="H628" t="n">
        <v>1</v>
      </c>
      <c r="I628">
        <f>IFERROR(MAX(0,5-INDEX('_ENGINE_Risk'!$H$500:$H$923,MATCH($D628,'_ENGINE_Risk'!$E$500:$E$923,0))),0)</f>
        <v/>
      </c>
      <c r="J628" t="inlineStr">
        <is>
          <t>P1 many-to-many coverage row</t>
        </is>
      </c>
      <c r="K628">
        <f>IFERROR(INDEX('_ENGINE_Risk'!$BI$500:$BI$923,MATCH($D628,'_ENGINE_Risk'!$E$500:$E$923,0))*N($H628),0)</f>
        <v/>
      </c>
      <c r="L628">
        <f>IFERROR(MIN(5,$K628/MAX(1,'_CONFIG_Model_Settings'!$B$105)),0)</f>
        <v/>
      </c>
    </row>
    <row r="629">
      <c r="A629" t="inlineStr">
        <is>
          <t>INI-032</t>
        </is>
      </c>
      <c r="B629" t="inlineStr">
        <is>
          <t>Redesign supply chain for resilience and alternative sourcing</t>
        </is>
      </c>
      <c r="C629" t="inlineStr">
        <is>
          <t>STR-08</t>
        </is>
      </c>
      <c r="D629" t="inlineStr">
        <is>
          <t>SUPP-003</t>
        </is>
      </c>
      <c r="E629" t="inlineStr">
        <is>
          <t>Supply Chain</t>
        </is>
      </c>
      <c r="F629" t="inlineStr">
        <is>
          <t>Supply chain design</t>
        </is>
      </c>
      <c r="G629">
        <f>IFERROR(INDEX('_ENGINE_Risk'!$BS$500:$BS$923,MATCH($D629,'_ENGINE_Risk'!$E$500:$E$923,0)),0)</f>
        <v/>
      </c>
      <c r="H629" t="n">
        <v>1</v>
      </c>
      <c r="I629">
        <f>IFERROR(MAX(0,5-INDEX('_ENGINE_Risk'!$H$500:$H$923,MATCH($D629,'_ENGINE_Risk'!$E$500:$E$923,0))),0)</f>
        <v/>
      </c>
      <c r="J629" t="inlineStr">
        <is>
          <t>P1 many-to-many coverage row</t>
        </is>
      </c>
      <c r="K629">
        <f>IFERROR(INDEX('_ENGINE_Risk'!$BI$500:$BI$923,MATCH($D629,'_ENGINE_Risk'!$E$500:$E$923,0))*N($H629),0)</f>
        <v/>
      </c>
      <c r="L629">
        <f>IFERROR(MIN(5,$K629/MAX(1,'_CONFIG_Model_Settings'!$B$105)),0)</f>
        <v/>
      </c>
    </row>
    <row r="630">
      <c r="A630" t="inlineStr">
        <is>
          <t>INI-032</t>
        </is>
      </c>
      <c r="B630" t="inlineStr">
        <is>
          <t>Redesign supply chain for resilience and alternative sourcing</t>
        </is>
      </c>
      <c r="C630" t="inlineStr">
        <is>
          <t>STR-08</t>
        </is>
      </c>
      <c r="D630" t="inlineStr">
        <is>
          <t>SUPP-004</t>
        </is>
      </c>
      <c r="E630" t="inlineStr">
        <is>
          <t>Supply Chain</t>
        </is>
      </c>
      <c r="F630" t="inlineStr">
        <is>
          <t>Supply chain design</t>
        </is>
      </c>
      <c r="G630">
        <f>IFERROR(INDEX('_ENGINE_Risk'!$BS$500:$BS$923,MATCH($D630,'_ENGINE_Risk'!$E$500:$E$923,0)),0)</f>
        <v/>
      </c>
      <c r="H630" t="n">
        <v>1</v>
      </c>
      <c r="I630">
        <f>IFERROR(MAX(0,5-INDEX('_ENGINE_Risk'!$H$500:$H$923,MATCH($D630,'_ENGINE_Risk'!$E$500:$E$923,0))),0)</f>
        <v/>
      </c>
      <c r="J630" t="inlineStr">
        <is>
          <t>P1 many-to-many coverage row</t>
        </is>
      </c>
      <c r="K630">
        <f>IFERROR(INDEX('_ENGINE_Risk'!$BI$500:$BI$923,MATCH($D630,'_ENGINE_Risk'!$E$500:$E$923,0))*N($H630),0)</f>
        <v/>
      </c>
      <c r="L630">
        <f>IFERROR(MIN(5,$K630/MAX(1,'_CONFIG_Model_Settings'!$B$105)),0)</f>
        <v/>
      </c>
    </row>
    <row r="631">
      <c r="A631" t="inlineStr">
        <is>
          <t>INI-032</t>
        </is>
      </c>
      <c r="B631" t="inlineStr">
        <is>
          <t>Redesign supply chain for resilience and alternative sourcing</t>
        </is>
      </c>
      <c r="C631" t="inlineStr">
        <is>
          <t>STR-08</t>
        </is>
      </c>
      <c r="D631" t="inlineStr">
        <is>
          <t>SUPP-005</t>
        </is>
      </c>
      <c r="E631" t="inlineStr">
        <is>
          <t>Supply Chain</t>
        </is>
      </c>
      <c r="F631" t="inlineStr">
        <is>
          <t>Supply chain design</t>
        </is>
      </c>
      <c r="G631">
        <f>IFERROR(INDEX('_ENGINE_Risk'!$BS$500:$BS$923,MATCH($D631,'_ENGINE_Risk'!$E$500:$E$923,0)),0)</f>
        <v/>
      </c>
      <c r="H631" t="n">
        <v>1</v>
      </c>
      <c r="I631">
        <f>IFERROR(MAX(0,5-INDEX('_ENGINE_Risk'!$H$500:$H$923,MATCH($D631,'_ENGINE_Risk'!$E$500:$E$923,0))),0)</f>
        <v/>
      </c>
      <c r="J631" t="inlineStr">
        <is>
          <t>P1 many-to-many coverage row</t>
        </is>
      </c>
      <c r="K631">
        <f>IFERROR(INDEX('_ENGINE_Risk'!$BI$500:$BI$923,MATCH($D631,'_ENGINE_Risk'!$E$500:$E$923,0))*N($H631),0)</f>
        <v/>
      </c>
      <c r="L631">
        <f>IFERROR(MIN(5,$K631/MAX(1,'_CONFIG_Model_Settings'!$B$105)),0)</f>
        <v/>
      </c>
    </row>
    <row r="632">
      <c r="A632" t="inlineStr">
        <is>
          <t>INI-032</t>
        </is>
      </c>
      <c r="B632" t="inlineStr">
        <is>
          <t>Redesign supply chain for resilience and alternative sourcing</t>
        </is>
      </c>
      <c r="C632" t="inlineStr">
        <is>
          <t>STR-08</t>
        </is>
      </c>
      <c r="D632" t="inlineStr">
        <is>
          <t>SUPP-006</t>
        </is>
      </c>
      <c r="E632" t="inlineStr">
        <is>
          <t>Supply Chain</t>
        </is>
      </c>
      <c r="F632" t="inlineStr">
        <is>
          <t>Supply chain design</t>
        </is>
      </c>
      <c r="G632">
        <f>IFERROR(INDEX('_ENGINE_Risk'!$BS$500:$BS$923,MATCH($D632,'_ENGINE_Risk'!$E$500:$E$923,0)),0)</f>
        <v/>
      </c>
      <c r="H632" t="n">
        <v>1</v>
      </c>
      <c r="I632">
        <f>IFERROR(MAX(0,5-INDEX('_ENGINE_Risk'!$H$500:$H$923,MATCH($D632,'_ENGINE_Risk'!$E$500:$E$923,0))),0)</f>
        <v/>
      </c>
      <c r="J632" t="inlineStr">
        <is>
          <t>P1 many-to-many coverage row</t>
        </is>
      </c>
      <c r="K632">
        <f>IFERROR(INDEX('_ENGINE_Risk'!$BI$500:$BI$923,MATCH($D632,'_ENGINE_Risk'!$E$500:$E$923,0))*N($H632),0)</f>
        <v/>
      </c>
      <c r="L632">
        <f>IFERROR(MIN(5,$K632/MAX(1,'_CONFIG_Model_Settings'!$B$105)),0)</f>
        <v/>
      </c>
    </row>
    <row r="633">
      <c r="A633" t="inlineStr">
        <is>
          <t>INI-033</t>
        </is>
      </c>
      <c r="B633" t="inlineStr">
        <is>
          <t>Build logistics continuity and transport fallback options</t>
        </is>
      </c>
      <c r="C633" t="inlineStr">
        <is>
          <t>STR-08</t>
        </is>
      </c>
      <c r="D633" t="inlineStr">
        <is>
          <t>SUPP-007</t>
        </is>
      </c>
      <c r="E633" t="inlineStr">
        <is>
          <t>Supply Chain</t>
        </is>
      </c>
      <c r="F633" t="inlineStr">
        <is>
          <t>Logistics</t>
        </is>
      </c>
      <c r="G633">
        <f>IFERROR(INDEX('_ENGINE_Risk'!$BS$500:$BS$923,MATCH($D633,'_ENGINE_Risk'!$E$500:$E$923,0)),0)</f>
        <v/>
      </c>
      <c r="H633" t="n">
        <v>1</v>
      </c>
      <c r="I633">
        <f>IFERROR(MAX(0,5-INDEX('_ENGINE_Risk'!$H$500:$H$923,MATCH($D633,'_ENGINE_Risk'!$E$500:$E$923,0))),0)</f>
        <v/>
      </c>
      <c r="J633" t="inlineStr">
        <is>
          <t>P1 many-to-many coverage row</t>
        </is>
      </c>
      <c r="K633">
        <f>IFERROR(INDEX('_ENGINE_Risk'!$BI$500:$BI$923,MATCH($D633,'_ENGINE_Risk'!$E$500:$E$923,0))*N($H633),0)</f>
        <v/>
      </c>
      <c r="L633">
        <f>IFERROR(MIN(5,$K633/MAX(1,'_CONFIG_Model_Settings'!$B$105)),0)</f>
        <v/>
      </c>
    </row>
    <row r="634">
      <c r="A634" t="inlineStr">
        <is>
          <t>INI-033</t>
        </is>
      </c>
      <c r="B634" t="inlineStr">
        <is>
          <t>Build logistics continuity and transport fallback options</t>
        </is>
      </c>
      <c r="C634" t="inlineStr">
        <is>
          <t>STR-08</t>
        </is>
      </c>
      <c r="D634" t="inlineStr">
        <is>
          <t>SUPP-008</t>
        </is>
      </c>
      <c r="E634" t="inlineStr">
        <is>
          <t>Supply Chain</t>
        </is>
      </c>
      <c r="F634" t="inlineStr">
        <is>
          <t>Logistics</t>
        </is>
      </c>
      <c r="G634">
        <f>IFERROR(INDEX('_ENGINE_Risk'!$BS$500:$BS$923,MATCH($D634,'_ENGINE_Risk'!$E$500:$E$923,0)),0)</f>
        <v/>
      </c>
      <c r="H634" t="n">
        <v>1</v>
      </c>
      <c r="I634">
        <f>IFERROR(MAX(0,5-INDEX('_ENGINE_Risk'!$H$500:$H$923,MATCH($D634,'_ENGINE_Risk'!$E$500:$E$923,0))),0)</f>
        <v/>
      </c>
      <c r="J634" t="inlineStr">
        <is>
          <t>P1 many-to-many coverage row</t>
        </is>
      </c>
      <c r="K634">
        <f>IFERROR(INDEX('_ENGINE_Risk'!$BI$500:$BI$923,MATCH($D634,'_ENGINE_Risk'!$E$500:$E$923,0))*N($H634),0)</f>
        <v/>
      </c>
      <c r="L634">
        <f>IFERROR(MIN(5,$K634/MAX(1,'_CONFIG_Model_Settings'!$B$105)),0)</f>
        <v/>
      </c>
    </row>
    <row r="635">
      <c r="A635" t="inlineStr">
        <is>
          <t>INI-033</t>
        </is>
      </c>
      <c r="B635" t="inlineStr">
        <is>
          <t>Build logistics continuity and transport fallback options</t>
        </is>
      </c>
      <c r="C635" t="inlineStr">
        <is>
          <t>STR-08</t>
        </is>
      </c>
      <c r="D635" t="inlineStr">
        <is>
          <t>SUPP-009</t>
        </is>
      </c>
      <c r="E635" t="inlineStr">
        <is>
          <t>Supply Chain</t>
        </is>
      </c>
      <c r="F635" t="inlineStr">
        <is>
          <t>Logistics</t>
        </is>
      </c>
      <c r="G635">
        <f>IFERROR(INDEX('_ENGINE_Risk'!$BS$500:$BS$923,MATCH($D635,'_ENGINE_Risk'!$E$500:$E$923,0)),0)</f>
        <v/>
      </c>
      <c r="H635" t="n">
        <v>1</v>
      </c>
      <c r="I635">
        <f>IFERROR(MAX(0,5-INDEX('_ENGINE_Risk'!$H$500:$H$923,MATCH($D635,'_ENGINE_Risk'!$E$500:$E$923,0))),0)</f>
        <v/>
      </c>
      <c r="J635" t="inlineStr">
        <is>
          <t>P1 many-to-many coverage row</t>
        </is>
      </c>
      <c r="K635">
        <f>IFERROR(INDEX('_ENGINE_Risk'!$BI$500:$BI$923,MATCH($D635,'_ENGINE_Risk'!$E$500:$E$923,0))*N($H635),0)</f>
        <v/>
      </c>
      <c r="L635">
        <f>IFERROR(MIN(5,$K635/MAX(1,'_CONFIG_Model_Settings'!$B$105)),0)</f>
        <v/>
      </c>
    </row>
    <row r="636">
      <c r="A636" t="inlineStr">
        <is>
          <t>INI-033</t>
        </is>
      </c>
      <c r="B636" t="inlineStr">
        <is>
          <t>Build logistics continuity and transport fallback options</t>
        </is>
      </c>
      <c r="C636" t="inlineStr">
        <is>
          <t>STR-08</t>
        </is>
      </c>
      <c r="D636" t="inlineStr">
        <is>
          <t>SUPP-010</t>
        </is>
      </c>
      <c r="E636" t="inlineStr">
        <is>
          <t>Supply Chain</t>
        </is>
      </c>
      <c r="F636" t="inlineStr">
        <is>
          <t>Logistics</t>
        </is>
      </c>
      <c r="G636">
        <f>IFERROR(INDEX('_ENGINE_Risk'!$BS$500:$BS$923,MATCH($D636,'_ENGINE_Risk'!$E$500:$E$923,0)),0)</f>
        <v/>
      </c>
      <c r="H636" t="n">
        <v>1</v>
      </c>
      <c r="I636">
        <f>IFERROR(MAX(0,5-INDEX('_ENGINE_Risk'!$H$500:$H$923,MATCH($D636,'_ENGINE_Risk'!$E$500:$E$923,0))),0)</f>
        <v/>
      </c>
      <c r="J636" t="inlineStr">
        <is>
          <t>P1 many-to-many coverage row</t>
        </is>
      </c>
      <c r="K636">
        <f>IFERROR(INDEX('_ENGINE_Risk'!$BI$500:$BI$923,MATCH($D636,'_ENGINE_Risk'!$E$500:$E$923,0))*N($H636),0)</f>
        <v/>
      </c>
      <c r="L636">
        <f>IFERROR(MIN(5,$K636/MAX(1,'_CONFIG_Model_Settings'!$B$105)),0)</f>
        <v/>
      </c>
    </row>
    <row r="637">
      <c r="A637" t="inlineStr">
        <is>
          <t>INI-033</t>
        </is>
      </c>
      <c r="B637" t="inlineStr">
        <is>
          <t>Build logistics continuity and transport fallback options</t>
        </is>
      </c>
      <c r="C637" t="inlineStr">
        <is>
          <t>STR-08</t>
        </is>
      </c>
      <c r="D637" t="inlineStr">
        <is>
          <t>SUPP-011</t>
        </is>
      </c>
      <c r="E637" t="inlineStr">
        <is>
          <t>Supply Chain</t>
        </is>
      </c>
      <c r="F637" t="inlineStr">
        <is>
          <t>Logistics</t>
        </is>
      </c>
      <c r="G637">
        <f>IFERROR(INDEX('_ENGINE_Risk'!$BS$500:$BS$923,MATCH($D637,'_ENGINE_Risk'!$E$500:$E$923,0)),0)</f>
        <v/>
      </c>
      <c r="H637" t="n">
        <v>1</v>
      </c>
      <c r="I637">
        <f>IFERROR(MAX(0,5-INDEX('_ENGINE_Risk'!$H$500:$H$923,MATCH($D637,'_ENGINE_Risk'!$E$500:$E$923,0))),0)</f>
        <v/>
      </c>
      <c r="J637" t="inlineStr">
        <is>
          <t>P1 many-to-many coverage row</t>
        </is>
      </c>
      <c r="K637">
        <f>IFERROR(INDEX('_ENGINE_Risk'!$BI$500:$BI$923,MATCH($D637,'_ENGINE_Risk'!$E$500:$E$923,0))*N($H637),0)</f>
        <v/>
      </c>
      <c r="L637">
        <f>IFERROR(MIN(5,$K637/MAX(1,'_CONFIG_Model_Settings'!$B$105)),0)</f>
        <v/>
      </c>
    </row>
    <row r="638">
      <c r="A638" t="inlineStr">
        <is>
          <t>INI-033</t>
        </is>
      </c>
      <c r="B638" t="inlineStr">
        <is>
          <t>Build logistics continuity and transport fallback options</t>
        </is>
      </c>
      <c r="C638" t="inlineStr">
        <is>
          <t>STR-08</t>
        </is>
      </c>
      <c r="D638" t="inlineStr">
        <is>
          <t>SUPP-012</t>
        </is>
      </c>
      <c r="E638" t="inlineStr">
        <is>
          <t>Supply Chain</t>
        </is>
      </c>
      <c r="F638" t="inlineStr">
        <is>
          <t>Logistics</t>
        </is>
      </c>
      <c r="G638">
        <f>IFERROR(INDEX('_ENGINE_Risk'!$BS$500:$BS$923,MATCH($D638,'_ENGINE_Risk'!$E$500:$E$923,0)),0)</f>
        <v/>
      </c>
      <c r="H638" t="n">
        <v>1</v>
      </c>
      <c r="I638">
        <f>IFERROR(MAX(0,5-INDEX('_ENGINE_Risk'!$H$500:$H$923,MATCH($D638,'_ENGINE_Risk'!$E$500:$E$923,0))),0)</f>
        <v/>
      </c>
      <c r="J638" t="inlineStr">
        <is>
          <t>P1 many-to-many coverage row</t>
        </is>
      </c>
      <c r="K638">
        <f>IFERROR(INDEX('_ENGINE_Risk'!$BI$500:$BI$923,MATCH($D638,'_ENGINE_Risk'!$E$500:$E$923,0))*N($H638),0)</f>
        <v/>
      </c>
      <c r="L638">
        <f>IFERROR(MIN(5,$K638/MAX(1,'_CONFIG_Model_Settings'!$B$105)),0)</f>
        <v/>
      </c>
    </row>
    <row r="639">
      <c r="A639" t="inlineStr">
        <is>
          <t>INI-034</t>
        </is>
      </c>
      <c r="B639" t="inlineStr">
        <is>
          <t>Implement inventory visibility and demand/supply planning</t>
        </is>
      </c>
      <c r="C639" t="inlineStr">
        <is>
          <t>STR-08</t>
        </is>
      </c>
      <c r="D639" t="inlineStr">
        <is>
          <t>SUPP-013</t>
        </is>
      </c>
      <c r="E639" t="inlineStr">
        <is>
          <t>Supply Chain</t>
        </is>
      </c>
      <c r="F639" t="inlineStr">
        <is>
          <t>Inventory and planning</t>
        </is>
      </c>
      <c r="G639">
        <f>IFERROR(INDEX('_ENGINE_Risk'!$BS$500:$BS$923,MATCH($D639,'_ENGINE_Risk'!$E$500:$E$923,0)),0)</f>
        <v/>
      </c>
      <c r="H639" t="n">
        <v>1</v>
      </c>
      <c r="I639">
        <f>IFERROR(MAX(0,5-INDEX('_ENGINE_Risk'!$H$500:$H$923,MATCH($D639,'_ENGINE_Risk'!$E$500:$E$923,0))),0)</f>
        <v/>
      </c>
      <c r="J639" t="inlineStr">
        <is>
          <t>P1 many-to-many coverage row</t>
        </is>
      </c>
      <c r="K639">
        <f>IFERROR(INDEX('_ENGINE_Risk'!$BI$500:$BI$923,MATCH($D639,'_ENGINE_Risk'!$E$500:$E$923,0))*N($H639),0)</f>
        <v/>
      </c>
      <c r="L639">
        <f>IFERROR(MIN(5,$K639/MAX(1,'_CONFIG_Model_Settings'!$B$105)),0)</f>
        <v/>
      </c>
    </row>
    <row r="640">
      <c r="A640" t="inlineStr">
        <is>
          <t>INI-034</t>
        </is>
      </c>
      <c r="B640" t="inlineStr">
        <is>
          <t>Implement inventory visibility and demand/supply planning</t>
        </is>
      </c>
      <c r="C640" t="inlineStr">
        <is>
          <t>STR-08</t>
        </is>
      </c>
      <c r="D640" t="inlineStr">
        <is>
          <t>SUPP-014</t>
        </is>
      </c>
      <c r="E640" t="inlineStr">
        <is>
          <t>Supply Chain</t>
        </is>
      </c>
      <c r="F640" t="inlineStr">
        <is>
          <t>Inventory and planning</t>
        </is>
      </c>
      <c r="G640">
        <f>IFERROR(INDEX('_ENGINE_Risk'!$BS$500:$BS$923,MATCH($D640,'_ENGINE_Risk'!$E$500:$E$923,0)),0)</f>
        <v/>
      </c>
      <c r="H640" t="n">
        <v>1</v>
      </c>
      <c r="I640">
        <f>IFERROR(MAX(0,5-INDEX('_ENGINE_Risk'!$H$500:$H$923,MATCH($D640,'_ENGINE_Risk'!$E$500:$E$923,0))),0)</f>
        <v/>
      </c>
      <c r="J640" t="inlineStr">
        <is>
          <t>P1 many-to-many coverage row</t>
        </is>
      </c>
      <c r="K640">
        <f>IFERROR(INDEX('_ENGINE_Risk'!$BI$500:$BI$923,MATCH($D640,'_ENGINE_Risk'!$E$500:$E$923,0))*N($H640),0)</f>
        <v/>
      </c>
      <c r="L640">
        <f>IFERROR(MIN(5,$K640/MAX(1,'_CONFIG_Model_Settings'!$B$105)),0)</f>
        <v/>
      </c>
    </row>
    <row r="641">
      <c r="A641" t="inlineStr">
        <is>
          <t>INI-034</t>
        </is>
      </c>
      <c r="B641" t="inlineStr">
        <is>
          <t>Implement inventory visibility and demand/supply planning</t>
        </is>
      </c>
      <c r="C641" t="inlineStr">
        <is>
          <t>STR-08</t>
        </is>
      </c>
      <c r="D641" t="inlineStr">
        <is>
          <t>SUPP-015</t>
        </is>
      </c>
      <c r="E641" t="inlineStr">
        <is>
          <t>Supply Chain</t>
        </is>
      </c>
      <c r="F641" t="inlineStr">
        <is>
          <t>Inventory and planning</t>
        </is>
      </c>
      <c r="G641">
        <f>IFERROR(INDEX('_ENGINE_Risk'!$BS$500:$BS$923,MATCH($D641,'_ENGINE_Risk'!$E$500:$E$923,0)),0)</f>
        <v/>
      </c>
      <c r="H641" t="n">
        <v>1</v>
      </c>
      <c r="I641">
        <f>IFERROR(MAX(0,5-INDEX('_ENGINE_Risk'!$H$500:$H$923,MATCH($D641,'_ENGINE_Risk'!$E$500:$E$923,0))),0)</f>
        <v/>
      </c>
      <c r="J641" t="inlineStr">
        <is>
          <t>P1 many-to-many coverage row</t>
        </is>
      </c>
      <c r="K641">
        <f>IFERROR(INDEX('_ENGINE_Risk'!$BI$500:$BI$923,MATCH($D641,'_ENGINE_Risk'!$E$500:$E$923,0))*N($H641),0)</f>
        <v/>
      </c>
      <c r="L641">
        <f>IFERROR(MIN(5,$K641/MAX(1,'_CONFIG_Model_Settings'!$B$105)),0)</f>
        <v/>
      </c>
    </row>
    <row r="642">
      <c r="A642" t="inlineStr">
        <is>
          <t>INI-034</t>
        </is>
      </c>
      <c r="B642" t="inlineStr">
        <is>
          <t>Implement inventory visibility and demand/supply planning</t>
        </is>
      </c>
      <c r="C642" t="inlineStr">
        <is>
          <t>STR-08</t>
        </is>
      </c>
      <c r="D642" t="inlineStr">
        <is>
          <t>SUPP-016</t>
        </is>
      </c>
      <c r="E642" t="inlineStr">
        <is>
          <t>Supply Chain</t>
        </is>
      </c>
      <c r="F642" t="inlineStr">
        <is>
          <t>Inventory and planning</t>
        </is>
      </c>
      <c r="G642">
        <f>IFERROR(INDEX('_ENGINE_Risk'!$BS$500:$BS$923,MATCH($D642,'_ENGINE_Risk'!$E$500:$E$923,0)),0)</f>
        <v/>
      </c>
      <c r="H642" t="n">
        <v>1</v>
      </c>
      <c r="I642">
        <f>IFERROR(MAX(0,5-INDEX('_ENGINE_Risk'!$H$500:$H$923,MATCH($D642,'_ENGINE_Risk'!$E$500:$E$923,0))),0)</f>
        <v/>
      </c>
      <c r="J642" t="inlineStr">
        <is>
          <t>P1 many-to-many coverage row</t>
        </is>
      </c>
      <c r="K642">
        <f>IFERROR(INDEX('_ENGINE_Risk'!$BI$500:$BI$923,MATCH($D642,'_ENGINE_Risk'!$E$500:$E$923,0))*N($H642),0)</f>
        <v/>
      </c>
      <c r="L642">
        <f>IFERROR(MIN(5,$K642/MAX(1,'_CONFIG_Model_Settings'!$B$105)),0)</f>
        <v/>
      </c>
    </row>
    <row r="643">
      <c r="A643" t="inlineStr">
        <is>
          <t>INI-034</t>
        </is>
      </c>
      <c r="B643" t="inlineStr">
        <is>
          <t>Implement inventory visibility and demand/supply planning</t>
        </is>
      </c>
      <c r="C643" t="inlineStr">
        <is>
          <t>STR-08</t>
        </is>
      </c>
      <c r="D643" t="inlineStr">
        <is>
          <t>SUPP-017</t>
        </is>
      </c>
      <c r="E643" t="inlineStr">
        <is>
          <t>Supply Chain</t>
        </is>
      </c>
      <c r="F643" t="inlineStr">
        <is>
          <t>Inventory and planning</t>
        </is>
      </c>
      <c r="G643">
        <f>IFERROR(INDEX('_ENGINE_Risk'!$BS$500:$BS$923,MATCH($D643,'_ENGINE_Risk'!$E$500:$E$923,0)),0)</f>
        <v/>
      </c>
      <c r="H643" t="n">
        <v>1</v>
      </c>
      <c r="I643">
        <f>IFERROR(MAX(0,5-INDEX('_ENGINE_Risk'!$H$500:$H$923,MATCH($D643,'_ENGINE_Risk'!$E$500:$E$923,0))),0)</f>
        <v/>
      </c>
      <c r="J643" t="inlineStr">
        <is>
          <t>P1 many-to-many coverage row</t>
        </is>
      </c>
      <c r="K643">
        <f>IFERROR(INDEX('_ENGINE_Risk'!$BI$500:$BI$923,MATCH($D643,'_ENGINE_Risk'!$E$500:$E$923,0))*N($H643),0)</f>
        <v/>
      </c>
      <c r="L643">
        <f>IFERROR(MIN(5,$K643/MAX(1,'_CONFIG_Model_Settings'!$B$105)),0)</f>
        <v/>
      </c>
    </row>
    <row r="644">
      <c r="A644" t="inlineStr">
        <is>
          <t>INI-034</t>
        </is>
      </c>
      <c r="B644" t="inlineStr">
        <is>
          <t>Implement inventory visibility and demand/supply planning</t>
        </is>
      </c>
      <c r="C644" t="inlineStr">
        <is>
          <t>STR-08</t>
        </is>
      </c>
      <c r="D644" t="inlineStr">
        <is>
          <t>SUPP-018</t>
        </is>
      </c>
      <c r="E644" t="inlineStr">
        <is>
          <t>Supply Chain</t>
        </is>
      </c>
      <c r="F644" t="inlineStr">
        <is>
          <t>Inventory and planning</t>
        </is>
      </c>
      <c r="G644">
        <f>IFERROR(INDEX('_ENGINE_Risk'!$BS$500:$BS$923,MATCH($D644,'_ENGINE_Risk'!$E$500:$E$923,0)),0)</f>
        <v/>
      </c>
      <c r="H644" t="n">
        <v>1</v>
      </c>
      <c r="I644">
        <f>IFERROR(MAX(0,5-INDEX('_ENGINE_Risk'!$H$500:$H$923,MATCH($D644,'_ENGINE_Risk'!$E$500:$E$923,0))),0)</f>
        <v/>
      </c>
      <c r="J644" t="inlineStr">
        <is>
          <t>P1 many-to-many coverage row</t>
        </is>
      </c>
      <c r="K644">
        <f>IFERROR(INDEX('_ENGINE_Risk'!$BI$500:$BI$923,MATCH($D644,'_ENGINE_Risk'!$E$500:$E$923,0))*N($H644),0)</f>
        <v/>
      </c>
      <c r="L644">
        <f>IFERROR(MIN(5,$K644/MAX(1,'_CONFIG_Model_Settings'!$B$105)),0)</f>
        <v/>
      </c>
    </row>
    <row r="645">
      <c r="A645" t="inlineStr">
        <is>
          <t>INI-034</t>
        </is>
      </c>
      <c r="B645" t="inlineStr">
        <is>
          <t>Implement inventory visibility and demand/supply planning</t>
        </is>
      </c>
      <c r="C645" t="inlineStr">
        <is>
          <t>STR-08</t>
        </is>
      </c>
      <c r="D645" t="inlineStr">
        <is>
          <t>SUPP-019</t>
        </is>
      </c>
      <c r="E645" t="inlineStr">
        <is>
          <t>Supply Chain</t>
        </is>
      </c>
      <c r="F645" t="inlineStr">
        <is>
          <t>Inventory and planning</t>
        </is>
      </c>
      <c r="G645">
        <f>IFERROR(INDEX('_ENGINE_Risk'!$BS$500:$BS$923,MATCH($D645,'_ENGINE_Risk'!$E$500:$E$923,0)),0)</f>
        <v/>
      </c>
      <c r="H645" t="n">
        <v>1</v>
      </c>
      <c r="I645">
        <f>IFERROR(MAX(0,5-INDEX('_ENGINE_Risk'!$H$500:$H$923,MATCH($D645,'_ENGINE_Risk'!$E$500:$E$923,0))),0)</f>
        <v/>
      </c>
      <c r="J645" t="inlineStr">
        <is>
          <t>P1 many-to-many coverage row</t>
        </is>
      </c>
      <c r="K645">
        <f>IFERROR(INDEX('_ENGINE_Risk'!$BI$500:$BI$923,MATCH($D645,'_ENGINE_Risk'!$E$500:$E$923,0))*N($H645),0)</f>
        <v/>
      </c>
      <c r="L645">
        <f>IFERROR(MIN(5,$K645/MAX(1,'_CONFIG_Model_Settings'!$B$105)),0)</f>
        <v/>
      </c>
    </row>
    <row r="646">
      <c r="A646" t="inlineStr">
        <is>
          <t>INI-035</t>
        </is>
      </c>
      <c r="B646" t="inlineStr">
        <is>
          <t>Implement supply-chain technology, risk monitoring and supplier data</t>
        </is>
      </c>
      <c r="C646" t="inlineStr">
        <is>
          <t>STR-08</t>
        </is>
      </c>
      <c r="D646" t="inlineStr">
        <is>
          <t>SUPP-020</t>
        </is>
      </c>
      <c r="E646" t="inlineStr">
        <is>
          <t>Supply Chain</t>
        </is>
      </c>
      <c r="F646" t="inlineStr">
        <is>
          <t>Technology and risk</t>
        </is>
      </c>
      <c r="G646">
        <f>IFERROR(INDEX('_ENGINE_Risk'!$BS$500:$BS$923,MATCH($D646,'_ENGINE_Risk'!$E$500:$E$923,0)),0)</f>
        <v/>
      </c>
      <c r="H646" t="n">
        <v>1</v>
      </c>
      <c r="I646">
        <f>IFERROR(MAX(0,5-INDEX('_ENGINE_Risk'!$H$500:$H$923,MATCH($D646,'_ENGINE_Risk'!$E$500:$E$923,0))),0)</f>
        <v/>
      </c>
      <c r="J646" t="inlineStr">
        <is>
          <t>P1 many-to-many coverage row</t>
        </is>
      </c>
      <c r="K646">
        <f>IFERROR(INDEX('_ENGINE_Risk'!$BI$500:$BI$923,MATCH($D646,'_ENGINE_Risk'!$E$500:$E$923,0))*N($H646),0)</f>
        <v/>
      </c>
      <c r="L646">
        <f>IFERROR(MIN(5,$K646/MAX(1,'_CONFIG_Model_Settings'!$B$105)),0)</f>
        <v/>
      </c>
    </row>
    <row r="647">
      <c r="A647" t="inlineStr">
        <is>
          <t>INI-035</t>
        </is>
      </c>
      <c r="B647" t="inlineStr">
        <is>
          <t>Implement supply-chain technology, risk monitoring and supplier data</t>
        </is>
      </c>
      <c r="C647" t="inlineStr">
        <is>
          <t>STR-08</t>
        </is>
      </c>
      <c r="D647" t="inlineStr">
        <is>
          <t>SUPP-021</t>
        </is>
      </c>
      <c r="E647" t="inlineStr">
        <is>
          <t>Supply Chain</t>
        </is>
      </c>
      <c r="F647" t="inlineStr">
        <is>
          <t>Technology and risk</t>
        </is>
      </c>
      <c r="G647">
        <f>IFERROR(INDEX('_ENGINE_Risk'!$BS$500:$BS$923,MATCH($D647,'_ENGINE_Risk'!$E$500:$E$923,0)),0)</f>
        <v/>
      </c>
      <c r="H647" t="n">
        <v>1</v>
      </c>
      <c r="I647">
        <f>IFERROR(MAX(0,5-INDEX('_ENGINE_Risk'!$H$500:$H$923,MATCH($D647,'_ENGINE_Risk'!$E$500:$E$923,0))),0)</f>
        <v/>
      </c>
      <c r="J647" t="inlineStr">
        <is>
          <t>P1 many-to-many coverage row</t>
        </is>
      </c>
      <c r="K647">
        <f>IFERROR(INDEX('_ENGINE_Risk'!$BI$500:$BI$923,MATCH($D647,'_ENGINE_Risk'!$E$500:$E$923,0))*N($H647),0)</f>
        <v/>
      </c>
      <c r="L647">
        <f>IFERROR(MIN(5,$K647/MAX(1,'_CONFIG_Model_Settings'!$B$105)),0)</f>
        <v/>
      </c>
    </row>
    <row r="648">
      <c r="A648" t="inlineStr">
        <is>
          <t>INI-035</t>
        </is>
      </c>
      <c r="B648" t="inlineStr">
        <is>
          <t>Implement supply-chain technology, risk monitoring and supplier data</t>
        </is>
      </c>
      <c r="C648" t="inlineStr">
        <is>
          <t>STR-08</t>
        </is>
      </c>
      <c r="D648" t="inlineStr">
        <is>
          <t>SUPP-022</t>
        </is>
      </c>
      <c r="E648" t="inlineStr">
        <is>
          <t>Supply Chain</t>
        </is>
      </c>
      <c r="F648" t="inlineStr">
        <is>
          <t>Technology and risk</t>
        </is>
      </c>
      <c r="G648">
        <f>IFERROR(INDEX('_ENGINE_Risk'!$BS$500:$BS$923,MATCH($D648,'_ENGINE_Risk'!$E$500:$E$923,0)),0)</f>
        <v/>
      </c>
      <c r="H648" t="n">
        <v>1</v>
      </c>
      <c r="I648">
        <f>IFERROR(MAX(0,5-INDEX('_ENGINE_Risk'!$H$500:$H$923,MATCH($D648,'_ENGINE_Risk'!$E$500:$E$923,0))),0)</f>
        <v/>
      </c>
      <c r="J648" t="inlineStr">
        <is>
          <t>P1 many-to-many coverage row</t>
        </is>
      </c>
      <c r="K648">
        <f>IFERROR(INDEX('_ENGINE_Risk'!$BI$500:$BI$923,MATCH($D648,'_ENGINE_Risk'!$E$500:$E$923,0))*N($H648),0)</f>
        <v/>
      </c>
      <c r="L648">
        <f>IFERROR(MIN(5,$K648/MAX(1,'_CONFIG_Model_Settings'!$B$105)),0)</f>
        <v/>
      </c>
    </row>
    <row r="649">
      <c r="A649" t="inlineStr">
        <is>
          <t>INI-035</t>
        </is>
      </c>
      <c r="B649" t="inlineStr">
        <is>
          <t>Implement supply-chain technology, risk monitoring and supplier data</t>
        </is>
      </c>
      <c r="C649" t="inlineStr">
        <is>
          <t>STR-08</t>
        </is>
      </c>
      <c r="D649" t="inlineStr">
        <is>
          <t>SUPP-023</t>
        </is>
      </c>
      <c r="E649" t="inlineStr">
        <is>
          <t>Supply Chain</t>
        </is>
      </c>
      <c r="F649" t="inlineStr">
        <is>
          <t>Technology and risk</t>
        </is>
      </c>
      <c r="G649">
        <f>IFERROR(INDEX('_ENGINE_Risk'!$BS$500:$BS$923,MATCH($D649,'_ENGINE_Risk'!$E$500:$E$923,0)),0)</f>
        <v/>
      </c>
      <c r="H649" t="n">
        <v>1</v>
      </c>
      <c r="I649">
        <f>IFERROR(MAX(0,5-INDEX('_ENGINE_Risk'!$H$500:$H$923,MATCH($D649,'_ENGINE_Risk'!$E$500:$E$923,0))),0)</f>
        <v/>
      </c>
      <c r="J649" t="inlineStr">
        <is>
          <t>P1 many-to-many coverage row</t>
        </is>
      </c>
      <c r="K649">
        <f>IFERROR(INDEX('_ENGINE_Risk'!$BI$500:$BI$923,MATCH($D649,'_ENGINE_Risk'!$E$500:$E$923,0))*N($H649),0)</f>
        <v/>
      </c>
      <c r="L649">
        <f>IFERROR(MIN(5,$K649/MAX(1,'_CONFIG_Model_Settings'!$B$105)),0)</f>
        <v/>
      </c>
    </row>
    <row r="650">
      <c r="A650" t="inlineStr">
        <is>
          <t>INI-035</t>
        </is>
      </c>
      <c r="B650" t="inlineStr">
        <is>
          <t>Implement supply-chain technology, risk monitoring and supplier data</t>
        </is>
      </c>
      <c r="C650" t="inlineStr">
        <is>
          <t>STR-08</t>
        </is>
      </c>
      <c r="D650" t="inlineStr">
        <is>
          <t>SUPP-024</t>
        </is>
      </c>
      <c r="E650" t="inlineStr">
        <is>
          <t>Supply Chain</t>
        </is>
      </c>
      <c r="F650" t="inlineStr">
        <is>
          <t>Technology and risk</t>
        </is>
      </c>
      <c r="G650">
        <f>IFERROR(INDEX('_ENGINE_Risk'!$BS$500:$BS$923,MATCH($D650,'_ENGINE_Risk'!$E$500:$E$923,0)),0)</f>
        <v/>
      </c>
      <c r="H650" t="n">
        <v>1</v>
      </c>
      <c r="I650">
        <f>IFERROR(MAX(0,5-INDEX('_ENGINE_Risk'!$H$500:$H$923,MATCH($D650,'_ENGINE_Risk'!$E$500:$E$923,0))),0)</f>
        <v/>
      </c>
      <c r="J650" t="inlineStr">
        <is>
          <t>P1 many-to-many coverage row</t>
        </is>
      </c>
      <c r="K650">
        <f>IFERROR(INDEX('_ENGINE_Risk'!$BI$500:$BI$923,MATCH($D650,'_ENGINE_Risk'!$E$500:$E$923,0))*N($H650),0)</f>
        <v/>
      </c>
      <c r="L650">
        <f>IFERROR(MIN(5,$K650/MAX(1,'_CONFIG_Model_Settings'!$B$105)),0)</f>
        <v/>
      </c>
    </row>
    <row r="651">
      <c r="A651" t="inlineStr">
        <is>
          <t>INI-035</t>
        </is>
      </c>
      <c r="B651" t="inlineStr">
        <is>
          <t>Implement supply-chain technology, risk monitoring and supplier data</t>
        </is>
      </c>
      <c r="C651" t="inlineStr">
        <is>
          <t>STR-08</t>
        </is>
      </c>
      <c r="D651" t="inlineStr">
        <is>
          <t>SUPP-025</t>
        </is>
      </c>
      <c r="E651" t="inlineStr">
        <is>
          <t>Supply Chain</t>
        </is>
      </c>
      <c r="F651" t="inlineStr">
        <is>
          <t>Technology and risk</t>
        </is>
      </c>
      <c r="G651">
        <f>IFERROR(INDEX('_ENGINE_Risk'!$BS$500:$BS$923,MATCH($D651,'_ENGINE_Risk'!$E$500:$E$923,0)),0)</f>
        <v/>
      </c>
      <c r="H651" t="n">
        <v>1</v>
      </c>
      <c r="I651">
        <f>IFERROR(MAX(0,5-INDEX('_ENGINE_Risk'!$H$500:$H$923,MATCH($D651,'_ENGINE_Risk'!$E$500:$E$923,0))),0)</f>
        <v/>
      </c>
      <c r="J651" t="inlineStr">
        <is>
          <t>P1 many-to-many coverage row</t>
        </is>
      </c>
      <c r="K651">
        <f>IFERROR(INDEX('_ENGINE_Risk'!$BI$500:$BI$923,MATCH($D651,'_ENGINE_Risk'!$E$500:$E$923,0))*N($H651),0)</f>
        <v/>
      </c>
      <c r="L651">
        <f>IFERROR(MIN(5,$K651/MAX(1,'_CONFIG_Model_Settings'!$B$105)),0)</f>
        <v/>
      </c>
    </row>
    <row r="652">
      <c r="A652" t="inlineStr">
        <is>
          <t>INI-036</t>
        </is>
      </c>
      <c r="B652" t="inlineStr">
        <is>
          <t>Assess production footprint and build alternate production options</t>
        </is>
      </c>
      <c r="C652" t="inlineStr">
        <is>
          <t>STR-09</t>
        </is>
      </c>
      <c r="D652" t="inlineStr">
        <is>
          <t>MANU-001</t>
        </is>
      </c>
      <c r="E652" t="inlineStr">
        <is>
          <t>Manufacturing MES</t>
        </is>
      </c>
      <c r="F652" t="inlineStr">
        <is>
          <t>Production footprint</t>
        </is>
      </c>
      <c r="G652">
        <f>IFERROR(INDEX('_ENGINE_Risk'!$BS$500:$BS$923,MATCH($D652,'_ENGINE_Risk'!$E$500:$E$923,0)),0)</f>
        <v/>
      </c>
      <c r="H652" t="n">
        <v>1</v>
      </c>
      <c r="I652">
        <f>IFERROR(MAX(0,5-INDEX('_ENGINE_Risk'!$H$500:$H$923,MATCH($D652,'_ENGINE_Risk'!$E$500:$E$923,0))),0)</f>
        <v/>
      </c>
      <c r="J652" t="inlineStr">
        <is>
          <t>P1 many-to-many coverage row</t>
        </is>
      </c>
      <c r="K652">
        <f>IFERROR(INDEX('_ENGINE_Risk'!$BI$500:$BI$923,MATCH($D652,'_ENGINE_Risk'!$E$500:$E$923,0))*N($H652),0)</f>
        <v/>
      </c>
      <c r="L652">
        <f>IFERROR(MIN(5,$K652/MAX(1,'_CONFIG_Model_Settings'!$B$105)),0)</f>
        <v/>
      </c>
    </row>
    <row r="653">
      <c r="A653" t="inlineStr">
        <is>
          <t>INI-036</t>
        </is>
      </c>
      <c r="B653" t="inlineStr">
        <is>
          <t>Assess production footprint and build alternate production options</t>
        </is>
      </c>
      <c r="C653" t="inlineStr">
        <is>
          <t>STR-09</t>
        </is>
      </c>
      <c r="D653" t="inlineStr">
        <is>
          <t>MANU-002</t>
        </is>
      </c>
      <c r="E653" t="inlineStr">
        <is>
          <t>Manufacturing MES</t>
        </is>
      </c>
      <c r="F653" t="inlineStr">
        <is>
          <t>Production footprint</t>
        </is>
      </c>
      <c r="G653">
        <f>IFERROR(INDEX('_ENGINE_Risk'!$BS$500:$BS$923,MATCH($D653,'_ENGINE_Risk'!$E$500:$E$923,0)),0)</f>
        <v/>
      </c>
      <c r="H653" t="n">
        <v>1</v>
      </c>
      <c r="I653">
        <f>IFERROR(MAX(0,5-INDEX('_ENGINE_Risk'!$H$500:$H$923,MATCH($D653,'_ENGINE_Risk'!$E$500:$E$923,0))),0)</f>
        <v/>
      </c>
      <c r="J653" t="inlineStr">
        <is>
          <t>P1 many-to-many coverage row</t>
        </is>
      </c>
      <c r="K653">
        <f>IFERROR(INDEX('_ENGINE_Risk'!$BI$500:$BI$923,MATCH($D653,'_ENGINE_Risk'!$E$500:$E$923,0))*N($H653),0)</f>
        <v/>
      </c>
      <c r="L653">
        <f>IFERROR(MIN(5,$K653/MAX(1,'_CONFIG_Model_Settings'!$B$105)),0)</f>
        <v/>
      </c>
    </row>
    <row r="654">
      <c r="A654" t="inlineStr">
        <is>
          <t>INI-036</t>
        </is>
      </c>
      <c r="B654" t="inlineStr">
        <is>
          <t>Assess production footprint and build alternate production options</t>
        </is>
      </c>
      <c r="C654" t="inlineStr">
        <is>
          <t>STR-09</t>
        </is>
      </c>
      <c r="D654" t="inlineStr">
        <is>
          <t>MANU-003</t>
        </is>
      </c>
      <c r="E654" t="inlineStr">
        <is>
          <t>Manufacturing MES</t>
        </is>
      </c>
      <c r="F654" t="inlineStr">
        <is>
          <t>Production footprint</t>
        </is>
      </c>
      <c r="G654">
        <f>IFERROR(INDEX('_ENGINE_Risk'!$BS$500:$BS$923,MATCH($D654,'_ENGINE_Risk'!$E$500:$E$923,0)),0)</f>
        <v/>
      </c>
      <c r="H654" t="n">
        <v>1</v>
      </c>
      <c r="I654">
        <f>IFERROR(MAX(0,5-INDEX('_ENGINE_Risk'!$H$500:$H$923,MATCH($D654,'_ENGINE_Risk'!$E$500:$E$923,0))),0)</f>
        <v/>
      </c>
      <c r="J654" t="inlineStr">
        <is>
          <t>P1 many-to-many coverage row</t>
        </is>
      </c>
      <c r="K654">
        <f>IFERROR(INDEX('_ENGINE_Risk'!$BI$500:$BI$923,MATCH($D654,'_ENGINE_Risk'!$E$500:$E$923,0))*N($H654),0)</f>
        <v/>
      </c>
      <c r="L654">
        <f>IFERROR(MIN(5,$K654/MAX(1,'_CONFIG_Model_Settings'!$B$105)),0)</f>
        <v/>
      </c>
    </row>
    <row r="655">
      <c r="A655" t="inlineStr">
        <is>
          <t>INI-036</t>
        </is>
      </c>
      <c r="B655" t="inlineStr">
        <is>
          <t>Assess production footprint and build alternate production options</t>
        </is>
      </c>
      <c r="C655" t="inlineStr">
        <is>
          <t>STR-09</t>
        </is>
      </c>
      <c r="D655" t="inlineStr">
        <is>
          <t>MANU-004</t>
        </is>
      </c>
      <c r="E655" t="inlineStr">
        <is>
          <t>Manufacturing MES</t>
        </is>
      </c>
      <c r="F655" t="inlineStr">
        <is>
          <t>Production footprint</t>
        </is>
      </c>
      <c r="G655">
        <f>IFERROR(INDEX('_ENGINE_Risk'!$BS$500:$BS$923,MATCH($D655,'_ENGINE_Risk'!$E$500:$E$923,0)),0)</f>
        <v/>
      </c>
      <c r="H655" t="n">
        <v>1</v>
      </c>
      <c r="I655">
        <f>IFERROR(MAX(0,5-INDEX('_ENGINE_Risk'!$H$500:$H$923,MATCH($D655,'_ENGINE_Risk'!$E$500:$E$923,0))),0)</f>
        <v/>
      </c>
      <c r="J655" t="inlineStr">
        <is>
          <t>P1 many-to-many coverage row</t>
        </is>
      </c>
      <c r="K655">
        <f>IFERROR(INDEX('_ENGINE_Risk'!$BI$500:$BI$923,MATCH($D655,'_ENGINE_Risk'!$E$500:$E$923,0))*N($H655),0)</f>
        <v/>
      </c>
      <c r="L655">
        <f>IFERROR(MIN(5,$K655/MAX(1,'_CONFIG_Model_Settings'!$B$105)),0)</f>
        <v/>
      </c>
    </row>
    <row r="656">
      <c r="A656" t="inlineStr">
        <is>
          <t>INI-036</t>
        </is>
      </c>
      <c r="B656" t="inlineStr">
        <is>
          <t>Assess production footprint and build alternate production options</t>
        </is>
      </c>
      <c r="C656" t="inlineStr">
        <is>
          <t>STR-09</t>
        </is>
      </c>
      <c r="D656" t="inlineStr">
        <is>
          <t>MANU-005</t>
        </is>
      </c>
      <c r="E656" t="inlineStr">
        <is>
          <t>Manufacturing MES</t>
        </is>
      </c>
      <c r="F656" t="inlineStr">
        <is>
          <t>Production footprint</t>
        </is>
      </c>
      <c r="G656">
        <f>IFERROR(INDEX('_ENGINE_Risk'!$BS$500:$BS$923,MATCH($D656,'_ENGINE_Risk'!$E$500:$E$923,0)),0)</f>
        <v/>
      </c>
      <c r="H656" t="n">
        <v>1</v>
      </c>
      <c r="I656">
        <f>IFERROR(MAX(0,5-INDEX('_ENGINE_Risk'!$H$500:$H$923,MATCH($D656,'_ENGINE_Risk'!$E$500:$E$923,0))),0)</f>
        <v/>
      </c>
      <c r="J656" t="inlineStr">
        <is>
          <t>P1 many-to-many coverage row</t>
        </is>
      </c>
      <c r="K656">
        <f>IFERROR(INDEX('_ENGINE_Risk'!$BI$500:$BI$923,MATCH($D656,'_ENGINE_Risk'!$E$500:$E$923,0))*N($H656),0)</f>
        <v/>
      </c>
      <c r="L656">
        <f>IFERROR(MIN(5,$K656/MAX(1,'_CONFIG_Model_Settings'!$B$105)),0)</f>
        <v/>
      </c>
    </row>
    <row r="657">
      <c r="A657" t="inlineStr">
        <is>
          <t>INI-036</t>
        </is>
      </c>
      <c r="B657" t="inlineStr">
        <is>
          <t>Assess production footprint and build alternate production options</t>
        </is>
      </c>
      <c r="C657" t="inlineStr">
        <is>
          <t>STR-09</t>
        </is>
      </c>
      <c r="D657" t="inlineStr">
        <is>
          <t>MANU-006</t>
        </is>
      </c>
      <c r="E657" t="inlineStr">
        <is>
          <t>Manufacturing MES</t>
        </is>
      </c>
      <c r="F657" t="inlineStr">
        <is>
          <t>Production footprint</t>
        </is>
      </c>
      <c r="G657">
        <f>IFERROR(INDEX('_ENGINE_Risk'!$BS$500:$BS$923,MATCH($D657,'_ENGINE_Risk'!$E$500:$E$923,0)),0)</f>
        <v/>
      </c>
      <c r="H657" t="n">
        <v>1</v>
      </c>
      <c r="I657">
        <f>IFERROR(MAX(0,5-INDEX('_ENGINE_Risk'!$H$500:$H$923,MATCH($D657,'_ENGINE_Risk'!$E$500:$E$923,0))),0)</f>
        <v/>
      </c>
      <c r="J657" t="inlineStr">
        <is>
          <t>P1 many-to-many coverage row</t>
        </is>
      </c>
      <c r="K657">
        <f>IFERROR(INDEX('_ENGINE_Risk'!$BI$500:$BI$923,MATCH($D657,'_ENGINE_Risk'!$E$500:$E$923,0))*N($H657),0)</f>
        <v/>
      </c>
      <c r="L657">
        <f>IFERROR(MIN(5,$K657/MAX(1,'_CONFIG_Model_Settings'!$B$105)),0)</f>
        <v/>
      </c>
    </row>
    <row r="658">
      <c r="A658" t="inlineStr">
        <is>
          <t>INI-037</t>
        </is>
      </c>
      <c r="B658" t="inlineStr">
        <is>
          <t>Implement MES and shop-floor digital control foundation</t>
        </is>
      </c>
      <c r="C658" t="inlineStr">
        <is>
          <t>STR-09</t>
        </is>
      </c>
      <c r="D658" t="inlineStr">
        <is>
          <t>MANU-007</t>
        </is>
      </c>
      <c r="E658" t="inlineStr">
        <is>
          <t>Manufacturing MES</t>
        </is>
      </c>
      <c r="F658" t="inlineStr">
        <is>
          <t>MES and shop floor</t>
        </is>
      </c>
      <c r="G658">
        <f>IFERROR(INDEX('_ENGINE_Risk'!$BS$500:$BS$923,MATCH($D658,'_ENGINE_Risk'!$E$500:$E$923,0)),0)</f>
        <v/>
      </c>
      <c r="H658" t="n">
        <v>1</v>
      </c>
      <c r="I658">
        <f>IFERROR(MAX(0,5-INDEX('_ENGINE_Risk'!$H$500:$H$923,MATCH($D658,'_ENGINE_Risk'!$E$500:$E$923,0))),0)</f>
        <v/>
      </c>
      <c r="J658" t="inlineStr">
        <is>
          <t>P1 many-to-many coverage row</t>
        </is>
      </c>
      <c r="K658">
        <f>IFERROR(INDEX('_ENGINE_Risk'!$BI$500:$BI$923,MATCH($D658,'_ENGINE_Risk'!$E$500:$E$923,0))*N($H658),0)</f>
        <v/>
      </c>
      <c r="L658">
        <f>IFERROR(MIN(5,$K658/MAX(1,'_CONFIG_Model_Settings'!$B$105)),0)</f>
        <v/>
      </c>
    </row>
    <row r="659">
      <c r="A659" t="inlineStr">
        <is>
          <t>INI-037</t>
        </is>
      </c>
      <c r="B659" t="inlineStr">
        <is>
          <t>Implement MES and shop-floor digital control foundation</t>
        </is>
      </c>
      <c r="C659" t="inlineStr">
        <is>
          <t>STR-09</t>
        </is>
      </c>
      <c r="D659" t="inlineStr">
        <is>
          <t>MANU-008</t>
        </is>
      </c>
      <c r="E659" t="inlineStr">
        <is>
          <t>Manufacturing MES</t>
        </is>
      </c>
      <c r="F659" t="inlineStr">
        <is>
          <t>MES and shop floor</t>
        </is>
      </c>
      <c r="G659">
        <f>IFERROR(INDEX('_ENGINE_Risk'!$BS$500:$BS$923,MATCH($D659,'_ENGINE_Risk'!$E$500:$E$923,0)),0)</f>
        <v/>
      </c>
      <c r="H659" t="n">
        <v>1</v>
      </c>
      <c r="I659">
        <f>IFERROR(MAX(0,5-INDEX('_ENGINE_Risk'!$H$500:$H$923,MATCH($D659,'_ENGINE_Risk'!$E$500:$E$923,0))),0)</f>
        <v/>
      </c>
      <c r="J659" t="inlineStr">
        <is>
          <t>P1 many-to-many coverage row</t>
        </is>
      </c>
      <c r="K659">
        <f>IFERROR(INDEX('_ENGINE_Risk'!$BI$500:$BI$923,MATCH($D659,'_ENGINE_Risk'!$E$500:$E$923,0))*N($H659),0)</f>
        <v/>
      </c>
      <c r="L659">
        <f>IFERROR(MIN(5,$K659/MAX(1,'_CONFIG_Model_Settings'!$B$105)),0)</f>
        <v/>
      </c>
    </row>
    <row r="660">
      <c r="A660" t="inlineStr">
        <is>
          <t>INI-037</t>
        </is>
      </c>
      <c r="B660" t="inlineStr">
        <is>
          <t>Implement MES and shop-floor digital control foundation</t>
        </is>
      </c>
      <c r="C660" t="inlineStr">
        <is>
          <t>STR-09</t>
        </is>
      </c>
      <c r="D660" t="inlineStr">
        <is>
          <t>MANU-009</t>
        </is>
      </c>
      <c r="E660" t="inlineStr">
        <is>
          <t>Manufacturing MES</t>
        </is>
      </c>
      <c r="F660" t="inlineStr">
        <is>
          <t>MES and shop floor</t>
        </is>
      </c>
      <c r="G660">
        <f>IFERROR(INDEX('_ENGINE_Risk'!$BS$500:$BS$923,MATCH($D660,'_ENGINE_Risk'!$E$500:$E$923,0)),0)</f>
        <v/>
      </c>
      <c r="H660" t="n">
        <v>1</v>
      </c>
      <c r="I660">
        <f>IFERROR(MAX(0,5-INDEX('_ENGINE_Risk'!$H$500:$H$923,MATCH($D660,'_ENGINE_Risk'!$E$500:$E$923,0))),0)</f>
        <v/>
      </c>
      <c r="J660" t="inlineStr">
        <is>
          <t>P1 many-to-many coverage row</t>
        </is>
      </c>
      <c r="K660">
        <f>IFERROR(INDEX('_ENGINE_Risk'!$BI$500:$BI$923,MATCH($D660,'_ENGINE_Risk'!$E$500:$E$923,0))*N($H660),0)</f>
        <v/>
      </c>
      <c r="L660">
        <f>IFERROR(MIN(5,$K660/MAX(1,'_CONFIG_Model_Settings'!$B$105)),0)</f>
        <v/>
      </c>
    </row>
    <row r="661">
      <c r="A661" t="inlineStr">
        <is>
          <t>INI-037</t>
        </is>
      </c>
      <c r="B661" t="inlineStr">
        <is>
          <t>Implement MES and shop-floor digital control foundation</t>
        </is>
      </c>
      <c r="C661" t="inlineStr">
        <is>
          <t>STR-09</t>
        </is>
      </c>
      <c r="D661" t="inlineStr">
        <is>
          <t>MANU-010</t>
        </is>
      </c>
      <c r="E661" t="inlineStr">
        <is>
          <t>Manufacturing MES</t>
        </is>
      </c>
      <c r="F661" t="inlineStr">
        <is>
          <t>MES and shop floor</t>
        </is>
      </c>
      <c r="G661">
        <f>IFERROR(INDEX('_ENGINE_Risk'!$BS$500:$BS$923,MATCH($D661,'_ENGINE_Risk'!$E$500:$E$923,0)),0)</f>
        <v/>
      </c>
      <c r="H661" t="n">
        <v>1</v>
      </c>
      <c r="I661">
        <f>IFERROR(MAX(0,5-INDEX('_ENGINE_Risk'!$H$500:$H$923,MATCH($D661,'_ENGINE_Risk'!$E$500:$E$923,0))),0)</f>
        <v/>
      </c>
      <c r="J661" t="inlineStr">
        <is>
          <t>P1 many-to-many coverage row</t>
        </is>
      </c>
      <c r="K661">
        <f>IFERROR(INDEX('_ENGINE_Risk'!$BI$500:$BI$923,MATCH($D661,'_ENGINE_Risk'!$E$500:$E$923,0))*N($H661),0)</f>
        <v/>
      </c>
      <c r="L661">
        <f>IFERROR(MIN(5,$K661/MAX(1,'_CONFIG_Model_Settings'!$B$105)),0)</f>
        <v/>
      </c>
    </row>
    <row r="662">
      <c r="A662" t="inlineStr">
        <is>
          <t>INI-037</t>
        </is>
      </c>
      <c r="B662" t="inlineStr">
        <is>
          <t>Implement MES and shop-floor digital control foundation</t>
        </is>
      </c>
      <c r="C662" t="inlineStr">
        <is>
          <t>STR-09</t>
        </is>
      </c>
      <c r="D662" t="inlineStr">
        <is>
          <t>MANU-011</t>
        </is>
      </c>
      <c r="E662" t="inlineStr">
        <is>
          <t>Manufacturing MES</t>
        </is>
      </c>
      <c r="F662" t="inlineStr">
        <is>
          <t>MES and shop floor</t>
        </is>
      </c>
      <c r="G662">
        <f>IFERROR(INDEX('_ENGINE_Risk'!$BS$500:$BS$923,MATCH($D662,'_ENGINE_Risk'!$E$500:$E$923,0)),0)</f>
        <v/>
      </c>
      <c r="H662" t="n">
        <v>1</v>
      </c>
      <c r="I662">
        <f>IFERROR(MAX(0,5-INDEX('_ENGINE_Risk'!$H$500:$H$923,MATCH($D662,'_ENGINE_Risk'!$E$500:$E$923,0))),0)</f>
        <v/>
      </c>
      <c r="J662" t="inlineStr">
        <is>
          <t>P1 many-to-many coverage row</t>
        </is>
      </c>
      <c r="K662">
        <f>IFERROR(INDEX('_ENGINE_Risk'!$BI$500:$BI$923,MATCH($D662,'_ENGINE_Risk'!$E$500:$E$923,0))*N($H662),0)</f>
        <v/>
      </c>
      <c r="L662">
        <f>IFERROR(MIN(5,$K662/MAX(1,'_CONFIG_Model_Settings'!$B$105)),0)</f>
        <v/>
      </c>
    </row>
    <row r="663">
      <c r="A663" t="inlineStr">
        <is>
          <t>INI-037</t>
        </is>
      </c>
      <c r="B663" t="inlineStr">
        <is>
          <t>Implement MES and shop-floor digital control foundation</t>
        </is>
      </c>
      <c r="C663" t="inlineStr">
        <is>
          <t>STR-09</t>
        </is>
      </c>
      <c r="D663" t="inlineStr">
        <is>
          <t>MANU-012</t>
        </is>
      </c>
      <c r="E663" t="inlineStr">
        <is>
          <t>Manufacturing MES</t>
        </is>
      </c>
      <c r="F663" t="inlineStr">
        <is>
          <t>MES and shop floor</t>
        </is>
      </c>
      <c r="G663">
        <f>IFERROR(INDEX('_ENGINE_Risk'!$BS$500:$BS$923,MATCH($D663,'_ENGINE_Risk'!$E$500:$E$923,0)),0)</f>
        <v/>
      </c>
      <c r="H663" t="n">
        <v>1</v>
      </c>
      <c r="I663">
        <f>IFERROR(MAX(0,5-INDEX('_ENGINE_Risk'!$H$500:$H$923,MATCH($D663,'_ENGINE_Risk'!$E$500:$E$923,0))),0)</f>
        <v/>
      </c>
      <c r="J663" t="inlineStr">
        <is>
          <t>P1 many-to-many coverage row</t>
        </is>
      </c>
      <c r="K663">
        <f>IFERROR(INDEX('_ENGINE_Risk'!$BI$500:$BI$923,MATCH($D663,'_ENGINE_Risk'!$E$500:$E$923,0))*N($H663),0)</f>
        <v/>
      </c>
      <c r="L663">
        <f>IFERROR(MIN(5,$K663/MAX(1,'_CONFIG_Model_Settings'!$B$105)),0)</f>
        <v/>
      </c>
    </row>
    <row r="664">
      <c r="A664" t="inlineStr">
        <is>
          <t>INI-038</t>
        </is>
      </c>
      <c r="B664" t="inlineStr">
        <is>
          <t>Build maintenance, spare-parts and asset resilience program</t>
        </is>
      </c>
      <c r="C664" t="inlineStr">
        <is>
          <t>STR-09</t>
        </is>
      </c>
      <c r="D664" t="inlineStr">
        <is>
          <t>MANU-013</t>
        </is>
      </c>
      <c r="E664" t="inlineStr">
        <is>
          <t>Manufacturing MES</t>
        </is>
      </c>
      <c r="F664" t="inlineStr">
        <is>
          <t>Maintenance and assets</t>
        </is>
      </c>
      <c r="G664">
        <f>IFERROR(INDEX('_ENGINE_Risk'!$BS$500:$BS$923,MATCH($D664,'_ENGINE_Risk'!$E$500:$E$923,0)),0)</f>
        <v/>
      </c>
      <c r="H664" t="n">
        <v>1</v>
      </c>
      <c r="I664">
        <f>IFERROR(MAX(0,5-INDEX('_ENGINE_Risk'!$H$500:$H$923,MATCH($D664,'_ENGINE_Risk'!$E$500:$E$923,0))),0)</f>
        <v/>
      </c>
      <c r="J664" t="inlineStr">
        <is>
          <t>P1 many-to-many coverage row</t>
        </is>
      </c>
      <c r="K664">
        <f>IFERROR(INDEX('_ENGINE_Risk'!$BI$500:$BI$923,MATCH($D664,'_ENGINE_Risk'!$E$500:$E$923,0))*N($H664),0)</f>
        <v/>
      </c>
      <c r="L664">
        <f>IFERROR(MIN(5,$K664/MAX(1,'_CONFIG_Model_Settings'!$B$105)),0)</f>
        <v/>
      </c>
    </row>
    <row r="665">
      <c r="A665" t="inlineStr">
        <is>
          <t>INI-038</t>
        </is>
      </c>
      <c r="B665" t="inlineStr">
        <is>
          <t>Build maintenance, spare-parts and asset resilience program</t>
        </is>
      </c>
      <c r="C665" t="inlineStr">
        <is>
          <t>STR-09</t>
        </is>
      </c>
      <c r="D665" t="inlineStr">
        <is>
          <t>MANU-014</t>
        </is>
      </c>
      <c r="E665" t="inlineStr">
        <is>
          <t>Manufacturing MES</t>
        </is>
      </c>
      <c r="F665" t="inlineStr">
        <is>
          <t>Maintenance and assets</t>
        </is>
      </c>
      <c r="G665">
        <f>IFERROR(INDEX('_ENGINE_Risk'!$BS$500:$BS$923,MATCH($D665,'_ENGINE_Risk'!$E$500:$E$923,0)),0)</f>
        <v/>
      </c>
      <c r="H665" t="n">
        <v>1</v>
      </c>
      <c r="I665">
        <f>IFERROR(MAX(0,5-INDEX('_ENGINE_Risk'!$H$500:$H$923,MATCH($D665,'_ENGINE_Risk'!$E$500:$E$923,0))),0)</f>
        <v/>
      </c>
      <c r="J665" t="inlineStr">
        <is>
          <t>P1 many-to-many coverage row</t>
        </is>
      </c>
      <c r="K665">
        <f>IFERROR(INDEX('_ENGINE_Risk'!$BI$500:$BI$923,MATCH($D665,'_ENGINE_Risk'!$E$500:$E$923,0))*N($H665),0)</f>
        <v/>
      </c>
      <c r="L665">
        <f>IFERROR(MIN(5,$K665/MAX(1,'_CONFIG_Model_Settings'!$B$105)),0)</f>
        <v/>
      </c>
    </row>
    <row r="666">
      <c r="A666" t="inlineStr">
        <is>
          <t>INI-038</t>
        </is>
      </c>
      <c r="B666" t="inlineStr">
        <is>
          <t>Build maintenance, spare-parts and asset resilience program</t>
        </is>
      </c>
      <c r="C666" t="inlineStr">
        <is>
          <t>STR-09</t>
        </is>
      </c>
      <c r="D666" t="inlineStr">
        <is>
          <t>MANU-015</t>
        </is>
      </c>
      <c r="E666" t="inlineStr">
        <is>
          <t>Manufacturing MES</t>
        </is>
      </c>
      <c r="F666" t="inlineStr">
        <is>
          <t>Maintenance and assets</t>
        </is>
      </c>
      <c r="G666">
        <f>IFERROR(INDEX('_ENGINE_Risk'!$BS$500:$BS$923,MATCH($D666,'_ENGINE_Risk'!$E$500:$E$923,0)),0)</f>
        <v/>
      </c>
      <c r="H666" t="n">
        <v>1</v>
      </c>
      <c r="I666">
        <f>IFERROR(MAX(0,5-INDEX('_ENGINE_Risk'!$H$500:$H$923,MATCH($D666,'_ENGINE_Risk'!$E$500:$E$923,0))),0)</f>
        <v/>
      </c>
      <c r="J666" t="inlineStr">
        <is>
          <t>P1 many-to-many coverage row</t>
        </is>
      </c>
      <c r="K666">
        <f>IFERROR(INDEX('_ENGINE_Risk'!$BI$500:$BI$923,MATCH($D666,'_ENGINE_Risk'!$E$500:$E$923,0))*N($H666),0)</f>
        <v/>
      </c>
      <c r="L666">
        <f>IFERROR(MIN(5,$K666/MAX(1,'_CONFIG_Model_Settings'!$B$105)),0)</f>
        <v/>
      </c>
    </row>
    <row r="667">
      <c r="A667" t="inlineStr">
        <is>
          <t>INI-038</t>
        </is>
      </c>
      <c r="B667" t="inlineStr">
        <is>
          <t>Build maintenance, spare-parts and asset resilience program</t>
        </is>
      </c>
      <c r="C667" t="inlineStr">
        <is>
          <t>STR-09</t>
        </is>
      </c>
      <c r="D667" t="inlineStr">
        <is>
          <t>MANU-016</t>
        </is>
      </c>
      <c r="E667" t="inlineStr">
        <is>
          <t>Manufacturing MES</t>
        </is>
      </c>
      <c r="F667" t="inlineStr">
        <is>
          <t>Maintenance and assets</t>
        </is>
      </c>
      <c r="G667">
        <f>IFERROR(INDEX('_ENGINE_Risk'!$BS$500:$BS$923,MATCH($D667,'_ENGINE_Risk'!$E$500:$E$923,0)),0)</f>
        <v/>
      </c>
      <c r="H667" t="n">
        <v>1</v>
      </c>
      <c r="I667">
        <f>IFERROR(MAX(0,5-INDEX('_ENGINE_Risk'!$H$500:$H$923,MATCH($D667,'_ENGINE_Risk'!$E$500:$E$923,0))),0)</f>
        <v/>
      </c>
      <c r="J667" t="inlineStr">
        <is>
          <t>P1 many-to-many coverage row</t>
        </is>
      </c>
      <c r="K667">
        <f>IFERROR(INDEX('_ENGINE_Risk'!$BI$500:$BI$923,MATCH($D667,'_ENGINE_Risk'!$E$500:$E$923,0))*N($H667),0)</f>
        <v/>
      </c>
      <c r="L667">
        <f>IFERROR(MIN(5,$K667/MAX(1,'_CONFIG_Model_Settings'!$B$105)),0)</f>
        <v/>
      </c>
    </row>
    <row r="668">
      <c r="A668" t="inlineStr">
        <is>
          <t>INI-038</t>
        </is>
      </c>
      <c r="B668" t="inlineStr">
        <is>
          <t>Build maintenance, spare-parts and asset resilience program</t>
        </is>
      </c>
      <c r="C668" t="inlineStr">
        <is>
          <t>STR-09</t>
        </is>
      </c>
      <c r="D668" t="inlineStr">
        <is>
          <t>MANU-017</t>
        </is>
      </c>
      <c r="E668" t="inlineStr">
        <is>
          <t>Manufacturing MES</t>
        </is>
      </c>
      <c r="F668" t="inlineStr">
        <is>
          <t>Maintenance and assets</t>
        </is>
      </c>
      <c r="G668">
        <f>IFERROR(INDEX('_ENGINE_Risk'!$BS$500:$BS$923,MATCH($D668,'_ENGINE_Risk'!$E$500:$E$923,0)),0)</f>
        <v/>
      </c>
      <c r="H668" t="n">
        <v>1</v>
      </c>
      <c r="I668">
        <f>IFERROR(MAX(0,5-INDEX('_ENGINE_Risk'!$H$500:$H$923,MATCH($D668,'_ENGINE_Risk'!$E$500:$E$923,0))),0)</f>
        <v/>
      </c>
      <c r="J668" t="inlineStr">
        <is>
          <t>P1 many-to-many coverage row</t>
        </is>
      </c>
      <c r="K668">
        <f>IFERROR(INDEX('_ENGINE_Risk'!$BI$500:$BI$923,MATCH($D668,'_ENGINE_Risk'!$E$500:$E$923,0))*N($H668),0)</f>
        <v/>
      </c>
      <c r="L668">
        <f>IFERROR(MIN(5,$K668/MAX(1,'_CONFIG_Model_Settings'!$B$105)),0)</f>
        <v/>
      </c>
    </row>
    <row r="669">
      <c r="A669" t="inlineStr">
        <is>
          <t>INI-038</t>
        </is>
      </c>
      <c r="B669" t="inlineStr">
        <is>
          <t>Build maintenance, spare-parts and asset resilience program</t>
        </is>
      </c>
      <c r="C669" t="inlineStr">
        <is>
          <t>STR-09</t>
        </is>
      </c>
      <c r="D669" t="inlineStr">
        <is>
          <t>MANU-018</t>
        </is>
      </c>
      <c r="E669" t="inlineStr">
        <is>
          <t>Manufacturing MES</t>
        </is>
      </c>
      <c r="F669" t="inlineStr">
        <is>
          <t>Maintenance and assets</t>
        </is>
      </c>
      <c r="G669">
        <f>IFERROR(INDEX('_ENGINE_Risk'!$BS$500:$BS$923,MATCH($D669,'_ENGINE_Risk'!$E$500:$E$923,0)),0)</f>
        <v/>
      </c>
      <c r="H669" t="n">
        <v>1</v>
      </c>
      <c r="I669">
        <f>IFERROR(MAX(0,5-INDEX('_ENGINE_Risk'!$H$500:$H$923,MATCH($D669,'_ENGINE_Risk'!$E$500:$E$923,0))),0)</f>
        <v/>
      </c>
      <c r="J669" t="inlineStr">
        <is>
          <t>P1 many-to-many coverage row</t>
        </is>
      </c>
      <c r="K669">
        <f>IFERROR(INDEX('_ENGINE_Risk'!$BI$500:$BI$923,MATCH($D669,'_ENGINE_Risk'!$E$500:$E$923,0))*N($H669),0)</f>
        <v/>
      </c>
      <c r="L669">
        <f>IFERROR(MIN(5,$K669/MAX(1,'_CONFIG_Model_Settings'!$B$105)),0)</f>
        <v/>
      </c>
    </row>
    <row r="670">
      <c r="A670" t="inlineStr">
        <is>
          <t>INI-039</t>
        </is>
      </c>
      <c r="B670" t="inlineStr">
        <is>
          <t>Strengthen manufacturing quality, safety and release controls</t>
        </is>
      </c>
      <c r="C670" t="inlineStr">
        <is>
          <t>STR-09</t>
        </is>
      </c>
      <c r="D670" t="inlineStr">
        <is>
          <t>MANU-019</t>
        </is>
      </c>
      <c r="E670" t="inlineStr">
        <is>
          <t>Manufacturing MES</t>
        </is>
      </c>
      <c r="F670" t="inlineStr">
        <is>
          <t>Quality and safety</t>
        </is>
      </c>
      <c r="G670">
        <f>IFERROR(INDEX('_ENGINE_Risk'!$BS$500:$BS$923,MATCH($D670,'_ENGINE_Risk'!$E$500:$E$923,0)),0)</f>
        <v/>
      </c>
      <c r="H670" t="n">
        <v>1</v>
      </c>
      <c r="I670">
        <f>IFERROR(MAX(0,5-INDEX('_ENGINE_Risk'!$H$500:$H$923,MATCH($D670,'_ENGINE_Risk'!$E$500:$E$923,0))),0)</f>
        <v/>
      </c>
      <c r="J670" t="inlineStr">
        <is>
          <t>P1 many-to-many coverage row</t>
        </is>
      </c>
      <c r="K670">
        <f>IFERROR(INDEX('_ENGINE_Risk'!$BI$500:$BI$923,MATCH($D670,'_ENGINE_Risk'!$E$500:$E$923,0))*N($H670),0)</f>
        <v/>
      </c>
      <c r="L670">
        <f>IFERROR(MIN(5,$K670/MAX(1,'_CONFIG_Model_Settings'!$B$105)),0)</f>
        <v/>
      </c>
    </row>
    <row r="671">
      <c r="A671" t="inlineStr">
        <is>
          <t>INI-039</t>
        </is>
      </c>
      <c r="B671" t="inlineStr">
        <is>
          <t>Strengthen manufacturing quality, safety and release controls</t>
        </is>
      </c>
      <c r="C671" t="inlineStr">
        <is>
          <t>STR-09</t>
        </is>
      </c>
      <c r="D671" t="inlineStr">
        <is>
          <t>MANU-020</t>
        </is>
      </c>
      <c r="E671" t="inlineStr">
        <is>
          <t>Manufacturing MES</t>
        </is>
      </c>
      <c r="F671" t="inlineStr">
        <is>
          <t>Quality and safety</t>
        </is>
      </c>
      <c r="G671">
        <f>IFERROR(INDEX('_ENGINE_Risk'!$BS$500:$BS$923,MATCH($D671,'_ENGINE_Risk'!$E$500:$E$923,0)),0)</f>
        <v/>
      </c>
      <c r="H671" t="n">
        <v>1</v>
      </c>
      <c r="I671">
        <f>IFERROR(MAX(0,5-INDEX('_ENGINE_Risk'!$H$500:$H$923,MATCH($D671,'_ENGINE_Risk'!$E$500:$E$923,0))),0)</f>
        <v/>
      </c>
      <c r="J671" t="inlineStr">
        <is>
          <t>P1 many-to-many coverage row</t>
        </is>
      </c>
      <c r="K671">
        <f>IFERROR(INDEX('_ENGINE_Risk'!$BI$500:$BI$923,MATCH($D671,'_ENGINE_Risk'!$E$500:$E$923,0))*N($H671),0)</f>
        <v/>
      </c>
      <c r="L671">
        <f>IFERROR(MIN(5,$K671/MAX(1,'_CONFIG_Model_Settings'!$B$105)),0)</f>
        <v/>
      </c>
    </row>
    <row r="672">
      <c r="A672" t="inlineStr">
        <is>
          <t>INI-039</t>
        </is>
      </c>
      <c r="B672" t="inlineStr">
        <is>
          <t>Strengthen manufacturing quality, safety and release controls</t>
        </is>
      </c>
      <c r="C672" t="inlineStr">
        <is>
          <t>STR-09</t>
        </is>
      </c>
      <c r="D672" t="inlineStr">
        <is>
          <t>MANU-021</t>
        </is>
      </c>
      <c r="E672" t="inlineStr">
        <is>
          <t>Manufacturing MES</t>
        </is>
      </c>
      <c r="F672" t="inlineStr">
        <is>
          <t>Quality and safety</t>
        </is>
      </c>
      <c r="G672">
        <f>IFERROR(INDEX('_ENGINE_Risk'!$BS$500:$BS$923,MATCH($D672,'_ENGINE_Risk'!$E$500:$E$923,0)),0)</f>
        <v/>
      </c>
      <c r="H672" t="n">
        <v>1</v>
      </c>
      <c r="I672">
        <f>IFERROR(MAX(0,5-INDEX('_ENGINE_Risk'!$H$500:$H$923,MATCH($D672,'_ENGINE_Risk'!$E$500:$E$923,0))),0)</f>
        <v/>
      </c>
      <c r="J672" t="inlineStr">
        <is>
          <t>P1 many-to-many coverage row</t>
        </is>
      </c>
      <c r="K672">
        <f>IFERROR(INDEX('_ENGINE_Risk'!$BI$500:$BI$923,MATCH($D672,'_ENGINE_Risk'!$E$500:$E$923,0))*N($H672),0)</f>
        <v/>
      </c>
      <c r="L672">
        <f>IFERROR(MIN(5,$K672/MAX(1,'_CONFIG_Model_Settings'!$B$105)),0)</f>
        <v/>
      </c>
    </row>
    <row r="673">
      <c r="A673" t="inlineStr">
        <is>
          <t>INI-039</t>
        </is>
      </c>
      <c r="B673" t="inlineStr">
        <is>
          <t>Strengthen manufacturing quality, safety and release controls</t>
        </is>
      </c>
      <c r="C673" t="inlineStr">
        <is>
          <t>STR-09</t>
        </is>
      </c>
      <c r="D673" t="inlineStr">
        <is>
          <t>MANU-022</t>
        </is>
      </c>
      <c r="E673" t="inlineStr">
        <is>
          <t>Manufacturing MES</t>
        </is>
      </c>
      <c r="F673" t="inlineStr">
        <is>
          <t>Quality and safety</t>
        </is>
      </c>
      <c r="G673">
        <f>IFERROR(INDEX('_ENGINE_Risk'!$BS$500:$BS$923,MATCH($D673,'_ENGINE_Risk'!$E$500:$E$923,0)),0)</f>
        <v/>
      </c>
      <c r="H673" t="n">
        <v>1</v>
      </c>
      <c r="I673">
        <f>IFERROR(MAX(0,5-INDEX('_ENGINE_Risk'!$H$500:$H$923,MATCH($D673,'_ENGINE_Risk'!$E$500:$E$923,0))),0)</f>
        <v/>
      </c>
      <c r="J673" t="inlineStr">
        <is>
          <t>P1 many-to-many coverage row</t>
        </is>
      </c>
      <c r="K673">
        <f>IFERROR(INDEX('_ENGINE_Risk'!$BI$500:$BI$923,MATCH($D673,'_ENGINE_Risk'!$E$500:$E$923,0))*N($H673),0)</f>
        <v/>
      </c>
      <c r="L673">
        <f>IFERROR(MIN(5,$K673/MAX(1,'_CONFIG_Model_Settings'!$B$105)),0)</f>
        <v/>
      </c>
    </row>
    <row r="674">
      <c r="A674" t="inlineStr">
        <is>
          <t>INI-039</t>
        </is>
      </c>
      <c r="B674" t="inlineStr">
        <is>
          <t>Strengthen manufacturing quality, safety and release controls</t>
        </is>
      </c>
      <c r="C674" t="inlineStr">
        <is>
          <t>STR-09</t>
        </is>
      </c>
      <c r="D674" t="inlineStr">
        <is>
          <t>MANU-023</t>
        </is>
      </c>
      <c r="E674" t="inlineStr">
        <is>
          <t>Manufacturing MES</t>
        </is>
      </c>
      <c r="F674" t="inlineStr">
        <is>
          <t>Quality and safety</t>
        </is>
      </c>
      <c r="G674">
        <f>IFERROR(INDEX('_ENGINE_Risk'!$BS$500:$BS$923,MATCH($D674,'_ENGINE_Risk'!$E$500:$E$923,0)),0)</f>
        <v/>
      </c>
      <c r="H674" t="n">
        <v>1</v>
      </c>
      <c r="I674">
        <f>IFERROR(MAX(0,5-INDEX('_ENGINE_Risk'!$H$500:$H$923,MATCH($D674,'_ENGINE_Risk'!$E$500:$E$923,0))),0)</f>
        <v/>
      </c>
      <c r="J674" t="inlineStr">
        <is>
          <t>P1 many-to-many coverage row</t>
        </is>
      </c>
      <c r="K674">
        <f>IFERROR(INDEX('_ENGINE_Risk'!$BI$500:$BI$923,MATCH($D674,'_ENGINE_Risk'!$E$500:$E$923,0))*N($H674),0)</f>
        <v/>
      </c>
      <c r="L674">
        <f>IFERROR(MIN(5,$K674/MAX(1,'_CONFIG_Model_Settings'!$B$105)),0)</f>
        <v/>
      </c>
    </row>
    <row r="675">
      <c r="A675" t="inlineStr">
        <is>
          <t>INI-039</t>
        </is>
      </c>
      <c r="B675" t="inlineStr">
        <is>
          <t>Strengthen manufacturing quality, safety and release controls</t>
        </is>
      </c>
      <c r="C675" t="inlineStr">
        <is>
          <t>STR-09</t>
        </is>
      </c>
      <c r="D675" t="inlineStr">
        <is>
          <t>MANU-024</t>
        </is>
      </c>
      <c r="E675" t="inlineStr">
        <is>
          <t>Manufacturing MES</t>
        </is>
      </c>
      <c r="F675" t="inlineStr">
        <is>
          <t>Quality and safety</t>
        </is>
      </c>
      <c r="G675">
        <f>IFERROR(INDEX('_ENGINE_Risk'!$BS$500:$BS$923,MATCH($D675,'_ENGINE_Risk'!$E$500:$E$923,0)),0)</f>
        <v/>
      </c>
      <c r="H675" t="n">
        <v>1</v>
      </c>
      <c r="I675">
        <f>IFERROR(MAX(0,5-INDEX('_ENGINE_Risk'!$H$500:$H$923,MATCH($D675,'_ENGINE_Risk'!$E$500:$E$923,0))),0)</f>
        <v/>
      </c>
      <c r="J675" t="inlineStr">
        <is>
          <t>P1 many-to-many coverage row</t>
        </is>
      </c>
      <c r="K675">
        <f>IFERROR(INDEX('_ENGINE_Risk'!$BI$500:$BI$923,MATCH($D675,'_ENGINE_Risk'!$E$500:$E$923,0))*N($H675),0)</f>
        <v/>
      </c>
      <c r="L675">
        <f>IFERROR(MIN(5,$K675/MAX(1,'_CONFIG_Model_Settings'!$B$105)),0)</f>
        <v/>
      </c>
    </row>
    <row r="676">
      <c r="A676" t="inlineStr">
        <is>
          <t>INI-040</t>
        </is>
      </c>
      <c r="B676" t="inlineStr">
        <is>
          <t>Implement OT security and industrial network resilience controls</t>
        </is>
      </c>
      <c r="C676" t="inlineStr">
        <is>
          <t>STR-09</t>
        </is>
      </c>
      <c r="D676" t="inlineStr">
        <is>
          <t>MANU-025</t>
        </is>
      </c>
      <c r="E676" t="inlineStr">
        <is>
          <t>Manufacturing MES</t>
        </is>
      </c>
      <c r="F676" t="inlineStr">
        <is>
          <t>OT security</t>
        </is>
      </c>
      <c r="G676">
        <f>IFERROR(INDEX('_ENGINE_Risk'!$BS$500:$BS$923,MATCH($D676,'_ENGINE_Risk'!$E$500:$E$923,0)),0)</f>
        <v/>
      </c>
      <c r="H676" t="n">
        <v>1</v>
      </c>
      <c r="I676">
        <f>IFERROR(MAX(0,5-INDEX('_ENGINE_Risk'!$H$500:$H$923,MATCH($D676,'_ENGINE_Risk'!$E$500:$E$923,0))),0)</f>
        <v/>
      </c>
      <c r="J676" t="inlineStr">
        <is>
          <t>P1 many-to-many coverage row</t>
        </is>
      </c>
      <c r="K676">
        <f>IFERROR(INDEX('_ENGINE_Risk'!$BI$500:$BI$923,MATCH($D676,'_ENGINE_Risk'!$E$500:$E$923,0))*N($H676),0)</f>
        <v/>
      </c>
      <c r="L676">
        <f>IFERROR(MIN(5,$K676/MAX(1,'_CONFIG_Model_Settings'!$B$105)),0)</f>
        <v/>
      </c>
    </row>
    <row r="677">
      <c r="A677" t="inlineStr">
        <is>
          <t>INI-040</t>
        </is>
      </c>
      <c r="B677" t="inlineStr">
        <is>
          <t>Implement OT security and industrial network resilience controls</t>
        </is>
      </c>
      <c r="C677" t="inlineStr">
        <is>
          <t>STR-09</t>
        </is>
      </c>
      <c r="D677" t="inlineStr">
        <is>
          <t>MANU-026</t>
        </is>
      </c>
      <c r="E677" t="inlineStr">
        <is>
          <t>Manufacturing MES</t>
        </is>
      </c>
      <c r="F677" t="inlineStr">
        <is>
          <t>OT security</t>
        </is>
      </c>
      <c r="G677">
        <f>IFERROR(INDEX('_ENGINE_Risk'!$BS$500:$BS$923,MATCH($D677,'_ENGINE_Risk'!$E$500:$E$923,0)),0)</f>
        <v/>
      </c>
      <c r="H677" t="n">
        <v>1</v>
      </c>
      <c r="I677">
        <f>IFERROR(MAX(0,5-INDEX('_ENGINE_Risk'!$H$500:$H$923,MATCH($D677,'_ENGINE_Risk'!$E$500:$E$923,0))),0)</f>
        <v/>
      </c>
      <c r="J677" t="inlineStr">
        <is>
          <t>P1 many-to-many coverage row</t>
        </is>
      </c>
      <c r="K677">
        <f>IFERROR(INDEX('_ENGINE_Risk'!$BI$500:$BI$923,MATCH($D677,'_ENGINE_Risk'!$E$500:$E$923,0))*N($H677),0)</f>
        <v/>
      </c>
      <c r="L677">
        <f>IFERROR(MIN(5,$K677/MAX(1,'_CONFIG_Model_Settings'!$B$105)),0)</f>
        <v/>
      </c>
    </row>
    <row r="678">
      <c r="A678" t="inlineStr">
        <is>
          <t>INI-040</t>
        </is>
      </c>
      <c r="B678" t="inlineStr">
        <is>
          <t>Implement OT security and industrial network resilience controls</t>
        </is>
      </c>
      <c r="C678" t="inlineStr">
        <is>
          <t>STR-09</t>
        </is>
      </c>
      <c r="D678" t="inlineStr">
        <is>
          <t>MANU-027</t>
        </is>
      </c>
      <c r="E678" t="inlineStr">
        <is>
          <t>Manufacturing MES</t>
        </is>
      </c>
      <c r="F678" t="inlineStr">
        <is>
          <t>OT security</t>
        </is>
      </c>
      <c r="G678">
        <f>IFERROR(INDEX('_ENGINE_Risk'!$BS$500:$BS$923,MATCH($D678,'_ENGINE_Risk'!$E$500:$E$923,0)),0)</f>
        <v/>
      </c>
      <c r="H678" t="n">
        <v>1</v>
      </c>
      <c r="I678">
        <f>IFERROR(MAX(0,5-INDEX('_ENGINE_Risk'!$H$500:$H$923,MATCH($D678,'_ENGINE_Risk'!$E$500:$E$923,0))),0)</f>
        <v/>
      </c>
      <c r="J678" t="inlineStr">
        <is>
          <t>P1 many-to-many coverage row</t>
        </is>
      </c>
      <c r="K678">
        <f>IFERROR(INDEX('_ENGINE_Risk'!$BI$500:$BI$923,MATCH($D678,'_ENGINE_Risk'!$E$500:$E$923,0))*N($H678),0)</f>
        <v/>
      </c>
      <c r="L678">
        <f>IFERROR(MIN(5,$K678/MAX(1,'_CONFIG_Model_Settings'!$B$105)),0)</f>
        <v/>
      </c>
    </row>
    <row r="679">
      <c r="A679" t="inlineStr">
        <is>
          <t>INI-040</t>
        </is>
      </c>
      <c r="B679" t="inlineStr">
        <is>
          <t>Implement OT security and industrial network resilience controls</t>
        </is>
      </c>
      <c r="C679" t="inlineStr">
        <is>
          <t>STR-09</t>
        </is>
      </c>
      <c r="D679" t="inlineStr">
        <is>
          <t>MANU-028</t>
        </is>
      </c>
      <c r="E679" t="inlineStr">
        <is>
          <t>Manufacturing MES</t>
        </is>
      </c>
      <c r="F679" t="inlineStr">
        <is>
          <t>OT security</t>
        </is>
      </c>
      <c r="G679">
        <f>IFERROR(INDEX('_ENGINE_Risk'!$BS$500:$BS$923,MATCH($D679,'_ENGINE_Risk'!$E$500:$E$923,0)),0)</f>
        <v/>
      </c>
      <c r="H679" t="n">
        <v>1</v>
      </c>
      <c r="I679">
        <f>IFERROR(MAX(0,5-INDEX('_ENGINE_Risk'!$H$500:$H$923,MATCH($D679,'_ENGINE_Risk'!$E$500:$E$923,0))),0)</f>
        <v/>
      </c>
      <c r="J679" t="inlineStr">
        <is>
          <t>P1 many-to-many coverage row</t>
        </is>
      </c>
      <c r="K679">
        <f>IFERROR(INDEX('_ENGINE_Risk'!$BI$500:$BI$923,MATCH($D679,'_ENGINE_Risk'!$E$500:$E$923,0))*N($H679),0)</f>
        <v/>
      </c>
      <c r="L679">
        <f>IFERROR(MIN(5,$K679/MAX(1,'_CONFIG_Model_Settings'!$B$105)),0)</f>
        <v/>
      </c>
    </row>
    <row r="680">
      <c r="A680" t="inlineStr">
        <is>
          <t>INI-041</t>
        </is>
      </c>
      <c r="B680" t="inlineStr">
        <is>
          <t>Stabilize CRM data model, ownership and adoption</t>
        </is>
      </c>
      <c r="C680" t="inlineStr">
        <is>
          <t>STR-12</t>
        </is>
      </c>
      <c r="D680" t="inlineStr">
        <is>
          <t>SALE-001</t>
        </is>
      </c>
      <c r="E680" t="inlineStr">
        <is>
          <t>Sales CRM</t>
        </is>
      </c>
      <c r="F680" t="inlineStr">
        <is>
          <t>CRM foundation</t>
        </is>
      </c>
      <c r="G680">
        <f>IFERROR(INDEX('_ENGINE_Risk'!$BS$500:$BS$923,MATCH($D680,'_ENGINE_Risk'!$E$500:$E$923,0)),0)</f>
        <v/>
      </c>
      <c r="H680" t="n">
        <v>1</v>
      </c>
      <c r="I680">
        <f>IFERROR(MAX(0,5-INDEX('_ENGINE_Risk'!$H$500:$H$923,MATCH($D680,'_ENGINE_Risk'!$E$500:$E$923,0))),0)</f>
        <v/>
      </c>
      <c r="J680" t="inlineStr">
        <is>
          <t>P1 many-to-many coverage row</t>
        </is>
      </c>
      <c r="K680">
        <f>IFERROR(INDEX('_ENGINE_Risk'!$BI$500:$BI$923,MATCH($D680,'_ENGINE_Risk'!$E$500:$E$923,0))*N($H680),0)</f>
        <v/>
      </c>
      <c r="L680">
        <f>IFERROR(MIN(5,$K680/MAX(1,'_CONFIG_Model_Settings'!$B$105)),0)</f>
        <v/>
      </c>
    </row>
    <row r="681">
      <c r="A681" t="inlineStr">
        <is>
          <t>INI-041</t>
        </is>
      </c>
      <c r="B681" t="inlineStr">
        <is>
          <t>Stabilize CRM data model, ownership and adoption</t>
        </is>
      </c>
      <c r="C681" t="inlineStr">
        <is>
          <t>STR-12</t>
        </is>
      </c>
      <c r="D681" t="inlineStr">
        <is>
          <t>SALE-002</t>
        </is>
      </c>
      <c r="E681" t="inlineStr">
        <is>
          <t>Sales CRM</t>
        </is>
      </c>
      <c r="F681" t="inlineStr">
        <is>
          <t>CRM foundation</t>
        </is>
      </c>
      <c r="G681">
        <f>IFERROR(INDEX('_ENGINE_Risk'!$BS$500:$BS$923,MATCH($D681,'_ENGINE_Risk'!$E$500:$E$923,0)),0)</f>
        <v/>
      </c>
      <c r="H681" t="n">
        <v>1</v>
      </c>
      <c r="I681">
        <f>IFERROR(MAX(0,5-INDEX('_ENGINE_Risk'!$H$500:$H$923,MATCH($D681,'_ENGINE_Risk'!$E$500:$E$923,0))),0)</f>
        <v/>
      </c>
      <c r="J681" t="inlineStr">
        <is>
          <t>P1 many-to-many coverage row</t>
        </is>
      </c>
      <c r="K681">
        <f>IFERROR(INDEX('_ENGINE_Risk'!$BI$500:$BI$923,MATCH($D681,'_ENGINE_Risk'!$E$500:$E$923,0))*N($H681),0)</f>
        <v/>
      </c>
      <c r="L681">
        <f>IFERROR(MIN(5,$K681/MAX(1,'_CONFIG_Model_Settings'!$B$105)),0)</f>
        <v/>
      </c>
    </row>
    <row r="682">
      <c r="A682" t="inlineStr">
        <is>
          <t>INI-041</t>
        </is>
      </c>
      <c r="B682" t="inlineStr">
        <is>
          <t>Stabilize CRM data model, ownership and adoption</t>
        </is>
      </c>
      <c r="C682" t="inlineStr">
        <is>
          <t>STR-12</t>
        </is>
      </c>
      <c r="D682" t="inlineStr">
        <is>
          <t>SALE-003</t>
        </is>
      </c>
      <c r="E682" t="inlineStr">
        <is>
          <t>Sales CRM</t>
        </is>
      </c>
      <c r="F682" t="inlineStr">
        <is>
          <t>CRM foundation</t>
        </is>
      </c>
      <c r="G682">
        <f>IFERROR(INDEX('_ENGINE_Risk'!$BS$500:$BS$923,MATCH($D682,'_ENGINE_Risk'!$E$500:$E$923,0)),0)</f>
        <v/>
      </c>
      <c r="H682" t="n">
        <v>1</v>
      </c>
      <c r="I682">
        <f>IFERROR(MAX(0,5-INDEX('_ENGINE_Risk'!$H$500:$H$923,MATCH($D682,'_ENGINE_Risk'!$E$500:$E$923,0))),0)</f>
        <v/>
      </c>
      <c r="J682" t="inlineStr">
        <is>
          <t>P1 many-to-many coverage row</t>
        </is>
      </c>
      <c r="K682">
        <f>IFERROR(INDEX('_ENGINE_Risk'!$BI$500:$BI$923,MATCH($D682,'_ENGINE_Risk'!$E$500:$E$923,0))*N($H682),0)</f>
        <v/>
      </c>
      <c r="L682">
        <f>IFERROR(MIN(5,$K682/MAX(1,'_CONFIG_Model_Settings'!$B$105)),0)</f>
        <v/>
      </c>
    </row>
    <row r="683">
      <c r="A683" t="inlineStr">
        <is>
          <t>INI-041</t>
        </is>
      </c>
      <c r="B683" t="inlineStr">
        <is>
          <t>Stabilize CRM data model, ownership and adoption</t>
        </is>
      </c>
      <c r="C683" t="inlineStr">
        <is>
          <t>STR-12</t>
        </is>
      </c>
      <c r="D683" t="inlineStr">
        <is>
          <t>SALE-004</t>
        </is>
      </c>
      <c r="E683" t="inlineStr">
        <is>
          <t>Sales CRM</t>
        </is>
      </c>
      <c r="F683" t="inlineStr">
        <is>
          <t>CRM foundation</t>
        </is>
      </c>
      <c r="G683">
        <f>IFERROR(INDEX('_ENGINE_Risk'!$BS$500:$BS$923,MATCH($D683,'_ENGINE_Risk'!$E$500:$E$923,0)),0)</f>
        <v/>
      </c>
      <c r="H683" t="n">
        <v>1</v>
      </c>
      <c r="I683">
        <f>IFERROR(MAX(0,5-INDEX('_ENGINE_Risk'!$H$500:$H$923,MATCH($D683,'_ENGINE_Risk'!$E$500:$E$923,0))),0)</f>
        <v/>
      </c>
      <c r="J683" t="inlineStr">
        <is>
          <t>P1 many-to-many coverage row</t>
        </is>
      </c>
      <c r="K683">
        <f>IFERROR(INDEX('_ENGINE_Risk'!$BI$500:$BI$923,MATCH($D683,'_ENGINE_Risk'!$E$500:$E$923,0))*N($H683),0)</f>
        <v/>
      </c>
      <c r="L683">
        <f>IFERROR(MIN(5,$K683/MAX(1,'_CONFIG_Model_Settings'!$B$105)),0)</f>
        <v/>
      </c>
    </row>
    <row r="684">
      <c r="A684" t="inlineStr">
        <is>
          <t>INI-041</t>
        </is>
      </c>
      <c r="B684" t="inlineStr">
        <is>
          <t>Stabilize CRM data model, ownership and adoption</t>
        </is>
      </c>
      <c r="C684" t="inlineStr">
        <is>
          <t>STR-12</t>
        </is>
      </c>
      <c r="D684" t="inlineStr">
        <is>
          <t>SALE-005</t>
        </is>
      </c>
      <c r="E684" t="inlineStr">
        <is>
          <t>Sales CRM</t>
        </is>
      </c>
      <c r="F684" t="inlineStr">
        <is>
          <t>CRM foundation</t>
        </is>
      </c>
      <c r="G684">
        <f>IFERROR(INDEX('_ENGINE_Risk'!$BS$500:$BS$923,MATCH($D684,'_ENGINE_Risk'!$E$500:$E$923,0)),0)</f>
        <v/>
      </c>
      <c r="H684" t="n">
        <v>1</v>
      </c>
      <c r="I684">
        <f>IFERROR(MAX(0,5-INDEX('_ENGINE_Risk'!$H$500:$H$923,MATCH($D684,'_ENGINE_Risk'!$E$500:$E$923,0))),0)</f>
        <v/>
      </c>
      <c r="J684" t="inlineStr">
        <is>
          <t>P1 many-to-many coverage row</t>
        </is>
      </c>
      <c r="K684">
        <f>IFERROR(INDEX('_ENGINE_Risk'!$BI$500:$BI$923,MATCH($D684,'_ENGINE_Risk'!$E$500:$E$923,0))*N($H684),0)</f>
        <v/>
      </c>
      <c r="L684">
        <f>IFERROR(MIN(5,$K684/MAX(1,'_CONFIG_Model_Settings'!$B$105)),0)</f>
        <v/>
      </c>
    </row>
    <row r="685">
      <c r="A685" t="inlineStr">
        <is>
          <t>INI-042</t>
        </is>
      </c>
      <c r="B685" t="inlineStr">
        <is>
          <t>Build pipeline visibility, forecast discipline and revenue scenarios</t>
        </is>
      </c>
      <c r="C685" t="inlineStr">
        <is>
          <t>STR-12</t>
        </is>
      </c>
      <c r="D685" t="inlineStr">
        <is>
          <t>SALE-006</t>
        </is>
      </c>
      <c r="E685" t="inlineStr">
        <is>
          <t>Sales CRM</t>
        </is>
      </c>
      <c r="F685" t="inlineStr">
        <is>
          <t>Pipeline and forecast</t>
        </is>
      </c>
      <c r="G685">
        <f>IFERROR(INDEX('_ENGINE_Risk'!$BS$500:$BS$923,MATCH($D685,'_ENGINE_Risk'!$E$500:$E$923,0)),0)</f>
        <v/>
      </c>
      <c r="H685" t="n">
        <v>1</v>
      </c>
      <c r="I685">
        <f>IFERROR(MAX(0,5-INDEX('_ENGINE_Risk'!$H$500:$H$923,MATCH($D685,'_ENGINE_Risk'!$E$500:$E$923,0))),0)</f>
        <v/>
      </c>
      <c r="J685" t="inlineStr">
        <is>
          <t>P1 many-to-many coverage row</t>
        </is>
      </c>
      <c r="K685">
        <f>IFERROR(INDEX('_ENGINE_Risk'!$BI$500:$BI$923,MATCH($D685,'_ENGINE_Risk'!$E$500:$E$923,0))*N($H685),0)</f>
        <v/>
      </c>
      <c r="L685">
        <f>IFERROR(MIN(5,$K685/MAX(1,'_CONFIG_Model_Settings'!$B$105)),0)</f>
        <v/>
      </c>
    </row>
    <row r="686">
      <c r="A686" t="inlineStr">
        <is>
          <t>INI-042</t>
        </is>
      </c>
      <c r="B686" t="inlineStr">
        <is>
          <t>Build pipeline visibility, forecast discipline and revenue scenarios</t>
        </is>
      </c>
      <c r="C686" t="inlineStr">
        <is>
          <t>STR-12</t>
        </is>
      </c>
      <c r="D686" t="inlineStr">
        <is>
          <t>SALE-007</t>
        </is>
      </c>
      <c r="E686" t="inlineStr">
        <is>
          <t>Sales CRM</t>
        </is>
      </c>
      <c r="F686" t="inlineStr">
        <is>
          <t>Pipeline and forecast</t>
        </is>
      </c>
      <c r="G686">
        <f>IFERROR(INDEX('_ENGINE_Risk'!$BS$500:$BS$923,MATCH($D686,'_ENGINE_Risk'!$E$500:$E$923,0)),0)</f>
        <v/>
      </c>
      <c r="H686" t="n">
        <v>1</v>
      </c>
      <c r="I686">
        <f>IFERROR(MAX(0,5-INDEX('_ENGINE_Risk'!$H$500:$H$923,MATCH($D686,'_ENGINE_Risk'!$E$500:$E$923,0))),0)</f>
        <v/>
      </c>
      <c r="J686" t="inlineStr">
        <is>
          <t>P1 many-to-many coverage row</t>
        </is>
      </c>
      <c r="K686">
        <f>IFERROR(INDEX('_ENGINE_Risk'!$BI$500:$BI$923,MATCH($D686,'_ENGINE_Risk'!$E$500:$E$923,0))*N($H686),0)</f>
        <v/>
      </c>
      <c r="L686">
        <f>IFERROR(MIN(5,$K686/MAX(1,'_CONFIG_Model_Settings'!$B$105)),0)</f>
        <v/>
      </c>
    </row>
    <row r="687">
      <c r="A687" t="inlineStr">
        <is>
          <t>INI-042</t>
        </is>
      </c>
      <c r="B687" t="inlineStr">
        <is>
          <t>Build pipeline visibility, forecast discipline and revenue scenarios</t>
        </is>
      </c>
      <c r="C687" t="inlineStr">
        <is>
          <t>STR-12</t>
        </is>
      </c>
      <c r="D687" t="inlineStr">
        <is>
          <t>SALE-008</t>
        </is>
      </c>
      <c r="E687" t="inlineStr">
        <is>
          <t>Sales CRM</t>
        </is>
      </c>
      <c r="F687" t="inlineStr">
        <is>
          <t>Pipeline and forecast</t>
        </is>
      </c>
      <c r="G687">
        <f>IFERROR(INDEX('_ENGINE_Risk'!$BS$500:$BS$923,MATCH($D687,'_ENGINE_Risk'!$E$500:$E$923,0)),0)</f>
        <v/>
      </c>
      <c r="H687" t="n">
        <v>1</v>
      </c>
      <c r="I687">
        <f>IFERROR(MAX(0,5-INDEX('_ENGINE_Risk'!$H$500:$H$923,MATCH($D687,'_ENGINE_Risk'!$E$500:$E$923,0))),0)</f>
        <v/>
      </c>
      <c r="J687" t="inlineStr">
        <is>
          <t>P1 many-to-many coverage row</t>
        </is>
      </c>
      <c r="K687">
        <f>IFERROR(INDEX('_ENGINE_Risk'!$BI$500:$BI$923,MATCH($D687,'_ENGINE_Risk'!$E$500:$E$923,0))*N($H687),0)</f>
        <v/>
      </c>
      <c r="L687">
        <f>IFERROR(MIN(5,$K687/MAX(1,'_CONFIG_Model_Settings'!$B$105)),0)</f>
        <v/>
      </c>
    </row>
    <row r="688">
      <c r="A688" t="inlineStr">
        <is>
          <t>INI-042</t>
        </is>
      </c>
      <c r="B688" t="inlineStr">
        <is>
          <t>Build pipeline visibility, forecast discipline and revenue scenarios</t>
        </is>
      </c>
      <c r="C688" t="inlineStr">
        <is>
          <t>STR-12</t>
        </is>
      </c>
      <c r="D688" t="inlineStr">
        <is>
          <t>SALE-009</t>
        </is>
      </c>
      <c r="E688" t="inlineStr">
        <is>
          <t>Sales CRM</t>
        </is>
      </c>
      <c r="F688" t="inlineStr">
        <is>
          <t>Pipeline and forecast</t>
        </is>
      </c>
      <c r="G688">
        <f>IFERROR(INDEX('_ENGINE_Risk'!$BS$500:$BS$923,MATCH($D688,'_ENGINE_Risk'!$E$500:$E$923,0)),0)</f>
        <v/>
      </c>
      <c r="H688" t="n">
        <v>1</v>
      </c>
      <c r="I688">
        <f>IFERROR(MAX(0,5-INDEX('_ENGINE_Risk'!$H$500:$H$923,MATCH($D688,'_ENGINE_Risk'!$E$500:$E$923,0))),0)</f>
        <v/>
      </c>
      <c r="J688" t="inlineStr">
        <is>
          <t>P1 many-to-many coverage row</t>
        </is>
      </c>
      <c r="K688">
        <f>IFERROR(INDEX('_ENGINE_Risk'!$BI$500:$BI$923,MATCH($D688,'_ENGINE_Risk'!$E$500:$E$923,0))*N($H688),0)</f>
        <v/>
      </c>
      <c r="L688">
        <f>IFERROR(MIN(5,$K688/MAX(1,'_CONFIG_Model_Settings'!$B$105)),0)</f>
        <v/>
      </c>
    </row>
    <row r="689">
      <c r="A689" t="inlineStr">
        <is>
          <t>INI-042</t>
        </is>
      </c>
      <c r="B689" t="inlineStr">
        <is>
          <t>Build pipeline visibility, forecast discipline and revenue scenarios</t>
        </is>
      </c>
      <c r="C689" t="inlineStr">
        <is>
          <t>STR-12</t>
        </is>
      </c>
      <c r="D689" t="inlineStr">
        <is>
          <t>SALE-010</t>
        </is>
      </c>
      <c r="E689" t="inlineStr">
        <is>
          <t>Sales CRM</t>
        </is>
      </c>
      <c r="F689" t="inlineStr">
        <is>
          <t>Pipeline and forecast</t>
        </is>
      </c>
      <c r="G689">
        <f>IFERROR(INDEX('_ENGINE_Risk'!$BS$500:$BS$923,MATCH($D689,'_ENGINE_Risk'!$E$500:$E$923,0)),0)</f>
        <v/>
      </c>
      <c r="H689" t="n">
        <v>1</v>
      </c>
      <c r="I689">
        <f>IFERROR(MAX(0,5-INDEX('_ENGINE_Risk'!$H$500:$H$923,MATCH($D689,'_ENGINE_Risk'!$E$500:$E$923,0))),0)</f>
        <v/>
      </c>
      <c r="J689" t="inlineStr">
        <is>
          <t>P1 many-to-many coverage row</t>
        </is>
      </c>
      <c r="K689">
        <f>IFERROR(INDEX('_ENGINE_Risk'!$BI$500:$BI$923,MATCH($D689,'_ENGINE_Risk'!$E$500:$E$923,0))*N($H689),0)</f>
        <v/>
      </c>
      <c r="L689">
        <f>IFERROR(MIN(5,$K689/MAX(1,'_CONFIG_Model_Settings'!$B$105)),0)</f>
        <v/>
      </c>
    </row>
    <row r="690">
      <c r="A690" t="inlineStr">
        <is>
          <t>INI-043</t>
        </is>
      </c>
      <c r="B690" t="inlineStr">
        <is>
          <t>Implement customer continuity and key-account protection program</t>
        </is>
      </c>
      <c r="C690" t="inlineStr">
        <is>
          <t>STR-12</t>
        </is>
      </c>
      <c r="D690" t="inlineStr">
        <is>
          <t>SALE-011</t>
        </is>
      </c>
      <c r="E690" t="inlineStr">
        <is>
          <t>Sales CRM</t>
        </is>
      </c>
      <c r="F690" t="inlineStr">
        <is>
          <t>Customer continuity</t>
        </is>
      </c>
      <c r="G690">
        <f>IFERROR(INDEX('_ENGINE_Risk'!$BS$500:$BS$923,MATCH($D690,'_ENGINE_Risk'!$E$500:$E$923,0)),0)</f>
        <v/>
      </c>
      <c r="H690" t="n">
        <v>1</v>
      </c>
      <c r="I690">
        <f>IFERROR(MAX(0,5-INDEX('_ENGINE_Risk'!$H$500:$H$923,MATCH($D690,'_ENGINE_Risk'!$E$500:$E$923,0))),0)</f>
        <v/>
      </c>
      <c r="J690" t="inlineStr">
        <is>
          <t>P1 many-to-many coverage row</t>
        </is>
      </c>
      <c r="K690">
        <f>IFERROR(INDEX('_ENGINE_Risk'!$BI$500:$BI$923,MATCH($D690,'_ENGINE_Risk'!$E$500:$E$923,0))*N($H690),0)</f>
        <v/>
      </c>
      <c r="L690">
        <f>IFERROR(MIN(5,$K690/MAX(1,'_CONFIG_Model_Settings'!$B$105)),0)</f>
        <v/>
      </c>
    </row>
    <row r="691">
      <c r="A691" t="inlineStr">
        <is>
          <t>INI-043</t>
        </is>
      </c>
      <c r="B691" t="inlineStr">
        <is>
          <t>Implement customer continuity and key-account protection program</t>
        </is>
      </c>
      <c r="C691" t="inlineStr">
        <is>
          <t>STR-12</t>
        </is>
      </c>
      <c r="D691" t="inlineStr">
        <is>
          <t>SALE-012</t>
        </is>
      </c>
      <c r="E691" t="inlineStr">
        <is>
          <t>Sales CRM</t>
        </is>
      </c>
      <c r="F691" t="inlineStr">
        <is>
          <t>Customer continuity</t>
        </is>
      </c>
      <c r="G691">
        <f>IFERROR(INDEX('_ENGINE_Risk'!$BS$500:$BS$923,MATCH($D691,'_ENGINE_Risk'!$E$500:$E$923,0)),0)</f>
        <v/>
      </c>
      <c r="H691" t="n">
        <v>1</v>
      </c>
      <c r="I691">
        <f>IFERROR(MAX(0,5-INDEX('_ENGINE_Risk'!$H$500:$H$923,MATCH($D691,'_ENGINE_Risk'!$E$500:$E$923,0))),0)</f>
        <v/>
      </c>
      <c r="J691" t="inlineStr">
        <is>
          <t>P1 many-to-many coverage row</t>
        </is>
      </c>
      <c r="K691">
        <f>IFERROR(INDEX('_ENGINE_Risk'!$BI$500:$BI$923,MATCH($D691,'_ENGINE_Risk'!$E$500:$E$923,0))*N($H691),0)</f>
        <v/>
      </c>
      <c r="L691">
        <f>IFERROR(MIN(5,$K691/MAX(1,'_CONFIG_Model_Settings'!$B$105)),0)</f>
        <v/>
      </c>
    </row>
    <row r="692">
      <c r="A692" t="inlineStr">
        <is>
          <t>INI-043</t>
        </is>
      </c>
      <c r="B692" t="inlineStr">
        <is>
          <t>Implement customer continuity and key-account protection program</t>
        </is>
      </c>
      <c r="C692" t="inlineStr">
        <is>
          <t>STR-12</t>
        </is>
      </c>
      <c r="D692" t="inlineStr">
        <is>
          <t>SALE-013</t>
        </is>
      </c>
      <c r="E692" t="inlineStr">
        <is>
          <t>Sales CRM</t>
        </is>
      </c>
      <c r="F692" t="inlineStr">
        <is>
          <t>Customer continuity</t>
        </is>
      </c>
      <c r="G692">
        <f>IFERROR(INDEX('_ENGINE_Risk'!$BS$500:$BS$923,MATCH($D692,'_ENGINE_Risk'!$E$500:$E$923,0)),0)</f>
        <v/>
      </c>
      <c r="H692" t="n">
        <v>1</v>
      </c>
      <c r="I692">
        <f>IFERROR(MAX(0,5-INDEX('_ENGINE_Risk'!$H$500:$H$923,MATCH($D692,'_ENGINE_Risk'!$E$500:$E$923,0))),0)</f>
        <v/>
      </c>
      <c r="J692" t="inlineStr">
        <is>
          <t>P1 many-to-many coverage row</t>
        </is>
      </c>
      <c r="K692">
        <f>IFERROR(INDEX('_ENGINE_Risk'!$BI$500:$BI$923,MATCH($D692,'_ENGINE_Risk'!$E$500:$E$923,0))*N($H692),0)</f>
        <v/>
      </c>
      <c r="L692">
        <f>IFERROR(MIN(5,$K692/MAX(1,'_CONFIG_Model_Settings'!$B$105)),0)</f>
        <v/>
      </c>
    </row>
    <row r="693">
      <c r="A693" t="inlineStr">
        <is>
          <t>INI-043</t>
        </is>
      </c>
      <c r="B693" t="inlineStr">
        <is>
          <t>Implement customer continuity and key-account protection program</t>
        </is>
      </c>
      <c r="C693" t="inlineStr">
        <is>
          <t>STR-12</t>
        </is>
      </c>
      <c r="D693" t="inlineStr">
        <is>
          <t>SALE-014</t>
        </is>
      </c>
      <c r="E693" t="inlineStr">
        <is>
          <t>Sales CRM</t>
        </is>
      </c>
      <c r="F693" t="inlineStr">
        <is>
          <t>Customer continuity</t>
        </is>
      </c>
      <c r="G693">
        <f>IFERROR(INDEX('_ENGINE_Risk'!$BS$500:$BS$923,MATCH($D693,'_ENGINE_Risk'!$E$500:$E$923,0)),0)</f>
        <v/>
      </c>
      <c r="H693" t="n">
        <v>1</v>
      </c>
      <c r="I693">
        <f>IFERROR(MAX(0,5-INDEX('_ENGINE_Risk'!$H$500:$H$923,MATCH($D693,'_ENGINE_Risk'!$E$500:$E$923,0))),0)</f>
        <v/>
      </c>
      <c r="J693" t="inlineStr">
        <is>
          <t>P1 many-to-many coverage row</t>
        </is>
      </c>
      <c r="K693">
        <f>IFERROR(INDEX('_ENGINE_Risk'!$BI$500:$BI$923,MATCH($D693,'_ENGINE_Risk'!$E$500:$E$923,0))*N($H693),0)</f>
        <v/>
      </c>
      <c r="L693">
        <f>IFERROR(MIN(5,$K693/MAX(1,'_CONFIG_Model_Settings'!$B$105)),0)</f>
        <v/>
      </c>
    </row>
    <row r="694">
      <c r="A694" t="inlineStr">
        <is>
          <t>INI-043</t>
        </is>
      </c>
      <c r="B694" t="inlineStr">
        <is>
          <t>Implement customer continuity and key-account protection program</t>
        </is>
      </c>
      <c r="C694" t="inlineStr">
        <is>
          <t>STR-12</t>
        </is>
      </c>
      <c r="D694" t="inlineStr">
        <is>
          <t>SALE-015</t>
        </is>
      </c>
      <c r="E694" t="inlineStr">
        <is>
          <t>Sales CRM</t>
        </is>
      </c>
      <c r="F694" t="inlineStr">
        <is>
          <t>Customer continuity</t>
        </is>
      </c>
      <c r="G694">
        <f>IFERROR(INDEX('_ENGINE_Risk'!$BS$500:$BS$923,MATCH($D694,'_ENGINE_Risk'!$E$500:$E$923,0)),0)</f>
        <v/>
      </c>
      <c r="H694" t="n">
        <v>1</v>
      </c>
      <c r="I694">
        <f>IFERROR(MAX(0,5-INDEX('_ENGINE_Risk'!$H$500:$H$923,MATCH($D694,'_ENGINE_Risk'!$E$500:$E$923,0))),0)</f>
        <v/>
      </c>
      <c r="J694" t="inlineStr">
        <is>
          <t>P1 many-to-many coverage row</t>
        </is>
      </c>
      <c r="K694">
        <f>IFERROR(INDEX('_ENGINE_Risk'!$BI$500:$BI$923,MATCH($D694,'_ENGINE_Risk'!$E$500:$E$923,0))*N($H694),0)</f>
        <v/>
      </c>
      <c r="L694">
        <f>IFERROR(MIN(5,$K694/MAX(1,'_CONFIG_Model_Settings'!$B$105)),0)</f>
        <v/>
      </c>
    </row>
    <row r="695">
      <c r="A695" t="inlineStr">
        <is>
          <t>INI-043</t>
        </is>
      </c>
      <c r="B695" t="inlineStr">
        <is>
          <t>Implement customer continuity and key-account protection program</t>
        </is>
      </c>
      <c r="C695" t="inlineStr">
        <is>
          <t>STR-12</t>
        </is>
      </c>
      <c r="D695" t="inlineStr">
        <is>
          <t>SALE-016</t>
        </is>
      </c>
      <c r="E695" t="inlineStr">
        <is>
          <t>Sales CRM</t>
        </is>
      </c>
      <c r="F695" t="inlineStr">
        <is>
          <t>Customer continuity</t>
        </is>
      </c>
      <c r="G695">
        <f>IFERROR(INDEX('_ENGINE_Risk'!$BS$500:$BS$923,MATCH($D695,'_ENGINE_Risk'!$E$500:$E$923,0)),0)</f>
        <v/>
      </c>
      <c r="H695" t="n">
        <v>1</v>
      </c>
      <c r="I695">
        <f>IFERROR(MAX(0,5-INDEX('_ENGINE_Risk'!$H$500:$H$923,MATCH($D695,'_ENGINE_Risk'!$E$500:$E$923,0))),0)</f>
        <v/>
      </c>
      <c r="J695" t="inlineStr">
        <is>
          <t>P1 many-to-many coverage row</t>
        </is>
      </c>
      <c r="K695">
        <f>IFERROR(INDEX('_ENGINE_Risk'!$BI$500:$BI$923,MATCH($D695,'_ENGINE_Risk'!$E$500:$E$923,0))*N($H695),0)</f>
        <v/>
      </c>
      <c r="L695">
        <f>IFERROR(MIN(5,$K695/MAX(1,'_CONFIG_Model_Settings'!$B$105)),0)</f>
        <v/>
      </c>
    </row>
    <row r="696">
      <c r="A696" t="inlineStr">
        <is>
          <t>INI-044</t>
        </is>
      </c>
      <c r="B696" t="inlineStr">
        <is>
          <t>Strengthen pricing, discounting and revenue-control governance</t>
        </is>
      </c>
      <c r="C696" t="inlineStr">
        <is>
          <t>STR-12</t>
        </is>
      </c>
      <c r="D696" t="inlineStr">
        <is>
          <t>SALE-017</t>
        </is>
      </c>
      <c r="E696" t="inlineStr">
        <is>
          <t>Sales CRM</t>
        </is>
      </c>
      <c r="F696" t="inlineStr">
        <is>
          <t>Revenue controls</t>
        </is>
      </c>
      <c r="G696">
        <f>IFERROR(INDEX('_ENGINE_Risk'!$BS$500:$BS$923,MATCH($D696,'_ENGINE_Risk'!$E$500:$E$923,0)),0)</f>
        <v/>
      </c>
      <c r="H696" t="n">
        <v>1</v>
      </c>
      <c r="I696">
        <f>IFERROR(MAX(0,5-INDEX('_ENGINE_Risk'!$H$500:$H$923,MATCH($D696,'_ENGINE_Risk'!$E$500:$E$923,0))),0)</f>
        <v/>
      </c>
      <c r="J696" t="inlineStr">
        <is>
          <t>P1 many-to-many coverage row</t>
        </is>
      </c>
      <c r="K696">
        <f>IFERROR(INDEX('_ENGINE_Risk'!$BI$500:$BI$923,MATCH($D696,'_ENGINE_Risk'!$E$500:$E$923,0))*N($H696),0)</f>
        <v/>
      </c>
      <c r="L696">
        <f>IFERROR(MIN(5,$K696/MAX(1,'_CONFIG_Model_Settings'!$B$105)),0)</f>
        <v/>
      </c>
    </row>
    <row r="697">
      <c r="A697" t="inlineStr">
        <is>
          <t>INI-044</t>
        </is>
      </c>
      <c r="B697" t="inlineStr">
        <is>
          <t>Strengthen pricing, discounting and revenue-control governance</t>
        </is>
      </c>
      <c r="C697" t="inlineStr">
        <is>
          <t>STR-12</t>
        </is>
      </c>
      <c r="D697" t="inlineStr">
        <is>
          <t>SALE-018</t>
        </is>
      </c>
      <c r="E697" t="inlineStr">
        <is>
          <t>Sales CRM</t>
        </is>
      </c>
      <c r="F697" t="inlineStr">
        <is>
          <t>Revenue controls</t>
        </is>
      </c>
      <c r="G697">
        <f>IFERROR(INDEX('_ENGINE_Risk'!$BS$500:$BS$923,MATCH($D697,'_ENGINE_Risk'!$E$500:$E$923,0)),0)</f>
        <v/>
      </c>
      <c r="H697" t="n">
        <v>1</v>
      </c>
      <c r="I697">
        <f>IFERROR(MAX(0,5-INDEX('_ENGINE_Risk'!$H$500:$H$923,MATCH($D697,'_ENGINE_Risk'!$E$500:$E$923,0))),0)</f>
        <v/>
      </c>
      <c r="J697" t="inlineStr">
        <is>
          <t>P1 many-to-many coverage row</t>
        </is>
      </c>
      <c r="K697">
        <f>IFERROR(INDEX('_ENGINE_Risk'!$BI$500:$BI$923,MATCH($D697,'_ENGINE_Risk'!$E$500:$E$923,0))*N($H697),0)</f>
        <v/>
      </c>
      <c r="L697">
        <f>IFERROR(MIN(5,$K697/MAX(1,'_CONFIG_Model_Settings'!$B$105)),0)</f>
        <v/>
      </c>
    </row>
    <row r="698">
      <c r="A698" t="inlineStr">
        <is>
          <t>INI-044</t>
        </is>
      </c>
      <c r="B698" t="inlineStr">
        <is>
          <t>Strengthen pricing, discounting and revenue-control governance</t>
        </is>
      </c>
      <c r="C698" t="inlineStr">
        <is>
          <t>STR-12</t>
        </is>
      </c>
      <c r="D698" t="inlineStr">
        <is>
          <t>SALE-019</t>
        </is>
      </c>
      <c r="E698" t="inlineStr">
        <is>
          <t>Sales CRM</t>
        </is>
      </c>
      <c r="F698" t="inlineStr">
        <is>
          <t>Revenue controls</t>
        </is>
      </c>
      <c r="G698">
        <f>IFERROR(INDEX('_ENGINE_Risk'!$BS$500:$BS$923,MATCH($D698,'_ENGINE_Risk'!$E$500:$E$923,0)),0)</f>
        <v/>
      </c>
      <c r="H698" t="n">
        <v>1</v>
      </c>
      <c r="I698">
        <f>IFERROR(MAX(0,5-INDEX('_ENGINE_Risk'!$H$500:$H$923,MATCH($D698,'_ENGINE_Risk'!$E$500:$E$923,0))),0)</f>
        <v/>
      </c>
      <c r="J698" t="inlineStr">
        <is>
          <t>P1 many-to-many coverage row</t>
        </is>
      </c>
      <c r="K698">
        <f>IFERROR(INDEX('_ENGINE_Risk'!$BI$500:$BI$923,MATCH($D698,'_ENGINE_Risk'!$E$500:$E$923,0))*N($H698),0)</f>
        <v/>
      </c>
      <c r="L698">
        <f>IFERROR(MIN(5,$K698/MAX(1,'_CONFIG_Model_Settings'!$B$105)),0)</f>
        <v/>
      </c>
    </row>
    <row r="699">
      <c r="A699" t="inlineStr">
        <is>
          <t>INI-044</t>
        </is>
      </c>
      <c r="B699" t="inlineStr">
        <is>
          <t>Strengthen pricing, discounting and revenue-control governance</t>
        </is>
      </c>
      <c r="C699" t="inlineStr">
        <is>
          <t>STR-12</t>
        </is>
      </c>
      <c r="D699" t="inlineStr">
        <is>
          <t>SALE-020</t>
        </is>
      </c>
      <c r="E699" t="inlineStr">
        <is>
          <t>Sales CRM</t>
        </is>
      </c>
      <c r="F699" t="inlineStr">
        <is>
          <t>Revenue controls</t>
        </is>
      </c>
      <c r="G699">
        <f>IFERROR(INDEX('_ENGINE_Risk'!$BS$500:$BS$923,MATCH($D699,'_ENGINE_Risk'!$E$500:$E$923,0)),0)</f>
        <v/>
      </c>
      <c r="H699" t="n">
        <v>1</v>
      </c>
      <c r="I699">
        <f>IFERROR(MAX(0,5-INDEX('_ENGINE_Risk'!$H$500:$H$923,MATCH($D699,'_ENGINE_Risk'!$E$500:$E$923,0))),0)</f>
        <v/>
      </c>
      <c r="J699" t="inlineStr">
        <is>
          <t>P1 many-to-many coverage row</t>
        </is>
      </c>
      <c r="K699">
        <f>IFERROR(INDEX('_ENGINE_Risk'!$BI$500:$BI$923,MATCH($D699,'_ENGINE_Risk'!$E$500:$E$923,0))*N($H699),0)</f>
        <v/>
      </c>
      <c r="L699">
        <f>IFERROR(MIN(5,$K699/MAX(1,'_CONFIG_Model_Settings'!$B$105)),0)</f>
        <v/>
      </c>
    </row>
    <row r="700">
      <c r="A700" t="inlineStr">
        <is>
          <t>INI-044</t>
        </is>
      </c>
      <c r="B700" t="inlineStr">
        <is>
          <t>Strengthen pricing, discounting and revenue-control governance</t>
        </is>
      </c>
      <c r="C700" t="inlineStr">
        <is>
          <t>STR-12</t>
        </is>
      </c>
      <c r="D700" t="inlineStr">
        <is>
          <t>SALE-021</t>
        </is>
      </c>
      <c r="E700" t="inlineStr">
        <is>
          <t>Sales CRM</t>
        </is>
      </c>
      <c r="F700" t="inlineStr">
        <is>
          <t>Revenue controls</t>
        </is>
      </c>
      <c r="G700">
        <f>IFERROR(INDEX('_ENGINE_Risk'!$BS$500:$BS$923,MATCH($D700,'_ENGINE_Risk'!$E$500:$E$923,0)),0)</f>
        <v/>
      </c>
      <c r="H700" t="n">
        <v>1</v>
      </c>
      <c r="I700">
        <f>IFERROR(MAX(0,5-INDEX('_ENGINE_Risk'!$H$500:$H$923,MATCH($D700,'_ENGINE_Risk'!$E$500:$E$923,0))),0)</f>
        <v/>
      </c>
      <c r="J700" t="inlineStr">
        <is>
          <t>P1 many-to-many coverage row</t>
        </is>
      </c>
      <c r="K700">
        <f>IFERROR(INDEX('_ENGINE_Risk'!$BI$500:$BI$923,MATCH($D700,'_ENGINE_Risk'!$E$500:$E$923,0))*N($H700),0)</f>
        <v/>
      </c>
      <c r="L700">
        <f>IFERROR(MIN(5,$K700/MAX(1,'_CONFIG_Model_Settings'!$B$105)),0)</f>
        <v/>
      </c>
    </row>
    <row r="701">
      <c r="A701" t="inlineStr">
        <is>
          <t>INI-045</t>
        </is>
      </c>
      <c r="B701" t="inlineStr">
        <is>
          <t>Build resilient brand presence and digital demand generation</t>
        </is>
      </c>
      <c r="C701" t="inlineStr">
        <is>
          <t>STR-12</t>
        </is>
      </c>
      <c r="D701" t="inlineStr">
        <is>
          <t>MARK-001</t>
        </is>
      </c>
      <c r="E701" t="inlineStr">
        <is>
          <t>Marketing Comms</t>
        </is>
      </c>
      <c r="F701" t="inlineStr">
        <is>
          <t>Brand and market presence</t>
        </is>
      </c>
      <c r="G701">
        <f>IFERROR(INDEX('_ENGINE_Risk'!$BS$500:$BS$923,MATCH($D701,'_ENGINE_Risk'!$E$500:$E$923,0)),0)</f>
        <v/>
      </c>
      <c r="H701" t="n">
        <v>1</v>
      </c>
      <c r="I701">
        <f>IFERROR(MAX(0,5-INDEX('_ENGINE_Risk'!$H$500:$H$923,MATCH($D701,'_ENGINE_Risk'!$E$500:$E$923,0))),0)</f>
        <v/>
      </c>
      <c r="J701" t="inlineStr">
        <is>
          <t>P1 many-to-many coverage row</t>
        </is>
      </c>
      <c r="K701">
        <f>IFERROR(INDEX('_ENGINE_Risk'!$BI$500:$BI$923,MATCH($D701,'_ENGINE_Risk'!$E$500:$E$923,0))*N($H701),0)</f>
        <v/>
      </c>
      <c r="L701">
        <f>IFERROR(MIN(5,$K701/MAX(1,'_CONFIG_Model_Settings'!$B$105)),0)</f>
        <v/>
      </c>
    </row>
    <row r="702">
      <c r="A702" t="inlineStr">
        <is>
          <t>INI-045</t>
        </is>
      </c>
      <c r="B702" t="inlineStr">
        <is>
          <t>Build resilient brand presence and digital demand generation</t>
        </is>
      </c>
      <c r="C702" t="inlineStr">
        <is>
          <t>STR-12</t>
        </is>
      </c>
      <c r="D702" t="inlineStr">
        <is>
          <t>MARK-002</t>
        </is>
      </c>
      <c r="E702" t="inlineStr">
        <is>
          <t>Marketing Comms</t>
        </is>
      </c>
      <c r="F702" t="inlineStr">
        <is>
          <t>Brand and market presence</t>
        </is>
      </c>
      <c r="G702">
        <f>IFERROR(INDEX('_ENGINE_Risk'!$BS$500:$BS$923,MATCH($D702,'_ENGINE_Risk'!$E$500:$E$923,0)),0)</f>
        <v/>
      </c>
      <c r="H702" t="n">
        <v>1</v>
      </c>
      <c r="I702">
        <f>IFERROR(MAX(0,5-INDEX('_ENGINE_Risk'!$H$500:$H$923,MATCH($D702,'_ENGINE_Risk'!$E$500:$E$923,0))),0)</f>
        <v/>
      </c>
      <c r="J702" t="inlineStr">
        <is>
          <t>P1 many-to-many coverage row</t>
        </is>
      </c>
      <c r="K702">
        <f>IFERROR(INDEX('_ENGINE_Risk'!$BI$500:$BI$923,MATCH($D702,'_ENGINE_Risk'!$E$500:$E$923,0))*N($H702),0)</f>
        <v/>
      </c>
      <c r="L702">
        <f>IFERROR(MIN(5,$K702/MAX(1,'_CONFIG_Model_Settings'!$B$105)),0)</f>
        <v/>
      </c>
    </row>
    <row r="703">
      <c r="A703" t="inlineStr">
        <is>
          <t>INI-045</t>
        </is>
      </c>
      <c r="B703" t="inlineStr">
        <is>
          <t>Build resilient brand presence and digital demand generation</t>
        </is>
      </c>
      <c r="C703" t="inlineStr">
        <is>
          <t>STR-12</t>
        </is>
      </c>
      <c r="D703" t="inlineStr">
        <is>
          <t>MARK-003</t>
        </is>
      </c>
      <c r="E703" t="inlineStr">
        <is>
          <t>Marketing Comms</t>
        </is>
      </c>
      <c r="F703" t="inlineStr">
        <is>
          <t>Brand and market presence</t>
        </is>
      </c>
      <c r="G703">
        <f>IFERROR(INDEX('_ENGINE_Risk'!$BS$500:$BS$923,MATCH($D703,'_ENGINE_Risk'!$E$500:$E$923,0)),0)</f>
        <v/>
      </c>
      <c r="H703" t="n">
        <v>1</v>
      </c>
      <c r="I703">
        <f>IFERROR(MAX(0,5-INDEX('_ENGINE_Risk'!$H$500:$H$923,MATCH($D703,'_ENGINE_Risk'!$E$500:$E$923,0))),0)</f>
        <v/>
      </c>
      <c r="J703" t="inlineStr">
        <is>
          <t>P1 many-to-many coverage row</t>
        </is>
      </c>
      <c r="K703">
        <f>IFERROR(INDEX('_ENGINE_Risk'!$BI$500:$BI$923,MATCH($D703,'_ENGINE_Risk'!$E$500:$E$923,0))*N($H703),0)</f>
        <v/>
      </c>
      <c r="L703">
        <f>IFERROR(MIN(5,$K703/MAX(1,'_CONFIG_Model_Settings'!$B$105)),0)</f>
        <v/>
      </c>
    </row>
    <row r="704">
      <c r="A704" t="inlineStr">
        <is>
          <t>INI-045</t>
        </is>
      </c>
      <c r="B704" t="inlineStr">
        <is>
          <t>Build resilient brand presence and digital demand generation</t>
        </is>
      </c>
      <c r="C704" t="inlineStr">
        <is>
          <t>STR-12</t>
        </is>
      </c>
      <c r="D704" t="inlineStr">
        <is>
          <t>MARK-004</t>
        </is>
      </c>
      <c r="E704" t="inlineStr">
        <is>
          <t>Marketing Comms</t>
        </is>
      </c>
      <c r="F704" t="inlineStr">
        <is>
          <t>Brand and market presence</t>
        </is>
      </c>
      <c r="G704">
        <f>IFERROR(INDEX('_ENGINE_Risk'!$BS$500:$BS$923,MATCH($D704,'_ENGINE_Risk'!$E$500:$E$923,0)),0)</f>
        <v/>
      </c>
      <c r="H704" t="n">
        <v>1</v>
      </c>
      <c r="I704">
        <f>IFERROR(MAX(0,5-INDEX('_ENGINE_Risk'!$H$500:$H$923,MATCH($D704,'_ENGINE_Risk'!$E$500:$E$923,0))),0)</f>
        <v/>
      </c>
      <c r="J704" t="inlineStr">
        <is>
          <t>P1 many-to-many coverage row</t>
        </is>
      </c>
      <c r="K704">
        <f>IFERROR(INDEX('_ENGINE_Risk'!$BI$500:$BI$923,MATCH($D704,'_ENGINE_Risk'!$E$500:$E$923,0))*N($H704),0)</f>
        <v/>
      </c>
      <c r="L704">
        <f>IFERROR(MIN(5,$K704/MAX(1,'_CONFIG_Model_Settings'!$B$105)),0)</f>
        <v/>
      </c>
    </row>
    <row r="705">
      <c r="A705" t="inlineStr">
        <is>
          <t>INI-045</t>
        </is>
      </c>
      <c r="B705" t="inlineStr">
        <is>
          <t>Build resilient brand presence and digital demand generation</t>
        </is>
      </c>
      <c r="C705" t="inlineStr">
        <is>
          <t>STR-12</t>
        </is>
      </c>
      <c r="D705" t="inlineStr">
        <is>
          <t>MARK-005</t>
        </is>
      </c>
      <c r="E705" t="inlineStr">
        <is>
          <t>Marketing Comms</t>
        </is>
      </c>
      <c r="F705" t="inlineStr">
        <is>
          <t>Brand and market presence</t>
        </is>
      </c>
      <c r="G705">
        <f>IFERROR(INDEX('_ENGINE_Risk'!$BS$500:$BS$923,MATCH($D705,'_ENGINE_Risk'!$E$500:$E$923,0)),0)</f>
        <v/>
      </c>
      <c r="H705" t="n">
        <v>1</v>
      </c>
      <c r="I705">
        <f>IFERROR(MAX(0,5-INDEX('_ENGINE_Risk'!$H$500:$H$923,MATCH($D705,'_ENGINE_Risk'!$E$500:$E$923,0))),0)</f>
        <v/>
      </c>
      <c r="J705" t="inlineStr">
        <is>
          <t>P1 many-to-many coverage row</t>
        </is>
      </c>
      <c r="K705">
        <f>IFERROR(INDEX('_ENGINE_Risk'!$BI$500:$BI$923,MATCH($D705,'_ENGINE_Risk'!$E$500:$E$923,0))*N($H705),0)</f>
        <v/>
      </c>
      <c r="L705">
        <f>IFERROR(MIN(5,$K705/MAX(1,'_CONFIG_Model_Settings'!$B$105)),0)</f>
        <v/>
      </c>
    </row>
    <row r="706">
      <c r="A706" t="inlineStr">
        <is>
          <t>INI-046</t>
        </is>
      </c>
      <c r="B706" t="inlineStr">
        <is>
          <t>Prepare crisis communication playbooks and customer notification flows</t>
        </is>
      </c>
      <c r="C706" t="inlineStr">
        <is>
          <t>STR-02</t>
        </is>
      </c>
      <c r="D706" t="inlineStr">
        <is>
          <t>MARK-006</t>
        </is>
      </c>
      <c r="E706" t="inlineStr">
        <is>
          <t>Marketing Comms</t>
        </is>
      </c>
      <c r="F706" t="inlineStr">
        <is>
          <t>Crisis communication</t>
        </is>
      </c>
      <c r="G706">
        <f>IFERROR(INDEX('_ENGINE_Risk'!$BS$500:$BS$923,MATCH($D706,'_ENGINE_Risk'!$E$500:$E$923,0)),0)</f>
        <v/>
      </c>
      <c r="H706" t="n">
        <v>1</v>
      </c>
      <c r="I706">
        <f>IFERROR(MAX(0,5-INDEX('_ENGINE_Risk'!$H$500:$H$923,MATCH($D706,'_ENGINE_Risk'!$E$500:$E$923,0))),0)</f>
        <v/>
      </c>
      <c r="J706" t="inlineStr">
        <is>
          <t>P1 many-to-many coverage row</t>
        </is>
      </c>
      <c r="K706">
        <f>IFERROR(INDEX('_ENGINE_Risk'!$BI$500:$BI$923,MATCH($D706,'_ENGINE_Risk'!$E$500:$E$923,0))*N($H706),0)</f>
        <v/>
      </c>
      <c r="L706">
        <f>IFERROR(MIN(5,$K706/MAX(1,'_CONFIG_Model_Settings'!$B$105)),0)</f>
        <v/>
      </c>
    </row>
    <row r="707">
      <c r="A707" t="inlineStr">
        <is>
          <t>INI-046</t>
        </is>
      </c>
      <c r="B707" t="inlineStr">
        <is>
          <t>Prepare crisis communication playbooks and customer notification flows</t>
        </is>
      </c>
      <c r="C707" t="inlineStr">
        <is>
          <t>STR-02</t>
        </is>
      </c>
      <c r="D707" t="inlineStr">
        <is>
          <t>MARK-007</t>
        </is>
      </c>
      <c r="E707" t="inlineStr">
        <is>
          <t>Marketing Comms</t>
        </is>
      </c>
      <c r="F707" t="inlineStr">
        <is>
          <t>Crisis communication</t>
        </is>
      </c>
      <c r="G707">
        <f>IFERROR(INDEX('_ENGINE_Risk'!$BS$500:$BS$923,MATCH($D707,'_ENGINE_Risk'!$E$500:$E$923,0)),0)</f>
        <v/>
      </c>
      <c r="H707" t="n">
        <v>1</v>
      </c>
      <c r="I707">
        <f>IFERROR(MAX(0,5-INDEX('_ENGINE_Risk'!$H$500:$H$923,MATCH($D707,'_ENGINE_Risk'!$E$500:$E$923,0))),0)</f>
        <v/>
      </c>
      <c r="J707" t="inlineStr">
        <is>
          <t>P1 many-to-many coverage row</t>
        </is>
      </c>
      <c r="K707">
        <f>IFERROR(INDEX('_ENGINE_Risk'!$BI$500:$BI$923,MATCH($D707,'_ENGINE_Risk'!$E$500:$E$923,0))*N($H707),0)</f>
        <v/>
      </c>
      <c r="L707">
        <f>IFERROR(MIN(5,$K707/MAX(1,'_CONFIG_Model_Settings'!$B$105)),0)</f>
        <v/>
      </c>
    </row>
    <row r="708">
      <c r="A708" t="inlineStr">
        <is>
          <t>INI-046</t>
        </is>
      </c>
      <c r="B708" t="inlineStr">
        <is>
          <t>Prepare crisis communication playbooks and customer notification flows</t>
        </is>
      </c>
      <c r="C708" t="inlineStr">
        <is>
          <t>STR-02</t>
        </is>
      </c>
      <c r="D708" t="inlineStr">
        <is>
          <t>MARK-008</t>
        </is>
      </c>
      <c r="E708" t="inlineStr">
        <is>
          <t>Marketing Comms</t>
        </is>
      </c>
      <c r="F708" t="inlineStr">
        <is>
          <t>Crisis communication</t>
        </is>
      </c>
      <c r="G708">
        <f>IFERROR(INDEX('_ENGINE_Risk'!$BS$500:$BS$923,MATCH($D708,'_ENGINE_Risk'!$E$500:$E$923,0)),0)</f>
        <v/>
      </c>
      <c r="H708" t="n">
        <v>1</v>
      </c>
      <c r="I708">
        <f>IFERROR(MAX(0,5-INDEX('_ENGINE_Risk'!$H$500:$H$923,MATCH($D708,'_ENGINE_Risk'!$E$500:$E$923,0))),0)</f>
        <v/>
      </c>
      <c r="J708" t="inlineStr">
        <is>
          <t>P1 many-to-many coverage row</t>
        </is>
      </c>
      <c r="K708">
        <f>IFERROR(INDEX('_ENGINE_Risk'!$BI$500:$BI$923,MATCH($D708,'_ENGINE_Risk'!$E$500:$E$923,0))*N($H708),0)</f>
        <v/>
      </c>
      <c r="L708">
        <f>IFERROR(MIN(5,$K708/MAX(1,'_CONFIG_Model_Settings'!$B$105)),0)</f>
        <v/>
      </c>
    </row>
    <row r="709">
      <c r="A709" t="inlineStr">
        <is>
          <t>INI-046</t>
        </is>
      </c>
      <c r="B709" t="inlineStr">
        <is>
          <t>Prepare crisis communication playbooks and customer notification flows</t>
        </is>
      </c>
      <c r="C709" t="inlineStr">
        <is>
          <t>STR-02</t>
        </is>
      </c>
      <c r="D709" t="inlineStr">
        <is>
          <t>MARK-009</t>
        </is>
      </c>
      <c r="E709" t="inlineStr">
        <is>
          <t>Marketing Comms</t>
        </is>
      </c>
      <c r="F709" t="inlineStr">
        <is>
          <t>Crisis communication</t>
        </is>
      </c>
      <c r="G709">
        <f>IFERROR(INDEX('_ENGINE_Risk'!$BS$500:$BS$923,MATCH($D709,'_ENGINE_Risk'!$E$500:$E$923,0)),0)</f>
        <v/>
      </c>
      <c r="H709" t="n">
        <v>1</v>
      </c>
      <c r="I709">
        <f>IFERROR(MAX(0,5-INDEX('_ENGINE_Risk'!$H$500:$H$923,MATCH($D709,'_ENGINE_Risk'!$E$500:$E$923,0))),0)</f>
        <v/>
      </c>
      <c r="J709" t="inlineStr">
        <is>
          <t>P1 many-to-many coverage row</t>
        </is>
      </c>
      <c r="K709">
        <f>IFERROR(INDEX('_ENGINE_Risk'!$BI$500:$BI$923,MATCH($D709,'_ENGINE_Risk'!$E$500:$E$923,0))*N($H709),0)</f>
        <v/>
      </c>
      <c r="L709">
        <f>IFERROR(MIN(5,$K709/MAX(1,'_CONFIG_Model_Settings'!$B$105)),0)</f>
        <v/>
      </c>
    </row>
    <row r="710">
      <c r="A710" t="inlineStr">
        <is>
          <t>INI-046</t>
        </is>
      </c>
      <c r="B710" t="inlineStr">
        <is>
          <t>Prepare crisis communication playbooks and customer notification flows</t>
        </is>
      </c>
      <c r="C710" t="inlineStr">
        <is>
          <t>STR-02</t>
        </is>
      </c>
      <c r="D710" t="inlineStr">
        <is>
          <t>MARK-010</t>
        </is>
      </c>
      <c r="E710" t="inlineStr">
        <is>
          <t>Marketing Comms</t>
        </is>
      </c>
      <c r="F710" t="inlineStr">
        <is>
          <t>Crisis communication</t>
        </is>
      </c>
      <c r="G710">
        <f>IFERROR(INDEX('_ENGINE_Risk'!$BS$500:$BS$923,MATCH($D710,'_ENGINE_Risk'!$E$500:$E$923,0)),0)</f>
        <v/>
      </c>
      <c r="H710" t="n">
        <v>1</v>
      </c>
      <c r="I710">
        <f>IFERROR(MAX(0,5-INDEX('_ENGINE_Risk'!$H$500:$H$923,MATCH($D710,'_ENGINE_Risk'!$E$500:$E$923,0))),0)</f>
        <v/>
      </c>
      <c r="J710" t="inlineStr">
        <is>
          <t>P1 many-to-many coverage row</t>
        </is>
      </c>
      <c r="K710">
        <f>IFERROR(INDEX('_ENGINE_Risk'!$BI$500:$BI$923,MATCH($D710,'_ENGINE_Risk'!$E$500:$E$923,0))*N($H710),0)</f>
        <v/>
      </c>
      <c r="L710">
        <f>IFERROR(MIN(5,$K710/MAX(1,'_CONFIG_Model_Settings'!$B$105)),0)</f>
        <v/>
      </c>
    </row>
    <row r="711">
      <c r="A711" t="inlineStr">
        <is>
          <t>INI-046</t>
        </is>
      </c>
      <c r="B711" t="inlineStr">
        <is>
          <t>Prepare crisis communication playbooks and customer notification flows</t>
        </is>
      </c>
      <c r="C711" t="inlineStr">
        <is>
          <t>STR-02</t>
        </is>
      </c>
      <c r="D711" t="inlineStr">
        <is>
          <t>MARK-011</t>
        </is>
      </c>
      <c r="E711" t="inlineStr">
        <is>
          <t>Marketing Comms</t>
        </is>
      </c>
      <c r="F711" t="inlineStr">
        <is>
          <t>Crisis communication</t>
        </is>
      </c>
      <c r="G711">
        <f>IFERROR(INDEX('_ENGINE_Risk'!$BS$500:$BS$923,MATCH($D711,'_ENGINE_Risk'!$E$500:$E$923,0)),0)</f>
        <v/>
      </c>
      <c r="H711" t="n">
        <v>1</v>
      </c>
      <c r="I711">
        <f>IFERROR(MAX(0,5-INDEX('_ENGINE_Risk'!$H$500:$H$923,MATCH($D711,'_ENGINE_Risk'!$E$500:$E$923,0))),0)</f>
        <v/>
      </c>
      <c r="J711" t="inlineStr">
        <is>
          <t>P1 many-to-many coverage row</t>
        </is>
      </c>
      <c r="K711">
        <f>IFERROR(INDEX('_ENGINE_Risk'!$BI$500:$BI$923,MATCH($D711,'_ENGINE_Risk'!$E$500:$E$923,0))*N($H711),0)</f>
        <v/>
      </c>
      <c r="L711">
        <f>IFERROR(MIN(5,$K711/MAX(1,'_CONFIG_Model_Settings'!$B$105)),0)</f>
        <v/>
      </c>
    </row>
    <row r="712">
      <c r="A712" t="inlineStr">
        <is>
          <t>INI-047</t>
        </is>
      </c>
      <c r="B712" t="inlineStr">
        <is>
          <t>Standardize marketing operations, content and analytics cadence</t>
        </is>
      </c>
      <c r="C712" t="inlineStr">
        <is>
          <t>STR-12</t>
        </is>
      </c>
      <c r="D712" t="inlineStr">
        <is>
          <t>MARK-012</t>
        </is>
      </c>
      <c r="E712" t="inlineStr">
        <is>
          <t>Marketing Comms</t>
        </is>
      </c>
      <c r="F712" t="inlineStr">
        <is>
          <t>Marketing operations</t>
        </is>
      </c>
      <c r="G712">
        <f>IFERROR(INDEX('_ENGINE_Risk'!$BS$500:$BS$923,MATCH($D712,'_ENGINE_Risk'!$E$500:$E$923,0)),0)</f>
        <v/>
      </c>
      <c r="H712" t="n">
        <v>1</v>
      </c>
      <c r="I712">
        <f>IFERROR(MAX(0,5-INDEX('_ENGINE_Risk'!$H$500:$H$923,MATCH($D712,'_ENGINE_Risk'!$E$500:$E$923,0))),0)</f>
        <v/>
      </c>
      <c r="J712" t="inlineStr">
        <is>
          <t>P1 many-to-many coverage row</t>
        </is>
      </c>
      <c r="K712">
        <f>IFERROR(INDEX('_ENGINE_Risk'!$BI$500:$BI$923,MATCH($D712,'_ENGINE_Risk'!$E$500:$E$923,0))*N($H712),0)</f>
        <v/>
      </c>
      <c r="L712">
        <f>IFERROR(MIN(5,$K712/MAX(1,'_CONFIG_Model_Settings'!$B$105)),0)</f>
        <v/>
      </c>
    </row>
    <row r="713">
      <c r="A713" t="inlineStr">
        <is>
          <t>INI-047</t>
        </is>
      </c>
      <c r="B713" t="inlineStr">
        <is>
          <t>Standardize marketing operations, content and analytics cadence</t>
        </is>
      </c>
      <c r="C713" t="inlineStr">
        <is>
          <t>STR-12</t>
        </is>
      </c>
      <c r="D713" t="inlineStr">
        <is>
          <t>MARK-013</t>
        </is>
      </c>
      <c r="E713" t="inlineStr">
        <is>
          <t>Marketing Comms</t>
        </is>
      </c>
      <c r="F713" t="inlineStr">
        <is>
          <t>Marketing operations</t>
        </is>
      </c>
      <c r="G713">
        <f>IFERROR(INDEX('_ENGINE_Risk'!$BS$500:$BS$923,MATCH($D713,'_ENGINE_Risk'!$E$500:$E$923,0)),0)</f>
        <v/>
      </c>
      <c r="H713" t="n">
        <v>1</v>
      </c>
      <c r="I713">
        <f>IFERROR(MAX(0,5-INDEX('_ENGINE_Risk'!$H$500:$H$923,MATCH($D713,'_ENGINE_Risk'!$E$500:$E$923,0))),0)</f>
        <v/>
      </c>
      <c r="J713" t="inlineStr">
        <is>
          <t>P1 many-to-many coverage row</t>
        </is>
      </c>
      <c r="K713">
        <f>IFERROR(INDEX('_ENGINE_Risk'!$BI$500:$BI$923,MATCH($D713,'_ENGINE_Risk'!$E$500:$E$923,0))*N($H713),0)</f>
        <v/>
      </c>
      <c r="L713">
        <f>IFERROR(MIN(5,$K713/MAX(1,'_CONFIG_Model_Settings'!$B$105)),0)</f>
        <v/>
      </c>
    </row>
    <row r="714">
      <c r="A714" t="inlineStr">
        <is>
          <t>INI-047</t>
        </is>
      </c>
      <c r="B714" t="inlineStr">
        <is>
          <t>Standardize marketing operations, content and analytics cadence</t>
        </is>
      </c>
      <c r="C714" t="inlineStr">
        <is>
          <t>STR-12</t>
        </is>
      </c>
      <c r="D714" t="inlineStr">
        <is>
          <t>MARK-014</t>
        </is>
      </c>
      <c r="E714" t="inlineStr">
        <is>
          <t>Marketing Comms</t>
        </is>
      </c>
      <c r="F714" t="inlineStr">
        <is>
          <t>Marketing operations</t>
        </is>
      </c>
      <c r="G714">
        <f>IFERROR(INDEX('_ENGINE_Risk'!$BS$500:$BS$923,MATCH($D714,'_ENGINE_Risk'!$E$500:$E$923,0)),0)</f>
        <v/>
      </c>
      <c r="H714" t="n">
        <v>1</v>
      </c>
      <c r="I714">
        <f>IFERROR(MAX(0,5-INDEX('_ENGINE_Risk'!$H$500:$H$923,MATCH($D714,'_ENGINE_Risk'!$E$500:$E$923,0))),0)</f>
        <v/>
      </c>
      <c r="J714" t="inlineStr">
        <is>
          <t>P1 many-to-many coverage row</t>
        </is>
      </c>
      <c r="K714">
        <f>IFERROR(INDEX('_ENGINE_Risk'!$BI$500:$BI$923,MATCH($D714,'_ENGINE_Risk'!$E$500:$E$923,0))*N($H714),0)</f>
        <v/>
      </c>
      <c r="L714">
        <f>IFERROR(MIN(5,$K714/MAX(1,'_CONFIG_Model_Settings'!$B$105)),0)</f>
        <v/>
      </c>
    </row>
    <row r="715">
      <c r="A715" t="inlineStr">
        <is>
          <t>INI-047</t>
        </is>
      </c>
      <c r="B715" t="inlineStr">
        <is>
          <t>Standardize marketing operations, content and analytics cadence</t>
        </is>
      </c>
      <c r="C715" t="inlineStr">
        <is>
          <t>STR-12</t>
        </is>
      </c>
      <c r="D715" t="inlineStr">
        <is>
          <t>MARK-015</t>
        </is>
      </c>
      <c r="E715" t="inlineStr">
        <is>
          <t>Marketing Comms</t>
        </is>
      </c>
      <c r="F715" t="inlineStr">
        <is>
          <t>Marketing operations</t>
        </is>
      </c>
      <c r="G715">
        <f>IFERROR(INDEX('_ENGINE_Risk'!$BS$500:$BS$923,MATCH($D715,'_ENGINE_Risk'!$E$500:$E$923,0)),0)</f>
        <v/>
      </c>
      <c r="H715" t="n">
        <v>1</v>
      </c>
      <c r="I715">
        <f>IFERROR(MAX(0,5-INDEX('_ENGINE_Risk'!$H$500:$H$923,MATCH($D715,'_ENGINE_Risk'!$E$500:$E$923,0))),0)</f>
        <v/>
      </c>
      <c r="J715" t="inlineStr">
        <is>
          <t>P1 many-to-many coverage row</t>
        </is>
      </c>
      <c r="K715">
        <f>IFERROR(INDEX('_ENGINE_Risk'!$BI$500:$BI$923,MATCH($D715,'_ENGINE_Risk'!$E$500:$E$923,0))*N($H715),0)</f>
        <v/>
      </c>
      <c r="L715">
        <f>IFERROR(MIN(5,$K715/MAX(1,'_CONFIG_Model_Settings'!$B$105)),0)</f>
        <v/>
      </c>
    </row>
    <row r="716">
      <c r="A716" t="inlineStr">
        <is>
          <t>INI-047</t>
        </is>
      </c>
      <c r="B716" t="inlineStr">
        <is>
          <t>Standardize marketing operations, content and analytics cadence</t>
        </is>
      </c>
      <c r="C716" t="inlineStr">
        <is>
          <t>STR-12</t>
        </is>
      </c>
      <c r="D716" t="inlineStr">
        <is>
          <t>MARK-016</t>
        </is>
      </c>
      <c r="E716" t="inlineStr">
        <is>
          <t>Marketing Comms</t>
        </is>
      </c>
      <c r="F716" t="inlineStr">
        <is>
          <t>Marketing operations</t>
        </is>
      </c>
      <c r="G716">
        <f>IFERROR(INDEX('_ENGINE_Risk'!$BS$500:$BS$923,MATCH($D716,'_ENGINE_Risk'!$E$500:$E$923,0)),0)</f>
        <v/>
      </c>
      <c r="H716" t="n">
        <v>1</v>
      </c>
      <c r="I716">
        <f>IFERROR(MAX(0,5-INDEX('_ENGINE_Risk'!$H$500:$H$923,MATCH($D716,'_ENGINE_Risk'!$E$500:$E$923,0))),0)</f>
        <v/>
      </c>
      <c r="J716" t="inlineStr">
        <is>
          <t>P1 many-to-many coverage row</t>
        </is>
      </c>
      <c r="K716">
        <f>IFERROR(INDEX('_ENGINE_Risk'!$BI$500:$BI$923,MATCH($D716,'_ENGINE_Risk'!$E$500:$E$923,0))*N($H716),0)</f>
        <v/>
      </c>
      <c r="L716">
        <f>IFERROR(MIN(5,$K716/MAX(1,'_CONFIG_Model_Settings'!$B$105)),0)</f>
        <v/>
      </c>
    </row>
    <row r="717">
      <c r="A717" t="inlineStr">
        <is>
          <t>INI-047</t>
        </is>
      </c>
      <c r="B717" t="inlineStr">
        <is>
          <t>Standardize marketing operations, content and analytics cadence</t>
        </is>
      </c>
      <c r="C717" t="inlineStr">
        <is>
          <t>STR-12</t>
        </is>
      </c>
      <c r="D717" t="inlineStr">
        <is>
          <t>MARK-017</t>
        </is>
      </c>
      <c r="E717" t="inlineStr">
        <is>
          <t>Marketing Comms</t>
        </is>
      </c>
      <c r="F717" t="inlineStr">
        <is>
          <t>Marketing operations</t>
        </is>
      </c>
      <c r="G717">
        <f>IFERROR(INDEX('_ENGINE_Risk'!$BS$500:$BS$923,MATCH($D717,'_ENGINE_Risk'!$E$500:$E$923,0)),0)</f>
        <v/>
      </c>
      <c r="H717" t="n">
        <v>1</v>
      </c>
      <c r="I717">
        <f>IFERROR(MAX(0,5-INDEX('_ENGINE_Risk'!$H$500:$H$923,MATCH($D717,'_ENGINE_Risk'!$E$500:$E$923,0))),0)</f>
        <v/>
      </c>
      <c r="J717" t="inlineStr">
        <is>
          <t>P1 many-to-many coverage row</t>
        </is>
      </c>
      <c r="K717">
        <f>IFERROR(INDEX('_ENGINE_Risk'!$BI$500:$BI$923,MATCH($D717,'_ENGINE_Risk'!$E$500:$E$923,0))*N($H717),0)</f>
        <v/>
      </c>
      <c r="L717">
        <f>IFERROR(MIN(5,$K717/MAX(1,'_CONFIG_Model_Settings'!$B$105)),0)</f>
        <v/>
      </c>
    </row>
    <row r="718">
      <c r="A718" t="inlineStr">
        <is>
          <t>INI-048</t>
        </is>
      </c>
      <c r="B718" t="inlineStr">
        <is>
          <t>Create IT asset, application and architecture criticality map</t>
        </is>
      </c>
      <c r="C718" t="inlineStr">
        <is>
          <t>STR-03</t>
        </is>
      </c>
      <c r="D718" t="inlineStr">
        <is>
          <t>ITCL-001</t>
        </is>
      </c>
      <c r="E718" t="inlineStr">
        <is>
          <t>IT Cloud DR</t>
        </is>
      </c>
      <c r="F718" t="inlineStr">
        <is>
          <t>IT inventory and architecture</t>
        </is>
      </c>
      <c r="G718">
        <f>IFERROR(INDEX('_ENGINE_Risk'!$BS$500:$BS$923,MATCH($D718,'_ENGINE_Risk'!$E$500:$E$923,0)),0)</f>
        <v/>
      </c>
      <c r="H718" t="n">
        <v>1</v>
      </c>
      <c r="I718">
        <f>IFERROR(MAX(0,5-INDEX('_ENGINE_Risk'!$H$500:$H$923,MATCH($D718,'_ENGINE_Risk'!$E$500:$E$923,0))),0)</f>
        <v/>
      </c>
      <c r="J718" t="inlineStr">
        <is>
          <t>P1 many-to-many coverage row</t>
        </is>
      </c>
      <c r="K718">
        <f>IFERROR(INDEX('_ENGINE_Risk'!$BI$500:$BI$923,MATCH($D718,'_ENGINE_Risk'!$E$500:$E$923,0))*N($H718),0)</f>
        <v/>
      </c>
      <c r="L718">
        <f>IFERROR(MIN(5,$K718/MAX(1,'_CONFIG_Model_Settings'!$B$105)),0)</f>
        <v/>
      </c>
    </row>
    <row r="719">
      <c r="A719" t="inlineStr">
        <is>
          <t>INI-048</t>
        </is>
      </c>
      <c r="B719" t="inlineStr">
        <is>
          <t>Create IT asset, application and architecture criticality map</t>
        </is>
      </c>
      <c r="C719" t="inlineStr">
        <is>
          <t>STR-03</t>
        </is>
      </c>
      <c r="D719" t="inlineStr">
        <is>
          <t>ITCL-002</t>
        </is>
      </c>
      <c r="E719" t="inlineStr">
        <is>
          <t>IT Cloud DR</t>
        </is>
      </c>
      <c r="F719" t="inlineStr">
        <is>
          <t>IT inventory and architecture</t>
        </is>
      </c>
      <c r="G719">
        <f>IFERROR(INDEX('_ENGINE_Risk'!$BS$500:$BS$923,MATCH($D719,'_ENGINE_Risk'!$E$500:$E$923,0)),0)</f>
        <v/>
      </c>
      <c r="H719" t="n">
        <v>1</v>
      </c>
      <c r="I719">
        <f>IFERROR(MAX(0,5-INDEX('_ENGINE_Risk'!$H$500:$H$923,MATCH($D719,'_ENGINE_Risk'!$E$500:$E$923,0))),0)</f>
        <v/>
      </c>
      <c r="J719" t="inlineStr">
        <is>
          <t>P1 many-to-many coverage row</t>
        </is>
      </c>
      <c r="K719">
        <f>IFERROR(INDEX('_ENGINE_Risk'!$BI$500:$BI$923,MATCH($D719,'_ENGINE_Risk'!$E$500:$E$923,0))*N($H719),0)</f>
        <v/>
      </c>
      <c r="L719">
        <f>IFERROR(MIN(5,$K719/MAX(1,'_CONFIG_Model_Settings'!$B$105)),0)</f>
        <v/>
      </c>
    </row>
    <row r="720">
      <c r="A720" t="inlineStr">
        <is>
          <t>INI-048</t>
        </is>
      </c>
      <c r="B720" t="inlineStr">
        <is>
          <t>Create IT asset, application and architecture criticality map</t>
        </is>
      </c>
      <c r="C720" t="inlineStr">
        <is>
          <t>STR-03</t>
        </is>
      </c>
      <c r="D720" t="inlineStr">
        <is>
          <t>ITCL-003</t>
        </is>
      </c>
      <c r="E720" t="inlineStr">
        <is>
          <t>IT Cloud DR</t>
        </is>
      </c>
      <c r="F720" t="inlineStr">
        <is>
          <t>IT inventory and architecture</t>
        </is>
      </c>
      <c r="G720">
        <f>IFERROR(INDEX('_ENGINE_Risk'!$BS$500:$BS$923,MATCH($D720,'_ENGINE_Risk'!$E$500:$E$923,0)),0)</f>
        <v/>
      </c>
      <c r="H720" t="n">
        <v>1</v>
      </c>
      <c r="I720">
        <f>IFERROR(MAX(0,5-INDEX('_ENGINE_Risk'!$H$500:$H$923,MATCH($D720,'_ENGINE_Risk'!$E$500:$E$923,0))),0)</f>
        <v/>
      </c>
      <c r="J720" t="inlineStr">
        <is>
          <t>P1 many-to-many coverage row</t>
        </is>
      </c>
      <c r="K720">
        <f>IFERROR(INDEX('_ENGINE_Risk'!$BI$500:$BI$923,MATCH($D720,'_ENGINE_Risk'!$E$500:$E$923,0))*N($H720),0)</f>
        <v/>
      </c>
      <c r="L720">
        <f>IFERROR(MIN(5,$K720/MAX(1,'_CONFIG_Model_Settings'!$B$105)),0)</f>
        <v/>
      </c>
    </row>
    <row r="721">
      <c r="A721" t="inlineStr">
        <is>
          <t>INI-048</t>
        </is>
      </c>
      <c r="B721" t="inlineStr">
        <is>
          <t>Create IT asset, application and architecture criticality map</t>
        </is>
      </c>
      <c r="C721" t="inlineStr">
        <is>
          <t>STR-03</t>
        </is>
      </c>
      <c r="D721" t="inlineStr">
        <is>
          <t>ITCL-004</t>
        </is>
      </c>
      <c r="E721" t="inlineStr">
        <is>
          <t>IT Cloud DR</t>
        </is>
      </c>
      <c r="F721" t="inlineStr">
        <is>
          <t>IT inventory and architecture</t>
        </is>
      </c>
      <c r="G721">
        <f>IFERROR(INDEX('_ENGINE_Risk'!$BS$500:$BS$923,MATCH($D721,'_ENGINE_Risk'!$E$500:$E$923,0)),0)</f>
        <v/>
      </c>
      <c r="H721" t="n">
        <v>1</v>
      </c>
      <c r="I721">
        <f>IFERROR(MAX(0,5-INDEX('_ENGINE_Risk'!$H$500:$H$923,MATCH($D721,'_ENGINE_Risk'!$E$500:$E$923,0))),0)</f>
        <v/>
      </c>
      <c r="J721" t="inlineStr">
        <is>
          <t>P1 many-to-many coverage row</t>
        </is>
      </c>
      <c r="K721">
        <f>IFERROR(INDEX('_ENGINE_Risk'!$BI$500:$BI$923,MATCH($D721,'_ENGINE_Risk'!$E$500:$E$923,0))*N($H721),0)</f>
        <v/>
      </c>
      <c r="L721">
        <f>IFERROR(MIN(5,$K721/MAX(1,'_CONFIG_Model_Settings'!$B$105)),0)</f>
        <v/>
      </c>
    </row>
    <row r="722">
      <c r="A722" t="inlineStr">
        <is>
          <t>INI-048</t>
        </is>
      </c>
      <c r="B722" t="inlineStr">
        <is>
          <t>Create IT asset, application and architecture criticality map</t>
        </is>
      </c>
      <c r="C722" t="inlineStr">
        <is>
          <t>STR-03</t>
        </is>
      </c>
      <c r="D722" t="inlineStr">
        <is>
          <t>ITCL-005</t>
        </is>
      </c>
      <c r="E722" t="inlineStr">
        <is>
          <t>IT Cloud DR</t>
        </is>
      </c>
      <c r="F722" t="inlineStr">
        <is>
          <t>IT inventory and architecture</t>
        </is>
      </c>
      <c r="G722">
        <f>IFERROR(INDEX('_ENGINE_Risk'!$BS$500:$BS$923,MATCH($D722,'_ENGINE_Risk'!$E$500:$E$923,0)),0)</f>
        <v/>
      </c>
      <c r="H722" t="n">
        <v>1</v>
      </c>
      <c r="I722">
        <f>IFERROR(MAX(0,5-INDEX('_ENGINE_Risk'!$H$500:$H$923,MATCH($D722,'_ENGINE_Risk'!$E$500:$E$923,0))),0)</f>
        <v/>
      </c>
      <c r="J722" t="inlineStr">
        <is>
          <t>P1 many-to-many coverage row</t>
        </is>
      </c>
      <c r="K722">
        <f>IFERROR(INDEX('_ENGINE_Risk'!$BI$500:$BI$923,MATCH($D722,'_ENGINE_Risk'!$E$500:$E$923,0))*N($H722),0)</f>
        <v/>
      </c>
      <c r="L722">
        <f>IFERROR(MIN(5,$K722/MAX(1,'_CONFIG_Model_Settings'!$B$105)),0)</f>
        <v/>
      </c>
    </row>
    <row r="723">
      <c r="A723" t="inlineStr">
        <is>
          <t>INI-048</t>
        </is>
      </c>
      <c r="B723" t="inlineStr">
        <is>
          <t>Create IT asset, application and architecture criticality map</t>
        </is>
      </c>
      <c r="C723" t="inlineStr">
        <is>
          <t>STR-03</t>
        </is>
      </c>
      <c r="D723" t="inlineStr">
        <is>
          <t>ITCL-006</t>
        </is>
      </c>
      <c r="E723" t="inlineStr">
        <is>
          <t>IT Cloud DR</t>
        </is>
      </c>
      <c r="F723" t="inlineStr">
        <is>
          <t>IT inventory and architecture</t>
        </is>
      </c>
      <c r="G723">
        <f>IFERROR(INDEX('_ENGINE_Risk'!$BS$500:$BS$923,MATCH($D723,'_ENGINE_Risk'!$E$500:$E$923,0)),0)</f>
        <v/>
      </c>
      <c r="H723" t="n">
        <v>1</v>
      </c>
      <c r="I723">
        <f>IFERROR(MAX(0,5-INDEX('_ENGINE_Risk'!$H$500:$H$923,MATCH($D723,'_ENGINE_Risk'!$E$500:$E$923,0))),0)</f>
        <v/>
      </c>
      <c r="J723" t="inlineStr">
        <is>
          <t>P1 many-to-many coverage row</t>
        </is>
      </c>
      <c r="K723">
        <f>IFERROR(INDEX('_ENGINE_Risk'!$BI$500:$BI$923,MATCH($D723,'_ENGINE_Risk'!$E$500:$E$923,0))*N($H723),0)</f>
        <v/>
      </c>
      <c r="L723">
        <f>IFERROR(MIN(5,$K723/MAX(1,'_CONFIG_Model_Settings'!$B$105)),0)</f>
        <v/>
      </c>
    </row>
    <row r="724">
      <c r="A724" t="inlineStr">
        <is>
          <t>INI-049</t>
        </is>
      </c>
      <c r="B724" t="inlineStr">
        <is>
          <t>Optimize cloud usage, landing zones and infrastructure resilience</t>
        </is>
      </c>
      <c r="C724" t="inlineStr">
        <is>
          <t>STR-03</t>
        </is>
      </c>
      <c r="D724" t="inlineStr">
        <is>
          <t>ITCL-007</t>
        </is>
      </c>
      <c r="E724" t="inlineStr">
        <is>
          <t>IT Cloud DR</t>
        </is>
      </c>
      <c r="F724" t="inlineStr">
        <is>
          <t>Cloud usage</t>
        </is>
      </c>
      <c r="G724">
        <f>IFERROR(INDEX('_ENGINE_Risk'!$BS$500:$BS$923,MATCH($D724,'_ENGINE_Risk'!$E$500:$E$923,0)),0)</f>
        <v/>
      </c>
      <c r="H724" t="n">
        <v>1</v>
      </c>
      <c r="I724">
        <f>IFERROR(MAX(0,5-INDEX('_ENGINE_Risk'!$H$500:$H$923,MATCH($D724,'_ENGINE_Risk'!$E$500:$E$923,0))),0)</f>
        <v/>
      </c>
      <c r="J724" t="inlineStr">
        <is>
          <t>P1 many-to-many coverage row</t>
        </is>
      </c>
      <c r="K724">
        <f>IFERROR(INDEX('_ENGINE_Risk'!$BI$500:$BI$923,MATCH($D724,'_ENGINE_Risk'!$E$500:$E$923,0))*N($H724),0)</f>
        <v/>
      </c>
      <c r="L724">
        <f>IFERROR(MIN(5,$K724/MAX(1,'_CONFIG_Model_Settings'!$B$105)),0)</f>
        <v/>
      </c>
    </row>
    <row r="725">
      <c r="A725" t="inlineStr">
        <is>
          <t>INI-049</t>
        </is>
      </c>
      <c r="B725" t="inlineStr">
        <is>
          <t>Optimize cloud usage, landing zones and infrastructure resilience</t>
        </is>
      </c>
      <c r="C725" t="inlineStr">
        <is>
          <t>STR-03</t>
        </is>
      </c>
      <c r="D725" t="inlineStr">
        <is>
          <t>ITCL-008</t>
        </is>
      </c>
      <c r="E725" t="inlineStr">
        <is>
          <t>IT Cloud DR</t>
        </is>
      </c>
      <c r="F725" t="inlineStr">
        <is>
          <t>Cloud usage</t>
        </is>
      </c>
      <c r="G725">
        <f>IFERROR(INDEX('_ENGINE_Risk'!$BS$500:$BS$923,MATCH($D725,'_ENGINE_Risk'!$E$500:$E$923,0)),0)</f>
        <v/>
      </c>
      <c r="H725" t="n">
        <v>1</v>
      </c>
      <c r="I725">
        <f>IFERROR(MAX(0,5-INDEX('_ENGINE_Risk'!$H$500:$H$923,MATCH($D725,'_ENGINE_Risk'!$E$500:$E$923,0))),0)</f>
        <v/>
      </c>
      <c r="J725" t="inlineStr">
        <is>
          <t>P1 many-to-many coverage row</t>
        </is>
      </c>
      <c r="K725">
        <f>IFERROR(INDEX('_ENGINE_Risk'!$BI$500:$BI$923,MATCH($D725,'_ENGINE_Risk'!$E$500:$E$923,0))*N($H725),0)</f>
        <v/>
      </c>
      <c r="L725">
        <f>IFERROR(MIN(5,$K725/MAX(1,'_CONFIG_Model_Settings'!$B$105)),0)</f>
        <v/>
      </c>
    </row>
    <row r="726">
      <c r="A726" t="inlineStr">
        <is>
          <t>INI-049</t>
        </is>
      </c>
      <c r="B726" t="inlineStr">
        <is>
          <t>Optimize cloud usage, landing zones and infrastructure resilience</t>
        </is>
      </c>
      <c r="C726" t="inlineStr">
        <is>
          <t>STR-03</t>
        </is>
      </c>
      <c r="D726" t="inlineStr">
        <is>
          <t>ITCL-009</t>
        </is>
      </c>
      <c r="E726" t="inlineStr">
        <is>
          <t>IT Cloud DR</t>
        </is>
      </c>
      <c r="F726" t="inlineStr">
        <is>
          <t>Cloud usage</t>
        </is>
      </c>
      <c r="G726">
        <f>IFERROR(INDEX('_ENGINE_Risk'!$BS$500:$BS$923,MATCH($D726,'_ENGINE_Risk'!$E$500:$E$923,0)),0)</f>
        <v/>
      </c>
      <c r="H726" t="n">
        <v>1</v>
      </c>
      <c r="I726">
        <f>IFERROR(MAX(0,5-INDEX('_ENGINE_Risk'!$H$500:$H$923,MATCH($D726,'_ENGINE_Risk'!$E$500:$E$923,0))),0)</f>
        <v/>
      </c>
      <c r="J726" t="inlineStr">
        <is>
          <t>P1 many-to-many coverage row</t>
        </is>
      </c>
      <c r="K726">
        <f>IFERROR(INDEX('_ENGINE_Risk'!$BI$500:$BI$923,MATCH($D726,'_ENGINE_Risk'!$E$500:$E$923,0))*N($H726),0)</f>
        <v/>
      </c>
      <c r="L726">
        <f>IFERROR(MIN(5,$K726/MAX(1,'_CONFIG_Model_Settings'!$B$105)),0)</f>
        <v/>
      </c>
    </row>
    <row r="727">
      <c r="A727" t="inlineStr">
        <is>
          <t>INI-049</t>
        </is>
      </c>
      <c r="B727" t="inlineStr">
        <is>
          <t>Optimize cloud usage, landing zones and infrastructure resilience</t>
        </is>
      </c>
      <c r="C727" t="inlineStr">
        <is>
          <t>STR-03</t>
        </is>
      </c>
      <c r="D727" t="inlineStr">
        <is>
          <t>ITCL-010</t>
        </is>
      </c>
      <c r="E727" t="inlineStr">
        <is>
          <t>IT Cloud DR</t>
        </is>
      </c>
      <c r="F727" t="inlineStr">
        <is>
          <t>Cloud usage</t>
        </is>
      </c>
      <c r="G727">
        <f>IFERROR(INDEX('_ENGINE_Risk'!$BS$500:$BS$923,MATCH($D727,'_ENGINE_Risk'!$E$500:$E$923,0)),0)</f>
        <v/>
      </c>
      <c r="H727" t="n">
        <v>1</v>
      </c>
      <c r="I727">
        <f>IFERROR(MAX(0,5-INDEX('_ENGINE_Risk'!$H$500:$H$923,MATCH($D727,'_ENGINE_Risk'!$E$500:$E$923,0))),0)</f>
        <v/>
      </c>
      <c r="J727" t="inlineStr">
        <is>
          <t>P1 many-to-many coverage row</t>
        </is>
      </c>
      <c r="K727">
        <f>IFERROR(INDEX('_ENGINE_Risk'!$BI$500:$BI$923,MATCH($D727,'_ENGINE_Risk'!$E$500:$E$923,0))*N($H727),0)</f>
        <v/>
      </c>
      <c r="L727">
        <f>IFERROR(MIN(5,$K727/MAX(1,'_CONFIG_Model_Settings'!$B$105)),0)</f>
        <v/>
      </c>
    </row>
    <row r="728">
      <c r="A728" t="inlineStr">
        <is>
          <t>INI-049</t>
        </is>
      </c>
      <c r="B728" t="inlineStr">
        <is>
          <t>Optimize cloud usage, landing zones and infrastructure resilience</t>
        </is>
      </c>
      <c r="C728" t="inlineStr">
        <is>
          <t>STR-03</t>
        </is>
      </c>
      <c r="D728" t="inlineStr">
        <is>
          <t>ITCL-011</t>
        </is>
      </c>
      <c r="E728" t="inlineStr">
        <is>
          <t>IT Cloud DR</t>
        </is>
      </c>
      <c r="F728" t="inlineStr">
        <is>
          <t>Cloud usage</t>
        </is>
      </c>
      <c r="G728">
        <f>IFERROR(INDEX('_ENGINE_Risk'!$BS$500:$BS$923,MATCH($D728,'_ENGINE_Risk'!$E$500:$E$923,0)),0)</f>
        <v/>
      </c>
      <c r="H728" t="n">
        <v>1</v>
      </c>
      <c r="I728">
        <f>IFERROR(MAX(0,5-INDEX('_ENGINE_Risk'!$H$500:$H$923,MATCH($D728,'_ENGINE_Risk'!$E$500:$E$923,0))),0)</f>
        <v/>
      </c>
      <c r="J728" t="inlineStr">
        <is>
          <t>P1 many-to-many coverage row</t>
        </is>
      </c>
      <c r="K728">
        <f>IFERROR(INDEX('_ENGINE_Risk'!$BI$500:$BI$923,MATCH($D728,'_ENGINE_Risk'!$E$500:$E$923,0))*N($H728),0)</f>
        <v/>
      </c>
      <c r="L728">
        <f>IFERROR(MIN(5,$K728/MAX(1,'_CONFIG_Model_Settings'!$B$105)),0)</f>
        <v/>
      </c>
    </row>
    <row r="729">
      <c r="A729" t="inlineStr">
        <is>
          <t>INI-049</t>
        </is>
      </c>
      <c r="B729" t="inlineStr">
        <is>
          <t>Optimize cloud usage, landing zones and infrastructure resilience</t>
        </is>
      </c>
      <c r="C729" t="inlineStr">
        <is>
          <t>STR-03</t>
        </is>
      </c>
      <c r="D729" t="inlineStr">
        <is>
          <t>ITCL-012</t>
        </is>
      </c>
      <c r="E729" t="inlineStr">
        <is>
          <t>IT Cloud DR</t>
        </is>
      </c>
      <c r="F729" t="inlineStr">
        <is>
          <t>Cloud usage</t>
        </is>
      </c>
      <c r="G729">
        <f>IFERROR(INDEX('_ENGINE_Risk'!$BS$500:$BS$923,MATCH($D729,'_ENGINE_Risk'!$E$500:$E$923,0)),0)</f>
        <v/>
      </c>
      <c r="H729" t="n">
        <v>1</v>
      </c>
      <c r="I729">
        <f>IFERROR(MAX(0,5-INDEX('_ENGINE_Risk'!$H$500:$H$923,MATCH($D729,'_ENGINE_Risk'!$E$500:$E$923,0))),0)</f>
        <v/>
      </c>
      <c r="J729" t="inlineStr">
        <is>
          <t>P1 many-to-many coverage row</t>
        </is>
      </c>
      <c r="K729">
        <f>IFERROR(INDEX('_ENGINE_Risk'!$BI$500:$BI$923,MATCH($D729,'_ENGINE_Risk'!$E$500:$E$923,0))*N($H729),0)</f>
        <v/>
      </c>
      <c r="L729">
        <f>IFERROR(MIN(5,$K729/MAX(1,'_CONFIG_Model_Settings'!$B$105)),0)</f>
        <v/>
      </c>
    </row>
    <row r="730">
      <c r="A730" t="inlineStr">
        <is>
          <t>INI-050</t>
        </is>
      </c>
      <c r="B730" t="inlineStr">
        <is>
          <t>Implement disaster recovery, backup testing and RTO/RPO controls</t>
        </is>
      </c>
      <c r="C730" t="inlineStr">
        <is>
          <t>STR-03</t>
        </is>
      </c>
      <c r="D730" t="inlineStr">
        <is>
          <t>ITCL-013</t>
        </is>
      </c>
      <c r="E730" t="inlineStr">
        <is>
          <t>IT Cloud DR</t>
        </is>
      </c>
      <c r="F730" t="inlineStr">
        <is>
          <t>Resilience and DR</t>
        </is>
      </c>
      <c r="G730">
        <f>IFERROR(INDEX('_ENGINE_Risk'!$BS$500:$BS$923,MATCH($D730,'_ENGINE_Risk'!$E$500:$E$923,0)),0)</f>
        <v/>
      </c>
      <c r="H730" t="n">
        <v>1</v>
      </c>
      <c r="I730">
        <f>IFERROR(MAX(0,5-INDEX('_ENGINE_Risk'!$H$500:$H$923,MATCH($D730,'_ENGINE_Risk'!$E$500:$E$923,0))),0)</f>
        <v/>
      </c>
      <c r="J730" t="inlineStr">
        <is>
          <t>P1 many-to-many coverage row</t>
        </is>
      </c>
      <c r="K730">
        <f>IFERROR(INDEX('_ENGINE_Risk'!$BI$500:$BI$923,MATCH($D730,'_ENGINE_Risk'!$E$500:$E$923,0))*N($H730),0)</f>
        <v/>
      </c>
      <c r="L730">
        <f>IFERROR(MIN(5,$K730/MAX(1,'_CONFIG_Model_Settings'!$B$105)),0)</f>
        <v/>
      </c>
    </row>
    <row r="731">
      <c r="A731" t="inlineStr">
        <is>
          <t>INI-050</t>
        </is>
      </c>
      <c r="B731" t="inlineStr">
        <is>
          <t>Implement disaster recovery, backup testing and RTO/RPO controls</t>
        </is>
      </c>
      <c r="C731" t="inlineStr">
        <is>
          <t>STR-03</t>
        </is>
      </c>
      <c r="D731" t="inlineStr">
        <is>
          <t>ITCL-014</t>
        </is>
      </c>
      <c r="E731" t="inlineStr">
        <is>
          <t>IT Cloud DR</t>
        </is>
      </c>
      <c r="F731" t="inlineStr">
        <is>
          <t>Resilience and DR</t>
        </is>
      </c>
      <c r="G731">
        <f>IFERROR(INDEX('_ENGINE_Risk'!$BS$500:$BS$923,MATCH($D731,'_ENGINE_Risk'!$E$500:$E$923,0)),0)</f>
        <v/>
      </c>
      <c r="H731" t="n">
        <v>1</v>
      </c>
      <c r="I731">
        <f>IFERROR(MAX(0,5-INDEX('_ENGINE_Risk'!$H$500:$H$923,MATCH($D731,'_ENGINE_Risk'!$E$500:$E$923,0))),0)</f>
        <v/>
      </c>
      <c r="J731" t="inlineStr">
        <is>
          <t>P1 many-to-many coverage row</t>
        </is>
      </c>
      <c r="K731">
        <f>IFERROR(INDEX('_ENGINE_Risk'!$BI$500:$BI$923,MATCH($D731,'_ENGINE_Risk'!$E$500:$E$923,0))*N($H731),0)</f>
        <v/>
      </c>
      <c r="L731">
        <f>IFERROR(MIN(5,$K731/MAX(1,'_CONFIG_Model_Settings'!$B$105)),0)</f>
        <v/>
      </c>
    </row>
    <row r="732">
      <c r="A732" t="inlineStr">
        <is>
          <t>INI-050</t>
        </is>
      </c>
      <c r="B732" t="inlineStr">
        <is>
          <t>Implement disaster recovery, backup testing and RTO/RPO controls</t>
        </is>
      </c>
      <c r="C732" t="inlineStr">
        <is>
          <t>STR-03</t>
        </is>
      </c>
      <c r="D732" t="inlineStr">
        <is>
          <t>ITCL-015</t>
        </is>
      </c>
      <c r="E732" t="inlineStr">
        <is>
          <t>IT Cloud DR</t>
        </is>
      </c>
      <c r="F732" t="inlineStr">
        <is>
          <t>Resilience and DR</t>
        </is>
      </c>
      <c r="G732">
        <f>IFERROR(INDEX('_ENGINE_Risk'!$BS$500:$BS$923,MATCH($D732,'_ENGINE_Risk'!$E$500:$E$923,0)),0)</f>
        <v/>
      </c>
      <c r="H732" t="n">
        <v>1</v>
      </c>
      <c r="I732">
        <f>IFERROR(MAX(0,5-INDEX('_ENGINE_Risk'!$H$500:$H$923,MATCH($D732,'_ENGINE_Risk'!$E$500:$E$923,0))),0)</f>
        <v/>
      </c>
      <c r="J732" t="inlineStr">
        <is>
          <t>P1 many-to-many coverage row</t>
        </is>
      </c>
      <c r="K732">
        <f>IFERROR(INDEX('_ENGINE_Risk'!$BI$500:$BI$923,MATCH($D732,'_ENGINE_Risk'!$E$500:$E$923,0))*N($H732),0)</f>
        <v/>
      </c>
      <c r="L732">
        <f>IFERROR(MIN(5,$K732/MAX(1,'_CONFIG_Model_Settings'!$B$105)),0)</f>
        <v/>
      </c>
    </row>
    <row r="733">
      <c r="A733" t="inlineStr">
        <is>
          <t>INI-050</t>
        </is>
      </c>
      <c r="B733" t="inlineStr">
        <is>
          <t>Implement disaster recovery, backup testing and RTO/RPO controls</t>
        </is>
      </c>
      <c r="C733" t="inlineStr">
        <is>
          <t>STR-03</t>
        </is>
      </c>
      <c r="D733" t="inlineStr">
        <is>
          <t>ITCL-016</t>
        </is>
      </c>
      <c r="E733" t="inlineStr">
        <is>
          <t>IT Cloud DR</t>
        </is>
      </c>
      <c r="F733" t="inlineStr">
        <is>
          <t>Resilience and DR</t>
        </is>
      </c>
      <c r="G733">
        <f>IFERROR(INDEX('_ENGINE_Risk'!$BS$500:$BS$923,MATCH($D733,'_ENGINE_Risk'!$E$500:$E$923,0)),0)</f>
        <v/>
      </c>
      <c r="H733" t="n">
        <v>1</v>
      </c>
      <c r="I733">
        <f>IFERROR(MAX(0,5-INDEX('_ENGINE_Risk'!$H$500:$H$923,MATCH($D733,'_ENGINE_Risk'!$E$500:$E$923,0))),0)</f>
        <v/>
      </c>
      <c r="J733" t="inlineStr">
        <is>
          <t>P1 many-to-many coverage row</t>
        </is>
      </c>
      <c r="K733">
        <f>IFERROR(INDEX('_ENGINE_Risk'!$BI$500:$BI$923,MATCH($D733,'_ENGINE_Risk'!$E$500:$E$923,0))*N($H733),0)</f>
        <v/>
      </c>
      <c r="L733">
        <f>IFERROR(MIN(5,$K733/MAX(1,'_CONFIG_Model_Settings'!$B$105)),0)</f>
        <v/>
      </c>
    </row>
    <row r="734">
      <c r="A734" t="inlineStr">
        <is>
          <t>INI-050</t>
        </is>
      </c>
      <c r="B734" t="inlineStr">
        <is>
          <t>Implement disaster recovery, backup testing and RTO/RPO controls</t>
        </is>
      </c>
      <c r="C734" t="inlineStr">
        <is>
          <t>STR-03</t>
        </is>
      </c>
      <c r="D734" t="inlineStr">
        <is>
          <t>ITCL-017</t>
        </is>
      </c>
      <c r="E734" t="inlineStr">
        <is>
          <t>IT Cloud DR</t>
        </is>
      </c>
      <c r="F734" t="inlineStr">
        <is>
          <t>Resilience and DR</t>
        </is>
      </c>
      <c r="G734">
        <f>IFERROR(INDEX('_ENGINE_Risk'!$BS$500:$BS$923,MATCH($D734,'_ENGINE_Risk'!$E$500:$E$923,0)),0)</f>
        <v/>
      </c>
      <c r="H734" t="n">
        <v>1</v>
      </c>
      <c r="I734">
        <f>IFERROR(MAX(0,5-INDEX('_ENGINE_Risk'!$H$500:$H$923,MATCH($D734,'_ENGINE_Risk'!$E$500:$E$923,0))),0)</f>
        <v/>
      </c>
      <c r="J734" t="inlineStr">
        <is>
          <t>P1 many-to-many coverage row</t>
        </is>
      </c>
      <c r="K734">
        <f>IFERROR(INDEX('_ENGINE_Risk'!$BI$500:$BI$923,MATCH($D734,'_ENGINE_Risk'!$E$500:$E$923,0))*N($H734),0)</f>
        <v/>
      </c>
      <c r="L734">
        <f>IFERROR(MIN(5,$K734/MAX(1,'_CONFIG_Model_Settings'!$B$105)),0)</f>
        <v/>
      </c>
    </row>
    <row r="735">
      <c r="A735" t="inlineStr">
        <is>
          <t>INI-050</t>
        </is>
      </c>
      <c r="B735" t="inlineStr">
        <is>
          <t>Implement disaster recovery, backup testing and RTO/RPO controls</t>
        </is>
      </c>
      <c r="C735" t="inlineStr">
        <is>
          <t>STR-03</t>
        </is>
      </c>
      <c r="D735" t="inlineStr">
        <is>
          <t>ITCL-018</t>
        </is>
      </c>
      <c r="E735" t="inlineStr">
        <is>
          <t>IT Cloud DR</t>
        </is>
      </c>
      <c r="F735" t="inlineStr">
        <is>
          <t>Resilience and DR</t>
        </is>
      </c>
      <c r="G735">
        <f>IFERROR(INDEX('_ENGINE_Risk'!$BS$500:$BS$923,MATCH($D735,'_ENGINE_Risk'!$E$500:$E$923,0)),0)</f>
        <v/>
      </c>
      <c r="H735" t="n">
        <v>1</v>
      </c>
      <c r="I735">
        <f>IFERROR(MAX(0,5-INDEX('_ENGINE_Risk'!$H$500:$H$923,MATCH($D735,'_ENGINE_Risk'!$E$500:$E$923,0))),0)</f>
        <v/>
      </c>
      <c r="J735" t="inlineStr">
        <is>
          <t>P1 many-to-many coverage row</t>
        </is>
      </c>
      <c r="K735">
        <f>IFERROR(INDEX('_ENGINE_Risk'!$BI$500:$BI$923,MATCH($D735,'_ENGINE_Risk'!$E$500:$E$923,0))*N($H735),0)</f>
        <v/>
      </c>
      <c r="L735">
        <f>IFERROR(MIN(5,$K735/MAX(1,'_CONFIG_Model_Settings'!$B$105)),0)</f>
        <v/>
      </c>
    </row>
    <row r="736">
      <c r="A736" t="inlineStr">
        <is>
          <t>INI-051</t>
        </is>
      </c>
      <c r="B736" t="inlineStr">
        <is>
          <t>Strengthen IT operations, monitoring, incident and change management</t>
        </is>
      </c>
      <c r="C736" t="inlineStr">
        <is>
          <t>STR-03</t>
        </is>
      </c>
      <c r="D736" t="inlineStr">
        <is>
          <t>ITCL-019</t>
        </is>
      </c>
      <c r="E736" t="inlineStr">
        <is>
          <t>IT Cloud DR</t>
        </is>
      </c>
      <c r="F736" t="inlineStr">
        <is>
          <t>Operations</t>
        </is>
      </c>
      <c r="G736">
        <f>IFERROR(INDEX('_ENGINE_Risk'!$BS$500:$BS$923,MATCH($D736,'_ENGINE_Risk'!$E$500:$E$923,0)),0)</f>
        <v/>
      </c>
      <c r="H736" t="n">
        <v>1</v>
      </c>
      <c r="I736">
        <f>IFERROR(MAX(0,5-INDEX('_ENGINE_Risk'!$H$500:$H$923,MATCH($D736,'_ENGINE_Risk'!$E$500:$E$923,0))),0)</f>
        <v/>
      </c>
      <c r="J736" t="inlineStr">
        <is>
          <t>P1 many-to-many coverage row</t>
        </is>
      </c>
      <c r="K736">
        <f>IFERROR(INDEX('_ENGINE_Risk'!$BI$500:$BI$923,MATCH($D736,'_ENGINE_Risk'!$E$500:$E$923,0))*N($H736),0)</f>
        <v/>
      </c>
      <c r="L736">
        <f>IFERROR(MIN(5,$K736/MAX(1,'_CONFIG_Model_Settings'!$B$105)),0)</f>
        <v/>
      </c>
    </row>
    <row r="737">
      <c r="A737" t="inlineStr">
        <is>
          <t>INI-051</t>
        </is>
      </c>
      <c r="B737" t="inlineStr">
        <is>
          <t>Strengthen IT operations, monitoring, incident and change management</t>
        </is>
      </c>
      <c r="C737" t="inlineStr">
        <is>
          <t>STR-03</t>
        </is>
      </c>
      <c r="D737" t="inlineStr">
        <is>
          <t>ITCL-020</t>
        </is>
      </c>
      <c r="E737" t="inlineStr">
        <is>
          <t>IT Cloud DR</t>
        </is>
      </c>
      <c r="F737" t="inlineStr">
        <is>
          <t>Operations</t>
        </is>
      </c>
      <c r="G737">
        <f>IFERROR(INDEX('_ENGINE_Risk'!$BS$500:$BS$923,MATCH($D737,'_ENGINE_Risk'!$E$500:$E$923,0)),0)</f>
        <v/>
      </c>
      <c r="H737" t="n">
        <v>1</v>
      </c>
      <c r="I737">
        <f>IFERROR(MAX(0,5-INDEX('_ENGINE_Risk'!$H$500:$H$923,MATCH($D737,'_ENGINE_Risk'!$E$500:$E$923,0))),0)</f>
        <v/>
      </c>
      <c r="J737" t="inlineStr">
        <is>
          <t>P1 many-to-many coverage row</t>
        </is>
      </c>
      <c r="K737">
        <f>IFERROR(INDEX('_ENGINE_Risk'!$BI$500:$BI$923,MATCH($D737,'_ENGINE_Risk'!$E$500:$E$923,0))*N($H737),0)</f>
        <v/>
      </c>
      <c r="L737">
        <f>IFERROR(MIN(5,$K737/MAX(1,'_CONFIG_Model_Settings'!$B$105)),0)</f>
        <v/>
      </c>
    </row>
    <row r="738">
      <c r="A738" t="inlineStr">
        <is>
          <t>INI-051</t>
        </is>
      </c>
      <c r="B738" t="inlineStr">
        <is>
          <t>Strengthen IT operations, monitoring, incident and change management</t>
        </is>
      </c>
      <c r="C738" t="inlineStr">
        <is>
          <t>STR-03</t>
        </is>
      </c>
      <c r="D738" t="inlineStr">
        <is>
          <t>ITCL-021</t>
        </is>
      </c>
      <c r="E738" t="inlineStr">
        <is>
          <t>IT Cloud DR</t>
        </is>
      </c>
      <c r="F738" t="inlineStr">
        <is>
          <t>Operations</t>
        </is>
      </c>
      <c r="G738">
        <f>IFERROR(INDEX('_ENGINE_Risk'!$BS$500:$BS$923,MATCH($D738,'_ENGINE_Risk'!$E$500:$E$923,0)),0)</f>
        <v/>
      </c>
      <c r="H738" t="n">
        <v>1</v>
      </c>
      <c r="I738">
        <f>IFERROR(MAX(0,5-INDEX('_ENGINE_Risk'!$H$500:$H$923,MATCH($D738,'_ENGINE_Risk'!$E$500:$E$923,0))),0)</f>
        <v/>
      </c>
      <c r="J738" t="inlineStr">
        <is>
          <t>P1 many-to-many coverage row</t>
        </is>
      </c>
      <c r="K738">
        <f>IFERROR(INDEX('_ENGINE_Risk'!$BI$500:$BI$923,MATCH($D738,'_ENGINE_Risk'!$E$500:$E$923,0))*N($H738),0)</f>
        <v/>
      </c>
      <c r="L738">
        <f>IFERROR(MIN(5,$K738/MAX(1,'_CONFIG_Model_Settings'!$B$105)),0)</f>
        <v/>
      </c>
    </row>
    <row r="739">
      <c r="A739" t="inlineStr">
        <is>
          <t>INI-051</t>
        </is>
      </c>
      <c r="B739" t="inlineStr">
        <is>
          <t>Strengthen IT operations, monitoring, incident and change management</t>
        </is>
      </c>
      <c r="C739" t="inlineStr">
        <is>
          <t>STR-03</t>
        </is>
      </c>
      <c r="D739" t="inlineStr">
        <is>
          <t>ITCL-022</t>
        </is>
      </c>
      <c r="E739" t="inlineStr">
        <is>
          <t>IT Cloud DR</t>
        </is>
      </c>
      <c r="F739" t="inlineStr">
        <is>
          <t>Operations</t>
        </is>
      </c>
      <c r="G739">
        <f>IFERROR(INDEX('_ENGINE_Risk'!$BS$500:$BS$923,MATCH($D739,'_ENGINE_Risk'!$E$500:$E$923,0)),0)</f>
        <v/>
      </c>
      <c r="H739" t="n">
        <v>1</v>
      </c>
      <c r="I739">
        <f>IFERROR(MAX(0,5-INDEX('_ENGINE_Risk'!$H$500:$H$923,MATCH($D739,'_ENGINE_Risk'!$E$500:$E$923,0))),0)</f>
        <v/>
      </c>
      <c r="J739" t="inlineStr">
        <is>
          <t>P1 many-to-many coverage row</t>
        </is>
      </c>
      <c r="K739">
        <f>IFERROR(INDEX('_ENGINE_Risk'!$BI$500:$BI$923,MATCH($D739,'_ENGINE_Risk'!$E$500:$E$923,0))*N($H739),0)</f>
        <v/>
      </c>
      <c r="L739">
        <f>IFERROR(MIN(5,$K739/MAX(1,'_CONFIG_Model_Settings'!$B$105)),0)</f>
        <v/>
      </c>
    </row>
    <row r="740">
      <c r="A740" t="inlineStr">
        <is>
          <t>INI-051</t>
        </is>
      </c>
      <c r="B740" t="inlineStr">
        <is>
          <t>Strengthen IT operations, monitoring, incident and change management</t>
        </is>
      </c>
      <c r="C740" t="inlineStr">
        <is>
          <t>STR-03</t>
        </is>
      </c>
      <c r="D740" t="inlineStr">
        <is>
          <t>ITCL-023</t>
        </is>
      </c>
      <c r="E740" t="inlineStr">
        <is>
          <t>IT Cloud DR</t>
        </is>
      </c>
      <c r="F740" t="inlineStr">
        <is>
          <t>Operations</t>
        </is>
      </c>
      <c r="G740">
        <f>IFERROR(INDEX('_ENGINE_Risk'!$BS$500:$BS$923,MATCH($D740,'_ENGINE_Risk'!$E$500:$E$923,0)),0)</f>
        <v/>
      </c>
      <c r="H740" t="n">
        <v>1</v>
      </c>
      <c r="I740">
        <f>IFERROR(MAX(0,5-INDEX('_ENGINE_Risk'!$H$500:$H$923,MATCH($D740,'_ENGINE_Risk'!$E$500:$E$923,0))),0)</f>
        <v/>
      </c>
      <c r="J740" t="inlineStr">
        <is>
          <t>P1 many-to-many coverage row</t>
        </is>
      </c>
      <c r="K740">
        <f>IFERROR(INDEX('_ENGINE_Risk'!$BI$500:$BI$923,MATCH($D740,'_ENGINE_Risk'!$E$500:$E$923,0))*N($H740),0)</f>
        <v/>
      </c>
      <c r="L740">
        <f>IFERROR(MIN(5,$K740/MAX(1,'_CONFIG_Model_Settings'!$B$105)),0)</f>
        <v/>
      </c>
    </row>
    <row r="741">
      <c r="A741" t="inlineStr">
        <is>
          <t>INI-051</t>
        </is>
      </c>
      <c r="B741" t="inlineStr">
        <is>
          <t>Strengthen IT operations, monitoring, incident and change management</t>
        </is>
      </c>
      <c r="C741" t="inlineStr">
        <is>
          <t>STR-03</t>
        </is>
      </c>
      <c r="D741" t="inlineStr">
        <is>
          <t>ITCL-024</t>
        </is>
      </c>
      <c r="E741" t="inlineStr">
        <is>
          <t>IT Cloud DR</t>
        </is>
      </c>
      <c r="F741" t="inlineStr">
        <is>
          <t>Operations</t>
        </is>
      </c>
      <c r="G741">
        <f>IFERROR(INDEX('_ENGINE_Risk'!$BS$500:$BS$923,MATCH($D741,'_ENGINE_Risk'!$E$500:$E$923,0)),0)</f>
        <v/>
      </c>
      <c r="H741" t="n">
        <v>1</v>
      </c>
      <c r="I741">
        <f>IFERROR(MAX(0,5-INDEX('_ENGINE_Risk'!$H$500:$H$923,MATCH($D741,'_ENGINE_Risk'!$E$500:$E$923,0))),0)</f>
        <v/>
      </c>
      <c r="J741" t="inlineStr">
        <is>
          <t>P1 many-to-many coverage row</t>
        </is>
      </c>
      <c r="K741">
        <f>IFERROR(INDEX('_ENGINE_Risk'!$BI$500:$BI$923,MATCH($D741,'_ENGINE_Risk'!$E$500:$E$923,0))*N($H741),0)</f>
        <v/>
      </c>
      <c r="L741">
        <f>IFERROR(MIN(5,$K741/MAX(1,'_CONFIG_Model_Settings'!$B$105)),0)</f>
        <v/>
      </c>
    </row>
    <row r="742">
      <c r="A742" t="inlineStr">
        <is>
          <t>INI-052</t>
        </is>
      </c>
      <c r="B742" t="inlineStr">
        <is>
          <t>Stabilize SaaS ownership, integrations and vendor continuity</t>
        </is>
      </c>
      <c r="C742" t="inlineStr">
        <is>
          <t>STR-03</t>
        </is>
      </c>
      <c r="D742" t="inlineStr">
        <is>
          <t>ITCL-025</t>
        </is>
      </c>
      <c r="E742" t="inlineStr">
        <is>
          <t>IT Cloud DR</t>
        </is>
      </c>
      <c r="F742" t="inlineStr">
        <is>
          <t>SaaS and integrations</t>
        </is>
      </c>
      <c r="G742">
        <f>IFERROR(INDEX('_ENGINE_Risk'!$BS$500:$BS$923,MATCH($D742,'_ENGINE_Risk'!$E$500:$E$923,0)),0)</f>
        <v/>
      </c>
      <c r="H742" t="n">
        <v>1</v>
      </c>
      <c r="I742">
        <f>IFERROR(MAX(0,5-INDEX('_ENGINE_Risk'!$H$500:$H$923,MATCH($D742,'_ENGINE_Risk'!$E$500:$E$923,0))),0)</f>
        <v/>
      </c>
      <c r="J742" t="inlineStr">
        <is>
          <t>P1 many-to-many coverage row</t>
        </is>
      </c>
      <c r="K742">
        <f>IFERROR(INDEX('_ENGINE_Risk'!$BI$500:$BI$923,MATCH($D742,'_ENGINE_Risk'!$E$500:$E$923,0))*N($H742),0)</f>
        <v/>
      </c>
      <c r="L742">
        <f>IFERROR(MIN(5,$K742/MAX(1,'_CONFIG_Model_Settings'!$B$105)),0)</f>
        <v/>
      </c>
    </row>
    <row r="743">
      <c r="A743" t="inlineStr">
        <is>
          <t>INI-052</t>
        </is>
      </c>
      <c r="B743" t="inlineStr">
        <is>
          <t>Stabilize SaaS ownership, integrations and vendor continuity</t>
        </is>
      </c>
      <c r="C743" t="inlineStr">
        <is>
          <t>STR-03</t>
        </is>
      </c>
      <c r="D743" t="inlineStr">
        <is>
          <t>ITCL-026</t>
        </is>
      </c>
      <c r="E743" t="inlineStr">
        <is>
          <t>IT Cloud DR</t>
        </is>
      </c>
      <c r="F743" t="inlineStr">
        <is>
          <t>SaaS and integrations</t>
        </is>
      </c>
      <c r="G743">
        <f>IFERROR(INDEX('_ENGINE_Risk'!$BS$500:$BS$923,MATCH($D743,'_ENGINE_Risk'!$E$500:$E$923,0)),0)</f>
        <v/>
      </c>
      <c r="H743" t="n">
        <v>1</v>
      </c>
      <c r="I743">
        <f>IFERROR(MAX(0,5-INDEX('_ENGINE_Risk'!$H$500:$H$923,MATCH($D743,'_ENGINE_Risk'!$E$500:$E$923,0))),0)</f>
        <v/>
      </c>
      <c r="J743" t="inlineStr">
        <is>
          <t>P1 many-to-many coverage row</t>
        </is>
      </c>
      <c r="K743">
        <f>IFERROR(INDEX('_ENGINE_Risk'!$BI$500:$BI$923,MATCH($D743,'_ENGINE_Risk'!$E$500:$E$923,0))*N($H743),0)</f>
        <v/>
      </c>
      <c r="L743">
        <f>IFERROR(MIN(5,$K743/MAX(1,'_CONFIG_Model_Settings'!$B$105)),0)</f>
        <v/>
      </c>
    </row>
    <row r="744">
      <c r="A744" t="inlineStr">
        <is>
          <t>INI-052</t>
        </is>
      </c>
      <c r="B744" t="inlineStr">
        <is>
          <t>Stabilize SaaS ownership, integrations and vendor continuity</t>
        </is>
      </c>
      <c r="C744" t="inlineStr">
        <is>
          <t>STR-03</t>
        </is>
      </c>
      <c r="D744" t="inlineStr">
        <is>
          <t>ITCL-027</t>
        </is>
      </c>
      <c r="E744" t="inlineStr">
        <is>
          <t>IT Cloud DR</t>
        </is>
      </c>
      <c r="F744" t="inlineStr">
        <is>
          <t>SaaS and integrations</t>
        </is>
      </c>
      <c r="G744">
        <f>IFERROR(INDEX('_ENGINE_Risk'!$BS$500:$BS$923,MATCH($D744,'_ENGINE_Risk'!$E$500:$E$923,0)),0)</f>
        <v/>
      </c>
      <c r="H744" t="n">
        <v>1</v>
      </c>
      <c r="I744">
        <f>IFERROR(MAX(0,5-INDEX('_ENGINE_Risk'!$H$500:$H$923,MATCH($D744,'_ENGINE_Risk'!$E$500:$E$923,0))),0)</f>
        <v/>
      </c>
      <c r="J744" t="inlineStr">
        <is>
          <t>P1 many-to-many coverage row</t>
        </is>
      </c>
      <c r="K744">
        <f>IFERROR(INDEX('_ENGINE_Risk'!$BI$500:$BI$923,MATCH($D744,'_ENGINE_Risk'!$E$500:$E$923,0))*N($H744),0)</f>
        <v/>
      </c>
      <c r="L744">
        <f>IFERROR(MIN(5,$K744/MAX(1,'_CONFIG_Model_Settings'!$B$105)),0)</f>
        <v/>
      </c>
    </row>
    <row r="745">
      <c r="A745" t="inlineStr">
        <is>
          <t>INI-052</t>
        </is>
      </c>
      <c r="B745" t="inlineStr">
        <is>
          <t>Stabilize SaaS ownership, integrations and vendor continuity</t>
        </is>
      </c>
      <c r="C745" t="inlineStr">
        <is>
          <t>STR-03</t>
        </is>
      </c>
      <c r="D745" t="inlineStr">
        <is>
          <t>ITCL-028</t>
        </is>
      </c>
      <c r="E745" t="inlineStr">
        <is>
          <t>IT Cloud DR</t>
        </is>
      </c>
      <c r="F745" t="inlineStr">
        <is>
          <t>SaaS and integrations</t>
        </is>
      </c>
      <c r="G745">
        <f>IFERROR(INDEX('_ENGINE_Risk'!$BS$500:$BS$923,MATCH($D745,'_ENGINE_Risk'!$E$500:$E$923,0)),0)</f>
        <v/>
      </c>
      <c r="H745" t="n">
        <v>1</v>
      </c>
      <c r="I745">
        <f>IFERROR(MAX(0,5-INDEX('_ENGINE_Risk'!$H$500:$H$923,MATCH($D745,'_ENGINE_Risk'!$E$500:$E$923,0))),0)</f>
        <v/>
      </c>
      <c r="J745" t="inlineStr">
        <is>
          <t>P1 many-to-many coverage row</t>
        </is>
      </c>
      <c r="K745">
        <f>IFERROR(INDEX('_ENGINE_Risk'!$BI$500:$BI$923,MATCH($D745,'_ENGINE_Risk'!$E$500:$E$923,0))*N($H745),0)</f>
        <v/>
      </c>
      <c r="L745">
        <f>IFERROR(MIN(5,$K745/MAX(1,'_CONFIG_Model_Settings'!$B$105)),0)</f>
        <v/>
      </c>
    </row>
    <row r="746">
      <c r="A746" t="inlineStr">
        <is>
          <t>INI-052</t>
        </is>
      </c>
      <c r="B746" t="inlineStr">
        <is>
          <t>Stabilize SaaS ownership, integrations and vendor continuity</t>
        </is>
      </c>
      <c r="C746" t="inlineStr">
        <is>
          <t>STR-03</t>
        </is>
      </c>
      <c r="D746" t="inlineStr">
        <is>
          <t>ITCL-029</t>
        </is>
      </c>
      <c r="E746" t="inlineStr">
        <is>
          <t>IT Cloud DR</t>
        </is>
      </c>
      <c r="F746" t="inlineStr">
        <is>
          <t>SaaS and integrations</t>
        </is>
      </c>
      <c r="G746">
        <f>IFERROR(INDEX('_ENGINE_Risk'!$BS$500:$BS$923,MATCH($D746,'_ENGINE_Risk'!$E$500:$E$923,0)),0)</f>
        <v/>
      </c>
      <c r="H746" t="n">
        <v>1</v>
      </c>
      <c r="I746">
        <f>IFERROR(MAX(0,5-INDEX('_ENGINE_Risk'!$H$500:$H$923,MATCH($D746,'_ENGINE_Risk'!$E$500:$E$923,0))),0)</f>
        <v/>
      </c>
      <c r="J746" t="inlineStr">
        <is>
          <t>P1 many-to-many coverage row</t>
        </is>
      </c>
      <c r="K746">
        <f>IFERROR(INDEX('_ENGINE_Risk'!$BI$500:$BI$923,MATCH($D746,'_ENGINE_Risk'!$E$500:$E$923,0))*N($H746),0)</f>
        <v/>
      </c>
      <c r="L746">
        <f>IFERROR(MIN(5,$K746/MAX(1,'_CONFIG_Model_Settings'!$B$105)),0)</f>
        <v/>
      </c>
    </row>
    <row r="747">
      <c r="A747" t="inlineStr">
        <is>
          <t>INI-053</t>
        </is>
      </c>
      <c r="B747" t="inlineStr">
        <is>
          <t>Stabilize ERP process ownership, master data and continuity controls</t>
        </is>
      </c>
      <c r="C747" t="inlineStr">
        <is>
          <t>STR-01</t>
        </is>
      </c>
      <c r="D747" t="inlineStr">
        <is>
          <t>BUSI-001</t>
        </is>
      </c>
      <c r="E747" t="inlineStr">
        <is>
          <t>Business Systems</t>
        </is>
      </c>
      <c r="F747" t="inlineStr">
        <is>
          <t>ERP</t>
        </is>
      </c>
      <c r="G747">
        <f>IFERROR(INDEX('_ENGINE_Risk'!$BS$500:$BS$923,MATCH($D747,'_ENGINE_Risk'!$E$500:$E$923,0)),0)</f>
        <v/>
      </c>
      <c r="H747" t="n">
        <v>1</v>
      </c>
      <c r="I747">
        <f>IFERROR(MAX(0,5-INDEX('_ENGINE_Risk'!$H$500:$H$923,MATCH($D747,'_ENGINE_Risk'!$E$500:$E$923,0))),0)</f>
        <v/>
      </c>
      <c r="J747" t="inlineStr">
        <is>
          <t>P1 many-to-many coverage row</t>
        </is>
      </c>
      <c r="K747">
        <f>IFERROR(INDEX('_ENGINE_Risk'!$BI$500:$BI$923,MATCH($D747,'_ENGINE_Risk'!$E$500:$E$923,0))*N($H747),0)</f>
        <v/>
      </c>
      <c r="L747">
        <f>IFERROR(MIN(5,$K747/MAX(1,'_CONFIG_Model_Settings'!$B$105)),0)</f>
        <v/>
      </c>
    </row>
    <row r="748">
      <c r="A748" t="inlineStr">
        <is>
          <t>INI-053</t>
        </is>
      </c>
      <c r="B748" t="inlineStr">
        <is>
          <t>Stabilize ERP process ownership, master data and continuity controls</t>
        </is>
      </c>
      <c r="C748" t="inlineStr">
        <is>
          <t>STR-01</t>
        </is>
      </c>
      <c r="D748" t="inlineStr">
        <is>
          <t>BUSI-002</t>
        </is>
      </c>
      <c r="E748" t="inlineStr">
        <is>
          <t>Business Systems</t>
        </is>
      </c>
      <c r="F748" t="inlineStr">
        <is>
          <t>ERP</t>
        </is>
      </c>
      <c r="G748">
        <f>IFERROR(INDEX('_ENGINE_Risk'!$BS$500:$BS$923,MATCH($D748,'_ENGINE_Risk'!$E$500:$E$923,0)),0)</f>
        <v/>
      </c>
      <c r="H748" t="n">
        <v>1</v>
      </c>
      <c r="I748">
        <f>IFERROR(MAX(0,5-INDEX('_ENGINE_Risk'!$H$500:$H$923,MATCH($D748,'_ENGINE_Risk'!$E$500:$E$923,0))),0)</f>
        <v/>
      </c>
      <c r="J748" t="inlineStr">
        <is>
          <t>P1 many-to-many coverage row</t>
        </is>
      </c>
      <c r="K748">
        <f>IFERROR(INDEX('_ENGINE_Risk'!$BI$500:$BI$923,MATCH($D748,'_ENGINE_Risk'!$E$500:$E$923,0))*N($H748),0)</f>
        <v/>
      </c>
      <c r="L748">
        <f>IFERROR(MIN(5,$K748/MAX(1,'_CONFIG_Model_Settings'!$B$105)),0)</f>
        <v/>
      </c>
    </row>
    <row r="749">
      <c r="A749" t="inlineStr">
        <is>
          <t>INI-053</t>
        </is>
      </c>
      <c r="B749" t="inlineStr">
        <is>
          <t>Stabilize ERP process ownership, master data and continuity controls</t>
        </is>
      </c>
      <c r="C749" t="inlineStr">
        <is>
          <t>STR-01</t>
        </is>
      </c>
      <c r="D749" t="inlineStr">
        <is>
          <t>BUSI-003</t>
        </is>
      </c>
      <c r="E749" t="inlineStr">
        <is>
          <t>Business Systems</t>
        </is>
      </c>
      <c r="F749" t="inlineStr">
        <is>
          <t>ERP</t>
        </is>
      </c>
      <c r="G749">
        <f>IFERROR(INDEX('_ENGINE_Risk'!$BS$500:$BS$923,MATCH($D749,'_ENGINE_Risk'!$E$500:$E$923,0)),0)</f>
        <v/>
      </c>
      <c r="H749" t="n">
        <v>1</v>
      </c>
      <c r="I749">
        <f>IFERROR(MAX(0,5-INDEX('_ENGINE_Risk'!$H$500:$H$923,MATCH($D749,'_ENGINE_Risk'!$E$500:$E$923,0))),0)</f>
        <v/>
      </c>
      <c r="J749" t="inlineStr">
        <is>
          <t>P1 many-to-many coverage row</t>
        </is>
      </c>
      <c r="K749">
        <f>IFERROR(INDEX('_ENGINE_Risk'!$BI$500:$BI$923,MATCH($D749,'_ENGINE_Risk'!$E$500:$E$923,0))*N($H749),0)</f>
        <v/>
      </c>
      <c r="L749">
        <f>IFERROR(MIN(5,$K749/MAX(1,'_CONFIG_Model_Settings'!$B$105)),0)</f>
        <v/>
      </c>
    </row>
    <row r="750">
      <c r="A750" t="inlineStr">
        <is>
          <t>INI-053</t>
        </is>
      </c>
      <c r="B750" t="inlineStr">
        <is>
          <t>Stabilize ERP process ownership, master data and continuity controls</t>
        </is>
      </c>
      <c r="C750" t="inlineStr">
        <is>
          <t>STR-01</t>
        </is>
      </c>
      <c r="D750" t="inlineStr">
        <is>
          <t>BUSI-004</t>
        </is>
      </c>
      <c r="E750" t="inlineStr">
        <is>
          <t>Business Systems</t>
        </is>
      </c>
      <c r="F750" t="inlineStr">
        <is>
          <t>ERP</t>
        </is>
      </c>
      <c r="G750">
        <f>IFERROR(INDEX('_ENGINE_Risk'!$BS$500:$BS$923,MATCH($D750,'_ENGINE_Risk'!$E$500:$E$923,0)),0)</f>
        <v/>
      </c>
      <c r="H750" t="n">
        <v>1</v>
      </c>
      <c r="I750">
        <f>IFERROR(MAX(0,5-INDEX('_ENGINE_Risk'!$H$500:$H$923,MATCH($D750,'_ENGINE_Risk'!$E$500:$E$923,0))),0)</f>
        <v/>
      </c>
      <c r="J750" t="inlineStr">
        <is>
          <t>P1 many-to-many coverage row</t>
        </is>
      </c>
      <c r="K750">
        <f>IFERROR(INDEX('_ENGINE_Risk'!$BI$500:$BI$923,MATCH($D750,'_ENGINE_Risk'!$E$500:$E$923,0))*N($H750),0)</f>
        <v/>
      </c>
      <c r="L750">
        <f>IFERROR(MIN(5,$K750/MAX(1,'_CONFIG_Model_Settings'!$B$105)),0)</f>
        <v/>
      </c>
    </row>
    <row r="751">
      <c r="A751" t="inlineStr">
        <is>
          <t>INI-053</t>
        </is>
      </c>
      <c r="B751" t="inlineStr">
        <is>
          <t>Stabilize ERP process ownership, master data and continuity controls</t>
        </is>
      </c>
      <c r="C751" t="inlineStr">
        <is>
          <t>STR-01</t>
        </is>
      </c>
      <c r="D751" t="inlineStr">
        <is>
          <t>BUSI-005</t>
        </is>
      </c>
      <c r="E751" t="inlineStr">
        <is>
          <t>Business Systems</t>
        </is>
      </c>
      <c r="F751" t="inlineStr">
        <is>
          <t>ERP</t>
        </is>
      </c>
      <c r="G751">
        <f>IFERROR(INDEX('_ENGINE_Risk'!$BS$500:$BS$923,MATCH($D751,'_ENGINE_Risk'!$E$500:$E$923,0)),0)</f>
        <v/>
      </c>
      <c r="H751" t="n">
        <v>1</v>
      </c>
      <c r="I751">
        <f>IFERROR(MAX(0,5-INDEX('_ENGINE_Risk'!$H$500:$H$923,MATCH($D751,'_ENGINE_Risk'!$E$500:$E$923,0))),0)</f>
        <v/>
      </c>
      <c r="J751" t="inlineStr">
        <is>
          <t>P1 many-to-many coverage row</t>
        </is>
      </c>
      <c r="K751">
        <f>IFERROR(INDEX('_ENGINE_Risk'!$BI$500:$BI$923,MATCH($D751,'_ENGINE_Risk'!$E$500:$E$923,0))*N($H751),0)</f>
        <v/>
      </c>
      <c r="L751">
        <f>IFERROR(MIN(5,$K751/MAX(1,'_CONFIG_Model_Settings'!$B$105)),0)</f>
        <v/>
      </c>
    </row>
    <row r="752">
      <c r="A752" t="inlineStr">
        <is>
          <t>INI-054</t>
        </is>
      </c>
      <c r="B752" t="inlineStr">
        <is>
          <t>Integrate CRM, commerce and customer-service systems</t>
        </is>
      </c>
      <c r="C752" t="inlineStr">
        <is>
          <t>STR-12</t>
        </is>
      </c>
      <c r="D752" t="inlineStr">
        <is>
          <t>BUSI-006</t>
        </is>
      </c>
      <c r="E752" t="inlineStr">
        <is>
          <t>Business Systems</t>
        </is>
      </c>
      <c r="F752" t="inlineStr">
        <is>
          <t>CRM and commerce</t>
        </is>
      </c>
      <c r="G752">
        <f>IFERROR(INDEX('_ENGINE_Risk'!$BS$500:$BS$923,MATCH($D752,'_ENGINE_Risk'!$E$500:$E$923,0)),0)</f>
        <v/>
      </c>
      <c r="H752" t="n">
        <v>1</v>
      </c>
      <c r="I752">
        <f>IFERROR(MAX(0,5-INDEX('_ENGINE_Risk'!$H$500:$H$923,MATCH($D752,'_ENGINE_Risk'!$E$500:$E$923,0))),0)</f>
        <v/>
      </c>
      <c r="J752" t="inlineStr">
        <is>
          <t>P1 many-to-many coverage row</t>
        </is>
      </c>
      <c r="K752">
        <f>IFERROR(INDEX('_ENGINE_Risk'!$BI$500:$BI$923,MATCH($D752,'_ENGINE_Risk'!$E$500:$E$923,0))*N($H752),0)</f>
        <v/>
      </c>
      <c r="L752">
        <f>IFERROR(MIN(5,$K752/MAX(1,'_CONFIG_Model_Settings'!$B$105)),0)</f>
        <v/>
      </c>
    </row>
    <row r="753">
      <c r="A753" t="inlineStr">
        <is>
          <t>INI-054</t>
        </is>
      </c>
      <c r="B753" t="inlineStr">
        <is>
          <t>Integrate CRM, commerce and customer-service systems</t>
        </is>
      </c>
      <c r="C753" t="inlineStr">
        <is>
          <t>STR-12</t>
        </is>
      </c>
      <c r="D753" t="inlineStr">
        <is>
          <t>BUSI-007</t>
        </is>
      </c>
      <c r="E753" t="inlineStr">
        <is>
          <t>Business Systems</t>
        </is>
      </c>
      <c r="F753" t="inlineStr">
        <is>
          <t>CRM and commerce</t>
        </is>
      </c>
      <c r="G753">
        <f>IFERROR(INDEX('_ENGINE_Risk'!$BS$500:$BS$923,MATCH($D753,'_ENGINE_Risk'!$E$500:$E$923,0)),0)</f>
        <v/>
      </c>
      <c r="H753" t="n">
        <v>1</v>
      </c>
      <c r="I753">
        <f>IFERROR(MAX(0,5-INDEX('_ENGINE_Risk'!$H$500:$H$923,MATCH($D753,'_ENGINE_Risk'!$E$500:$E$923,0))),0)</f>
        <v/>
      </c>
      <c r="J753" t="inlineStr">
        <is>
          <t>P1 many-to-many coverage row</t>
        </is>
      </c>
      <c r="K753">
        <f>IFERROR(INDEX('_ENGINE_Risk'!$BI$500:$BI$923,MATCH($D753,'_ENGINE_Risk'!$E$500:$E$923,0))*N($H753),0)</f>
        <v/>
      </c>
      <c r="L753">
        <f>IFERROR(MIN(5,$K753/MAX(1,'_CONFIG_Model_Settings'!$B$105)),0)</f>
        <v/>
      </c>
    </row>
    <row r="754">
      <c r="A754" t="inlineStr">
        <is>
          <t>INI-054</t>
        </is>
      </c>
      <c r="B754" t="inlineStr">
        <is>
          <t>Integrate CRM, commerce and customer-service systems</t>
        </is>
      </c>
      <c r="C754" t="inlineStr">
        <is>
          <t>STR-12</t>
        </is>
      </c>
      <c r="D754" t="inlineStr">
        <is>
          <t>BUSI-008</t>
        </is>
      </c>
      <c r="E754" t="inlineStr">
        <is>
          <t>Business Systems</t>
        </is>
      </c>
      <c r="F754" t="inlineStr">
        <is>
          <t>CRM and commerce</t>
        </is>
      </c>
      <c r="G754">
        <f>IFERROR(INDEX('_ENGINE_Risk'!$BS$500:$BS$923,MATCH($D754,'_ENGINE_Risk'!$E$500:$E$923,0)),0)</f>
        <v/>
      </c>
      <c r="H754" t="n">
        <v>1</v>
      </c>
      <c r="I754">
        <f>IFERROR(MAX(0,5-INDEX('_ENGINE_Risk'!$H$500:$H$923,MATCH($D754,'_ENGINE_Risk'!$E$500:$E$923,0))),0)</f>
        <v/>
      </c>
      <c r="J754" t="inlineStr">
        <is>
          <t>P1 many-to-many coverage row</t>
        </is>
      </c>
      <c r="K754">
        <f>IFERROR(INDEX('_ENGINE_Risk'!$BI$500:$BI$923,MATCH($D754,'_ENGINE_Risk'!$E$500:$E$923,0))*N($H754),0)</f>
        <v/>
      </c>
      <c r="L754">
        <f>IFERROR(MIN(5,$K754/MAX(1,'_CONFIG_Model_Settings'!$B$105)),0)</f>
        <v/>
      </c>
    </row>
    <row r="755">
      <c r="A755" t="inlineStr">
        <is>
          <t>INI-054</t>
        </is>
      </c>
      <c r="B755" t="inlineStr">
        <is>
          <t>Integrate CRM, commerce and customer-service systems</t>
        </is>
      </c>
      <c r="C755" t="inlineStr">
        <is>
          <t>STR-12</t>
        </is>
      </c>
      <c r="D755" t="inlineStr">
        <is>
          <t>BUSI-009</t>
        </is>
      </c>
      <c r="E755" t="inlineStr">
        <is>
          <t>Business Systems</t>
        </is>
      </c>
      <c r="F755" t="inlineStr">
        <is>
          <t>CRM and commerce</t>
        </is>
      </c>
      <c r="G755">
        <f>IFERROR(INDEX('_ENGINE_Risk'!$BS$500:$BS$923,MATCH($D755,'_ENGINE_Risk'!$E$500:$E$923,0)),0)</f>
        <v/>
      </c>
      <c r="H755" t="n">
        <v>1</v>
      </c>
      <c r="I755">
        <f>IFERROR(MAX(0,5-INDEX('_ENGINE_Risk'!$H$500:$H$923,MATCH($D755,'_ENGINE_Risk'!$E$500:$E$923,0))),0)</f>
        <v/>
      </c>
      <c r="J755" t="inlineStr">
        <is>
          <t>P1 many-to-many coverage row</t>
        </is>
      </c>
      <c r="K755">
        <f>IFERROR(INDEX('_ENGINE_Risk'!$BI$500:$BI$923,MATCH($D755,'_ENGINE_Risk'!$E$500:$E$923,0))*N($H755),0)</f>
        <v/>
      </c>
      <c r="L755">
        <f>IFERROR(MIN(5,$K755/MAX(1,'_CONFIG_Model_Settings'!$B$105)),0)</f>
        <v/>
      </c>
    </row>
    <row r="756">
      <c r="A756" t="inlineStr">
        <is>
          <t>INI-055</t>
        </is>
      </c>
      <c r="B756" t="inlineStr">
        <is>
          <t>Integrate MES, WMS and TMS into operational continuity model</t>
        </is>
      </c>
      <c r="C756" t="inlineStr">
        <is>
          <t>STR-09</t>
        </is>
      </c>
      <c r="D756" t="inlineStr">
        <is>
          <t>BUSI-010</t>
        </is>
      </c>
      <c r="E756" t="inlineStr">
        <is>
          <t>Business Systems</t>
        </is>
      </c>
      <c r="F756" t="inlineStr">
        <is>
          <t>MES WMS TMS</t>
        </is>
      </c>
      <c r="G756">
        <f>IFERROR(INDEX('_ENGINE_Risk'!$BS$500:$BS$923,MATCH($D756,'_ENGINE_Risk'!$E$500:$E$923,0)),0)</f>
        <v/>
      </c>
      <c r="H756" t="n">
        <v>1</v>
      </c>
      <c r="I756">
        <f>IFERROR(MAX(0,5-INDEX('_ENGINE_Risk'!$H$500:$H$923,MATCH($D756,'_ENGINE_Risk'!$E$500:$E$923,0))),0)</f>
        <v/>
      </c>
      <c r="J756" t="inlineStr">
        <is>
          <t>P1 many-to-many coverage row</t>
        </is>
      </c>
      <c r="K756">
        <f>IFERROR(INDEX('_ENGINE_Risk'!$BI$500:$BI$923,MATCH($D756,'_ENGINE_Risk'!$E$500:$E$923,0))*N($H756),0)</f>
        <v/>
      </c>
      <c r="L756">
        <f>IFERROR(MIN(5,$K756/MAX(1,'_CONFIG_Model_Settings'!$B$105)),0)</f>
        <v/>
      </c>
    </row>
    <row r="757">
      <c r="A757" t="inlineStr">
        <is>
          <t>INI-055</t>
        </is>
      </c>
      <c r="B757" t="inlineStr">
        <is>
          <t>Integrate MES, WMS and TMS into operational continuity model</t>
        </is>
      </c>
      <c r="C757" t="inlineStr">
        <is>
          <t>STR-09</t>
        </is>
      </c>
      <c r="D757" t="inlineStr">
        <is>
          <t>BUSI-011</t>
        </is>
      </c>
      <c r="E757" t="inlineStr">
        <is>
          <t>Business Systems</t>
        </is>
      </c>
      <c r="F757" t="inlineStr">
        <is>
          <t>MES WMS TMS</t>
        </is>
      </c>
      <c r="G757">
        <f>IFERROR(INDEX('_ENGINE_Risk'!$BS$500:$BS$923,MATCH($D757,'_ENGINE_Risk'!$E$500:$E$923,0)),0)</f>
        <v/>
      </c>
      <c r="H757" t="n">
        <v>1</v>
      </c>
      <c r="I757">
        <f>IFERROR(MAX(0,5-INDEX('_ENGINE_Risk'!$H$500:$H$923,MATCH($D757,'_ENGINE_Risk'!$E$500:$E$923,0))),0)</f>
        <v/>
      </c>
      <c r="J757" t="inlineStr">
        <is>
          <t>P1 many-to-many coverage row</t>
        </is>
      </c>
      <c r="K757">
        <f>IFERROR(INDEX('_ENGINE_Risk'!$BI$500:$BI$923,MATCH($D757,'_ENGINE_Risk'!$E$500:$E$923,0))*N($H757),0)</f>
        <v/>
      </c>
      <c r="L757">
        <f>IFERROR(MIN(5,$K757/MAX(1,'_CONFIG_Model_Settings'!$B$105)),0)</f>
        <v/>
      </c>
    </row>
    <row r="758">
      <c r="A758" t="inlineStr">
        <is>
          <t>INI-055</t>
        </is>
      </c>
      <c r="B758" t="inlineStr">
        <is>
          <t>Integrate MES, WMS and TMS into operational continuity model</t>
        </is>
      </c>
      <c r="C758" t="inlineStr">
        <is>
          <t>STR-09</t>
        </is>
      </c>
      <c r="D758" t="inlineStr">
        <is>
          <t>BUSI-012</t>
        </is>
      </c>
      <c r="E758" t="inlineStr">
        <is>
          <t>Business Systems</t>
        </is>
      </c>
      <c r="F758" t="inlineStr">
        <is>
          <t>MES WMS TMS</t>
        </is>
      </c>
      <c r="G758">
        <f>IFERROR(INDEX('_ENGINE_Risk'!$BS$500:$BS$923,MATCH($D758,'_ENGINE_Risk'!$E$500:$E$923,0)),0)</f>
        <v/>
      </c>
      <c r="H758" t="n">
        <v>1</v>
      </c>
      <c r="I758">
        <f>IFERROR(MAX(0,5-INDEX('_ENGINE_Risk'!$H$500:$H$923,MATCH($D758,'_ENGINE_Risk'!$E$500:$E$923,0))),0)</f>
        <v/>
      </c>
      <c r="J758" t="inlineStr">
        <is>
          <t>P1 many-to-many coverage row</t>
        </is>
      </c>
      <c r="K758">
        <f>IFERROR(INDEX('_ENGINE_Risk'!$BI$500:$BI$923,MATCH($D758,'_ENGINE_Risk'!$E$500:$E$923,0))*N($H758),0)</f>
        <v/>
      </c>
      <c r="L758">
        <f>IFERROR(MIN(5,$K758/MAX(1,'_CONFIG_Model_Settings'!$B$105)),0)</f>
        <v/>
      </c>
    </row>
    <row r="759">
      <c r="A759" t="inlineStr">
        <is>
          <t>INI-055</t>
        </is>
      </c>
      <c r="B759" t="inlineStr">
        <is>
          <t>Integrate MES, WMS and TMS into operational continuity model</t>
        </is>
      </c>
      <c r="C759" t="inlineStr">
        <is>
          <t>STR-09</t>
        </is>
      </c>
      <c r="D759" t="inlineStr">
        <is>
          <t>BUSI-013</t>
        </is>
      </c>
      <c r="E759" t="inlineStr">
        <is>
          <t>Business Systems</t>
        </is>
      </c>
      <c r="F759" t="inlineStr">
        <is>
          <t>MES WMS TMS</t>
        </is>
      </c>
      <c r="G759">
        <f>IFERROR(INDEX('_ENGINE_Risk'!$BS$500:$BS$923,MATCH($D759,'_ENGINE_Risk'!$E$500:$E$923,0)),0)</f>
        <v/>
      </c>
      <c r="H759" t="n">
        <v>1</v>
      </c>
      <c r="I759">
        <f>IFERROR(MAX(0,5-INDEX('_ENGINE_Risk'!$H$500:$H$923,MATCH($D759,'_ENGINE_Risk'!$E$500:$E$923,0))),0)</f>
        <v/>
      </c>
      <c r="J759" t="inlineStr">
        <is>
          <t>P1 many-to-many coverage row</t>
        </is>
      </c>
      <c r="K759">
        <f>IFERROR(INDEX('_ENGINE_Risk'!$BI$500:$BI$923,MATCH($D759,'_ENGINE_Risk'!$E$500:$E$923,0))*N($H759),0)</f>
        <v/>
      </c>
      <c r="L759">
        <f>IFERROR(MIN(5,$K759/MAX(1,'_CONFIG_Model_Settings'!$B$105)),0)</f>
        <v/>
      </c>
    </row>
    <row r="760">
      <c r="A760" t="inlineStr">
        <is>
          <t>INI-056</t>
        </is>
      </c>
      <c r="B760" t="inlineStr">
        <is>
          <t>Stabilize HRMS, finance systems and core administrative workflows</t>
        </is>
      </c>
      <c r="C760" t="inlineStr">
        <is>
          <t>STR-01</t>
        </is>
      </c>
      <c r="D760" t="inlineStr">
        <is>
          <t>BUSI-014</t>
        </is>
      </c>
      <c r="E760" t="inlineStr">
        <is>
          <t>Business Systems</t>
        </is>
      </c>
      <c r="F760" t="inlineStr">
        <is>
          <t>HRMS and finance systems</t>
        </is>
      </c>
      <c r="G760">
        <f>IFERROR(INDEX('_ENGINE_Risk'!$BS$500:$BS$923,MATCH($D760,'_ENGINE_Risk'!$E$500:$E$923,0)),0)</f>
        <v/>
      </c>
      <c r="H760" t="n">
        <v>1</v>
      </c>
      <c r="I760">
        <f>IFERROR(MAX(0,5-INDEX('_ENGINE_Risk'!$H$500:$H$923,MATCH($D760,'_ENGINE_Risk'!$E$500:$E$923,0))),0)</f>
        <v/>
      </c>
      <c r="J760" t="inlineStr">
        <is>
          <t>P1 many-to-many coverage row</t>
        </is>
      </c>
      <c r="K760">
        <f>IFERROR(INDEX('_ENGINE_Risk'!$BI$500:$BI$923,MATCH($D760,'_ENGINE_Risk'!$E$500:$E$923,0))*N($H760),0)</f>
        <v/>
      </c>
      <c r="L760">
        <f>IFERROR(MIN(5,$K760/MAX(1,'_CONFIG_Model_Settings'!$B$105)),0)</f>
        <v/>
      </c>
    </row>
    <row r="761">
      <c r="A761" t="inlineStr">
        <is>
          <t>INI-056</t>
        </is>
      </c>
      <c r="B761" t="inlineStr">
        <is>
          <t>Stabilize HRMS, finance systems and core administrative workflows</t>
        </is>
      </c>
      <c r="C761" t="inlineStr">
        <is>
          <t>STR-01</t>
        </is>
      </c>
      <c r="D761" t="inlineStr">
        <is>
          <t>BUSI-015</t>
        </is>
      </c>
      <c r="E761" t="inlineStr">
        <is>
          <t>Business Systems</t>
        </is>
      </c>
      <c r="F761" t="inlineStr">
        <is>
          <t>HRMS and finance systems</t>
        </is>
      </c>
      <c r="G761">
        <f>IFERROR(INDEX('_ENGINE_Risk'!$BS$500:$BS$923,MATCH($D761,'_ENGINE_Risk'!$E$500:$E$923,0)),0)</f>
        <v/>
      </c>
      <c r="H761" t="n">
        <v>1</v>
      </c>
      <c r="I761">
        <f>IFERROR(MAX(0,5-INDEX('_ENGINE_Risk'!$H$500:$H$923,MATCH($D761,'_ENGINE_Risk'!$E$500:$E$923,0))),0)</f>
        <v/>
      </c>
      <c r="J761" t="inlineStr">
        <is>
          <t>P1 many-to-many coverage row</t>
        </is>
      </c>
      <c r="K761">
        <f>IFERROR(INDEX('_ENGINE_Risk'!$BI$500:$BI$923,MATCH($D761,'_ENGINE_Risk'!$E$500:$E$923,0))*N($H761),0)</f>
        <v/>
      </c>
      <c r="L761">
        <f>IFERROR(MIN(5,$K761/MAX(1,'_CONFIG_Model_Settings'!$B$105)),0)</f>
        <v/>
      </c>
    </row>
    <row r="762">
      <c r="A762" t="inlineStr">
        <is>
          <t>INI-056</t>
        </is>
      </c>
      <c r="B762" t="inlineStr">
        <is>
          <t>Stabilize HRMS, finance systems and core administrative workflows</t>
        </is>
      </c>
      <c r="C762" t="inlineStr">
        <is>
          <t>STR-01</t>
        </is>
      </c>
      <c r="D762" t="inlineStr">
        <is>
          <t>BUSI-016</t>
        </is>
      </c>
      <c r="E762" t="inlineStr">
        <is>
          <t>Business Systems</t>
        </is>
      </c>
      <c r="F762" t="inlineStr">
        <is>
          <t>HRMS and finance systems</t>
        </is>
      </c>
      <c r="G762">
        <f>IFERROR(INDEX('_ENGINE_Risk'!$BS$500:$BS$923,MATCH($D762,'_ENGINE_Risk'!$E$500:$E$923,0)),0)</f>
        <v/>
      </c>
      <c r="H762" t="n">
        <v>1</v>
      </c>
      <c r="I762">
        <f>IFERROR(MAX(0,5-INDEX('_ENGINE_Risk'!$H$500:$H$923,MATCH($D762,'_ENGINE_Risk'!$E$500:$E$923,0))),0)</f>
        <v/>
      </c>
      <c r="J762" t="inlineStr">
        <is>
          <t>P1 many-to-many coverage row</t>
        </is>
      </c>
      <c r="K762">
        <f>IFERROR(INDEX('_ENGINE_Risk'!$BI$500:$BI$923,MATCH($D762,'_ENGINE_Risk'!$E$500:$E$923,0))*N($H762),0)</f>
        <v/>
      </c>
      <c r="L762">
        <f>IFERROR(MIN(5,$K762/MAX(1,'_CONFIG_Model_Settings'!$B$105)),0)</f>
        <v/>
      </c>
    </row>
    <row r="763">
      <c r="A763" t="inlineStr">
        <is>
          <t>INI-056</t>
        </is>
      </c>
      <c r="B763" t="inlineStr">
        <is>
          <t>Stabilize HRMS, finance systems and core administrative workflows</t>
        </is>
      </c>
      <c r="C763" t="inlineStr">
        <is>
          <t>STR-01</t>
        </is>
      </c>
      <c r="D763" t="inlineStr">
        <is>
          <t>BUSI-017</t>
        </is>
      </c>
      <c r="E763" t="inlineStr">
        <is>
          <t>Business Systems</t>
        </is>
      </c>
      <c r="F763" t="inlineStr">
        <is>
          <t>HRMS and finance systems</t>
        </is>
      </c>
      <c r="G763">
        <f>IFERROR(INDEX('_ENGINE_Risk'!$BS$500:$BS$923,MATCH($D763,'_ENGINE_Risk'!$E$500:$E$923,0)),0)</f>
        <v/>
      </c>
      <c r="H763" t="n">
        <v>1</v>
      </c>
      <c r="I763">
        <f>IFERROR(MAX(0,5-INDEX('_ENGINE_Risk'!$H$500:$H$923,MATCH($D763,'_ENGINE_Risk'!$E$500:$E$923,0))),0)</f>
        <v/>
      </c>
      <c r="J763" t="inlineStr">
        <is>
          <t>P1 many-to-many coverage row</t>
        </is>
      </c>
      <c r="K763">
        <f>IFERROR(INDEX('_ENGINE_Risk'!$BI$500:$BI$923,MATCH($D763,'_ENGINE_Risk'!$E$500:$E$923,0))*N($H763),0)</f>
        <v/>
      </c>
      <c r="L763">
        <f>IFERROR(MIN(5,$K763/MAX(1,'_CONFIG_Model_Settings'!$B$105)),0)</f>
        <v/>
      </c>
    </row>
    <row r="764">
      <c r="A764" t="inlineStr">
        <is>
          <t>INI-057</t>
        </is>
      </c>
      <c r="B764" t="inlineStr">
        <is>
          <t>Implement business-system governance and lifecycle control</t>
        </is>
      </c>
      <c r="C764" t="inlineStr">
        <is>
          <t>STR-01</t>
        </is>
      </c>
      <c r="D764" t="inlineStr">
        <is>
          <t>BUSI-018</t>
        </is>
      </c>
      <c r="E764" t="inlineStr">
        <is>
          <t>Business Systems</t>
        </is>
      </c>
      <c r="F764" t="inlineStr">
        <is>
          <t>Governance and lifecycle</t>
        </is>
      </c>
      <c r="G764">
        <f>IFERROR(INDEX('_ENGINE_Risk'!$BS$500:$BS$923,MATCH($D764,'_ENGINE_Risk'!$E$500:$E$923,0)),0)</f>
        <v/>
      </c>
      <c r="H764" t="n">
        <v>1</v>
      </c>
      <c r="I764">
        <f>IFERROR(MAX(0,5-INDEX('_ENGINE_Risk'!$H$500:$H$923,MATCH($D764,'_ENGINE_Risk'!$E$500:$E$923,0))),0)</f>
        <v/>
      </c>
      <c r="J764" t="inlineStr">
        <is>
          <t>P1 many-to-many coverage row</t>
        </is>
      </c>
      <c r="K764">
        <f>IFERROR(INDEX('_ENGINE_Risk'!$BI$500:$BI$923,MATCH($D764,'_ENGINE_Risk'!$E$500:$E$923,0))*N($H764),0)</f>
        <v/>
      </c>
      <c r="L764">
        <f>IFERROR(MIN(5,$K764/MAX(1,'_CONFIG_Model_Settings'!$B$105)),0)</f>
        <v/>
      </c>
    </row>
    <row r="765">
      <c r="A765" t="inlineStr">
        <is>
          <t>INI-057</t>
        </is>
      </c>
      <c r="B765" t="inlineStr">
        <is>
          <t>Implement business-system governance and lifecycle control</t>
        </is>
      </c>
      <c r="C765" t="inlineStr">
        <is>
          <t>STR-01</t>
        </is>
      </c>
      <c r="D765" t="inlineStr">
        <is>
          <t>BUSI-019</t>
        </is>
      </c>
      <c r="E765" t="inlineStr">
        <is>
          <t>Business Systems</t>
        </is>
      </c>
      <c r="F765" t="inlineStr">
        <is>
          <t>Governance and lifecycle</t>
        </is>
      </c>
      <c r="G765">
        <f>IFERROR(INDEX('_ENGINE_Risk'!$BS$500:$BS$923,MATCH($D765,'_ENGINE_Risk'!$E$500:$E$923,0)),0)</f>
        <v/>
      </c>
      <c r="H765" t="n">
        <v>1</v>
      </c>
      <c r="I765">
        <f>IFERROR(MAX(0,5-INDEX('_ENGINE_Risk'!$H$500:$H$923,MATCH($D765,'_ENGINE_Risk'!$E$500:$E$923,0))),0)</f>
        <v/>
      </c>
      <c r="J765" t="inlineStr">
        <is>
          <t>P1 many-to-many coverage row</t>
        </is>
      </c>
      <c r="K765">
        <f>IFERROR(INDEX('_ENGINE_Risk'!$BI$500:$BI$923,MATCH($D765,'_ENGINE_Risk'!$E$500:$E$923,0))*N($H765),0)</f>
        <v/>
      </c>
      <c r="L765">
        <f>IFERROR(MIN(5,$K765/MAX(1,'_CONFIG_Model_Settings'!$B$105)),0)</f>
        <v/>
      </c>
    </row>
    <row r="766">
      <c r="A766" t="inlineStr">
        <is>
          <t>INI-057</t>
        </is>
      </c>
      <c r="B766" t="inlineStr">
        <is>
          <t>Implement business-system governance and lifecycle control</t>
        </is>
      </c>
      <c r="C766" t="inlineStr">
        <is>
          <t>STR-01</t>
        </is>
      </c>
      <c r="D766" t="inlineStr">
        <is>
          <t>BUSI-020</t>
        </is>
      </c>
      <c r="E766" t="inlineStr">
        <is>
          <t>Business Systems</t>
        </is>
      </c>
      <c r="F766" t="inlineStr">
        <is>
          <t>Governance and lifecycle</t>
        </is>
      </c>
      <c r="G766">
        <f>IFERROR(INDEX('_ENGINE_Risk'!$BS$500:$BS$923,MATCH($D766,'_ENGINE_Risk'!$E$500:$E$923,0)),0)</f>
        <v/>
      </c>
      <c r="H766" t="n">
        <v>1</v>
      </c>
      <c r="I766">
        <f>IFERROR(MAX(0,5-INDEX('_ENGINE_Risk'!$H$500:$H$923,MATCH($D766,'_ENGINE_Risk'!$E$500:$E$923,0))),0)</f>
        <v/>
      </c>
      <c r="J766" t="inlineStr">
        <is>
          <t>P1 many-to-many coverage row</t>
        </is>
      </c>
      <c r="K766">
        <f>IFERROR(INDEX('_ENGINE_Risk'!$BI$500:$BI$923,MATCH($D766,'_ENGINE_Risk'!$E$500:$E$923,0))*N($H766),0)</f>
        <v/>
      </c>
      <c r="L766">
        <f>IFERROR(MIN(5,$K766/MAX(1,'_CONFIG_Model_Settings'!$B$105)),0)</f>
        <v/>
      </c>
    </row>
    <row r="767">
      <c r="A767" t="inlineStr">
        <is>
          <t>INI-057</t>
        </is>
      </c>
      <c r="B767" t="inlineStr">
        <is>
          <t>Implement business-system governance and lifecycle control</t>
        </is>
      </c>
      <c r="C767" t="inlineStr">
        <is>
          <t>STR-01</t>
        </is>
      </c>
      <c r="D767" t="inlineStr">
        <is>
          <t>BUSI-021</t>
        </is>
      </c>
      <c r="E767" t="inlineStr">
        <is>
          <t>Business Systems</t>
        </is>
      </c>
      <c r="F767" t="inlineStr">
        <is>
          <t>Governance and lifecycle</t>
        </is>
      </c>
      <c r="G767">
        <f>IFERROR(INDEX('_ENGINE_Risk'!$BS$500:$BS$923,MATCH($D767,'_ENGINE_Risk'!$E$500:$E$923,0)),0)</f>
        <v/>
      </c>
      <c r="H767" t="n">
        <v>1</v>
      </c>
      <c r="I767">
        <f>IFERROR(MAX(0,5-INDEX('_ENGINE_Risk'!$H$500:$H$923,MATCH($D767,'_ENGINE_Risk'!$E$500:$E$923,0))),0)</f>
        <v/>
      </c>
      <c r="J767" t="inlineStr">
        <is>
          <t>P1 many-to-many coverage row</t>
        </is>
      </c>
      <c r="K767">
        <f>IFERROR(INDEX('_ENGINE_Risk'!$BI$500:$BI$923,MATCH($D767,'_ENGINE_Risk'!$E$500:$E$923,0))*N($H767),0)</f>
        <v/>
      </c>
      <c r="L767">
        <f>IFERROR(MIN(5,$K767/MAX(1,'_CONFIG_Model_Settings'!$B$105)),0)</f>
        <v/>
      </c>
    </row>
    <row r="768">
      <c r="A768" t="inlineStr">
        <is>
          <t>INI-057</t>
        </is>
      </c>
      <c r="B768" t="inlineStr">
        <is>
          <t>Implement business-system governance and lifecycle control</t>
        </is>
      </c>
      <c r="C768" t="inlineStr">
        <is>
          <t>STR-01</t>
        </is>
      </c>
      <c r="D768" t="inlineStr">
        <is>
          <t>BUSI-022</t>
        </is>
      </c>
      <c r="E768" t="inlineStr">
        <is>
          <t>Business Systems</t>
        </is>
      </c>
      <c r="F768" t="inlineStr">
        <is>
          <t>Governance and lifecycle</t>
        </is>
      </c>
      <c r="G768">
        <f>IFERROR(INDEX('_ENGINE_Risk'!$BS$500:$BS$923,MATCH($D768,'_ENGINE_Risk'!$E$500:$E$923,0)),0)</f>
        <v/>
      </c>
      <c r="H768" t="n">
        <v>1</v>
      </c>
      <c r="I768">
        <f>IFERROR(MAX(0,5-INDEX('_ENGINE_Risk'!$H$500:$H$923,MATCH($D768,'_ENGINE_Risk'!$E$500:$E$923,0))),0)</f>
        <v/>
      </c>
      <c r="J768" t="inlineStr">
        <is>
          <t>P1 many-to-many coverage row</t>
        </is>
      </c>
      <c r="K768">
        <f>IFERROR(INDEX('_ENGINE_Risk'!$BI$500:$BI$923,MATCH($D768,'_ENGINE_Risk'!$E$500:$E$923,0))*N($H768),0)</f>
        <v/>
      </c>
      <c r="L768">
        <f>IFERROR(MIN(5,$K768/MAX(1,'_CONFIG_Model_Settings'!$B$105)),0)</f>
        <v/>
      </c>
    </row>
    <row r="769">
      <c r="A769" t="inlineStr">
        <is>
          <t>INI-057</t>
        </is>
      </c>
      <c r="B769" t="inlineStr">
        <is>
          <t>Implement business-system governance and lifecycle control</t>
        </is>
      </c>
      <c r="C769" t="inlineStr">
        <is>
          <t>STR-01</t>
        </is>
      </c>
      <c r="D769" t="inlineStr">
        <is>
          <t>BUSI-023</t>
        </is>
      </c>
      <c r="E769" t="inlineStr">
        <is>
          <t>Business Systems</t>
        </is>
      </c>
      <c r="F769" t="inlineStr">
        <is>
          <t>Governance and lifecycle</t>
        </is>
      </c>
      <c r="G769">
        <f>IFERROR(INDEX('_ENGINE_Risk'!$BS$500:$BS$923,MATCH($D769,'_ENGINE_Risk'!$E$500:$E$923,0)),0)</f>
        <v/>
      </c>
      <c r="H769" t="n">
        <v>1</v>
      </c>
      <c r="I769">
        <f>IFERROR(MAX(0,5-INDEX('_ENGINE_Risk'!$H$500:$H$923,MATCH($D769,'_ENGINE_Risk'!$E$500:$E$923,0))),0)</f>
        <v/>
      </c>
      <c r="J769" t="inlineStr">
        <is>
          <t>P1 many-to-many coverage row</t>
        </is>
      </c>
      <c r="K769">
        <f>IFERROR(INDEX('_ENGINE_Risk'!$BI$500:$BI$923,MATCH($D769,'_ENGINE_Risk'!$E$500:$E$923,0))*N($H769),0)</f>
        <v/>
      </c>
      <c r="L769">
        <f>IFERROR(MIN(5,$K769/MAX(1,'_CONFIG_Model_Settings'!$B$105)),0)</f>
        <v/>
      </c>
    </row>
    <row r="770">
      <c r="A770" t="inlineStr">
        <is>
          <t>INI-058</t>
        </is>
      </c>
      <c r="B770" t="inlineStr">
        <is>
          <t>Implement data ownership, quality and governance framework</t>
        </is>
      </c>
      <c r="C770" t="inlineStr">
        <is>
          <t>STR-05</t>
        </is>
      </c>
      <c r="D770" t="inlineStr">
        <is>
          <t>DATA-001</t>
        </is>
      </c>
      <c r="E770" t="inlineStr">
        <is>
          <t>Data BI AI</t>
        </is>
      </c>
      <c r="F770" t="inlineStr">
        <is>
          <t>Data governance</t>
        </is>
      </c>
      <c r="G770">
        <f>IFERROR(INDEX('_ENGINE_Risk'!$BS$500:$BS$923,MATCH($D770,'_ENGINE_Risk'!$E$500:$E$923,0)),0)</f>
        <v/>
      </c>
      <c r="H770" t="n">
        <v>1</v>
      </c>
      <c r="I770">
        <f>IFERROR(MAX(0,5-INDEX('_ENGINE_Risk'!$H$500:$H$923,MATCH($D770,'_ENGINE_Risk'!$E$500:$E$923,0))),0)</f>
        <v/>
      </c>
      <c r="J770" t="inlineStr">
        <is>
          <t>P1 many-to-many coverage row</t>
        </is>
      </c>
      <c r="K770">
        <f>IFERROR(INDEX('_ENGINE_Risk'!$BI$500:$BI$923,MATCH($D770,'_ENGINE_Risk'!$E$500:$E$923,0))*N($H770),0)</f>
        <v/>
      </c>
      <c r="L770">
        <f>IFERROR(MIN(5,$K770/MAX(1,'_CONFIG_Model_Settings'!$B$105)),0)</f>
        <v/>
      </c>
    </row>
    <row r="771">
      <c r="A771" t="inlineStr">
        <is>
          <t>INI-058</t>
        </is>
      </c>
      <c r="B771" t="inlineStr">
        <is>
          <t>Implement data ownership, quality and governance framework</t>
        </is>
      </c>
      <c r="C771" t="inlineStr">
        <is>
          <t>STR-05</t>
        </is>
      </c>
      <c r="D771" t="inlineStr">
        <is>
          <t>DATA-002</t>
        </is>
      </c>
      <c r="E771" t="inlineStr">
        <is>
          <t>Data BI AI</t>
        </is>
      </c>
      <c r="F771" t="inlineStr">
        <is>
          <t>Data governance</t>
        </is>
      </c>
      <c r="G771">
        <f>IFERROR(INDEX('_ENGINE_Risk'!$BS$500:$BS$923,MATCH($D771,'_ENGINE_Risk'!$E$500:$E$923,0)),0)</f>
        <v/>
      </c>
      <c r="H771" t="n">
        <v>1</v>
      </c>
      <c r="I771">
        <f>IFERROR(MAX(0,5-INDEX('_ENGINE_Risk'!$H$500:$H$923,MATCH($D771,'_ENGINE_Risk'!$E$500:$E$923,0))),0)</f>
        <v/>
      </c>
      <c r="J771" t="inlineStr">
        <is>
          <t>P1 many-to-many coverage row</t>
        </is>
      </c>
      <c r="K771">
        <f>IFERROR(INDEX('_ENGINE_Risk'!$BI$500:$BI$923,MATCH($D771,'_ENGINE_Risk'!$E$500:$E$923,0))*N($H771),0)</f>
        <v/>
      </c>
      <c r="L771">
        <f>IFERROR(MIN(5,$K771/MAX(1,'_CONFIG_Model_Settings'!$B$105)),0)</f>
        <v/>
      </c>
    </row>
    <row r="772">
      <c r="A772" t="inlineStr">
        <is>
          <t>INI-058</t>
        </is>
      </c>
      <c r="B772" t="inlineStr">
        <is>
          <t>Implement data ownership, quality and governance framework</t>
        </is>
      </c>
      <c r="C772" t="inlineStr">
        <is>
          <t>STR-05</t>
        </is>
      </c>
      <c r="D772" t="inlineStr">
        <is>
          <t>DATA-003</t>
        </is>
      </c>
      <c r="E772" t="inlineStr">
        <is>
          <t>Data BI AI</t>
        </is>
      </c>
      <c r="F772" t="inlineStr">
        <is>
          <t>Data governance</t>
        </is>
      </c>
      <c r="G772">
        <f>IFERROR(INDEX('_ENGINE_Risk'!$BS$500:$BS$923,MATCH($D772,'_ENGINE_Risk'!$E$500:$E$923,0)),0)</f>
        <v/>
      </c>
      <c r="H772" t="n">
        <v>1</v>
      </c>
      <c r="I772">
        <f>IFERROR(MAX(0,5-INDEX('_ENGINE_Risk'!$H$500:$H$923,MATCH($D772,'_ENGINE_Risk'!$E$500:$E$923,0))),0)</f>
        <v/>
      </c>
      <c r="J772" t="inlineStr">
        <is>
          <t>P1 many-to-many coverage row</t>
        </is>
      </c>
      <c r="K772">
        <f>IFERROR(INDEX('_ENGINE_Risk'!$BI$500:$BI$923,MATCH($D772,'_ENGINE_Risk'!$E$500:$E$923,0))*N($H772),0)</f>
        <v/>
      </c>
      <c r="L772">
        <f>IFERROR(MIN(5,$K772/MAX(1,'_CONFIG_Model_Settings'!$B$105)),0)</f>
        <v/>
      </c>
    </row>
    <row r="773">
      <c r="A773" t="inlineStr">
        <is>
          <t>INI-058</t>
        </is>
      </c>
      <c r="B773" t="inlineStr">
        <is>
          <t>Implement data ownership, quality and governance framework</t>
        </is>
      </c>
      <c r="C773" t="inlineStr">
        <is>
          <t>STR-05</t>
        </is>
      </c>
      <c r="D773" t="inlineStr">
        <is>
          <t>DATA-004</t>
        </is>
      </c>
      <c r="E773" t="inlineStr">
        <is>
          <t>Data BI AI</t>
        </is>
      </c>
      <c r="F773" t="inlineStr">
        <is>
          <t>Data governance</t>
        </is>
      </c>
      <c r="G773">
        <f>IFERROR(INDEX('_ENGINE_Risk'!$BS$500:$BS$923,MATCH($D773,'_ENGINE_Risk'!$E$500:$E$923,0)),0)</f>
        <v/>
      </c>
      <c r="H773" t="n">
        <v>1</v>
      </c>
      <c r="I773">
        <f>IFERROR(MAX(0,5-INDEX('_ENGINE_Risk'!$H$500:$H$923,MATCH($D773,'_ENGINE_Risk'!$E$500:$E$923,0))),0)</f>
        <v/>
      </c>
      <c r="J773" t="inlineStr">
        <is>
          <t>P1 many-to-many coverage row</t>
        </is>
      </c>
      <c r="K773">
        <f>IFERROR(INDEX('_ENGINE_Risk'!$BI$500:$BI$923,MATCH($D773,'_ENGINE_Risk'!$E$500:$E$923,0))*N($H773),0)</f>
        <v/>
      </c>
      <c r="L773">
        <f>IFERROR(MIN(5,$K773/MAX(1,'_CONFIG_Model_Settings'!$B$105)),0)</f>
        <v/>
      </c>
    </row>
    <row r="774">
      <c r="A774" t="inlineStr">
        <is>
          <t>INI-058</t>
        </is>
      </c>
      <c r="B774" t="inlineStr">
        <is>
          <t>Implement data ownership, quality and governance framework</t>
        </is>
      </c>
      <c r="C774" t="inlineStr">
        <is>
          <t>STR-05</t>
        </is>
      </c>
      <c r="D774" t="inlineStr">
        <is>
          <t>DATA-005</t>
        </is>
      </c>
      <c r="E774" t="inlineStr">
        <is>
          <t>Data BI AI</t>
        </is>
      </c>
      <c r="F774" t="inlineStr">
        <is>
          <t>Data governance</t>
        </is>
      </c>
      <c r="G774">
        <f>IFERROR(INDEX('_ENGINE_Risk'!$BS$500:$BS$923,MATCH($D774,'_ENGINE_Risk'!$E$500:$E$923,0)),0)</f>
        <v/>
      </c>
      <c r="H774" t="n">
        <v>1</v>
      </c>
      <c r="I774">
        <f>IFERROR(MAX(0,5-INDEX('_ENGINE_Risk'!$H$500:$H$923,MATCH($D774,'_ENGINE_Risk'!$E$500:$E$923,0))),0)</f>
        <v/>
      </c>
      <c r="J774" t="inlineStr">
        <is>
          <t>P1 many-to-many coverage row</t>
        </is>
      </c>
      <c r="K774">
        <f>IFERROR(INDEX('_ENGINE_Risk'!$BI$500:$BI$923,MATCH($D774,'_ENGINE_Risk'!$E$500:$E$923,0))*N($H774),0)</f>
        <v/>
      </c>
      <c r="L774">
        <f>IFERROR(MIN(5,$K774/MAX(1,'_CONFIG_Model_Settings'!$B$105)),0)</f>
        <v/>
      </c>
    </row>
    <row r="775">
      <c r="A775" t="inlineStr">
        <is>
          <t>INI-058</t>
        </is>
      </c>
      <c r="B775" t="inlineStr">
        <is>
          <t>Implement data ownership, quality and governance framework</t>
        </is>
      </c>
      <c r="C775" t="inlineStr">
        <is>
          <t>STR-05</t>
        </is>
      </c>
      <c r="D775" t="inlineStr">
        <is>
          <t>DATA-006</t>
        </is>
      </c>
      <c r="E775" t="inlineStr">
        <is>
          <t>Data BI AI</t>
        </is>
      </c>
      <c r="F775" t="inlineStr">
        <is>
          <t>Data governance</t>
        </is>
      </c>
      <c r="G775">
        <f>IFERROR(INDEX('_ENGINE_Risk'!$BS$500:$BS$923,MATCH($D775,'_ENGINE_Risk'!$E$500:$E$923,0)),0)</f>
        <v/>
      </c>
      <c r="H775" t="n">
        <v>1</v>
      </c>
      <c r="I775">
        <f>IFERROR(MAX(0,5-INDEX('_ENGINE_Risk'!$H$500:$H$923,MATCH($D775,'_ENGINE_Risk'!$E$500:$E$923,0))),0)</f>
        <v/>
      </c>
      <c r="J775" t="inlineStr">
        <is>
          <t>P1 many-to-many coverage row</t>
        </is>
      </c>
      <c r="K775">
        <f>IFERROR(INDEX('_ENGINE_Risk'!$BI$500:$BI$923,MATCH($D775,'_ENGINE_Risk'!$E$500:$E$923,0))*N($H775),0)</f>
        <v/>
      </c>
      <c r="L775">
        <f>IFERROR(MIN(5,$K775/MAX(1,'_CONFIG_Model_Settings'!$B$105)),0)</f>
        <v/>
      </c>
    </row>
    <row r="776">
      <c r="A776" t="inlineStr">
        <is>
          <t>INI-059</t>
        </is>
      </c>
      <c r="B776" t="inlineStr">
        <is>
          <t>Build resilient data architecture, integration and storage foundation</t>
        </is>
      </c>
      <c r="C776" t="inlineStr">
        <is>
          <t>STR-05</t>
        </is>
      </c>
      <c r="D776" t="inlineStr">
        <is>
          <t>DATA-007</t>
        </is>
      </c>
      <c r="E776" t="inlineStr">
        <is>
          <t>Data BI AI</t>
        </is>
      </c>
      <c r="F776" t="inlineStr">
        <is>
          <t>Data architecture</t>
        </is>
      </c>
      <c r="G776">
        <f>IFERROR(INDEX('_ENGINE_Risk'!$BS$500:$BS$923,MATCH($D776,'_ENGINE_Risk'!$E$500:$E$923,0)),0)</f>
        <v/>
      </c>
      <c r="H776" t="n">
        <v>1</v>
      </c>
      <c r="I776">
        <f>IFERROR(MAX(0,5-INDEX('_ENGINE_Risk'!$H$500:$H$923,MATCH($D776,'_ENGINE_Risk'!$E$500:$E$923,0))),0)</f>
        <v/>
      </c>
      <c r="J776" t="inlineStr">
        <is>
          <t>P1 many-to-many coverage row</t>
        </is>
      </c>
      <c r="K776">
        <f>IFERROR(INDEX('_ENGINE_Risk'!$BI$500:$BI$923,MATCH($D776,'_ENGINE_Risk'!$E$500:$E$923,0))*N($H776),0)</f>
        <v/>
      </c>
      <c r="L776">
        <f>IFERROR(MIN(5,$K776/MAX(1,'_CONFIG_Model_Settings'!$B$105)),0)</f>
        <v/>
      </c>
    </row>
    <row r="777">
      <c r="A777" t="inlineStr">
        <is>
          <t>INI-059</t>
        </is>
      </c>
      <c r="B777" t="inlineStr">
        <is>
          <t>Build resilient data architecture, integration and storage foundation</t>
        </is>
      </c>
      <c r="C777" t="inlineStr">
        <is>
          <t>STR-05</t>
        </is>
      </c>
      <c r="D777" t="inlineStr">
        <is>
          <t>DATA-008</t>
        </is>
      </c>
      <c r="E777" t="inlineStr">
        <is>
          <t>Data BI AI</t>
        </is>
      </c>
      <c r="F777" t="inlineStr">
        <is>
          <t>Data architecture</t>
        </is>
      </c>
      <c r="G777">
        <f>IFERROR(INDEX('_ENGINE_Risk'!$BS$500:$BS$923,MATCH($D777,'_ENGINE_Risk'!$E$500:$E$923,0)),0)</f>
        <v/>
      </c>
      <c r="H777" t="n">
        <v>1</v>
      </c>
      <c r="I777">
        <f>IFERROR(MAX(0,5-INDEX('_ENGINE_Risk'!$H$500:$H$923,MATCH($D777,'_ENGINE_Risk'!$E$500:$E$923,0))),0)</f>
        <v/>
      </c>
      <c r="J777" t="inlineStr">
        <is>
          <t>P1 many-to-many coverage row</t>
        </is>
      </c>
      <c r="K777">
        <f>IFERROR(INDEX('_ENGINE_Risk'!$BI$500:$BI$923,MATCH($D777,'_ENGINE_Risk'!$E$500:$E$923,0))*N($H777),0)</f>
        <v/>
      </c>
      <c r="L777">
        <f>IFERROR(MIN(5,$K777/MAX(1,'_CONFIG_Model_Settings'!$B$105)),0)</f>
        <v/>
      </c>
    </row>
    <row r="778">
      <c r="A778" t="inlineStr">
        <is>
          <t>INI-059</t>
        </is>
      </c>
      <c r="B778" t="inlineStr">
        <is>
          <t>Build resilient data architecture, integration and storage foundation</t>
        </is>
      </c>
      <c r="C778" t="inlineStr">
        <is>
          <t>STR-05</t>
        </is>
      </c>
      <c r="D778" t="inlineStr">
        <is>
          <t>DATA-009</t>
        </is>
      </c>
      <c r="E778" t="inlineStr">
        <is>
          <t>Data BI AI</t>
        </is>
      </c>
      <c r="F778" t="inlineStr">
        <is>
          <t>Data architecture</t>
        </is>
      </c>
      <c r="G778">
        <f>IFERROR(INDEX('_ENGINE_Risk'!$BS$500:$BS$923,MATCH($D778,'_ENGINE_Risk'!$E$500:$E$923,0)),0)</f>
        <v/>
      </c>
      <c r="H778" t="n">
        <v>1</v>
      </c>
      <c r="I778">
        <f>IFERROR(MAX(0,5-INDEX('_ENGINE_Risk'!$H$500:$H$923,MATCH($D778,'_ENGINE_Risk'!$E$500:$E$923,0))),0)</f>
        <v/>
      </c>
      <c r="J778" t="inlineStr">
        <is>
          <t>P1 many-to-many coverage row</t>
        </is>
      </c>
      <c r="K778">
        <f>IFERROR(INDEX('_ENGINE_Risk'!$BI$500:$BI$923,MATCH($D778,'_ENGINE_Risk'!$E$500:$E$923,0))*N($H778),0)</f>
        <v/>
      </c>
      <c r="L778">
        <f>IFERROR(MIN(5,$K778/MAX(1,'_CONFIG_Model_Settings'!$B$105)),0)</f>
        <v/>
      </c>
    </row>
    <row r="779">
      <c r="A779" t="inlineStr">
        <is>
          <t>INI-059</t>
        </is>
      </c>
      <c r="B779" t="inlineStr">
        <is>
          <t>Build resilient data architecture, integration and storage foundation</t>
        </is>
      </c>
      <c r="C779" t="inlineStr">
        <is>
          <t>STR-05</t>
        </is>
      </c>
      <c r="D779" t="inlineStr">
        <is>
          <t>DATA-010</t>
        </is>
      </c>
      <c r="E779" t="inlineStr">
        <is>
          <t>Data BI AI</t>
        </is>
      </c>
      <c r="F779" t="inlineStr">
        <is>
          <t>Data architecture</t>
        </is>
      </c>
      <c r="G779">
        <f>IFERROR(INDEX('_ENGINE_Risk'!$BS$500:$BS$923,MATCH($D779,'_ENGINE_Risk'!$E$500:$E$923,0)),0)</f>
        <v/>
      </c>
      <c r="H779" t="n">
        <v>1</v>
      </c>
      <c r="I779">
        <f>IFERROR(MAX(0,5-INDEX('_ENGINE_Risk'!$H$500:$H$923,MATCH($D779,'_ENGINE_Risk'!$E$500:$E$923,0))),0)</f>
        <v/>
      </c>
      <c r="J779" t="inlineStr">
        <is>
          <t>P1 many-to-many coverage row</t>
        </is>
      </c>
      <c r="K779">
        <f>IFERROR(INDEX('_ENGINE_Risk'!$BI$500:$BI$923,MATCH($D779,'_ENGINE_Risk'!$E$500:$E$923,0))*N($H779),0)</f>
        <v/>
      </c>
      <c r="L779">
        <f>IFERROR(MIN(5,$K779/MAX(1,'_CONFIG_Model_Settings'!$B$105)),0)</f>
        <v/>
      </c>
    </row>
    <row r="780">
      <c r="A780" t="inlineStr">
        <is>
          <t>INI-059</t>
        </is>
      </c>
      <c r="B780" t="inlineStr">
        <is>
          <t>Build resilient data architecture, integration and storage foundation</t>
        </is>
      </c>
      <c r="C780" t="inlineStr">
        <is>
          <t>STR-05</t>
        </is>
      </c>
      <c r="D780" t="inlineStr">
        <is>
          <t>DATA-011</t>
        </is>
      </c>
      <c r="E780" t="inlineStr">
        <is>
          <t>Data BI AI</t>
        </is>
      </c>
      <c r="F780" t="inlineStr">
        <is>
          <t>Data architecture</t>
        </is>
      </c>
      <c r="G780">
        <f>IFERROR(INDEX('_ENGINE_Risk'!$BS$500:$BS$923,MATCH($D780,'_ENGINE_Risk'!$E$500:$E$923,0)),0)</f>
        <v/>
      </c>
      <c r="H780" t="n">
        <v>1</v>
      </c>
      <c r="I780">
        <f>IFERROR(MAX(0,5-INDEX('_ENGINE_Risk'!$H$500:$H$923,MATCH($D780,'_ENGINE_Risk'!$E$500:$E$923,0))),0)</f>
        <v/>
      </c>
      <c r="J780" t="inlineStr">
        <is>
          <t>P1 many-to-many coverage row</t>
        </is>
      </c>
      <c r="K780">
        <f>IFERROR(INDEX('_ENGINE_Risk'!$BI$500:$BI$923,MATCH($D780,'_ENGINE_Risk'!$E$500:$E$923,0))*N($H780),0)</f>
        <v/>
      </c>
      <c r="L780">
        <f>IFERROR(MIN(5,$K780/MAX(1,'_CONFIG_Model_Settings'!$B$105)),0)</f>
        <v/>
      </c>
    </row>
    <row r="781">
      <c r="A781" t="inlineStr">
        <is>
          <t>INI-059</t>
        </is>
      </c>
      <c r="B781" t="inlineStr">
        <is>
          <t>Build resilient data architecture, integration and storage foundation</t>
        </is>
      </c>
      <c r="C781" t="inlineStr">
        <is>
          <t>STR-05</t>
        </is>
      </c>
      <c r="D781" t="inlineStr">
        <is>
          <t>DATA-012</t>
        </is>
      </c>
      <c r="E781" t="inlineStr">
        <is>
          <t>Data BI AI</t>
        </is>
      </c>
      <c r="F781" t="inlineStr">
        <is>
          <t>Data architecture</t>
        </is>
      </c>
      <c r="G781">
        <f>IFERROR(INDEX('_ENGINE_Risk'!$BS$500:$BS$923,MATCH($D781,'_ENGINE_Risk'!$E$500:$E$923,0)),0)</f>
        <v/>
      </c>
      <c r="H781" t="n">
        <v>1</v>
      </c>
      <c r="I781">
        <f>IFERROR(MAX(0,5-INDEX('_ENGINE_Risk'!$H$500:$H$923,MATCH($D781,'_ENGINE_Risk'!$E$500:$E$923,0))),0)</f>
        <v/>
      </c>
      <c r="J781" t="inlineStr">
        <is>
          <t>P1 many-to-many coverage row</t>
        </is>
      </c>
      <c r="K781">
        <f>IFERROR(INDEX('_ENGINE_Risk'!$BI$500:$BI$923,MATCH($D781,'_ENGINE_Risk'!$E$500:$E$923,0))*N($H781),0)</f>
        <v/>
      </c>
      <c r="L781">
        <f>IFERROR(MIN(5,$K781/MAX(1,'_CONFIG_Model_Settings'!$B$105)),0)</f>
        <v/>
      </c>
    </row>
    <row r="782">
      <c r="A782" t="inlineStr">
        <is>
          <t>INI-060</t>
        </is>
      </c>
      <c r="B782" t="inlineStr">
        <is>
          <t>Create BI analytics layer for crisis and operational decisions</t>
        </is>
      </c>
      <c r="C782" t="inlineStr">
        <is>
          <t>STR-05</t>
        </is>
      </c>
      <c r="D782" t="inlineStr">
        <is>
          <t>DATA-013</t>
        </is>
      </c>
      <c r="E782" t="inlineStr">
        <is>
          <t>Data BI AI</t>
        </is>
      </c>
      <c r="F782" t="inlineStr">
        <is>
          <t>BI and analytics</t>
        </is>
      </c>
      <c r="G782">
        <f>IFERROR(INDEX('_ENGINE_Risk'!$BS$500:$BS$923,MATCH($D782,'_ENGINE_Risk'!$E$500:$E$923,0)),0)</f>
        <v/>
      </c>
      <c r="H782" t="n">
        <v>1</v>
      </c>
      <c r="I782">
        <f>IFERROR(MAX(0,5-INDEX('_ENGINE_Risk'!$H$500:$H$923,MATCH($D782,'_ENGINE_Risk'!$E$500:$E$923,0))),0)</f>
        <v/>
      </c>
      <c r="J782" t="inlineStr">
        <is>
          <t>P1 many-to-many coverage row</t>
        </is>
      </c>
      <c r="K782">
        <f>IFERROR(INDEX('_ENGINE_Risk'!$BI$500:$BI$923,MATCH($D782,'_ENGINE_Risk'!$E$500:$E$923,0))*N($H782),0)</f>
        <v/>
      </c>
      <c r="L782">
        <f>IFERROR(MIN(5,$K782/MAX(1,'_CONFIG_Model_Settings'!$B$105)),0)</f>
        <v/>
      </c>
    </row>
    <row r="783">
      <c r="A783" t="inlineStr">
        <is>
          <t>INI-060</t>
        </is>
      </c>
      <c r="B783" t="inlineStr">
        <is>
          <t>Create BI analytics layer for crisis and operational decisions</t>
        </is>
      </c>
      <c r="C783" t="inlineStr">
        <is>
          <t>STR-05</t>
        </is>
      </c>
      <c r="D783" t="inlineStr">
        <is>
          <t>DATA-014</t>
        </is>
      </c>
      <c r="E783" t="inlineStr">
        <is>
          <t>Data BI AI</t>
        </is>
      </c>
      <c r="F783" t="inlineStr">
        <is>
          <t>BI and analytics</t>
        </is>
      </c>
      <c r="G783">
        <f>IFERROR(INDEX('_ENGINE_Risk'!$BS$500:$BS$923,MATCH($D783,'_ENGINE_Risk'!$E$500:$E$923,0)),0)</f>
        <v/>
      </c>
      <c r="H783" t="n">
        <v>1</v>
      </c>
      <c r="I783">
        <f>IFERROR(MAX(0,5-INDEX('_ENGINE_Risk'!$H$500:$H$923,MATCH($D783,'_ENGINE_Risk'!$E$500:$E$923,0))),0)</f>
        <v/>
      </c>
      <c r="J783" t="inlineStr">
        <is>
          <t>P1 many-to-many coverage row</t>
        </is>
      </c>
      <c r="K783">
        <f>IFERROR(INDEX('_ENGINE_Risk'!$BI$500:$BI$923,MATCH($D783,'_ENGINE_Risk'!$E$500:$E$923,0))*N($H783),0)</f>
        <v/>
      </c>
      <c r="L783">
        <f>IFERROR(MIN(5,$K783/MAX(1,'_CONFIG_Model_Settings'!$B$105)),0)</f>
        <v/>
      </c>
    </row>
    <row r="784">
      <c r="A784" t="inlineStr">
        <is>
          <t>INI-060</t>
        </is>
      </c>
      <c r="B784" t="inlineStr">
        <is>
          <t>Create BI analytics layer for crisis and operational decisions</t>
        </is>
      </c>
      <c r="C784" t="inlineStr">
        <is>
          <t>STR-05</t>
        </is>
      </c>
      <c r="D784" t="inlineStr">
        <is>
          <t>DATA-015</t>
        </is>
      </c>
      <c r="E784" t="inlineStr">
        <is>
          <t>Data BI AI</t>
        </is>
      </c>
      <c r="F784" t="inlineStr">
        <is>
          <t>BI and analytics</t>
        </is>
      </c>
      <c r="G784">
        <f>IFERROR(INDEX('_ENGINE_Risk'!$BS$500:$BS$923,MATCH($D784,'_ENGINE_Risk'!$E$500:$E$923,0)),0)</f>
        <v/>
      </c>
      <c r="H784" t="n">
        <v>1</v>
      </c>
      <c r="I784">
        <f>IFERROR(MAX(0,5-INDEX('_ENGINE_Risk'!$H$500:$H$923,MATCH($D784,'_ENGINE_Risk'!$E$500:$E$923,0))),0)</f>
        <v/>
      </c>
      <c r="J784" t="inlineStr">
        <is>
          <t>P1 many-to-many coverage row</t>
        </is>
      </c>
      <c r="K784">
        <f>IFERROR(INDEX('_ENGINE_Risk'!$BI$500:$BI$923,MATCH($D784,'_ENGINE_Risk'!$E$500:$E$923,0))*N($H784),0)</f>
        <v/>
      </c>
      <c r="L784">
        <f>IFERROR(MIN(5,$K784/MAX(1,'_CONFIG_Model_Settings'!$B$105)),0)</f>
        <v/>
      </c>
    </row>
    <row r="785">
      <c r="A785" t="inlineStr">
        <is>
          <t>INI-060</t>
        </is>
      </c>
      <c r="B785" t="inlineStr">
        <is>
          <t>Create BI analytics layer for crisis and operational decisions</t>
        </is>
      </c>
      <c r="C785" t="inlineStr">
        <is>
          <t>STR-05</t>
        </is>
      </c>
      <c r="D785" t="inlineStr">
        <is>
          <t>DATA-016</t>
        </is>
      </c>
      <c r="E785" t="inlineStr">
        <is>
          <t>Data BI AI</t>
        </is>
      </c>
      <c r="F785" t="inlineStr">
        <is>
          <t>BI and analytics</t>
        </is>
      </c>
      <c r="G785">
        <f>IFERROR(INDEX('_ENGINE_Risk'!$BS$500:$BS$923,MATCH($D785,'_ENGINE_Risk'!$E$500:$E$923,0)),0)</f>
        <v/>
      </c>
      <c r="H785" t="n">
        <v>1</v>
      </c>
      <c r="I785">
        <f>IFERROR(MAX(0,5-INDEX('_ENGINE_Risk'!$H$500:$H$923,MATCH($D785,'_ENGINE_Risk'!$E$500:$E$923,0))),0)</f>
        <v/>
      </c>
      <c r="J785" t="inlineStr">
        <is>
          <t>P1 many-to-many coverage row</t>
        </is>
      </c>
      <c r="K785">
        <f>IFERROR(INDEX('_ENGINE_Risk'!$BI$500:$BI$923,MATCH($D785,'_ENGINE_Risk'!$E$500:$E$923,0))*N($H785),0)</f>
        <v/>
      </c>
      <c r="L785">
        <f>IFERROR(MIN(5,$K785/MAX(1,'_CONFIG_Model_Settings'!$B$105)),0)</f>
        <v/>
      </c>
    </row>
    <row r="786">
      <c r="A786" t="inlineStr">
        <is>
          <t>INI-060</t>
        </is>
      </c>
      <c r="B786" t="inlineStr">
        <is>
          <t>Create BI analytics layer for crisis and operational decisions</t>
        </is>
      </c>
      <c r="C786" t="inlineStr">
        <is>
          <t>STR-05</t>
        </is>
      </c>
      <c r="D786" t="inlineStr">
        <is>
          <t>DATA-017</t>
        </is>
      </c>
      <c r="E786" t="inlineStr">
        <is>
          <t>Data BI AI</t>
        </is>
      </c>
      <c r="F786" t="inlineStr">
        <is>
          <t>BI and analytics</t>
        </is>
      </c>
      <c r="G786">
        <f>IFERROR(INDEX('_ENGINE_Risk'!$BS$500:$BS$923,MATCH($D786,'_ENGINE_Risk'!$E$500:$E$923,0)),0)</f>
        <v/>
      </c>
      <c r="H786" t="n">
        <v>1</v>
      </c>
      <c r="I786">
        <f>IFERROR(MAX(0,5-INDEX('_ENGINE_Risk'!$H$500:$H$923,MATCH($D786,'_ENGINE_Risk'!$E$500:$E$923,0))),0)</f>
        <v/>
      </c>
      <c r="J786" t="inlineStr">
        <is>
          <t>P1 many-to-many coverage row</t>
        </is>
      </c>
      <c r="K786">
        <f>IFERROR(INDEX('_ENGINE_Risk'!$BI$500:$BI$923,MATCH($D786,'_ENGINE_Risk'!$E$500:$E$923,0))*N($H786),0)</f>
        <v/>
      </c>
      <c r="L786">
        <f>IFERROR(MIN(5,$K786/MAX(1,'_CONFIG_Model_Settings'!$B$105)),0)</f>
        <v/>
      </c>
    </row>
    <row r="787">
      <c r="A787" t="inlineStr">
        <is>
          <t>INI-060</t>
        </is>
      </c>
      <c r="B787" t="inlineStr">
        <is>
          <t>Create BI analytics layer for crisis and operational decisions</t>
        </is>
      </c>
      <c r="C787" t="inlineStr">
        <is>
          <t>STR-05</t>
        </is>
      </c>
      <c r="D787" t="inlineStr">
        <is>
          <t>DATA-018</t>
        </is>
      </c>
      <c r="E787" t="inlineStr">
        <is>
          <t>Data BI AI</t>
        </is>
      </c>
      <c r="F787" t="inlineStr">
        <is>
          <t>BI and analytics</t>
        </is>
      </c>
      <c r="G787">
        <f>IFERROR(INDEX('_ENGINE_Risk'!$BS$500:$BS$923,MATCH($D787,'_ENGINE_Risk'!$E$500:$E$923,0)),0)</f>
        <v/>
      </c>
      <c r="H787" t="n">
        <v>1</v>
      </c>
      <c r="I787">
        <f>IFERROR(MAX(0,5-INDEX('_ENGINE_Risk'!$H$500:$H$923,MATCH($D787,'_ENGINE_Risk'!$E$500:$E$923,0))),0)</f>
        <v/>
      </c>
      <c r="J787" t="inlineStr">
        <is>
          <t>P1 many-to-many coverage row</t>
        </is>
      </c>
      <c r="K787">
        <f>IFERROR(INDEX('_ENGINE_Risk'!$BI$500:$BI$923,MATCH($D787,'_ENGINE_Risk'!$E$500:$E$923,0))*N($H787),0)</f>
        <v/>
      </c>
      <c r="L787">
        <f>IFERROR(MIN(5,$K787/MAX(1,'_CONFIG_Model_Settings'!$B$105)),0)</f>
        <v/>
      </c>
    </row>
    <row r="788">
      <c r="A788" t="inlineStr">
        <is>
          <t>INI-061</t>
        </is>
      </c>
      <c r="B788" t="inlineStr">
        <is>
          <t>Build forecasting and scenario analytics capability</t>
        </is>
      </c>
      <c r="C788" t="inlineStr">
        <is>
          <t>STR-05</t>
        </is>
      </c>
      <c r="D788" t="inlineStr">
        <is>
          <t>DATA-019</t>
        </is>
      </c>
      <c r="E788" t="inlineStr">
        <is>
          <t>Data BI AI</t>
        </is>
      </c>
      <c r="F788" t="inlineStr">
        <is>
          <t>Forecasting and scenarios</t>
        </is>
      </c>
      <c r="G788">
        <f>IFERROR(INDEX('_ENGINE_Risk'!$BS$500:$BS$923,MATCH($D788,'_ENGINE_Risk'!$E$500:$E$923,0)),0)</f>
        <v/>
      </c>
      <c r="H788" t="n">
        <v>1</v>
      </c>
      <c r="I788">
        <f>IFERROR(MAX(0,5-INDEX('_ENGINE_Risk'!$H$500:$H$923,MATCH($D788,'_ENGINE_Risk'!$E$500:$E$923,0))),0)</f>
        <v/>
      </c>
      <c r="J788" t="inlineStr">
        <is>
          <t>P1 many-to-many coverage row</t>
        </is>
      </c>
      <c r="K788">
        <f>IFERROR(INDEX('_ENGINE_Risk'!$BI$500:$BI$923,MATCH($D788,'_ENGINE_Risk'!$E$500:$E$923,0))*N($H788),0)</f>
        <v/>
      </c>
      <c r="L788">
        <f>IFERROR(MIN(5,$K788/MAX(1,'_CONFIG_Model_Settings'!$B$105)),0)</f>
        <v/>
      </c>
    </row>
    <row r="789">
      <c r="A789" t="inlineStr">
        <is>
          <t>INI-061</t>
        </is>
      </c>
      <c r="B789" t="inlineStr">
        <is>
          <t>Build forecasting and scenario analytics capability</t>
        </is>
      </c>
      <c r="C789" t="inlineStr">
        <is>
          <t>STR-05</t>
        </is>
      </c>
      <c r="D789" t="inlineStr">
        <is>
          <t>DATA-020</t>
        </is>
      </c>
      <c r="E789" t="inlineStr">
        <is>
          <t>Data BI AI</t>
        </is>
      </c>
      <c r="F789" t="inlineStr">
        <is>
          <t>Forecasting and scenarios</t>
        </is>
      </c>
      <c r="G789">
        <f>IFERROR(INDEX('_ENGINE_Risk'!$BS$500:$BS$923,MATCH($D789,'_ENGINE_Risk'!$E$500:$E$923,0)),0)</f>
        <v/>
      </c>
      <c r="H789" t="n">
        <v>1</v>
      </c>
      <c r="I789">
        <f>IFERROR(MAX(0,5-INDEX('_ENGINE_Risk'!$H$500:$H$923,MATCH($D789,'_ENGINE_Risk'!$E$500:$E$923,0))),0)</f>
        <v/>
      </c>
      <c r="J789" t="inlineStr">
        <is>
          <t>P1 many-to-many coverage row</t>
        </is>
      </c>
      <c r="K789">
        <f>IFERROR(INDEX('_ENGINE_Risk'!$BI$500:$BI$923,MATCH($D789,'_ENGINE_Risk'!$E$500:$E$923,0))*N($H789),0)</f>
        <v/>
      </c>
      <c r="L789">
        <f>IFERROR(MIN(5,$K789/MAX(1,'_CONFIG_Model_Settings'!$B$105)),0)</f>
        <v/>
      </c>
    </row>
    <row r="790">
      <c r="A790" t="inlineStr">
        <is>
          <t>INI-061</t>
        </is>
      </c>
      <c r="B790" t="inlineStr">
        <is>
          <t>Build forecasting and scenario analytics capability</t>
        </is>
      </c>
      <c r="C790" t="inlineStr">
        <is>
          <t>STR-05</t>
        </is>
      </c>
      <c r="D790" t="inlineStr">
        <is>
          <t>DATA-021</t>
        </is>
      </c>
      <c r="E790" t="inlineStr">
        <is>
          <t>Data BI AI</t>
        </is>
      </c>
      <c r="F790" t="inlineStr">
        <is>
          <t>Forecasting and scenarios</t>
        </is>
      </c>
      <c r="G790">
        <f>IFERROR(INDEX('_ENGINE_Risk'!$BS$500:$BS$923,MATCH($D790,'_ENGINE_Risk'!$E$500:$E$923,0)),0)</f>
        <v/>
      </c>
      <c r="H790" t="n">
        <v>1</v>
      </c>
      <c r="I790">
        <f>IFERROR(MAX(0,5-INDEX('_ENGINE_Risk'!$H$500:$H$923,MATCH($D790,'_ENGINE_Risk'!$E$500:$E$923,0))),0)</f>
        <v/>
      </c>
      <c r="J790" t="inlineStr">
        <is>
          <t>P1 many-to-many coverage row</t>
        </is>
      </c>
      <c r="K790">
        <f>IFERROR(INDEX('_ENGINE_Risk'!$BI$500:$BI$923,MATCH($D790,'_ENGINE_Risk'!$E$500:$E$923,0))*N($H790),0)</f>
        <v/>
      </c>
      <c r="L790">
        <f>IFERROR(MIN(5,$K790/MAX(1,'_CONFIG_Model_Settings'!$B$105)),0)</f>
        <v/>
      </c>
    </row>
    <row r="791">
      <c r="A791" t="inlineStr">
        <is>
          <t>INI-061</t>
        </is>
      </c>
      <c r="B791" t="inlineStr">
        <is>
          <t>Build forecasting and scenario analytics capability</t>
        </is>
      </c>
      <c r="C791" t="inlineStr">
        <is>
          <t>STR-05</t>
        </is>
      </c>
      <c r="D791" t="inlineStr">
        <is>
          <t>DATA-022</t>
        </is>
      </c>
      <c r="E791" t="inlineStr">
        <is>
          <t>Data BI AI</t>
        </is>
      </c>
      <c r="F791" t="inlineStr">
        <is>
          <t>Forecasting and scenarios</t>
        </is>
      </c>
      <c r="G791">
        <f>IFERROR(INDEX('_ENGINE_Risk'!$BS$500:$BS$923,MATCH($D791,'_ENGINE_Risk'!$E$500:$E$923,0)),0)</f>
        <v/>
      </c>
      <c r="H791" t="n">
        <v>1</v>
      </c>
      <c r="I791">
        <f>IFERROR(MAX(0,5-INDEX('_ENGINE_Risk'!$H$500:$H$923,MATCH($D791,'_ENGINE_Risk'!$E$500:$E$923,0))),0)</f>
        <v/>
      </c>
      <c r="J791" t="inlineStr">
        <is>
          <t>P1 many-to-many coverage row</t>
        </is>
      </c>
      <c r="K791">
        <f>IFERROR(INDEX('_ENGINE_Risk'!$BI$500:$BI$923,MATCH($D791,'_ENGINE_Risk'!$E$500:$E$923,0))*N($H791),0)</f>
        <v/>
      </c>
      <c r="L791">
        <f>IFERROR(MIN(5,$K791/MAX(1,'_CONFIG_Model_Settings'!$B$105)),0)</f>
        <v/>
      </c>
    </row>
    <row r="792">
      <c r="A792" t="inlineStr">
        <is>
          <t>INI-062</t>
        </is>
      </c>
      <c r="B792" t="inlineStr">
        <is>
          <t>Implement AI readiness, governance and use-case portfolio</t>
        </is>
      </c>
      <c r="C792" t="inlineStr">
        <is>
          <t>STR-05</t>
        </is>
      </c>
      <c r="D792" t="inlineStr">
        <is>
          <t>DATA-023</t>
        </is>
      </c>
      <c r="E792" t="inlineStr">
        <is>
          <t>Data BI AI</t>
        </is>
      </c>
      <c r="F792" t="inlineStr">
        <is>
          <t>AI readiness</t>
        </is>
      </c>
      <c r="G792">
        <f>IFERROR(INDEX('_ENGINE_Risk'!$BS$500:$BS$923,MATCH($D792,'_ENGINE_Risk'!$E$500:$E$923,0)),0)</f>
        <v/>
      </c>
      <c r="H792" t="n">
        <v>1</v>
      </c>
      <c r="I792">
        <f>IFERROR(MAX(0,5-INDEX('_ENGINE_Risk'!$H$500:$H$923,MATCH($D792,'_ENGINE_Risk'!$E$500:$E$923,0))),0)</f>
        <v/>
      </c>
      <c r="J792" t="inlineStr">
        <is>
          <t>P1 many-to-many coverage row</t>
        </is>
      </c>
      <c r="K792">
        <f>IFERROR(INDEX('_ENGINE_Risk'!$BI$500:$BI$923,MATCH($D792,'_ENGINE_Risk'!$E$500:$E$923,0))*N($H792),0)</f>
        <v/>
      </c>
      <c r="L792">
        <f>IFERROR(MIN(5,$K792/MAX(1,'_CONFIG_Model_Settings'!$B$105)),0)</f>
        <v/>
      </c>
    </row>
    <row r="793">
      <c r="A793" t="inlineStr">
        <is>
          <t>INI-062</t>
        </is>
      </c>
      <c r="B793" t="inlineStr">
        <is>
          <t>Implement AI readiness, governance and use-case portfolio</t>
        </is>
      </c>
      <c r="C793" t="inlineStr">
        <is>
          <t>STR-05</t>
        </is>
      </c>
      <c r="D793" t="inlineStr">
        <is>
          <t>DATA-024</t>
        </is>
      </c>
      <c r="E793" t="inlineStr">
        <is>
          <t>Data BI AI</t>
        </is>
      </c>
      <c r="F793" t="inlineStr">
        <is>
          <t>AI readiness</t>
        </is>
      </c>
      <c r="G793">
        <f>IFERROR(INDEX('_ENGINE_Risk'!$BS$500:$BS$923,MATCH($D793,'_ENGINE_Risk'!$E$500:$E$923,0)),0)</f>
        <v/>
      </c>
      <c r="H793" t="n">
        <v>1</v>
      </c>
      <c r="I793">
        <f>IFERROR(MAX(0,5-INDEX('_ENGINE_Risk'!$H$500:$H$923,MATCH($D793,'_ENGINE_Risk'!$E$500:$E$923,0))),0)</f>
        <v/>
      </c>
      <c r="J793" t="inlineStr">
        <is>
          <t>P1 many-to-many coverage row</t>
        </is>
      </c>
      <c r="K793">
        <f>IFERROR(INDEX('_ENGINE_Risk'!$BI$500:$BI$923,MATCH($D793,'_ENGINE_Risk'!$E$500:$E$923,0))*N($H793),0)</f>
        <v/>
      </c>
      <c r="L793">
        <f>IFERROR(MIN(5,$K793/MAX(1,'_CONFIG_Model_Settings'!$B$105)),0)</f>
        <v/>
      </c>
    </row>
    <row r="794">
      <c r="A794" t="inlineStr">
        <is>
          <t>INI-062</t>
        </is>
      </c>
      <c r="B794" t="inlineStr">
        <is>
          <t>Implement AI readiness, governance and use-case portfolio</t>
        </is>
      </c>
      <c r="C794" t="inlineStr">
        <is>
          <t>STR-05</t>
        </is>
      </c>
      <c r="D794" t="inlineStr">
        <is>
          <t>DATA-025</t>
        </is>
      </c>
      <c r="E794" t="inlineStr">
        <is>
          <t>Data BI AI</t>
        </is>
      </c>
      <c r="F794" t="inlineStr">
        <is>
          <t>AI readiness</t>
        </is>
      </c>
      <c r="G794">
        <f>IFERROR(INDEX('_ENGINE_Risk'!$BS$500:$BS$923,MATCH($D794,'_ENGINE_Risk'!$E$500:$E$923,0)),0)</f>
        <v/>
      </c>
      <c r="H794" t="n">
        <v>1</v>
      </c>
      <c r="I794">
        <f>IFERROR(MAX(0,5-INDEX('_ENGINE_Risk'!$H$500:$H$923,MATCH($D794,'_ENGINE_Risk'!$E$500:$E$923,0))),0)</f>
        <v/>
      </c>
      <c r="J794" t="inlineStr">
        <is>
          <t>P1 many-to-many coverage row</t>
        </is>
      </c>
      <c r="K794">
        <f>IFERROR(INDEX('_ENGINE_Risk'!$BI$500:$BI$923,MATCH($D794,'_ENGINE_Risk'!$E$500:$E$923,0))*N($H794),0)</f>
        <v/>
      </c>
      <c r="L794">
        <f>IFERROR(MIN(5,$K794/MAX(1,'_CONFIG_Model_Settings'!$B$105)),0)</f>
        <v/>
      </c>
    </row>
    <row r="795">
      <c r="A795" t="inlineStr">
        <is>
          <t>INI-062</t>
        </is>
      </c>
      <c r="B795" t="inlineStr">
        <is>
          <t>Implement AI readiness, governance and use-case portfolio</t>
        </is>
      </c>
      <c r="C795" t="inlineStr">
        <is>
          <t>STR-05</t>
        </is>
      </c>
      <c r="D795" t="inlineStr">
        <is>
          <t>DATA-026</t>
        </is>
      </c>
      <c r="E795" t="inlineStr">
        <is>
          <t>Data BI AI</t>
        </is>
      </c>
      <c r="F795" t="inlineStr">
        <is>
          <t>AI readiness</t>
        </is>
      </c>
      <c r="G795">
        <f>IFERROR(INDEX('_ENGINE_Risk'!$BS$500:$BS$923,MATCH($D795,'_ENGINE_Risk'!$E$500:$E$923,0)),0)</f>
        <v/>
      </c>
      <c r="H795" t="n">
        <v>1</v>
      </c>
      <c r="I795">
        <f>IFERROR(MAX(0,5-INDEX('_ENGINE_Risk'!$H$500:$H$923,MATCH($D795,'_ENGINE_Risk'!$E$500:$E$923,0))),0)</f>
        <v/>
      </c>
      <c r="J795" t="inlineStr">
        <is>
          <t>P1 many-to-many coverage row</t>
        </is>
      </c>
      <c r="K795">
        <f>IFERROR(INDEX('_ENGINE_Risk'!$BI$500:$BI$923,MATCH($D795,'_ENGINE_Risk'!$E$500:$E$923,0))*N($H795),0)</f>
        <v/>
      </c>
      <c r="L795">
        <f>IFERROR(MIN(5,$K795/MAX(1,'_CONFIG_Model_Settings'!$B$105)),0)</f>
        <v/>
      </c>
    </row>
    <row r="796">
      <c r="A796" t="inlineStr">
        <is>
          <t>INI-062</t>
        </is>
      </c>
      <c r="B796" t="inlineStr">
        <is>
          <t>Implement AI readiness, governance and use-case portfolio</t>
        </is>
      </c>
      <c r="C796" t="inlineStr">
        <is>
          <t>STR-05</t>
        </is>
      </c>
      <c r="D796" t="inlineStr">
        <is>
          <t>DATA-027</t>
        </is>
      </c>
      <c r="E796" t="inlineStr">
        <is>
          <t>Data BI AI</t>
        </is>
      </c>
      <c r="F796" t="inlineStr">
        <is>
          <t>AI readiness</t>
        </is>
      </c>
      <c r="G796">
        <f>IFERROR(INDEX('_ENGINE_Risk'!$BS$500:$BS$923,MATCH($D796,'_ENGINE_Risk'!$E$500:$E$923,0)),0)</f>
        <v/>
      </c>
      <c r="H796" t="n">
        <v>1</v>
      </c>
      <c r="I796">
        <f>IFERROR(MAX(0,5-INDEX('_ENGINE_Risk'!$H$500:$H$923,MATCH($D796,'_ENGINE_Risk'!$E$500:$E$923,0))),0)</f>
        <v/>
      </c>
      <c r="J796" t="inlineStr">
        <is>
          <t>P1 many-to-many coverage row</t>
        </is>
      </c>
      <c r="K796">
        <f>IFERROR(INDEX('_ENGINE_Risk'!$BI$500:$BI$923,MATCH($D796,'_ENGINE_Risk'!$E$500:$E$923,0))*N($H796),0)</f>
        <v/>
      </c>
      <c r="L796">
        <f>IFERROR(MIN(5,$K796/MAX(1,'_CONFIG_Model_Settings'!$B$105)),0)</f>
        <v/>
      </c>
    </row>
    <row r="797">
      <c r="A797" t="inlineStr">
        <is>
          <t>INI-063</t>
        </is>
      </c>
      <c r="B797" t="inlineStr">
        <is>
          <t>Implement security governance and risk-management operating model</t>
        </is>
      </c>
      <c r="C797" t="inlineStr">
        <is>
          <t>STR-04</t>
        </is>
      </c>
      <c r="D797" t="inlineStr">
        <is>
          <t>CYBE-001</t>
        </is>
      </c>
      <c r="E797" t="inlineStr">
        <is>
          <t>Cyber Privacy</t>
        </is>
      </c>
      <c r="F797" t="inlineStr">
        <is>
          <t>Security governance</t>
        </is>
      </c>
      <c r="G797">
        <f>IFERROR(INDEX('_ENGINE_Risk'!$BS$500:$BS$923,MATCH($D797,'_ENGINE_Risk'!$E$500:$E$923,0)),0)</f>
        <v/>
      </c>
      <c r="H797" t="n">
        <v>1</v>
      </c>
      <c r="I797">
        <f>IFERROR(MAX(0,5-INDEX('_ENGINE_Risk'!$H$500:$H$923,MATCH($D797,'_ENGINE_Risk'!$E$500:$E$923,0))),0)</f>
        <v/>
      </c>
      <c r="J797" t="inlineStr">
        <is>
          <t>P1 many-to-many coverage row</t>
        </is>
      </c>
      <c r="K797">
        <f>IFERROR(INDEX('_ENGINE_Risk'!$BI$500:$BI$923,MATCH($D797,'_ENGINE_Risk'!$E$500:$E$923,0))*N($H797),0)</f>
        <v/>
      </c>
      <c r="L797">
        <f>IFERROR(MIN(5,$K797/MAX(1,'_CONFIG_Model_Settings'!$B$105)),0)</f>
        <v/>
      </c>
    </row>
    <row r="798">
      <c r="A798" t="inlineStr">
        <is>
          <t>INI-063</t>
        </is>
      </c>
      <c r="B798" t="inlineStr">
        <is>
          <t>Implement security governance and risk-management operating model</t>
        </is>
      </c>
      <c r="C798" t="inlineStr">
        <is>
          <t>STR-04</t>
        </is>
      </c>
      <c r="D798" t="inlineStr">
        <is>
          <t>CYBE-002</t>
        </is>
      </c>
      <c r="E798" t="inlineStr">
        <is>
          <t>Cyber Privacy</t>
        </is>
      </c>
      <c r="F798" t="inlineStr">
        <is>
          <t>Security governance</t>
        </is>
      </c>
      <c r="G798">
        <f>IFERROR(INDEX('_ENGINE_Risk'!$BS$500:$BS$923,MATCH($D798,'_ENGINE_Risk'!$E$500:$E$923,0)),0)</f>
        <v/>
      </c>
      <c r="H798" t="n">
        <v>1</v>
      </c>
      <c r="I798">
        <f>IFERROR(MAX(0,5-INDEX('_ENGINE_Risk'!$H$500:$H$923,MATCH($D798,'_ENGINE_Risk'!$E$500:$E$923,0))),0)</f>
        <v/>
      </c>
      <c r="J798" t="inlineStr">
        <is>
          <t>P1 many-to-many coverage row</t>
        </is>
      </c>
      <c r="K798">
        <f>IFERROR(INDEX('_ENGINE_Risk'!$BI$500:$BI$923,MATCH($D798,'_ENGINE_Risk'!$E$500:$E$923,0))*N($H798),0)</f>
        <v/>
      </c>
      <c r="L798">
        <f>IFERROR(MIN(5,$K798/MAX(1,'_CONFIG_Model_Settings'!$B$105)),0)</f>
        <v/>
      </c>
    </row>
    <row r="799">
      <c r="A799" t="inlineStr">
        <is>
          <t>INI-063</t>
        </is>
      </c>
      <c r="B799" t="inlineStr">
        <is>
          <t>Implement security governance and risk-management operating model</t>
        </is>
      </c>
      <c r="C799" t="inlineStr">
        <is>
          <t>STR-04</t>
        </is>
      </c>
      <c r="D799" t="inlineStr">
        <is>
          <t>CYBE-003</t>
        </is>
      </c>
      <c r="E799" t="inlineStr">
        <is>
          <t>Cyber Privacy</t>
        </is>
      </c>
      <c r="F799" t="inlineStr">
        <is>
          <t>Security governance</t>
        </is>
      </c>
      <c r="G799">
        <f>IFERROR(INDEX('_ENGINE_Risk'!$BS$500:$BS$923,MATCH($D799,'_ENGINE_Risk'!$E$500:$E$923,0)),0)</f>
        <v/>
      </c>
      <c r="H799" t="n">
        <v>1</v>
      </c>
      <c r="I799">
        <f>IFERROR(MAX(0,5-INDEX('_ENGINE_Risk'!$H$500:$H$923,MATCH($D799,'_ENGINE_Risk'!$E$500:$E$923,0))),0)</f>
        <v/>
      </c>
      <c r="J799" t="inlineStr">
        <is>
          <t>P1 many-to-many coverage row</t>
        </is>
      </c>
      <c r="K799">
        <f>IFERROR(INDEX('_ENGINE_Risk'!$BI$500:$BI$923,MATCH($D799,'_ENGINE_Risk'!$E$500:$E$923,0))*N($H799),0)</f>
        <v/>
      </c>
      <c r="L799">
        <f>IFERROR(MIN(5,$K799/MAX(1,'_CONFIG_Model_Settings'!$B$105)),0)</f>
        <v/>
      </c>
    </row>
    <row r="800">
      <c r="A800" t="inlineStr">
        <is>
          <t>INI-063</t>
        </is>
      </c>
      <c r="B800" t="inlineStr">
        <is>
          <t>Implement security governance and risk-management operating model</t>
        </is>
      </c>
      <c r="C800" t="inlineStr">
        <is>
          <t>STR-04</t>
        </is>
      </c>
      <c r="D800" t="inlineStr">
        <is>
          <t>CYBE-004</t>
        </is>
      </c>
      <c r="E800" t="inlineStr">
        <is>
          <t>Cyber Privacy</t>
        </is>
      </c>
      <c r="F800" t="inlineStr">
        <is>
          <t>Security governance</t>
        </is>
      </c>
      <c r="G800">
        <f>IFERROR(INDEX('_ENGINE_Risk'!$BS$500:$BS$923,MATCH($D800,'_ENGINE_Risk'!$E$500:$E$923,0)),0)</f>
        <v/>
      </c>
      <c r="H800" t="n">
        <v>1</v>
      </c>
      <c r="I800">
        <f>IFERROR(MAX(0,5-INDEX('_ENGINE_Risk'!$H$500:$H$923,MATCH($D800,'_ENGINE_Risk'!$E$500:$E$923,0))),0)</f>
        <v/>
      </c>
      <c r="J800" t="inlineStr">
        <is>
          <t>P1 many-to-many coverage row</t>
        </is>
      </c>
      <c r="K800">
        <f>IFERROR(INDEX('_ENGINE_Risk'!$BI$500:$BI$923,MATCH($D800,'_ENGINE_Risk'!$E$500:$E$923,0))*N($H800),0)</f>
        <v/>
      </c>
      <c r="L800">
        <f>IFERROR(MIN(5,$K800/MAX(1,'_CONFIG_Model_Settings'!$B$105)),0)</f>
        <v/>
      </c>
    </row>
    <row r="801">
      <c r="A801" t="inlineStr">
        <is>
          <t>INI-063</t>
        </is>
      </c>
      <c r="B801" t="inlineStr">
        <is>
          <t>Implement security governance and risk-management operating model</t>
        </is>
      </c>
      <c r="C801" t="inlineStr">
        <is>
          <t>STR-04</t>
        </is>
      </c>
      <c r="D801" t="inlineStr">
        <is>
          <t>CYBE-005</t>
        </is>
      </c>
      <c r="E801" t="inlineStr">
        <is>
          <t>Cyber Privacy</t>
        </is>
      </c>
      <c r="F801" t="inlineStr">
        <is>
          <t>Security governance</t>
        </is>
      </c>
      <c r="G801">
        <f>IFERROR(INDEX('_ENGINE_Risk'!$BS$500:$BS$923,MATCH($D801,'_ENGINE_Risk'!$E$500:$E$923,0)),0)</f>
        <v/>
      </c>
      <c r="H801" t="n">
        <v>1</v>
      </c>
      <c r="I801">
        <f>IFERROR(MAX(0,5-INDEX('_ENGINE_Risk'!$H$500:$H$923,MATCH($D801,'_ENGINE_Risk'!$E$500:$E$923,0))),0)</f>
        <v/>
      </c>
      <c r="J801" t="inlineStr">
        <is>
          <t>P1 many-to-many coverage row</t>
        </is>
      </c>
      <c r="K801">
        <f>IFERROR(INDEX('_ENGINE_Risk'!$BI$500:$BI$923,MATCH($D801,'_ENGINE_Risk'!$E$500:$E$923,0))*N($H801),0)</f>
        <v/>
      </c>
      <c r="L801">
        <f>IFERROR(MIN(5,$K801/MAX(1,'_CONFIG_Model_Settings'!$B$105)),0)</f>
        <v/>
      </c>
    </row>
    <row r="802">
      <c r="A802" t="inlineStr">
        <is>
          <t>INI-063</t>
        </is>
      </c>
      <c r="B802" t="inlineStr">
        <is>
          <t>Implement security governance and risk-management operating model</t>
        </is>
      </c>
      <c r="C802" t="inlineStr">
        <is>
          <t>STR-04</t>
        </is>
      </c>
      <c r="D802" t="inlineStr">
        <is>
          <t>CYBE-006</t>
        </is>
      </c>
      <c r="E802" t="inlineStr">
        <is>
          <t>Cyber Privacy</t>
        </is>
      </c>
      <c r="F802" t="inlineStr">
        <is>
          <t>Security governance</t>
        </is>
      </c>
      <c r="G802">
        <f>IFERROR(INDEX('_ENGINE_Risk'!$BS$500:$BS$923,MATCH($D802,'_ENGINE_Risk'!$E$500:$E$923,0)),0)</f>
        <v/>
      </c>
      <c r="H802" t="n">
        <v>1</v>
      </c>
      <c r="I802">
        <f>IFERROR(MAX(0,5-INDEX('_ENGINE_Risk'!$H$500:$H$923,MATCH($D802,'_ENGINE_Risk'!$E$500:$E$923,0))),0)</f>
        <v/>
      </c>
      <c r="J802" t="inlineStr">
        <is>
          <t>P1 many-to-many coverage row</t>
        </is>
      </c>
      <c r="K802">
        <f>IFERROR(INDEX('_ENGINE_Risk'!$BI$500:$BI$923,MATCH($D802,'_ENGINE_Risk'!$E$500:$E$923,0))*N($H802),0)</f>
        <v/>
      </c>
      <c r="L802">
        <f>IFERROR(MIN(5,$K802/MAX(1,'_CONFIG_Model_Settings'!$B$105)),0)</f>
        <v/>
      </c>
    </row>
    <row r="803">
      <c r="A803" t="inlineStr">
        <is>
          <t>INI-064</t>
        </is>
      </c>
      <c r="B803" t="inlineStr">
        <is>
          <t>Strengthen IAM, MFA, privileged access and joiner/mover/leaver controls</t>
        </is>
      </c>
      <c r="C803" t="inlineStr">
        <is>
          <t>STR-04</t>
        </is>
      </c>
      <c r="D803" t="inlineStr">
        <is>
          <t>CYBE-007</t>
        </is>
      </c>
      <c r="E803" t="inlineStr">
        <is>
          <t>Cyber Privacy</t>
        </is>
      </c>
      <c r="F803" t="inlineStr">
        <is>
          <t>Identity and access</t>
        </is>
      </c>
      <c r="G803">
        <f>IFERROR(INDEX('_ENGINE_Risk'!$BS$500:$BS$923,MATCH($D803,'_ENGINE_Risk'!$E$500:$E$923,0)),0)</f>
        <v/>
      </c>
      <c r="H803" t="n">
        <v>1</v>
      </c>
      <c r="I803">
        <f>IFERROR(MAX(0,5-INDEX('_ENGINE_Risk'!$H$500:$H$923,MATCH($D803,'_ENGINE_Risk'!$E$500:$E$923,0))),0)</f>
        <v/>
      </c>
      <c r="J803" t="inlineStr">
        <is>
          <t>P1 many-to-many coverage row</t>
        </is>
      </c>
      <c r="K803">
        <f>IFERROR(INDEX('_ENGINE_Risk'!$BI$500:$BI$923,MATCH($D803,'_ENGINE_Risk'!$E$500:$E$923,0))*N($H803),0)</f>
        <v/>
      </c>
      <c r="L803">
        <f>IFERROR(MIN(5,$K803/MAX(1,'_CONFIG_Model_Settings'!$B$105)),0)</f>
        <v/>
      </c>
    </row>
    <row r="804">
      <c r="A804" t="inlineStr">
        <is>
          <t>INI-064</t>
        </is>
      </c>
      <c r="B804" t="inlineStr">
        <is>
          <t>Strengthen IAM, MFA, privileged access and joiner/mover/leaver controls</t>
        </is>
      </c>
      <c r="C804" t="inlineStr">
        <is>
          <t>STR-04</t>
        </is>
      </c>
      <c r="D804" t="inlineStr">
        <is>
          <t>CYBE-008</t>
        </is>
      </c>
      <c r="E804" t="inlineStr">
        <is>
          <t>Cyber Privacy</t>
        </is>
      </c>
      <c r="F804" t="inlineStr">
        <is>
          <t>Identity and access</t>
        </is>
      </c>
      <c r="G804">
        <f>IFERROR(INDEX('_ENGINE_Risk'!$BS$500:$BS$923,MATCH($D804,'_ENGINE_Risk'!$E$500:$E$923,0)),0)</f>
        <v/>
      </c>
      <c r="H804" t="n">
        <v>1</v>
      </c>
      <c r="I804">
        <f>IFERROR(MAX(0,5-INDEX('_ENGINE_Risk'!$H$500:$H$923,MATCH($D804,'_ENGINE_Risk'!$E$500:$E$923,0))),0)</f>
        <v/>
      </c>
      <c r="J804" t="inlineStr">
        <is>
          <t>P1 many-to-many coverage row</t>
        </is>
      </c>
      <c r="K804">
        <f>IFERROR(INDEX('_ENGINE_Risk'!$BI$500:$BI$923,MATCH($D804,'_ENGINE_Risk'!$E$500:$E$923,0))*N($H804),0)</f>
        <v/>
      </c>
      <c r="L804">
        <f>IFERROR(MIN(5,$K804/MAX(1,'_CONFIG_Model_Settings'!$B$105)),0)</f>
        <v/>
      </c>
    </row>
    <row r="805">
      <c r="A805" t="inlineStr">
        <is>
          <t>INI-064</t>
        </is>
      </c>
      <c r="B805" t="inlineStr">
        <is>
          <t>Strengthen IAM, MFA, privileged access and joiner/mover/leaver controls</t>
        </is>
      </c>
      <c r="C805" t="inlineStr">
        <is>
          <t>STR-04</t>
        </is>
      </c>
      <c r="D805" t="inlineStr">
        <is>
          <t>CYBE-009</t>
        </is>
      </c>
      <c r="E805" t="inlineStr">
        <is>
          <t>Cyber Privacy</t>
        </is>
      </c>
      <c r="F805" t="inlineStr">
        <is>
          <t>Identity and access</t>
        </is>
      </c>
      <c r="G805">
        <f>IFERROR(INDEX('_ENGINE_Risk'!$BS$500:$BS$923,MATCH($D805,'_ENGINE_Risk'!$E$500:$E$923,0)),0)</f>
        <v/>
      </c>
      <c r="H805" t="n">
        <v>1</v>
      </c>
      <c r="I805">
        <f>IFERROR(MAX(0,5-INDEX('_ENGINE_Risk'!$H$500:$H$923,MATCH($D805,'_ENGINE_Risk'!$E$500:$E$923,0))),0)</f>
        <v/>
      </c>
      <c r="J805" t="inlineStr">
        <is>
          <t>P1 many-to-many coverage row</t>
        </is>
      </c>
      <c r="K805">
        <f>IFERROR(INDEX('_ENGINE_Risk'!$BI$500:$BI$923,MATCH($D805,'_ENGINE_Risk'!$E$500:$E$923,0))*N($H805),0)</f>
        <v/>
      </c>
      <c r="L805">
        <f>IFERROR(MIN(5,$K805/MAX(1,'_CONFIG_Model_Settings'!$B$105)),0)</f>
        <v/>
      </c>
    </row>
    <row r="806">
      <c r="A806" t="inlineStr">
        <is>
          <t>INI-064</t>
        </is>
      </c>
      <c r="B806" t="inlineStr">
        <is>
          <t>Strengthen IAM, MFA, privileged access and joiner/mover/leaver controls</t>
        </is>
      </c>
      <c r="C806" t="inlineStr">
        <is>
          <t>STR-04</t>
        </is>
      </c>
      <c r="D806" t="inlineStr">
        <is>
          <t>CYBE-010</t>
        </is>
      </c>
      <c r="E806" t="inlineStr">
        <is>
          <t>Cyber Privacy</t>
        </is>
      </c>
      <c r="F806" t="inlineStr">
        <is>
          <t>Identity and access</t>
        </is>
      </c>
      <c r="G806">
        <f>IFERROR(INDEX('_ENGINE_Risk'!$BS$500:$BS$923,MATCH($D806,'_ENGINE_Risk'!$E$500:$E$923,0)),0)</f>
        <v/>
      </c>
      <c r="H806" t="n">
        <v>1</v>
      </c>
      <c r="I806">
        <f>IFERROR(MAX(0,5-INDEX('_ENGINE_Risk'!$H$500:$H$923,MATCH($D806,'_ENGINE_Risk'!$E$500:$E$923,0))),0)</f>
        <v/>
      </c>
      <c r="J806" t="inlineStr">
        <is>
          <t>P1 many-to-many coverage row</t>
        </is>
      </c>
      <c r="K806">
        <f>IFERROR(INDEX('_ENGINE_Risk'!$BI$500:$BI$923,MATCH($D806,'_ENGINE_Risk'!$E$500:$E$923,0))*N($H806),0)</f>
        <v/>
      </c>
      <c r="L806">
        <f>IFERROR(MIN(5,$K806/MAX(1,'_CONFIG_Model_Settings'!$B$105)),0)</f>
        <v/>
      </c>
    </row>
    <row r="807">
      <c r="A807" t="inlineStr">
        <is>
          <t>INI-064</t>
        </is>
      </c>
      <c r="B807" t="inlineStr">
        <is>
          <t>Strengthen IAM, MFA, privileged access and joiner/mover/leaver controls</t>
        </is>
      </c>
      <c r="C807" t="inlineStr">
        <is>
          <t>STR-04</t>
        </is>
      </c>
      <c r="D807" t="inlineStr">
        <is>
          <t>CYBE-011</t>
        </is>
      </c>
      <c r="E807" t="inlineStr">
        <is>
          <t>Cyber Privacy</t>
        </is>
      </c>
      <c r="F807" t="inlineStr">
        <is>
          <t>Identity and access</t>
        </is>
      </c>
      <c r="G807">
        <f>IFERROR(INDEX('_ENGINE_Risk'!$BS$500:$BS$923,MATCH($D807,'_ENGINE_Risk'!$E$500:$E$923,0)),0)</f>
        <v/>
      </c>
      <c r="H807" t="n">
        <v>1</v>
      </c>
      <c r="I807">
        <f>IFERROR(MAX(0,5-INDEX('_ENGINE_Risk'!$H$500:$H$923,MATCH($D807,'_ENGINE_Risk'!$E$500:$E$923,0))),0)</f>
        <v/>
      </c>
      <c r="J807" t="inlineStr">
        <is>
          <t>P1 many-to-many coverage row</t>
        </is>
      </c>
      <c r="K807">
        <f>IFERROR(INDEX('_ENGINE_Risk'!$BI$500:$BI$923,MATCH($D807,'_ENGINE_Risk'!$E$500:$E$923,0))*N($H807),0)</f>
        <v/>
      </c>
      <c r="L807">
        <f>IFERROR(MIN(5,$K807/MAX(1,'_CONFIG_Model_Settings'!$B$105)),0)</f>
        <v/>
      </c>
    </row>
    <row r="808">
      <c r="A808" t="inlineStr">
        <is>
          <t>INI-064</t>
        </is>
      </c>
      <c r="B808" t="inlineStr">
        <is>
          <t>Strengthen IAM, MFA, privileged access and joiner/mover/leaver controls</t>
        </is>
      </c>
      <c r="C808" t="inlineStr">
        <is>
          <t>STR-04</t>
        </is>
      </c>
      <c r="D808" t="inlineStr">
        <is>
          <t>CYBE-012</t>
        </is>
      </c>
      <c r="E808" t="inlineStr">
        <is>
          <t>Cyber Privacy</t>
        </is>
      </c>
      <c r="F808" t="inlineStr">
        <is>
          <t>Identity and access</t>
        </is>
      </c>
      <c r="G808">
        <f>IFERROR(INDEX('_ENGINE_Risk'!$BS$500:$BS$923,MATCH($D808,'_ENGINE_Risk'!$E$500:$E$923,0)),0)</f>
        <v/>
      </c>
      <c r="H808" t="n">
        <v>1</v>
      </c>
      <c r="I808">
        <f>IFERROR(MAX(0,5-INDEX('_ENGINE_Risk'!$H$500:$H$923,MATCH($D808,'_ENGINE_Risk'!$E$500:$E$923,0))),0)</f>
        <v/>
      </c>
      <c r="J808" t="inlineStr">
        <is>
          <t>P1 many-to-many coverage row</t>
        </is>
      </c>
      <c r="K808">
        <f>IFERROR(INDEX('_ENGINE_Risk'!$BI$500:$BI$923,MATCH($D808,'_ENGINE_Risk'!$E$500:$E$923,0))*N($H808),0)</f>
        <v/>
      </c>
      <c r="L808">
        <f>IFERROR(MIN(5,$K808/MAX(1,'_CONFIG_Model_Settings'!$B$105)),0)</f>
        <v/>
      </c>
    </row>
    <row r="809">
      <c r="A809" t="inlineStr">
        <is>
          <t>INI-065</t>
        </is>
      </c>
      <c r="B809" t="inlineStr">
        <is>
          <t>Improve endpoint, network, backup and vulnerability protection</t>
        </is>
      </c>
      <c r="C809" t="inlineStr">
        <is>
          <t>STR-04</t>
        </is>
      </c>
      <c r="D809" t="inlineStr">
        <is>
          <t>CYBE-013</t>
        </is>
      </c>
      <c r="E809" t="inlineStr">
        <is>
          <t>Cyber Privacy</t>
        </is>
      </c>
      <c r="F809" t="inlineStr">
        <is>
          <t>Protection</t>
        </is>
      </c>
      <c r="G809">
        <f>IFERROR(INDEX('_ENGINE_Risk'!$BS$500:$BS$923,MATCH($D809,'_ENGINE_Risk'!$E$500:$E$923,0)),0)</f>
        <v/>
      </c>
      <c r="H809" t="n">
        <v>1</v>
      </c>
      <c r="I809">
        <f>IFERROR(MAX(0,5-INDEX('_ENGINE_Risk'!$H$500:$H$923,MATCH($D809,'_ENGINE_Risk'!$E$500:$E$923,0))),0)</f>
        <v/>
      </c>
      <c r="J809" t="inlineStr">
        <is>
          <t>P1 many-to-many coverage row</t>
        </is>
      </c>
      <c r="K809">
        <f>IFERROR(INDEX('_ENGINE_Risk'!$BI$500:$BI$923,MATCH($D809,'_ENGINE_Risk'!$E$500:$E$923,0))*N($H809),0)</f>
        <v/>
      </c>
      <c r="L809">
        <f>IFERROR(MIN(5,$K809/MAX(1,'_CONFIG_Model_Settings'!$B$105)),0)</f>
        <v/>
      </c>
    </row>
    <row r="810">
      <c r="A810" t="inlineStr">
        <is>
          <t>INI-065</t>
        </is>
      </c>
      <c r="B810" t="inlineStr">
        <is>
          <t>Improve endpoint, network, backup and vulnerability protection</t>
        </is>
      </c>
      <c r="C810" t="inlineStr">
        <is>
          <t>STR-04</t>
        </is>
      </c>
      <c r="D810" t="inlineStr">
        <is>
          <t>CYBE-014</t>
        </is>
      </c>
      <c r="E810" t="inlineStr">
        <is>
          <t>Cyber Privacy</t>
        </is>
      </c>
      <c r="F810" t="inlineStr">
        <is>
          <t>Protection</t>
        </is>
      </c>
      <c r="G810">
        <f>IFERROR(INDEX('_ENGINE_Risk'!$BS$500:$BS$923,MATCH($D810,'_ENGINE_Risk'!$E$500:$E$923,0)),0)</f>
        <v/>
      </c>
      <c r="H810" t="n">
        <v>1</v>
      </c>
      <c r="I810">
        <f>IFERROR(MAX(0,5-INDEX('_ENGINE_Risk'!$H$500:$H$923,MATCH($D810,'_ENGINE_Risk'!$E$500:$E$923,0))),0)</f>
        <v/>
      </c>
      <c r="J810" t="inlineStr">
        <is>
          <t>P1 many-to-many coverage row</t>
        </is>
      </c>
      <c r="K810">
        <f>IFERROR(INDEX('_ENGINE_Risk'!$BI$500:$BI$923,MATCH($D810,'_ENGINE_Risk'!$E$500:$E$923,0))*N($H810),0)</f>
        <v/>
      </c>
      <c r="L810">
        <f>IFERROR(MIN(5,$K810/MAX(1,'_CONFIG_Model_Settings'!$B$105)),0)</f>
        <v/>
      </c>
    </row>
    <row r="811">
      <c r="A811" t="inlineStr">
        <is>
          <t>INI-065</t>
        </is>
      </c>
      <c r="B811" t="inlineStr">
        <is>
          <t>Improve endpoint, network, backup and vulnerability protection</t>
        </is>
      </c>
      <c r="C811" t="inlineStr">
        <is>
          <t>STR-04</t>
        </is>
      </c>
      <c r="D811" t="inlineStr">
        <is>
          <t>CYBE-015</t>
        </is>
      </c>
      <c r="E811" t="inlineStr">
        <is>
          <t>Cyber Privacy</t>
        </is>
      </c>
      <c r="F811" t="inlineStr">
        <is>
          <t>Protection</t>
        </is>
      </c>
      <c r="G811">
        <f>IFERROR(INDEX('_ENGINE_Risk'!$BS$500:$BS$923,MATCH($D811,'_ENGINE_Risk'!$E$500:$E$923,0)),0)</f>
        <v/>
      </c>
      <c r="H811" t="n">
        <v>1</v>
      </c>
      <c r="I811">
        <f>IFERROR(MAX(0,5-INDEX('_ENGINE_Risk'!$H$500:$H$923,MATCH($D811,'_ENGINE_Risk'!$E$500:$E$923,0))),0)</f>
        <v/>
      </c>
      <c r="J811" t="inlineStr">
        <is>
          <t>P1 many-to-many coverage row</t>
        </is>
      </c>
      <c r="K811">
        <f>IFERROR(INDEX('_ENGINE_Risk'!$BI$500:$BI$923,MATCH($D811,'_ENGINE_Risk'!$E$500:$E$923,0))*N($H811),0)</f>
        <v/>
      </c>
      <c r="L811">
        <f>IFERROR(MIN(5,$K811/MAX(1,'_CONFIG_Model_Settings'!$B$105)),0)</f>
        <v/>
      </c>
    </row>
    <row r="812">
      <c r="A812" t="inlineStr">
        <is>
          <t>INI-065</t>
        </is>
      </c>
      <c r="B812" t="inlineStr">
        <is>
          <t>Improve endpoint, network, backup and vulnerability protection</t>
        </is>
      </c>
      <c r="C812" t="inlineStr">
        <is>
          <t>STR-04</t>
        </is>
      </c>
      <c r="D812" t="inlineStr">
        <is>
          <t>CYBE-016</t>
        </is>
      </c>
      <c r="E812" t="inlineStr">
        <is>
          <t>Cyber Privacy</t>
        </is>
      </c>
      <c r="F812" t="inlineStr">
        <is>
          <t>Protection</t>
        </is>
      </c>
      <c r="G812">
        <f>IFERROR(INDEX('_ENGINE_Risk'!$BS$500:$BS$923,MATCH($D812,'_ENGINE_Risk'!$E$500:$E$923,0)),0)</f>
        <v/>
      </c>
      <c r="H812" t="n">
        <v>1</v>
      </c>
      <c r="I812">
        <f>IFERROR(MAX(0,5-INDEX('_ENGINE_Risk'!$H$500:$H$923,MATCH($D812,'_ENGINE_Risk'!$E$500:$E$923,0))),0)</f>
        <v/>
      </c>
      <c r="J812" t="inlineStr">
        <is>
          <t>P1 many-to-many coverage row</t>
        </is>
      </c>
      <c r="K812">
        <f>IFERROR(INDEX('_ENGINE_Risk'!$BI$500:$BI$923,MATCH($D812,'_ENGINE_Risk'!$E$500:$E$923,0))*N($H812),0)</f>
        <v/>
      </c>
      <c r="L812">
        <f>IFERROR(MIN(5,$K812/MAX(1,'_CONFIG_Model_Settings'!$B$105)),0)</f>
        <v/>
      </c>
    </row>
    <row r="813">
      <c r="A813" t="inlineStr">
        <is>
          <t>INI-065</t>
        </is>
      </c>
      <c r="B813" t="inlineStr">
        <is>
          <t>Improve endpoint, network, backup and vulnerability protection</t>
        </is>
      </c>
      <c r="C813" t="inlineStr">
        <is>
          <t>STR-04</t>
        </is>
      </c>
      <c r="D813" t="inlineStr">
        <is>
          <t>CYBE-017</t>
        </is>
      </c>
      <c r="E813" t="inlineStr">
        <is>
          <t>Cyber Privacy</t>
        </is>
      </c>
      <c r="F813" t="inlineStr">
        <is>
          <t>Protection</t>
        </is>
      </c>
      <c r="G813">
        <f>IFERROR(INDEX('_ENGINE_Risk'!$BS$500:$BS$923,MATCH($D813,'_ENGINE_Risk'!$E$500:$E$923,0)),0)</f>
        <v/>
      </c>
      <c r="H813" t="n">
        <v>1</v>
      </c>
      <c r="I813">
        <f>IFERROR(MAX(0,5-INDEX('_ENGINE_Risk'!$H$500:$H$923,MATCH($D813,'_ENGINE_Risk'!$E$500:$E$923,0))),0)</f>
        <v/>
      </c>
      <c r="J813" t="inlineStr">
        <is>
          <t>P1 many-to-many coverage row</t>
        </is>
      </c>
      <c r="K813">
        <f>IFERROR(INDEX('_ENGINE_Risk'!$BI$500:$BI$923,MATCH($D813,'_ENGINE_Risk'!$E$500:$E$923,0))*N($H813),0)</f>
        <v/>
      </c>
      <c r="L813">
        <f>IFERROR(MIN(5,$K813/MAX(1,'_CONFIG_Model_Settings'!$B$105)),0)</f>
        <v/>
      </c>
    </row>
    <row r="814">
      <c r="A814" t="inlineStr">
        <is>
          <t>INI-065</t>
        </is>
      </c>
      <c r="B814" t="inlineStr">
        <is>
          <t>Improve endpoint, network, backup and vulnerability protection</t>
        </is>
      </c>
      <c r="C814" t="inlineStr">
        <is>
          <t>STR-04</t>
        </is>
      </c>
      <c r="D814" t="inlineStr">
        <is>
          <t>CYBE-018</t>
        </is>
      </c>
      <c r="E814" t="inlineStr">
        <is>
          <t>Cyber Privacy</t>
        </is>
      </c>
      <c r="F814" t="inlineStr">
        <is>
          <t>Protection</t>
        </is>
      </c>
      <c r="G814">
        <f>IFERROR(INDEX('_ENGINE_Risk'!$BS$500:$BS$923,MATCH($D814,'_ENGINE_Risk'!$E$500:$E$923,0)),0)</f>
        <v/>
      </c>
      <c r="H814" t="n">
        <v>1</v>
      </c>
      <c r="I814">
        <f>IFERROR(MAX(0,5-INDEX('_ENGINE_Risk'!$H$500:$H$923,MATCH($D814,'_ENGINE_Risk'!$E$500:$E$923,0))),0)</f>
        <v/>
      </c>
      <c r="J814" t="inlineStr">
        <is>
          <t>P1 many-to-many coverage row</t>
        </is>
      </c>
      <c r="K814">
        <f>IFERROR(INDEX('_ENGINE_Risk'!$BI$500:$BI$923,MATCH($D814,'_ENGINE_Risk'!$E$500:$E$923,0))*N($H814),0)</f>
        <v/>
      </c>
      <c r="L814">
        <f>IFERROR(MIN(5,$K814/MAX(1,'_CONFIG_Model_Settings'!$B$105)),0)</f>
        <v/>
      </c>
    </row>
    <row r="815">
      <c r="A815" t="inlineStr">
        <is>
          <t>INI-065</t>
        </is>
      </c>
      <c r="B815" t="inlineStr">
        <is>
          <t>Improve endpoint, network, backup and vulnerability protection</t>
        </is>
      </c>
      <c r="C815" t="inlineStr">
        <is>
          <t>STR-04</t>
        </is>
      </c>
      <c r="D815" t="inlineStr">
        <is>
          <t>CYBE-019</t>
        </is>
      </c>
      <c r="E815" t="inlineStr">
        <is>
          <t>Cyber Privacy</t>
        </is>
      </c>
      <c r="F815" t="inlineStr">
        <is>
          <t>Protection</t>
        </is>
      </c>
      <c r="G815">
        <f>IFERROR(INDEX('_ENGINE_Risk'!$BS$500:$BS$923,MATCH($D815,'_ENGINE_Risk'!$E$500:$E$923,0)),0)</f>
        <v/>
      </c>
      <c r="H815" t="n">
        <v>1</v>
      </c>
      <c r="I815">
        <f>IFERROR(MAX(0,5-INDEX('_ENGINE_Risk'!$H$500:$H$923,MATCH($D815,'_ENGINE_Risk'!$E$500:$E$923,0))),0)</f>
        <v/>
      </c>
      <c r="J815" t="inlineStr">
        <is>
          <t>P1 many-to-many coverage row</t>
        </is>
      </c>
      <c r="K815">
        <f>IFERROR(INDEX('_ENGINE_Risk'!$BI$500:$BI$923,MATCH($D815,'_ENGINE_Risk'!$E$500:$E$923,0))*N($H815),0)</f>
        <v/>
      </c>
      <c r="L815">
        <f>IFERROR(MIN(5,$K815/MAX(1,'_CONFIG_Model_Settings'!$B$105)),0)</f>
        <v/>
      </c>
    </row>
    <row r="816">
      <c r="A816" t="inlineStr">
        <is>
          <t>INI-065</t>
        </is>
      </c>
      <c r="B816" t="inlineStr">
        <is>
          <t>Improve endpoint, network, backup and vulnerability protection</t>
        </is>
      </c>
      <c r="C816" t="inlineStr">
        <is>
          <t>STR-04</t>
        </is>
      </c>
      <c r="D816" t="inlineStr">
        <is>
          <t>CYBE-020</t>
        </is>
      </c>
      <c r="E816" t="inlineStr">
        <is>
          <t>Cyber Privacy</t>
        </is>
      </c>
      <c r="F816" t="inlineStr">
        <is>
          <t>Protection</t>
        </is>
      </c>
      <c r="G816">
        <f>IFERROR(INDEX('_ENGINE_Risk'!$BS$500:$BS$923,MATCH($D816,'_ENGINE_Risk'!$E$500:$E$923,0)),0)</f>
        <v/>
      </c>
      <c r="H816" t="n">
        <v>1</v>
      </c>
      <c r="I816">
        <f>IFERROR(MAX(0,5-INDEX('_ENGINE_Risk'!$H$500:$H$923,MATCH($D816,'_ENGINE_Risk'!$E$500:$E$923,0))),0)</f>
        <v/>
      </c>
      <c r="J816" t="inlineStr">
        <is>
          <t>P1 many-to-many coverage row</t>
        </is>
      </c>
      <c r="K816">
        <f>IFERROR(INDEX('_ENGINE_Risk'!$BI$500:$BI$923,MATCH($D816,'_ENGINE_Risk'!$E$500:$E$923,0))*N($H816),0)</f>
        <v/>
      </c>
      <c r="L816">
        <f>IFERROR(MIN(5,$K816/MAX(1,'_CONFIG_Model_Settings'!$B$105)),0)</f>
        <v/>
      </c>
    </row>
    <row r="817">
      <c r="A817" t="inlineStr">
        <is>
          <t>INI-066</t>
        </is>
      </c>
      <c r="B817" t="inlineStr">
        <is>
          <t>Implement detection, response, logging and security incident exercises</t>
        </is>
      </c>
      <c r="C817" t="inlineStr">
        <is>
          <t>STR-04</t>
        </is>
      </c>
      <c r="D817" t="inlineStr">
        <is>
          <t>CYBE-021</t>
        </is>
      </c>
      <c r="E817" t="inlineStr">
        <is>
          <t>Cyber Privacy</t>
        </is>
      </c>
      <c r="F817" t="inlineStr">
        <is>
          <t>Detection and response</t>
        </is>
      </c>
      <c r="G817">
        <f>IFERROR(INDEX('_ENGINE_Risk'!$BS$500:$BS$923,MATCH($D817,'_ENGINE_Risk'!$E$500:$E$923,0)),0)</f>
        <v/>
      </c>
      <c r="H817" t="n">
        <v>1</v>
      </c>
      <c r="I817">
        <f>IFERROR(MAX(0,5-INDEX('_ENGINE_Risk'!$H$500:$H$923,MATCH($D817,'_ENGINE_Risk'!$E$500:$E$923,0))),0)</f>
        <v/>
      </c>
      <c r="J817" t="inlineStr">
        <is>
          <t>P1 many-to-many coverage row</t>
        </is>
      </c>
      <c r="K817">
        <f>IFERROR(INDEX('_ENGINE_Risk'!$BI$500:$BI$923,MATCH($D817,'_ENGINE_Risk'!$E$500:$E$923,0))*N($H817),0)</f>
        <v/>
      </c>
      <c r="L817">
        <f>IFERROR(MIN(5,$K817/MAX(1,'_CONFIG_Model_Settings'!$B$105)),0)</f>
        <v/>
      </c>
    </row>
    <row r="818">
      <c r="A818" t="inlineStr">
        <is>
          <t>INI-066</t>
        </is>
      </c>
      <c r="B818" t="inlineStr">
        <is>
          <t>Implement detection, response, logging and security incident exercises</t>
        </is>
      </c>
      <c r="C818" t="inlineStr">
        <is>
          <t>STR-04</t>
        </is>
      </c>
      <c r="D818" t="inlineStr">
        <is>
          <t>CYBE-022</t>
        </is>
      </c>
      <c r="E818" t="inlineStr">
        <is>
          <t>Cyber Privacy</t>
        </is>
      </c>
      <c r="F818" t="inlineStr">
        <is>
          <t>Detection and response</t>
        </is>
      </c>
      <c r="G818">
        <f>IFERROR(INDEX('_ENGINE_Risk'!$BS$500:$BS$923,MATCH($D818,'_ENGINE_Risk'!$E$500:$E$923,0)),0)</f>
        <v/>
      </c>
      <c r="H818" t="n">
        <v>1</v>
      </c>
      <c r="I818">
        <f>IFERROR(MAX(0,5-INDEX('_ENGINE_Risk'!$H$500:$H$923,MATCH($D818,'_ENGINE_Risk'!$E$500:$E$923,0))),0)</f>
        <v/>
      </c>
      <c r="J818" t="inlineStr">
        <is>
          <t>P1 many-to-many coverage row</t>
        </is>
      </c>
      <c r="K818">
        <f>IFERROR(INDEX('_ENGINE_Risk'!$BI$500:$BI$923,MATCH($D818,'_ENGINE_Risk'!$E$500:$E$923,0))*N($H818),0)</f>
        <v/>
      </c>
      <c r="L818">
        <f>IFERROR(MIN(5,$K818/MAX(1,'_CONFIG_Model_Settings'!$B$105)),0)</f>
        <v/>
      </c>
    </row>
    <row r="819">
      <c r="A819" t="inlineStr">
        <is>
          <t>INI-066</t>
        </is>
      </c>
      <c r="B819" t="inlineStr">
        <is>
          <t>Implement detection, response, logging and security incident exercises</t>
        </is>
      </c>
      <c r="C819" t="inlineStr">
        <is>
          <t>STR-04</t>
        </is>
      </c>
      <c r="D819" t="inlineStr">
        <is>
          <t>CYBE-023</t>
        </is>
      </c>
      <c r="E819" t="inlineStr">
        <is>
          <t>Cyber Privacy</t>
        </is>
      </c>
      <c r="F819" t="inlineStr">
        <is>
          <t>Detection and response</t>
        </is>
      </c>
      <c r="G819">
        <f>IFERROR(INDEX('_ENGINE_Risk'!$BS$500:$BS$923,MATCH($D819,'_ENGINE_Risk'!$E$500:$E$923,0)),0)</f>
        <v/>
      </c>
      <c r="H819" t="n">
        <v>1</v>
      </c>
      <c r="I819">
        <f>IFERROR(MAX(0,5-INDEX('_ENGINE_Risk'!$H$500:$H$923,MATCH($D819,'_ENGINE_Risk'!$E$500:$E$923,0))),0)</f>
        <v/>
      </c>
      <c r="J819" t="inlineStr">
        <is>
          <t>P1 many-to-many coverage row</t>
        </is>
      </c>
      <c r="K819">
        <f>IFERROR(INDEX('_ENGINE_Risk'!$BI$500:$BI$923,MATCH($D819,'_ENGINE_Risk'!$E$500:$E$923,0))*N($H819),0)</f>
        <v/>
      </c>
      <c r="L819">
        <f>IFERROR(MIN(5,$K819/MAX(1,'_CONFIG_Model_Settings'!$B$105)),0)</f>
        <v/>
      </c>
    </row>
    <row r="820">
      <c r="A820" t="inlineStr">
        <is>
          <t>INI-066</t>
        </is>
      </c>
      <c r="B820" t="inlineStr">
        <is>
          <t>Implement detection, response, logging and security incident exercises</t>
        </is>
      </c>
      <c r="C820" t="inlineStr">
        <is>
          <t>STR-04</t>
        </is>
      </c>
      <c r="D820" t="inlineStr">
        <is>
          <t>CYBE-024</t>
        </is>
      </c>
      <c r="E820" t="inlineStr">
        <is>
          <t>Cyber Privacy</t>
        </is>
      </c>
      <c r="F820" t="inlineStr">
        <is>
          <t>Detection and response</t>
        </is>
      </c>
      <c r="G820">
        <f>IFERROR(INDEX('_ENGINE_Risk'!$BS$500:$BS$923,MATCH($D820,'_ENGINE_Risk'!$E$500:$E$923,0)),0)</f>
        <v/>
      </c>
      <c r="H820" t="n">
        <v>1</v>
      </c>
      <c r="I820">
        <f>IFERROR(MAX(0,5-INDEX('_ENGINE_Risk'!$H$500:$H$923,MATCH($D820,'_ENGINE_Risk'!$E$500:$E$923,0))),0)</f>
        <v/>
      </c>
      <c r="J820" t="inlineStr">
        <is>
          <t>P1 many-to-many coverage row</t>
        </is>
      </c>
      <c r="K820">
        <f>IFERROR(INDEX('_ENGINE_Risk'!$BI$500:$BI$923,MATCH($D820,'_ENGINE_Risk'!$E$500:$E$923,0))*N($H820),0)</f>
        <v/>
      </c>
      <c r="L820">
        <f>IFERROR(MIN(5,$K820/MAX(1,'_CONFIG_Model_Settings'!$B$105)),0)</f>
        <v/>
      </c>
    </row>
    <row r="821">
      <c r="A821" t="inlineStr">
        <is>
          <t>INI-066</t>
        </is>
      </c>
      <c r="B821" t="inlineStr">
        <is>
          <t>Implement detection, response, logging and security incident exercises</t>
        </is>
      </c>
      <c r="C821" t="inlineStr">
        <is>
          <t>STR-04</t>
        </is>
      </c>
      <c r="D821" t="inlineStr">
        <is>
          <t>CYBE-025</t>
        </is>
      </c>
      <c r="E821" t="inlineStr">
        <is>
          <t>Cyber Privacy</t>
        </is>
      </c>
      <c r="F821" t="inlineStr">
        <is>
          <t>Detection and response</t>
        </is>
      </c>
      <c r="G821">
        <f>IFERROR(INDEX('_ENGINE_Risk'!$BS$500:$BS$923,MATCH($D821,'_ENGINE_Risk'!$E$500:$E$923,0)),0)</f>
        <v/>
      </c>
      <c r="H821" t="n">
        <v>1</v>
      </c>
      <c r="I821">
        <f>IFERROR(MAX(0,5-INDEX('_ENGINE_Risk'!$H$500:$H$923,MATCH($D821,'_ENGINE_Risk'!$E$500:$E$923,0))),0)</f>
        <v/>
      </c>
      <c r="J821" t="inlineStr">
        <is>
          <t>P1 many-to-many coverage row</t>
        </is>
      </c>
      <c r="K821">
        <f>IFERROR(INDEX('_ENGINE_Risk'!$BI$500:$BI$923,MATCH($D821,'_ENGINE_Risk'!$E$500:$E$923,0))*N($H821),0)</f>
        <v/>
      </c>
      <c r="L821">
        <f>IFERROR(MIN(5,$K821/MAX(1,'_CONFIG_Model_Settings'!$B$105)),0)</f>
        <v/>
      </c>
    </row>
    <row r="822">
      <c r="A822" t="inlineStr">
        <is>
          <t>INI-066</t>
        </is>
      </c>
      <c r="B822" t="inlineStr">
        <is>
          <t>Implement detection, response, logging and security incident exercises</t>
        </is>
      </c>
      <c r="C822" t="inlineStr">
        <is>
          <t>STR-04</t>
        </is>
      </c>
      <c r="D822" t="inlineStr">
        <is>
          <t>CYBE-026</t>
        </is>
      </c>
      <c r="E822" t="inlineStr">
        <is>
          <t>Cyber Privacy</t>
        </is>
      </c>
      <c r="F822" t="inlineStr">
        <is>
          <t>Detection and response</t>
        </is>
      </c>
      <c r="G822">
        <f>IFERROR(INDEX('_ENGINE_Risk'!$BS$500:$BS$923,MATCH($D822,'_ENGINE_Risk'!$E$500:$E$923,0)),0)</f>
        <v/>
      </c>
      <c r="H822" t="n">
        <v>1</v>
      </c>
      <c r="I822">
        <f>IFERROR(MAX(0,5-INDEX('_ENGINE_Risk'!$H$500:$H$923,MATCH($D822,'_ENGINE_Risk'!$E$500:$E$923,0))),0)</f>
        <v/>
      </c>
      <c r="J822" t="inlineStr">
        <is>
          <t>P1 many-to-many coverage row</t>
        </is>
      </c>
      <c r="K822">
        <f>IFERROR(INDEX('_ENGINE_Risk'!$BI$500:$BI$923,MATCH($D822,'_ENGINE_Risk'!$E$500:$E$923,0))*N($H822),0)</f>
        <v/>
      </c>
      <c r="L822">
        <f>IFERROR(MIN(5,$K822/MAX(1,'_CONFIG_Model_Settings'!$B$105)),0)</f>
        <v/>
      </c>
    </row>
    <row r="823">
      <c r="A823" t="inlineStr">
        <is>
          <t>INI-067</t>
        </is>
      </c>
      <c r="B823" t="inlineStr">
        <is>
          <t>Strengthen application, API and OT security controls</t>
        </is>
      </c>
      <c r="C823" t="inlineStr">
        <is>
          <t>STR-04</t>
        </is>
      </c>
      <c r="D823" t="inlineStr">
        <is>
          <t>CYBE-027</t>
        </is>
      </c>
      <c r="E823" t="inlineStr">
        <is>
          <t>Cyber Privacy</t>
        </is>
      </c>
      <c r="F823" t="inlineStr">
        <is>
          <t>Application and OT security</t>
        </is>
      </c>
      <c r="G823">
        <f>IFERROR(INDEX('_ENGINE_Risk'!$BS$500:$BS$923,MATCH($D823,'_ENGINE_Risk'!$E$500:$E$923,0)),0)</f>
        <v/>
      </c>
      <c r="H823" t="n">
        <v>1</v>
      </c>
      <c r="I823">
        <f>IFERROR(MAX(0,5-INDEX('_ENGINE_Risk'!$H$500:$H$923,MATCH($D823,'_ENGINE_Risk'!$E$500:$E$923,0))),0)</f>
        <v/>
      </c>
      <c r="J823" t="inlineStr">
        <is>
          <t>P1 many-to-many coverage row</t>
        </is>
      </c>
      <c r="K823">
        <f>IFERROR(INDEX('_ENGINE_Risk'!$BI$500:$BI$923,MATCH($D823,'_ENGINE_Risk'!$E$500:$E$923,0))*N($H823),0)</f>
        <v/>
      </c>
      <c r="L823">
        <f>IFERROR(MIN(5,$K823/MAX(1,'_CONFIG_Model_Settings'!$B$105)),0)</f>
        <v/>
      </c>
    </row>
    <row r="824">
      <c r="A824" t="inlineStr">
        <is>
          <t>INI-067</t>
        </is>
      </c>
      <c r="B824" t="inlineStr">
        <is>
          <t>Strengthen application, API and OT security controls</t>
        </is>
      </c>
      <c r="C824" t="inlineStr">
        <is>
          <t>STR-04</t>
        </is>
      </c>
      <c r="D824" t="inlineStr">
        <is>
          <t>CYBE-028</t>
        </is>
      </c>
      <c r="E824" t="inlineStr">
        <is>
          <t>Cyber Privacy</t>
        </is>
      </c>
      <c r="F824" t="inlineStr">
        <is>
          <t>Application and OT security</t>
        </is>
      </c>
      <c r="G824">
        <f>IFERROR(INDEX('_ENGINE_Risk'!$BS$500:$BS$923,MATCH($D824,'_ENGINE_Risk'!$E$500:$E$923,0)),0)</f>
        <v/>
      </c>
      <c r="H824" t="n">
        <v>1</v>
      </c>
      <c r="I824">
        <f>IFERROR(MAX(0,5-INDEX('_ENGINE_Risk'!$H$500:$H$923,MATCH($D824,'_ENGINE_Risk'!$E$500:$E$923,0))),0)</f>
        <v/>
      </c>
      <c r="J824" t="inlineStr">
        <is>
          <t>P1 many-to-many coverage row</t>
        </is>
      </c>
      <c r="K824">
        <f>IFERROR(INDEX('_ENGINE_Risk'!$BI$500:$BI$923,MATCH($D824,'_ENGINE_Risk'!$E$500:$E$923,0))*N($H824),0)</f>
        <v/>
      </c>
      <c r="L824">
        <f>IFERROR(MIN(5,$K824/MAX(1,'_CONFIG_Model_Settings'!$B$105)),0)</f>
        <v/>
      </c>
    </row>
    <row r="825">
      <c r="A825" t="inlineStr">
        <is>
          <t>INI-067</t>
        </is>
      </c>
      <c r="B825" t="inlineStr">
        <is>
          <t>Strengthen application, API and OT security controls</t>
        </is>
      </c>
      <c r="C825" t="inlineStr">
        <is>
          <t>STR-04</t>
        </is>
      </c>
      <c r="D825" t="inlineStr">
        <is>
          <t>CYBE-029</t>
        </is>
      </c>
      <c r="E825" t="inlineStr">
        <is>
          <t>Cyber Privacy</t>
        </is>
      </c>
      <c r="F825" t="inlineStr">
        <is>
          <t>Application and OT security</t>
        </is>
      </c>
      <c r="G825">
        <f>IFERROR(INDEX('_ENGINE_Risk'!$BS$500:$BS$923,MATCH($D825,'_ENGINE_Risk'!$E$500:$E$923,0)),0)</f>
        <v/>
      </c>
      <c r="H825" t="n">
        <v>1</v>
      </c>
      <c r="I825">
        <f>IFERROR(MAX(0,5-INDEX('_ENGINE_Risk'!$H$500:$H$923,MATCH($D825,'_ENGINE_Risk'!$E$500:$E$923,0))),0)</f>
        <v/>
      </c>
      <c r="J825" t="inlineStr">
        <is>
          <t>P1 many-to-many coverage row</t>
        </is>
      </c>
      <c r="K825">
        <f>IFERROR(INDEX('_ENGINE_Risk'!$BI$500:$BI$923,MATCH($D825,'_ENGINE_Risk'!$E$500:$E$923,0))*N($H825),0)</f>
        <v/>
      </c>
      <c r="L825">
        <f>IFERROR(MIN(5,$K825/MAX(1,'_CONFIG_Model_Settings'!$B$105)),0)</f>
        <v/>
      </c>
    </row>
    <row r="826">
      <c r="A826" t="inlineStr">
        <is>
          <t>INI-067</t>
        </is>
      </c>
      <c r="B826" t="inlineStr">
        <is>
          <t>Strengthen application, API and OT security controls</t>
        </is>
      </c>
      <c r="C826" t="inlineStr">
        <is>
          <t>STR-04</t>
        </is>
      </c>
      <c r="D826" t="inlineStr">
        <is>
          <t>CYBE-030</t>
        </is>
      </c>
      <c r="E826" t="inlineStr">
        <is>
          <t>Cyber Privacy</t>
        </is>
      </c>
      <c r="F826" t="inlineStr">
        <is>
          <t>Application and OT security</t>
        </is>
      </c>
      <c r="G826">
        <f>IFERROR(INDEX('_ENGINE_Risk'!$BS$500:$BS$923,MATCH($D826,'_ENGINE_Risk'!$E$500:$E$923,0)),0)</f>
        <v/>
      </c>
      <c r="H826" t="n">
        <v>1</v>
      </c>
      <c r="I826">
        <f>IFERROR(MAX(0,5-INDEX('_ENGINE_Risk'!$H$500:$H$923,MATCH($D826,'_ENGINE_Risk'!$E$500:$E$923,0))),0)</f>
        <v/>
      </c>
      <c r="J826" t="inlineStr">
        <is>
          <t>P1 many-to-many coverage row</t>
        </is>
      </c>
      <c r="K826">
        <f>IFERROR(INDEX('_ENGINE_Risk'!$BI$500:$BI$923,MATCH($D826,'_ENGINE_Risk'!$E$500:$E$923,0))*N($H826),0)</f>
        <v/>
      </c>
      <c r="L826">
        <f>IFERROR(MIN(5,$K826/MAX(1,'_CONFIG_Model_Settings'!$B$105)),0)</f>
        <v/>
      </c>
    </row>
    <row r="827">
      <c r="A827" t="inlineStr">
        <is>
          <t>INI-067</t>
        </is>
      </c>
      <c r="B827" t="inlineStr">
        <is>
          <t>Strengthen application, API and OT security controls</t>
        </is>
      </c>
      <c r="C827" t="inlineStr">
        <is>
          <t>STR-04</t>
        </is>
      </c>
      <c r="D827" t="inlineStr">
        <is>
          <t>CYBE-031</t>
        </is>
      </c>
      <c r="E827" t="inlineStr">
        <is>
          <t>Cyber Privacy</t>
        </is>
      </c>
      <c r="F827" t="inlineStr">
        <is>
          <t>Application and OT security</t>
        </is>
      </c>
      <c r="G827">
        <f>IFERROR(INDEX('_ENGINE_Risk'!$BS$500:$BS$923,MATCH($D827,'_ENGINE_Risk'!$E$500:$E$923,0)),0)</f>
        <v/>
      </c>
      <c r="H827" t="n">
        <v>1</v>
      </c>
      <c r="I827">
        <f>IFERROR(MAX(0,5-INDEX('_ENGINE_Risk'!$H$500:$H$923,MATCH($D827,'_ENGINE_Risk'!$E$500:$E$923,0))),0)</f>
        <v/>
      </c>
      <c r="J827" t="inlineStr">
        <is>
          <t>P1 many-to-many coverage row</t>
        </is>
      </c>
      <c r="K827">
        <f>IFERROR(INDEX('_ENGINE_Risk'!$BI$500:$BI$923,MATCH($D827,'_ENGINE_Risk'!$E$500:$E$923,0))*N($H827),0)</f>
        <v/>
      </c>
      <c r="L827">
        <f>IFERROR(MIN(5,$K827/MAX(1,'_CONFIG_Model_Settings'!$B$105)),0)</f>
        <v/>
      </c>
    </row>
    <row r="828">
      <c r="A828" t="inlineStr">
        <is>
          <t>INI-068</t>
        </is>
      </c>
      <c r="B828" t="inlineStr">
        <is>
          <t>Implement privacy governance, DPIA and personal-data controls</t>
        </is>
      </c>
      <c r="C828" t="inlineStr">
        <is>
          <t>STR-04</t>
        </is>
      </c>
      <c r="D828" t="inlineStr">
        <is>
          <t>CYBE-032</t>
        </is>
      </c>
      <c r="E828" t="inlineStr">
        <is>
          <t>Cyber Privacy</t>
        </is>
      </c>
      <c r="F828" t="inlineStr">
        <is>
          <t>Privacy</t>
        </is>
      </c>
      <c r="G828">
        <f>IFERROR(INDEX('_ENGINE_Risk'!$BS$500:$BS$923,MATCH($D828,'_ENGINE_Risk'!$E$500:$E$923,0)),0)</f>
        <v/>
      </c>
      <c r="H828" t="n">
        <v>1</v>
      </c>
      <c r="I828">
        <f>IFERROR(MAX(0,5-INDEX('_ENGINE_Risk'!$H$500:$H$923,MATCH($D828,'_ENGINE_Risk'!$E$500:$E$923,0))),0)</f>
        <v/>
      </c>
      <c r="J828" t="inlineStr">
        <is>
          <t>P1 many-to-many coverage row</t>
        </is>
      </c>
      <c r="K828">
        <f>IFERROR(INDEX('_ENGINE_Risk'!$BI$500:$BI$923,MATCH($D828,'_ENGINE_Risk'!$E$500:$E$923,0))*N($H828),0)</f>
        <v/>
      </c>
      <c r="L828">
        <f>IFERROR(MIN(5,$K828/MAX(1,'_CONFIG_Model_Settings'!$B$105)),0)</f>
        <v/>
      </c>
    </row>
    <row r="829">
      <c r="A829" t="inlineStr">
        <is>
          <t>INI-068</t>
        </is>
      </c>
      <c r="B829" t="inlineStr">
        <is>
          <t>Implement privacy governance, DPIA and personal-data controls</t>
        </is>
      </c>
      <c r="C829" t="inlineStr">
        <is>
          <t>STR-04</t>
        </is>
      </c>
      <c r="D829" t="inlineStr">
        <is>
          <t>CYBE-033</t>
        </is>
      </c>
      <c r="E829" t="inlineStr">
        <is>
          <t>Cyber Privacy</t>
        </is>
      </c>
      <c r="F829" t="inlineStr">
        <is>
          <t>Privacy</t>
        </is>
      </c>
      <c r="G829">
        <f>IFERROR(INDEX('_ENGINE_Risk'!$BS$500:$BS$923,MATCH($D829,'_ENGINE_Risk'!$E$500:$E$923,0)),0)</f>
        <v/>
      </c>
      <c r="H829" t="n">
        <v>1</v>
      </c>
      <c r="I829">
        <f>IFERROR(MAX(0,5-INDEX('_ENGINE_Risk'!$H$500:$H$923,MATCH($D829,'_ENGINE_Risk'!$E$500:$E$923,0))),0)</f>
        <v/>
      </c>
      <c r="J829" t="inlineStr">
        <is>
          <t>P1 many-to-many coverage row</t>
        </is>
      </c>
      <c r="K829">
        <f>IFERROR(INDEX('_ENGINE_Risk'!$BI$500:$BI$923,MATCH($D829,'_ENGINE_Risk'!$E$500:$E$923,0))*N($H829),0)</f>
        <v/>
      </c>
      <c r="L829">
        <f>IFERROR(MIN(5,$K829/MAX(1,'_CONFIG_Model_Settings'!$B$105)),0)</f>
        <v/>
      </c>
    </row>
    <row r="830">
      <c r="A830" t="inlineStr">
        <is>
          <t>INI-068</t>
        </is>
      </c>
      <c r="B830" t="inlineStr">
        <is>
          <t>Implement privacy governance, DPIA and personal-data controls</t>
        </is>
      </c>
      <c r="C830" t="inlineStr">
        <is>
          <t>STR-04</t>
        </is>
      </c>
      <c r="D830" t="inlineStr">
        <is>
          <t>CYBE-034</t>
        </is>
      </c>
      <c r="E830" t="inlineStr">
        <is>
          <t>Cyber Privacy</t>
        </is>
      </c>
      <c r="F830" t="inlineStr">
        <is>
          <t>Privacy</t>
        </is>
      </c>
      <c r="G830">
        <f>IFERROR(INDEX('_ENGINE_Risk'!$BS$500:$BS$923,MATCH($D830,'_ENGINE_Risk'!$E$500:$E$923,0)),0)</f>
        <v/>
      </c>
      <c r="H830" t="n">
        <v>1</v>
      </c>
      <c r="I830">
        <f>IFERROR(MAX(0,5-INDEX('_ENGINE_Risk'!$H$500:$H$923,MATCH($D830,'_ENGINE_Risk'!$E$500:$E$923,0))),0)</f>
        <v/>
      </c>
      <c r="J830" t="inlineStr">
        <is>
          <t>P1 many-to-many coverage row</t>
        </is>
      </c>
      <c r="K830">
        <f>IFERROR(INDEX('_ENGINE_Risk'!$BI$500:$BI$923,MATCH($D830,'_ENGINE_Risk'!$E$500:$E$923,0))*N($H830),0)</f>
        <v/>
      </c>
      <c r="L830">
        <f>IFERROR(MIN(5,$K830/MAX(1,'_CONFIG_Model_Settings'!$B$105)),0)</f>
        <v/>
      </c>
    </row>
    <row r="831">
      <c r="A831" t="inlineStr">
        <is>
          <t>INI-069</t>
        </is>
      </c>
      <c r="B831" t="inlineStr">
        <is>
          <t>Build process ownership, SOP and continuous-improvement model</t>
        </is>
      </c>
      <c r="C831" t="inlineStr">
        <is>
          <t>STR-07</t>
        </is>
      </c>
      <c r="D831" t="inlineStr">
        <is>
          <t>QUAL-001</t>
        </is>
      </c>
      <c r="E831" t="inlineStr">
        <is>
          <t>Quality Portfolio</t>
        </is>
      </c>
      <c r="F831" t="inlineStr">
        <is>
          <t>Process management</t>
        </is>
      </c>
      <c r="G831">
        <f>IFERROR(INDEX('_ENGINE_Risk'!$BS$500:$BS$923,MATCH($D831,'_ENGINE_Risk'!$E$500:$E$923,0)),0)</f>
        <v/>
      </c>
      <c r="H831" t="n">
        <v>1</v>
      </c>
      <c r="I831">
        <f>IFERROR(MAX(0,5-INDEX('_ENGINE_Risk'!$H$500:$H$923,MATCH($D831,'_ENGINE_Risk'!$E$500:$E$923,0))),0)</f>
        <v/>
      </c>
      <c r="J831" t="inlineStr">
        <is>
          <t>P1 many-to-many coverage row</t>
        </is>
      </c>
      <c r="K831">
        <f>IFERROR(INDEX('_ENGINE_Risk'!$BI$500:$BI$923,MATCH($D831,'_ENGINE_Risk'!$E$500:$E$923,0))*N($H831),0)</f>
        <v/>
      </c>
      <c r="L831">
        <f>IFERROR(MIN(5,$K831/MAX(1,'_CONFIG_Model_Settings'!$B$105)),0)</f>
        <v/>
      </c>
    </row>
    <row r="832">
      <c r="A832" t="inlineStr">
        <is>
          <t>INI-069</t>
        </is>
      </c>
      <c r="B832" t="inlineStr">
        <is>
          <t>Build process ownership, SOP and continuous-improvement model</t>
        </is>
      </c>
      <c r="C832" t="inlineStr">
        <is>
          <t>STR-07</t>
        </is>
      </c>
      <c r="D832" t="inlineStr">
        <is>
          <t>QUAL-002</t>
        </is>
      </c>
      <c r="E832" t="inlineStr">
        <is>
          <t>Quality Portfolio</t>
        </is>
      </c>
      <c r="F832" t="inlineStr">
        <is>
          <t>Process management</t>
        </is>
      </c>
      <c r="G832">
        <f>IFERROR(INDEX('_ENGINE_Risk'!$BS$500:$BS$923,MATCH($D832,'_ENGINE_Risk'!$E$500:$E$923,0)),0)</f>
        <v/>
      </c>
      <c r="H832" t="n">
        <v>1</v>
      </c>
      <c r="I832">
        <f>IFERROR(MAX(0,5-INDEX('_ENGINE_Risk'!$H$500:$H$923,MATCH($D832,'_ENGINE_Risk'!$E$500:$E$923,0))),0)</f>
        <v/>
      </c>
      <c r="J832" t="inlineStr">
        <is>
          <t>P1 many-to-many coverage row</t>
        </is>
      </c>
      <c r="K832">
        <f>IFERROR(INDEX('_ENGINE_Risk'!$BI$500:$BI$923,MATCH($D832,'_ENGINE_Risk'!$E$500:$E$923,0))*N($H832),0)</f>
        <v/>
      </c>
      <c r="L832">
        <f>IFERROR(MIN(5,$K832/MAX(1,'_CONFIG_Model_Settings'!$B$105)),0)</f>
        <v/>
      </c>
    </row>
    <row r="833">
      <c r="A833" t="inlineStr">
        <is>
          <t>INI-069</t>
        </is>
      </c>
      <c r="B833" t="inlineStr">
        <is>
          <t>Build process ownership, SOP and continuous-improvement model</t>
        </is>
      </c>
      <c r="C833" t="inlineStr">
        <is>
          <t>STR-07</t>
        </is>
      </c>
      <c r="D833" t="inlineStr">
        <is>
          <t>QUAL-003</t>
        </is>
      </c>
      <c r="E833" t="inlineStr">
        <is>
          <t>Quality Portfolio</t>
        </is>
      </c>
      <c r="F833" t="inlineStr">
        <is>
          <t>Process management</t>
        </is>
      </c>
      <c r="G833">
        <f>IFERROR(INDEX('_ENGINE_Risk'!$BS$500:$BS$923,MATCH($D833,'_ENGINE_Risk'!$E$500:$E$923,0)),0)</f>
        <v/>
      </c>
      <c r="H833" t="n">
        <v>1</v>
      </c>
      <c r="I833">
        <f>IFERROR(MAX(0,5-INDEX('_ENGINE_Risk'!$H$500:$H$923,MATCH($D833,'_ENGINE_Risk'!$E$500:$E$923,0))),0)</f>
        <v/>
      </c>
      <c r="J833" t="inlineStr">
        <is>
          <t>P1 many-to-many coverage row</t>
        </is>
      </c>
      <c r="K833">
        <f>IFERROR(INDEX('_ENGINE_Risk'!$BI$500:$BI$923,MATCH($D833,'_ENGINE_Risk'!$E$500:$E$923,0))*N($H833),0)</f>
        <v/>
      </c>
      <c r="L833">
        <f>IFERROR(MIN(5,$K833/MAX(1,'_CONFIG_Model_Settings'!$B$105)),0)</f>
        <v/>
      </c>
    </row>
    <row r="834">
      <c r="A834" t="inlineStr">
        <is>
          <t>INI-069</t>
        </is>
      </c>
      <c r="B834" t="inlineStr">
        <is>
          <t>Build process ownership, SOP and continuous-improvement model</t>
        </is>
      </c>
      <c r="C834" t="inlineStr">
        <is>
          <t>STR-07</t>
        </is>
      </c>
      <c r="D834" t="inlineStr">
        <is>
          <t>QUAL-004</t>
        </is>
      </c>
      <c r="E834" t="inlineStr">
        <is>
          <t>Quality Portfolio</t>
        </is>
      </c>
      <c r="F834" t="inlineStr">
        <is>
          <t>Process management</t>
        </is>
      </c>
      <c r="G834">
        <f>IFERROR(INDEX('_ENGINE_Risk'!$BS$500:$BS$923,MATCH($D834,'_ENGINE_Risk'!$E$500:$E$923,0)),0)</f>
        <v/>
      </c>
      <c r="H834" t="n">
        <v>1</v>
      </c>
      <c r="I834">
        <f>IFERROR(MAX(0,5-INDEX('_ENGINE_Risk'!$H$500:$H$923,MATCH($D834,'_ENGINE_Risk'!$E$500:$E$923,0))),0)</f>
        <v/>
      </c>
      <c r="J834" t="inlineStr">
        <is>
          <t>P1 many-to-many coverage row</t>
        </is>
      </c>
      <c r="K834">
        <f>IFERROR(INDEX('_ENGINE_Risk'!$BI$500:$BI$923,MATCH($D834,'_ENGINE_Risk'!$E$500:$E$923,0))*N($H834),0)</f>
        <v/>
      </c>
      <c r="L834">
        <f>IFERROR(MIN(5,$K834/MAX(1,'_CONFIG_Model_Settings'!$B$105)),0)</f>
        <v/>
      </c>
    </row>
    <row r="835">
      <c r="A835" t="inlineStr">
        <is>
          <t>INI-069</t>
        </is>
      </c>
      <c r="B835" t="inlineStr">
        <is>
          <t>Build process ownership, SOP and continuous-improvement model</t>
        </is>
      </c>
      <c r="C835" t="inlineStr">
        <is>
          <t>STR-07</t>
        </is>
      </c>
      <c r="D835" t="inlineStr">
        <is>
          <t>QUAL-005</t>
        </is>
      </c>
      <c r="E835" t="inlineStr">
        <is>
          <t>Quality Portfolio</t>
        </is>
      </c>
      <c r="F835" t="inlineStr">
        <is>
          <t>Process management</t>
        </is>
      </c>
      <c r="G835">
        <f>IFERROR(INDEX('_ENGINE_Risk'!$BS$500:$BS$923,MATCH($D835,'_ENGINE_Risk'!$E$500:$E$923,0)),0)</f>
        <v/>
      </c>
      <c r="H835" t="n">
        <v>1</v>
      </c>
      <c r="I835">
        <f>IFERROR(MAX(0,5-INDEX('_ENGINE_Risk'!$H$500:$H$923,MATCH($D835,'_ENGINE_Risk'!$E$500:$E$923,0))),0)</f>
        <v/>
      </c>
      <c r="J835" t="inlineStr">
        <is>
          <t>P1 many-to-many coverage row</t>
        </is>
      </c>
      <c r="K835">
        <f>IFERROR(INDEX('_ENGINE_Risk'!$BI$500:$BI$923,MATCH($D835,'_ENGINE_Risk'!$E$500:$E$923,0))*N($H835),0)</f>
        <v/>
      </c>
      <c r="L835">
        <f>IFERROR(MIN(5,$K835/MAX(1,'_CONFIG_Model_Settings'!$B$105)),0)</f>
        <v/>
      </c>
    </row>
    <row r="836">
      <c r="A836" t="inlineStr">
        <is>
          <t>INI-070</t>
        </is>
      </c>
      <c r="B836" t="inlineStr">
        <is>
          <t>Strengthen quality management and audit readiness</t>
        </is>
      </c>
      <c r="C836" t="inlineStr">
        <is>
          <t>STR-07</t>
        </is>
      </c>
      <c r="D836" t="inlineStr">
        <is>
          <t>QUAL-006</t>
        </is>
      </c>
      <c r="E836" t="inlineStr">
        <is>
          <t>Quality Portfolio</t>
        </is>
      </c>
      <c r="F836" t="inlineStr">
        <is>
          <t>Quality management</t>
        </is>
      </c>
      <c r="G836">
        <f>IFERROR(INDEX('_ENGINE_Risk'!$BS$500:$BS$923,MATCH($D836,'_ENGINE_Risk'!$E$500:$E$923,0)),0)</f>
        <v/>
      </c>
      <c r="H836" t="n">
        <v>1</v>
      </c>
      <c r="I836">
        <f>IFERROR(MAX(0,5-INDEX('_ENGINE_Risk'!$H$500:$H$923,MATCH($D836,'_ENGINE_Risk'!$E$500:$E$923,0))),0)</f>
        <v/>
      </c>
      <c r="J836" t="inlineStr">
        <is>
          <t>P1 many-to-many coverage row</t>
        </is>
      </c>
      <c r="K836">
        <f>IFERROR(INDEX('_ENGINE_Risk'!$BI$500:$BI$923,MATCH($D836,'_ENGINE_Risk'!$E$500:$E$923,0))*N($H836),0)</f>
        <v/>
      </c>
      <c r="L836">
        <f>IFERROR(MIN(5,$K836/MAX(1,'_CONFIG_Model_Settings'!$B$105)),0)</f>
        <v/>
      </c>
    </row>
    <row r="837">
      <c r="A837" t="inlineStr">
        <is>
          <t>INI-070</t>
        </is>
      </c>
      <c r="B837" t="inlineStr">
        <is>
          <t>Strengthen quality management and audit readiness</t>
        </is>
      </c>
      <c r="C837" t="inlineStr">
        <is>
          <t>STR-07</t>
        </is>
      </c>
      <c r="D837" t="inlineStr">
        <is>
          <t>QUAL-007</t>
        </is>
      </c>
      <c r="E837" t="inlineStr">
        <is>
          <t>Quality Portfolio</t>
        </is>
      </c>
      <c r="F837" t="inlineStr">
        <is>
          <t>Quality management</t>
        </is>
      </c>
      <c r="G837">
        <f>IFERROR(INDEX('_ENGINE_Risk'!$BS$500:$BS$923,MATCH($D837,'_ENGINE_Risk'!$E$500:$E$923,0)),0)</f>
        <v/>
      </c>
      <c r="H837" t="n">
        <v>1</v>
      </c>
      <c r="I837">
        <f>IFERROR(MAX(0,5-INDEX('_ENGINE_Risk'!$H$500:$H$923,MATCH($D837,'_ENGINE_Risk'!$E$500:$E$923,0))),0)</f>
        <v/>
      </c>
      <c r="J837" t="inlineStr">
        <is>
          <t>P1 many-to-many coverage row</t>
        </is>
      </c>
      <c r="K837">
        <f>IFERROR(INDEX('_ENGINE_Risk'!$BI$500:$BI$923,MATCH($D837,'_ENGINE_Risk'!$E$500:$E$923,0))*N($H837),0)</f>
        <v/>
      </c>
      <c r="L837">
        <f>IFERROR(MIN(5,$K837/MAX(1,'_CONFIG_Model_Settings'!$B$105)),0)</f>
        <v/>
      </c>
    </row>
    <row r="838">
      <c r="A838" t="inlineStr">
        <is>
          <t>INI-070</t>
        </is>
      </c>
      <c r="B838" t="inlineStr">
        <is>
          <t>Strengthen quality management and audit readiness</t>
        </is>
      </c>
      <c r="C838" t="inlineStr">
        <is>
          <t>STR-07</t>
        </is>
      </c>
      <c r="D838" t="inlineStr">
        <is>
          <t>QUAL-008</t>
        </is>
      </c>
      <c r="E838" t="inlineStr">
        <is>
          <t>Quality Portfolio</t>
        </is>
      </c>
      <c r="F838" t="inlineStr">
        <is>
          <t>Quality management</t>
        </is>
      </c>
      <c r="G838">
        <f>IFERROR(INDEX('_ENGINE_Risk'!$BS$500:$BS$923,MATCH($D838,'_ENGINE_Risk'!$E$500:$E$923,0)),0)</f>
        <v/>
      </c>
      <c r="H838" t="n">
        <v>1</v>
      </c>
      <c r="I838">
        <f>IFERROR(MAX(0,5-INDEX('_ENGINE_Risk'!$H$500:$H$923,MATCH($D838,'_ENGINE_Risk'!$E$500:$E$923,0))),0)</f>
        <v/>
      </c>
      <c r="J838" t="inlineStr">
        <is>
          <t>P1 many-to-many coverage row</t>
        </is>
      </c>
      <c r="K838">
        <f>IFERROR(INDEX('_ENGINE_Risk'!$BI$500:$BI$923,MATCH($D838,'_ENGINE_Risk'!$E$500:$E$923,0))*N($H838),0)</f>
        <v/>
      </c>
      <c r="L838">
        <f>IFERROR(MIN(5,$K838/MAX(1,'_CONFIG_Model_Settings'!$B$105)),0)</f>
        <v/>
      </c>
    </row>
    <row r="839">
      <c r="A839" t="inlineStr">
        <is>
          <t>INI-070</t>
        </is>
      </c>
      <c r="B839" t="inlineStr">
        <is>
          <t>Strengthen quality management and audit readiness</t>
        </is>
      </c>
      <c r="C839" t="inlineStr">
        <is>
          <t>STR-07</t>
        </is>
      </c>
      <c r="D839" t="inlineStr">
        <is>
          <t>QUAL-009</t>
        </is>
      </c>
      <c r="E839" t="inlineStr">
        <is>
          <t>Quality Portfolio</t>
        </is>
      </c>
      <c r="F839" t="inlineStr">
        <is>
          <t>Quality management</t>
        </is>
      </c>
      <c r="G839">
        <f>IFERROR(INDEX('_ENGINE_Risk'!$BS$500:$BS$923,MATCH($D839,'_ENGINE_Risk'!$E$500:$E$923,0)),0)</f>
        <v/>
      </c>
      <c r="H839" t="n">
        <v>1</v>
      </c>
      <c r="I839">
        <f>IFERROR(MAX(0,5-INDEX('_ENGINE_Risk'!$H$500:$H$923,MATCH($D839,'_ENGINE_Risk'!$E$500:$E$923,0))),0)</f>
        <v/>
      </c>
      <c r="J839" t="inlineStr">
        <is>
          <t>P1 many-to-many coverage row</t>
        </is>
      </c>
      <c r="K839">
        <f>IFERROR(INDEX('_ENGINE_Risk'!$BI$500:$BI$923,MATCH($D839,'_ENGINE_Risk'!$E$500:$E$923,0))*N($H839),0)</f>
        <v/>
      </c>
      <c r="L839">
        <f>IFERROR(MIN(5,$K839/MAX(1,'_CONFIG_Model_Settings'!$B$105)),0)</f>
        <v/>
      </c>
    </row>
    <row r="840">
      <c r="A840" t="inlineStr">
        <is>
          <t>INI-070</t>
        </is>
      </c>
      <c r="B840" t="inlineStr">
        <is>
          <t>Strengthen quality management and audit readiness</t>
        </is>
      </c>
      <c r="C840" t="inlineStr">
        <is>
          <t>STR-07</t>
        </is>
      </c>
      <c r="D840" t="inlineStr">
        <is>
          <t>QUAL-010</t>
        </is>
      </c>
      <c r="E840" t="inlineStr">
        <is>
          <t>Quality Portfolio</t>
        </is>
      </c>
      <c r="F840" t="inlineStr">
        <is>
          <t>Quality management</t>
        </is>
      </c>
      <c r="G840">
        <f>IFERROR(INDEX('_ENGINE_Risk'!$BS$500:$BS$923,MATCH($D840,'_ENGINE_Risk'!$E$500:$E$923,0)),0)</f>
        <v/>
      </c>
      <c r="H840" t="n">
        <v>1</v>
      </c>
      <c r="I840">
        <f>IFERROR(MAX(0,5-INDEX('_ENGINE_Risk'!$H$500:$H$923,MATCH($D840,'_ENGINE_Risk'!$E$500:$E$923,0))),0)</f>
        <v/>
      </c>
      <c r="J840" t="inlineStr">
        <is>
          <t>P1 many-to-many coverage row</t>
        </is>
      </c>
      <c r="K840">
        <f>IFERROR(INDEX('_ENGINE_Risk'!$BI$500:$BI$923,MATCH($D840,'_ENGINE_Risk'!$E$500:$E$923,0))*N($H840),0)</f>
        <v/>
      </c>
      <c r="L840">
        <f>IFERROR(MIN(5,$K840/MAX(1,'_CONFIG_Model_Settings'!$B$105)),0)</f>
        <v/>
      </c>
    </row>
    <row r="841">
      <c r="A841" t="inlineStr">
        <is>
          <t>INI-071</t>
        </is>
      </c>
      <c r="B841" t="inlineStr">
        <is>
          <t>Implement portfolio governance, prioritization and change control</t>
        </is>
      </c>
      <c r="C841" t="inlineStr">
        <is>
          <t>STR-14</t>
        </is>
      </c>
      <c r="D841" t="inlineStr">
        <is>
          <t>QUAL-011</t>
        </is>
      </c>
      <c r="E841" t="inlineStr">
        <is>
          <t>Quality Portfolio</t>
        </is>
      </c>
      <c r="F841" t="inlineStr">
        <is>
          <t>Portfolio and change</t>
        </is>
      </c>
      <c r="G841">
        <f>IFERROR(INDEX('_ENGINE_Risk'!$BS$500:$BS$923,MATCH($D841,'_ENGINE_Risk'!$E$500:$E$923,0)),0)</f>
        <v/>
      </c>
      <c r="H841" t="n">
        <v>1</v>
      </c>
      <c r="I841">
        <f>IFERROR(MAX(0,5-INDEX('_ENGINE_Risk'!$H$500:$H$923,MATCH($D841,'_ENGINE_Risk'!$E$500:$E$923,0))),0)</f>
        <v/>
      </c>
      <c r="J841" t="inlineStr">
        <is>
          <t>P1 many-to-many coverage row</t>
        </is>
      </c>
      <c r="K841">
        <f>IFERROR(INDEX('_ENGINE_Risk'!$BI$500:$BI$923,MATCH($D841,'_ENGINE_Risk'!$E$500:$E$923,0))*N($H841),0)</f>
        <v/>
      </c>
      <c r="L841">
        <f>IFERROR(MIN(5,$K841/MAX(1,'_CONFIG_Model_Settings'!$B$105)),0)</f>
        <v/>
      </c>
    </row>
    <row r="842">
      <c r="A842" t="inlineStr">
        <is>
          <t>INI-071</t>
        </is>
      </c>
      <c r="B842" t="inlineStr">
        <is>
          <t>Implement portfolio governance, prioritization and change control</t>
        </is>
      </c>
      <c r="C842" t="inlineStr">
        <is>
          <t>STR-14</t>
        </is>
      </c>
      <c r="D842" t="inlineStr">
        <is>
          <t>QUAL-012</t>
        </is>
      </c>
      <c r="E842" t="inlineStr">
        <is>
          <t>Quality Portfolio</t>
        </is>
      </c>
      <c r="F842" t="inlineStr">
        <is>
          <t>Portfolio and change</t>
        </is>
      </c>
      <c r="G842">
        <f>IFERROR(INDEX('_ENGINE_Risk'!$BS$500:$BS$923,MATCH($D842,'_ENGINE_Risk'!$E$500:$E$923,0)),0)</f>
        <v/>
      </c>
      <c r="H842" t="n">
        <v>1</v>
      </c>
      <c r="I842">
        <f>IFERROR(MAX(0,5-INDEX('_ENGINE_Risk'!$H$500:$H$923,MATCH($D842,'_ENGINE_Risk'!$E$500:$E$923,0))),0)</f>
        <v/>
      </c>
      <c r="J842" t="inlineStr">
        <is>
          <t>P1 many-to-many coverage row</t>
        </is>
      </c>
      <c r="K842">
        <f>IFERROR(INDEX('_ENGINE_Risk'!$BI$500:$BI$923,MATCH($D842,'_ENGINE_Risk'!$E$500:$E$923,0))*N($H842),0)</f>
        <v/>
      </c>
      <c r="L842">
        <f>IFERROR(MIN(5,$K842/MAX(1,'_CONFIG_Model_Settings'!$B$105)),0)</f>
        <v/>
      </c>
    </row>
    <row r="843">
      <c r="A843" t="inlineStr">
        <is>
          <t>INI-071</t>
        </is>
      </c>
      <c r="B843" t="inlineStr">
        <is>
          <t>Implement portfolio governance, prioritization and change control</t>
        </is>
      </c>
      <c r="C843" t="inlineStr">
        <is>
          <t>STR-14</t>
        </is>
      </c>
      <c r="D843" t="inlineStr">
        <is>
          <t>QUAL-013</t>
        </is>
      </c>
      <c r="E843" t="inlineStr">
        <is>
          <t>Quality Portfolio</t>
        </is>
      </c>
      <c r="F843" t="inlineStr">
        <is>
          <t>Portfolio and change</t>
        </is>
      </c>
      <c r="G843">
        <f>IFERROR(INDEX('_ENGINE_Risk'!$BS$500:$BS$923,MATCH($D843,'_ENGINE_Risk'!$E$500:$E$923,0)),0)</f>
        <v/>
      </c>
      <c r="H843" t="n">
        <v>1</v>
      </c>
      <c r="I843">
        <f>IFERROR(MAX(0,5-INDEX('_ENGINE_Risk'!$H$500:$H$923,MATCH($D843,'_ENGINE_Risk'!$E$500:$E$923,0))),0)</f>
        <v/>
      </c>
      <c r="J843" t="inlineStr">
        <is>
          <t>P1 many-to-many coverage row</t>
        </is>
      </c>
      <c r="K843">
        <f>IFERROR(INDEX('_ENGINE_Risk'!$BI$500:$BI$923,MATCH($D843,'_ENGINE_Risk'!$E$500:$E$923,0))*N($H843),0)</f>
        <v/>
      </c>
      <c r="L843">
        <f>IFERROR(MIN(5,$K843/MAX(1,'_CONFIG_Model_Settings'!$B$105)),0)</f>
        <v/>
      </c>
    </row>
    <row r="844">
      <c r="A844" t="inlineStr">
        <is>
          <t>INI-071</t>
        </is>
      </c>
      <c r="B844" t="inlineStr">
        <is>
          <t>Implement portfolio governance, prioritization and change control</t>
        </is>
      </c>
      <c r="C844" t="inlineStr">
        <is>
          <t>STR-14</t>
        </is>
      </c>
      <c r="D844" t="inlineStr">
        <is>
          <t>QUAL-014</t>
        </is>
      </c>
      <c r="E844" t="inlineStr">
        <is>
          <t>Quality Portfolio</t>
        </is>
      </c>
      <c r="F844" t="inlineStr">
        <is>
          <t>Portfolio and change</t>
        </is>
      </c>
      <c r="G844">
        <f>IFERROR(INDEX('_ENGINE_Risk'!$BS$500:$BS$923,MATCH($D844,'_ENGINE_Risk'!$E$500:$E$923,0)),0)</f>
        <v/>
      </c>
      <c r="H844" t="n">
        <v>1</v>
      </c>
      <c r="I844">
        <f>IFERROR(MAX(0,5-INDEX('_ENGINE_Risk'!$H$500:$H$923,MATCH($D844,'_ENGINE_Risk'!$E$500:$E$923,0))),0)</f>
        <v/>
      </c>
      <c r="J844" t="inlineStr">
        <is>
          <t>P1 many-to-many coverage row</t>
        </is>
      </c>
      <c r="K844">
        <f>IFERROR(INDEX('_ENGINE_Risk'!$BI$500:$BI$923,MATCH($D844,'_ENGINE_Risk'!$E$500:$E$923,0))*N($H844),0)</f>
        <v/>
      </c>
      <c r="L844">
        <f>IFERROR(MIN(5,$K844/MAX(1,'_CONFIG_Model_Settings'!$B$105)),0)</f>
        <v/>
      </c>
    </row>
    <row r="845">
      <c r="A845" t="inlineStr">
        <is>
          <t>INI-071</t>
        </is>
      </c>
      <c r="B845" t="inlineStr">
        <is>
          <t>Implement portfolio governance, prioritization and change control</t>
        </is>
      </c>
      <c r="C845" t="inlineStr">
        <is>
          <t>STR-14</t>
        </is>
      </c>
      <c r="D845" t="inlineStr">
        <is>
          <t>QUAL-015</t>
        </is>
      </c>
      <c r="E845" t="inlineStr">
        <is>
          <t>Quality Portfolio</t>
        </is>
      </c>
      <c r="F845" t="inlineStr">
        <is>
          <t>Portfolio and change</t>
        </is>
      </c>
      <c r="G845">
        <f>IFERROR(INDEX('_ENGINE_Risk'!$BS$500:$BS$923,MATCH($D845,'_ENGINE_Risk'!$E$500:$E$923,0)),0)</f>
        <v/>
      </c>
      <c r="H845" t="n">
        <v>1</v>
      </c>
      <c r="I845">
        <f>IFERROR(MAX(0,5-INDEX('_ENGINE_Risk'!$H$500:$H$923,MATCH($D845,'_ENGINE_Risk'!$E$500:$E$923,0))),0)</f>
        <v/>
      </c>
      <c r="J845" t="inlineStr">
        <is>
          <t>P1 many-to-many coverage row</t>
        </is>
      </c>
      <c r="K845">
        <f>IFERROR(INDEX('_ENGINE_Risk'!$BI$500:$BI$923,MATCH($D845,'_ENGINE_Risk'!$E$500:$E$923,0))*N($H845),0)</f>
        <v/>
      </c>
      <c r="L845">
        <f>IFERROR(MIN(5,$K845/MAX(1,'_CONFIG_Model_Settings'!$B$105)),0)</f>
        <v/>
      </c>
    </row>
    <row r="846">
      <c r="A846" t="inlineStr">
        <is>
          <t>INI-072</t>
        </is>
      </c>
      <c r="B846" t="inlineStr">
        <is>
          <t>Integrate management system, KPIs and continual improvement cycle</t>
        </is>
      </c>
      <c r="C846" t="inlineStr">
        <is>
          <t>STR-13</t>
        </is>
      </c>
      <c r="D846" t="inlineStr">
        <is>
          <t>QUAL-016</t>
        </is>
      </c>
      <c r="E846" t="inlineStr">
        <is>
          <t>Quality Portfolio</t>
        </is>
      </c>
      <c r="F846" t="inlineStr">
        <is>
          <t>Management system</t>
        </is>
      </c>
      <c r="G846">
        <f>IFERROR(INDEX('_ENGINE_Risk'!$BS$500:$BS$923,MATCH($D846,'_ENGINE_Risk'!$E$500:$E$923,0)),0)</f>
        <v/>
      </c>
      <c r="H846" t="n">
        <v>1</v>
      </c>
      <c r="I846">
        <f>IFERROR(MAX(0,5-INDEX('_ENGINE_Risk'!$H$500:$H$923,MATCH($D846,'_ENGINE_Risk'!$E$500:$E$923,0))),0)</f>
        <v/>
      </c>
      <c r="J846" t="inlineStr">
        <is>
          <t>P1 many-to-many coverage row</t>
        </is>
      </c>
      <c r="K846">
        <f>IFERROR(INDEX('_ENGINE_Risk'!$BI$500:$BI$923,MATCH($D846,'_ENGINE_Risk'!$E$500:$E$923,0))*N($H846),0)</f>
        <v/>
      </c>
      <c r="L846">
        <f>IFERROR(MIN(5,$K846/MAX(1,'_CONFIG_Model_Settings'!$B$105)),0)</f>
        <v/>
      </c>
    </row>
    <row r="847">
      <c r="A847" t="inlineStr">
        <is>
          <t>INI-072</t>
        </is>
      </c>
      <c r="B847" t="inlineStr">
        <is>
          <t>Integrate management system, KPIs and continual improvement cycle</t>
        </is>
      </c>
      <c r="C847" t="inlineStr">
        <is>
          <t>STR-13</t>
        </is>
      </c>
      <c r="D847" t="inlineStr">
        <is>
          <t>QUAL-017</t>
        </is>
      </c>
      <c r="E847" t="inlineStr">
        <is>
          <t>Quality Portfolio</t>
        </is>
      </c>
      <c r="F847" t="inlineStr">
        <is>
          <t>Management system</t>
        </is>
      </c>
      <c r="G847">
        <f>IFERROR(INDEX('_ENGINE_Risk'!$BS$500:$BS$923,MATCH($D847,'_ENGINE_Risk'!$E$500:$E$923,0)),0)</f>
        <v/>
      </c>
      <c r="H847" t="n">
        <v>1</v>
      </c>
      <c r="I847">
        <f>IFERROR(MAX(0,5-INDEX('_ENGINE_Risk'!$H$500:$H$923,MATCH($D847,'_ENGINE_Risk'!$E$500:$E$923,0))),0)</f>
        <v/>
      </c>
      <c r="J847" t="inlineStr">
        <is>
          <t>P1 many-to-many coverage row</t>
        </is>
      </c>
      <c r="K847">
        <f>IFERROR(INDEX('_ENGINE_Risk'!$BI$500:$BI$923,MATCH($D847,'_ENGINE_Risk'!$E$500:$E$923,0))*N($H847),0)</f>
        <v/>
      </c>
      <c r="L847">
        <f>IFERROR(MIN(5,$K847/MAX(1,'_CONFIG_Model_Settings'!$B$105)),0)</f>
        <v/>
      </c>
    </row>
    <row r="848">
      <c r="A848" t="inlineStr">
        <is>
          <t>INI-072</t>
        </is>
      </c>
      <c r="B848" t="inlineStr">
        <is>
          <t>Integrate management system, KPIs and continual improvement cycle</t>
        </is>
      </c>
      <c r="C848" t="inlineStr">
        <is>
          <t>STR-13</t>
        </is>
      </c>
      <c r="D848" t="inlineStr">
        <is>
          <t>QUAL-018</t>
        </is>
      </c>
      <c r="E848" t="inlineStr">
        <is>
          <t>Quality Portfolio</t>
        </is>
      </c>
      <c r="F848" t="inlineStr">
        <is>
          <t>Management system</t>
        </is>
      </c>
      <c r="G848">
        <f>IFERROR(INDEX('_ENGINE_Risk'!$BS$500:$BS$923,MATCH($D848,'_ENGINE_Risk'!$E$500:$E$923,0)),0)</f>
        <v/>
      </c>
      <c r="H848" t="n">
        <v>1</v>
      </c>
      <c r="I848">
        <f>IFERROR(MAX(0,5-INDEX('_ENGINE_Risk'!$H$500:$H$923,MATCH($D848,'_ENGINE_Risk'!$E$500:$E$923,0))),0)</f>
        <v/>
      </c>
      <c r="J848" t="inlineStr">
        <is>
          <t>P1 many-to-many coverage row</t>
        </is>
      </c>
      <c r="K848">
        <f>IFERROR(INDEX('_ENGINE_Risk'!$BI$500:$BI$923,MATCH($D848,'_ENGINE_Risk'!$E$500:$E$923,0))*N($H848),0)</f>
        <v/>
      </c>
      <c r="L848">
        <f>IFERROR(MIN(5,$K848/MAX(1,'_CONFIG_Model_Settings'!$B$105)),0)</f>
        <v/>
      </c>
    </row>
    <row r="849">
      <c r="A849" t="inlineStr">
        <is>
          <t>INI-072</t>
        </is>
      </c>
      <c r="B849" t="inlineStr">
        <is>
          <t>Integrate management system, KPIs and continual improvement cycle</t>
        </is>
      </c>
      <c r="C849" t="inlineStr">
        <is>
          <t>STR-13</t>
        </is>
      </c>
      <c r="D849" t="inlineStr">
        <is>
          <t>QUAL-019</t>
        </is>
      </c>
      <c r="E849" t="inlineStr">
        <is>
          <t>Quality Portfolio</t>
        </is>
      </c>
      <c r="F849" t="inlineStr">
        <is>
          <t>Management system</t>
        </is>
      </c>
      <c r="G849">
        <f>IFERROR(INDEX('_ENGINE_Risk'!$BS$500:$BS$923,MATCH($D849,'_ENGINE_Risk'!$E$500:$E$923,0)),0)</f>
        <v/>
      </c>
      <c r="H849" t="n">
        <v>1</v>
      </c>
      <c r="I849">
        <f>IFERROR(MAX(0,5-INDEX('_ENGINE_Risk'!$H$500:$H$923,MATCH($D849,'_ENGINE_Risk'!$E$500:$E$923,0))),0)</f>
        <v/>
      </c>
      <c r="J849" t="inlineStr">
        <is>
          <t>P1 many-to-many coverage row</t>
        </is>
      </c>
      <c r="K849">
        <f>IFERROR(INDEX('_ENGINE_Risk'!$BI$500:$BI$923,MATCH($D849,'_ENGINE_Risk'!$E$500:$E$923,0))*N($H849),0)</f>
        <v/>
      </c>
      <c r="L849">
        <f>IFERROR(MIN(5,$K849/MAX(1,'_CONFIG_Model_Settings'!$B$105)),0)</f>
        <v/>
      </c>
    </row>
    <row r="850">
      <c r="A850" t="inlineStr">
        <is>
          <t>INI-072</t>
        </is>
      </c>
      <c r="B850" t="inlineStr">
        <is>
          <t>Integrate management system, KPIs and continual improvement cycle</t>
        </is>
      </c>
      <c r="C850" t="inlineStr">
        <is>
          <t>STR-13</t>
        </is>
      </c>
      <c r="D850" t="inlineStr">
        <is>
          <t>QUAL-020</t>
        </is>
      </c>
      <c r="E850" t="inlineStr">
        <is>
          <t>Quality Portfolio</t>
        </is>
      </c>
      <c r="F850" t="inlineStr">
        <is>
          <t>Management system</t>
        </is>
      </c>
      <c r="G850">
        <f>IFERROR(INDEX('_ENGINE_Risk'!$BS$500:$BS$923,MATCH($D850,'_ENGINE_Risk'!$E$500:$E$923,0)),0)</f>
        <v/>
      </c>
      <c r="H850" t="n">
        <v>1</v>
      </c>
      <c r="I850">
        <f>IFERROR(MAX(0,5-INDEX('_ENGINE_Risk'!$H$500:$H$923,MATCH($D850,'_ENGINE_Risk'!$E$500:$E$923,0))),0)</f>
        <v/>
      </c>
      <c r="J850" t="inlineStr">
        <is>
          <t>P1 many-to-many coverage row</t>
        </is>
      </c>
      <c r="K850">
        <f>IFERROR(INDEX('_ENGINE_Risk'!$BI$500:$BI$923,MATCH($D850,'_ENGINE_Risk'!$E$500:$E$923,0))*N($H850),0)</f>
        <v/>
      </c>
      <c r="L850">
        <f>IFERROR(MIN(5,$K850/MAX(1,'_CONFIG_Model_Settings'!$B$105)),0)</f>
        <v/>
      </c>
    </row>
  </sheetData>
  <mergeCells count="2">
    <mergeCell ref="A2:V2"/>
    <mergeCell ref="A1:V1"/>
  </mergeCells>
  <pageMargins left="0.7" right="0.7" top="0.75" bottom="0.75" header="0.3" footer="0.3"/>
  <pageSetup orientation="landscape" fitToHeight="0"/>
  <headerFooter>
    <oddHeader/>
    <oddFooter>&amp;R© Roman Reznikov / RR-framework — CC BY-NC-SA 4.0 — For authorized use only</oddFooter>
    <evenHeader/>
    <evenFooter>&amp;R© Roman Reznikov / RR-framework — CC BY-NC-SA 4.0 — For authorized use only</evenFooter>
    <firstHeader/>
    <firstFooter>&amp;R© Roman Reznikov / RR-framework — CC BY-NC-SA 4.0 — For authorized use only</firstFooter>
  </headerFooter>
  <legacyDrawing r:id="anysvml"/>
  <tableParts count="1">
    <tablePart r:id="rId1"/>
  </tableParts>
</worksheet>
</file>

<file path=xl/worksheets/sheet17.xml><?xml version="1.0" encoding="utf-8"?>
<worksheet xmlns="http://schemas.openxmlformats.org/spreadsheetml/2006/main" xmlns:r="http://schemas.openxmlformats.org/officeDocument/2006/relationships">
  <sheetPr>
    <tabColor rgb="FF111827"/>
    <outlinePr summaryBelow="1" summaryRight="1"/>
    <pageSetUpPr fitToPage="1"/>
  </sheetPr>
  <dimension ref="A1:BS923"/>
  <sheetViews>
    <sheetView showGridLines="0" workbookViewId="0">
      <pane ySplit="3" topLeftCell="A4" activePane="bottomLeft" state="frozen"/>
      <selection pane="bottomLeft" activeCell="A1" sqref="A1"/>
    </sheetView>
  </sheetViews>
  <sheetFormatPr baseColWidth="8" defaultRowHeight="13.8"/>
  <cols>
    <col width="13" customWidth="1" style="209" min="1" max="1"/>
    <col width="20" customWidth="1" style="209" min="2" max="2"/>
    <col width="24" customWidth="1" style="209" min="3" max="3"/>
    <col width="28" customWidth="1" style="209" min="4" max="4"/>
    <col width="55" customWidth="1" style="209" min="5" max="6"/>
    <col width="45" customWidth="1" style="209" min="7" max="7"/>
    <col width="46" customWidth="1" style="209" min="8" max="13"/>
    <col width="48" customWidth="1" style="209" min="14" max="19"/>
    <col width="14" customWidth="1" style="209" min="20" max="25"/>
    <col width="32" customWidth="1" style="209" min="26" max="26"/>
    <col width="42" customWidth="1" style="209" min="27" max="27"/>
    <col width="28" customWidth="1" style="209" min="28" max="28"/>
    <col width="24" customWidth="1" style="209" min="29" max="29"/>
    <col width="18" customWidth="1" style="209" min="30" max="30"/>
    <col width="20" customWidth="1" style="209" min="32" max="38"/>
  </cols>
  <sheetData>
    <row r="1" ht="25.95" customHeight="1" s="209">
      <c r="A1" s="256" t="inlineStr">
        <is>
          <t>_ENGINE_Risk / Hidden Vocabulary</t>
        </is>
      </c>
      <c r="B1" s="215" t="n"/>
      <c r="C1" s="215" t="n"/>
      <c r="D1" s="215" t="n"/>
      <c r="E1" s="215" t="n"/>
      <c r="F1" s="215" t="n"/>
      <c r="G1" s="215" t="n"/>
      <c r="H1" s="215" t="n"/>
      <c r="I1" s="215" t="n"/>
      <c r="J1" s="215" t="n"/>
      <c r="K1" s="215" t="n"/>
      <c r="L1" s="215" t="n"/>
      <c r="M1" s="215" t="n"/>
      <c r="N1" s="215" t="n"/>
      <c r="O1" s="215" t="n"/>
      <c r="P1" s="215" t="n"/>
      <c r="Q1" s="215" t="n"/>
      <c r="R1" s="215" t="n"/>
      <c r="S1" s="215" t="n"/>
      <c r="T1" s="215" t="n"/>
      <c r="U1" s="215" t="n"/>
      <c r="V1" s="215" t="n"/>
      <c r="W1" s="215" t="n"/>
      <c r="X1" s="215" t="n"/>
      <c r="Y1" s="215" t="n"/>
      <c r="Z1" s="215" t="n"/>
      <c r="AA1" s="215" t="n"/>
      <c r="AB1" s="215" t="n"/>
      <c r="AC1" s="215" t="n"/>
      <c r="AD1" s="216" t="n"/>
    </row>
    <row r="2" ht="34.05" customHeight="1" s="209">
      <c r="A2" s="302" t="inlineStr">
        <is>
          <t>Internal admin sheet. Each row is one questionnaire item. Score-specific risk statements, risk treatments and complexity values are used by the visible Risk Summary sheet.</t>
        </is>
      </c>
    </row>
    <row r="4" ht="24" customHeight="1" s="209">
      <c r="A4" s="14" t="inlineStr">
        <is>
          <t>Question ID</t>
        </is>
      </c>
      <c r="B4" s="14" t="inlineStr">
        <is>
          <t>Domain</t>
        </is>
      </c>
      <c r="C4" s="14" t="inlineStr">
        <is>
          <t>Subdomain</t>
        </is>
      </c>
      <c r="D4" s="14" t="inlineStr">
        <is>
          <t>Risk category</t>
        </is>
      </c>
      <c r="E4" s="14" t="inlineStr">
        <is>
          <t>Question</t>
        </is>
      </c>
      <c r="F4" s="14" t="inlineStr">
        <is>
          <t>Risk event</t>
        </is>
      </c>
      <c r="G4" s="14" t="inlineStr">
        <is>
          <t>Risk drivers</t>
        </is>
      </c>
      <c r="H4" s="14" t="inlineStr">
        <is>
          <t>Risk if score 0</t>
        </is>
      </c>
      <c r="I4" s="14" t="inlineStr">
        <is>
          <t>Risk if score 1</t>
        </is>
      </c>
      <c r="J4" s="14" t="inlineStr">
        <is>
          <t>Risk if score 2</t>
        </is>
      </c>
      <c r="K4" s="14" t="inlineStr">
        <is>
          <t>Risk if score 3</t>
        </is>
      </c>
      <c r="L4" s="14" t="inlineStr">
        <is>
          <t>Risk if score 4</t>
        </is>
      </c>
      <c r="M4" s="14" t="inlineStr">
        <is>
          <t>Risk if score 5</t>
        </is>
      </c>
      <c r="N4" s="14" t="inlineStr">
        <is>
          <t>Risk treatment if score 0</t>
        </is>
      </c>
      <c r="O4" s="14" t="inlineStr">
        <is>
          <t>Risk treatment if score 1</t>
        </is>
      </c>
      <c r="P4" s="14" t="inlineStr">
        <is>
          <t>Risk treatment if score 2</t>
        </is>
      </c>
      <c r="Q4" s="14" t="inlineStr">
        <is>
          <t>Risk treatment if score 3</t>
        </is>
      </c>
      <c r="R4" s="14" t="inlineStr">
        <is>
          <t>Risk treatment if score 4</t>
        </is>
      </c>
      <c r="S4" s="14" t="inlineStr">
        <is>
          <t>Risk treatment if score 5</t>
        </is>
      </c>
      <c r="T4" s="14" t="inlineStr">
        <is>
          <t>Complexity if score 0</t>
        </is>
      </c>
      <c r="U4" s="14" t="inlineStr">
        <is>
          <t>Complexity if score 1</t>
        </is>
      </c>
      <c r="V4" s="14" t="inlineStr">
        <is>
          <t>Complexity if score 2</t>
        </is>
      </c>
      <c r="W4" s="14" t="inlineStr">
        <is>
          <t>Complexity if score 3</t>
        </is>
      </c>
      <c r="X4" s="14" t="inlineStr">
        <is>
          <t>Complexity if score 4</t>
        </is>
      </c>
      <c r="Y4" s="14" t="inlineStr">
        <is>
          <t>Complexity if score 5</t>
        </is>
      </c>
      <c r="Z4" s="14" t="inlineStr">
        <is>
          <t>Standards / frameworks</t>
        </is>
      </c>
      <c r="AA4" s="14" t="inlineStr">
        <is>
          <t>Evidence to request</t>
        </is>
      </c>
      <c r="AB4" s="14" t="inlineStr">
        <is>
          <t>Crisis tags</t>
        </is>
      </c>
      <c r="AC4" s="14" t="inlineStr">
        <is>
          <t>Owner / SME</t>
        </is>
      </c>
      <c r="AD4" s="14" t="inlineStr">
        <is>
          <t>Source sheet row</t>
        </is>
      </c>
      <c r="AE4" t="inlineStr">
        <is>
          <t>Risk velocity</t>
        </is>
      </c>
      <c r="AF4" t="inlineStr">
        <is>
          <t>P1 exposure default</t>
        </is>
      </c>
      <c r="AG4" t="inlineStr">
        <is>
          <t>P1 incident history default</t>
        </is>
      </c>
      <c r="AH4" t="inlineStr">
        <is>
          <t>P1 evidence uncertainty default</t>
        </is>
      </c>
      <c r="AI4" t="inlineStr">
        <is>
          <t>P1 dependency/cascade score</t>
        </is>
      </c>
      <c r="AJ4" t="inlineStr">
        <is>
          <t>P1 red-line flag</t>
        </is>
      </c>
      <c r="AK4" t="inlineStr">
        <is>
          <t>P1 red-line impact floor</t>
        </is>
      </c>
      <c r="AL4" t="inlineStr">
        <is>
          <t>P1 calibration rationale</t>
        </is>
      </c>
    </row>
    <row r="5" ht="72" customHeight="1" s="209">
      <c r="A5" s="13" t="inlineStr">
        <is>
          <t>COMP-001</t>
        </is>
      </c>
      <c r="B5" s="13" t="inlineStr">
        <is>
          <t>Company Geography</t>
        </is>
      </c>
      <c r="C5" s="13" t="inlineStr">
        <is>
          <t>Company profile</t>
        </is>
      </c>
      <c r="D5" s="13" t="inlineStr">
        <is>
          <t>Geographic, entity and market exposure</t>
        </is>
      </c>
      <c r="E5" s="13" t="inlineStr">
        <is>
          <t>How mature is the organization in managing legal entity structure, ownership, subsidiaries and operating countries, including ownership, evidence, metrics, fallback procedures and crisis stress testing?</t>
        </is>
      </c>
      <c r="F5" s="13" t="inlineStr">
        <is>
          <t>Immature capability for legal entity structure, ownership, subsidiaries and operating countries may lead to unclear exposure across entities, sites and markets, delayed strategic response and underestimated crisis impact during Geopolitical risk; Physical site loss; Regulatory/legal shock.</t>
        </is>
      </c>
      <c r="G5" s="13" t="inlineStr">
        <is>
          <t>Low maturity, weak ownership, incomplete evidence, insufficient testing and poor integration with crisis-management routines for legal entity structure, ownership, subsidiaries and operating countries.</t>
        </is>
      </c>
      <c r="H5" s="13" t="inlineStr">
        <is>
          <t>Severe risk: legal entity structure, ownership, subsidiaries and operating countries is not reliably controlled. During Geopolitical risk; Physical site loss; Regulatory/legal shock, the organization may face unclear exposure across entities, sites and markets, delayed strategic response and underestimated crisis impact with limited visibility or accountability.</t>
        </is>
      </c>
      <c r="I5" s="13" t="inlineStr">
        <is>
          <t>High risk: legal entity structure, ownership, subsidiaries and operating countries depends on informal practices or individual knowledge. Disruption may expose unclear exposure across entities, sites and markets, delayed strategic response and underestimated crisis impact and slow recovery.</t>
        </is>
      </c>
      <c r="J5" s="13" t="inlineStr">
        <is>
          <t>Elevated risk: legal entity structure, ownership, subsidiaries and operating countries is partially controlled, but coverage, evidence or testing is inconsistent. Crisis response may be fragmented.</t>
        </is>
      </c>
      <c r="K5" s="13" t="inlineStr">
        <is>
          <t>Moderate risk: legal entity structure, ownership, subsidiaries and operating countries is documented and owned, but measurement, stress testing and integration with dependent processes need strengthening.</t>
        </is>
      </c>
      <c r="L5" s="13" t="inlineStr">
        <is>
          <t>Residual risk: legal entity structure, ownership, subsidiaries and operating countries is measured and reviewed, but monitoring, automation or scenario testing should be improved to prevent maturity drift.</t>
        </is>
      </c>
      <c r="M5" s="13" t="inlineStr">
        <is>
          <t>Low residual risk: legal entity structure, ownership, subsidiaries and operating countries is mature and crisis-tested. Maintain monitoring, evidence, ownership and periodic stress testing.</t>
        </is>
      </c>
      <c r="N5" s="13" t="inlineStr">
        <is>
          <t>Create an immediate risk owner, minimum control baseline and fallback procedure for legal entity structure, ownership, subsidiaries and operating countries. Add it to the crisis risk register and collect first evidence.</t>
        </is>
      </c>
      <c r="O5" s="13" t="inlineStr">
        <is>
          <t>Document legal entity structure, ownership, subsidiaries and operating countries, assign RACI, define minimum controls and KPIs, and validate coverage across key sites, teams or systems.</t>
        </is>
      </c>
      <c r="P5" s="13" t="inlineStr">
        <is>
          <t>Standardize legal entity structure, ownership, subsidiaries and operating countries, close coverage gaps, train accountable roles and connect controls to the relevant crisis scenarios and continuity plans.</t>
        </is>
      </c>
      <c r="Q5" s="13" t="inlineStr">
        <is>
          <t>Measure and test legal entity structure, ownership, subsidiaries and operating countries, run tabletop or operational stress tests, integrate it with dependent processes and update crisis playbooks.</t>
        </is>
      </c>
      <c r="R5" s="13" t="inlineStr">
        <is>
          <t>Automate monitoring where practical, define leading indicators, run periodic scenario tests and track residual risk after each major change.</t>
        </is>
      </c>
      <c r="S5" s="13" t="inlineStr">
        <is>
          <t>Sustain maturity for legal entity structure, ownership, subsidiaries and operating countries: keep evidence current, monitor drift, benchmark externally and refresh risk tests after organizational, system or market changes.</t>
        </is>
      </c>
      <c r="T5" s="13" t="n">
        <v>3</v>
      </c>
      <c r="U5" s="13" t="n">
        <v>3</v>
      </c>
      <c r="V5" s="13" t="n">
        <v>2</v>
      </c>
      <c r="W5" s="13" t="n">
        <v>2</v>
      </c>
      <c r="X5" s="13" t="n">
        <v>1</v>
      </c>
      <c r="Y5" s="13" t="n">
        <v>1</v>
      </c>
      <c r="Z5" s="13" t="inlineStr">
        <is>
          <t>ISO 22301; ISO 31000; ISO 9001; ISO 37000; PESTLE; Business Model Canvas</t>
        </is>
      </c>
      <c r="AA5" s="13" t="inlineStr">
        <is>
          <t>Policy/SOP; owner/RACI; system report; dashboard; contracts; test records; incident history; interview evidence related to legal entity structure, ownership, subsidiaries and operating countries.</t>
        </is>
      </c>
      <c r="AB5" s="13" t="inlineStr">
        <is>
          <t>Geopolitical risk; Physical site loss; Regulatory/legal shock</t>
        </is>
      </c>
      <c r="AC5" s="13" t="inlineStr">
        <is>
          <t>CEO / COO / Risk</t>
        </is>
      </c>
      <c r="AD5" s="13" t="inlineStr">
        <is>
          <t>Company Geography!5</t>
        </is>
      </c>
      <c r="AE5">
        <f>IF($A5="","",IF(OR(ISNUMBER(SEARCH("cyber",$D5)),ISNUMBER(SEARCH("security",$D5)),ISNUMBER(SEARCH("safety",$D5)),ISNUMBER(SEARCH("liquidity",$D5)),ISNUMBER(SEARCH("cash",$D5)),ISNUMBER(SEARCH("continuity",$D5)),ISNUMBER(SEARCH("infrastructure",$D5)),ISNUMBER(SEARCH("outage",$D5))),"Fast",IF(OR(ISNUMBER(SEARCH("compliance",$D5)),ISNUMBER(SEARCH("regulat",$D5)),ISNUMBER(SEARCH("data",$D5)),ISNUMBER(SEARCH("talent",$D5)),ISNUMBER(SEARCH("knowledge",$D5)),ISNUMBER(SEARCH("portfolio",$D5)),ISNUMBER(SEARCH("quality",$D5))),"Slow","Medium")))</f>
        <v/>
      </c>
      <c r="AF5">
        <f>IF($A5="","",IFERROR(VLOOKUP($B5,'_CONFIG_Risk_Calibration'!$A$5:$H$21,2,FALSE),3))</f>
        <v/>
      </c>
      <c r="AG5">
        <f>IF($A5="","",IFERROR(VLOOKUP($B5,'_CONFIG_Risk_Calibration'!$A$5:$H$21,3,FALSE),0))</f>
        <v/>
      </c>
      <c r="AH5">
        <f>IF($A5="","",IFERROR(VLOOKUP($B5,'_CONFIG_Risk_Calibration'!$A$5:$H$21,4,FALSE),3))</f>
        <v/>
      </c>
      <c r="AI5">
        <f>IF($A5="","",IFERROR(VLOOKUP($B5,'_CONFIG_Risk_Calibration'!$A$5:$H$21,5,FALSE),3))</f>
        <v/>
      </c>
      <c r="AJ5">
        <f>IF($A5="","",IFERROR(VLOOKUP($B5,'_CONFIG_Risk_Calibration'!$A$5:$H$21,6,FALSE),"No"))</f>
        <v/>
      </c>
      <c r="AK5">
        <f>IF($A5="","",IFERROR(VLOOKUP($B5,'_CONFIG_Risk_Calibration'!$A$5:$H$21,7,FALSE),1))</f>
        <v/>
      </c>
      <c r="AL5">
        <f>IF($A5="","",IFERROR(VLOOKUP($B5,'_CONFIG_Risk_Calibration'!$A$5:$H$21,8,FALSE),""))</f>
        <v/>
      </c>
    </row>
    <row r="6" ht="72" customHeight="1" s="209">
      <c r="A6" s="13" t="inlineStr">
        <is>
          <t>COMP-002</t>
        </is>
      </c>
      <c r="B6" s="13" t="inlineStr">
        <is>
          <t>Company Geography</t>
        </is>
      </c>
      <c r="C6" s="13" t="inlineStr">
        <is>
          <t>Company profile</t>
        </is>
      </c>
      <c r="D6" s="13" t="inlineStr">
        <is>
          <t>Geographic, entity and market exposure</t>
        </is>
      </c>
      <c r="E6" s="13" t="inlineStr">
        <is>
          <t>How mature is the organization in managing business model, value proposition, revenue streams and cost drivers, including ownership, evidence, metrics, fallback procedures and crisis stress testing?</t>
        </is>
      </c>
      <c r="F6" s="13" t="inlineStr">
        <is>
          <t>Immature capability for business model, value proposition, revenue streams and cost drivers may lead to unclear exposure across entities, sites and markets, delayed strategic response and underestimated crisis impact during Geopolitical risk; Physical site loss; Regulatory/legal shock.</t>
        </is>
      </c>
      <c r="G6" s="13" t="inlineStr">
        <is>
          <t>Low maturity, weak ownership, incomplete evidence, insufficient testing and poor integration with crisis-management routines for business model, value proposition, revenue streams and cost drivers.</t>
        </is>
      </c>
      <c r="H6" s="13" t="inlineStr">
        <is>
          <t>Severe risk: business model, value proposition, revenue streams and cost drivers is not reliably controlled. During Geopolitical risk; Physical site loss; Regulatory/legal shock, the organization may face unclear exposure across entities, sites and markets, delayed strategic response and underestimated crisis impact with limited visibility or accountability.</t>
        </is>
      </c>
      <c r="I6" s="13" t="inlineStr">
        <is>
          <t>High risk: business model, value proposition, revenue streams and cost drivers depends on informal practices or individual knowledge. Disruption may expose unclear exposure across entities, sites and markets, delayed strategic response and underestimated crisis impact and slow recovery.</t>
        </is>
      </c>
      <c r="J6" s="13" t="inlineStr">
        <is>
          <t>Elevated risk: business model, value proposition, revenue streams and cost drivers is partially controlled, but coverage, evidence or testing is inconsistent. Crisis response may be fragmented.</t>
        </is>
      </c>
      <c r="K6" s="13" t="inlineStr">
        <is>
          <t>Moderate risk: business model, value proposition, revenue streams and cost drivers is documented and owned, but measurement, stress testing and integration with dependent processes need strengthening.</t>
        </is>
      </c>
      <c r="L6" s="13" t="inlineStr">
        <is>
          <t>Residual risk: business model, value proposition, revenue streams and cost drivers is measured and reviewed, but monitoring, automation or scenario testing should be improved to prevent maturity drift.</t>
        </is>
      </c>
      <c r="M6" s="13" t="inlineStr">
        <is>
          <t>Low residual risk: business model, value proposition, revenue streams and cost drivers is mature and crisis-tested. Maintain monitoring, evidence, ownership and periodic stress testing.</t>
        </is>
      </c>
      <c r="N6" s="13" t="inlineStr">
        <is>
          <t>Create an immediate risk owner, minimum control baseline and fallback procedure for business model, value proposition, revenue streams and cost drivers. Add it to the crisis risk register and collect first evidence.</t>
        </is>
      </c>
      <c r="O6" s="13" t="inlineStr">
        <is>
          <t>Document business model, value proposition, revenue streams and cost drivers, assign RACI, define minimum controls and KPIs, and validate coverage across key sites, teams or systems.</t>
        </is>
      </c>
      <c r="P6" s="13" t="inlineStr">
        <is>
          <t>Standardize business model, value proposition, revenue streams and cost drivers, close coverage gaps, train accountable roles and connect controls to the relevant crisis scenarios and continuity plans.</t>
        </is>
      </c>
      <c r="Q6" s="13" t="inlineStr">
        <is>
          <t>Measure and test business model, value proposition, revenue streams and cost drivers, run tabletop or operational stress tests, integrate it with dependent processes and update crisis playbooks.</t>
        </is>
      </c>
      <c r="R6" s="13" t="inlineStr">
        <is>
          <t>Automate monitoring where practical, define leading indicators, run periodic scenario tests and track residual risk after each major change.</t>
        </is>
      </c>
      <c r="S6" s="13" t="inlineStr">
        <is>
          <t>Sustain maturity for business model, value proposition, revenue streams and cost drivers: keep evidence current, monitor drift, benchmark externally and refresh risk tests after organizational, system or market changes.</t>
        </is>
      </c>
      <c r="T6" s="13" t="n">
        <v>3</v>
      </c>
      <c r="U6" s="13" t="n">
        <v>3</v>
      </c>
      <c r="V6" s="13" t="n">
        <v>2</v>
      </c>
      <c r="W6" s="13" t="n">
        <v>2</v>
      </c>
      <c r="X6" s="13" t="n">
        <v>1</v>
      </c>
      <c r="Y6" s="13" t="n">
        <v>1</v>
      </c>
      <c r="Z6" s="13" t="inlineStr">
        <is>
          <t>ISO 22301; ISO 31000; ISO 9001; ISO 37000; PESTLE; Business Model Canvas</t>
        </is>
      </c>
      <c r="AA6" s="13" t="inlineStr">
        <is>
          <t>Policy/SOP; owner/RACI; system report; dashboard; contracts; test records; incident history; interview evidence related to business model, value proposition, revenue streams and cost drivers.</t>
        </is>
      </c>
      <c r="AB6" s="13" t="inlineStr">
        <is>
          <t>Geopolitical risk; Physical site loss; Regulatory/legal shock</t>
        </is>
      </c>
      <c r="AC6" s="13" t="inlineStr">
        <is>
          <t>CEO / COO / Risk</t>
        </is>
      </c>
      <c r="AD6" s="13" t="inlineStr">
        <is>
          <t>Company Geography!6</t>
        </is>
      </c>
      <c r="AE6">
        <f>IF($A6="","",IF(OR(ISNUMBER(SEARCH("cyber",$D6)),ISNUMBER(SEARCH("security",$D6)),ISNUMBER(SEARCH("safety",$D6)),ISNUMBER(SEARCH("liquidity",$D6)),ISNUMBER(SEARCH("cash",$D6)),ISNUMBER(SEARCH("continuity",$D6)),ISNUMBER(SEARCH("infrastructure",$D6)),ISNUMBER(SEARCH("outage",$D6))),"Fast",IF(OR(ISNUMBER(SEARCH("compliance",$D6)),ISNUMBER(SEARCH("regulat",$D6)),ISNUMBER(SEARCH("data",$D6)),ISNUMBER(SEARCH("talent",$D6)),ISNUMBER(SEARCH("knowledge",$D6)),ISNUMBER(SEARCH("portfolio",$D6)),ISNUMBER(SEARCH("quality",$D6))),"Slow","Medium")))</f>
        <v/>
      </c>
      <c r="AF6">
        <f>IF($A6="","",IFERROR(VLOOKUP($B6,'_CONFIG_Risk_Calibration'!$A$5:$H$21,2,FALSE),3))</f>
        <v/>
      </c>
      <c r="AG6">
        <f>IF($A6="","",IFERROR(VLOOKUP($B6,'_CONFIG_Risk_Calibration'!$A$5:$H$21,3,FALSE),0))</f>
        <v/>
      </c>
      <c r="AH6">
        <f>IF($A6="","",IFERROR(VLOOKUP($B6,'_CONFIG_Risk_Calibration'!$A$5:$H$21,4,FALSE),3))</f>
        <v/>
      </c>
      <c r="AI6">
        <f>IF($A6="","",IFERROR(VLOOKUP($B6,'_CONFIG_Risk_Calibration'!$A$5:$H$21,5,FALSE),3))</f>
        <v/>
      </c>
      <c r="AJ6">
        <f>IF($A6="","",IFERROR(VLOOKUP($B6,'_CONFIG_Risk_Calibration'!$A$5:$H$21,6,FALSE),"No"))</f>
        <v/>
      </c>
      <c r="AK6">
        <f>IF($A6="","",IFERROR(VLOOKUP($B6,'_CONFIG_Risk_Calibration'!$A$5:$H$21,7,FALSE),1))</f>
        <v/>
      </c>
      <c r="AL6">
        <f>IF($A6="","",IFERROR(VLOOKUP($B6,'_CONFIG_Risk_Calibration'!$A$5:$H$21,8,FALSE),""))</f>
        <v/>
      </c>
    </row>
    <row r="7" ht="72" customHeight="1" s="209">
      <c r="A7" s="13" t="inlineStr">
        <is>
          <t>COMP-003</t>
        </is>
      </c>
      <c r="B7" s="13" t="inlineStr">
        <is>
          <t>Company Geography</t>
        </is>
      </c>
      <c r="C7" s="13" t="inlineStr">
        <is>
          <t>Company profile</t>
        </is>
      </c>
      <c r="D7" s="13" t="inlineStr">
        <is>
          <t>Geographic, entity and market exposure</t>
        </is>
      </c>
      <c r="E7" s="13" t="inlineStr">
        <is>
          <t>How mature is the organization in managing critical products and services ranked by revenue, margin and continuity priority, including ownership, evidence, metrics, fallback procedures and crisis stress testing?</t>
        </is>
      </c>
      <c r="F7" s="13" t="inlineStr">
        <is>
          <t>Immature capability for critical products and services ranked by revenue, margin and continuity priority may lead to unclear exposure across entities, sites and markets, delayed strategic response and underestimated crisis impact during Geopolitical risk; Physical site loss; Regulatory/legal shock.</t>
        </is>
      </c>
      <c r="G7" s="13" t="inlineStr">
        <is>
          <t>Low maturity, weak ownership, incomplete evidence, insufficient testing and poor integration with crisis-management routines for critical products and services ranked by revenue, margin and continuity priority.</t>
        </is>
      </c>
      <c r="H7" s="13" t="inlineStr">
        <is>
          <t>Severe risk: critical products and services ranked by revenue, margin and continuity priority is not reliably controlled. During Geopolitical risk; Physical site loss; Regulatory/legal shock, the organization may face unclear exposure across entities, sites and markets, delayed strategic response and underestimated crisis impact with limited visibility or accountability.</t>
        </is>
      </c>
      <c r="I7" s="13" t="inlineStr">
        <is>
          <t>High risk: critical products and services ranked by revenue, margin and continuity priority depends on informal practices or individual knowledge. Disruption may expose unclear exposure across entities, sites and markets, delayed strategic response and underestimated crisis impact and slow recovery.</t>
        </is>
      </c>
      <c r="J7" s="13" t="inlineStr">
        <is>
          <t>Elevated risk: critical products and services ranked by revenue, margin and continuity priority is partially controlled, but coverage, evidence or testing is inconsistent. Crisis response may be fragmented.</t>
        </is>
      </c>
      <c r="K7" s="13" t="inlineStr">
        <is>
          <t>Moderate risk: critical products and services ranked by revenue, margin and continuity priority is documented and owned, but measurement, stress testing and integration with dependent processes need strengthening.</t>
        </is>
      </c>
      <c r="L7" s="13" t="inlineStr">
        <is>
          <t>Residual risk: critical products and services ranked by revenue, margin and continuity priority is measured and reviewed, but monitoring, automation or scenario testing should be improved to prevent maturity drift.</t>
        </is>
      </c>
      <c r="M7" s="13" t="inlineStr">
        <is>
          <t>Low residual risk: critical products and services ranked by revenue, margin and continuity priority is mature and crisis-tested. Maintain monitoring, evidence, ownership and periodic stress testing.</t>
        </is>
      </c>
      <c r="N7" s="13" t="inlineStr">
        <is>
          <t>Create an immediate risk owner, minimum control baseline and fallback procedure for critical products and services ranked by revenue, margin and continuity priority. Add it to the crisis risk register and collect first evidence.</t>
        </is>
      </c>
      <c r="O7" s="13" t="inlineStr">
        <is>
          <t>Document critical products and services ranked by revenue, margin and continuity priority, assign RACI, define minimum controls and KPIs, and validate coverage across key sites, teams or systems.</t>
        </is>
      </c>
      <c r="P7" s="13" t="inlineStr">
        <is>
          <t>Standardize critical products and services ranked by revenue, margin and continuity priority, close coverage gaps, train accountable roles and connect controls to the relevant crisis scenarios and continuity plans.</t>
        </is>
      </c>
      <c r="Q7" s="13" t="inlineStr">
        <is>
          <t>Measure and test critical products and services ranked by revenue, margin and continuity priority, run tabletop or operational stress tests, integrate it with dependent processes and update crisis playbooks.</t>
        </is>
      </c>
      <c r="R7" s="13" t="inlineStr">
        <is>
          <t>Automate monitoring where practical, define leading indicators, run periodic scenario tests and track residual risk after each major change.</t>
        </is>
      </c>
      <c r="S7" s="13" t="inlineStr">
        <is>
          <t>Sustain maturity for critical products and services ranked by revenue, margin and continuity priority: keep evidence current, monitor drift, benchmark externally and refresh risk tests after organizational, system or market changes.</t>
        </is>
      </c>
      <c r="T7" s="13" t="n">
        <v>3</v>
      </c>
      <c r="U7" s="13" t="n">
        <v>3</v>
      </c>
      <c r="V7" s="13" t="n">
        <v>2</v>
      </c>
      <c r="W7" s="13" t="n">
        <v>2</v>
      </c>
      <c r="X7" s="13" t="n">
        <v>1</v>
      </c>
      <c r="Y7" s="13" t="n">
        <v>1</v>
      </c>
      <c r="Z7" s="13" t="inlineStr">
        <is>
          <t>ISO 22301; ISO 31000; ISO 9001; ISO 37000; PESTLE; Business Model Canvas</t>
        </is>
      </c>
      <c r="AA7" s="13" t="inlineStr">
        <is>
          <t>Policy/SOP; owner/RACI; system report; dashboard; contracts; test records; incident history; interview evidence related to critical products and services ranked by revenue, margin and continuity priority.</t>
        </is>
      </c>
      <c r="AB7" s="13" t="inlineStr">
        <is>
          <t>Geopolitical risk; Physical site loss; Regulatory/legal shock</t>
        </is>
      </c>
      <c r="AC7" s="13" t="inlineStr">
        <is>
          <t>CEO / COO / Risk</t>
        </is>
      </c>
      <c r="AD7" s="13" t="inlineStr">
        <is>
          <t>Company Geography!7</t>
        </is>
      </c>
      <c r="AE7">
        <f>IF($A7="","",IF(OR(ISNUMBER(SEARCH("cyber",$D7)),ISNUMBER(SEARCH("security",$D7)),ISNUMBER(SEARCH("safety",$D7)),ISNUMBER(SEARCH("liquidity",$D7)),ISNUMBER(SEARCH("cash",$D7)),ISNUMBER(SEARCH("continuity",$D7)),ISNUMBER(SEARCH("infrastructure",$D7)),ISNUMBER(SEARCH("outage",$D7))),"Fast",IF(OR(ISNUMBER(SEARCH("compliance",$D7)),ISNUMBER(SEARCH("regulat",$D7)),ISNUMBER(SEARCH("data",$D7)),ISNUMBER(SEARCH("talent",$D7)),ISNUMBER(SEARCH("knowledge",$D7)),ISNUMBER(SEARCH("portfolio",$D7)),ISNUMBER(SEARCH("quality",$D7))),"Slow","Medium")))</f>
        <v/>
      </c>
      <c r="AF7">
        <f>IF($A7="","",IFERROR(VLOOKUP($B7,'_CONFIG_Risk_Calibration'!$A$5:$H$21,2,FALSE),3))</f>
        <v/>
      </c>
      <c r="AG7">
        <f>IF($A7="","",IFERROR(VLOOKUP($B7,'_CONFIG_Risk_Calibration'!$A$5:$H$21,3,FALSE),0))</f>
        <v/>
      </c>
      <c r="AH7">
        <f>IF($A7="","",IFERROR(VLOOKUP($B7,'_CONFIG_Risk_Calibration'!$A$5:$H$21,4,FALSE),3))</f>
        <v/>
      </c>
      <c r="AI7">
        <f>IF($A7="","",IFERROR(VLOOKUP($B7,'_CONFIG_Risk_Calibration'!$A$5:$H$21,5,FALSE),3))</f>
        <v/>
      </c>
      <c r="AJ7">
        <f>IF($A7="","",IFERROR(VLOOKUP($B7,'_CONFIG_Risk_Calibration'!$A$5:$H$21,6,FALSE),"No"))</f>
        <v/>
      </c>
      <c r="AK7">
        <f>IF($A7="","",IFERROR(VLOOKUP($B7,'_CONFIG_Risk_Calibration'!$A$5:$H$21,7,FALSE),1))</f>
        <v/>
      </c>
      <c r="AL7">
        <f>IF($A7="","",IFERROR(VLOOKUP($B7,'_CONFIG_Risk_Calibration'!$A$5:$H$21,8,FALSE),""))</f>
        <v/>
      </c>
    </row>
    <row r="8" ht="72" customHeight="1" s="209">
      <c r="A8" s="13" t="inlineStr">
        <is>
          <t>COMP-004</t>
        </is>
      </c>
      <c r="B8" s="13" t="inlineStr">
        <is>
          <t>Company Geography</t>
        </is>
      </c>
      <c r="C8" s="13" t="inlineStr">
        <is>
          <t>Company profile</t>
        </is>
      </c>
      <c r="D8" s="13" t="inlineStr">
        <is>
          <t>Geographic, entity and market exposure</t>
        </is>
      </c>
      <c r="E8" s="13" t="inlineStr">
        <is>
          <t>How mature is the organization in managing operating model: centralized, distributed, outsourced, remote or hybrid, including ownership, evidence, metrics, fallback procedures and crisis stress testing?</t>
        </is>
      </c>
      <c r="F8" s="13" t="inlineStr">
        <is>
          <t>Immature capability for operating model: centralized, distributed, outsourced, remote or hybrid may lead to unclear exposure across entities, sites and markets, delayed strategic response and underestimated crisis impact during Geopolitical risk; Physical site loss; Regulatory/legal shock.</t>
        </is>
      </c>
      <c r="G8" s="13" t="inlineStr">
        <is>
          <t>Low maturity, weak ownership, incomplete evidence, insufficient testing and poor integration with crisis-management routines for operating model: centralized, distributed, outsourced, remote or hybrid.</t>
        </is>
      </c>
      <c r="H8" s="13" t="inlineStr">
        <is>
          <t>Severe risk: operating model: centralized, distributed, outsourced, remote or hybrid is not reliably controlled. During Geopolitical risk; Physical site loss; Regulatory/legal shock, the organization may face unclear exposure across entities, sites and markets, delayed strategic response and underestimated crisis impact with limited visibility or accountability.</t>
        </is>
      </c>
      <c r="I8" s="13" t="inlineStr">
        <is>
          <t>High risk: operating model: centralized, distributed, outsourced, remote or hybrid depends on informal practices or individual knowledge. Disruption may expose unclear exposure across entities, sites and markets, delayed strategic response and underestimated crisis impact and slow recovery.</t>
        </is>
      </c>
      <c r="J8" s="13" t="inlineStr">
        <is>
          <t>Elevated risk: operating model: centralized, distributed, outsourced, remote or hybrid is partially controlled, but coverage, evidence or testing is inconsistent. Crisis response may be fragmented.</t>
        </is>
      </c>
      <c r="K8" s="13" t="inlineStr">
        <is>
          <t>Moderate risk: operating model: centralized, distributed, outsourced, remote or hybrid is documented and owned, but measurement, stress testing and integration with dependent processes need strengthening.</t>
        </is>
      </c>
      <c r="L8" s="13" t="inlineStr">
        <is>
          <t>Residual risk: operating model: centralized, distributed, outsourced, remote or hybrid is measured and reviewed, but monitoring, automation or scenario testing should be improved to prevent maturity drift.</t>
        </is>
      </c>
      <c r="M8" s="13" t="inlineStr">
        <is>
          <t>Low residual risk: operating model: centralized, distributed, outsourced, remote or hybrid is mature and crisis-tested. Maintain monitoring, evidence, ownership and periodic stress testing.</t>
        </is>
      </c>
      <c r="N8" s="13" t="inlineStr">
        <is>
          <t>Create an immediate risk owner, minimum control baseline and fallback procedure for operating model: centralized, distributed, outsourced, remote or hybrid. Add it to the crisis risk register and collect first evidence.</t>
        </is>
      </c>
      <c r="O8" s="13" t="inlineStr">
        <is>
          <t>Document operating model: centralized, distributed, outsourced, remote or hybrid, assign RACI, define minimum controls and KPIs, and validate coverage across key sites, teams or systems.</t>
        </is>
      </c>
      <c r="P8" s="13" t="inlineStr">
        <is>
          <t>Standardize operating model: centralized, distributed, outsourced, remote or hybrid, close coverage gaps, train accountable roles and connect controls to the relevant crisis scenarios and continuity plans.</t>
        </is>
      </c>
      <c r="Q8" s="13" t="inlineStr">
        <is>
          <t>Measure and test operating model: centralized, distributed, outsourced, remote or hybrid, run tabletop or operational stress tests, integrate it with dependent processes and update crisis playbooks.</t>
        </is>
      </c>
      <c r="R8" s="13" t="inlineStr">
        <is>
          <t>Automate monitoring where practical, define leading indicators, run periodic scenario tests and track residual risk after each major change.</t>
        </is>
      </c>
      <c r="S8" s="13" t="inlineStr">
        <is>
          <t>Sustain maturity for operating model: centralized, distributed, outsourced, remote or hybrid: keep evidence current, monitor drift, benchmark externally and refresh risk tests after organizational, system or market changes.</t>
        </is>
      </c>
      <c r="T8" s="13" t="n">
        <v>3</v>
      </c>
      <c r="U8" s="13" t="n">
        <v>3</v>
      </c>
      <c r="V8" s="13" t="n">
        <v>2</v>
      </c>
      <c r="W8" s="13" t="n">
        <v>2</v>
      </c>
      <c r="X8" s="13" t="n">
        <v>1</v>
      </c>
      <c r="Y8" s="13" t="n">
        <v>1</v>
      </c>
      <c r="Z8" s="13" t="inlineStr">
        <is>
          <t>ISO 22301; ISO 31000; ISO 9001; ISO 37000; PESTLE; Business Model Canvas</t>
        </is>
      </c>
      <c r="AA8" s="13" t="inlineStr">
        <is>
          <t>Policy/SOP; owner/RACI; system report; dashboard; contracts; test records; incident history; interview evidence related to operating model: centralized, distributed, outsourced, remote or hybrid.</t>
        </is>
      </c>
      <c r="AB8" s="13" t="inlineStr">
        <is>
          <t>Geopolitical risk; Physical site loss; Regulatory/legal shock</t>
        </is>
      </c>
      <c r="AC8" s="13" t="inlineStr">
        <is>
          <t>CEO / COO / Risk</t>
        </is>
      </c>
      <c r="AD8" s="13" t="inlineStr">
        <is>
          <t>Company Geography!8</t>
        </is>
      </c>
      <c r="AE8">
        <f>IF($A8="","",IF(OR(ISNUMBER(SEARCH("cyber",$D8)),ISNUMBER(SEARCH("security",$D8)),ISNUMBER(SEARCH("safety",$D8)),ISNUMBER(SEARCH("liquidity",$D8)),ISNUMBER(SEARCH("cash",$D8)),ISNUMBER(SEARCH("continuity",$D8)),ISNUMBER(SEARCH("infrastructure",$D8)),ISNUMBER(SEARCH("outage",$D8))),"Fast",IF(OR(ISNUMBER(SEARCH("compliance",$D8)),ISNUMBER(SEARCH("regulat",$D8)),ISNUMBER(SEARCH("data",$D8)),ISNUMBER(SEARCH("talent",$D8)),ISNUMBER(SEARCH("knowledge",$D8)),ISNUMBER(SEARCH("portfolio",$D8)),ISNUMBER(SEARCH("quality",$D8))),"Slow","Medium")))</f>
        <v/>
      </c>
      <c r="AF8">
        <f>IF($A8="","",IFERROR(VLOOKUP($B8,'_CONFIG_Risk_Calibration'!$A$5:$H$21,2,FALSE),3))</f>
        <v/>
      </c>
      <c r="AG8">
        <f>IF($A8="","",IFERROR(VLOOKUP($B8,'_CONFIG_Risk_Calibration'!$A$5:$H$21,3,FALSE),0))</f>
        <v/>
      </c>
      <c r="AH8">
        <f>IF($A8="","",IFERROR(VLOOKUP($B8,'_CONFIG_Risk_Calibration'!$A$5:$H$21,4,FALSE),3))</f>
        <v/>
      </c>
      <c r="AI8">
        <f>IF($A8="","",IFERROR(VLOOKUP($B8,'_CONFIG_Risk_Calibration'!$A$5:$H$21,5,FALSE),3))</f>
        <v/>
      </c>
      <c r="AJ8">
        <f>IF($A8="","",IFERROR(VLOOKUP($B8,'_CONFIG_Risk_Calibration'!$A$5:$H$21,6,FALSE),"No"))</f>
        <v/>
      </c>
      <c r="AK8">
        <f>IF($A8="","",IFERROR(VLOOKUP($B8,'_CONFIG_Risk_Calibration'!$A$5:$H$21,7,FALSE),1))</f>
        <v/>
      </c>
      <c r="AL8">
        <f>IF($A8="","",IFERROR(VLOOKUP($B8,'_CONFIG_Risk_Calibration'!$A$5:$H$21,8,FALSE),""))</f>
        <v/>
      </c>
    </row>
    <row r="9" ht="84" customHeight="1" s="209">
      <c r="A9" s="13" t="inlineStr">
        <is>
          <t>COMP-005</t>
        </is>
      </c>
      <c r="B9" s="13" t="inlineStr">
        <is>
          <t>Company Geography</t>
        </is>
      </c>
      <c r="C9" s="13" t="inlineStr">
        <is>
          <t>Company profile</t>
        </is>
      </c>
      <c r="D9" s="13" t="inlineStr">
        <is>
          <t>Geographic, entity and market exposure</t>
        </is>
      </c>
      <c r="E9" s="13" t="inlineStr">
        <is>
          <t>How mature is the organization in managing critical assets: people, facilities, systems, data, equipment and intellectual property, including ownership, evidence, metrics, fallback procedures and crisis stress testing?</t>
        </is>
      </c>
      <c r="F9" s="13" t="inlineStr">
        <is>
          <t>Immature capability for critical assets: people, facilities, systems, data, equipment and intellectual property may lead to unclear exposure across entities, sites and markets, delayed strategic response and underestimated crisis impact during Geopolitical risk; Physical site loss; Regulatory/legal shock.</t>
        </is>
      </c>
      <c r="G9" s="13" t="inlineStr">
        <is>
          <t>Low maturity, weak ownership, incomplete evidence, insufficient testing and poor integration with crisis-management routines for critical assets: people, facilities, systems, data, equipment and intellectual property.</t>
        </is>
      </c>
      <c r="H9" s="13" t="inlineStr">
        <is>
          <t>Severe risk: critical assets: people, facilities, systems, data, equipment and intellectual property is not reliably controlled. During Geopolitical risk; Physical site loss; Regulatory/legal shock, the organization may face unclear exposure across entities, sites and markets, delayed strategic response and underestimated crisis impact with limited visibility or accountability.</t>
        </is>
      </c>
      <c r="I9" s="13" t="inlineStr">
        <is>
          <t>High risk: critical assets: people, facilities, systems, data, equipment and intellectual property depends on informal practices or individual knowledge. Disruption may expose unclear exposure across entities, sites and markets, delayed strategic response and underestimated crisis impact and slow recovery.</t>
        </is>
      </c>
      <c r="J9" s="13" t="inlineStr">
        <is>
          <t>Elevated risk: critical assets: people, facilities, systems, data, equipment and intellectual property is partially controlled, but coverage, evidence or testing is inconsistent. Crisis response may be fragmented.</t>
        </is>
      </c>
      <c r="K9" s="13" t="inlineStr">
        <is>
          <t>Moderate risk: critical assets: people, facilities, systems, data, equipment and intellectual property is documented and owned, but measurement, stress testing and integration with dependent processes need strengthening.</t>
        </is>
      </c>
      <c r="L9" s="13" t="inlineStr">
        <is>
          <t>Residual risk: critical assets: people, facilities, systems, data, equipment and intellectual property is measured and reviewed, but monitoring, automation or scenario testing should be improved to prevent maturity drift.</t>
        </is>
      </c>
      <c r="M9" s="13" t="inlineStr">
        <is>
          <t>Low residual risk: critical assets: people, facilities, systems, data, equipment and intellectual property is mature and crisis-tested. Maintain monitoring, evidence, ownership and periodic stress testing.</t>
        </is>
      </c>
      <c r="N9" s="13" t="inlineStr">
        <is>
          <t>Create an immediate risk owner, minimum control baseline and fallback procedure for critical assets: people, facilities, systems, data, equipment and intellectual property. Add it to the crisis risk register and collect first evidence.</t>
        </is>
      </c>
      <c r="O9" s="13" t="inlineStr">
        <is>
          <t>Document critical assets: people, facilities, systems, data, equipment and intellectual property, assign RACI, define minimum controls and KPIs, and validate coverage across key sites, teams or systems.</t>
        </is>
      </c>
      <c r="P9" s="13" t="inlineStr">
        <is>
          <t>Standardize critical assets: people, facilities, systems, data, equipment and intellectual property, close coverage gaps, train accountable roles and connect controls to the relevant crisis scenarios and continuity plans.</t>
        </is>
      </c>
      <c r="Q9" s="13" t="inlineStr">
        <is>
          <t>Measure and test critical assets: people, facilities, systems, data, equipment and intellectual property, run tabletop or operational stress tests, integrate it with dependent processes and update crisis playbooks.</t>
        </is>
      </c>
      <c r="R9" s="13" t="inlineStr">
        <is>
          <t>Automate monitoring where practical, define leading indicators, run periodic scenario tests and track residual risk after each major change.</t>
        </is>
      </c>
      <c r="S9" s="13" t="inlineStr">
        <is>
          <t>Sustain maturity for critical assets: people, facilities, systems, data, equipment and intellectual property: keep evidence current, monitor drift, benchmark externally and refresh risk tests after organizational, system or market changes.</t>
        </is>
      </c>
      <c r="T9" s="13" t="n">
        <v>3</v>
      </c>
      <c r="U9" s="13" t="n">
        <v>3</v>
      </c>
      <c r="V9" s="13" t="n">
        <v>2</v>
      </c>
      <c r="W9" s="13" t="n">
        <v>2</v>
      </c>
      <c r="X9" s="13" t="n">
        <v>1</v>
      </c>
      <c r="Y9" s="13" t="n">
        <v>1</v>
      </c>
      <c r="Z9" s="13" t="inlineStr">
        <is>
          <t>ISO 22301; ISO 31000; ISO 9001; ISO 37000; PESTLE; Business Model Canvas</t>
        </is>
      </c>
      <c r="AA9" s="13" t="inlineStr">
        <is>
          <t>Policy/SOP; owner/RACI; system report; dashboard; contracts; test records; incident history; interview evidence related to critical assets: people, facilities, systems, data, equipment and intellectual property.</t>
        </is>
      </c>
      <c r="AB9" s="13" t="inlineStr">
        <is>
          <t>Geopolitical risk; Physical site loss; Regulatory/legal shock</t>
        </is>
      </c>
      <c r="AC9" s="13" t="inlineStr">
        <is>
          <t>CEO / COO / Risk</t>
        </is>
      </c>
      <c r="AD9" s="13" t="inlineStr">
        <is>
          <t>Company Geography!9</t>
        </is>
      </c>
      <c r="AE9">
        <f>IF($A9="","",IF(OR(ISNUMBER(SEARCH("cyber",$D9)),ISNUMBER(SEARCH("security",$D9)),ISNUMBER(SEARCH("safety",$D9)),ISNUMBER(SEARCH("liquidity",$D9)),ISNUMBER(SEARCH("cash",$D9)),ISNUMBER(SEARCH("continuity",$D9)),ISNUMBER(SEARCH("infrastructure",$D9)),ISNUMBER(SEARCH("outage",$D9))),"Fast",IF(OR(ISNUMBER(SEARCH("compliance",$D9)),ISNUMBER(SEARCH("regulat",$D9)),ISNUMBER(SEARCH("data",$D9)),ISNUMBER(SEARCH("talent",$D9)),ISNUMBER(SEARCH("knowledge",$D9)),ISNUMBER(SEARCH("portfolio",$D9)),ISNUMBER(SEARCH("quality",$D9))),"Slow","Medium")))</f>
        <v/>
      </c>
      <c r="AF9">
        <f>IF($A9="","",IFERROR(VLOOKUP($B9,'_CONFIG_Risk_Calibration'!$A$5:$H$21,2,FALSE),3))</f>
        <v/>
      </c>
      <c r="AG9">
        <f>IF($A9="","",IFERROR(VLOOKUP($B9,'_CONFIG_Risk_Calibration'!$A$5:$H$21,3,FALSE),0))</f>
        <v/>
      </c>
      <c r="AH9">
        <f>IF($A9="","",IFERROR(VLOOKUP($B9,'_CONFIG_Risk_Calibration'!$A$5:$H$21,4,FALSE),3))</f>
        <v/>
      </c>
      <c r="AI9">
        <f>IF($A9="","",IFERROR(VLOOKUP($B9,'_CONFIG_Risk_Calibration'!$A$5:$H$21,5,FALSE),3))</f>
        <v/>
      </c>
      <c r="AJ9">
        <f>IF($A9="","",IFERROR(VLOOKUP($B9,'_CONFIG_Risk_Calibration'!$A$5:$H$21,6,FALSE),"No"))</f>
        <v/>
      </c>
      <c r="AK9">
        <f>IF($A9="","",IFERROR(VLOOKUP($B9,'_CONFIG_Risk_Calibration'!$A$5:$H$21,7,FALSE),1))</f>
        <v/>
      </c>
      <c r="AL9">
        <f>IF($A9="","",IFERROR(VLOOKUP($B9,'_CONFIG_Risk_Calibration'!$A$5:$H$21,8,FALSE),""))</f>
        <v/>
      </c>
    </row>
    <row r="10" ht="72" customHeight="1" s="209">
      <c r="A10" s="13" t="inlineStr">
        <is>
          <t>COMP-006</t>
        </is>
      </c>
      <c r="B10" s="13" t="inlineStr">
        <is>
          <t>Company Geography</t>
        </is>
      </c>
      <c r="C10" s="13" t="inlineStr">
        <is>
          <t>Company profile</t>
        </is>
      </c>
      <c r="D10" s="13" t="inlineStr">
        <is>
          <t>Geographic, entity and market exposure</t>
        </is>
      </c>
      <c r="E10" s="13" t="inlineStr">
        <is>
          <t>How mature is the organization in managing regulatory exposure by country, market, product and customer type, including ownership, evidence, metrics, fallback procedures and crisis stress testing?</t>
        </is>
      </c>
      <c r="F10" s="13" t="inlineStr">
        <is>
          <t>Immature capability for regulatory exposure by country, market, product and customer type may lead to unclear exposure across entities, sites and markets, delayed strategic response and underestimated crisis impact during Geopolitical risk; Physical site loss; Regulatory/legal shock.</t>
        </is>
      </c>
      <c r="G10" s="13" t="inlineStr">
        <is>
          <t>Low maturity, weak ownership, incomplete evidence, insufficient testing and poor integration with crisis-management routines for regulatory exposure by country, market, product and customer type.</t>
        </is>
      </c>
      <c r="H10" s="13" t="inlineStr">
        <is>
          <t>Severe risk: regulatory exposure by country, market, product and customer type is not reliably controlled. During Geopolitical risk; Physical site loss; Regulatory/legal shock, the organization may face unclear exposure across entities, sites and markets, delayed strategic response and underestimated crisis impact with limited visibility or accountability.</t>
        </is>
      </c>
      <c r="I10" s="13" t="inlineStr">
        <is>
          <t>High risk: regulatory exposure by country, market, product and customer type depends on informal practices or individual knowledge. Disruption may expose unclear exposure across entities, sites and markets, delayed strategic response and underestimated crisis impact and slow recovery.</t>
        </is>
      </c>
      <c r="J10" s="13" t="inlineStr">
        <is>
          <t>Elevated risk: regulatory exposure by country, market, product and customer type is partially controlled, but coverage, evidence or testing is inconsistent. Crisis response may be fragmented.</t>
        </is>
      </c>
      <c r="K10" s="13" t="inlineStr">
        <is>
          <t>Moderate risk: regulatory exposure by country, market, product and customer type is documented and owned, but measurement, stress testing and integration with dependent processes need strengthening.</t>
        </is>
      </c>
      <c r="L10" s="13" t="inlineStr">
        <is>
          <t>Residual risk: regulatory exposure by country, market, product and customer type is measured and reviewed, but monitoring, automation or scenario testing should be improved to prevent maturity drift.</t>
        </is>
      </c>
      <c r="M10" s="13" t="inlineStr">
        <is>
          <t>Low residual risk: regulatory exposure by country, market, product and customer type is mature and crisis-tested. Maintain monitoring, evidence, ownership and periodic stress testing.</t>
        </is>
      </c>
      <c r="N10" s="13" t="inlineStr">
        <is>
          <t>Create an immediate risk owner, minimum control baseline and fallback procedure for regulatory exposure by country, market, product and customer type. Add it to the crisis risk register and collect first evidence.</t>
        </is>
      </c>
      <c r="O10" s="13" t="inlineStr">
        <is>
          <t>Document regulatory exposure by country, market, product and customer type, assign RACI, define minimum controls and KPIs, and validate coverage across key sites, teams or systems.</t>
        </is>
      </c>
      <c r="P10" s="13" t="inlineStr">
        <is>
          <t>Standardize regulatory exposure by country, market, product and customer type, close coverage gaps, train accountable roles and connect controls to the relevant crisis scenarios and continuity plans.</t>
        </is>
      </c>
      <c r="Q10" s="13" t="inlineStr">
        <is>
          <t>Measure and test regulatory exposure by country, market, product and customer type, run tabletop or operational stress tests, integrate it with dependent processes and update crisis playbooks.</t>
        </is>
      </c>
      <c r="R10" s="13" t="inlineStr">
        <is>
          <t>Automate monitoring where practical, define leading indicators, run periodic scenario tests and track residual risk after each major change.</t>
        </is>
      </c>
      <c r="S10" s="13" t="inlineStr">
        <is>
          <t>Sustain maturity for regulatory exposure by country, market, product and customer type: keep evidence current, monitor drift, benchmark externally and refresh risk tests after organizational, system or market changes.</t>
        </is>
      </c>
      <c r="T10" s="13" t="n">
        <v>3</v>
      </c>
      <c r="U10" s="13" t="n">
        <v>3</v>
      </c>
      <c r="V10" s="13" t="n">
        <v>2</v>
      </c>
      <c r="W10" s="13" t="n">
        <v>2</v>
      </c>
      <c r="X10" s="13" t="n">
        <v>1</v>
      </c>
      <c r="Y10" s="13" t="n">
        <v>1</v>
      </c>
      <c r="Z10" s="13" t="inlineStr">
        <is>
          <t>ISO 22301; ISO 31000; ISO 9001; ISO 37000; PESTLE; Business Model Canvas</t>
        </is>
      </c>
      <c r="AA10" s="13" t="inlineStr">
        <is>
          <t>Policy/SOP; owner/RACI; system report; dashboard; contracts; test records; incident history; interview evidence related to regulatory exposure by country, market, product and customer type.</t>
        </is>
      </c>
      <c r="AB10" s="13" t="inlineStr">
        <is>
          <t>Geopolitical risk; Physical site loss; Regulatory/legal shock</t>
        </is>
      </c>
      <c r="AC10" s="13" t="inlineStr">
        <is>
          <t>CEO / COO / Risk</t>
        </is>
      </c>
      <c r="AD10" s="13" t="inlineStr">
        <is>
          <t>Company Geography!10</t>
        </is>
      </c>
      <c r="AE10">
        <f>IF($A10="","",IF(OR(ISNUMBER(SEARCH("cyber",$D10)),ISNUMBER(SEARCH("security",$D10)),ISNUMBER(SEARCH("safety",$D10)),ISNUMBER(SEARCH("liquidity",$D10)),ISNUMBER(SEARCH("cash",$D10)),ISNUMBER(SEARCH("continuity",$D10)),ISNUMBER(SEARCH("infrastructure",$D10)),ISNUMBER(SEARCH("outage",$D10))),"Fast",IF(OR(ISNUMBER(SEARCH("compliance",$D10)),ISNUMBER(SEARCH("regulat",$D10)),ISNUMBER(SEARCH("data",$D10)),ISNUMBER(SEARCH("talent",$D10)),ISNUMBER(SEARCH("knowledge",$D10)),ISNUMBER(SEARCH("portfolio",$D10)),ISNUMBER(SEARCH("quality",$D10))),"Slow","Medium")))</f>
        <v/>
      </c>
      <c r="AF10">
        <f>IF($A10="","",IFERROR(VLOOKUP($B10,'_CONFIG_Risk_Calibration'!$A$5:$H$21,2,FALSE),3))</f>
        <v/>
      </c>
      <c r="AG10">
        <f>IF($A10="","",IFERROR(VLOOKUP($B10,'_CONFIG_Risk_Calibration'!$A$5:$H$21,3,FALSE),0))</f>
        <v/>
      </c>
      <c r="AH10">
        <f>IF($A10="","",IFERROR(VLOOKUP($B10,'_CONFIG_Risk_Calibration'!$A$5:$H$21,4,FALSE),3))</f>
        <v/>
      </c>
      <c r="AI10">
        <f>IF($A10="","",IFERROR(VLOOKUP($B10,'_CONFIG_Risk_Calibration'!$A$5:$H$21,5,FALSE),3))</f>
        <v/>
      </c>
      <c r="AJ10">
        <f>IF($A10="","",IFERROR(VLOOKUP($B10,'_CONFIG_Risk_Calibration'!$A$5:$H$21,6,FALSE),"No"))</f>
        <v/>
      </c>
      <c r="AK10">
        <f>IF($A10="","",IFERROR(VLOOKUP($B10,'_CONFIG_Risk_Calibration'!$A$5:$H$21,7,FALSE),1))</f>
        <v/>
      </c>
      <c r="AL10">
        <f>IF($A10="","",IFERROR(VLOOKUP($B10,'_CONFIG_Risk_Calibration'!$A$5:$H$21,8,FALSE),""))</f>
        <v/>
      </c>
    </row>
    <row r="11" ht="72" customHeight="1" s="209">
      <c r="A11" s="13" t="inlineStr">
        <is>
          <t>COMP-007</t>
        </is>
      </c>
      <c r="B11" s="13" t="inlineStr">
        <is>
          <t>Company Geography</t>
        </is>
      </c>
      <c r="C11" s="13" t="inlineStr">
        <is>
          <t>Company profile</t>
        </is>
      </c>
      <c r="D11" s="13" t="inlineStr">
        <is>
          <t>Geographic, entity and market exposure</t>
        </is>
      </c>
      <c r="E11" s="13" t="inlineStr">
        <is>
          <t>How mature is the organization in managing insurance coverage for business interruption, cyber, liability, property and key assets, including ownership, evidence, metrics, fallback procedures and crisis stress testing?</t>
        </is>
      </c>
      <c r="F11" s="13" t="inlineStr">
        <is>
          <t>Immature capability for insurance coverage for business interruption, cyber, liability, property and key assets may lead to unclear exposure across entities, sites and markets, delayed strategic response and underestimated crisis impact during Geopolitical risk; Physical site loss; Regulatory/legal shock.</t>
        </is>
      </c>
      <c r="G11" s="13" t="inlineStr">
        <is>
          <t>Low maturity, weak ownership, incomplete evidence, insufficient testing and poor integration with crisis-management routines for insurance coverage for business interruption, cyber, liability, property and key assets.</t>
        </is>
      </c>
      <c r="H11" s="13" t="inlineStr">
        <is>
          <t>Severe risk: insurance coverage for business interruption, cyber, liability, property and key assets is not reliably controlled. During Geopolitical risk; Physical site loss; Regulatory/legal shock, the organization may face unclear exposure across entities, sites and markets, delayed strategic response and underestimated crisis impact with limited visibility or accountability.</t>
        </is>
      </c>
      <c r="I11" s="13" t="inlineStr">
        <is>
          <t>High risk: insurance coverage for business interruption, cyber, liability, property and key assets depends on informal practices or individual knowledge. Disruption may expose unclear exposure across entities, sites and markets, delayed strategic response and underestimated crisis impact and slow recovery.</t>
        </is>
      </c>
      <c r="J11" s="13" t="inlineStr">
        <is>
          <t>Elevated risk: insurance coverage for business interruption, cyber, liability, property and key assets is partially controlled, but coverage, evidence or testing is inconsistent. Crisis response may be fragmented.</t>
        </is>
      </c>
      <c r="K11" s="13" t="inlineStr">
        <is>
          <t>Moderate risk: insurance coverage for business interruption, cyber, liability, property and key assets is documented and owned, but measurement, stress testing and integration with dependent processes need strengthening.</t>
        </is>
      </c>
      <c r="L11" s="13" t="inlineStr">
        <is>
          <t>Residual risk: insurance coverage for business interruption, cyber, liability, property and key assets is measured and reviewed, but monitoring, automation or scenario testing should be improved to prevent maturity drift.</t>
        </is>
      </c>
      <c r="M11" s="13" t="inlineStr">
        <is>
          <t>Low residual risk: insurance coverage for business interruption, cyber, liability, property and key assets is mature and crisis-tested. Maintain monitoring, evidence, ownership and periodic stress testing.</t>
        </is>
      </c>
      <c r="N11" s="13" t="inlineStr">
        <is>
          <t>Create an immediate risk owner, minimum control baseline and fallback procedure for insurance coverage for business interruption, cyber, liability, property and key assets. Add it to the crisis risk register and collect first evidence.</t>
        </is>
      </c>
      <c r="O11" s="13" t="inlineStr">
        <is>
          <t>Document insurance coverage for business interruption, cyber, liability, property and key assets, assign RACI, define minimum controls and KPIs, and validate coverage across key sites, teams or systems.</t>
        </is>
      </c>
      <c r="P11" s="13" t="inlineStr">
        <is>
          <t>Standardize insurance coverage for business interruption, cyber, liability, property and key assets, close coverage gaps, train accountable roles and connect controls to the relevant crisis scenarios and continuity plans.</t>
        </is>
      </c>
      <c r="Q11" s="13" t="inlineStr">
        <is>
          <t>Measure and test insurance coverage for business interruption, cyber, liability, property and key assets, run tabletop or operational stress tests, integrate it with dependent processes and update crisis playbooks.</t>
        </is>
      </c>
      <c r="R11" s="13" t="inlineStr">
        <is>
          <t>Automate monitoring where practical, define leading indicators, run periodic scenario tests and track residual risk after each major change.</t>
        </is>
      </c>
      <c r="S11" s="13" t="inlineStr">
        <is>
          <t>Sustain maturity for insurance coverage for business interruption, cyber, liability, property and key assets: keep evidence current, monitor drift, benchmark externally and refresh risk tests after organizational, system or market changes.</t>
        </is>
      </c>
      <c r="T11" s="13" t="n">
        <v>3</v>
      </c>
      <c r="U11" s="13" t="n">
        <v>3</v>
      </c>
      <c r="V11" s="13" t="n">
        <v>2</v>
      </c>
      <c r="W11" s="13" t="n">
        <v>2</v>
      </c>
      <c r="X11" s="13" t="n">
        <v>1</v>
      </c>
      <c r="Y11" s="13" t="n">
        <v>1</v>
      </c>
      <c r="Z11" s="13" t="inlineStr">
        <is>
          <t>ISO 22301; ISO 31000; ISO 9001; ISO 37000; PESTLE; Business Model Canvas</t>
        </is>
      </c>
      <c r="AA11" s="13" t="inlineStr">
        <is>
          <t>Policy/SOP; owner/RACI; system report; dashboard; contracts; test records; incident history; interview evidence related to insurance coverage for business interruption, cyber, liability, property and key assets.</t>
        </is>
      </c>
      <c r="AB11" s="13" t="inlineStr">
        <is>
          <t>Geopolitical risk; Physical site loss; Regulatory/legal shock</t>
        </is>
      </c>
      <c r="AC11" s="13" t="inlineStr">
        <is>
          <t>CEO / COO / Risk</t>
        </is>
      </c>
      <c r="AD11" s="13" t="inlineStr">
        <is>
          <t>Company Geography!11</t>
        </is>
      </c>
      <c r="AE11">
        <f>IF($A11="","",IF(OR(ISNUMBER(SEARCH("cyber",$D11)),ISNUMBER(SEARCH("security",$D11)),ISNUMBER(SEARCH("safety",$D11)),ISNUMBER(SEARCH("liquidity",$D11)),ISNUMBER(SEARCH("cash",$D11)),ISNUMBER(SEARCH("continuity",$D11)),ISNUMBER(SEARCH("infrastructure",$D11)),ISNUMBER(SEARCH("outage",$D11))),"Fast",IF(OR(ISNUMBER(SEARCH("compliance",$D11)),ISNUMBER(SEARCH("regulat",$D11)),ISNUMBER(SEARCH("data",$D11)),ISNUMBER(SEARCH("talent",$D11)),ISNUMBER(SEARCH("knowledge",$D11)),ISNUMBER(SEARCH("portfolio",$D11)),ISNUMBER(SEARCH("quality",$D11))),"Slow","Medium")))</f>
        <v/>
      </c>
      <c r="AF11">
        <f>IF($A11="","",IFERROR(VLOOKUP($B11,'_CONFIG_Risk_Calibration'!$A$5:$H$21,2,FALSE),3))</f>
        <v/>
      </c>
      <c r="AG11">
        <f>IF($A11="","",IFERROR(VLOOKUP($B11,'_CONFIG_Risk_Calibration'!$A$5:$H$21,3,FALSE),0))</f>
        <v/>
      </c>
      <c r="AH11">
        <f>IF($A11="","",IFERROR(VLOOKUP($B11,'_CONFIG_Risk_Calibration'!$A$5:$H$21,4,FALSE),3))</f>
        <v/>
      </c>
      <c r="AI11">
        <f>IF($A11="","",IFERROR(VLOOKUP($B11,'_CONFIG_Risk_Calibration'!$A$5:$H$21,5,FALSE),3))</f>
        <v/>
      </c>
      <c r="AJ11">
        <f>IF($A11="","",IFERROR(VLOOKUP($B11,'_CONFIG_Risk_Calibration'!$A$5:$H$21,6,FALSE),"No"))</f>
        <v/>
      </c>
      <c r="AK11">
        <f>IF($A11="","",IFERROR(VLOOKUP($B11,'_CONFIG_Risk_Calibration'!$A$5:$H$21,7,FALSE),1))</f>
        <v/>
      </c>
      <c r="AL11">
        <f>IF($A11="","",IFERROR(VLOOKUP($B11,'_CONFIG_Risk_Calibration'!$A$5:$H$21,8,FALSE),""))</f>
        <v/>
      </c>
    </row>
    <row r="12" ht="72" customHeight="1" s="209">
      <c r="A12" s="13" t="inlineStr">
        <is>
          <t>COMP-008</t>
        </is>
      </c>
      <c r="B12" s="13" t="inlineStr">
        <is>
          <t>Company Geography</t>
        </is>
      </c>
      <c r="C12" s="13" t="inlineStr">
        <is>
          <t>Geographical distribution</t>
        </is>
      </c>
      <c r="D12" s="13" t="inlineStr">
        <is>
          <t>Geographic, entity and market exposure</t>
        </is>
      </c>
      <c r="E12" s="13" t="inlineStr">
        <is>
          <t>How mature is the organization in managing workforce distribution by country, city, function, contract type and criticality, including ownership, evidence, metrics, fallback procedures and crisis stress testing?</t>
        </is>
      </c>
      <c r="F12" s="13" t="inlineStr">
        <is>
          <t>Immature capability for workforce distribution by country, city, function, contract type and criticality may lead to unclear exposure across entities, sites and markets, delayed strategic response and underestimated crisis impact during Geopolitical risk; Physical site loss; Regulatory/legal shock.</t>
        </is>
      </c>
      <c r="G12" s="13" t="inlineStr">
        <is>
          <t>Low maturity, weak ownership, incomplete evidence, insufficient testing and poor integration with crisis-management routines for workforce distribution by country, city, function, contract type and criticality.</t>
        </is>
      </c>
      <c r="H12" s="13" t="inlineStr">
        <is>
          <t>Severe risk: workforce distribution by country, city, function, contract type and criticality is not reliably controlled. During Geopolitical risk; Physical site loss; Regulatory/legal shock, the organization may face unclear exposure across entities, sites and markets, delayed strategic response and underestimated crisis impact with limited visibility or accountability.</t>
        </is>
      </c>
      <c r="I12" s="13" t="inlineStr">
        <is>
          <t>High risk: workforce distribution by country, city, function, contract type and criticality depends on informal practices or individual knowledge. Disruption may expose unclear exposure across entities, sites and markets, delayed strategic response and underestimated crisis impact and slow recovery.</t>
        </is>
      </c>
      <c r="J12" s="13" t="inlineStr">
        <is>
          <t>Elevated risk: workforce distribution by country, city, function, contract type and criticality is partially controlled, but coverage, evidence or testing is inconsistent. Crisis response may be fragmented.</t>
        </is>
      </c>
      <c r="K12" s="13" t="inlineStr">
        <is>
          <t>Moderate risk: workforce distribution by country, city, function, contract type and criticality is documented and owned, but measurement, stress testing and integration with dependent processes need strengthening.</t>
        </is>
      </c>
      <c r="L12" s="13" t="inlineStr">
        <is>
          <t>Residual risk: workforce distribution by country, city, function, contract type and criticality is measured and reviewed, but monitoring, automation or scenario testing should be improved to prevent maturity drift.</t>
        </is>
      </c>
      <c r="M12" s="13" t="inlineStr">
        <is>
          <t>Low residual risk: workforce distribution by country, city, function, contract type and criticality is mature and crisis-tested. Maintain monitoring, evidence, ownership and periodic stress testing.</t>
        </is>
      </c>
      <c r="N12" s="13" t="inlineStr">
        <is>
          <t>Create an immediate risk owner, minimum control baseline and fallback procedure for workforce distribution by country, city, function, contract type and criticality. Add it to the crisis risk register and collect first evidence.</t>
        </is>
      </c>
      <c r="O12" s="13" t="inlineStr">
        <is>
          <t>Document workforce distribution by country, city, function, contract type and criticality, assign RACI, define minimum controls and KPIs, and validate coverage across key sites, teams or systems.</t>
        </is>
      </c>
      <c r="P12" s="13" t="inlineStr">
        <is>
          <t>Standardize workforce distribution by country, city, function, contract type and criticality, close coverage gaps, train accountable roles and connect controls to the relevant crisis scenarios and continuity plans.</t>
        </is>
      </c>
      <c r="Q12" s="13" t="inlineStr">
        <is>
          <t>Measure and test workforce distribution by country, city, function, contract type and criticality, run tabletop or operational stress tests, integrate it with dependent processes and update crisis playbooks.</t>
        </is>
      </c>
      <c r="R12" s="13" t="inlineStr">
        <is>
          <t>Automate monitoring where practical, define leading indicators, run periodic scenario tests and track residual risk after each major change.</t>
        </is>
      </c>
      <c r="S12" s="13" t="inlineStr">
        <is>
          <t>Sustain maturity for workforce distribution by country, city, function, contract type and criticality: keep evidence current, monitor drift, benchmark externally and refresh risk tests after organizational, system or market changes.</t>
        </is>
      </c>
      <c r="T12" s="13" t="n">
        <v>3</v>
      </c>
      <c r="U12" s="13" t="n">
        <v>3</v>
      </c>
      <c r="V12" s="13" t="n">
        <v>2</v>
      </c>
      <c r="W12" s="13" t="n">
        <v>2</v>
      </c>
      <c r="X12" s="13" t="n">
        <v>1</v>
      </c>
      <c r="Y12" s="13" t="n">
        <v>1</v>
      </c>
      <c r="Z12" s="13" t="inlineStr">
        <is>
          <t>ISO 22301; ISO 31000; ISO 9001; ISO 37000; PESTLE; Business Model Canvas</t>
        </is>
      </c>
      <c r="AA12" s="13" t="inlineStr">
        <is>
          <t>Policy/SOP; owner/RACI; system report; dashboard; contracts; test records; incident history; interview evidence related to workforce distribution by country, city, function, contract type and criticality.</t>
        </is>
      </c>
      <c r="AB12" s="13" t="inlineStr">
        <is>
          <t>Geopolitical risk; Physical site loss; Regulatory/legal shock</t>
        </is>
      </c>
      <c r="AC12" s="13" t="inlineStr">
        <is>
          <t>CEO / COO / Risk</t>
        </is>
      </c>
      <c r="AD12" s="13" t="inlineStr">
        <is>
          <t>Company Geography!12</t>
        </is>
      </c>
      <c r="AE12">
        <f>IF($A12="","",IF(OR(ISNUMBER(SEARCH("cyber",$D12)),ISNUMBER(SEARCH("security",$D12)),ISNUMBER(SEARCH("safety",$D12)),ISNUMBER(SEARCH("liquidity",$D12)),ISNUMBER(SEARCH("cash",$D12)),ISNUMBER(SEARCH("continuity",$D12)),ISNUMBER(SEARCH("infrastructure",$D12)),ISNUMBER(SEARCH("outage",$D12))),"Fast",IF(OR(ISNUMBER(SEARCH("compliance",$D12)),ISNUMBER(SEARCH("regulat",$D12)),ISNUMBER(SEARCH("data",$D12)),ISNUMBER(SEARCH("talent",$D12)),ISNUMBER(SEARCH("knowledge",$D12)),ISNUMBER(SEARCH("portfolio",$D12)),ISNUMBER(SEARCH("quality",$D12))),"Slow","Medium")))</f>
        <v/>
      </c>
      <c r="AF12">
        <f>IF($A12="","",IFERROR(VLOOKUP($B12,'_CONFIG_Risk_Calibration'!$A$5:$H$21,2,FALSE),3))</f>
        <v/>
      </c>
      <c r="AG12">
        <f>IF($A12="","",IFERROR(VLOOKUP($B12,'_CONFIG_Risk_Calibration'!$A$5:$H$21,3,FALSE),0))</f>
        <v/>
      </c>
      <c r="AH12">
        <f>IF($A12="","",IFERROR(VLOOKUP($B12,'_CONFIG_Risk_Calibration'!$A$5:$H$21,4,FALSE),3))</f>
        <v/>
      </c>
      <c r="AI12">
        <f>IF($A12="","",IFERROR(VLOOKUP($B12,'_CONFIG_Risk_Calibration'!$A$5:$H$21,5,FALSE),3))</f>
        <v/>
      </c>
      <c r="AJ12">
        <f>IF($A12="","",IFERROR(VLOOKUP($B12,'_CONFIG_Risk_Calibration'!$A$5:$H$21,6,FALSE),"No"))</f>
        <v/>
      </c>
      <c r="AK12">
        <f>IF($A12="","",IFERROR(VLOOKUP($B12,'_CONFIG_Risk_Calibration'!$A$5:$H$21,7,FALSE),1))</f>
        <v/>
      </c>
      <c r="AL12">
        <f>IF($A12="","",IFERROR(VLOOKUP($B12,'_CONFIG_Risk_Calibration'!$A$5:$H$21,8,FALSE),""))</f>
        <v/>
      </c>
    </row>
    <row r="13" ht="72" customHeight="1" s="209">
      <c r="A13" s="13" t="inlineStr">
        <is>
          <t>COMP-009</t>
        </is>
      </c>
      <c r="B13" s="13" t="inlineStr">
        <is>
          <t>Company Geography</t>
        </is>
      </c>
      <c r="C13" s="13" t="inlineStr">
        <is>
          <t>Geographical distribution</t>
        </is>
      </c>
      <c r="D13" s="13" t="inlineStr">
        <is>
          <t>Geographic, entity and market exposure</t>
        </is>
      </c>
      <c r="E13" s="13" t="inlineStr">
        <is>
          <t>How mature is the organization in managing site distribution across offices, plants, warehouses, stores, labs and data centers, including ownership, evidence, metrics, fallback procedures and crisis stress testing?</t>
        </is>
      </c>
      <c r="F13" s="13" t="inlineStr">
        <is>
          <t>Immature capability for site distribution across offices, plants, warehouses, stores, labs and data centers may lead to unclear exposure across entities, sites and markets, delayed strategic response and underestimated crisis impact during Geopolitical risk; Physical site loss; Regulatory/legal shock.</t>
        </is>
      </c>
      <c r="G13" s="13" t="inlineStr">
        <is>
          <t>Low maturity, weak ownership, incomplete evidence, insufficient testing and poor integration with crisis-management routines for site distribution across offices, plants, warehouses, stores, labs and data centers.</t>
        </is>
      </c>
      <c r="H13" s="13" t="inlineStr">
        <is>
          <t>Severe risk: site distribution across offices, plants, warehouses, stores, labs and data centers is not reliably controlled. During Geopolitical risk; Physical site loss; Regulatory/legal shock, the organization may face unclear exposure across entities, sites and markets, delayed strategic response and underestimated crisis impact with limited visibility or accountability.</t>
        </is>
      </c>
      <c r="I13" s="13" t="inlineStr">
        <is>
          <t>High risk: site distribution across offices, plants, warehouses, stores, labs and data centers depends on informal practices or individual knowledge. Disruption may expose unclear exposure across entities, sites and markets, delayed strategic response and underestimated crisis impact and slow recovery.</t>
        </is>
      </c>
      <c r="J13" s="13" t="inlineStr">
        <is>
          <t>Elevated risk: site distribution across offices, plants, warehouses, stores, labs and data centers is partially controlled, but coverage, evidence or testing is inconsistent. Crisis response may be fragmented.</t>
        </is>
      </c>
      <c r="K13" s="13" t="inlineStr">
        <is>
          <t>Moderate risk: site distribution across offices, plants, warehouses, stores, labs and data centers is documented and owned, but measurement, stress testing and integration with dependent processes need strengthening.</t>
        </is>
      </c>
      <c r="L13" s="13" t="inlineStr">
        <is>
          <t>Residual risk: site distribution across offices, plants, warehouses, stores, labs and data centers is measured and reviewed, but monitoring, automation or scenario testing should be improved to prevent maturity drift.</t>
        </is>
      </c>
      <c r="M13" s="13" t="inlineStr">
        <is>
          <t>Low residual risk: site distribution across offices, plants, warehouses, stores, labs and data centers is mature and crisis-tested. Maintain monitoring, evidence, ownership and periodic stress testing.</t>
        </is>
      </c>
      <c r="N13" s="13" t="inlineStr">
        <is>
          <t>Create an immediate risk owner, minimum control baseline and fallback procedure for site distribution across offices, plants, warehouses, stores, labs and data centers. Add it to the crisis risk register and collect first evidence.</t>
        </is>
      </c>
      <c r="O13" s="13" t="inlineStr">
        <is>
          <t>Document site distribution across offices, plants, warehouses, stores, labs and data centers, assign RACI, define minimum controls and KPIs, and validate coverage across key sites, teams or systems.</t>
        </is>
      </c>
      <c r="P13" s="13" t="inlineStr">
        <is>
          <t>Standardize site distribution across offices, plants, warehouses, stores, labs and data centers, close coverage gaps, train accountable roles and connect controls to the relevant crisis scenarios and continuity plans.</t>
        </is>
      </c>
      <c r="Q13" s="13" t="inlineStr">
        <is>
          <t>Measure and test site distribution across offices, plants, warehouses, stores, labs and data centers, run tabletop or operational stress tests, integrate it with dependent processes and update crisis playbooks.</t>
        </is>
      </c>
      <c r="R13" s="13" t="inlineStr">
        <is>
          <t>Automate monitoring where practical, define leading indicators, run periodic scenario tests and track residual risk after each major change.</t>
        </is>
      </c>
      <c r="S13" s="13" t="inlineStr">
        <is>
          <t>Sustain maturity for site distribution across offices, plants, warehouses, stores, labs and data centers: keep evidence current, monitor drift, benchmark externally and refresh risk tests after organizational, system or market changes.</t>
        </is>
      </c>
      <c r="T13" s="13" t="n">
        <v>3</v>
      </c>
      <c r="U13" s="13" t="n">
        <v>3</v>
      </c>
      <c r="V13" s="13" t="n">
        <v>2</v>
      </c>
      <c r="W13" s="13" t="n">
        <v>2</v>
      </c>
      <c r="X13" s="13" t="n">
        <v>1</v>
      </c>
      <c r="Y13" s="13" t="n">
        <v>1</v>
      </c>
      <c r="Z13" s="13" t="inlineStr">
        <is>
          <t>ISO 22301; ISO 31000; ISO 9001; ISO 37000; PESTLE; Business Model Canvas</t>
        </is>
      </c>
      <c r="AA13" s="13" t="inlineStr">
        <is>
          <t>Policy/SOP; owner/RACI; system report; dashboard; contracts; test records; incident history; interview evidence related to site distribution across offices, plants, warehouses, stores, labs and data centers.</t>
        </is>
      </c>
      <c r="AB13" s="13" t="inlineStr">
        <is>
          <t>Geopolitical risk; Physical site loss; Regulatory/legal shock</t>
        </is>
      </c>
      <c r="AC13" s="13" t="inlineStr">
        <is>
          <t>CEO / COO / Risk</t>
        </is>
      </c>
      <c r="AD13" s="13" t="inlineStr">
        <is>
          <t>Company Geography!13</t>
        </is>
      </c>
      <c r="AE13">
        <f>IF($A13="","",IF(OR(ISNUMBER(SEARCH("cyber",$D13)),ISNUMBER(SEARCH("security",$D13)),ISNUMBER(SEARCH("safety",$D13)),ISNUMBER(SEARCH("liquidity",$D13)),ISNUMBER(SEARCH("cash",$D13)),ISNUMBER(SEARCH("continuity",$D13)),ISNUMBER(SEARCH("infrastructure",$D13)),ISNUMBER(SEARCH("outage",$D13))),"Fast",IF(OR(ISNUMBER(SEARCH("compliance",$D13)),ISNUMBER(SEARCH("regulat",$D13)),ISNUMBER(SEARCH("data",$D13)),ISNUMBER(SEARCH("talent",$D13)),ISNUMBER(SEARCH("knowledge",$D13)),ISNUMBER(SEARCH("portfolio",$D13)),ISNUMBER(SEARCH("quality",$D13))),"Slow","Medium")))</f>
        <v/>
      </c>
      <c r="AF13">
        <f>IF($A13="","",IFERROR(VLOOKUP($B13,'_CONFIG_Risk_Calibration'!$A$5:$H$21,2,FALSE),3))</f>
        <v/>
      </c>
      <c r="AG13">
        <f>IF($A13="","",IFERROR(VLOOKUP($B13,'_CONFIG_Risk_Calibration'!$A$5:$H$21,3,FALSE),0))</f>
        <v/>
      </c>
      <c r="AH13">
        <f>IF($A13="","",IFERROR(VLOOKUP($B13,'_CONFIG_Risk_Calibration'!$A$5:$H$21,4,FALSE),3))</f>
        <v/>
      </c>
      <c r="AI13">
        <f>IF($A13="","",IFERROR(VLOOKUP($B13,'_CONFIG_Risk_Calibration'!$A$5:$H$21,5,FALSE),3))</f>
        <v/>
      </c>
      <c r="AJ13">
        <f>IF($A13="","",IFERROR(VLOOKUP($B13,'_CONFIG_Risk_Calibration'!$A$5:$H$21,6,FALSE),"No"))</f>
        <v/>
      </c>
      <c r="AK13">
        <f>IF($A13="","",IFERROR(VLOOKUP($B13,'_CONFIG_Risk_Calibration'!$A$5:$H$21,7,FALSE),1))</f>
        <v/>
      </c>
      <c r="AL13">
        <f>IF($A13="","",IFERROR(VLOOKUP($B13,'_CONFIG_Risk_Calibration'!$A$5:$H$21,8,FALSE),""))</f>
        <v/>
      </c>
    </row>
    <row r="14" ht="72" customHeight="1" s="209">
      <c r="A14" s="13" t="inlineStr">
        <is>
          <t>COMP-010</t>
        </is>
      </c>
      <c r="B14" s="13" t="inlineStr">
        <is>
          <t>Company Geography</t>
        </is>
      </c>
      <c r="C14" s="13" t="inlineStr">
        <is>
          <t>Geographical distribution</t>
        </is>
      </c>
      <c r="D14" s="13" t="inlineStr">
        <is>
          <t>Geographic, entity and market exposure</t>
        </is>
      </c>
      <c r="E14" s="13" t="inlineStr">
        <is>
          <t>How mature is the organization in managing revenue distribution by country, currency, customer geography and market exposure, including ownership, evidence, metrics, fallback procedures and crisis stress testing?</t>
        </is>
      </c>
      <c r="F14" s="13" t="inlineStr">
        <is>
          <t>Immature capability for revenue distribution by country, currency, customer geography and market exposure may lead to unclear exposure across entities, sites and markets, delayed strategic response and underestimated crisis impact during Geopolitical risk; Physical site loss; Regulatory/legal shock.</t>
        </is>
      </c>
      <c r="G14" s="13" t="inlineStr">
        <is>
          <t>Low maturity, weak ownership, incomplete evidence, insufficient testing and poor integration with crisis-management routines for revenue distribution by country, currency, customer geography and market exposure.</t>
        </is>
      </c>
      <c r="H14" s="13" t="inlineStr">
        <is>
          <t>Severe risk: revenue distribution by country, currency, customer geography and market exposure is not reliably controlled. During Geopolitical risk; Physical site loss; Regulatory/legal shock, the organization may face unclear exposure across entities, sites and markets, delayed strategic response and underestimated crisis impact with limited visibility or accountability.</t>
        </is>
      </c>
      <c r="I14" s="13" t="inlineStr">
        <is>
          <t>High risk: revenue distribution by country, currency, customer geography and market exposure depends on informal practices or individual knowledge. Disruption may expose unclear exposure across entities, sites and markets, delayed strategic response and underestimated crisis impact and slow recovery.</t>
        </is>
      </c>
      <c r="J14" s="13" t="inlineStr">
        <is>
          <t>Elevated risk: revenue distribution by country, currency, customer geography and market exposure is partially controlled, but coverage, evidence or testing is inconsistent. Crisis response may be fragmented.</t>
        </is>
      </c>
      <c r="K14" s="13" t="inlineStr">
        <is>
          <t>Moderate risk: revenue distribution by country, currency, customer geography and market exposure is documented and owned, but measurement, stress testing and integration with dependent processes need strengthening.</t>
        </is>
      </c>
      <c r="L14" s="13" t="inlineStr">
        <is>
          <t>Residual risk: revenue distribution by country, currency, customer geography and market exposure is measured and reviewed, but monitoring, automation or scenario testing should be improved to prevent maturity drift.</t>
        </is>
      </c>
      <c r="M14" s="13" t="inlineStr">
        <is>
          <t>Low residual risk: revenue distribution by country, currency, customer geography and market exposure is mature and crisis-tested. Maintain monitoring, evidence, ownership and periodic stress testing.</t>
        </is>
      </c>
      <c r="N14" s="13" t="inlineStr">
        <is>
          <t>Create an immediate risk owner, minimum control baseline and fallback procedure for revenue distribution by country, currency, customer geography and market exposure. Add it to the crisis risk register and collect first evidence.</t>
        </is>
      </c>
      <c r="O14" s="13" t="inlineStr">
        <is>
          <t>Document revenue distribution by country, currency, customer geography and market exposure, assign RACI, define minimum controls and KPIs, and validate coverage across key sites, teams or systems.</t>
        </is>
      </c>
      <c r="P14" s="13" t="inlineStr">
        <is>
          <t>Standardize revenue distribution by country, currency, customer geography and market exposure, close coverage gaps, train accountable roles and connect controls to the relevant crisis scenarios and continuity plans.</t>
        </is>
      </c>
      <c r="Q14" s="13" t="inlineStr">
        <is>
          <t>Measure and test revenue distribution by country, currency, customer geography and market exposure, run tabletop or operational stress tests, integrate it with dependent processes and update crisis playbooks.</t>
        </is>
      </c>
      <c r="R14" s="13" t="inlineStr">
        <is>
          <t>Automate monitoring where practical, define leading indicators, run periodic scenario tests and track residual risk after each major change.</t>
        </is>
      </c>
      <c r="S14" s="13" t="inlineStr">
        <is>
          <t>Sustain maturity for revenue distribution by country, currency, customer geography and market exposure: keep evidence current, monitor drift, benchmark externally and refresh risk tests after organizational, system or market changes.</t>
        </is>
      </c>
      <c r="T14" s="13" t="n">
        <v>3</v>
      </c>
      <c r="U14" s="13" t="n">
        <v>3</v>
      </c>
      <c r="V14" s="13" t="n">
        <v>2</v>
      </c>
      <c r="W14" s="13" t="n">
        <v>2</v>
      </c>
      <c r="X14" s="13" t="n">
        <v>1</v>
      </c>
      <c r="Y14" s="13" t="n">
        <v>1</v>
      </c>
      <c r="Z14" s="13" t="inlineStr">
        <is>
          <t>ISO 22301; ISO 31000; ISO 9001; ISO 37000; PESTLE; Business Model Canvas</t>
        </is>
      </c>
      <c r="AA14" s="13" t="inlineStr">
        <is>
          <t>Policy/SOP; owner/RACI; system report; dashboard; contracts; test records; incident history; interview evidence related to revenue distribution by country, currency, customer geography and market exposure.</t>
        </is>
      </c>
      <c r="AB14" s="13" t="inlineStr">
        <is>
          <t>Geopolitical risk; Physical site loss; Regulatory/legal shock</t>
        </is>
      </c>
      <c r="AC14" s="13" t="inlineStr">
        <is>
          <t>CEO / COO / Risk</t>
        </is>
      </c>
      <c r="AD14" s="13" t="inlineStr">
        <is>
          <t>Company Geography!14</t>
        </is>
      </c>
      <c r="AE14">
        <f>IF($A14="","",IF(OR(ISNUMBER(SEARCH("cyber",$D14)),ISNUMBER(SEARCH("security",$D14)),ISNUMBER(SEARCH("safety",$D14)),ISNUMBER(SEARCH("liquidity",$D14)),ISNUMBER(SEARCH("cash",$D14)),ISNUMBER(SEARCH("continuity",$D14)),ISNUMBER(SEARCH("infrastructure",$D14)),ISNUMBER(SEARCH("outage",$D14))),"Fast",IF(OR(ISNUMBER(SEARCH("compliance",$D14)),ISNUMBER(SEARCH("regulat",$D14)),ISNUMBER(SEARCH("data",$D14)),ISNUMBER(SEARCH("talent",$D14)),ISNUMBER(SEARCH("knowledge",$D14)),ISNUMBER(SEARCH("portfolio",$D14)),ISNUMBER(SEARCH("quality",$D14))),"Slow","Medium")))</f>
        <v/>
      </c>
      <c r="AF14">
        <f>IF($A14="","",IFERROR(VLOOKUP($B14,'_CONFIG_Risk_Calibration'!$A$5:$H$21,2,FALSE),3))</f>
        <v/>
      </c>
      <c r="AG14">
        <f>IF($A14="","",IFERROR(VLOOKUP($B14,'_CONFIG_Risk_Calibration'!$A$5:$H$21,3,FALSE),0))</f>
        <v/>
      </c>
      <c r="AH14">
        <f>IF($A14="","",IFERROR(VLOOKUP($B14,'_CONFIG_Risk_Calibration'!$A$5:$H$21,4,FALSE),3))</f>
        <v/>
      </c>
      <c r="AI14">
        <f>IF($A14="","",IFERROR(VLOOKUP($B14,'_CONFIG_Risk_Calibration'!$A$5:$H$21,5,FALSE),3))</f>
        <v/>
      </c>
      <c r="AJ14">
        <f>IF($A14="","",IFERROR(VLOOKUP($B14,'_CONFIG_Risk_Calibration'!$A$5:$H$21,6,FALSE),"No"))</f>
        <v/>
      </c>
      <c r="AK14">
        <f>IF($A14="","",IFERROR(VLOOKUP($B14,'_CONFIG_Risk_Calibration'!$A$5:$H$21,7,FALSE),1))</f>
        <v/>
      </c>
      <c r="AL14">
        <f>IF($A14="","",IFERROR(VLOOKUP($B14,'_CONFIG_Risk_Calibration'!$A$5:$H$21,8,FALSE),""))</f>
        <v/>
      </c>
    </row>
    <row r="15" ht="72" customHeight="1" s="209">
      <c r="A15" s="13" t="inlineStr">
        <is>
          <t>COMP-011</t>
        </is>
      </c>
      <c r="B15" s="13" t="inlineStr">
        <is>
          <t>Company Geography</t>
        </is>
      </c>
      <c r="C15" s="13" t="inlineStr">
        <is>
          <t>Geographical distribution</t>
        </is>
      </c>
      <c r="D15" s="13" t="inlineStr">
        <is>
          <t>Geographic, entity and market exposure</t>
        </is>
      </c>
      <c r="E15" s="13" t="inlineStr">
        <is>
          <t>How mature is the organization in managing supplier distribution by country, tier, criticality and replacement options, including ownership, evidence, metrics, fallback procedures and crisis stress testing?</t>
        </is>
      </c>
      <c r="F15" s="13" t="inlineStr">
        <is>
          <t>Immature capability for supplier distribution by country, tier, criticality and replacement options may lead to unclear exposure across entities, sites and markets, delayed strategic response and underestimated crisis impact during Geopolitical risk; Physical site loss; Regulatory/legal shock.</t>
        </is>
      </c>
      <c r="G15" s="13" t="inlineStr">
        <is>
          <t>Low maturity, weak ownership, incomplete evidence, insufficient testing and poor integration with crisis-management routines for supplier distribution by country, tier, criticality and replacement options.</t>
        </is>
      </c>
      <c r="H15" s="13" t="inlineStr">
        <is>
          <t>Severe risk: supplier distribution by country, tier, criticality and replacement options is not reliably controlled. During Geopolitical risk; Physical site loss; Regulatory/legal shock, the organization may face unclear exposure across entities, sites and markets, delayed strategic response and underestimated crisis impact with limited visibility or accountability.</t>
        </is>
      </c>
      <c r="I15" s="13" t="inlineStr">
        <is>
          <t>High risk: supplier distribution by country, tier, criticality and replacement options depends on informal practices or individual knowledge. Disruption may expose unclear exposure across entities, sites and markets, delayed strategic response and underestimated crisis impact and slow recovery.</t>
        </is>
      </c>
      <c r="J15" s="13" t="inlineStr">
        <is>
          <t>Elevated risk: supplier distribution by country, tier, criticality and replacement options is partially controlled, but coverage, evidence or testing is inconsistent. Crisis response may be fragmented.</t>
        </is>
      </c>
      <c r="K15" s="13" t="inlineStr">
        <is>
          <t>Moderate risk: supplier distribution by country, tier, criticality and replacement options is documented and owned, but measurement, stress testing and integration with dependent processes need strengthening.</t>
        </is>
      </c>
      <c r="L15" s="13" t="inlineStr">
        <is>
          <t>Residual risk: supplier distribution by country, tier, criticality and replacement options is measured and reviewed, but monitoring, automation or scenario testing should be improved to prevent maturity drift.</t>
        </is>
      </c>
      <c r="M15" s="13" t="inlineStr">
        <is>
          <t>Low residual risk: supplier distribution by country, tier, criticality and replacement options is mature and crisis-tested. Maintain monitoring, evidence, ownership and periodic stress testing.</t>
        </is>
      </c>
      <c r="N15" s="13" t="inlineStr">
        <is>
          <t>Create an immediate risk owner, minimum control baseline and fallback procedure for supplier distribution by country, tier, criticality and replacement options. Add it to the crisis risk register and collect first evidence.</t>
        </is>
      </c>
      <c r="O15" s="13" t="inlineStr">
        <is>
          <t>Document supplier distribution by country, tier, criticality and replacement options, assign RACI, define minimum controls and KPIs, and validate coverage across key sites, teams or systems.</t>
        </is>
      </c>
      <c r="P15" s="13" t="inlineStr">
        <is>
          <t>Standardize supplier distribution by country, tier, criticality and replacement options, close coverage gaps, train accountable roles and connect controls to the relevant crisis scenarios and continuity plans.</t>
        </is>
      </c>
      <c r="Q15" s="13" t="inlineStr">
        <is>
          <t>Measure and test supplier distribution by country, tier, criticality and replacement options, run tabletop or operational stress tests, integrate it with dependent processes and update crisis playbooks.</t>
        </is>
      </c>
      <c r="R15" s="13" t="inlineStr">
        <is>
          <t>Automate monitoring where practical, define leading indicators, run periodic scenario tests and track residual risk after each major change.</t>
        </is>
      </c>
      <c r="S15" s="13" t="inlineStr">
        <is>
          <t>Sustain maturity for supplier distribution by country, tier, criticality and replacement options: keep evidence current, monitor drift, benchmark externally and refresh risk tests after organizational, system or market changes.</t>
        </is>
      </c>
      <c r="T15" s="13" t="n">
        <v>3</v>
      </c>
      <c r="U15" s="13" t="n">
        <v>3</v>
      </c>
      <c r="V15" s="13" t="n">
        <v>2</v>
      </c>
      <c r="W15" s="13" t="n">
        <v>2</v>
      </c>
      <c r="X15" s="13" t="n">
        <v>1</v>
      </c>
      <c r="Y15" s="13" t="n">
        <v>1</v>
      </c>
      <c r="Z15" s="13" t="inlineStr">
        <is>
          <t>ISO 22301; ISO 31000; ISO 9001; ISO 37000; PESTLE; Business Model Canvas</t>
        </is>
      </c>
      <c r="AA15" s="13" t="inlineStr">
        <is>
          <t>Policy/SOP; owner/RACI; system report; dashboard; contracts; test records; incident history; interview evidence related to supplier distribution by country, tier, criticality and replacement options.</t>
        </is>
      </c>
      <c r="AB15" s="13" t="inlineStr">
        <is>
          <t>Geopolitical risk; Physical site loss; Regulatory/legal shock</t>
        </is>
      </c>
      <c r="AC15" s="13" t="inlineStr">
        <is>
          <t>CEO / COO / Risk</t>
        </is>
      </c>
      <c r="AD15" s="13" t="inlineStr">
        <is>
          <t>Company Geography!15</t>
        </is>
      </c>
      <c r="AE15">
        <f>IF($A15="","",IF(OR(ISNUMBER(SEARCH("cyber",$D15)),ISNUMBER(SEARCH("security",$D15)),ISNUMBER(SEARCH("safety",$D15)),ISNUMBER(SEARCH("liquidity",$D15)),ISNUMBER(SEARCH("cash",$D15)),ISNUMBER(SEARCH("continuity",$D15)),ISNUMBER(SEARCH("infrastructure",$D15)),ISNUMBER(SEARCH("outage",$D15))),"Fast",IF(OR(ISNUMBER(SEARCH("compliance",$D15)),ISNUMBER(SEARCH("regulat",$D15)),ISNUMBER(SEARCH("data",$D15)),ISNUMBER(SEARCH("talent",$D15)),ISNUMBER(SEARCH("knowledge",$D15)),ISNUMBER(SEARCH("portfolio",$D15)),ISNUMBER(SEARCH("quality",$D15))),"Slow","Medium")))</f>
        <v/>
      </c>
      <c r="AF15">
        <f>IF($A15="","",IFERROR(VLOOKUP($B15,'_CONFIG_Risk_Calibration'!$A$5:$H$21,2,FALSE),3))</f>
        <v/>
      </c>
      <c r="AG15">
        <f>IF($A15="","",IFERROR(VLOOKUP($B15,'_CONFIG_Risk_Calibration'!$A$5:$H$21,3,FALSE),0))</f>
        <v/>
      </c>
      <c r="AH15">
        <f>IF($A15="","",IFERROR(VLOOKUP($B15,'_CONFIG_Risk_Calibration'!$A$5:$H$21,4,FALSE),3))</f>
        <v/>
      </c>
      <c r="AI15">
        <f>IF($A15="","",IFERROR(VLOOKUP($B15,'_CONFIG_Risk_Calibration'!$A$5:$H$21,5,FALSE),3))</f>
        <v/>
      </c>
      <c r="AJ15">
        <f>IF($A15="","",IFERROR(VLOOKUP($B15,'_CONFIG_Risk_Calibration'!$A$5:$H$21,6,FALSE),"No"))</f>
        <v/>
      </c>
      <c r="AK15">
        <f>IF($A15="","",IFERROR(VLOOKUP($B15,'_CONFIG_Risk_Calibration'!$A$5:$H$21,7,FALSE),1))</f>
        <v/>
      </c>
      <c r="AL15">
        <f>IF($A15="","",IFERROR(VLOOKUP($B15,'_CONFIG_Risk_Calibration'!$A$5:$H$21,8,FALSE),""))</f>
        <v/>
      </c>
    </row>
    <row r="16" ht="72" customHeight="1" s="209">
      <c r="A16" s="13" t="inlineStr">
        <is>
          <t>COMP-012</t>
        </is>
      </c>
      <c r="B16" s="13" t="inlineStr">
        <is>
          <t>Company Geography</t>
        </is>
      </c>
      <c r="C16" s="13" t="inlineStr">
        <is>
          <t>Geographical distribution</t>
        </is>
      </c>
      <c r="D16" s="13" t="inlineStr">
        <is>
          <t>Geographic, entity and market exposure</t>
        </is>
      </c>
      <c r="E16" s="13" t="inlineStr">
        <is>
          <t>How mature is the organization in managing customer distribution by geography, industry, contract and crisis sensitivity, including ownership, evidence, metrics, fallback procedures and crisis stress testing?</t>
        </is>
      </c>
      <c r="F16" s="13" t="inlineStr">
        <is>
          <t>Immature capability for customer distribution by geography, industry, contract and crisis sensitivity may lead to unclear exposure across entities, sites and markets, delayed strategic response and underestimated crisis impact during Geopolitical risk; Physical site loss; Regulatory/legal shock.</t>
        </is>
      </c>
      <c r="G16" s="13" t="inlineStr">
        <is>
          <t>Low maturity, weak ownership, incomplete evidence, insufficient testing and poor integration with crisis-management routines for customer distribution by geography, industry, contract and crisis sensitivity.</t>
        </is>
      </c>
      <c r="H16" s="13" t="inlineStr">
        <is>
          <t>Severe risk: customer distribution by geography, industry, contract and crisis sensitivity is not reliably controlled. During Geopolitical risk; Physical site loss; Regulatory/legal shock, the organization may face unclear exposure across entities, sites and markets, delayed strategic response and underestimated crisis impact with limited visibility or accountability.</t>
        </is>
      </c>
      <c r="I16" s="13" t="inlineStr">
        <is>
          <t>High risk: customer distribution by geography, industry, contract and crisis sensitivity depends on informal practices or individual knowledge. Disruption may expose unclear exposure across entities, sites and markets, delayed strategic response and underestimated crisis impact and slow recovery.</t>
        </is>
      </c>
      <c r="J16" s="13" t="inlineStr">
        <is>
          <t>Elevated risk: customer distribution by geography, industry, contract and crisis sensitivity is partially controlled, but coverage, evidence or testing is inconsistent. Crisis response may be fragmented.</t>
        </is>
      </c>
      <c r="K16" s="13" t="inlineStr">
        <is>
          <t>Moderate risk: customer distribution by geography, industry, contract and crisis sensitivity is documented and owned, but measurement, stress testing and integration with dependent processes need strengthening.</t>
        </is>
      </c>
      <c r="L16" s="13" t="inlineStr">
        <is>
          <t>Residual risk: customer distribution by geography, industry, contract and crisis sensitivity is measured and reviewed, but monitoring, automation or scenario testing should be improved to prevent maturity drift.</t>
        </is>
      </c>
      <c r="M16" s="13" t="inlineStr">
        <is>
          <t>Low residual risk: customer distribution by geography, industry, contract and crisis sensitivity is mature and crisis-tested. Maintain monitoring, evidence, ownership and periodic stress testing.</t>
        </is>
      </c>
      <c r="N16" s="13" t="inlineStr">
        <is>
          <t>Create an immediate risk owner, minimum control baseline and fallback procedure for customer distribution by geography, industry, contract and crisis sensitivity. Add it to the crisis risk register and collect first evidence.</t>
        </is>
      </c>
      <c r="O16" s="13" t="inlineStr">
        <is>
          <t>Document customer distribution by geography, industry, contract and crisis sensitivity, assign RACI, define minimum controls and KPIs, and validate coverage across key sites, teams or systems.</t>
        </is>
      </c>
      <c r="P16" s="13" t="inlineStr">
        <is>
          <t>Standardize customer distribution by geography, industry, contract and crisis sensitivity, close coverage gaps, train accountable roles and connect controls to the relevant crisis scenarios and continuity plans.</t>
        </is>
      </c>
      <c r="Q16" s="13" t="inlineStr">
        <is>
          <t>Measure and test customer distribution by geography, industry, contract and crisis sensitivity, run tabletop or operational stress tests, integrate it with dependent processes and update crisis playbooks.</t>
        </is>
      </c>
      <c r="R16" s="13" t="inlineStr">
        <is>
          <t>Automate monitoring where practical, define leading indicators, run periodic scenario tests and track residual risk after each major change.</t>
        </is>
      </c>
      <c r="S16" s="13" t="inlineStr">
        <is>
          <t>Sustain maturity for customer distribution by geography, industry, contract and crisis sensitivity: keep evidence current, monitor drift, benchmark externally and refresh risk tests after organizational, system or market changes.</t>
        </is>
      </c>
      <c r="T16" s="13" t="n">
        <v>3</v>
      </c>
      <c r="U16" s="13" t="n">
        <v>3</v>
      </c>
      <c r="V16" s="13" t="n">
        <v>2</v>
      </c>
      <c r="W16" s="13" t="n">
        <v>2</v>
      </c>
      <c r="X16" s="13" t="n">
        <v>1</v>
      </c>
      <c r="Y16" s="13" t="n">
        <v>1</v>
      </c>
      <c r="Z16" s="13" t="inlineStr">
        <is>
          <t>ISO 22301; ISO 31000; ISO 9001; ISO 37000; PESTLE; Business Model Canvas</t>
        </is>
      </c>
      <c r="AA16" s="13" t="inlineStr">
        <is>
          <t>Policy/SOP; owner/RACI; system report; dashboard; contracts; test records; incident history; interview evidence related to customer distribution by geography, industry, contract and crisis sensitivity.</t>
        </is>
      </c>
      <c r="AB16" s="13" t="inlineStr">
        <is>
          <t>Geopolitical risk; Physical site loss; Regulatory/legal shock</t>
        </is>
      </c>
      <c r="AC16" s="13" t="inlineStr">
        <is>
          <t>CEO / COO / Risk</t>
        </is>
      </c>
      <c r="AD16" s="13" t="inlineStr">
        <is>
          <t>Company Geography!16</t>
        </is>
      </c>
      <c r="AE16">
        <f>IF($A16="","",IF(OR(ISNUMBER(SEARCH("cyber",$D16)),ISNUMBER(SEARCH("security",$D16)),ISNUMBER(SEARCH("safety",$D16)),ISNUMBER(SEARCH("liquidity",$D16)),ISNUMBER(SEARCH("cash",$D16)),ISNUMBER(SEARCH("continuity",$D16)),ISNUMBER(SEARCH("infrastructure",$D16)),ISNUMBER(SEARCH("outage",$D16))),"Fast",IF(OR(ISNUMBER(SEARCH("compliance",$D16)),ISNUMBER(SEARCH("regulat",$D16)),ISNUMBER(SEARCH("data",$D16)),ISNUMBER(SEARCH("talent",$D16)),ISNUMBER(SEARCH("knowledge",$D16)),ISNUMBER(SEARCH("portfolio",$D16)),ISNUMBER(SEARCH("quality",$D16))),"Slow","Medium")))</f>
        <v/>
      </c>
      <c r="AF16">
        <f>IF($A16="","",IFERROR(VLOOKUP($B16,'_CONFIG_Risk_Calibration'!$A$5:$H$21,2,FALSE),3))</f>
        <v/>
      </c>
      <c r="AG16">
        <f>IF($A16="","",IFERROR(VLOOKUP($B16,'_CONFIG_Risk_Calibration'!$A$5:$H$21,3,FALSE),0))</f>
        <v/>
      </c>
      <c r="AH16">
        <f>IF($A16="","",IFERROR(VLOOKUP($B16,'_CONFIG_Risk_Calibration'!$A$5:$H$21,4,FALSE),3))</f>
        <v/>
      </c>
      <c r="AI16">
        <f>IF($A16="","",IFERROR(VLOOKUP($B16,'_CONFIG_Risk_Calibration'!$A$5:$H$21,5,FALSE),3))</f>
        <v/>
      </c>
      <c r="AJ16">
        <f>IF($A16="","",IFERROR(VLOOKUP($B16,'_CONFIG_Risk_Calibration'!$A$5:$H$21,6,FALSE),"No"))</f>
        <v/>
      </c>
      <c r="AK16">
        <f>IF($A16="","",IFERROR(VLOOKUP($B16,'_CONFIG_Risk_Calibration'!$A$5:$H$21,7,FALSE),1))</f>
        <v/>
      </c>
      <c r="AL16">
        <f>IF($A16="","",IFERROR(VLOOKUP($B16,'_CONFIG_Risk_Calibration'!$A$5:$H$21,8,FALSE),""))</f>
        <v/>
      </c>
    </row>
    <row r="17" ht="84" customHeight="1" s="209">
      <c r="A17" s="13" t="inlineStr">
        <is>
          <t>COMP-013</t>
        </is>
      </c>
      <c r="B17" s="13" t="inlineStr">
        <is>
          <t>Company Geography</t>
        </is>
      </c>
      <c r="C17" s="13" t="inlineStr">
        <is>
          <t>Geographical distribution</t>
        </is>
      </c>
      <c r="D17" s="13" t="inlineStr">
        <is>
          <t>Geographic, entity and market exposure</t>
        </is>
      </c>
      <c r="E17" s="13" t="inlineStr">
        <is>
          <t>How mature is the organization in managing country risk monitoring for war, sanctions, political instability, natural disaster and energy risks, including ownership, evidence, metrics, fallback procedures and crisis stress testing?</t>
        </is>
      </c>
      <c r="F17" s="13" t="inlineStr">
        <is>
          <t>Immature capability for country risk monitoring for war, sanctions, political instability, natural disaster and energy risks may lead to unclear exposure across entities, sites and markets, delayed strategic response and underestimated crisis impact during Geopolitical risk; Physical site loss; Regulatory/legal shock.</t>
        </is>
      </c>
      <c r="G17" s="13" t="inlineStr">
        <is>
          <t>Low maturity, weak ownership, incomplete evidence, insufficient testing and poor integration with crisis-management routines for country risk monitoring for war, sanctions, political instability, natural disaster and energy risks.</t>
        </is>
      </c>
      <c r="H17" s="13" t="inlineStr">
        <is>
          <t>Severe risk: country risk monitoring for war, sanctions, political instability, natural disaster and energy risks is not reliably controlled. During Geopolitical risk; Physical site loss; Regulatory/legal shock, the organization may face unclear exposure across entities, sites and markets, delayed strategic response and underestimated crisis impact with limited visibility or accountability.</t>
        </is>
      </c>
      <c r="I17" s="13" t="inlineStr">
        <is>
          <t>High risk: country risk monitoring for war, sanctions, political instability, natural disaster and energy risks depends on informal practices or individual knowledge. Disruption may expose unclear exposure across entities, sites and markets, delayed strategic response and underestimated crisis impact and slow recovery.</t>
        </is>
      </c>
      <c r="J17" s="13" t="inlineStr">
        <is>
          <t>Elevated risk: country risk monitoring for war, sanctions, political instability, natural disaster and energy risks is partially controlled, but coverage, evidence or testing is inconsistent. Crisis response may be fragmented.</t>
        </is>
      </c>
      <c r="K17" s="13" t="inlineStr">
        <is>
          <t>Moderate risk: country risk monitoring for war, sanctions, political instability, natural disaster and energy risks is documented and owned, but measurement, stress testing and integration with dependent processes need strengthening.</t>
        </is>
      </c>
      <c r="L17" s="13" t="inlineStr">
        <is>
          <t>Residual risk: country risk monitoring for war, sanctions, political instability, natural disaster and energy risks is measured and reviewed, but monitoring, automation or scenario testing should be improved to prevent maturity drift.</t>
        </is>
      </c>
      <c r="M17" s="13" t="inlineStr">
        <is>
          <t>Low residual risk: country risk monitoring for war, sanctions, political instability, natural disaster and energy risks is mature and crisis-tested. Maintain monitoring, evidence, ownership and periodic stress testing.</t>
        </is>
      </c>
      <c r="N17" s="13" t="inlineStr">
        <is>
          <t>Create an immediate risk owner, minimum control baseline and fallback procedure for country risk monitoring for war, sanctions, political instability, natural disaster and energy risks. Add it to the crisis risk register and collect first evidence.</t>
        </is>
      </c>
      <c r="O17" s="13" t="inlineStr">
        <is>
          <t>Document country risk monitoring for war, sanctions, political instability, natural disaster and energy risks, assign RACI, define minimum controls and KPIs, and validate coverage across key sites, teams or systems.</t>
        </is>
      </c>
      <c r="P17" s="13" t="inlineStr">
        <is>
          <t>Standardize country risk monitoring for war, sanctions, political instability, natural disaster and energy risks, close coverage gaps, train accountable roles and connect controls to the relevant crisis scenarios and continuity plans.</t>
        </is>
      </c>
      <c r="Q17" s="13" t="inlineStr">
        <is>
          <t>Measure and test country risk monitoring for war, sanctions, political instability, natural disaster and energy risks, run tabletop or operational stress tests, integrate it with dependent processes and update crisis playbooks.</t>
        </is>
      </c>
      <c r="R17" s="13" t="inlineStr">
        <is>
          <t>Automate monitoring where practical, define leading indicators, run periodic scenario tests and track residual risk after each major change.</t>
        </is>
      </c>
      <c r="S17" s="13" t="inlineStr">
        <is>
          <t>Sustain maturity for country risk monitoring for war, sanctions, political instability, natural disaster and energy risks: keep evidence current, monitor drift, benchmark externally and refresh risk tests after organizational, system or market changes.</t>
        </is>
      </c>
      <c r="T17" s="13" t="n">
        <v>3</v>
      </c>
      <c r="U17" s="13" t="n">
        <v>3</v>
      </c>
      <c r="V17" s="13" t="n">
        <v>2</v>
      </c>
      <c r="W17" s="13" t="n">
        <v>2</v>
      </c>
      <c r="X17" s="13" t="n">
        <v>1</v>
      </c>
      <c r="Y17" s="13" t="n">
        <v>1</v>
      </c>
      <c r="Z17" s="13" t="inlineStr">
        <is>
          <t>ISO 22301; ISO 31000; ISO 9001; ISO 37000; PESTLE; Business Model Canvas</t>
        </is>
      </c>
      <c r="AA17" s="13" t="inlineStr">
        <is>
          <t>Policy/SOP; owner/RACI; system report; dashboard; contracts; test records; incident history; interview evidence related to country risk monitoring for war, sanctions, political instability, natural disaster and energy risks.</t>
        </is>
      </c>
      <c r="AB17" s="13" t="inlineStr">
        <is>
          <t>Geopolitical risk; Physical site loss; Regulatory/legal shock</t>
        </is>
      </c>
      <c r="AC17" s="13" t="inlineStr">
        <is>
          <t>CEO / COO / Risk</t>
        </is>
      </c>
      <c r="AD17" s="13" t="inlineStr">
        <is>
          <t>Company Geography!17</t>
        </is>
      </c>
      <c r="AE17">
        <f>IF($A17="","",IF(OR(ISNUMBER(SEARCH("cyber",$D17)),ISNUMBER(SEARCH("security",$D17)),ISNUMBER(SEARCH("safety",$D17)),ISNUMBER(SEARCH("liquidity",$D17)),ISNUMBER(SEARCH("cash",$D17)),ISNUMBER(SEARCH("continuity",$D17)),ISNUMBER(SEARCH("infrastructure",$D17)),ISNUMBER(SEARCH("outage",$D17))),"Fast",IF(OR(ISNUMBER(SEARCH("compliance",$D17)),ISNUMBER(SEARCH("regulat",$D17)),ISNUMBER(SEARCH("data",$D17)),ISNUMBER(SEARCH("talent",$D17)),ISNUMBER(SEARCH("knowledge",$D17)),ISNUMBER(SEARCH("portfolio",$D17)),ISNUMBER(SEARCH("quality",$D17))),"Slow","Medium")))</f>
        <v/>
      </c>
      <c r="AF17">
        <f>IF($A17="","",IFERROR(VLOOKUP($B17,'_CONFIG_Risk_Calibration'!$A$5:$H$21,2,FALSE),3))</f>
        <v/>
      </c>
      <c r="AG17">
        <f>IF($A17="","",IFERROR(VLOOKUP($B17,'_CONFIG_Risk_Calibration'!$A$5:$H$21,3,FALSE),0))</f>
        <v/>
      </c>
      <c r="AH17">
        <f>IF($A17="","",IFERROR(VLOOKUP($B17,'_CONFIG_Risk_Calibration'!$A$5:$H$21,4,FALSE),3))</f>
        <v/>
      </c>
      <c r="AI17">
        <f>IF($A17="","",IFERROR(VLOOKUP($B17,'_CONFIG_Risk_Calibration'!$A$5:$H$21,5,FALSE),3))</f>
        <v/>
      </c>
      <c r="AJ17">
        <f>IF($A17="","",IFERROR(VLOOKUP($B17,'_CONFIG_Risk_Calibration'!$A$5:$H$21,6,FALSE),"No"))</f>
        <v/>
      </c>
      <c r="AK17">
        <f>IF($A17="","",IFERROR(VLOOKUP($B17,'_CONFIG_Risk_Calibration'!$A$5:$H$21,7,FALSE),1))</f>
        <v/>
      </c>
      <c r="AL17">
        <f>IF($A17="","",IFERROR(VLOOKUP($B17,'_CONFIG_Risk_Calibration'!$A$5:$H$21,8,FALSE),""))</f>
        <v/>
      </c>
    </row>
    <row r="18" ht="72" customHeight="1" s="209">
      <c r="A18" s="13" t="inlineStr">
        <is>
          <t>COMP-014</t>
        </is>
      </c>
      <c r="B18" s="13" t="inlineStr">
        <is>
          <t>Company Geography</t>
        </is>
      </c>
      <c r="C18" s="13" t="inlineStr">
        <is>
          <t>Geographical distribution</t>
        </is>
      </c>
      <c r="D18" s="13" t="inlineStr">
        <is>
          <t>Geographic, entity and market exposure</t>
        </is>
      </c>
      <c r="E18" s="13" t="inlineStr">
        <is>
          <t>How mature is the organization in managing relocation and alternative location options for critical teams and operations, including ownership, evidence, metrics, fallback procedures and crisis stress testing?</t>
        </is>
      </c>
      <c r="F18" s="13" t="inlineStr">
        <is>
          <t>Immature capability for relocation and alternative location options for critical teams and operations may lead to unclear exposure across entities, sites and markets, delayed strategic response and underestimated crisis impact during Geopolitical risk; Physical site loss; Regulatory/legal shock.</t>
        </is>
      </c>
      <c r="G18" s="13" t="inlineStr">
        <is>
          <t>Low maturity, weak ownership, incomplete evidence, insufficient testing and poor integration with crisis-management routines for relocation and alternative location options for critical teams and operations.</t>
        </is>
      </c>
      <c r="H18" s="13" t="inlineStr">
        <is>
          <t>Severe risk: relocation and alternative location options for critical teams and operations is not reliably controlled. During Geopolitical risk; Physical site loss; Regulatory/legal shock, the organization may face unclear exposure across entities, sites and markets, delayed strategic response and underestimated crisis impact with limited visibility or accountability.</t>
        </is>
      </c>
      <c r="I18" s="13" t="inlineStr">
        <is>
          <t>High risk: relocation and alternative location options for critical teams and operations depends on informal practices or individual knowledge. Disruption may expose unclear exposure across entities, sites and markets, delayed strategic response and underestimated crisis impact and slow recovery.</t>
        </is>
      </c>
      <c r="J18" s="13" t="inlineStr">
        <is>
          <t>Elevated risk: relocation and alternative location options for critical teams and operations is partially controlled, but coverage, evidence or testing is inconsistent. Crisis response may be fragmented.</t>
        </is>
      </c>
      <c r="K18" s="13" t="inlineStr">
        <is>
          <t>Moderate risk: relocation and alternative location options for critical teams and operations is documented and owned, but measurement, stress testing and integration with dependent processes need strengthening.</t>
        </is>
      </c>
      <c r="L18" s="13" t="inlineStr">
        <is>
          <t>Residual risk: relocation and alternative location options for critical teams and operations is measured and reviewed, but monitoring, automation or scenario testing should be improved to prevent maturity drift.</t>
        </is>
      </c>
      <c r="M18" s="13" t="inlineStr">
        <is>
          <t>Low residual risk: relocation and alternative location options for critical teams and operations is mature and crisis-tested. Maintain monitoring, evidence, ownership and periodic stress testing.</t>
        </is>
      </c>
      <c r="N18" s="13" t="inlineStr">
        <is>
          <t>Create an immediate risk owner, minimum control baseline and fallback procedure for relocation and alternative location options for critical teams and operations. Add it to the crisis risk register and collect first evidence.</t>
        </is>
      </c>
      <c r="O18" s="13" t="inlineStr">
        <is>
          <t>Document relocation and alternative location options for critical teams and operations, assign RACI, define minimum controls and KPIs, and validate coverage across key sites, teams or systems.</t>
        </is>
      </c>
      <c r="P18" s="13" t="inlineStr">
        <is>
          <t>Standardize relocation and alternative location options for critical teams and operations, close coverage gaps, train accountable roles and connect controls to the relevant crisis scenarios and continuity plans.</t>
        </is>
      </c>
      <c r="Q18" s="13" t="inlineStr">
        <is>
          <t>Measure and test relocation and alternative location options for critical teams and operations, run tabletop or operational stress tests, integrate it with dependent processes and update crisis playbooks.</t>
        </is>
      </c>
      <c r="R18" s="13" t="inlineStr">
        <is>
          <t>Automate monitoring where practical, define leading indicators, run periodic scenario tests and track residual risk after each major change.</t>
        </is>
      </c>
      <c r="S18" s="13" t="inlineStr">
        <is>
          <t>Sustain maturity for relocation and alternative location options for critical teams and operations: keep evidence current, monitor drift, benchmark externally and refresh risk tests after organizational, system or market changes.</t>
        </is>
      </c>
      <c r="T18" s="13" t="n">
        <v>3</v>
      </c>
      <c r="U18" s="13" t="n">
        <v>3</v>
      </c>
      <c r="V18" s="13" t="n">
        <v>2</v>
      </c>
      <c r="W18" s="13" t="n">
        <v>2</v>
      </c>
      <c r="X18" s="13" t="n">
        <v>1</v>
      </c>
      <c r="Y18" s="13" t="n">
        <v>1</v>
      </c>
      <c r="Z18" s="13" t="inlineStr">
        <is>
          <t>ISO 22301; ISO 31000; ISO 9001; ISO 37000; PESTLE; Business Model Canvas</t>
        </is>
      </c>
      <c r="AA18" s="13" t="inlineStr">
        <is>
          <t>Policy/SOP; owner/RACI; system report; dashboard; contracts; test records; incident history; interview evidence related to relocation and alternative location options for critical teams and operations.</t>
        </is>
      </c>
      <c r="AB18" s="13" t="inlineStr">
        <is>
          <t>Geopolitical risk; Physical site loss; Regulatory/legal shock</t>
        </is>
      </c>
      <c r="AC18" s="13" t="inlineStr">
        <is>
          <t>CEO / COO / Risk</t>
        </is>
      </c>
      <c r="AD18" s="13" t="inlineStr">
        <is>
          <t>Company Geography!18</t>
        </is>
      </c>
      <c r="AE18">
        <f>IF($A18="","",IF(OR(ISNUMBER(SEARCH("cyber",$D18)),ISNUMBER(SEARCH("security",$D18)),ISNUMBER(SEARCH("safety",$D18)),ISNUMBER(SEARCH("liquidity",$D18)),ISNUMBER(SEARCH("cash",$D18)),ISNUMBER(SEARCH("continuity",$D18)),ISNUMBER(SEARCH("infrastructure",$D18)),ISNUMBER(SEARCH("outage",$D18))),"Fast",IF(OR(ISNUMBER(SEARCH("compliance",$D18)),ISNUMBER(SEARCH("regulat",$D18)),ISNUMBER(SEARCH("data",$D18)),ISNUMBER(SEARCH("talent",$D18)),ISNUMBER(SEARCH("knowledge",$D18)),ISNUMBER(SEARCH("portfolio",$D18)),ISNUMBER(SEARCH("quality",$D18))),"Slow","Medium")))</f>
        <v/>
      </c>
      <c r="AF18">
        <f>IF($A18="","",IFERROR(VLOOKUP($B18,'_CONFIG_Risk_Calibration'!$A$5:$H$21,2,FALSE),3))</f>
        <v/>
      </c>
      <c r="AG18">
        <f>IF($A18="","",IFERROR(VLOOKUP($B18,'_CONFIG_Risk_Calibration'!$A$5:$H$21,3,FALSE),0))</f>
        <v/>
      </c>
      <c r="AH18">
        <f>IF($A18="","",IFERROR(VLOOKUP($B18,'_CONFIG_Risk_Calibration'!$A$5:$H$21,4,FALSE),3))</f>
        <v/>
      </c>
      <c r="AI18">
        <f>IF($A18="","",IFERROR(VLOOKUP($B18,'_CONFIG_Risk_Calibration'!$A$5:$H$21,5,FALSE),3))</f>
        <v/>
      </c>
      <c r="AJ18">
        <f>IF($A18="","",IFERROR(VLOOKUP($B18,'_CONFIG_Risk_Calibration'!$A$5:$H$21,6,FALSE),"No"))</f>
        <v/>
      </c>
      <c r="AK18">
        <f>IF($A18="","",IFERROR(VLOOKUP($B18,'_CONFIG_Risk_Calibration'!$A$5:$H$21,7,FALSE),1))</f>
        <v/>
      </c>
      <c r="AL18">
        <f>IF($A18="","",IFERROR(VLOOKUP($B18,'_CONFIG_Risk_Calibration'!$A$5:$H$21,8,FALSE),""))</f>
        <v/>
      </c>
    </row>
    <row r="19" ht="72" customHeight="1" s="209">
      <c r="A19" s="13" t="inlineStr">
        <is>
          <t>COMP-016</t>
        </is>
      </c>
      <c r="B19" s="13" t="inlineStr">
        <is>
          <t>Company Geography</t>
        </is>
      </c>
      <c r="C19" s="13" t="inlineStr">
        <is>
          <t>Context and dependencies</t>
        </is>
      </c>
      <c r="D19" s="13" t="inlineStr">
        <is>
          <t>Geographic, entity and market exposure</t>
        </is>
      </c>
      <c r="E19" s="13" t="inlineStr">
        <is>
          <t>How mature is the organization in managing single-country, single-site and single-provider concentration risks, including ownership, evidence, metrics, fallback procedures and crisis stress testing?</t>
        </is>
      </c>
      <c r="F19" s="13" t="inlineStr">
        <is>
          <t>Immature capability for single-country, single-site and single-provider concentration risks may lead to unclear exposure across entities, sites and markets, delayed strategic response and underestimated crisis impact during Geopolitical risk; Physical site loss; Regulatory/legal shock.</t>
        </is>
      </c>
      <c r="G19" s="13" t="inlineStr">
        <is>
          <t>Low maturity, weak ownership, incomplete evidence, insufficient testing and poor integration with crisis-management routines for single-country, single-site and single-provider concentration risks.</t>
        </is>
      </c>
      <c r="H19" s="13" t="inlineStr">
        <is>
          <t>Severe risk: single-country, single-site and single-provider concentration risks is not reliably controlled. During Geopolitical risk; Physical site loss; Regulatory/legal shock, the organization may face unclear exposure across entities, sites and markets, delayed strategic response and underestimated crisis impact with limited visibility or accountability.</t>
        </is>
      </c>
      <c r="I19" s="13" t="inlineStr">
        <is>
          <t>High risk: single-country, single-site and single-provider concentration risks depends on informal practices or individual knowledge. Disruption may expose unclear exposure across entities, sites and markets, delayed strategic response and underestimated crisis impact and slow recovery.</t>
        </is>
      </c>
      <c r="J19" s="13" t="inlineStr">
        <is>
          <t>Elevated risk: single-country, single-site and single-provider concentration risks is partially controlled, but coverage, evidence or testing is inconsistent. Crisis response may be fragmented.</t>
        </is>
      </c>
      <c r="K19" s="13" t="inlineStr">
        <is>
          <t>Moderate risk: single-country, single-site and single-provider concentration risks is documented and owned, but measurement, stress testing and integration with dependent processes need strengthening.</t>
        </is>
      </c>
      <c r="L19" s="13" t="inlineStr">
        <is>
          <t>Residual risk: single-country, single-site and single-provider concentration risks is measured and reviewed, but monitoring, automation or scenario testing should be improved to prevent maturity drift.</t>
        </is>
      </c>
      <c r="M19" s="13" t="inlineStr">
        <is>
          <t>Low residual risk: single-country, single-site and single-provider concentration risks is mature and crisis-tested. Maintain monitoring, evidence, ownership and periodic stress testing.</t>
        </is>
      </c>
      <c r="N19" s="13" t="inlineStr">
        <is>
          <t>Create an immediate risk owner, minimum control baseline and fallback procedure for single-country, single-site and single-provider concentration risks. Add it to the crisis risk register and collect first evidence.</t>
        </is>
      </c>
      <c r="O19" s="13" t="inlineStr">
        <is>
          <t>Document single-country, single-site and single-provider concentration risks, assign RACI, define minimum controls and KPIs, and validate coverage across key sites, teams or systems.</t>
        </is>
      </c>
      <c r="P19" s="13" t="inlineStr">
        <is>
          <t>Standardize single-country, single-site and single-provider concentration risks, close coverage gaps, train accountable roles and connect controls to the relevant crisis scenarios and continuity plans.</t>
        </is>
      </c>
      <c r="Q19" s="13" t="inlineStr">
        <is>
          <t>Measure and test single-country, single-site and single-provider concentration risks, run tabletop or operational stress tests, integrate it with dependent processes and update crisis playbooks.</t>
        </is>
      </c>
      <c r="R19" s="13" t="inlineStr">
        <is>
          <t>Automate monitoring where practical, define leading indicators, run periodic scenario tests and track residual risk after each major change.</t>
        </is>
      </c>
      <c r="S19" s="13" t="inlineStr">
        <is>
          <t>Sustain maturity for single-country, single-site and single-provider concentration risks: keep evidence current, monitor drift, benchmark externally and refresh risk tests after organizational, system or market changes.</t>
        </is>
      </c>
      <c r="T19" s="13" t="n">
        <v>3</v>
      </c>
      <c r="U19" s="13" t="n">
        <v>3</v>
      </c>
      <c r="V19" s="13" t="n">
        <v>2</v>
      </c>
      <c r="W19" s="13" t="n">
        <v>2</v>
      </c>
      <c r="X19" s="13" t="n">
        <v>1</v>
      </c>
      <c r="Y19" s="13" t="n">
        <v>1</v>
      </c>
      <c r="Z19" s="13" t="inlineStr">
        <is>
          <t>ISO 22301; ISO 31000; ISO 9001; ISO 37000; PESTLE; Business Model Canvas</t>
        </is>
      </c>
      <c r="AA19" s="13" t="inlineStr">
        <is>
          <t>Policy/SOP; owner/RACI; system report; dashboard; contracts; test records; incident history; interview evidence related to single-country, single-site and single-provider concentration risks.</t>
        </is>
      </c>
      <c r="AB19" s="13" t="inlineStr">
        <is>
          <t>Geopolitical risk; Physical site loss; Regulatory/legal shock</t>
        </is>
      </c>
      <c r="AC19" s="13" t="inlineStr">
        <is>
          <t>CEO / COO / Risk</t>
        </is>
      </c>
      <c r="AD19" s="13" t="inlineStr">
        <is>
          <t>Company Geography!19</t>
        </is>
      </c>
      <c r="AE19">
        <f>IF($A19="","",IF(OR(ISNUMBER(SEARCH("cyber",$D19)),ISNUMBER(SEARCH("security",$D19)),ISNUMBER(SEARCH("safety",$D19)),ISNUMBER(SEARCH("liquidity",$D19)),ISNUMBER(SEARCH("cash",$D19)),ISNUMBER(SEARCH("continuity",$D19)),ISNUMBER(SEARCH("infrastructure",$D19)),ISNUMBER(SEARCH("outage",$D19))),"Fast",IF(OR(ISNUMBER(SEARCH("compliance",$D19)),ISNUMBER(SEARCH("regulat",$D19)),ISNUMBER(SEARCH("data",$D19)),ISNUMBER(SEARCH("talent",$D19)),ISNUMBER(SEARCH("knowledge",$D19)),ISNUMBER(SEARCH("portfolio",$D19)),ISNUMBER(SEARCH("quality",$D19))),"Slow","Medium")))</f>
        <v/>
      </c>
      <c r="AF19">
        <f>IF($A19="","",IFERROR(VLOOKUP($B19,'_CONFIG_Risk_Calibration'!$A$5:$H$21,2,FALSE),3))</f>
        <v/>
      </c>
      <c r="AG19">
        <f>IF($A19="","",IFERROR(VLOOKUP($B19,'_CONFIG_Risk_Calibration'!$A$5:$H$21,3,FALSE),0))</f>
        <v/>
      </c>
      <c r="AH19">
        <f>IF($A19="","",IFERROR(VLOOKUP($B19,'_CONFIG_Risk_Calibration'!$A$5:$H$21,4,FALSE),3))</f>
        <v/>
      </c>
      <c r="AI19">
        <f>IF($A19="","",IFERROR(VLOOKUP($B19,'_CONFIG_Risk_Calibration'!$A$5:$H$21,5,FALSE),3))</f>
        <v/>
      </c>
      <c r="AJ19">
        <f>IF($A19="","",IFERROR(VLOOKUP($B19,'_CONFIG_Risk_Calibration'!$A$5:$H$21,6,FALSE),"No"))</f>
        <v/>
      </c>
      <c r="AK19">
        <f>IF($A19="","",IFERROR(VLOOKUP($B19,'_CONFIG_Risk_Calibration'!$A$5:$H$21,7,FALSE),1))</f>
        <v/>
      </c>
      <c r="AL19">
        <f>IF($A19="","",IFERROR(VLOOKUP($B19,'_CONFIG_Risk_Calibration'!$A$5:$H$21,8,FALSE),""))</f>
        <v/>
      </c>
    </row>
    <row r="20" ht="84" customHeight="1" s="209">
      <c r="A20" s="13" t="inlineStr">
        <is>
          <t>COMP-017</t>
        </is>
      </c>
      <c r="B20" s="13" t="inlineStr">
        <is>
          <t>Company Geography</t>
        </is>
      </c>
      <c r="C20" s="13" t="inlineStr">
        <is>
          <t>Context and dependencies</t>
        </is>
      </c>
      <c r="D20" s="13" t="inlineStr">
        <is>
          <t>Geographic, entity and market exposure</t>
        </is>
      </c>
      <c r="E20" s="13" t="inlineStr">
        <is>
          <t>How mature is the organization in managing external stakeholder map: owners, banks, regulators, insurers, local authorities and strategic partners, including ownership, evidence, metrics, fallback procedures and crisis stress testing?</t>
        </is>
      </c>
      <c r="F20" s="13" t="inlineStr">
        <is>
          <t>Immature capability for external stakeholder map: owners, banks, regulators, insurers, local authorities and strategic partners may lead to unclear exposure across entities, sites and markets, delayed strategic response and underestimated crisis impact during Geopolitical risk; Physical site loss; Regulatory/legal shock.</t>
        </is>
      </c>
      <c r="G20" s="13" t="inlineStr">
        <is>
          <t>Low maturity, weak ownership, incomplete evidence, insufficient testing and poor integration with crisis-management routines for external stakeholder map: owners, banks, regulators, insurers, local authorities and strategic partners.</t>
        </is>
      </c>
      <c r="H20" s="13" t="inlineStr">
        <is>
          <t>Severe risk: external stakeholder map: owners, banks, regulators, insurers, local authorities and strategic partners is not reliably controlled. During Geopolitical risk; Physical site loss; Regulatory/legal shock, the organization may face unclear exposure across entities, sites and markets, delayed strategic response and underestimated crisis impact with limited visibility or accountability.</t>
        </is>
      </c>
      <c r="I20" s="13" t="inlineStr">
        <is>
          <t>High risk: external stakeholder map: owners, banks, regulators, insurers, local authorities and strategic partners depends on informal practices or individual knowledge. Disruption may expose unclear exposure across entities, sites and markets, delayed strategic response and underestimated crisis impact and slow recovery.</t>
        </is>
      </c>
      <c r="J20" s="13" t="inlineStr">
        <is>
          <t>Elevated risk: external stakeholder map: owners, banks, regulators, insurers, local authorities and strategic partners is partially controlled, but coverage, evidence or testing is inconsistent. Crisis response may be fragmented.</t>
        </is>
      </c>
      <c r="K20" s="13" t="inlineStr">
        <is>
          <t>Moderate risk: external stakeholder map: owners, banks, regulators, insurers, local authorities and strategic partners is documented and owned, but measurement, stress testing and integration with dependent processes need strengthening.</t>
        </is>
      </c>
      <c r="L20" s="13" t="inlineStr">
        <is>
          <t>Residual risk: external stakeholder map: owners, banks, regulators, insurers, local authorities and strategic partners is measured and reviewed, but monitoring, automation or scenario testing should be improved to prevent maturity drift.</t>
        </is>
      </c>
      <c r="M20" s="13" t="inlineStr">
        <is>
          <t>Low residual risk: external stakeholder map: owners, banks, regulators, insurers, local authorities and strategic partners is mature and crisis-tested. Maintain monitoring, evidence, ownership and periodic stress testing.</t>
        </is>
      </c>
      <c r="N20" s="13" t="inlineStr">
        <is>
          <t>Create an immediate risk owner, minimum control baseline and fallback procedure for external stakeholder map: owners, banks, regulators, insurers, local authorities and strategic partners. Add it to the crisis risk register and collect first evidence.</t>
        </is>
      </c>
      <c r="O20" s="13" t="inlineStr">
        <is>
          <t>Document external stakeholder map: owners, banks, regulators, insurers, local authorities and strategic partners, assign RACI, define minimum controls and KPIs, and validate coverage across key sites, teams or systems.</t>
        </is>
      </c>
      <c r="P20" s="13" t="inlineStr">
        <is>
          <t>Standardize external stakeholder map: owners, banks, regulators, insurers, local authorities and strategic partners, close coverage gaps, train accountable roles and connect controls to the relevant crisis scenarios and continuity plans.</t>
        </is>
      </c>
      <c r="Q20" s="13" t="inlineStr">
        <is>
          <t>Measure and test external stakeholder map: owners, banks, regulators, insurers, local authorities and strategic partners, run tabletop or operational stress tests, integrate it with dependent processes and update crisis playbooks.</t>
        </is>
      </c>
      <c r="R20" s="13" t="inlineStr">
        <is>
          <t>Automate monitoring where practical, define leading indicators, run periodic scenario tests and track residual risk after each major change.</t>
        </is>
      </c>
      <c r="S20" s="13" t="inlineStr">
        <is>
          <t>Sustain maturity for external stakeholder map: owners, banks, regulators, insurers, local authorities and strategic partners: keep evidence current, monitor drift, benchmark externally and refresh risk tests after organizational, system or market changes.</t>
        </is>
      </c>
      <c r="T20" s="13" t="n">
        <v>3</v>
      </c>
      <c r="U20" s="13" t="n">
        <v>3</v>
      </c>
      <c r="V20" s="13" t="n">
        <v>2</v>
      </c>
      <c r="W20" s="13" t="n">
        <v>2</v>
      </c>
      <c r="X20" s="13" t="n">
        <v>1</v>
      </c>
      <c r="Y20" s="13" t="n">
        <v>1</v>
      </c>
      <c r="Z20" s="13" t="inlineStr">
        <is>
          <t>ISO 22301; ISO 31000; ISO 9001; ISO 37000; PESTLE; Business Model Canvas</t>
        </is>
      </c>
      <c r="AA20" s="13" t="inlineStr">
        <is>
          <t>Policy/SOP; owner/RACI; system report; dashboard; contracts; test records; incident history; interview evidence related to external stakeholder map: owners, banks, regulators, insurers, local authorities and strategic partners.</t>
        </is>
      </c>
      <c r="AB20" s="13" t="inlineStr">
        <is>
          <t>Geopolitical risk; Physical site loss; Regulatory/legal shock</t>
        </is>
      </c>
      <c r="AC20" s="13" t="inlineStr">
        <is>
          <t>CEO / COO / Risk</t>
        </is>
      </c>
      <c r="AD20" s="13" t="inlineStr">
        <is>
          <t>Company Geography!20</t>
        </is>
      </c>
      <c r="AE20">
        <f>IF($A20="","",IF(OR(ISNUMBER(SEARCH("cyber",$D20)),ISNUMBER(SEARCH("security",$D20)),ISNUMBER(SEARCH("safety",$D20)),ISNUMBER(SEARCH("liquidity",$D20)),ISNUMBER(SEARCH("cash",$D20)),ISNUMBER(SEARCH("continuity",$D20)),ISNUMBER(SEARCH("infrastructure",$D20)),ISNUMBER(SEARCH("outage",$D20))),"Fast",IF(OR(ISNUMBER(SEARCH("compliance",$D20)),ISNUMBER(SEARCH("regulat",$D20)),ISNUMBER(SEARCH("data",$D20)),ISNUMBER(SEARCH("talent",$D20)),ISNUMBER(SEARCH("knowledge",$D20)),ISNUMBER(SEARCH("portfolio",$D20)),ISNUMBER(SEARCH("quality",$D20))),"Slow","Medium")))</f>
        <v/>
      </c>
      <c r="AF20">
        <f>IF($A20="","",IFERROR(VLOOKUP($B20,'_CONFIG_Risk_Calibration'!$A$5:$H$21,2,FALSE),3))</f>
        <v/>
      </c>
      <c r="AG20">
        <f>IF($A20="","",IFERROR(VLOOKUP($B20,'_CONFIG_Risk_Calibration'!$A$5:$H$21,3,FALSE),0))</f>
        <v/>
      </c>
      <c r="AH20">
        <f>IF($A20="","",IFERROR(VLOOKUP($B20,'_CONFIG_Risk_Calibration'!$A$5:$H$21,4,FALSE),3))</f>
        <v/>
      </c>
      <c r="AI20">
        <f>IF($A20="","",IFERROR(VLOOKUP($B20,'_CONFIG_Risk_Calibration'!$A$5:$H$21,5,FALSE),3))</f>
        <v/>
      </c>
      <c r="AJ20">
        <f>IF($A20="","",IFERROR(VLOOKUP($B20,'_CONFIG_Risk_Calibration'!$A$5:$H$21,6,FALSE),"No"))</f>
        <v/>
      </c>
      <c r="AK20">
        <f>IF($A20="","",IFERROR(VLOOKUP($B20,'_CONFIG_Risk_Calibration'!$A$5:$H$21,7,FALSE),1))</f>
        <v/>
      </c>
      <c r="AL20">
        <f>IF($A20="","",IFERROR(VLOOKUP($B20,'_CONFIG_Risk_Calibration'!$A$5:$H$21,8,FALSE),""))</f>
        <v/>
      </c>
    </row>
    <row r="21" ht="72" customHeight="1" s="209">
      <c r="A21" s="13" t="inlineStr">
        <is>
          <t>COMP-018</t>
        </is>
      </c>
      <c r="B21" s="13" t="inlineStr">
        <is>
          <t>Company Geography</t>
        </is>
      </c>
      <c r="C21" s="13" t="inlineStr">
        <is>
          <t>Context and dependencies</t>
        </is>
      </c>
      <c r="D21" s="13" t="inlineStr">
        <is>
          <t>Geographic, entity and market exposure</t>
        </is>
      </c>
      <c r="E21" s="13" t="inlineStr">
        <is>
          <t>How mature is the organization in managing data residency and cross-border transfer exposure by system and geography, including ownership, evidence, metrics, fallback procedures and crisis stress testing?</t>
        </is>
      </c>
      <c r="F21" s="13" t="inlineStr">
        <is>
          <t>Immature capability for data residency and cross-border transfer exposure by system and geography may lead to unclear exposure across entities, sites and markets, delayed strategic response and underestimated crisis impact during Geopolitical risk; Physical site loss; Regulatory/legal shock.</t>
        </is>
      </c>
      <c r="G21" s="13" t="inlineStr">
        <is>
          <t>Low maturity, weak ownership, incomplete evidence, insufficient testing and poor integration with crisis-management routines for data residency and cross-border transfer exposure by system and geography.</t>
        </is>
      </c>
      <c r="H21" s="13" t="inlineStr">
        <is>
          <t>Severe risk: data residency and cross-border transfer exposure by system and geography is not reliably controlled. During Geopolitical risk; Physical site loss; Regulatory/legal shock, the organization may face unclear exposure across entities, sites and markets, delayed strategic response and underestimated crisis impact with limited visibility or accountability.</t>
        </is>
      </c>
      <c r="I21" s="13" t="inlineStr">
        <is>
          <t>High risk: data residency and cross-border transfer exposure by system and geography depends on informal practices or individual knowledge. Disruption may expose unclear exposure across entities, sites and markets, delayed strategic response and underestimated crisis impact and slow recovery.</t>
        </is>
      </c>
      <c r="J21" s="13" t="inlineStr">
        <is>
          <t>Elevated risk: data residency and cross-border transfer exposure by system and geography is partially controlled, but coverage, evidence or testing is inconsistent. Crisis response may be fragmented.</t>
        </is>
      </c>
      <c r="K21" s="13" t="inlineStr">
        <is>
          <t>Moderate risk: data residency and cross-border transfer exposure by system and geography is documented and owned, but measurement, stress testing and integration with dependent processes need strengthening.</t>
        </is>
      </c>
      <c r="L21" s="13" t="inlineStr">
        <is>
          <t>Residual risk: data residency and cross-border transfer exposure by system and geography is measured and reviewed, but monitoring, automation or scenario testing should be improved to prevent maturity drift.</t>
        </is>
      </c>
      <c r="M21" s="13" t="inlineStr">
        <is>
          <t>Low residual risk: data residency and cross-border transfer exposure by system and geography is mature and crisis-tested. Maintain monitoring, evidence, ownership and periodic stress testing.</t>
        </is>
      </c>
      <c r="N21" s="13" t="inlineStr">
        <is>
          <t>Create an immediate risk owner, minimum control baseline and fallback procedure for data residency and cross-border transfer exposure by system and geography. Add it to the crisis risk register and collect first evidence.</t>
        </is>
      </c>
      <c r="O21" s="13" t="inlineStr">
        <is>
          <t>Document data residency and cross-border transfer exposure by system and geography, assign RACI, define minimum controls and KPIs, and validate coverage across key sites, teams or systems.</t>
        </is>
      </c>
      <c r="P21" s="13" t="inlineStr">
        <is>
          <t>Standardize data residency and cross-border transfer exposure by system and geography, close coverage gaps, train accountable roles and connect controls to the relevant crisis scenarios and continuity plans.</t>
        </is>
      </c>
      <c r="Q21" s="13" t="inlineStr">
        <is>
          <t>Measure and test data residency and cross-border transfer exposure by system and geography, run tabletop or operational stress tests, integrate it with dependent processes and update crisis playbooks.</t>
        </is>
      </c>
      <c r="R21" s="13" t="inlineStr">
        <is>
          <t>Automate monitoring where practical, define leading indicators, run periodic scenario tests and track residual risk after each major change.</t>
        </is>
      </c>
      <c r="S21" s="13" t="inlineStr">
        <is>
          <t>Sustain maturity for data residency and cross-border transfer exposure by system and geography: keep evidence current, monitor drift, benchmark externally and refresh risk tests after organizational, system or market changes.</t>
        </is>
      </c>
      <c r="T21" s="13" t="n">
        <v>3</v>
      </c>
      <c r="U21" s="13" t="n">
        <v>3</v>
      </c>
      <c r="V21" s="13" t="n">
        <v>2</v>
      </c>
      <c r="W21" s="13" t="n">
        <v>2</v>
      </c>
      <c r="X21" s="13" t="n">
        <v>1</v>
      </c>
      <c r="Y21" s="13" t="n">
        <v>1</v>
      </c>
      <c r="Z21" s="13" t="inlineStr">
        <is>
          <t>ISO 22301; ISO 31000; ISO 9001; ISO 37000; PESTLE; Business Model Canvas</t>
        </is>
      </c>
      <c r="AA21" s="13" t="inlineStr">
        <is>
          <t>Policy/SOP; owner/RACI; system report; dashboard; contracts; test records; incident history; interview evidence related to data residency and cross-border transfer exposure by system and geography.</t>
        </is>
      </c>
      <c r="AB21" s="13" t="inlineStr">
        <is>
          <t>Geopolitical risk; Physical site loss; Regulatory/legal shock</t>
        </is>
      </c>
      <c r="AC21" s="13" t="inlineStr">
        <is>
          <t>CEO / COO / Risk</t>
        </is>
      </c>
      <c r="AD21" s="13" t="inlineStr">
        <is>
          <t>Company Geography!21</t>
        </is>
      </c>
      <c r="AE21">
        <f>IF($A21="","",IF(OR(ISNUMBER(SEARCH("cyber",$D21)),ISNUMBER(SEARCH("security",$D21)),ISNUMBER(SEARCH("safety",$D21)),ISNUMBER(SEARCH("liquidity",$D21)),ISNUMBER(SEARCH("cash",$D21)),ISNUMBER(SEARCH("continuity",$D21)),ISNUMBER(SEARCH("infrastructure",$D21)),ISNUMBER(SEARCH("outage",$D21))),"Fast",IF(OR(ISNUMBER(SEARCH("compliance",$D21)),ISNUMBER(SEARCH("regulat",$D21)),ISNUMBER(SEARCH("data",$D21)),ISNUMBER(SEARCH("talent",$D21)),ISNUMBER(SEARCH("knowledge",$D21)),ISNUMBER(SEARCH("portfolio",$D21)),ISNUMBER(SEARCH("quality",$D21))),"Slow","Medium")))</f>
        <v/>
      </c>
      <c r="AF21">
        <f>IF($A21="","",IFERROR(VLOOKUP($B21,'_CONFIG_Risk_Calibration'!$A$5:$H$21,2,FALSE),3))</f>
        <v/>
      </c>
      <c r="AG21">
        <f>IF($A21="","",IFERROR(VLOOKUP($B21,'_CONFIG_Risk_Calibration'!$A$5:$H$21,3,FALSE),0))</f>
        <v/>
      </c>
      <c r="AH21">
        <f>IF($A21="","",IFERROR(VLOOKUP($B21,'_CONFIG_Risk_Calibration'!$A$5:$H$21,4,FALSE),3))</f>
        <v/>
      </c>
      <c r="AI21">
        <f>IF($A21="","",IFERROR(VLOOKUP($B21,'_CONFIG_Risk_Calibration'!$A$5:$H$21,5,FALSE),3))</f>
        <v/>
      </c>
      <c r="AJ21">
        <f>IF($A21="","",IFERROR(VLOOKUP($B21,'_CONFIG_Risk_Calibration'!$A$5:$H$21,6,FALSE),"No"))</f>
        <v/>
      </c>
      <c r="AK21">
        <f>IF($A21="","",IFERROR(VLOOKUP($B21,'_CONFIG_Risk_Calibration'!$A$5:$H$21,7,FALSE),1))</f>
        <v/>
      </c>
      <c r="AL21">
        <f>IF($A21="","",IFERROR(VLOOKUP($B21,'_CONFIG_Risk_Calibration'!$A$5:$H$21,8,FALSE),""))</f>
        <v/>
      </c>
    </row>
    <row r="22" ht="72" customHeight="1" s="209">
      <c r="A22" s="13" t="inlineStr">
        <is>
          <t>COMP-019</t>
        </is>
      </c>
      <c r="B22" s="13" t="inlineStr">
        <is>
          <t>Company Geography</t>
        </is>
      </c>
      <c r="C22" s="13" t="inlineStr">
        <is>
          <t>Context and dependencies</t>
        </is>
      </c>
      <c r="D22" s="13" t="inlineStr">
        <is>
          <t>Geographic, entity and market exposure</t>
        </is>
      </c>
      <c r="E22" s="13" t="inlineStr">
        <is>
          <t>How mature is the organization in managing acceptable downtime thresholds by geography, function, customer and process, including ownership, evidence, metrics, fallback procedures and crisis stress testing?</t>
        </is>
      </c>
      <c r="F22" s="13" t="inlineStr">
        <is>
          <t>Immature capability for acceptable downtime thresholds by geography, function, customer and process may lead to unclear exposure across entities, sites and markets, delayed strategic response and underestimated crisis impact during Geopolitical risk; Physical site loss; Regulatory/legal shock.</t>
        </is>
      </c>
      <c r="G22" s="13" t="inlineStr">
        <is>
          <t>Low maturity, weak ownership, incomplete evidence, insufficient testing and poor integration with crisis-management routines for acceptable downtime thresholds by geography, function, customer and process.</t>
        </is>
      </c>
      <c r="H22" s="13" t="inlineStr">
        <is>
          <t>Severe risk: acceptable downtime thresholds by geography, function, customer and process is not reliably controlled. During Geopolitical risk; Physical site loss; Regulatory/legal shock, the organization may face unclear exposure across entities, sites and markets, delayed strategic response and underestimated crisis impact with limited visibility or accountability.</t>
        </is>
      </c>
      <c r="I22" s="13" t="inlineStr">
        <is>
          <t>High risk: acceptable downtime thresholds by geography, function, customer and process depends on informal practices or individual knowledge. Disruption may expose unclear exposure across entities, sites and markets, delayed strategic response and underestimated crisis impact and slow recovery.</t>
        </is>
      </c>
      <c r="J22" s="13" t="inlineStr">
        <is>
          <t>Elevated risk: acceptable downtime thresholds by geography, function, customer and process is partially controlled, but coverage, evidence or testing is inconsistent. Crisis response may be fragmented.</t>
        </is>
      </c>
      <c r="K22" s="13" t="inlineStr">
        <is>
          <t>Moderate risk: acceptable downtime thresholds by geography, function, customer and process is documented and owned, but measurement, stress testing and integration with dependent processes need strengthening.</t>
        </is>
      </c>
      <c r="L22" s="13" t="inlineStr">
        <is>
          <t>Residual risk: acceptable downtime thresholds by geography, function, customer and process is measured and reviewed, but monitoring, automation or scenario testing should be improved to prevent maturity drift.</t>
        </is>
      </c>
      <c r="M22" s="13" t="inlineStr">
        <is>
          <t>Low residual risk: acceptable downtime thresholds by geography, function, customer and process is mature and crisis-tested. Maintain monitoring, evidence, ownership and periodic stress testing.</t>
        </is>
      </c>
      <c r="N22" s="13" t="inlineStr">
        <is>
          <t>Create an immediate risk owner, minimum control baseline and fallback procedure for acceptable downtime thresholds by geography, function, customer and process. Add it to the crisis risk register and collect first evidence.</t>
        </is>
      </c>
      <c r="O22" s="13" t="inlineStr">
        <is>
          <t>Document acceptable downtime thresholds by geography, function, customer and process, assign RACI, define minimum controls and KPIs, and validate coverage across key sites, teams or systems.</t>
        </is>
      </c>
      <c r="P22" s="13" t="inlineStr">
        <is>
          <t>Standardize acceptable downtime thresholds by geography, function, customer and process, close coverage gaps, train accountable roles and connect controls to the relevant crisis scenarios and continuity plans.</t>
        </is>
      </c>
      <c r="Q22" s="13" t="inlineStr">
        <is>
          <t>Measure and test acceptable downtime thresholds by geography, function, customer and process, run tabletop or operational stress tests, integrate it with dependent processes and update crisis playbooks.</t>
        </is>
      </c>
      <c r="R22" s="13" t="inlineStr">
        <is>
          <t>Automate monitoring where practical, define leading indicators, run periodic scenario tests and track residual risk after each major change.</t>
        </is>
      </c>
      <c r="S22" s="13" t="inlineStr">
        <is>
          <t>Sustain maturity for acceptable downtime thresholds by geography, function, customer and process: keep evidence current, monitor drift, benchmark externally and refresh risk tests after organizational, system or market changes.</t>
        </is>
      </c>
      <c r="T22" s="13" t="n">
        <v>3</v>
      </c>
      <c r="U22" s="13" t="n">
        <v>3</v>
      </c>
      <c r="V22" s="13" t="n">
        <v>2</v>
      </c>
      <c r="W22" s="13" t="n">
        <v>2</v>
      </c>
      <c r="X22" s="13" t="n">
        <v>1</v>
      </c>
      <c r="Y22" s="13" t="n">
        <v>1</v>
      </c>
      <c r="Z22" s="13" t="inlineStr">
        <is>
          <t>ISO 22301; ISO 31000; ISO 9001; ISO 37000; PESTLE; Business Model Canvas</t>
        </is>
      </c>
      <c r="AA22" s="13" t="inlineStr">
        <is>
          <t>Policy/SOP; owner/RACI; system report; dashboard; contracts; test records; incident history; interview evidence related to acceptable downtime thresholds by geography, function, customer and process.</t>
        </is>
      </c>
      <c r="AB22" s="13" t="inlineStr">
        <is>
          <t>Geopolitical risk; Physical site loss; Regulatory/legal shock</t>
        </is>
      </c>
      <c r="AC22" s="13" t="inlineStr">
        <is>
          <t>CEO / COO / Risk</t>
        </is>
      </c>
      <c r="AD22" s="13" t="inlineStr">
        <is>
          <t>Company Geography!22</t>
        </is>
      </c>
      <c r="AE22">
        <f>IF($A22="","",IF(OR(ISNUMBER(SEARCH("cyber",$D22)),ISNUMBER(SEARCH("security",$D22)),ISNUMBER(SEARCH("safety",$D22)),ISNUMBER(SEARCH("liquidity",$D22)),ISNUMBER(SEARCH("cash",$D22)),ISNUMBER(SEARCH("continuity",$D22)),ISNUMBER(SEARCH("infrastructure",$D22)),ISNUMBER(SEARCH("outage",$D22))),"Fast",IF(OR(ISNUMBER(SEARCH("compliance",$D22)),ISNUMBER(SEARCH("regulat",$D22)),ISNUMBER(SEARCH("data",$D22)),ISNUMBER(SEARCH("talent",$D22)),ISNUMBER(SEARCH("knowledge",$D22)),ISNUMBER(SEARCH("portfolio",$D22)),ISNUMBER(SEARCH("quality",$D22))),"Slow","Medium")))</f>
        <v/>
      </c>
      <c r="AF22">
        <f>IF($A22="","",IFERROR(VLOOKUP($B22,'_CONFIG_Risk_Calibration'!$A$5:$H$21,2,FALSE),3))</f>
        <v/>
      </c>
      <c r="AG22">
        <f>IF($A22="","",IFERROR(VLOOKUP($B22,'_CONFIG_Risk_Calibration'!$A$5:$H$21,3,FALSE),0))</f>
        <v/>
      </c>
      <c r="AH22">
        <f>IF($A22="","",IFERROR(VLOOKUP($B22,'_CONFIG_Risk_Calibration'!$A$5:$H$21,4,FALSE),3))</f>
        <v/>
      </c>
      <c r="AI22">
        <f>IF($A22="","",IFERROR(VLOOKUP($B22,'_CONFIG_Risk_Calibration'!$A$5:$H$21,5,FALSE),3))</f>
        <v/>
      </c>
      <c r="AJ22">
        <f>IF($A22="","",IFERROR(VLOOKUP($B22,'_CONFIG_Risk_Calibration'!$A$5:$H$21,6,FALSE),"No"))</f>
        <v/>
      </c>
      <c r="AK22">
        <f>IF($A22="","",IFERROR(VLOOKUP($B22,'_CONFIG_Risk_Calibration'!$A$5:$H$21,7,FALSE),1))</f>
        <v/>
      </c>
      <c r="AL22">
        <f>IF($A22="","",IFERROR(VLOOKUP($B22,'_CONFIG_Risk_Calibration'!$A$5:$H$21,8,FALSE),""))</f>
        <v/>
      </c>
    </row>
    <row r="23" ht="84" customHeight="1" s="209">
      <c r="A23" s="13" t="inlineStr">
        <is>
          <t>COMP-021</t>
        </is>
      </c>
      <c r="B23" s="13" t="inlineStr">
        <is>
          <t>Company Geography</t>
        </is>
      </c>
      <c r="C23" s="13" t="inlineStr">
        <is>
          <t>Context and dependencies</t>
        </is>
      </c>
      <c r="D23" s="13" t="inlineStr">
        <is>
          <t>Geographic, entity and market exposure</t>
        </is>
      </c>
      <c r="E23" s="13" t="inlineStr">
        <is>
          <t>How mature is the organization in managing critical infrastructure status and government emergency obligations across operating geographies, including ownership, evidence, metrics, fallback procedures and crisis stress testing?</t>
        </is>
      </c>
      <c r="F23" s="13" t="inlineStr">
        <is>
          <t>Immature capability for critical infrastructure status and government emergency obligations across operating geographies may lead to unexpected state-imposed duties, missed protective entitlements and unmanaged compliance exposure during emergencies during War/security crisis; Energy/utilities outage; Regulatory/legal shock.</t>
        </is>
      </c>
      <c r="G23" s="13" t="inlineStr">
        <is>
          <t>Low maturity, weak ownership, incomplete evidence, insufficient testing and poor integration with crisis-management routines for critical infrastructure status and government emergency obligations across operating geographies.</t>
        </is>
      </c>
      <c r="H23" s="13" t="inlineStr">
        <is>
          <t>Severe risk: critical infrastructure status and government emergency obligations across operating geographies is not reliably controlled. During War/security crisis; Energy/utilities outage; Regulatory/legal shock, the organization may face unexpected state-imposed duties, missed protective entitlements and unmanaged compliance exposure during emergencies with limited visibility or accountability.</t>
        </is>
      </c>
      <c r="I23" s="13" t="inlineStr">
        <is>
          <t>High risk: critical infrastructure status and government emergency obligations across operating geographies depends on informal practices or individual knowledge. Disruption may expose unexpected state-imposed duties, missed protective entitlements and unmanaged compliance exposure during emergencies and slow recovery.</t>
        </is>
      </c>
      <c r="J23" s="13" t="inlineStr">
        <is>
          <t>Elevated risk: critical infrastructure status and government emergency obligations across operating geographies is partially controlled, but coverage, evidence or testing is inconsistent. Crisis response may be fragmented.</t>
        </is>
      </c>
      <c r="K23" s="13" t="inlineStr">
        <is>
          <t>Moderate risk: critical infrastructure status and government emergency obligations across operating geographies is documented and owned, but measurement, stress testing and integration with dependent processes need strengthening.</t>
        </is>
      </c>
      <c r="L23" s="13" t="inlineStr">
        <is>
          <t>Residual risk: critical infrastructure status and government emergency obligations across operating geographies is measured and reviewed, but monitoring, automation or scenario testing should be improved to prevent maturity drift.</t>
        </is>
      </c>
      <c r="M23" s="13" t="inlineStr">
        <is>
          <t>Low residual risk: critical infrastructure status and government emergency obligations across operating geographies is mature and crisis-tested. Maintain monitoring, evidence, ownership and periodic stress testing.</t>
        </is>
      </c>
      <c r="N23" s="13" t="inlineStr">
        <is>
          <t>Create an immediate risk owner, minimum control baseline and fallback procedure for critical infrastructure status and government emergency obligations across operating geographies. Add it to the crisis risk register and collect first evidence.</t>
        </is>
      </c>
      <c r="O23" s="13" t="inlineStr">
        <is>
          <t>Document critical infrastructure status and government emergency obligations across operating geographies, assign RACI, define minimum controls and KPIs, and validate coverage across key sites, teams or systems.</t>
        </is>
      </c>
      <c r="P23" s="13" t="inlineStr">
        <is>
          <t>Standardize critical infrastructure status and government emergency obligations across operating geographies, close coverage gaps, train accountable roles and connect controls to the relevant crisis scenarios and continuity plans.</t>
        </is>
      </c>
      <c r="Q23" s="13" t="inlineStr">
        <is>
          <t>Measure and test critical infrastructure status and government emergency obligations across operating geographies, run tabletop or operational stress tests, integrate it with dependent processes and update crisis playbooks.</t>
        </is>
      </c>
      <c r="R23" s="13" t="inlineStr">
        <is>
          <t>Automate monitoring where practical, define leading indicators, run periodic scenario tests and track residual risk after each major change.</t>
        </is>
      </c>
      <c r="S23" s="13" t="inlineStr">
        <is>
          <t>Sustain maturity for critical infrastructure status and government emergency obligations across operating geographies: keep evidence current, monitor drift, benchmark externally and refresh risk tests after organizational, system or market changes.</t>
        </is>
      </c>
      <c r="T23" s="13" t="n">
        <v>2</v>
      </c>
      <c r="U23" s="13" t="n">
        <v>2</v>
      </c>
      <c r="V23" s="13" t="n">
        <v>2</v>
      </c>
      <c r="W23" s="13" t="n">
        <v>2</v>
      </c>
      <c r="X23" s="13" t="n">
        <v>1</v>
      </c>
      <c r="Y23" s="13" t="n">
        <v>1</v>
      </c>
      <c r="Z23" s="13" t="inlineStr">
        <is>
          <t>ISO 22301; NIS2; national critical infrastructure regulation</t>
        </is>
      </c>
      <c r="AA23" s="13" t="inlineStr">
        <is>
          <t>Policy/SOP; owner/RACI; system report; dashboard; contracts; test records; incident history; interview evidence related to critical infrastructure status and government emergency obligations across operating geographies</t>
        </is>
      </c>
      <c r="AB23" s="13" t="inlineStr">
        <is>
          <t>War/security crisis; Energy/utilities outage; Regulatory/legal shock</t>
        </is>
      </c>
      <c r="AC23" s="13" t="inlineStr">
        <is>
          <t>CEO / Legal</t>
        </is>
      </c>
      <c r="AD23" s="13" t="inlineStr">
        <is>
          <t>Company Geography!23</t>
        </is>
      </c>
      <c r="AE23">
        <f>IF($A23="","",IF(OR(ISNUMBER(SEARCH("cyber",$D23)),ISNUMBER(SEARCH("security",$D23)),ISNUMBER(SEARCH("safety",$D23)),ISNUMBER(SEARCH("liquidity",$D23)),ISNUMBER(SEARCH("cash",$D23)),ISNUMBER(SEARCH("continuity",$D23)),ISNUMBER(SEARCH("infrastructure",$D23)),ISNUMBER(SEARCH("outage",$D23))),"Fast",IF(OR(ISNUMBER(SEARCH("compliance",$D23)),ISNUMBER(SEARCH("regulat",$D23)),ISNUMBER(SEARCH("data",$D23)),ISNUMBER(SEARCH("talent",$D23)),ISNUMBER(SEARCH("knowledge",$D23)),ISNUMBER(SEARCH("portfolio",$D23)),ISNUMBER(SEARCH("quality",$D23))),"Slow","Medium")))</f>
        <v/>
      </c>
      <c r="AF23">
        <f>IF($A23="","",IFERROR(VLOOKUP($B23,'_CONFIG_Risk_Calibration'!$A$5:$H$21,2,FALSE),3))</f>
        <v/>
      </c>
      <c r="AG23">
        <f>IF($A23="","",IFERROR(VLOOKUP($B23,'_CONFIG_Risk_Calibration'!$A$5:$H$21,3,FALSE),0))</f>
        <v/>
      </c>
      <c r="AH23">
        <f>IF($A23="","",IFERROR(VLOOKUP($B23,'_CONFIG_Risk_Calibration'!$A$5:$H$21,4,FALSE),3))</f>
        <v/>
      </c>
      <c r="AI23">
        <f>IF($A23="","",IFERROR(VLOOKUP($B23,'_CONFIG_Risk_Calibration'!$A$5:$H$21,5,FALSE),3))</f>
        <v/>
      </c>
      <c r="AJ23">
        <f>IF($A23="","",IFERROR(VLOOKUP($B23,'_CONFIG_Risk_Calibration'!$A$5:$H$21,6,FALSE),"No"))</f>
        <v/>
      </c>
      <c r="AK23">
        <f>IF($A23="","",IFERROR(VLOOKUP($B23,'_CONFIG_Risk_Calibration'!$A$5:$H$21,7,FALSE),1))</f>
        <v/>
      </c>
      <c r="AL23">
        <f>IF($A23="","",IFERROR(VLOOKUP($B23,'_CONFIG_Risk_Calibration'!$A$5:$H$21,8,FALSE),""))</f>
        <v/>
      </c>
    </row>
    <row r="24" ht="72" customHeight="1" s="209">
      <c r="A24" s="13" t="inlineStr">
        <is>
          <t>STRA-001</t>
        </is>
      </c>
      <c r="B24" s="13" t="inlineStr">
        <is>
          <t>Strategy GTM</t>
        </is>
      </c>
      <c r="C24" s="13" t="inlineStr">
        <is>
          <t>Corporate strategy</t>
        </is>
      </c>
      <c r="D24" s="13" t="inlineStr">
        <is>
          <t>Strategic and go-to-market resilience</t>
        </is>
      </c>
      <c r="E24" s="13" t="inlineStr">
        <is>
          <t>How mature is the organization in managing documented strategy translated into objectives, KPIs, budgets and accountable owners, including ownership, evidence, metrics, fallback procedures and crisis stress testing?</t>
        </is>
      </c>
      <c r="F24" s="13" t="inlineStr">
        <is>
          <t>Immature capability for documented strategy translated into objectives, KPIs, budgets and accountable owners may lead to weak crisis positioning, poor prioritization of segments, revenue leakage and inability to adapt the offering during Demand shock; Financial liquidity crisis; Reputation crisis.</t>
        </is>
      </c>
      <c r="G24" s="13" t="inlineStr">
        <is>
          <t>Low maturity, weak ownership, incomplete evidence, insufficient testing and poor integration with crisis-management routines for documented strategy translated into objectives, KPIs, budgets and accountable owners.</t>
        </is>
      </c>
      <c r="H24" s="13" t="inlineStr">
        <is>
          <t>Severe risk: documented strategy translated into objectives, KPIs, budgets and accountable owners is not reliably controlled. During Demand shock; Financial liquidity crisis; Reputation crisis, the organization may face weak crisis positioning, poor prioritization of segments, revenue leakage and inability to adapt the offering with limited visibility or accountability.</t>
        </is>
      </c>
      <c r="I24" s="13" t="inlineStr">
        <is>
          <t>High risk: documented strategy translated into objectives, KPIs, budgets and accountable owners depends on informal practices or individual knowledge. Disruption may expose weak crisis positioning, poor prioritization of segments, revenue leakage and inability to adapt the offering and slow recovery.</t>
        </is>
      </c>
      <c r="J24" s="13" t="inlineStr">
        <is>
          <t>Elevated risk: documented strategy translated into objectives, KPIs, budgets and accountable owners is partially controlled, but coverage, evidence or testing is inconsistent. Crisis response may be fragmented.</t>
        </is>
      </c>
      <c r="K24" s="13" t="inlineStr">
        <is>
          <t>Moderate risk: documented strategy translated into objectives, KPIs, budgets and accountable owners is documented and owned, but measurement, stress testing and integration with dependent processes need strengthening.</t>
        </is>
      </c>
      <c r="L24" s="13" t="inlineStr">
        <is>
          <t>Residual risk: documented strategy translated into objectives, KPIs, budgets and accountable owners is measured and reviewed, but monitoring, automation or scenario testing should be improved to prevent maturity drift.</t>
        </is>
      </c>
      <c r="M24" s="13" t="inlineStr">
        <is>
          <t>Low residual risk: documented strategy translated into objectives, KPIs, budgets and accountable owners is mature and crisis-tested. Maintain monitoring, evidence, ownership and periodic stress testing.</t>
        </is>
      </c>
      <c r="N24" s="13" t="inlineStr">
        <is>
          <t>Create an immediate risk owner, minimum control baseline and fallback procedure for documented strategy translated into objectives, KPIs, budgets and accountable owners. Add it to the crisis risk register and collect first evidence.</t>
        </is>
      </c>
      <c r="O24" s="13" t="inlineStr">
        <is>
          <t>Document documented strategy translated into objectives, KPIs, budgets and accountable owners, assign RACI, define minimum controls and KPIs, and validate coverage across key sites, teams or systems.</t>
        </is>
      </c>
      <c r="P24" s="13" t="inlineStr">
        <is>
          <t>Standardize documented strategy translated into objectives, KPIs, budgets and accountable owners, close coverage gaps, train accountable roles and connect controls to the relevant crisis scenarios and continuity plans.</t>
        </is>
      </c>
      <c r="Q24" s="13" t="inlineStr">
        <is>
          <t>Measure and test documented strategy translated into objectives, KPIs, budgets and accountable owners, run tabletop or operational stress tests, integrate it with dependent processes and update crisis playbooks.</t>
        </is>
      </c>
      <c r="R24" s="13" t="inlineStr">
        <is>
          <t>Automate monitoring where practical, define leading indicators, run periodic scenario tests and track residual risk after each major change.</t>
        </is>
      </c>
      <c r="S24" s="13" t="inlineStr">
        <is>
          <t>Sustain maturity for documented strategy translated into objectives, KPIs, budgets and accountable owners: keep evidence current, monitor drift, benchmark externally and refresh risk tests after organizational, system or market changes.</t>
        </is>
      </c>
      <c r="T24" s="13" t="n">
        <v>3</v>
      </c>
      <c r="U24" s="13" t="n">
        <v>3</v>
      </c>
      <c r="V24" s="13" t="n">
        <v>2</v>
      </c>
      <c r="W24" s="13" t="n">
        <v>2</v>
      </c>
      <c r="X24" s="13" t="n">
        <v>1</v>
      </c>
      <c r="Y24" s="13" t="n">
        <v>1</v>
      </c>
      <c r="Z24" s="13" t="inlineStr">
        <is>
          <t>ISO 9001; ISO 31000; ISO 37000; McKinsey 7S; OHI; Bain Elements of Value; Jobs-to-be-Done; Porter Five Forces; OKR</t>
        </is>
      </c>
      <c r="AA24" s="13" t="inlineStr">
        <is>
          <t>Policy/SOP; owner/RACI; system report; dashboard; contracts; test records; incident history; interview evidence related to documented strategy translated into objectives, KPIs, budgets and accountable owners.</t>
        </is>
      </c>
      <c r="AB24" s="13" t="inlineStr">
        <is>
          <t>Demand shock; Financial liquidity crisis; Reputation crisis</t>
        </is>
      </c>
      <c r="AC24" s="13" t="inlineStr">
        <is>
          <t>CEO / CSO / CCO</t>
        </is>
      </c>
      <c r="AD24" s="13" t="inlineStr">
        <is>
          <t>Strategy GTM!5</t>
        </is>
      </c>
      <c r="AE24">
        <f>IF($A24="","",IF(OR(ISNUMBER(SEARCH("cyber",$D24)),ISNUMBER(SEARCH("security",$D24)),ISNUMBER(SEARCH("safety",$D24)),ISNUMBER(SEARCH("liquidity",$D24)),ISNUMBER(SEARCH("cash",$D24)),ISNUMBER(SEARCH("continuity",$D24)),ISNUMBER(SEARCH("infrastructure",$D24)),ISNUMBER(SEARCH("outage",$D24))),"Fast",IF(OR(ISNUMBER(SEARCH("compliance",$D24)),ISNUMBER(SEARCH("regulat",$D24)),ISNUMBER(SEARCH("data",$D24)),ISNUMBER(SEARCH("talent",$D24)),ISNUMBER(SEARCH("knowledge",$D24)),ISNUMBER(SEARCH("portfolio",$D24)),ISNUMBER(SEARCH("quality",$D24))),"Slow","Medium")))</f>
        <v/>
      </c>
      <c r="AF24">
        <f>IF($A24="","",IFERROR(VLOOKUP($B24,'_CONFIG_Risk_Calibration'!$A$5:$H$21,2,FALSE),3))</f>
        <v/>
      </c>
      <c r="AG24">
        <f>IF($A24="","",IFERROR(VLOOKUP($B24,'_CONFIG_Risk_Calibration'!$A$5:$H$21,3,FALSE),0))</f>
        <v/>
      </c>
      <c r="AH24">
        <f>IF($A24="","",IFERROR(VLOOKUP($B24,'_CONFIG_Risk_Calibration'!$A$5:$H$21,4,FALSE),3))</f>
        <v/>
      </c>
      <c r="AI24">
        <f>IF($A24="","",IFERROR(VLOOKUP($B24,'_CONFIG_Risk_Calibration'!$A$5:$H$21,5,FALSE),3))</f>
        <v/>
      </c>
      <c r="AJ24">
        <f>IF($A24="","",IFERROR(VLOOKUP($B24,'_CONFIG_Risk_Calibration'!$A$5:$H$21,6,FALSE),"No"))</f>
        <v/>
      </c>
      <c r="AK24">
        <f>IF($A24="","",IFERROR(VLOOKUP($B24,'_CONFIG_Risk_Calibration'!$A$5:$H$21,7,FALSE),1))</f>
        <v/>
      </c>
      <c r="AL24">
        <f>IF($A24="","",IFERROR(VLOOKUP($B24,'_CONFIG_Risk_Calibration'!$A$5:$H$21,8,FALSE),""))</f>
        <v/>
      </c>
    </row>
    <row r="25" ht="72" customHeight="1" s="209">
      <c r="A25" s="13" t="inlineStr">
        <is>
          <t>STRA-002</t>
        </is>
      </c>
      <c r="B25" s="13" t="inlineStr">
        <is>
          <t>Strategy GTM</t>
        </is>
      </c>
      <c r="C25" s="13" t="inlineStr">
        <is>
          <t>Corporate strategy</t>
        </is>
      </c>
      <c r="D25" s="13" t="inlineStr">
        <is>
          <t>Strategic and go-to-market resilience</t>
        </is>
      </c>
      <c r="E25" s="13" t="inlineStr">
        <is>
          <t>How mature is the organization in managing explicit strategic assumptions and periodic challenge of those assumptions, including ownership, evidence, metrics, fallback procedures and crisis stress testing?</t>
        </is>
      </c>
      <c r="F25" s="13" t="inlineStr">
        <is>
          <t>Immature capability for explicit strategic assumptions and periodic challenge of those assumptions may lead to weak crisis positioning, poor prioritization of segments, revenue leakage and inability to adapt the offering during Demand shock; Financial liquidity crisis; Reputation crisis.</t>
        </is>
      </c>
      <c r="G25" s="13" t="inlineStr">
        <is>
          <t>Low maturity, weak ownership, incomplete evidence, insufficient testing and poor integration with crisis-management routines for explicit strategic assumptions and periodic challenge of those assumptions.</t>
        </is>
      </c>
      <c r="H25" s="13" t="inlineStr">
        <is>
          <t>Severe risk: explicit strategic assumptions and periodic challenge of those assumptions is not reliably controlled. During Demand shock; Financial liquidity crisis; Reputation crisis, the organization may face weak crisis positioning, poor prioritization of segments, revenue leakage and inability to adapt the offering with limited visibility or accountability.</t>
        </is>
      </c>
      <c r="I25" s="13" t="inlineStr">
        <is>
          <t>High risk: explicit strategic assumptions and periodic challenge of those assumptions depends on informal practices or individual knowledge. Disruption may expose weak crisis positioning, poor prioritization of segments, revenue leakage and inability to adapt the offering and slow recovery.</t>
        </is>
      </c>
      <c r="J25" s="13" t="inlineStr">
        <is>
          <t>Elevated risk: explicit strategic assumptions and periodic challenge of those assumptions is partially controlled, but coverage, evidence or testing is inconsistent. Crisis response may be fragmented.</t>
        </is>
      </c>
      <c r="K25" s="13" t="inlineStr">
        <is>
          <t>Moderate risk: explicit strategic assumptions and periodic challenge of those assumptions is documented and owned, but measurement, stress testing and integration with dependent processes need strengthening.</t>
        </is>
      </c>
      <c r="L25" s="13" t="inlineStr">
        <is>
          <t>Residual risk: explicit strategic assumptions and periodic challenge of those assumptions is measured and reviewed, but monitoring, automation or scenario testing should be improved to prevent maturity drift.</t>
        </is>
      </c>
      <c r="M25" s="13" t="inlineStr">
        <is>
          <t>Low residual risk: explicit strategic assumptions and periodic challenge of those assumptions is mature and crisis-tested. Maintain monitoring, evidence, ownership and periodic stress testing.</t>
        </is>
      </c>
      <c r="N25" s="13" t="inlineStr">
        <is>
          <t>Create an immediate risk owner, minimum control baseline and fallback procedure for explicit strategic assumptions and periodic challenge of those assumptions. Add it to the crisis risk register and collect first evidence.</t>
        </is>
      </c>
      <c r="O25" s="13" t="inlineStr">
        <is>
          <t>Document explicit strategic assumptions and periodic challenge of those assumptions, assign RACI, define minimum controls and KPIs, and validate coverage across key sites, teams or systems.</t>
        </is>
      </c>
      <c r="P25" s="13" t="inlineStr">
        <is>
          <t>Standardize explicit strategic assumptions and periodic challenge of those assumptions, close coverage gaps, train accountable roles and connect controls to the relevant crisis scenarios and continuity plans.</t>
        </is>
      </c>
      <c r="Q25" s="13" t="inlineStr">
        <is>
          <t>Measure and test explicit strategic assumptions and periodic challenge of those assumptions, run tabletop or operational stress tests, integrate it with dependent processes and update crisis playbooks.</t>
        </is>
      </c>
      <c r="R25" s="13" t="inlineStr">
        <is>
          <t>Automate monitoring where practical, define leading indicators, run periodic scenario tests and track residual risk after each major change.</t>
        </is>
      </c>
      <c r="S25" s="13" t="inlineStr">
        <is>
          <t>Sustain maturity for explicit strategic assumptions and periodic challenge of those assumptions: keep evidence current, monitor drift, benchmark externally and refresh risk tests after organizational, system or market changes.</t>
        </is>
      </c>
      <c r="T25" s="13" t="n">
        <v>3</v>
      </c>
      <c r="U25" s="13" t="n">
        <v>3</v>
      </c>
      <c r="V25" s="13" t="n">
        <v>2</v>
      </c>
      <c r="W25" s="13" t="n">
        <v>2</v>
      </c>
      <c r="X25" s="13" t="n">
        <v>1</v>
      </c>
      <c r="Y25" s="13" t="n">
        <v>1</v>
      </c>
      <c r="Z25" s="13" t="inlineStr">
        <is>
          <t>ISO 9001; ISO 31000; ISO 37000; McKinsey 7S; OHI; Bain Elements of Value; Jobs-to-be-Done; Porter Five Forces; OKR</t>
        </is>
      </c>
      <c r="AA25" s="13" t="inlineStr">
        <is>
          <t>Policy/SOP; owner/RACI; system report; dashboard; contracts; test records; incident history; interview evidence related to explicit strategic assumptions and periodic challenge of those assumptions.</t>
        </is>
      </c>
      <c r="AB25" s="13" t="inlineStr">
        <is>
          <t>Demand shock; Financial liquidity crisis; Reputation crisis</t>
        </is>
      </c>
      <c r="AC25" s="13" t="inlineStr">
        <is>
          <t>CEO / CSO / CCO</t>
        </is>
      </c>
      <c r="AD25" s="13" t="inlineStr">
        <is>
          <t>Strategy GTM!6</t>
        </is>
      </c>
      <c r="AE25">
        <f>IF($A25="","",IF(OR(ISNUMBER(SEARCH("cyber",$D25)),ISNUMBER(SEARCH("security",$D25)),ISNUMBER(SEARCH("safety",$D25)),ISNUMBER(SEARCH("liquidity",$D25)),ISNUMBER(SEARCH("cash",$D25)),ISNUMBER(SEARCH("continuity",$D25)),ISNUMBER(SEARCH("infrastructure",$D25)),ISNUMBER(SEARCH("outage",$D25))),"Fast",IF(OR(ISNUMBER(SEARCH("compliance",$D25)),ISNUMBER(SEARCH("regulat",$D25)),ISNUMBER(SEARCH("data",$D25)),ISNUMBER(SEARCH("talent",$D25)),ISNUMBER(SEARCH("knowledge",$D25)),ISNUMBER(SEARCH("portfolio",$D25)),ISNUMBER(SEARCH("quality",$D25))),"Slow","Medium")))</f>
        <v/>
      </c>
      <c r="AF25">
        <f>IF($A25="","",IFERROR(VLOOKUP($B25,'_CONFIG_Risk_Calibration'!$A$5:$H$21,2,FALSE),3))</f>
        <v/>
      </c>
      <c r="AG25">
        <f>IF($A25="","",IFERROR(VLOOKUP($B25,'_CONFIG_Risk_Calibration'!$A$5:$H$21,3,FALSE),0))</f>
        <v/>
      </c>
      <c r="AH25">
        <f>IF($A25="","",IFERROR(VLOOKUP($B25,'_CONFIG_Risk_Calibration'!$A$5:$H$21,4,FALSE),3))</f>
        <v/>
      </c>
      <c r="AI25">
        <f>IF($A25="","",IFERROR(VLOOKUP($B25,'_CONFIG_Risk_Calibration'!$A$5:$H$21,5,FALSE),3))</f>
        <v/>
      </c>
      <c r="AJ25">
        <f>IF($A25="","",IFERROR(VLOOKUP($B25,'_CONFIG_Risk_Calibration'!$A$5:$H$21,6,FALSE),"No"))</f>
        <v/>
      </c>
      <c r="AK25">
        <f>IF($A25="","",IFERROR(VLOOKUP($B25,'_CONFIG_Risk_Calibration'!$A$5:$H$21,7,FALSE),1))</f>
        <v/>
      </c>
      <c r="AL25">
        <f>IF($A25="","",IFERROR(VLOOKUP($B25,'_CONFIG_Risk_Calibration'!$A$5:$H$21,8,FALSE),""))</f>
        <v/>
      </c>
    </row>
    <row r="26" ht="84" customHeight="1" s="209">
      <c r="A26" s="13" t="inlineStr">
        <is>
          <t>STRA-003</t>
        </is>
      </c>
      <c r="B26" s="13" t="inlineStr">
        <is>
          <t>Strategy GTM</t>
        </is>
      </c>
      <c r="C26" s="13" t="inlineStr">
        <is>
          <t>Corporate strategy</t>
        </is>
      </c>
      <c r="D26" s="13" t="inlineStr">
        <is>
          <t>Strategic and go-to-market resilience</t>
        </is>
      </c>
      <c r="E26" s="13" t="inlineStr">
        <is>
          <t>How mature is the organization in managing crisis-resilient strategy including adaptation, continuity, digital enablement and recovery options, including ownership, evidence, metrics, fallback procedures and crisis stress testing?</t>
        </is>
      </c>
      <c r="F26" s="13" t="inlineStr">
        <is>
          <t>Immature capability for crisis-resilient strategy including adaptation, continuity, digital enablement and recovery options may lead to weak crisis positioning, poor prioritization of segments, revenue leakage and inability to adapt the offering during Demand shock; Financial liquidity crisis; Reputation crisis.</t>
        </is>
      </c>
      <c r="G26" s="13" t="inlineStr">
        <is>
          <t>Low maturity, weak ownership, incomplete evidence, insufficient testing and poor integration with crisis-management routines for crisis-resilient strategy including adaptation, continuity, digital enablement and recovery options.</t>
        </is>
      </c>
      <c r="H26" s="13" t="inlineStr">
        <is>
          <t>Severe risk: crisis-resilient strategy including adaptation, continuity, digital enablement and recovery options is not reliably controlled. During Demand shock; Financial liquidity crisis; Reputation crisis, the organization may face weak crisis positioning, poor prioritization of segments, revenue leakage and inability to adapt the offering with limited visibility or accountability.</t>
        </is>
      </c>
      <c r="I26" s="13" t="inlineStr">
        <is>
          <t>High risk: crisis-resilient strategy including adaptation, continuity, digital enablement and recovery options depends on informal practices or individual knowledge. Disruption may expose weak crisis positioning, poor prioritization of segments, revenue leakage and inability to adapt the offering and slow recovery.</t>
        </is>
      </c>
      <c r="J26" s="13" t="inlineStr">
        <is>
          <t>Elevated risk: crisis-resilient strategy including adaptation, continuity, digital enablement and recovery options is partially controlled, but coverage, evidence or testing is inconsistent. Crisis response may be fragmented.</t>
        </is>
      </c>
      <c r="K26" s="13" t="inlineStr">
        <is>
          <t>Moderate risk: crisis-resilient strategy including adaptation, continuity, digital enablement and recovery options is documented and owned, but measurement, stress testing and integration with dependent processes need strengthening.</t>
        </is>
      </c>
      <c r="L26" s="13" t="inlineStr">
        <is>
          <t>Residual risk: crisis-resilient strategy including adaptation, continuity, digital enablement and recovery options is measured and reviewed, but monitoring, automation or scenario testing should be improved to prevent maturity drift.</t>
        </is>
      </c>
      <c r="M26" s="13" t="inlineStr">
        <is>
          <t>Low residual risk: crisis-resilient strategy including adaptation, continuity, digital enablement and recovery options is mature and crisis-tested. Maintain monitoring, evidence, ownership and periodic stress testing.</t>
        </is>
      </c>
      <c r="N26" s="13" t="inlineStr">
        <is>
          <t>Create an immediate risk owner, minimum control baseline and fallback procedure for crisis-resilient strategy including adaptation, continuity, digital enablement and recovery options. Add it to the crisis risk register and collect first evidence.</t>
        </is>
      </c>
      <c r="O26" s="13" t="inlineStr">
        <is>
          <t>Document crisis-resilient strategy including adaptation, continuity, digital enablement and recovery options, assign RACI, define minimum controls and KPIs, and validate coverage across key sites, teams or systems.</t>
        </is>
      </c>
      <c r="P26" s="13" t="inlineStr">
        <is>
          <t>Standardize crisis-resilient strategy including adaptation, continuity, digital enablement and recovery options, close coverage gaps, train accountable roles and connect controls to the relevant crisis scenarios and continuity plans.</t>
        </is>
      </c>
      <c r="Q26" s="13" t="inlineStr">
        <is>
          <t>Measure and test crisis-resilient strategy including adaptation, continuity, digital enablement and recovery options, run tabletop or operational stress tests, integrate it with dependent processes and update crisis playbooks.</t>
        </is>
      </c>
      <c r="R26" s="13" t="inlineStr">
        <is>
          <t>Automate monitoring where practical, define leading indicators, run periodic scenario tests and track residual risk after each major change.</t>
        </is>
      </c>
      <c r="S26" s="13" t="inlineStr">
        <is>
          <t>Sustain maturity for crisis-resilient strategy including adaptation, continuity, digital enablement and recovery options: keep evidence current, monitor drift, benchmark externally and refresh risk tests after organizational, system or market changes.</t>
        </is>
      </c>
      <c r="T26" s="13" t="n">
        <v>3</v>
      </c>
      <c r="U26" s="13" t="n">
        <v>3</v>
      </c>
      <c r="V26" s="13" t="n">
        <v>2</v>
      </c>
      <c r="W26" s="13" t="n">
        <v>2</v>
      </c>
      <c r="X26" s="13" t="n">
        <v>1</v>
      </c>
      <c r="Y26" s="13" t="n">
        <v>1</v>
      </c>
      <c r="Z26" s="13" t="inlineStr">
        <is>
          <t>ISO 9001; ISO 31000; ISO 37000; McKinsey 7S; OHI; Bain Elements of Value; Jobs-to-be-Done; Porter Five Forces; OKR</t>
        </is>
      </c>
      <c r="AA26" s="13" t="inlineStr">
        <is>
          <t>Policy/SOP; owner/RACI; system report; dashboard; contracts; test records; incident history; interview evidence related to crisis-resilient strategy including adaptation, continuity, digital enablement and recovery options.</t>
        </is>
      </c>
      <c r="AB26" s="13" t="inlineStr">
        <is>
          <t>Demand shock; Financial liquidity crisis; Reputation crisis</t>
        </is>
      </c>
      <c r="AC26" s="13" t="inlineStr">
        <is>
          <t>CEO / CSO / CCO</t>
        </is>
      </c>
      <c r="AD26" s="13" t="inlineStr">
        <is>
          <t>Strategy GTM!7</t>
        </is>
      </c>
      <c r="AE26">
        <f>IF($A26="","",IF(OR(ISNUMBER(SEARCH("cyber",$D26)),ISNUMBER(SEARCH("security",$D26)),ISNUMBER(SEARCH("safety",$D26)),ISNUMBER(SEARCH("liquidity",$D26)),ISNUMBER(SEARCH("cash",$D26)),ISNUMBER(SEARCH("continuity",$D26)),ISNUMBER(SEARCH("infrastructure",$D26)),ISNUMBER(SEARCH("outage",$D26))),"Fast",IF(OR(ISNUMBER(SEARCH("compliance",$D26)),ISNUMBER(SEARCH("regulat",$D26)),ISNUMBER(SEARCH("data",$D26)),ISNUMBER(SEARCH("talent",$D26)),ISNUMBER(SEARCH("knowledge",$D26)),ISNUMBER(SEARCH("portfolio",$D26)),ISNUMBER(SEARCH("quality",$D26))),"Slow","Medium")))</f>
        <v/>
      </c>
      <c r="AF26">
        <f>IF($A26="","",IFERROR(VLOOKUP($B26,'_CONFIG_Risk_Calibration'!$A$5:$H$21,2,FALSE),3))</f>
        <v/>
      </c>
      <c r="AG26">
        <f>IF($A26="","",IFERROR(VLOOKUP($B26,'_CONFIG_Risk_Calibration'!$A$5:$H$21,3,FALSE),0))</f>
        <v/>
      </c>
      <c r="AH26">
        <f>IF($A26="","",IFERROR(VLOOKUP($B26,'_CONFIG_Risk_Calibration'!$A$5:$H$21,4,FALSE),3))</f>
        <v/>
      </c>
      <c r="AI26">
        <f>IF($A26="","",IFERROR(VLOOKUP($B26,'_CONFIG_Risk_Calibration'!$A$5:$H$21,5,FALSE),3))</f>
        <v/>
      </c>
      <c r="AJ26">
        <f>IF($A26="","",IFERROR(VLOOKUP($B26,'_CONFIG_Risk_Calibration'!$A$5:$H$21,6,FALSE),"No"))</f>
        <v/>
      </c>
      <c r="AK26">
        <f>IF($A26="","",IFERROR(VLOOKUP($B26,'_CONFIG_Risk_Calibration'!$A$5:$H$21,7,FALSE),1))</f>
        <v/>
      </c>
      <c r="AL26">
        <f>IF($A26="","",IFERROR(VLOOKUP($B26,'_CONFIG_Risk_Calibration'!$A$5:$H$21,8,FALSE),""))</f>
        <v/>
      </c>
    </row>
    <row r="27" ht="72" customHeight="1" s="209">
      <c r="A27" s="13" t="inlineStr">
        <is>
          <t>STRA-004</t>
        </is>
      </c>
      <c r="B27" s="13" t="inlineStr">
        <is>
          <t>Strategy GTM</t>
        </is>
      </c>
      <c r="C27" s="13" t="inlineStr">
        <is>
          <t>Corporate strategy</t>
        </is>
      </c>
      <c r="D27" s="13" t="inlineStr">
        <is>
          <t>Strategic and go-to-market resilience</t>
        </is>
      </c>
      <c r="E27" s="13" t="inlineStr">
        <is>
          <t>How mature is the organization in managing strategic priorities ranked by business value, urgency, risk and resource constraints, including ownership, evidence, metrics, fallback procedures and crisis stress testing?</t>
        </is>
      </c>
      <c r="F27" s="13" t="inlineStr">
        <is>
          <t>Immature capability for strategic priorities ranked by business value, urgency, risk and resource constraints may lead to weak crisis positioning, poor prioritization of segments, revenue leakage and inability to adapt the offering during Demand shock; Financial liquidity crisis; Reputation crisis.</t>
        </is>
      </c>
      <c r="G27" s="13" t="inlineStr">
        <is>
          <t>Low maturity, weak ownership, incomplete evidence, insufficient testing and poor integration with crisis-management routines for strategic priorities ranked by business value, urgency, risk and resource constraints.</t>
        </is>
      </c>
      <c r="H27" s="13" t="inlineStr">
        <is>
          <t>Severe risk: strategic priorities ranked by business value, urgency, risk and resource constraints is not reliably controlled. During Demand shock; Financial liquidity crisis; Reputation crisis, the organization may face weak crisis positioning, poor prioritization of segments, revenue leakage and inability to adapt the offering with limited visibility or accountability.</t>
        </is>
      </c>
      <c r="I27" s="13" t="inlineStr">
        <is>
          <t>High risk: strategic priorities ranked by business value, urgency, risk and resource constraints depends on informal practices or individual knowledge. Disruption may expose weak crisis positioning, poor prioritization of segments, revenue leakage and inability to adapt the offering and slow recovery.</t>
        </is>
      </c>
      <c r="J27" s="13" t="inlineStr">
        <is>
          <t>Elevated risk: strategic priorities ranked by business value, urgency, risk and resource constraints is partially controlled, but coverage, evidence or testing is inconsistent. Crisis response may be fragmented.</t>
        </is>
      </c>
      <c r="K27" s="13" t="inlineStr">
        <is>
          <t>Moderate risk: strategic priorities ranked by business value, urgency, risk and resource constraints is documented and owned, but measurement, stress testing and integration with dependent processes need strengthening.</t>
        </is>
      </c>
      <c r="L27" s="13" t="inlineStr">
        <is>
          <t>Residual risk: strategic priorities ranked by business value, urgency, risk and resource constraints is measured and reviewed, but monitoring, automation or scenario testing should be improved to prevent maturity drift.</t>
        </is>
      </c>
      <c r="M27" s="13" t="inlineStr">
        <is>
          <t>Low residual risk: strategic priorities ranked by business value, urgency, risk and resource constraints is mature and crisis-tested. Maintain monitoring, evidence, ownership and periodic stress testing.</t>
        </is>
      </c>
      <c r="N27" s="13" t="inlineStr">
        <is>
          <t>Create an immediate risk owner, minimum control baseline and fallback procedure for strategic priorities ranked by business value, urgency, risk and resource constraints. Add it to the crisis risk register and collect first evidence.</t>
        </is>
      </c>
      <c r="O27" s="13" t="inlineStr">
        <is>
          <t>Document strategic priorities ranked by business value, urgency, risk and resource constraints, assign RACI, define minimum controls and KPIs, and validate coverage across key sites, teams or systems.</t>
        </is>
      </c>
      <c r="P27" s="13" t="inlineStr">
        <is>
          <t>Standardize strategic priorities ranked by business value, urgency, risk and resource constraints, close coverage gaps, train accountable roles and connect controls to the relevant crisis scenarios and continuity plans.</t>
        </is>
      </c>
      <c r="Q27" s="13" t="inlineStr">
        <is>
          <t>Measure and test strategic priorities ranked by business value, urgency, risk and resource constraints, run tabletop or operational stress tests, integrate it with dependent processes and update crisis playbooks.</t>
        </is>
      </c>
      <c r="R27" s="13" t="inlineStr">
        <is>
          <t>Automate monitoring where practical, define leading indicators, run periodic scenario tests and track residual risk after each major change.</t>
        </is>
      </c>
      <c r="S27" s="13" t="inlineStr">
        <is>
          <t>Sustain maturity for strategic priorities ranked by business value, urgency, risk and resource constraints: keep evidence current, monitor drift, benchmark externally and refresh risk tests after organizational, system or market changes.</t>
        </is>
      </c>
      <c r="T27" s="13" t="n">
        <v>3</v>
      </c>
      <c r="U27" s="13" t="n">
        <v>3</v>
      </c>
      <c r="V27" s="13" t="n">
        <v>2</v>
      </c>
      <c r="W27" s="13" t="n">
        <v>2</v>
      </c>
      <c r="X27" s="13" t="n">
        <v>1</v>
      </c>
      <c r="Y27" s="13" t="n">
        <v>1</v>
      </c>
      <c r="Z27" s="13" t="inlineStr">
        <is>
          <t>ISO 9001; ISO 31000; ISO 37000; McKinsey 7S; OHI; Bain Elements of Value; Jobs-to-be-Done; Porter Five Forces; OKR</t>
        </is>
      </c>
      <c r="AA27" s="13" t="inlineStr">
        <is>
          <t>Policy/SOP; owner/RACI; system report; dashboard; contracts; test records; incident history; interview evidence related to strategic priorities ranked by business value, urgency, risk and resource constraints.</t>
        </is>
      </c>
      <c r="AB27" s="13" t="inlineStr">
        <is>
          <t>Demand shock; Financial liquidity crisis; Reputation crisis</t>
        </is>
      </c>
      <c r="AC27" s="13" t="inlineStr">
        <is>
          <t>CEO / CSO / CCO</t>
        </is>
      </c>
      <c r="AD27" s="13" t="inlineStr">
        <is>
          <t>Strategy GTM!8</t>
        </is>
      </c>
      <c r="AE27">
        <f>IF($A27="","",IF(OR(ISNUMBER(SEARCH("cyber",$D27)),ISNUMBER(SEARCH("security",$D27)),ISNUMBER(SEARCH("safety",$D27)),ISNUMBER(SEARCH("liquidity",$D27)),ISNUMBER(SEARCH("cash",$D27)),ISNUMBER(SEARCH("continuity",$D27)),ISNUMBER(SEARCH("infrastructure",$D27)),ISNUMBER(SEARCH("outage",$D27))),"Fast",IF(OR(ISNUMBER(SEARCH("compliance",$D27)),ISNUMBER(SEARCH("regulat",$D27)),ISNUMBER(SEARCH("data",$D27)),ISNUMBER(SEARCH("talent",$D27)),ISNUMBER(SEARCH("knowledge",$D27)),ISNUMBER(SEARCH("portfolio",$D27)),ISNUMBER(SEARCH("quality",$D27))),"Slow","Medium")))</f>
        <v/>
      </c>
      <c r="AF27">
        <f>IF($A27="","",IFERROR(VLOOKUP($B27,'_CONFIG_Risk_Calibration'!$A$5:$H$21,2,FALSE),3))</f>
        <v/>
      </c>
      <c r="AG27">
        <f>IF($A27="","",IFERROR(VLOOKUP($B27,'_CONFIG_Risk_Calibration'!$A$5:$H$21,3,FALSE),0))</f>
        <v/>
      </c>
      <c r="AH27">
        <f>IF($A27="","",IFERROR(VLOOKUP($B27,'_CONFIG_Risk_Calibration'!$A$5:$H$21,4,FALSE),3))</f>
        <v/>
      </c>
      <c r="AI27">
        <f>IF($A27="","",IFERROR(VLOOKUP($B27,'_CONFIG_Risk_Calibration'!$A$5:$H$21,5,FALSE),3))</f>
        <v/>
      </c>
      <c r="AJ27">
        <f>IF($A27="","",IFERROR(VLOOKUP($B27,'_CONFIG_Risk_Calibration'!$A$5:$H$21,6,FALSE),"No"))</f>
        <v/>
      </c>
      <c r="AK27">
        <f>IF($A27="","",IFERROR(VLOOKUP($B27,'_CONFIG_Risk_Calibration'!$A$5:$H$21,7,FALSE),1))</f>
        <v/>
      </c>
      <c r="AL27">
        <f>IF($A27="","",IFERROR(VLOOKUP($B27,'_CONFIG_Risk_Calibration'!$A$5:$H$21,8,FALSE),""))</f>
        <v/>
      </c>
    </row>
    <row r="28" ht="72" customHeight="1" s="209">
      <c r="A28" s="13" t="inlineStr">
        <is>
          <t>STRA-005</t>
        </is>
      </c>
      <c r="B28" s="13" t="inlineStr">
        <is>
          <t>Strategy GTM</t>
        </is>
      </c>
      <c r="C28" s="13" t="inlineStr">
        <is>
          <t>Corporate strategy</t>
        </is>
      </c>
      <c r="D28" s="13" t="inlineStr">
        <is>
          <t>Strategic and go-to-market resilience</t>
        </is>
      </c>
      <c r="E28" s="13" t="inlineStr">
        <is>
          <t>How mature is the organization in managing strategic options for pivoting under demand shock, war, regulation, supply or liquidity crisis, including ownership, evidence, metrics, fallback procedures and crisis stress testing?</t>
        </is>
      </c>
      <c r="F28" s="13" t="inlineStr">
        <is>
          <t>Immature capability for strategic options for pivoting under demand shock, war, regulation, supply or liquidity crisis may lead to weak crisis positioning, poor prioritization of segments, revenue leakage and inability to adapt the offering during Demand shock; Financial liquidity crisis; Reputation crisis.</t>
        </is>
      </c>
      <c r="G28" s="13" t="inlineStr">
        <is>
          <t>Low maturity, weak ownership, incomplete evidence, insufficient testing and poor integration with crisis-management routines for strategic options for pivoting under demand shock, war, regulation, supply or liquidity crisis.</t>
        </is>
      </c>
      <c r="H28" s="13" t="inlineStr">
        <is>
          <t>Severe risk: strategic options for pivoting under demand shock, war, regulation, supply or liquidity crisis is not reliably controlled. During Demand shock; Financial liquidity crisis; Reputation crisis, the organization may face weak crisis positioning, poor prioritization of segments, revenue leakage and inability to adapt the offering with limited visibility or accountability.</t>
        </is>
      </c>
      <c r="I28" s="13" t="inlineStr">
        <is>
          <t>High risk: strategic options for pivoting under demand shock, war, regulation, supply or liquidity crisis depends on informal practices or individual knowledge. Disruption may expose weak crisis positioning, poor prioritization of segments, revenue leakage and inability to adapt the offering and slow recovery.</t>
        </is>
      </c>
      <c r="J28" s="13" t="inlineStr">
        <is>
          <t>Elevated risk: strategic options for pivoting under demand shock, war, regulation, supply or liquidity crisis is partially controlled, but coverage, evidence or testing is inconsistent. Crisis response may be fragmented.</t>
        </is>
      </c>
      <c r="K28" s="13" t="inlineStr">
        <is>
          <t>Moderate risk: strategic options for pivoting under demand shock, war, regulation, supply or liquidity crisis is documented and owned, but measurement, stress testing and integration with dependent processes need strengthening.</t>
        </is>
      </c>
      <c r="L28" s="13" t="inlineStr">
        <is>
          <t>Residual risk: strategic options for pivoting under demand shock, war, regulation, supply or liquidity crisis is measured and reviewed, but monitoring, automation or scenario testing should be improved to prevent maturity drift.</t>
        </is>
      </c>
      <c r="M28" s="13" t="inlineStr">
        <is>
          <t>Low residual risk: strategic options for pivoting under demand shock, war, regulation, supply or liquidity crisis is mature and crisis-tested. Maintain monitoring, evidence, ownership and periodic stress testing.</t>
        </is>
      </c>
      <c r="N28" s="13" t="inlineStr">
        <is>
          <t>Create an immediate risk owner, minimum control baseline and fallback procedure for strategic options for pivoting under demand shock, war, regulation, supply or liquidity crisis. Add it to the crisis risk register and collect first evidence.</t>
        </is>
      </c>
      <c r="O28" s="13" t="inlineStr">
        <is>
          <t>Document strategic options for pivoting under demand shock, war, regulation, supply or liquidity crisis, assign RACI, define minimum controls and KPIs, and validate coverage across key sites, teams or systems.</t>
        </is>
      </c>
      <c r="P28" s="13" t="inlineStr">
        <is>
          <t>Standardize strategic options for pivoting under demand shock, war, regulation, supply or liquidity crisis, close coverage gaps, train accountable roles and connect controls to the relevant crisis scenarios and continuity plans.</t>
        </is>
      </c>
      <c r="Q28" s="13" t="inlineStr">
        <is>
          <t>Measure and test strategic options for pivoting under demand shock, war, regulation, supply or liquidity crisis, run tabletop or operational stress tests, integrate it with dependent processes and update crisis playbooks.</t>
        </is>
      </c>
      <c r="R28" s="13" t="inlineStr">
        <is>
          <t>Automate monitoring where practical, define leading indicators, run periodic scenario tests and track residual risk after each major change.</t>
        </is>
      </c>
      <c r="S28" s="13" t="inlineStr">
        <is>
          <t>Sustain maturity for strategic options for pivoting under demand shock, war, regulation, supply or liquidity crisis: keep evidence current, monitor drift, benchmark externally and refresh risk tests after organizational, system or market changes.</t>
        </is>
      </c>
      <c r="T28" s="13" t="n">
        <v>3</v>
      </c>
      <c r="U28" s="13" t="n">
        <v>3</v>
      </c>
      <c r="V28" s="13" t="n">
        <v>2</v>
      </c>
      <c r="W28" s="13" t="n">
        <v>2</v>
      </c>
      <c r="X28" s="13" t="n">
        <v>1</v>
      </c>
      <c r="Y28" s="13" t="n">
        <v>1</v>
      </c>
      <c r="Z28" s="13" t="inlineStr">
        <is>
          <t>ISO 9001; ISO 31000; ISO 37000; McKinsey 7S; OHI; Bain Elements of Value; Jobs-to-be-Done; Porter Five Forces; OKR</t>
        </is>
      </c>
      <c r="AA28" s="13" t="inlineStr">
        <is>
          <t>Policy/SOP; owner/RACI; system report; dashboard; contracts; test records; incident history; interview evidence related to strategic options for pivoting under demand shock, war, regulation, supply or liquidity crisis.</t>
        </is>
      </c>
      <c r="AB28" s="13" t="inlineStr">
        <is>
          <t>Demand shock; Financial liquidity crisis; Reputation crisis</t>
        </is>
      </c>
      <c r="AC28" s="13" t="inlineStr">
        <is>
          <t>CEO / CSO / CCO</t>
        </is>
      </c>
      <c r="AD28" s="13" t="inlineStr">
        <is>
          <t>Strategy GTM!9</t>
        </is>
      </c>
      <c r="AE28">
        <f>IF($A28="","",IF(OR(ISNUMBER(SEARCH("cyber",$D28)),ISNUMBER(SEARCH("security",$D28)),ISNUMBER(SEARCH("safety",$D28)),ISNUMBER(SEARCH("liquidity",$D28)),ISNUMBER(SEARCH("cash",$D28)),ISNUMBER(SEARCH("continuity",$D28)),ISNUMBER(SEARCH("infrastructure",$D28)),ISNUMBER(SEARCH("outage",$D28))),"Fast",IF(OR(ISNUMBER(SEARCH("compliance",$D28)),ISNUMBER(SEARCH("regulat",$D28)),ISNUMBER(SEARCH("data",$D28)),ISNUMBER(SEARCH("talent",$D28)),ISNUMBER(SEARCH("knowledge",$D28)),ISNUMBER(SEARCH("portfolio",$D28)),ISNUMBER(SEARCH("quality",$D28))),"Slow","Medium")))</f>
        <v/>
      </c>
      <c r="AF28">
        <f>IF($A28="","",IFERROR(VLOOKUP($B28,'_CONFIG_Risk_Calibration'!$A$5:$H$21,2,FALSE),3))</f>
        <v/>
      </c>
      <c r="AG28">
        <f>IF($A28="","",IFERROR(VLOOKUP($B28,'_CONFIG_Risk_Calibration'!$A$5:$H$21,3,FALSE),0))</f>
        <v/>
      </c>
      <c r="AH28">
        <f>IF($A28="","",IFERROR(VLOOKUP($B28,'_CONFIG_Risk_Calibration'!$A$5:$H$21,4,FALSE),3))</f>
        <v/>
      </c>
      <c r="AI28">
        <f>IF($A28="","",IFERROR(VLOOKUP($B28,'_CONFIG_Risk_Calibration'!$A$5:$H$21,5,FALSE),3))</f>
        <v/>
      </c>
      <c r="AJ28">
        <f>IF($A28="","",IFERROR(VLOOKUP($B28,'_CONFIG_Risk_Calibration'!$A$5:$H$21,6,FALSE),"No"))</f>
        <v/>
      </c>
      <c r="AK28">
        <f>IF($A28="","",IFERROR(VLOOKUP($B28,'_CONFIG_Risk_Calibration'!$A$5:$H$21,7,FALSE),1))</f>
        <v/>
      </c>
      <c r="AL28">
        <f>IF($A28="","",IFERROR(VLOOKUP($B28,'_CONFIG_Risk_Calibration'!$A$5:$H$21,8,FALSE),""))</f>
        <v/>
      </c>
    </row>
    <row r="29" ht="72" customHeight="1" s="209">
      <c r="A29" s="13" t="inlineStr">
        <is>
          <t>STRA-006</t>
        </is>
      </c>
      <c r="B29" s="13" t="inlineStr">
        <is>
          <t>Strategy GTM</t>
        </is>
      </c>
      <c r="C29" s="13" t="inlineStr">
        <is>
          <t>Corporate strategy</t>
        </is>
      </c>
      <c r="D29" s="13" t="inlineStr">
        <is>
          <t>Strategic and go-to-market resilience</t>
        </is>
      </c>
      <c r="E29" s="13" t="inlineStr">
        <is>
          <t>How mature is the organization in managing alignment between strategy, structure, systems, skills, staff, leadership style and culture, including ownership, evidence, metrics, fallback procedures and crisis stress testing?</t>
        </is>
      </c>
      <c r="F29" s="13" t="inlineStr">
        <is>
          <t>Immature capability for alignment between strategy, structure, systems, skills, staff, leadership style and culture may lead to weak crisis positioning, poor prioritization of segments, revenue leakage and inability to adapt the offering during Demand shock; Financial liquidity crisis; Reputation crisis.</t>
        </is>
      </c>
      <c r="G29" s="13" t="inlineStr">
        <is>
          <t>Low maturity, weak ownership, incomplete evidence, insufficient testing and poor integration with crisis-management routines for alignment between strategy, structure, systems, skills, staff, leadership style and culture.</t>
        </is>
      </c>
      <c r="H29" s="13" t="inlineStr">
        <is>
          <t>Severe risk: alignment between strategy, structure, systems, skills, staff, leadership style and culture is not reliably controlled. During Demand shock; Financial liquidity crisis; Reputation crisis, the organization may face weak crisis positioning, poor prioritization of segments, revenue leakage and inability to adapt the offering with limited visibility or accountability.</t>
        </is>
      </c>
      <c r="I29" s="13" t="inlineStr">
        <is>
          <t>High risk: alignment between strategy, structure, systems, skills, staff, leadership style and culture depends on informal practices or individual knowledge. Disruption may expose weak crisis positioning, poor prioritization of segments, revenue leakage and inability to adapt the offering and slow recovery.</t>
        </is>
      </c>
      <c r="J29" s="13" t="inlineStr">
        <is>
          <t>Elevated risk: alignment between strategy, structure, systems, skills, staff, leadership style and culture is partially controlled, but coverage, evidence or testing is inconsistent. Crisis response may be fragmented.</t>
        </is>
      </c>
      <c r="K29" s="13" t="inlineStr">
        <is>
          <t>Moderate risk: alignment between strategy, structure, systems, skills, staff, leadership style and culture is documented and owned, but measurement, stress testing and integration with dependent processes need strengthening.</t>
        </is>
      </c>
      <c r="L29" s="13" t="inlineStr">
        <is>
          <t>Residual risk: alignment between strategy, structure, systems, skills, staff, leadership style and culture is measured and reviewed, but monitoring, automation or scenario testing should be improved to prevent maturity drift.</t>
        </is>
      </c>
      <c r="M29" s="13" t="inlineStr">
        <is>
          <t>Low residual risk: alignment between strategy, structure, systems, skills, staff, leadership style and culture is mature and crisis-tested. Maintain monitoring, evidence, ownership and periodic stress testing.</t>
        </is>
      </c>
      <c r="N29" s="13" t="inlineStr">
        <is>
          <t>Create an immediate risk owner, minimum control baseline and fallback procedure for alignment between strategy, structure, systems, skills, staff, leadership style and culture. Add it to the crisis risk register and collect first evidence.</t>
        </is>
      </c>
      <c r="O29" s="13" t="inlineStr">
        <is>
          <t>Document alignment between strategy, structure, systems, skills, staff, leadership style and culture, assign RACI, define minimum controls and KPIs, and validate coverage across key sites, teams or systems.</t>
        </is>
      </c>
      <c r="P29" s="13" t="inlineStr">
        <is>
          <t>Standardize alignment between strategy, structure, systems, skills, staff, leadership style and culture, close coverage gaps, train accountable roles and connect controls to the relevant crisis scenarios and continuity plans.</t>
        </is>
      </c>
      <c r="Q29" s="13" t="inlineStr">
        <is>
          <t>Measure and test alignment between strategy, structure, systems, skills, staff, leadership style and culture, run tabletop or operational stress tests, integrate it with dependent processes and update crisis playbooks.</t>
        </is>
      </c>
      <c r="R29" s="13" t="inlineStr">
        <is>
          <t>Automate monitoring where practical, define leading indicators, run periodic scenario tests and track residual risk after each major change.</t>
        </is>
      </c>
      <c r="S29" s="13" t="inlineStr">
        <is>
          <t>Sustain maturity for alignment between strategy, structure, systems, skills, staff, leadership style and culture: keep evidence current, monitor drift, benchmark externally and refresh risk tests after organizational, system or market changes.</t>
        </is>
      </c>
      <c r="T29" s="13" t="n">
        <v>3</v>
      </c>
      <c r="U29" s="13" t="n">
        <v>3</v>
      </c>
      <c r="V29" s="13" t="n">
        <v>2</v>
      </c>
      <c r="W29" s="13" t="n">
        <v>2</v>
      </c>
      <c r="X29" s="13" t="n">
        <v>1</v>
      </c>
      <c r="Y29" s="13" t="n">
        <v>1</v>
      </c>
      <c r="Z29" s="13" t="inlineStr">
        <is>
          <t>ISO 9001; ISO 31000; ISO 37000; McKinsey 7S; OHI; Bain Elements of Value; Jobs-to-be-Done; Porter Five Forces; OKR</t>
        </is>
      </c>
      <c r="AA29" s="13" t="inlineStr">
        <is>
          <t>Policy/SOP; owner/RACI; system report; dashboard; contracts; test records; incident history; interview evidence related to alignment between strategy, structure, systems, skills, staff, leadership style and culture.</t>
        </is>
      </c>
      <c r="AB29" s="13" t="inlineStr">
        <is>
          <t>Demand shock; Financial liquidity crisis; Reputation crisis</t>
        </is>
      </c>
      <c r="AC29" s="13" t="inlineStr">
        <is>
          <t>CEO / CSO / CCO</t>
        </is>
      </c>
      <c r="AD29" s="13" t="inlineStr">
        <is>
          <t>Strategy GTM!10</t>
        </is>
      </c>
      <c r="AE29">
        <f>IF($A29="","",IF(OR(ISNUMBER(SEARCH("cyber",$D29)),ISNUMBER(SEARCH("security",$D29)),ISNUMBER(SEARCH("safety",$D29)),ISNUMBER(SEARCH("liquidity",$D29)),ISNUMBER(SEARCH("cash",$D29)),ISNUMBER(SEARCH("continuity",$D29)),ISNUMBER(SEARCH("infrastructure",$D29)),ISNUMBER(SEARCH("outage",$D29))),"Fast",IF(OR(ISNUMBER(SEARCH("compliance",$D29)),ISNUMBER(SEARCH("regulat",$D29)),ISNUMBER(SEARCH("data",$D29)),ISNUMBER(SEARCH("talent",$D29)),ISNUMBER(SEARCH("knowledge",$D29)),ISNUMBER(SEARCH("portfolio",$D29)),ISNUMBER(SEARCH("quality",$D29))),"Slow","Medium")))</f>
        <v/>
      </c>
      <c r="AF29">
        <f>IF($A29="","",IFERROR(VLOOKUP($B29,'_CONFIG_Risk_Calibration'!$A$5:$H$21,2,FALSE),3))</f>
        <v/>
      </c>
      <c r="AG29">
        <f>IF($A29="","",IFERROR(VLOOKUP($B29,'_CONFIG_Risk_Calibration'!$A$5:$H$21,3,FALSE),0))</f>
        <v/>
      </c>
      <c r="AH29">
        <f>IF($A29="","",IFERROR(VLOOKUP($B29,'_CONFIG_Risk_Calibration'!$A$5:$H$21,4,FALSE),3))</f>
        <v/>
      </c>
      <c r="AI29">
        <f>IF($A29="","",IFERROR(VLOOKUP($B29,'_CONFIG_Risk_Calibration'!$A$5:$H$21,5,FALSE),3))</f>
        <v/>
      </c>
      <c r="AJ29">
        <f>IF($A29="","",IFERROR(VLOOKUP($B29,'_CONFIG_Risk_Calibration'!$A$5:$H$21,6,FALSE),"No"))</f>
        <v/>
      </c>
      <c r="AK29">
        <f>IF($A29="","",IFERROR(VLOOKUP($B29,'_CONFIG_Risk_Calibration'!$A$5:$H$21,7,FALSE),1))</f>
        <v/>
      </c>
      <c r="AL29">
        <f>IF($A29="","",IFERROR(VLOOKUP($B29,'_CONFIG_Risk_Calibration'!$A$5:$H$21,8,FALSE),""))</f>
        <v/>
      </c>
    </row>
    <row r="30" ht="84" customHeight="1" s="209">
      <c r="A30" s="13" t="inlineStr">
        <is>
          <t>STRA-007</t>
        </is>
      </c>
      <c r="B30" s="13" t="inlineStr">
        <is>
          <t>Strategy GTM</t>
        </is>
      </c>
      <c r="C30" s="13" t="inlineStr">
        <is>
          <t>Market and ICP</t>
        </is>
      </c>
      <c r="D30" s="13" t="inlineStr">
        <is>
          <t>Strategic and go-to-market resilience</t>
        </is>
      </c>
      <c r="E30" s="13" t="inlineStr">
        <is>
          <t>How mature is the organization in managing ideal customer profile by segment, geography, industry, company size, pain, budget and buying trigger, including ownership, evidence, metrics, fallback procedures and crisis stress testing?</t>
        </is>
      </c>
      <c r="F30" s="13" t="inlineStr">
        <is>
          <t>Immature capability for ideal customer profile by segment, geography, industry, company size, pain, budget and buying trigger may lead to weak crisis positioning, poor prioritization of segments, revenue leakage and inability to adapt the offering during Demand shock; Financial liquidity crisis; Reputation crisis.</t>
        </is>
      </c>
      <c r="G30" s="13" t="inlineStr">
        <is>
          <t>Low maturity, weak ownership, incomplete evidence, insufficient testing and poor integration with crisis-management routines for ideal customer profile by segment, geography, industry, company size, pain, budget and buying trigger.</t>
        </is>
      </c>
      <c r="H30" s="13" t="inlineStr">
        <is>
          <t>Severe risk: ideal customer profile by segment, geography, industry, company size, pain, budget and buying trigger is not reliably controlled. During Demand shock; Financial liquidity crisis; Reputation crisis, the organization may face weak crisis positioning, poor prioritization of segments, revenue leakage and inability to adapt the offering with limited visibility or accountability.</t>
        </is>
      </c>
      <c r="I30" s="13" t="inlineStr">
        <is>
          <t>High risk: ideal customer profile by segment, geography, industry, company size, pain, budget and buying trigger depends on informal practices or individual knowledge. Disruption may expose weak crisis positioning, poor prioritization of segments, revenue leakage and inability to adapt the offering and slow recovery.</t>
        </is>
      </c>
      <c r="J30" s="13" t="inlineStr">
        <is>
          <t>Elevated risk: ideal customer profile by segment, geography, industry, company size, pain, budget and buying trigger is partially controlled, but coverage, evidence or testing is inconsistent. Crisis response may be fragmented.</t>
        </is>
      </c>
      <c r="K30" s="13" t="inlineStr">
        <is>
          <t>Moderate risk: ideal customer profile by segment, geography, industry, company size, pain, budget and buying trigger is documented and owned, but measurement, stress testing and integration with dependent processes need strengthening.</t>
        </is>
      </c>
      <c r="L30" s="13" t="inlineStr">
        <is>
          <t>Residual risk: ideal customer profile by segment, geography, industry, company size, pain, budget and buying trigger is measured and reviewed, but monitoring, automation or scenario testing should be improved to prevent maturity drift.</t>
        </is>
      </c>
      <c r="M30" s="13" t="inlineStr">
        <is>
          <t>Low residual risk: ideal customer profile by segment, geography, industry, company size, pain, budget and buying trigger is mature and crisis-tested. Maintain monitoring, evidence, ownership and periodic stress testing.</t>
        </is>
      </c>
      <c r="N30" s="13" t="inlineStr">
        <is>
          <t>Create an immediate risk owner, minimum control baseline and fallback procedure for ideal customer profile by segment, geography, industry, company size, pain, budget and buying trigger. Add it to the crisis risk register and collect first evidence.</t>
        </is>
      </c>
      <c r="O30" s="13" t="inlineStr">
        <is>
          <t>Document ideal customer profile by segment, geography, industry, company size, pain, budget and buying trigger, assign RACI, define minimum controls and KPIs, and validate coverage across key sites, teams or systems.</t>
        </is>
      </c>
      <c r="P30" s="13" t="inlineStr">
        <is>
          <t>Standardize ideal customer profile by segment, geography, industry, company size, pain, budget and buying trigger, close coverage gaps, train accountable roles and connect controls to the relevant crisis scenarios and continuity plans.</t>
        </is>
      </c>
      <c r="Q30" s="13" t="inlineStr">
        <is>
          <t>Measure and test ideal customer profile by segment, geography, industry, company size, pain, budget and buying trigger, run tabletop or operational stress tests, integrate it with dependent processes and update crisis playbooks.</t>
        </is>
      </c>
      <c r="R30" s="13" t="inlineStr">
        <is>
          <t>Automate monitoring where practical, define leading indicators, run periodic scenario tests and track residual risk after each major change.</t>
        </is>
      </c>
      <c r="S30" s="13" t="inlineStr">
        <is>
          <t>Sustain maturity for ideal customer profile by segment, geography, industry, company size, pain, budget and buying trigger: keep evidence current, monitor drift, benchmark externally and refresh risk tests after organizational, system or market changes.</t>
        </is>
      </c>
      <c r="T30" s="13" t="n">
        <v>3</v>
      </c>
      <c r="U30" s="13" t="n">
        <v>3</v>
      </c>
      <c r="V30" s="13" t="n">
        <v>2</v>
      </c>
      <c r="W30" s="13" t="n">
        <v>2</v>
      </c>
      <c r="X30" s="13" t="n">
        <v>1</v>
      </c>
      <c r="Y30" s="13" t="n">
        <v>1</v>
      </c>
      <c r="Z30" s="13" t="inlineStr">
        <is>
          <t>ISO 9001; ISO 31000; ISO 37000; McKinsey 7S; OHI; Bain Elements of Value; Jobs-to-be-Done; Porter Five Forces; OKR</t>
        </is>
      </c>
      <c r="AA30" s="13" t="inlineStr">
        <is>
          <t>Policy/SOP; owner/RACI; system report; dashboard; contracts; test records; incident history; interview evidence related to ideal customer profile by segment, geography, industry, company size, pain, budget and buying trigger.</t>
        </is>
      </c>
      <c r="AB30" s="13" t="inlineStr">
        <is>
          <t>Demand shock; Financial liquidity crisis; Reputation crisis</t>
        </is>
      </c>
      <c r="AC30" s="13" t="inlineStr">
        <is>
          <t>CEO / CSO / CCO</t>
        </is>
      </c>
      <c r="AD30" s="13" t="inlineStr">
        <is>
          <t>Strategy GTM!11</t>
        </is>
      </c>
      <c r="AE30">
        <f>IF($A30="","",IF(OR(ISNUMBER(SEARCH("cyber",$D30)),ISNUMBER(SEARCH("security",$D30)),ISNUMBER(SEARCH("safety",$D30)),ISNUMBER(SEARCH("liquidity",$D30)),ISNUMBER(SEARCH("cash",$D30)),ISNUMBER(SEARCH("continuity",$D30)),ISNUMBER(SEARCH("infrastructure",$D30)),ISNUMBER(SEARCH("outage",$D30))),"Fast",IF(OR(ISNUMBER(SEARCH("compliance",$D30)),ISNUMBER(SEARCH("regulat",$D30)),ISNUMBER(SEARCH("data",$D30)),ISNUMBER(SEARCH("talent",$D30)),ISNUMBER(SEARCH("knowledge",$D30)),ISNUMBER(SEARCH("portfolio",$D30)),ISNUMBER(SEARCH("quality",$D30))),"Slow","Medium")))</f>
        <v/>
      </c>
      <c r="AF30">
        <f>IF($A30="","",IFERROR(VLOOKUP($B30,'_CONFIG_Risk_Calibration'!$A$5:$H$21,2,FALSE),3))</f>
        <v/>
      </c>
      <c r="AG30">
        <f>IF($A30="","",IFERROR(VLOOKUP($B30,'_CONFIG_Risk_Calibration'!$A$5:$H$21,3,FALSE),0))</f>
        <v/>
      </c>
      <c r="AH30">
        <f>IF($A30="","",IFERROR(VLOOKUP($B30,'_CONFIG_Risk_Calibration'!$A$5:$H$21,4,FALSE),3))</f>
        <v/>
      </c>
      <c r="AI30">
        <f>IF($A30="","",IFERROR(VLOOKUP($B30,'_CONFIG_Risk_Calibration'!$A$5:$H$21,5,FALSE),3))</f>
        <v/>
      </c>
      <c r="AJ30">
        <f>IF($A30="","",IFERROR(VLOOKUP($B30,'_CONFIG_Risk_Calibration'!$A$5:$H$21,6,FALSE),"No"))</f>
        <v/>
      </c>
      <c r="AK30">
        <f>IF($A30="","",IFERROR(VLOOKUP($B30,'_CONFIG_Risk_Calibration'!$A$5:$H$21,7,FALSE),1))</f>
        <v/>
      </c>
      <c r="AL30">
        <f>IF($A30="","",IFERROR(VLOOKUP($B30,'_CONFIG_Risk_Calibration'!$A$5:$H$21,8,FALSE),""))</f>
        <v/>
      </c>
    </row>
    <row r="31" ht="72" customHeight="1" s="209">
      <c r="A31" s="13" t="inlineStr">
        <is>
          <t>STRA-008</t>
        </is>
      </c>
      <c r="B31" s="13" t="inlineStr">
        <is>
          <t>Strategy GTM</t>
        </is>
      </c>
      <c r="C31" s="13" t="inlineStr">
        <is>
          <t>Market and ICP</t>
        </is>
      </c>
      <c r="D31" s="13" t="inlineStr">
        <is>
          <t>Strategic and go-to-market resilience</t>
        </is>
      </c>
      <c r="E31" s="13" t="inlineStr">
        <is>
          <t>How mature is the organization in managing buyer personas covering economic buyer, technical buyer, user, influencer and blocker, including ownership, evidence, metrics, fallback procedures and crisis stress testing?</t>
        </is>
      </c>
      <c r="F31" s="13" t="inlineStr">
        <is>
          <t>Immature capability for buyer personas covering economic buyer, technical buyer, user, influencer and blocker may lead to weak crisis positioning, poor prioritization of segments, revenue leakage and inability to adapt the offering during Demand shock; Financial liquidity crisis; Reputation crisis.</t>
        </is>
      </c>
      <c r="G31" s="13" t="inlineStr">
        <is>
          <t>Low maturity, weak ownership, incomplete evidence, insufficient testing and poor integration with crisis-management routines for buyer personas covering economic buyer, technical buyer, user, influencer and blocker.</t>
        </is>
      </c>
      <c r="H31" s="13" t="inlineStr">
        <is>
          <t>Severe risk: buyer personas covering economic buyer, technical buyer, user, influencer and blocker is not reliably controlled. During Demand shock; Financial liquidity crisis; Reputation crisis, the organization may face weak crisis positioning, poor prioritization of segments, revenue leakage and inability to adapt the offering with limited visibility or accountability.</t>
        </is>
      </c>
      <c r="I31" s="13" t="inlineStr">
        <is>
          <t>High risk: buyer personas covering economic buyer, technical buyer, user, influencer and blocker depends on informal practices or individual knowledge. Disruption may expose weak crisis positioning, poor prioritization of segments, revenue leakage and inability to adapt the offering and slow recovery.</t>
        </is>
      </c>
      <c r="J31" s="13" t="inlineStr">
        <is>
          <t>Elevated risk: buyer personas covering economic buyer, technical buyer, user, influencer and blocker is partially controlled, but coverage, evidence or testing is inconsistent. Crisis response may be fragmented.</t>
        </is>
      </c>
      <c r="K31" s="13" t="inlineStr">
        <is>
          <t>Moderate risk: buyer personas covering economic buyer, technical buyer, user, influencer and blocker is documented and owned, but measurement, stress testing and integration with dependent processes need strengthening.</t>
        </is>
      </c>
      <c r="L31" s="13" t="inlineStr">
        <is>
          <t>Residual risk: buyer personas covering economic buyer, technical buyer, user, influencer and blocker is measured and reviewed, but monitoring, automation or scenario testing should be improved to prevent maturity drift.</t>
        </is>
      </c>
      <c r="M31" s="13" t="inlineStr">
        <is>
          <t>Low residual risk: buyer personas covering economic buyer, technical buyer, user, influencer and blocker is mature and crisis-tested. Maintain monitoring, evidence, ownership and periodic stress testing.</t>
        </is>
      </c>
      <c r="N31" s="13" t="inlineStr">
        <is>
          <t>Create an immediate risk owner, minimum control baseline and fallback procedure for buyer personas covering economic buyer, technical buyer, user, influencer and blocker. Add it to the crisis risk register and collect first evidence.</t>
        </is>
      </c>
      <c r="O31" s="13" t="inlineStr">
        <is>
          <t>Document buyer personas covering economic buyer, technical buyer, user, influencer and blocker, assign RACI, define minimum controls and KPIs, and validate coverage across key sites, teams or systems.</t>
        </is>
      </c>
      <c r="P31" s="13" t="inlineStr">
        <is>
          <t>Standardize buyer personas covering economic buyer, technical buyer, user, influencer and blocker, close coverage gaps, train accountable roles and connect controls to the relevant crisis scenarios and continuity plans.</t>
        </is>
      </c>
      <c r="Q31" s="13" t="inlineStr">
        <is>
          <t>Measure and test buyer personas covering economic buyer, technical buyer, user, influencer and blocker, run tabletop or operational stress tests, integrate it with dependent processes and update crisis playbooks.</t>
        </is>
      </c>
      <c r="R31" s="13" t="inlineStr">
        <is>
          <t>Automate monitoring where practical, define leading indicators, run periodic scenario tests and track residual risk after each major change.</t>
        </is>
      </c>
      <c r="S31" s="13" t="inlineStr">
        <is>
          <t>Sustain maturity for buyer personas covering economic buyer, technical buyer, user, influencer and blocker: keep evidence current, monitor drift, benchmark externally and refresh risk tests after organizational, system or market changes.</t>
        </is>
      </c>
      <c r="T31" s="13" t="n">
        <v>3</v>
      </c>
      <c r="U31" s="13" t="n">
        <v>3</v>
      </c>
      <c r="V31" s="13" t="n">
        <v>2</v>
      </c>
      <c r="W31" s="13" t="n">
        <v>2</v>
      </c>
      <c r="X31" s="13" t="n">
        <v>1</v>
      </c>
      <c r="Y31" s="13" t="n">
        <v>1</v>
      </c>
      <c r="Z31" s="13" t="inlineStr">
        <is>
          <t>ISO 9001; ISO 31000; ISO 37000; McKinsey 7S; OHI; Bain Elements of Value; Jobs-to-be-Done; Porter Five Forces; OKR</t>
        </is>
      </c>
      <c r="AA31" s="13" t="inlineStr">
        <is>
          <t>Policy/SOP; owner/RACI; system report; dashboard; contracts; test records; incident history; interview evidence related to buyer personas covering economic buyer, technical buyer, user, influencer and blocker.</t>
        </is>
      </c>
      <c r="AB31" s="13" t="inlineStr">
        <is>
          <t>Demand shock; Financial liquidity crisis; Reputation crisis</t>
        </is>
      </c>
      <c r="AC31" s="13" t="inlineStr">
        <is>
          <t>CEO / CSO / CCO</t>
        </is>
      </c>
      <c r="AD31" s="13" t="inlineStr">
        <is>
          <t>Strategy GTM!12</t>
        </is>
      </c>
      <c r="AE31">
        <f>IF($A31="","",IF(OR(ISNUMBER(SEARCH("cyber",$D31)),ISNUMBER(SEARCH("security",$D31)),ISNUMBER(SEARCH("safety",$D31)),ISNUMBER(SEARCH("liquidity",$D31)),ISNUMBER(SEARCH("cash",$D31)),ISNUMBER(SEARCH("continuity",$D31)),ISNUMBER(SEARCH("infrastructure",$D31)),ISNUMBER(SEARCH("outage",$D31))),"Fast",IF(OR(ISNUMBER(SEARCH("compliance",$D31)),ISNUMBER(SEARCH("regulat",$D31)),ISNUMBER(SEARCH("data",$D31)),ISNUMBER(SEARCH("talent",$D31)),ISNUMBER(SEARCH("knowledge",$D31)),ISNUMBER(SEARCH("portfolio",$D31)),ISNUMBER(SEARCH("quality",$D31))),"Slow","Medium")))</f>
        <v/>
      </c>
      <c r="AF31">
        <f>IF($A31="","",IFERROR(VLOOKUP($B31,'_CONFIG_Risk_Calibration'!$A$5:$H$21,2,FALSE),3))</f>
        <v/>
      </c>
      <c r="AG31">
        <f>IF($A31="","",IFERROR(VLOOKUP($B31,'_CONFIG_Risk_Calibration'!$A$5:$H$21,3,FALSE),0))</f>
        <v/>
      </c>
      <c r="AH31">
        <f>IF($A31="","",IFERROR(VLOOKUP($B31,'_CONFIG_Risk_Calibration'!$A$5:$H$21,4,FALSE),3))</f>
        <v/>
      </c>
      <c r="AI31">
        <f>IF($A31="","",IFERROR(VLOOKUP($B31,'_CONFIG_Risk_Calibration'!$A$5:$H$21,5,FALSE),3))</f>
        <v/>
      </c>
      <c r="AJ31">
        <f>IF($A31="","",IFERROR(VLOOKUP($B31,'_CONFIG_Risk_Calibration'!$A$5:$H$21,6,FALSE),"No"))</f>
        <v/>
      </c>
      <c r="AK31">
        <f>IF($A31="","",IFERROR(VLOOKUP($B31,'_CONFIG_Risk_Calibration'!$A$5:$H$21,7,FALSE),1))</f>
        <v/>
      </c>
      <c r="AL31">
        <f>IF($A31="","",IFERROR(VLOOKUP($B31,'_CONFIG_Risk_Calibration'!$A$5:$H$21,8,FALSE),""))</f>
        <v/>
      </c>
    </row>
    <row r="32" ht="72" customHeight="1" s="209">
      <c r="A32" s="13" t="inlineStr">
        <is>
          <t>STRA-009</t>
        </is>
      </c>
      <c r="B32" s="13" t="inlineStr">
        <is>
          <t>Strategy GTM</t>
        </is>
      </c>
      <c r="C32" s="13" t="inlineStr">
        <is>
          <t>Market and ICP</t>
        </is>
      </c>
      <c r="D32" s="13" t="inlineStr">
        <is>
          <t>Strategic and go-to-market resilience</t>
        </is>
      </c>
      <c r="E32" s="13" t="inlineStr">
        <is>
          <t>How mature is the organization in managing validated customer problems, jobs-to-be-done, urgency triggers and willingness to pay, including ownership, evidence, metrics, fallback procedures and crisis stress testing?</t>
        </is>
      </c>
      <c r="F32" s="13" t="inlineStr">
        <is>
          <t>Immature capability for validated customer problems, jobs-to-be-done, urgency triggers and willingness to pay may lead to weak crisis positioning, poor prioritization of segments, revenue leakage and inability to adapt the offering during Demand shock; Financial liquidity crisis; Reputation crisis.</t>
        </is>
      </c>
      <c r="G32" s="13" t="inlineStr">
        <is>
          <t>Low maturity, weak ownership, incomplete evidence, insufficient testing and poor integration with crisis-management routines for validated customer problems, jobs-to-be-done, urgency triggers and willingness to pay.</t>
        </is>
      </c>
      <c r="H32" s="13" t="inlineStr">
        <is>
          <t>Severe risk: validated customer problems, jobs-to-be-done, urgency triggers and willingness to pay is not reliably controlled. During Demand shock; Financial liquidity crisis; Reputation crisis, the organization may face weak crisis positioning, poor prioritization of segments, revenue leakage and inability to adapt the offering with limited visibility or accountability.</t>
        </is>
      </c>
      <c r="I32" s="13" t="inlineStr">
        <is>
          <t>High risk: validated customer problems, jobs-to-be-done, urgency triggers and willingness to pay depends on informal practices or individual knowledge. Disruption may expose weak crisis positioning, poor prioritization of segments, revenue leakage and inability to adapt the offering and slow recovery.</t>
        </is>
      </c>
      <c r="J32" s="13" t="inlineStr">
        <is>
          <t>Elevated risk: validated customer problems, jobs-to-be-done, urgency triggers and willingness to pay is partially controlled, but coverage, evidence or testing is inconsistent. Crisis response may be fragmented.</t>
        </is>
      </c>
      <c r="K32" s="13" t="inlineStr">
        <is>
          <t>Moderate risk: validated customer problems, jobs-to-be-done, urgency triggers and willingness to pay is documented and owned, but measurement, stress testing and integration with dependent processes need strengthening.</t>
        </is>
      </c>
      <c r="L32" s="13" t="inlineStr">
        <is>
          <t>Residual risk: validated customer problems, jobs-to-be-done, urgency triggers and willingness to pay is measured and reviewed, but monitoring, automation or scenario testing should be improved to prevent maturity drift.</t>
        </is>
      </c>
      <c r="M32" s="13" t="inlineStr">
        <is>
          <t>Low residual risk: validated customer problems, jobs-to-be-done, urgency triggers and willingness to pay is mature and crisis-tested. Maintain monitoring, evidence, ownership and periodic stress testing.</t>
        </is>
      </c>
      <c r="N32" s="13" t="inlineStr">
        <is>
          <t>Create an immediate risk owner, minimum control baseline and fallback procedure for validated customer problems, jobs-to-be-done, urgency triggers and willingness to pay. Add it to the crisis risk register and collect first evidence.</t>
        </is>
      </c>
      <c r="O32" s="13" t="inlineStr">
        <is>
          <t>Document validated customer problems, jobs-to-be-done, urgency triggers and willingness to pay, assign RACI, define minimum controls and KPIs, and validate coverage across key sites, teams or systems.</t>
        </is>
      </c>
      <c r="P32" s="13" t="inlineStr">
        <is>
          <t>Standardize validated customer problems, jobs-to-be-done, urgency triggers and willingness to pay, close coverage gaps, train accountable roles and connect controls to the relevant crisis scenarios and continuity plans.</t>
        </is>
      </c>
      <c r="Q32" s="13" t="inlineStr">
        <is>
          <t>Measure and test validated customer problems, jobs-to-be-done, urgency triggers and willingness to pay, run tabletop or operational stress tests, integrate it with dependent processes and update crisis playbooks.</t>
        </is>
      </c>
      <c r="R32" s="13" t="inlineStr">
        <is>
          <t>Automate monitoring where practical, define leading indicators, run periodic scenario tests and track residual risk after each major change.</t>
        </is>
      </c>
      <c r="S32" s="13" t="inlineStr">
        <is>
          <t>Sustain maturity for validated customer problems, jobs-to-be-done, urgency triggers and willingness to pay: keep evidence current, monitor drift, benchmark externally and refresh risk tests after organizational, system or market changes.</t>
        </is>
      </c>
      <c r="T32" s="13" t="n">
        <v>3</v>
      </c>
      <c r="U32" s="13" t="n">
        <v>3</v>
      </c>
      <c r="V32" s="13" t="n">
        <v>2</v>
      </c>
      <c r="W32" s="13" t="n">
        <v>2</v>
      </c>
      <c r="X32" s="13" t="n">
        <v>1</v>
      </c>
      <c r="Y32" s="13" t="n">
        <v>1</v>
      </c>
      <c r="Z32" s="13" t="inlineStr">
        <is>
          <t>ISO 9001; ISO 31000; ISO 37000; McKinsey 7S; OHI; Bain Elements of Value; Jobs-to-be-Done; Porter Five Forces; OKR</t>
        </is>
      </c>
      <c r="AA32" s="13" t="inlineStr">
        <is>
          <t>Policy/SOP; owner/RACI; system report; dashboard; contracts; test records; incident history; interview evidence related to validated customer problems, jobs-to-be-done, urgency triggers and willingness to pay.</t>
        </is>
      </c>
      <c r="AB32" s="13" t="inlineStr">
        <is>
          <t>Demand shock; Financial liquidity crisis; Reputation crisis</t>
        </is>
      </c>
      <c r="AC32" s="13" t="inlineStr">
        <is>
          <t>CEO / CSO / CCO</t>
        </is>
      </c>
      <c r="AD32" s="13" t="inlineStr">
        <is>
          <t>Strategy GTM!13</t>
        </is>
      </c>
      <c r="AE32">
        <f>IF($A32="","",IF(OR(ISNUMBER(SEARCH("cyber",$D32)),ISNUMBER(SEARCH("security",$D32)),ISNUMBER(SEARCH("safety",$D32)),ISNUMBER(SEARCH("liquidity",$D32)),ISNUMBER(SEARCH("cash",$D32)),ISNUMBER(SEARCH("continuity",$D32)),ISNUMBER(SEARCH("infrastructure",$D32)),ISNUMBER(SEARCH("outage",$D32))),"Fast",IF(OR(ISNUMBER(SEARCH("compliance",$D32)),ISNUMBER(SEARCH("regulat",$D32)),ISNUMBER(SEARCH("data",$D32)),ISNUMBER(SEARCH("talent",$D32)),ISNUMBER(SEARCH("knowledge",$D32)),ISNUMBER(SEARCH("portfolio",$D32)),ISNUMBER(SEARCH("quality",$D32))),"Slow","Medium")))</f>
        <v/>
      </c>
      <c r="AF32">
        <f>IF($A32="","",IFERROR(VLOOKUP($B32,'_CONFIG_Risk_Calibration'!$A$5:$H$21,2,FALSE),3))</f>
        <v/>
      </c>
      <c r="AG32">
        <f>IF($A32="","",IFERROR(VLOOKUP($B32,'_CONFIG_Risk_Calibration'!$A$5:$H$21,3,FALSE),0))</f>
        <v/>
      </c>
      <c r="AH32">
        <f>IF($A32="","",IFERROR(VLOOKUP($B32,'_CONFIG_Risk_Calibration'!$A$5:$H$21,4,FALSE),3))</f>
        <v/>
      </c>
      <c r="AI32">
        <f>IF($A32="","",IFERROR(VLOOKUP($B32,'_CONFIG_Risk_Calibration'!$A$5:$H$21,5,FALSE),3))</f>
        <v/>
      </c>
      <c r="AJ32">
        <f>IF($A32="","",IFERROR(VLOOKUP($B32,'_CONFIG_Risk_Calibration'!$A$5:$H$21,6,FALSE),"No"))</f>
        <v/>
      </c>
      <c r="AK32">
        <f>IF($A32="","",IFERROR(VLOOKUP($B32,'_CONFIG_Risk_Calibration'!$A$5:$H$21,7,FALSE),1))</f>
        <v/>
      </c>
      <c r="AL32">
        <f>IF($A32="","",IFERROR(VLOOKUP($B32,'_CONFIG_Risk_Calibration'!$A$5:$H$21,8,FALSE),""))</f>
        <v/>
      </c>
    </row>
    <row r="33" ht="84" customHeight="1" s="209">
      <c r="A33" s="13" t="inlineStr">
        <is>
          <t>STRA-010</t>
        </is>
      </c>
      <c r="B33" s="13" t="inlineStr">
        <is>
          <t>Strategy GTM</t>
        </is>
      </c>
      <c r="C33" s="13" t="inlineStr">
        <is>
          <t>Market and ICP</t>
        </is>
      </c>
      <c r="D33" s="13" t="inlineStr">
        <is>
          <t>Strategic and go-to-market resilience</t>
        </is>
      </c>
      <c r="E33" s="13" t="inlineStr">
        <is>
          <t>How mature is the organization in managing market segmentation by attractiveness, accessibility, profitability and crisis sensitivity, including ownership, evidence, metrics, fallback procedures and crisis stress testing?</t>
        </is>
      </c>
      <c r="F33" s="13" t="inlineStr">
        <is>
          <t>Immature capability for market segmentation by attractiveness, accessibility, profitability and crisis sensitivity may lead to weak crisis positioning, poor prioritization of segments, revenue leakage and inability to adapt the offering during Demand shock; Financial liquidity crisis; Reputation crisis.</t>
        </is>
      </c>
      <c r="G33" s="13" t="inlineStr">
        <is>
          <t>Low maturity, weak ownership, incomplete evidence, insufficient testing and poor integration with crisis-management routines for market segmentation by attractiveness, accessibility, profitability and crisis sensitivity.</t>
        </is>
      </c>
      <c r="H33" s="13" t="inlineStr">
        <is>
          <t>Severe risk: market segmentation by attractiveness, accessibility, profitability and crisis sensitivity is not reliably controlled. During Demand shock; Financial liquidity crisis; Reputation crisis, the organization may face weak crisis positioning, poor prioritization of segments, revenue leakage and inability to adapt the offering with limited visibility or accountability.</t>
        </is>
      </c>
      <c r="I33" s="13" t="inlineStr">
        <is>
          <t>High risk: market segmentation by attractiveness, accessibility, profitability and crisis sensitivity depends on informal practices or individual knowledge. Disruption may expose weak crisis positioning, poor prioritization of segments, revenue leakage and inability to adapt the offering and slow recovery.</t>
        </is>
      </c>
      <c r="J33" s="13" t="inlineStr">
        <is>
          <t>Elevated risk: market segmentation by attractiveness, accessibility, profitability and crisis sensitivity is partially controlled, but coverage, evidence or testing is inconsistent. Crisis response may be fragmented.</t>
        </is>
      </c>
      <c r="K33" s="13" t="inlineStr">
        <is>
          <t>Moderate risk: market segmentation by attractiveness, accessibility, profitability and crisis sensitivity is documented and owned, but measurement, stress testing and integration with dependent processes need strengthening.</t>
        </is>
      </c>
      <c r="L33" s="13" t="inlineStr">
        <is>
          <t>Residual risk: market segmentation by attractiveness, accessibility, profitability and crisis sensitivity is measured and reviewed, but monitoring, automation or scenario testing should be improved to prevent maturity drift.</t>
        </is>
      </c>
      <c r="M33" s="13" t="inlineStr">
        <is>
          <t>Low residual risk: market segmentation by attractiveness, accessibility, profitability and crisis sensitivity is mature and crisis-tested. Maintain monitoring, evidence, ownership and periodic stress testing.</t>
        </is>
      </c>
      <c r="N33" s="13" t="inlineStr">
        <is>
          <t>Create an immediate risk owner, minimum control baseline and fallback procedure for market segmentation by attractiveness, accessibility, profitability and crisis sensitivity. Add it to the crisis risk register and collect first evidence.</t>
        </is>
      </c>
      <c r="O33" s="13" t="inlineStr">
        <is>
          <t>Document market segmentation by attractiveness, accessibility, profitability and crisis sensitivity, assign RACI, define minimum controls and KPIs, and validate coverage across key sites, teams or systems.</t>
        </is>
      </c>
      <c r="P33" s="13" t="inlineStr">
        <is>
          <t>Standardize market segmentation by attractiveness, accessibility, profitability and crisis sensitivity, close coverage gaps, train accountable roles and connect controls to the relevant crisis scenarios and continuity plans.</t>
        </is>
      </c>
      <c r="Q33" s="13" t="inlineStr">
        <is>
          <t>Measure and test market segmentation by attractiveness, accessibility, profitability and crisis sensitivity, run tabletop or operational stress tests, integrate it with dependent processes and update crisis playbooks.</t>
        </is>
      </c>
      <c r="R33" s="13" t="inlineStr">
        <is>
          <t>Automate monitoring where practical, define leading indicators, run periodic scenario tests and track residual risk after each major change.</t>
        </is>
      </c>
      <c r="S33" s="13" t="inlineStr">
        <is>
          <t>Sustain maturity for market segmentation by attractiveness, accessibility, profitability and crisis sensitivity: keep evidence current, monitor drift, benchmark externally and refresh risk tests after organizational, system or market changes.</t>
        </is>
      </c>
      <c r="T33" s="13" t="n">
        <v>3</v>
      </c>
      <c r="U33" s="13" t="n">
        <v>3</v>
      </c>
      <c r="V33" s="13" t="n">
        <v>2</v>
      </c>
      <c r="W33" s="13" t="n">
        <v>2</v>
      </c>
      <c r="X33" s="13" t="n">
        <v>1</v>
      </c>
      <c r="Y33" s="13" t="n">
        <v>1</v>
      </c>
      <c r="Z33" s="13" t="inlineStr">
        <is>
          <t>ISO 9001; ISO 31000; ISO 37000; McKinsey 7S; OHI; Bain Elements of Value; Jobs-to-be-Done; Porter Five Forces; OKR</t>
        </is>
      </c>
      <c r="AA33" s="13" t="inlineStr">
        <is>
          <t>Policy/SOP; owner/RACI; system report; dashboard; contracts; test records; incident history; interview evidence related to market segmentation by attractiveness, accessibility, profitability and crisis sensitivity.</t>
        </is>
      </c>
      <c r="AB33" s="13" t="inlineStr">
        <is>
          <t>Demand shock; Financial liquidity crisis; Reputation crisis</t>
        </is>
      </c>
      <c r="AC33" s="13" t="inlineStr">
        <is>
          <t>CEO / CSO / CCO</t>
        </is>
      </c>
      <c r="AD33" s="13" t="inlineStr">
        <is>
          <t>Strategy GTM!14</t>
        </is>
      </c>
      <c r="AE33">
        <f>IF($A33="","",IF(OR(ISNUMBER(SEARCH("cyber",$D33)),ISNUMBER(SEARCH("security",$D33)),ISNUMBER(SEARCH("safety",$D33)),ISNUMBER(SEARCH("liquidity",$D33)),ISNUMBER(SEARCH("cash",$D33)),ISNUMBER(SEARCH("continuity",$D33)),ISNUMBER(SEARCH("infrastructure",$D33)),ISNUMBER(SEARCH("outage",$D33))),"Fast",IF(OR(ISNUMBER(SEARCH("compliance",$D33)),ISNUMBER(SEARCH("regulat",$D33)),ISNUMBER(SEARCH("data",$D33)),ISNUMBER(SEARCH("talent",$D33)),ISNUMBER(SEARCH("knowledge",$D33)),ISNUMBER(SEARCH("portfolio",$D33)),ISNUMBER(SEARCH("quality",$D33))),"Slow","Medium")))</f>
        <v/>
      </c>
      <c r="AF33">
        <f>IF($A33="","",IFERROR(VLOOKUP($B33,'_CONFIG_Risk_Calibration'!$A$5:$H$21,2,FALSE),3))</f>
        <v/>
      </c>
      <c r="AG33">
        <f>IF($A33="","",IFERROR(VLOOKUP($B33,'_CONFIG_Risk_Calibration'!$A$5:$H$21,3,FALSE),0))</f>
        <v/>
      </c>
      <c r="AH33">
        <f>IF($A33="","",IFERROR(VLOOKUP($B33,'_CONFIG_Risk_Calibration'!$A$5:$H$21,4,FALSE),3))</f>
        <v/>
      </c>
      <c r="AI33">
        <f>IF($A33="","",IFERROR(VLOOKUP($B33,'_CONFIG_Risk_Calibration'!$A$5:$H$21,5,FALSE),3))</f>
        <v/>
      </c>
      <c r="AJ33">
        <f>IF($A33="","",IFERROR(VLOOKUP($B33,'_CONFIG_Risk_Calibration'!$A$5:$H$21,6,FALSE),"No"))</f>
        <v/>
      </c>
      <c r="AK33">
        <f>IF($A33="","",IFERROR(VLOOKUP($B33,'_CONFIG_Risk_Calibration'!$A$5:$H$21,7,FALSE),1))</f>
        <v/>
      </c>
      <c r="AL33">
        <f>IF($A33="","",IFERROR(VLOOKUP($B33,'_CONFIG_Risk_Calibration'!$A$5:$H$21,8,FALSE),""))</f>
        <v/>
      </c>
    </row>
    <row r="34" ht="72" customHeight="1" s="209">
      <c r="A34" s="13" t="inlineStr">
        <is>
          <t>STRA-011</t>
        </is>
      </c>
      <c r="B34" s="13" t="inlineStr">
        <is>
          <t>Strategy GTM</t>
        </is>
      </c>
      <c r="C34" s="13" t="inlineStr">
        <is>
          <t>Market and ICP</t>
        </is>
      </c>
      <c r="D34" s="13" t="inlineStr">
        <is>
          <t>Strategic and go-to-market resilience</t>
        </is>
      </c>
      <c r="E34" s="13" t="inlineStr">
        <is>
          <t>How mature is the organization in managing market size and growth assumptions with explicit evidence and uncertainty level, including ownership, evidence, metrics, fallback procedures and crisis stress testing?</t>
        </is>
      </c>
      <c r="F34" s="13" t="inlineStr">
        <is>
          <t>Immature capability for market size and growth assumptions with explicit evidence and uncertainty level may lead to weak crisis positioning, poor prioritization of segments, revenue leakage and inability to adapt the offering during Demand shock; Financial liquidity crisis; Reputation crisis.</t>
        </is>
      </c>
      <c r="G34" s="13" t="inlineStr">
        <is>
          <t>Low maturity, weak ownership, incomplete evidence, insufficient testing and poor integration with crisis-management routines for market size and growth assumptions with explicit evidence and uncertainty level.</t>
        </is>
      </c>
      <c r="H34" s="13" t="inlineStr">
        <is>
          <t>Severe risk: market size and growth assumptions with explicit evidence and uncertainty level is not reliably controlled. During Demand shock; Financial liquidity crisis; Reputation crisis, the organization may face weak crisis positioning, poor prioritization of segments, revenue leakage and inability to adapt the offering with limited visibility or accountability.</t>
        </is>
      </c>
      <c r="I34" s="13" t="inlineStr">
        <is>
          <t>High risk: market size and growth assumptions with explicit evidence and uncertainty level depends on informal practices or individual knowledge. Disruption may expose weak crisis positioning, poor prioritization of segments, revenue leakage and inability to adapt the offering and slow recovery.</t>
        </is>
      </c>
      <c r="J34" s="13" t="inlineStr">
        <is>
          <t>Elevated risk: market size and growth assumptions with explicit evidence and uncertainty level is partially controlled, but coverage, evidence or testing is inconsistent. Crisis response may be fragmented.</t>
        </is>
      </c>
      <c r="K34" s="13" t="inlineStr">
        <is>
          <t>Moderate risk: market size and growth assumptions with explicit evidence and uncertainty level is documented and owned, but measurement, stress testing and integration with dependent processes need strengthening.</t>
        </is>
      </c>
      <c r="L34" s="13" t="inlineStr">
        <is>
          <t>Residual risk: market size and growth assumptions with explicit evidence and uncertainty level is measured and reviewed, but monitoring, automation or scenario testing should be improved to prevent maturity drift.</t>
        </is>
      </c>
      <c r="M34" s="13" t="inlineStr">
        <is>
          <t>Low residual risk: market size and growth assumptions with explicit evidence and uncertainty level is mature and crisis-tested. Maintain monitoring, evidence, ownership and periodic stress testing.</t>
        </is>
      </c>
      <c r="N34" s="13" t="inlineStr">
        <is>
          <t>Create an immediate risk owner, minimum control baseline and fallback procedure for market size and growth assumptions with explicit evidence and uncertainty level. Add it to the crisis risk register and collect first evidence.</t>
        </is>
      </c>
      <c r="O34" s="13" t="inlineStr">
        <is>
          <t>Document market size and growth assumptions with explicit evidence and uncertainty level, assign RACI, define minimum controls and KPIs, and validate coverage across key sites, teams or systems.</t>
        </is>
      </c>
      <c r="P34" s="13" t="inlineStr">
        <is>
          <t>Standardize market size and growth assumptions with explicit evidence and uncertainty level, close coverage gaps, train accountable roles and connect controls to the relevant crisis scenarios and continuity plans.</t>
        </is>
      </c>
      <c r="Q34" s="13" t="inlineStr">
        <is>
          <t>Measure and test market size and growth assumptions with explicit evidence and uncertainty level, run tabletop or operational stress tests, integrate it with dependent processes and update crisis playbooks.</t>
        </is>
      </c>
      <c r="R34" s="13" t="inlineStr">
        <is>
          <t>Automate monitoring where practical, define leading indicators, run periodic scenario tests and track residual risk after each major change.</t>
        </is>
      </c>
      <c r="S34" s="13" t="inlineStr">
        <is>
          <t>Sustain maturity for market size and growth assumptions with explicit evidence and uncertainty level: keep evidence current, monitor drift, benchmark externally and refresh risk tests after organizational, system or market changes.</t>
        </is>
      </c>
      <c r="T34" s="13" t="n">
        <v>3</v>
      </c>
      <c r="U34" s="13" t="n">
        <v>3</v>
      </c>
      <c r="V34" s="13" t="n">
        <v>2</v>
      </c>
      <c r="W34" s="13" t="n">
        <v>2</v>
      </c>
      <c r="X34" s="13" t="n">
        <v>1</v>
      </c>
      <c r="Y34" s="13" t="n">
        <v>1</v>
      </c>
      <c r="Z34" s="13" t="inlineStr">
        <is>
          <t>ISO 9001; ISO 31000; ISO 37000; McKinsey 7S; OHI; Bain Elements of Value; Jobs-to-be-Done; Porter Five Forces; OKR</t>
        </is>
      </c>
      <c r="AA34" s="13" t="inlineStr">
        <is>
          <t>Policy/SOP; owner/RACI; system report; dashboard; contracts; test records; incident history; interview evidence related to market size and growth assumptions with explicit evidence and uncertainty level.</t>
        </is>
      </c>
      <c r="AB34" s="13" t="inlineStr">
        <is>
          <t>Demand shock; Financial liquidity crisis; Reputation crisis</t>
        </is>
      </c>
      <c r="AC34" s="13" t="inlineStr">
        <is>
          <t>CEO / CSO / CCO</t>
        </is>
      </c>
      <c r="AD34" s="13" t="inlineStr">
        <is>
          <t>Strategy GTM!15</t>
        </is>
      </c>
      <c r="AE34">
        <f>IF($A34="","",IF(OR(ISNUMBER(SEARCH("cyber",$D34)),ISNUMBER(SEARCH("security",$D34)),ISNUMBER(SEARCH("safety",$D34)),ISNUMBER(SEARCH("liquidity",$D34)),ISNUMBER(SEARCH("cash",$D34)),ISNUMBER(SEARCH("continuity",$D34)),ISNUMBER(SEARCH("infrastructure",$D34)),ISNUMBER(SEARCH("outage",$D34))),"Fast",IF(OR(ISNUMBER(SEARCH("compliance",$D34)),ISNUMBER(SEARCH("regulat",$D34)),ISNUMBER(SEARCH("data",$D34)),ISNUMBER(SEARCH("talent",$D34)),ISNUMBER(SEARCH("knowledge",$D34)),ISNUMBER(SEARCH("portfolio",$D34)),ISNUMBER(SEARCH("quality",$D34))),"Slow","Medium")))</f>
        <v/>
      </c>
      <c r="AF34">
        <f>IF($A34="","",IFERROR(VLOOKUP($B34,'_CONFIG_Risk_Calibration'!$A$5:$H$21,2,FALSE),3))</f>
        <v/>
      </c>
      <c r="AG34">
        <f>IF($A34="","",IFERROR(VLOOKUP($B34,'_CONFIG_Risk_Calibration'!$A$5:$H$21,3,FALSE),0))</f>
        <v/>
      </c>
      <c r="AH34">
        <f>IF($A34="","",IFERROR(VLOOKUP($B34,'_CONFIG_Risk_Calibration'!$A$5:$H$21,4,FALSE),3))</f>
        <v/>
      </c>
      <c r="AI34">
        <f>IF($A34="","",IFERROR(VLOOKUP($B34,'_CONFIG_Risk_Calibration'!$A$5:$H$21,5,FALSE),3))</f>
        <v/>
      </c>
      <c r="AJ34">
        <f>IF($A34="","",IFERROR(VLOOKUP($B34,'_CONFIG_Risk_Calibration'!$A$5:$H$21,6,FALSE),"No"))</f>
        <v/>
      </c>
      <c r="AK34">
        <f>IF($A34="","",IFERROR(VLOOKUP($B34,'_CONFIG_Risk_Calibration'!$A$5:$H$21,7,FALSE),1))</f>
        <v/>
      </c>
      <c r="AL34">
        <f>IF($A34="","",IFERROR(VLOOKUP($B34,'_CONFIG_Risk_Calibration'!$A$5:$H$21,8,FALSE),""))</f>
        <v/>
      </c>
    </row>
    <row r="35" ht="84" customHeight="1" s="209">
      <c r="A35" s="13" t="inlineStr">
        <is>
          <t>STRA-012</t>
        </is>
      </c>
      <c r="B35" s="13" t="inlineStr">
        <is>
          <t>Strategy GTM</t>
        </is>
      </c>
      <c r="C35" s="13" t="inlineStr">
        <is>
          <t>Market and ICP</t>
        </is>
      </c>
      <c r="D35" s="13" t="inlineStr">
        <is>
          <t>Strategic and go-to-market resilience</t>
        </is>
      </c>
      <c r="E35" s="13" t="inlineStr">
        <is>
          <t>How mature is the organization in managing customer concentration and exposure to specific industries, geographies or budget cycles, including ownership, evidence, metrics, fallback procedures and crisis stress testing?</t>
        </is>
      </c>
      <c r="F35" s="13" t="inlineStr">
        <is>
          <t>Immature capability for customer concentration and exposure to specific industries, geographies or budget cycles may lead to weak crisis positioning, poor prioritization of segments, revenue leakage and inability to adapt the offering during Demand shock; Financial liquidity crisis; Reputation crisis.</t>
        </is>
      </c>
      <c r="G35" s="13" t="inlineStr">
        <is>
          <t>Low maturity, weak ownership, incomplete evidence, insufficient testing and poor integration with crisis-management routines for customer concentration and exposure to specific industries, geographies or budget cycles.</t>
        </is>
      </c>
      <c r="H35" s="13" t="inlineStr">
        <is>
          <t>Severe risk: customer concentration and exposure to specific industries, geographies or budget cycles is not reliably controlled. During Demand shock; Financial liquidity crisis; Reputation crisis, the organization may face weak crisis positioning, poor prioritization of segments, revenue leakage and inability to adapt the offering with limited visibility or accountability.</t>
        </is>
      </c>
      <c r="I35" s="13" t="inlineStr">
        <is>
          <t>High risk: customer concentration and exposure to specific industries, geographies or budget cycles depends on informal practices or individual knowledge. Disruption may expose weak crisis positioning, poor prioritization of segments, revenue leakage and inability to adapt the offering and slow recovery.</t>
        </is>
      </c>
      <c r="J35" s="13" t="inlineStr">
        <is>
          <t>Elevated risk: customer concentration and exposure to specific industries, geographies or budget cycles is partially controlled, but coverage, evidence or testing is inconsistent. Crisis response may be fragmented.</t>
        </is>
      </c>
      <c r="K35" s="13" t="inlineStr">
        <is>
          <t>Moderate risk: customer concentration and exposure to specific industries, geographies or budget cycles is documented and owned, but measurement, stress testing and integration with dependent processes need strengthening.</t>
        </is>
      </c>
      <c r="L35" s="13" t="inlineStr">
        <is>
          <t>Residual risk: customer concentration and exposure to specific industries, geographies or budget cycles is measured and reviewed, but monitoring, automation or scenario testing should be improved to prevent maturity drift.</t>
        </is>
      </c>
      <c r="M35" s="13" t="inlineStr">
        <is>
          <t>Low residual risk: customer concentration and exposure to specific industries, geographies or budget cycles is mature and crisis-tested. Maintain monitoring, evidence, ownership and periodic stress testing.</t>
        </is>
      </c>
      <c r="N35" s="13" t="inlineStr">
        <is>
          <t>Create an immediate risk owner, minimum control baseline and fallback procedure for customer concentration and exposure to specific industries, geographies or budget cycles. Add it to the crisis risk register and collect first evidence.</t>
        </is>
      </c>
      <c r="O35" s="13" t="inlineStr">
        <is>
          <t>Document customer concentration and exposure to specific industries, geographies or budget cycles, assign RACI, define minimum controls and KPIs, and validate coverage across key sites, teams or systems.</t>
        </is>
      </c>
      <c r="P35" s="13" t="inlineStr">
        <is>
          <t>Standardize customer concentration and exposure to specific industries, geographies or budget cycles, close coverage gaps, train accountable roles and connect controls to the relevant crisis scenarios and continuity plans.</t>
        </is>
      </c>
      <c r="Q35" s="13" t="inlineStr">
        <is>
          <t>Measure and test customer concentration and exposure to specific industries, geographies or budget cycles, run tabletop or operational stress tests, integrate it with dependent processes and update crisis playbooks.</t>
        </is>
      </c>
      <c r="R35" s="13" t="inlineStr">
        <is>
          <t>Automate monitoring where practical, define leading indicators, run periodic scenario tests and track residual risk after each major change.</t>
        </is>
      </c>
      <c r="S35" s="13" t="inlineStr">
        <is>
          <t>Sustain maturity for customer concentration and exposure to specific industries, geographies or budget cycles: keep evidence current, monitor drift, benchmark externally and refresh risk tests after organizational, system or market changes.</t>
        </is>
      </c>
      <c r="T35" s="13" t="n">
        <v>3</v>
      </c>
      <c r="U35" s="13" t="n">
        <v>3</v>
      </c>
      <c r="V35" s="13" t="n">
        <v>2</v>
      </c>
      <c r="W35" s="13" t="n">
        <v>2</v>
      </c>
      <c r="X35" s="13" t="n">
        <v>1</v>
      </c>
      <c r="Y35" s="13" t="n">
        <v>1</v>
      </c>
      <c r="Z35" s="13" t="inlineStr">
        <is>
          <t>ISO 9001; ISO 31000; ISO 37000; McKinsey 7S; OHI; Bain Elements of Value; Jobs-to-be-Done; Porter Five Forces; OKR</t>
        </is>
      </c>
      <c r="AA35" s="13" t="inlineStr">
        <is>
          <t>Policy/SOP; owner/RACI; system report; dashboard; contracts; test records; incident history; interview evidence related to customer concentration and exposure to specific industries, geographies or budget cycles.</t>
        </is>
      </c>
      <c r="AB35" s="13" t="inlineStr">
        <is>
          <t>Demand shock; Financial liquidity crisis; Reputation crisis</t>
        </is>
      </c>
      <c r="AC35" s="13" t="inlineStr">
        <is>
          <t>CEO / CSO / CCO</t>
        </is>
      </c>
      <c r="AD35" s="13" t="inlineStr">
        <is>
          <t>Strategy GTM!16</t>
        </is>
      </c>
      <c r="AE35">
        <f>IF($A35="","",IF(OR(ISNUMBER(SEARCH("cyber",$D35)),ISNUMBER(SEARCH("security",$D35)),ISNUMBER(SEARCH("safety",$D35)),ISNUMBER(SEARCH("liquidity",$D35)),ISNUMBER(SEARCH("cash",$D35)),ISNUMBER(SEARCH("continuity",$D35)),ISNUMBER(SEARCH("infrastructure",$D35)),ISNUMBER(SEARCH("outage",$D35))),"Fast",IF(OR(ISNUMBER(SEARCH("compliance",$D35)),ISNUMBER(SEARCH("regulat",$D35)),ISNUMBER(SEARCH("data",$D35)),ISNUMBER(SEARCH("talent",$D35)),ISNUMBER(SEARCH("knowledge",$D35)),ISNUMBER(SEARCH("portfolio",$D35)),ISNUMBER(SEARCH("quality",$D35))),"Slow","Medium")))</f>
        <v/>
      </c>
      <c r="AF35">
        <f>IF($A35="","",IFERROR(VLOOKUP($B35,'_CONFIG_Risk_Calibration'!$A$5:$H$21,2,FALSE),3))</f>
        <v/>
      </c>
      <c r="AG35">
        <f>IF($A35="","",IFERROR(VLOOKUP($B35,'_CONFIG_Risk_Calibration'!$A$5:$H$21,3,FALSE),0))</f>
        <v/>
      </c>
      <c r="AH35">
        <f>IF($A35="","",IFERROR(VLOOKUP($B35,'_CONFIG_Risk_Calibration'!$A$5:$H$21,4,FALSE),3))</f>
        <v/>
      </c>
      <c r="AI35">
        <f>IF($A35="","",IFERROR(VLOOKUP($B35,'_CONFIG_Risk_Calibration'!$A$5:$H$21,5,FALSE),3))</f>
        <v/>
      </c>
      <c r="AJ35">
        <f>IF($A35="","",IFERROR(VLOOKUP($B35,'_CONFIG_Risk_Calibration'!$A$5:$H$21,6,FALSE),"No"))</f>
        <v/>
      </c>
      <c r="AK35">
        <f>IF($A35="","",IFERROR(VLOOKUP($B35,'_CONFIG_Risk_Calibration'!$A$5:$H$21,7,FALSE),1))</f>
        <v/>
      </c>
      <c r="AL35">
        <f>IF($A35="","",IFERROR(VLOOKUP($B35,'_CONFIG_Risk_Calibration'!$A$5:$H$21,8,FALSE),""))</f>
        <v/>
      </c>
    </row>
    <row r="36" ht="84" customHeight="1" s="209">
      <c r="A36" s="13" t="inlineStr">
        <is>
          <t>STRA-013</t>
        </is>
      </c>
      <c r="B36" s="13" t="inlineStr">
        <is>
          <t>Strategy GTM</t>
        </is>
      </c>
      <c r="C36" s="13" t="inlineStr">
        <is>
          <t>Offering and positioning</t>
        </is>
      </c>
      <c r="D36" s="13" t="inlineStr">
        <is>
          <t>Strategic and go-to-market resilience</t>
        </is>
      </c>
      <c r="E36" s="13" t="inlineStr">
        <is>
          <t>How mature is the organization in managing structured offering catalog with packages, scope, outcomes, assumptions and delivery requirements, including ownership, evidence, metrics, fallback procedures and crisis stress testing?</t>
        </is>
      </c>
      <c r="F36" s="13" t="inlineStr">
        <is>
          <t>Immature capability for structured offering catalog with packages, scope, outcomes, assumptions and delivery requirements may lead to weak crisis positioning, poor prioritization of segments, revenue leakage and inability to adapt the offering during Demand shock; Financial liquidity crisis; Reputation crisis.</t>
        </is>
      </c>
      <c r="G36" s="13" t="inlineStr">
        <is>
          <t>Low maturity, weak ownership, incomplete evidence, insufficient testing and poor integration with crisis-management routines for structured offering catalog with packages, scope, outcomes, assumptions and delivery requirements.</t>
        </is>
      </c>
      <c r="H36" s="13" t="inlineStr">
        <is>
          <t>Severe risk: structured offering catalog with packages, scope, outcomes, assumptions and delivery requirements is not reliably controlled. During Demand shock; Financial liquidity crisis; Reputation crisis, the organization may face weak crisis positioning, poor prioritization of segments, revenue leakage and inability to adapt the offering with limited visibility or accountability.</t>
        </is>
      </c>
      <c r="I36" s="13" t="inlineStr">
        <is>
          <t>High risk: structured offering catalog with packages, scope, outcomes, assumptions and delivery requirements depends on informal practices or individual knowledge. Disruption may expose weak crisis positioning, poor prioritization of segments, revenue leakage and inability to adapt the offering and slow recovery.</t>
        </is>
      </c>
      <c r="J36" s="13" t="inlineStr">
        <is>
          <t>Elevated risk: structured offering catalog with packages, scope, outcomes, assumptions and delivery requirements is partially controlled, but coverage, evidence or testing is inconsistent. Crisis response may be fragmented.</t>
        </is>
      </c>
      <c r="K36" s="13" t="inlineStr">
        <is>
          <t>Moderate risk: structured offering catalog with packages, scope, outcomes, assumptions and delivery requirements is documented and owned, but measurement, stress testing and integration with dependent processes need strengthening.</t>
        </is>
      </c>
      <c r="L36" s="13" t="inlineStr">
        <is>
          <t>Residual risk: structured offering catalog with packages, scope, outcomes, assumptions and delivery requirements is measured and reviewed, but monitoring, automation or scenario testing should be improved to prevent maturity drift.</t>
        </is>
      </c>
      <c r="M36" s="13" t="inlineStr">
        <is>
          <t>Low residual risk: structured offering catalog with packages, scope, outcomes, assumptions and delivery requirements is mature and crisis-tested. Maintain monitoring, evidence, ownership and periodic stress testing.</t>
        </is>
      </c>
      <c r="N36" s="13" t="inlineStr">
        <is>
          <t>Create an immediate risk owner, minimum control baseline and fallback procedure for structured offering catalog with packages, scope, outcomes, assumptions and delivery requirements. Add it to the crisis risk register and collect first evidence.</t>
        </is>
      </c>
      <c r="O36" s="13" t="inlineStr">
        <is>
          <t>Document structured offering catalog with packages, scope, outcomes, assumptions and delivery requirements, assign RACI, define minimum controls and KPIs, and validate coverage across key sites, teams or systems.</t>
        </is>
      </c>
      <c r="P36" s="13" t="inlineStr">
        <is>
          <t>Standardize structured offering catalog with packages, scope, outcomes, assumptions and delivery requirements, close coverage gaps, train accountable roles and connect controls to the relevant crisis scenarios and continuity plans.</t>
        </is>
      </c>
      <c r="Q36" s="13" t="inlineStr">
        <is>
          <t>Measure and test structured offering catalog with packages, scope, outcomes, assumptions and delivery requirements, run tabletop or operational stress tests, integrate it with dependent processes and update crisis playbooks.</t>
        </is>
      </c>
      <c r="R36" s="13" t="inlineStr">
        <is>
          <t>Automate monitoring where practical, define leading indicators, run periodic scenario tests and track residual risk after each major change.</t>
        </is>
      </c>
      <c r="S36" s="13" t="inlineStr">
        <is>
          <t>Sustain maturity for structured offering catalog with packages, scope, outcomes, assumptions and delivery requirements: keep evidence current, monitor drift, benchmark externally and refresh risk tests after organizational, system or market changes.</t>
        </is>
      </c>
      <c r="T36" s="13" t="n">
        <v>3</v>
      </c>
      <c r="U36" s="13" t="n">
        <v>3</v>
      </c>
      <c r="V36" s="13" t="n">
        <v>2</v>
      </c>
      <c r="W36" s="13" t="n">
        <v>2</v>
      </c>
      <c r="X36" s="13" t="n">
        <v>1</v>
      </c>
      <c r="Y36" s="13" t="n">
        <v>1</v>
      </c>
      <c r="Z36" s="13" t="inlineStr">
        <is>
          <t>ISO 9001; ISO 31000; ISO 37000; McKinsey 7S; OHI; Bain Elements of Value; Jobs-to-be-Done; Porter Five Forces; OKR</t>
        </is>
      </c>
      <c r="AA36" s="13" t="inlineStr">
        <is>
          <t>Policy/SOP; owner/RACI; system report; dashboard; contracts; test records; incident history; interview evidence related to structured offering catalog with packages, scope, outcomes, assumptions and delivery requirements.</t>
        </is>
      </c>
      <c r="AB36" s="13" t="inlineStr">
        <is>
          <t>Demand shock; Financial liquidity crisis; Reputation crisis</t>
        </is>
      </c>
      <c r="AC36" s="13" t="inlineStr">
        <is>
          <t>CEO / CSO / CCO</t>
        </is>
      </c>
      <c r="AD36" s="13" t="inlineStr">
        <is>
          <t>Strategy GTM!17</t>
        </is>
      </c>
      <c r="AE36">
        <f>IF($A36="","",IF(OR(ISNUMBER(SEARCH("cyber",$D36)),ISNUMBER(SEARCH("security",$D36)),ISNUMBER(SEARCH("safety",$D36)),ISNUMBER(SEARCH("liquidity",$D36)),ISNUMBER(SEARCH("cash",$D36)),ISNUMBER(SEARCH("continuity",$D36)),ISNUMBER(SEARCH("infrastructure",$D36)),ISNUMBER(SEARCH("outage",$D36))),"Fast",IF(OR(ISNUMBER(SEARCH("compliance",$D36)),ISNUMBER(SEARCH("regulat",$D36)),ISNUMBER(SEARCH("data",$D36)),ISNUMBER(SEARCH("talent",$D36)),ISNUMBER(SEARCH("knowledge",$D36)),ISNUMBER(SEARCH("portfolio",$D36)),ISNUMBER(SEARCH("quality",$D36))),"Slow","Medium")))</f>
        <v/>
      </c>
      <c r="AF36">
        <f>IF($A36="","",IFERROR(VLOOKUP($B36,'_CONFIG_Risk_Calibration'!$A$5:$H$21,2,FALSE),3))</f>
        <v/>
      </c>
      <c r="AG36">
        <f>IF($A36="","",IFERROR(VLOOKUP($B36,'_CONFIG_Risk_Calibration'!$A$5:$H$21,3,FALSE),0))</f>
        <v/>
      </c>
      <c r="AH36">
        <f>IF($A36="","",IFERROR(VLOOKUP($B36,'_CONFIG_Risk_Calibration'!$A$5:$H$21,4,FALSE),3))</f>
        <v/>
      </c>
      <c r="AI36">
        <f>IF($A36="","",IFERROR(VLOOKUP($B36,'_CONFIG_Risk_Calibration'!$A$5:$H$21,5,FALSE),3))</f>
        <v/>
      </c>
      <c r="AJ36">
        <f>IF($A36="","",IFERROR(VLOOKUP($B36,'_CONFIG_Risk_Calibration'!$A$5:$H$21,6,FALSE),"No"))</f>
        <v/>
      </c>
      <c r="AK36">
        <f>IF($A36="","",IFERROR(VLOOKUP($B36,'_CONFIG_Risk_Calibration'!$A$5:$H$21,7,FALSE),1))</f>
        <v/>
      </c>
      <c r="AL36">
        <f>IF($A36="","",IFERROR(VLOOKUP($B36,'_CONFIG_Risk_Calibration'!$A$5:$H$21,8,FALSE),""))</f>
        <v/>
      </c>
    </row>
    <row r="37" ht="72" customHeight="1" s="209">
      <c r="A37" s="13" t="inlineStr">
        <is>
          <t>STRA-014</t>
        </is>
      </c>
      <c r="B37" s="13" t="inlineStr">
        <is>
          <t>Strategy GTM</t>
        </is>
      </c>
      <c r="C37" s="13" t="inlineStr">
        <is>
          <t>Offering and positioning</t>
        </is>
      </c>
      <c r="D37" s="13" t="inlineStr">
        <is>
          <t>Strategic and go-to-market resilience</t>
        </is>
      </c>
      <c r="E37" s="13" t="inlineStr">
        <is>
          <t>How mature is the organization in managing clear differentiation against direct competitors, substitutes and in-house alternatives, including ownership, evidence, metrics, fallback procedures and crisis stress testing?</t>
        </is>
      </c>
      <c r="F37" s="13" t="inlineStr">
        <is>
          <t>Immature capability for clear differentiation against direct competitors, substitutes and in-house alternatives may lead to weak crisis positioning, poor prioritization of segments, revenue leakage and inability to adapt the offering during Demand shock; Financial liquidity crisis; Reputation crisis.</t>
        </is>
      </c>
      <c r="G37" s="13" t="inlineStr">
        <is>
          <t>Low maturity, weak ownership, incomplete evidence, insufficient testing and poor integration with crisis-management routines for clear differentiation against direct competitors, substitutes and in-house alternatives.</t>
        </is>
      </c>
      <c r="H37" s="13" t="inlineStr">
        <is>
          <t>Severe risk: clear differentiation against direct competitors, substitutes and in-house alternatives is not reliably controlled. During Demand shock; Financial liquidity crisis; Reputation crisis, the organization may face weak crisis positioning, poor prioritization of segments, revenue leakage and inability to adapt the offering with limited visibility or accountability.</t>
        </is>
      </c>
      <c r="I37" s="13" t="inlineStr">
        <is>
          <t>High risk: clear differentiation against direct competitors, substitutes and in-house alternatives depends on informal practices or individual knowledge. Disruption may expose weak crisis positioning, poor prioritization of segments, revenue leakage and inability to adapt the offering and slow recovery.</t>
        </is>
      </c>
      <c r="J37" s="13" t="inlineStr">
        <is>
          <t>Elevated risk: clear differentiation against direct competitors, substitutes and in-house alternatives is partially controlled, but coverage, evidence or testing is inconsistent. Crisis response may be fragmented.</t>
        </is>
      </c>
      <c r="K37" s="13" t="inlineStr">
        <is>
          <t>Moderate risk: clear differentiation against direct competitors, substitutes and in-house alternatives is documented and owned, but measurement, stress testing and integration with dependent processes need strengthening.</t>
        </is>
      </c>
      <c r="L37" s="13" t="inlineStr">
        <is>
          <t>Residual risk: clear differentiation against direct competitors, substitutes and in-house alternatives is measured and reviewed, but monitoring, automation or scenario testing should be improved to prevent maturity drift.</t>
        </is>
      </c>
      <c r="M37" s="13" t="inlineStr">
        <is>
          <t>Low residual risk: clear differentiation against direct competitors, substitutes and in-house alternatives is mature and crisis-tested. Maintain monitoring, evidence, ownership and periodic stress testing.</t>
        </is>
      </c>
      <c r="N37" s="13" t="inlineStr">
        <is>
          <t>Create an immediate risk owner, minimum control baseline and fallback procedure for clear differentiation against direct competitors, substitutes and in-house alternatives. Add it to the crisis risk register and collect first evidence.</t>
        </is>
      </c>
      <c r="O37" s="13" t="inlineStr">
        <is>
          <t>Document clear differentiation against direct competitors, substitutes and in-house alternatives, assign RACI, define minimum controls and KPIs, and validate coverage across key sites, teams or systems.</t>
        </is>
      </c>
      <c r="P37" s="13" t="inlineStr">
        <is>
          <t>Standardize clear differentiation against direct competitors, substitutes and in-house alternatives, close coverage gaps, train accountable roles and connect controls to the relevant crisis scenarios and continuity plans.</t>
        </is>
      </c>
      <c r="Q37" s="13" t="inlineStr">
        <is>
          <t>Measure and test clear differentiation against direct competitors, substitutes and in-house alternatives, run tabletop or operational stress tests, integrate it with dependent processes and update crisis playbooks.</t>
        </is>
      </c>
      <c r="R37" s="13" t="inlineStr">
        <is>
          <t>Automate monitoring where practical, define leading indicators, run periodic scenario tests and track residual risk after each major change.</t>
        </is>
      </c>
      <c r="S37" s="13" t="inlineStr">
        <is>
          <t>Sustain maturity for clear differentiation against direct competitors, substitutes and in-house alternatives: keep evidence current, monitor drift, benchmark externally and refresh risk tests after organizational, system or market changes.</t>
        </is>
      </c>
      <c r="T37" s="13" t="n">
        <v>3</v>
      </c>
      <c r="U37" s="13" t="n">
        <v>3</v>
      </c>
      <c r="V37" s="13" t="n">
        <v>2</v>
      </c>
      <c r="W37" s="13" t="n">
        <v>2</v>
      </c>
      <c r="X37" s="13" t="n">
        <v>1</v>
      </c>
      <c r="Y37" s="13" t="n">
        <v>1</v>
      </c>
      <c r="Z37" s="13" t="inlineStr">
        <is>
          <t>ISO 9001; ISO 31000; ISO 37000; McKinsey 7S; OHI; Bain Elements of Value; Jobs-to-be-Done; Porter Five Forces; OKR</t>
        </is>
      </c>
      <c r="AA37" s="13" t="inlineStr">
        <is>
          <t>Policy/SOP; owner/RACI; system report; dashboard; contracts; test records; incident history; interview evidence related to clear differentiation against direct competitors, substitutes and in-house alternatives.</t>
        </is>
      </c>
      <c r="AB37" s="13" t="inlineStr">
        <is>
          <t>Demand shock; Financial liquidity crisis; Reputation crisis</t>
        </is>
      </c>
      <c r="AC37" s="13" t="inlineStr">
        <is>
          <t>CEO / CSO / CCO</t>
        </is>
      </c>
      <c r="AD37" s="13" t="inlineStr">
        <is>
          <t>Strategy GTM!18</t>
        </is>
      </c>
      <c r="AE37">
        <f>IF($A37="","",IF(OR(ISNUMBER(SEARCH("cyber",$D37)),ISNUMBER(SEARCH("security",$D37)),ISNUMBER(SEARCH("safety",$D37)),ISNUMBER(SEARCH("liquidity",$D37)),ISNUMBER(SEARCH("cash",$D37)),ISNUMBER(SEARCH("continuity",$D37)),ISNUMBER(SEARCH("infrastructure",$D37)),ISNUMBER(SEARCH("outage",$D37))),"Fast",IF(OR(ISNUMBER(SEARCH("compliance",$D37)),ISNUMBER(SEARCH("regulat",$D37)),ISNUMBER(SEARCH("data",$D37)),ISNUMBER(SEARCH("talent",$D37)),ISNUMBER(SEARCH("knowledge",$D37)),ISNUMBER(SEARCH("portfolio",$D37)),ISNUMBER(SEARCH("quality",$D37))),"Slow","Medium")))</f>
        <v/>
      </c>
      <c r="AF37">
        <f>IF($A37="","",IFERROR(VLOOKUP($B37,'_CONFIG_Risk_Calibration'!$A$5:$H$21,2,FALSE),3))</f>
        <v/>
      </c>
      <c r="AG37">
        <f>IF($A37="","",IFERROR(VLOOKUP($B37,'_CONFIG_Risk_Calibration'!$A$5:$H$21,3,FALSE),0))</f>
        <v/>
      </c>
      <c r="AH37">
        <f>IF($A37="","",IFERROR(VLOOKUP($B37,'_CONFIG_Risk_Calibration'!$A$5:$H$21,4,FALSE),3))</f>
        <v/>
      </c>
      <c r="AI37">
        <f>IF($A37="","",IFERROR(VLOOKUP($B37,'_CONFIG_Risk_Calibration'!$A$5:$H$21,5,FALSE),3))</f>
        <v/>
      </c>
      <c r="AJ37">
        <f>IF($A37="","",IFERROR(VLOOKUP($B37,'_CONFIG_Risk_Calibration'!$A$5:$H$21,6,FALSE),"No"))</f>
        <v/>
      </c>
      <c r="AK37">
        <f>IF($A37="","",IFERROR(VLOOKUP($B37,'_CONFIG_Risk_Calibration'!$A$5:$H$21,7,FALSE),1))</f>
        <v/>
      </c>
      <c r="AL37">
        <f>IF($A37="","",IFERROR(VLOOKUP($B37,'_CONFIG_Risk_Calibration'!$A$5:$H$21,8,FALSE),""))</f>
        <v/>
      </c>
    </row>
    <row r="38" ht="84" customHeight="1" s="209">
      <c r="A38" s="13" t="inlineStr">
        <is>
          <t>STRA-015</t>
        </is>
      </c>
      <c r="B38" s="13" t="inlineStr">
        <is>
          <t>Strategy GTM</t>
        </is>
      </c>
      <c r="C38" s="13" t="inlineStr">
        <is>
          <t>Offering and positioning</t>
        </is>
      </c>
      <c r="D38" s="13" t="inlineStr">
        <is>
          <t>Strategic and go-to-market resilience</t>
        </is>
      </c>
      <c r="E38" s="13" t="inlineStr">
        <is>
          <t>How mature is the organization in managing value proposition linked to measurable customer economic value, risk reduction or continuity impact, including ownership, evidence, metrics, fallback procedures and crisis stress testing?</t>
        </is>
      </c>
      <c r="F38" s="13" t="inlineStr">
        <is>
          <t>Immature capability for value proposition linked to measurable customer economic value, risk reduction or continuity impact may lead to weak crisis positioning, poor prioritization of segments, revenue leakage and inability to adapt the offering during Demand shock; Financial liquidity crisis; Reputation crisis.</t>
        </is>
      </c>
      <c r="G38" s="13" t="inlineStr">
        <is>
          <t>Low maturity, weak ownership, incomplete evidence, insufficient testing and poor integration with crisis-management routines for value proposition linked to measurable customer economic value, risk reduction or continuity impact.</t>
        </is>
      </c>
      <c r="H38" s="13" t="inlineStr">
        <is>
          <t>Severe risk: value proposition linked to measurable customer economic value, risk reduction or continuity impact is not reliably controlled. During Demand shock; Financial liquidity crisis; Reputation crisis, the organization may face weak crisis positioning, poor prioritization of segments, revenue leakage and inability to adapt the offering with limited visibility or accountability.</t>
        </is>
      </c>
      <c r="I38" s="13" t="inlineStr">
        <is>
          <t>High risk: value proposition linked to measurable customer economic value, risk reduction or continuity impact depends on informal practices or individual knowledge. Disruption may expose weak crisis positioning, poor prioritization of segments, revenue leakage and inability to adapt the offering and slow recovery.</t>
        </is>
      </c>
      <c r="J38" s="13" t="inlineStr">
        <is>
          <t>Elevated risk: value proposition linked to measurable customer economic value, risk reduction or continuity impact is partially controlled, but coverage, evidence or testing is inconsistent. Crisis response may be fragmented.</t>
        </is>
      </c>
      <c r="K38" s="13" t="inlineStr">
        <is>
          <t>Moderate risk: value proposition linked to measurable customer economic value, risk reduction or continuity impact is documented and owned, but measurement, stress testing and integration with dependent processes need strengthening.</t>
        </is>
      </c>
      <c r="L38" s="13" t="inlineStr">
        <is>
          <t>Residual risk: value proposition linked to measurable customer economic value, risk reduction or continuity impact is measured and reviewed, but monitoring, automation or scenario testing should be improved to prevent maturity drift.</t>
        </is>
      </c>
      <c r="M38" s="13" t="inlineStr">
        <is>
          <t>Low residual risk: value proposition linked to measurable customer economic value, risk reduction or continuity impact is mature and crisis-tested. Maintain monitoring, evidence, ownership and periodic stress testing.</t>
        </is>
      </c>
      <c r="N38" s="13" t="inlineStr">
        <is>
          <t>Create an immediate risk owner, minimum control baseline and fallback procedure for value proposition linked to measurable customer economic value, risk reduction or continuity impact. Add it to the crisis risk register and collect first evidence.</t>
        </is>
      </c>
      <c r="O38" s="13" t="inlineStr">
        <is>
          <t>Document value proposition linked to measurable customer economic value, risk reduction or continuity impact, assign RACI, define minimum controls and KPIs, and validate coverage across key sites, teams or systems.</t>
        </is>
      </c>
      <c r="P38" s="13" t="inlineStr">
        <is>
          <t>Standardize value proposition linked to measurable customer economic value, risk reduction or continuity impact, close coverage gaps, train accountable roles and connect controls to the relevant crisis scenarios and continuity plans.</t>
        </is>
      </c>
      <c r="Q38" s="13" t="inlineStr">
        <is>
          <t>Measure and test value proposition linked to measurable customer economic value, risk reduction or continuity impact, run tabletop or operational stress tests, integrate it with dependent processes and update crisis playbooks.</t>
        </is>
      </c>
      <c r="R38" s="13" t="inlineStr">
        <is>
          <t>Automate monitoring where practical, define leading indicators, run periodic scenario tests and track residual risk after each major change.</t>
        </is>
      </c>
      <c r="S38" s="13" t="inlineStr">
        <is>
          <t>Sustain maturity for value proposition linked to measurable customer economic value, risk reduction or continuity impact: keep evidence current, monitor drift, benchmark externally and refresh risk tests after organizational, system or market changes.</t>
        </is>
      </c>
      <c r="T38" s="13" t="n">
        <v>3</v>
      </c>
      <c r="U38" s="13" t="n">
        <v>3</v>
      </c>
      <c r="V38" s="13" t="n">
        <v>2</v>
      </c>
      <c r="W38" s="13" t="n">
        <v>2</v>
      </c>
      <c r="X38" s="13" t="n">
        <v>1</v>
      </c>
      <c r="Y38" s="13" t="n">
        <v>1</v>
      </c>
      <c r="Z38" s="13" t="inlineStr">
        <is>
          <t>ISO 9001; ISO 31000; ISO 37000; McKinsey 7S; OHI; Bain Elements of Value; Jobs-to-be-Done; Porter Five Forces; OKR</t>
        </is>
      </c>
      <c r="AA38" s="13" t="inlineStr">
        <is>
          <t>Policy/SOP; owner/RACI; system report; dashboard; contracts; test records; incident history; interview evidence related to value proposition linked to measurable customer economic value, risk reduction or continuity impact.</t>
        </is>
      </c>
      <c r="AB38" s="13" t="inlineStr">
        <is>
          <t>Demand shock; Financial liquidity crisis; Reputation crisis</t>
        </is>
      </c>
      <c r="AC38" s="13" t="inlineStr">
        <is>
          <t>CEO / CSO / CCO</t>
        </is>
      </c>
      <c r="AD38" s="13" t="inlineStr">
        <is>
          <t>Strategy GTM!19</t>
        </is>
      </c>
      <c r="AE38">
        <f>IF($A38="","",IF(OR(ISNUMBER(SEARCH("cyber",$D38)),ISNUMBER(SEARCH("security",$D38)),ISNUMBER(SEARCH("safety",$D38)),ISNUMBER(SEARCH("liquidity",$D38)),ISNUMBER(SEARCH("cash",$D38)),ISNUMBER(SEARCH("continuity",$D38)),ISNUMBER(SEARCH("infrastructure",$D38)),ISNUMBER(SEARCH("outage",$D38))),"Fast",IF(OR(ISNUMBER(SEARCH("compliance",$D38)),ISNUMBER(SEARCH("regulat",$D38)),ISNUMBER(SEARCH("data",$D38)),ISNUMBER(SEARCH("talent",$D38)),ISNUMBER(SEARCH("knowledge",$D38)),ISNUMBER(SEARCH("portfolio",$D38)),ISNUMBER(SEARCH("quality",$D38))),"Slow","Medium")))</f>
        <v/>
      </c>
      <c r="AF38">
        <f>IF($A38="","",IFERROR(VLOOKUP($B38,'_CONFIG_Risk_Calibration'!$A$5:$H$21,2,FALSE),3))</f>
        <v/>
      </c>
      <c r="AG38">
        <f>IF($A38="","",IFERROR(VLOOKUP($B38,'_CONFIG_Risk_Calibration'!$A$5:$H$21,3,FALSE),0))</f>
        <v/>
      </c>
      <c r="AH38">
        <f>IF($A38="","",IFERROR(VLOOKUP($B38,'_CONFIG_Risk_Calibration'!$A$5:$H$21,4,FALSE),3))</f>
        <v/>
      </c>
      <c r="AI38">
        <f>IF($A38="","",IFERROR(VLOOKUP($B38,'_CONFIG_Risk_Calibration'!$A$5:$H$21,5,FALSE),3))</f>
        <v/>
      </c>
      <c r="AJ38">
        <f>IF($A38="","",IFERROR(VLOOKUP($B38,'_CONFIG_Risk_Calibration'!$A$5:$H$21,6,FALSE),"No"))</f>
        <v/>
      </c>
      <c r="AK38">
        <f>IF($A38="","",IFERROR(VLOOKUP($B38,'_CONFIG_Risk_Calibration'!$A$5:$H$21,7,FALSE),1))</f>
        <v/>
      </c>
      <c r="AL38">
        <f>IF($A38="","",IFERROR(VLOOKUP($B38,'_CONFIG_Risk_Calibration'!$A$5:$H$21,8,FALSE),""))</f>
        <v/>
      </c>
    </row>
    <row r="39" ht="72" customHeight="1" s="209">
      <c r="A39" s="13" t="inlineStr">
        <is>
          <t>STRA-016</t>
        </is>
      </c>
      <c r="B39" s="13" t="inlineStr">
        <is>
          <t>Strategy GTM</t>
        </is>
      </c>
      <c r="C39" s="13" t="inlineStr">
        <is>
          <t>Offering and positioning</t>
        </is>
      </c>
      <c r="D39" s="13" t="inlineStr">
        <is>
          <t>Strategic and go-to-market resilience</t>
        </is>
      </c>
      <c r="E39" s="13" t="inlineStr">
        <is>
          <t>How mature is the organization in managing pricing strategy with margin thresholds, discount governance and crisis boundaries, including ownership, evidence, metrics, fallback procedures and crisis stress testing?</t>
        </is>
      </c>
      <c r="F39" s="13" t="inlineStr">
        <is>
          <t>Immature capability for pricing strategy with margin thresholds, discount governance and crisis boundaries may lead to weak crisis positioning, poor prioritization of segments, revenue leakage and inability to adapt the offering during Demand shock; Financial liquidity crisis; Reputation crisis.</t>
        </is>
      </c>
      <c r="G39" s="13" t="inlineStr">
        <is>
          <t>Low maturity, weak ownership, incomplete evidence, insufficient testing and poor integration with crisis-management routines for pricing strategy with margin thresholds, discount governance and crisis boundaries.</t>
        </is>
      </c>
      <c r="H39" s="13" t="inlineStr">
        <is>
          <t>Severe risk: pricing strategy with margin thresholds, discount governance and crisis boundaries is not reliably controlled. During Demand shock; Financial liquidity crisis; Reputation crisis, the organization may face weak crisis positioning, poor prioritization of segments, revenue leakage and inability to adapt the offering with limited visibility or accountability.</t>
        </is>
      </c>
      <c r="I39" s="13" t="inlineStr">
        <is>
          <t>High risk: pricing strategy with margin thresholds, discount governance and crisis boundaries depends on informal practices or individual knowledge. Disruption may expose weak crisis positioning, poor prioritization of segments, revenue leakage and inability to adapt the offering and slow recovery.</t>
        </is>
      </c>
      <c r="J39" s="13" t="inlineStr">
        <is>
          <t>Elevated risk: pricing strategy with margin thresholds, discount governance and crisis boundaries is partially controlled, but coverage, evidence or testing is inconsistent. Crisis response may be fragmented.</t>
        </is>
      </c>
      <c r="K39" s="13" t="inlineStr">
        <is>
          <t>Moderate risk: pricing strategy with margin thresholds, discount governance and crisis boundaries is documented and owned, but measurement, stress testing and integration with dependent processes need strengthening.</t>
        </is>
      </c>
      <c r="L39" s="13" t="inlineStr">
        <is>
          <t>Residual risk: pricing strategy with margin thresholds, discount governance and crisis boundaries is measured and reviewed, but monitoring, automation or scenario testing should be improved to prevent maturity drift.</t>
        </is>
      </c>
      <c r="M39" s="13" t="inlineStr">
        <is>
          <t>Low residual risk: pricing strategy with margin thresholds, discount governance and crisis boundaries is mature and crisis-tested. Maintain monitoring, evidence, ownership and periodic stress testing.</t>
        </is>
      </c>
      <c r="N39" s="13" t="inlineStr">
        <is>
          <t>Create an immediate risk owner, minimum control baseline and fallback procedure for pricing strategy with margin thresholds, discount governance and crisis boundaries. Add it to the crisis risk register and collect first evidence.</t>
        </is>
      </c>
      <c r="O39" s="13" t="inlineStr">
        <is>
          <t>Document pricing strategy with margin thresholds, discount governance and crisis boundaries, assign RACI, define minimum controls and KPIs, and validate coverage across key sites, teams or systems.</t>
        </is>
      </c>
      <c r="P39" s="13" t="inlineStr">
        <is>
          <t>Standardize pricing strategy with margin thresholds, discount governance and crisis boundaries, close coverage gaps, train accountable roles and connect controls to the relevant crisis scenarios and continuity plans.</t>
        </is>
      </c>
      <c r="Q39" s="13" t="inlineStr">
        <is>
          <t>Measure and test pricing strategy with margin thresholds, discount governance and crisis boundaries, run tabletop or operational stress tests, integrate it with dependent processes and update crisis playbooks.</t>
        </is>
      </c>
      <c r="R39" s="13" t="inlineStr">
        <is>
          <t>Automate monitoring where practical, define leading indicators, run periodic scenario tests and track residual risk after each major change.</t>
        </is>
      </c>
      <c r="S39" s="13" t="inlineStr">
        <is>
          <t>Sustain maturity for pricing strategy with margin thresholds, discount governance and crisis boundaries: keep evidence current, monitor drift, benchmark externally and refresh risk tests after organizational, system or market changes.</t>
        </is>
      </c>
      <c r="T39" s="13" t="n">
        <v>3</v>
      </c>
      <c r="U39" s="13" t="n">
        <v>3</v>
      </c>
      <c r="V39" s="13" t="n">
        <v>2</v>
      </c>
      <c r="W39" s="13" t="n">
        <v>2</v>
      </c>
      <c r="X39" s="13" t="n">
        <v>1</v>
      </c>
      <c r="Y39" s="13" t="n">
        <v>1</v>
      </c>
      <c r="Z39" s="13" t="inlineStr">
        <is>
          <t>ISO 9001; ISO 31000; ISO 37000; McKinsey 7S; OHI; Bain Elements of Value; Jobs-to-be-Done; Porter Five Forces; OKR</t>
        </is>
      </c>
      <c r="AA39" s="13" t="inlineStr">
        <is>
          <t>Policy/SOP; owner/RACI; system report; dashboard; contracts; test records; incident history; interview evidence related to pricing strategy with margin thresholds, discount governance and crisis boundaries.</t>
        </is>
      </c>
      <c r="AB39" s="13" t="inlineStr">
        <is>
          <t>Demand shock; Financial liquidity crisis; Reputation crisis</t>
        </is>
      </c>
      <c r="AC39" s="13" t="inlineStr">
        <is>
          <t>CEO / CSO / CCO</t>
        </is>
      </c>
      <c r="AD39" s="13" t="inlineStr">
        <is>
          <t>Strategy GTM!20</t>
        </is>
      </c>
      <c r="AE39">
        <f>IF($A39="","",IF(OR(ISNUMBER(SEARCH("cyber",$D39)),ISNUMBER(SEARCH("security",$D39)),ISNUMBER(SEARCH("safety",$D39)),ISNUMBER(SEARCH("liquidity",$D39)),ISNUMBER(SEARCH("cash",$D39)),ISNUMBER(SEARCH("continuity",$D39)),ISNUMBER(SEARCH("infrastructure",$D39)),ISNUMBER(SEARCH("outage",$D39))),"Fast",IF(OR(ISNUMBER(SEARCH("compliance",$D39)),ISNUMBER(SEARCH("regulat",$D39)),ISNUMBER(SEARCH("data",$D39)),ISNUMBER(SEARCH("talent",$D39)),ISNUMBER(SEARCH("knowledge",$D39)),ISNUMBER(SEARCH("portfolio",$D39)),ISNUMBER(SEARCH("quality",$D39))),"Slow","Medium")))</f>
        <v/>
      </c>
      <c r="AF39">
        <f>IF($A39="","",IFERROR(VLOOKUP($B39,'_CONFIG_Risk_Calibration'!$A$5:$H$21,2,FALSE),3))</f>
        <v/>
      </c>
      <c r="AG39">
        <f>IF($A39="","",IFERROR(VLOOKUP($B39,'_CONFIG_Risk_Calibration'!$A$5:$H$21,3,FALSE),0))</f>
        <v/>
      </c>
      <c r="AH39">
        <f>IF($A39="","",IFERROR(VLOOKUP($B39,'_CONFIG_Risk_Calibration'!$A$5:$H$21,4,FALSE),3))</f>
        <v/>
      </c>
      <c r="AI39">
        <f>IF($A39="","",IFERROR(VLOOKUP($B39,'_CONFIG_Risk_Calibration'!$A$5:$H$21,5,FALSE),3))</f>
        <v/>
      </c>
      <c r="AJ39">
        <f>IF($A39="","",IFERROR(VLOOKUP($B39,'_CONFIG_Risk_Calibration'!$A$5:$H$21,6,FALSE),"No"))</f>
        <v/>
      </c>
      <c r="AK39">
        <f>IF($A39="","",IFERROR(VLOOKUP($B39,'_CONFIG_Risk_Calibration'!$A$5:$H$21,7,FALSE),1))</f>
        <v/>
      </c>
      <c r="AL39">
        <f>IF($A39="","",IFERROR(VLOOKUP($B39,'_CONFIG_Risk_Calibration'!$A$5:$H$21,8,FALSE),""))</f>
        <v/>
      </c>
    </row>
    <row r="40" ht="84" customHeight="1" s="209">
      <c r="A40" s="13" t="inlineStr">
        <is>
          <t>STRA-017</t>
        </is>
      </c>
      <c r="B40" s="13" t="inlineStr">
        <is>
          <t>Strategy GTM</t>
        </is>
      </c>
      <c r="C40" s="13" t="inlineStr">
        <is>
          <t>Offering and positioning</t>
        </is>
      </c>
      <c r="D40" s="13" t="inlineStr">
        <is>
          <t>Strategic and go-to-market resilience</t>
        </is>
      </c>
      <c r="E40" s="13" t="inlineStr">
        <is>
          <t>How mature is the organization in managing proof assets such as case studies, references, certifications, security evidence and continuity commitments, including ownership, evidence, metrics, fallback procedures and crisis stress testing?</t>
        </is>
      </c>
      <c r="F40" s="13" t="inlineStr">
        <is>
          <t>Immature capability for proof assets such as case studies, references, certifications, security evidence and continuity commitments may lead to weak crisis positioning, poor prioritization of segments, revenue leakage and inability to adapt the offering during Demand shock; Financial liquidity crisis; Reputation crisis.</t>
        </is>
      </c>
      <c r="G40" s="13" t="inlineStr">
        <is>
          <t>Low maturity, weak ownership, incomplete evidence, insufficient testing and poor integration with crisis-management routines for proof assets such as case studies, references, certifications, security evidence and continuity commitments.</t>
        </is>
      </c>
      <c r="H40" s="13" t="inlineStr">
        <is>
          <t>Severe risk: proof assets such as case studies, references, certifications, security evidence and continuity commitments is not reliably controlled. During Demand shock; Financial liquidity crisis; Reputation crisis, the organization may face weak crisis positioning, poor prioritization of segments, revenue leakage and inability to adapt the offering with limited visibility or accountability.</t>
        </is>
      </c>
      <c r="I40" s="13" t="inlineStr">
        <is>
          <t>High risk: proof assets such as case studies, references, certifications, security evidence and continuity commitments depends on informal practices or individual knowledge. Disruption may expose weak crisis positioning, poor prioritization of segments, revenue leakage and inability to adapt the offering and slow recovery.</t>
        </is>
      </c>
      <c r="J40" s="13" t="inlineStr">
        <is>
          <t>Elevated risk: proof assets such as case studies, references, certifications, security evidence and continuity commitments is partially controlled, but coverage, evidence or testing is inconsistent. Crisis response may be fragmented.</t>
        </is>
      </c>
      <c r="K40" s="13" t="inlineStr">
        <is>
          <t>Moderate risk: proof assets such as case studies, references, certifications, security evidence and continuity commitments is documented and owned, but measurement, stress testing and integration with dependent processes need strengthening.</t>
        </is>
      </c>
      <c r="L40" s="13" t="inlineStr">
        <is>
          <t>Residual risk: proof assets such as case studies, references, certifications, security evidence and continuity commitments is measured and reviewed, but monitoring, automation or scenario testing should be improved to prevent maturity drift.</t>
        </is>
      </c>
      <c r="M40" s="13" t="inlineStr">
        <is>
          <t>Low residual risk: proof assets such as case studies, references, certifications, security evidence and continuity commitments is mature and crisis-tested. Maintain monitoring, evidence, ownership and periodic stress testing.</t>
        </is>
      </c>
      <c r="N40" s="13" t="inlineStr">
        <is>
          <t>Create an immediate risk owner, minimum control baseline and fallback procedure for proof assets such as case studies, references, certifications, security evidence and continuity commitments. Add it to the crisis risk register and collect first evidence.</t>
        </is>
      </c>
      <c r="O40" s="13" t="inlineStr">
        <is>
          <t>Document proof assets such as case studies, references, certifications, security evidence and continuity commitments, assign RACI, define minimum controls and KPIs, and validate coverage across key sites, teams or systems.</t>
        </is>
      </c>
      <c r="P40" s="13" t="inlineStr">
        <is>
          <t>Standardize proof assets such as case studies, references, certifications, security evidence and continuity commitments, close coverage gaps, train accountable roles and connect controls to the relevant crisis scenarios and continuity plans.</t>
        </is>
      </c>
      <c r="Q40" s="13" t="inlineStr">
        <is>
          <t>Measure and test proof assets such as case studies, references, certifications, security evidence and continuity commitments, run tabletop or operational stress tests, integrate it with dependent processes and update crisis playbooks.</t>
        </is>
      </c>
      <c r="R40" s="13" t="inlineStr">
        <is>
          <t>Automate monitoring where practical, define leading indicators, run periodic scenario tests and track residual risk after each major change.</t>
        </is>
      </c>
      <c r="S40" s="13" t="inlineStr">
        <is>
          <t>Sustain maturity for proof assets such as case studies, references, certifications, security evidence and continuity commitments: keep evidence current, monitor drift, benchmark externally and refresh risk tests after organizational, system or market changes.</t>
        </is>
      </c>
      <c r="T40" s="13" t="n">
        <v>3</v>
      </c>
      <c r="U40" s="13" t="n">
        <v>3</v>
      </c>
      <c r="V40" s="13" t="n">
        <v>2</v>
      </c>
      <c r="W40" s="13" t="n">
        <v>2</v>
      </c>
      <c r="X40" s="13" t="n">
        <v>1</v>
      </c>
      <c r="Y40" s="13" t="n">
        <v>1</v>
      </c>
      <c r="Z40" s="13" t="inlineStr">
        <is>
          <t>ISO 9001; ISO 31000; ISO 37000; McKinsey 7S; OHI; Bain Elements of Value; Jobs-to-be-Done; Porter Five Forces; OKR</t>
        </is>
      </c>
      <c r="AA40" s="13" t="inlineStr">
        <is>
          <t>Policy/SOP; owner/RACI; system report; dashboard; contracts; test records; incident history; interview evidence related to proof assets such as case studies, references, certifications, security evidence and continuity commitments.</t>
        </is>
      </c>
      <c r="AB40" s="13" t="inlineStr">
        <is>
          <t>Demand shock; Financial liquidity crisis; Reputation crisis</t>
        </is>
      </c>
      <c r="AC40" s="13" t="inlineStr">
        <is>
          <t>CEO / CSO / CCO</t>
        </is>
      </c>
      <c r="AD40" s="13" t="inlineStr">
        <is>
          <t>Strategy GTM!21</t>
        </is>
      </c>
      <c r="AE40">
        <f>IF($A40="","",IF(OR(ISNUMBER(SEARCH("cyber",$D40)),ISNUMBER(SEARCH("security",$D40)),ISNUMBER(SEARCH("safety",$D40)),ISNUMBER(SEARCH("liquidity",$D40)),ISNUMBER(SEARCH("cash",$D40)),ISNUMBER(SEARCH("continuity",$D40)),ISNUMBER(SEARCH("infrastructure",$D40)),ISNUMBER(SEARCH("outage",$D40))),"Fast",IF(OR(ISNUMBER(SEARCH("compliance",$D40)),ISNUMBER(SEARCH("regulat",$D40)),ISNUMBER(SEARCH("data",$D40)),ISNUMBER(SEARCH("talent",$D40)),ISNUMBER(SEARCH("knowledge",$D40)),ISNUMBER(SEARCH("portfolio",$D40)),ISNUMBER(SEARCH("quality",$D40))),"Slow","Medium")))</f>
        <v/>
      </c>
      <c r="AF40">
        <f>IF($A40="","",IFERROR(VLOOKUP($B40,'_CONFIG_Risk_Calibration'!$A$5:$H$21,2,FALSE),3))</f>
        <v/>
      </c>
      <c r="AG40">
        <f>IF($A40="","",IFERROR(VLOOKUP($B40,'_CONFIG_Risk_Calibration'!$A$5:$H$21,3,FALSE),0))</f>
        <v/>
      </c>
      <c r="AH40">
        <f>IF($A40="","",IFERROR(VLOOKUP($B40,'_CONFIG_Risk_Calibration'!$A$5:$H$21,4,FALSE),3))</f>
        <v/>
      </c>
      <c r="AI40">
        <f>IF($A40="","",IFERROR(VLOOKUP($B40,'_CONFIG_Risk_Calibration'!$A$5:$H$21,5,FALSE),3))</f>
        <v/>
      </c>
      <c r="AJ40">
        <f>IF($A40="","",IFERROR(VLOOKUP($B40,'_CONFIG_Risk_Calibration'!$A$5:$H$21,6,FALSE),"No"))</f>
        <v/>
      </c>
      <c r="AK40">
        <f>IF($A40="","",IFERROR(VLOOKUP($B40,'_CONFIG_Risk_Calibration'!$A$5:$H$21,7,FALSE),1))</f>
        <v/>
      </c>
      <c r="AL40">
        <f>IF($A40="","",IFERROR(VLOOKUP($B40,'_CONFIG_Risk_Calibration'!$A$5:$H$21,8,FALSE),""))</f>
        <v/>
      </c>
    </row>
    <row r="41" ht="72" customHeight="1" s="209">
      <c r="A41" s="13" t="inlineStr">
        <is>
          <t>STRA-018</t>
        </is>
      </c>
      <c r="B41" s="13" t="inlineStr">
        <is>
          <t>Strategy GTM</t>
        </is>
      </c>
      <c r="C41" s="13" t="inlineStr">
        <is>
          <t>Offering and positioning</t>
        </is>
      </c>
      <c r="D41" s="13" t="inlineStr">
        <is>
          <t>Strategic and go-to-market resilience</t>
        </is>
      </c>
      <c r="E41" s="13" t="inlineStr">
        <is>
          <t>How mature is the organization in managing product or service modularity that allows budget-sensitive or crisis-driven adaptation, including ownership, evidence, metrics, fallback procedures and crisis stress testing?</t>
        </is>
      </c>
      <c r="F41" s="13" t="inlineStr">
        <is>
          <t>Immature capability for product or service modularity that allows budget-sensitive or crisis-driven adaptation may lead to weak crisis positioning, poor prioritization of segments, revenue leakage and inability to adapt the offering during Demand shock; Financial liquidity crisis; Reputation crisis.</t>
        </is>
      </c>
      <c r="G41" s="13" t="inlineStr">
        <is>
          <t>Low maturity, weak ownership, incomplete evidence, insufficient testing and poor integration with crisis-management routines for product or service modularity that allows budget-sensitive or crisis-driven adaptation.</t>
        </is>
      </c>
      <c r="H41" s="13" t="inlineStr">
        <is>
          <t>Severe risk: product or service modularity that allows budget-sensitive or crisis-driven adaptation is not reliably controlled. During Demand shock; Financial liquidity crisis; Reputation crisis, the organization may face weak crisis positioning, poor prioritization of segments, revenue leakage and inability to adapt the offering with limited visibility or accountability.</t>
        </is>
      </c>
      <c r="I41" s="13" t="inlineStr">
        <is>
          <t>High risk: product or service modularity that allows budget-sensitive or crisis-driven adaptation depends on informal practices or individual knowledge. Disruption may expose weak crisis positioning, poor prioritization of segments, revenue leakage and inability to adapt the offering and slow recovery.</t>
        </is>
      </c>
      <c r="J41" s="13" t="inlineStr">
        <is>
          <t>Elevated risk: product or service modularity that allows budget-sensitive or crisis-driven adaptation is partially controlled, but coverage, evidence or testing is inconsistent. Crisis response may be fragmented.</t>
        </is>
      </c>
      <c r="K41" s="13" t="inlineStr">
        <is>
          <t>Moderate risk: product or service modularity that allows budget-sensitive or crisis-driven adaptation is documented and owned, but measurement, stress testing and integration with dependent processes need strengthening.</t>
        </is>
      </c>
      <c r="L41" s="13" t="inlineStr">
        <is>
          <t>Residual risk: product or service modularity that allows budget-sensitive or crisis-driven adaptation is measured and reviewed, but monitoring, automation or scenario testing should be improved to prevent maturity drift.</t>
        </is>
      </c>
      <c r="M41" s="13" t="inlineStr">
        <is>
          <t>Low residual risk: product or service modularity that allows budget-sensitive or crisis-driven adaptation is mature and crisis-tested. Maintain monitoring, evidence, ownership and periodic stress testing.</t>
        </is>
      </c>
      <c r="N41" s="13" t="inlineStr">
        <is>
          <t>Create an immediate risk owner, minimum control baseline and fallback procedure for product or service modularity that allows budget-sensitive or crisis-driven adaptation. Add it to the crisis risk register and collect first evidence.</t>
        </is>
      </c>
      <c r="O41" s="13" t="inlineStr">
        <is>
          <t>Document product or service modularity that allows budget-sensitive or crisis-driven adaptation, assign RACI, define minimum controls and KPIs, and validate coverage across key sites, teams or systems.</t>
        </is>
      </c>
      <c r="P41" s="13" t="inlineStr">
        <is>
          <t>Standardize product or service modularity that allows budget-sensitive or crisis-driven adaptation, close coverage gaps, train accountable roles and connect controls to the relevant crisis scenarios and continuity plans.</t>
        </is>
      </c>
      <c r="Q41" s="13" t="inlineStr">
        <is>
          <t>Measure and test product or service modularity that allows budget-sensitive or crisis-driven adaptation, run tabletop or operational stress tests, integrate it with dependent processes and update crisis playbooks.</t>
        </is>
      </c>
      <c r="R41" s="13" t="inlineStr">
        <is>
          <t>Automate monitoring where practical, define leading indicators, run periodic scenario tests and track residual risk after each major change.</t>
        </is>
      </c>
      <c r="S41" s="13" t="inlineStr">
        <is>
          <t>Sustain maturity for product or service modularity that allows budget-sensitive or crisis-driven adaptation: keep evidence current, monitor drift, benchmark externally and refresh risk tests after organizational, system or market changes.</t>
        </is>
      </c>
      <c r="T41" s="13" t="n">
        <v>3</v>
      </c>
      <c r="U41" s="13" t="n">
        <v>3</v>
      </c>
      <c r="V41" s="13" t="n">
        <v>2</v>
      </c>
      <c r="W41" s="13" t="n">
        <v>2</v>
      </c>
      <c r="X41" s="13" t="n">
        <v>1</v>
      </c>
      <c r="Y41" s="13" t="n">
        <v>1</v>
      </c>
      <c r="Z41" s="13" t="inlineStr">
        <is>
          <t>ISO 9001; ISO 31000; ISO 37000; McKinsey 7S; OHI; Bain Elements of Value; Jobs-to-be-Done; Porter Five Forces; OKR</t>
        </is>
      </c>
      <c r="AA41" s="13" t="inlineStr">
        <is>
          <t>Policy/SOP; owner/RACI; system report; dashboard; contracts; test records; incident history; interview evidence related to product or service modularity that allows budget-sensitive or crisis-driven adaptation.</t>
        </is>
      </c>
      <c r="AB41" s="13" t="inlineStr">
        <is>
          <t>Demand shock; Financial liquidity crisis; Reputation crisis</t>
        </is>
      </c>
      <c r="AC41" s="13" t="inlineStr">
        <is>
          <t>CEO / CSO / CCO</t>
        </is>
      </c>
      <c r="AD41" s="13" t="inlineStr">
        <is>
          <t>Strategy GTM!22</t>
        </is>
      </c>
      <c r="AE41">
        <f>IF($A41="","",IF(OR(ISNUMBER(SEARCH("cyber",$D41)),ISNUMBER(SEARCH("security",$D41)),ISNUMBER(SEARCH("safety",$D41)),ISNUMBER(SEARCH("liquidity",$D41)),ISNUMBER(SEARCH("cash",$D41)),ISNUMBER(SEARCH("continuity",$D41)),ISNUMBER(SEARCH("infrastructure",$D41)),ISNUMBER(SEARCH("outage",$D41))),"Fast",IF(OR(ISNUMBER(SEARCH("compliance",$D41)),ISNUMBER(SEARCH("regulat",$D41)),ISNUMBER(SEARCH("data",$D41)),ISNUMBER(SEARCH("talent",$D41)),ISNUMBER(SEARCH("knowledge",$D41)),ISNUMBER(SEARCH("portfolio",$D41)),ISNUMBER(SEARCH("quality",$D41))),"Slow","Medium")))</f>
        <v/>
      </c>
      <c r="AF41">
        <f>IF($A41="","",IFERROR(VLOOKUP($B41,'_CONFIG_Risk_Calibration'!$A$5:$H$21,2,FALSE),3))</f>
        <v/>
      </c>
      <c r="AG41">
        <f>IF($A41="","",IFERROR(VLOOKUP($B41,'_CONFIG_Risk_Calibration'!$A$5:$H$21,3,FALSE),0))</f>
        <v/>
      </c>
      <c r="AH41">
        <f>IF($A41="","",IFERROR(VLOOKUP($B41,'_CONFIG_Risk_Calibration'!$A$5:$H$21,4,FALSE),3))</f>
        <v/>
      </c>
      <c r="AI41">
        <f>IF($A41="","",IFERROR(VLOOKUP($B41,'_CONFIG_Risk_Calibration'!$A$5:$H$21,5,FALSE),3))</f>
        <v/>
      </c>
      <c r="AJ41">
        <f>IF($A41="","",IFERROR(VLOOKUP($B41,'_CONFIG_Risk_Calibration'!$A$5:$H$21,6,FALSE),"No"))</f>
        <v/>
      </c>
      <c r="AK41">
        <f>IF($A41="","",IFERROR(VLOOKUP($B41,'_CONFIG_Risk_Calibration'!$A$5:$H$21,7,FALSE),1))</f>
        <v/>
      </c>
      <c r="AL41">
        <f>IF($A41="","",IFERROR(VLOOKUP($B41,'_CONFIG_Risk_Calibration'!$A$5:$H$21,8,FALSE),""))</f>
        <v/>
      </c>
    </row>
    <row r="42" ht="84" customHeight="1" s="209">
      <c r="A42" s="13" t="inlineStr">
        <is>
          <t>STRA-019</t>
        </is>
      </c>
      <c r="B42" s="13" t="inlineStr">
        <is>
          <t>Strategy GTM</t>
        </is>
      </c>
      <c r="C42" s="13" t="inlineStr">
        <is>
          <t>GTM execution</t>
        </is>
      </c>
      <c r="D42" s="13" t="inlineStr">
        <is>
          <t>Strategic and go-to-market resilience</t>
        </is>
      </c>
      <c r="E42" s="13" t="inlineStr">
        <is>
          <t>How mature is the organization in managing sales playbooks for ICPs, offerings, objections, competitors and crisis-specific customer concerns, including ownership, evidence, metrics, fallback procedures and crisis stress testing?</t>
        </is>
      </c>
      <c r="F42" s="13" t="inlineStr">
        <is>
          <t>Immature capability for sales playbooks for ICPs, offerings, objections, competitors and crisis-specific customer concerns may lead to weak crisis positioning, poor prioritization of segments, revenue leakage and inability to adapt the offering during Demand shock; Financial liquidity crisis; Reputation crisis.</t>
        </is>
      </c>
      <c r="G42" s="13" t="inlineStr">
        <is>
          <t>Low maturity, weak ownership, incomplete evidence, insufficient testing and poor integration with crisis-management routines for sales playbooks for ICPs, offerings, objections, competitors and crisis-specific customer concerns.</t>
        </is>
      </c>
      <c r="H42" s="13" t="inlineStr">
        <is>
          <t>Severe risk: sales playbooks for ICPs, offerings, objections, competitors and crisis-specific customer concerns is not reliably controlled. During Demand shock; Financial liquidity crisis; Reputation crisis, the organization may face weak crisis positioning, poor prioritization of segments, revenue leakage and inability to adapt the offering with limited visibility or accountability.</t>
        </is>
      </c>
      <c r="I42" s="13" t="inlineStr">
        <is>
          <t>High risk: sales playbooks for ICPs, offerings, objections, competitors and crisis-specific customer concerns depends on informal practices or individual knowledge. Disruption may expose weak crisis positioning, poor prioritization of segments, revenue leakage and inability to adapt the offering and slow recovery.</t>
        </is>
      </c>
      <c r="J42" s="13" t="inlineStr">
        <is>
          <t>Elevated risk: sales playbooks for ICPs, offerings, objections, competitors and crisis-specific customer concerns is partially controlled, but coverage, evidence or testing is inconsistent. Crisis response may be fragmented.</t>
        </is>
      </c>
      <c r="K42" s="13" t="inlineStr">
        <is>
          <t>Moderate risk: sales playbooks for ICPs, offerings, objections, competitors and crisis-specific customer concerns is documented and owned, but measurement, stress testing and integration with dependent processes need strengthening.</t>
        </is>
      </c>
      <c r="L42" s="13" t="inlineStr">
        <is>
          <t>Residual risk: sales playbooks for ICPs, offerings, objections, competitors and crisis-specific customer concerns is measured and reviewed, but monitoring, automation or scenario testing should be improved to prevent maturity drift.</t>
        </is>
      </c>
      <c r="M42" s="13" t="inlineStr">
        <is>
          <t>Low residual risk: sales playbooks for ICPs, offerings, objections, competitors and crisis-specific customer concerns is mature and crisis-tested. Maintain monitoring, evidence, ownership and periodic stress testing.</t>
        </is>
      </c>
      <c r="N42" s="13" t="inlineStr">
        <is>
          <t>Create an immediate risk owner, minimum control baseline and fallback procedure for sales playbooks for ICPs, offerings, objections, competitors and crisis-specific customer concerns. Add it to the crisis risk register and collect first evidence.</t>
        </is>
      </c>
      <c r="O42" s="13" t="inlineStr">
        <is>
          <t>Document sales playbooks for ICPs, offerings, objections, competitors and crisis-specific customer concerns, assign RACI, define minimum controls and KPIs, and validate coverage across key sites, teams or systems.</t>
        </is>
      </c>
      <c r="P42" s="13" t="inlineStr">
        <is>
          <t>Standardize sales playbooks for ICPs, offerings, objections, competitors and crisis-specific customer concerns, close coverage gaps, train accountable roles and connect controls to the relevant crisis scenarios and continuity plans.</t>
        </is>
      </c>
      <c r="Q42" s="13" t="inlineStr">
        <is>
          <t>Measure and test sales playbooks for ICPs, offerings, objections, competitors and crisis-specific customer concerns, run tabletop or operational stress tests, integrate it with dependent processes and update crisis playbooks.</t>
        </is>
      </c>
      <c r="R42" s="13" t="inlineStr">
        <is>
          <t>Automate monitoring where practical, define leading indicators, run periodic scenario tests and track residual risk after each major change.</t>
        </is>
      </c>
      <c r="S42" s="13" t="inlineStr">
        <is>
          <t>Sustain maturity for sales playbooks for ICPs, offerings, objections, competitors and crisis-specific customer concerns: keep evidence current, monitor drift, benchmark externally and refresh risk tests after organizational, system or market changes.</t>
        </is>
      </c>
      <c r="T42" s="13" t="n">
        <v>3</v>
      </c>
      <c r="U42" s="13" t="n">
        <v>3</v>
      </c>
      <c r="V42" s="13" t="n">
        <v>2</v>
      </c>
      <c r="W42" s="13" t="n">
        <v>2</v>
      </c>
      <c r="X42" s="13" t="n">
        <v>1</v>
      </c>
      <c r="Y42" s="13" t="n">
        <v>1</v>
      </c>
      <c r="Z42" s="13" t="inlineStr">
        <is>
          <t>ISO 9001; ISO 31000; ISO 37000; McKinsey 7S; OHI; Bain Elements of Value; Jobs-to-be-Done; Porter Five Forces; OKR</t>
        </is>
      </c>
      <c r="AA42" s="13" t="inlineStr">
        <is>
          <t>Policy/SOP; owner/RACI; system report; dashboard; contracts; test records; incident history; interview evidence related to sales playbooks for ICPs, offerings, objections, competitors and crisis-specific customer concerns.</t>
        </is>
      </c>
      <c r="AB42" s="13" t="inlineStr">
        <is>
          <t>Demand shock; Financial liquidity crisis; Reputation crisis</t>
        </is>
      </c>
      <c r="AC42" s="13" t="inlineStr">
        <is>
          <t>CEO / CSO / CCO</t>
        </is>
      </c>
      <c r="AD42" s="13" t="inlineStr">
        <is>
          <t>Strategy GTM!23</t>
        </is>
      </c>
      <c r="AE42">
        <f>IF($A42="","",IF(OR(ISNUMBER(SEARCH("cyber",$D42)),ISNUMBER(SEARCH("security",$D42)),ISNUMBER(SEARCH("safety",$D42)),ISNUMBER(SEARCH("liquidity",$D42)),ISNUMBER(SEARCH("cash",$D42)),ISNUMBER(SEARCH("continuity",$D42)),ISNUMBER(SEARCH("infrastructure",$D42)),ISNUMBER(SEARCH("outage",$D42))),"Fast",IF(OR(ISNUMBER(SEARCH("compliance",$D42)),ISNUMBER(SEARCH("regulat",$D42)),ISNUMBER(SEARCH("data",$D42)),ISNUMBER(SEARCH("talent",$D42)),ISNUMBER(SEARCH("knowledge",$D42)),ISNUMBER(SEARCH("portfolio",$D42)),ISNUMBER(SEARCH("quality",$D42))),"Slow","Medium")))</f>
        <v/>
      </c>
      <c r="AF42">
        <f>IF($A42="","",IFERROR(VLOOKUP($B42,'_CONFIG_Risk_Calibration'!$A$5:$H$21,2,FALSE),3))</f>
        <v/>
      </c>
      <c r="AG42">
        <f>IF($A42="","",IFERROR(VLOOKUP($B42,'_CONFIG_Risk_Calibration'!$A$5:$H$21,3,FALSE),0))</f>
        <v/>
      </c>
      <c r="AH42">
        <f>IF($A42="","",IFERROR(VLOOKUP($B42,'_CONFIG_Risk_Calibration'!$A$5:$H$21,4,FALSE),3))</f>
        <v/>
      </c>
      <c r="AI42">
        <f>IF($A42="","",IFERROR(VLOOKUP($B42,'_CONFIG_Risk_Calibration'!$A$5:$H$21,5,FALSE),3))</f>
        <v/>
      </c>
      <c r="AJ42">
        <f>IF($A42="","",IFERROR(VLOOKUP($B42,'_CONFIG_Risk_Calibration'!$A$5:$H$21,6,FALSE),"No"))</f>
        <v/>
      </c>
      <c r="AK42">
        <f>IF($A42="","",IFERROR(VLOOKUP($B42,'_CONFIG_Risk_Calibration'!$A$5:$H$21,7,FALSE),1))</f>
        <v/>
      </c>
      <c r="AL42">
        <f>IF($A42="","",IFERROR(VLOOKUP($B42,'_CONFIG_Risk_Calibration'!$A$5:$H$21,8,FALSE),""))</f>
        <v/>
      </c>
    </row>
    <row r="43" ht="84" customHeight="1" s="209">
      <c r="A43" s="13" t="inlineStr">
        <is>
          <t>STRA-020</t>
        </is>
      </c>
      <c r="B43" s="13" t="inlineStr">
        <is>
          <t>Strategy GTM</t>
        </is>
      </c>
      <c r="C43" s="13" t="inlineStr">
        <is>
          <t>GTM execution</t>
        </is>
      </c>
      <c r="D43" s="13" t="inlineStr">
        <is>
          <t>Strategic and go-to-market resilience</t>
        </is>
      </c>
      <c r="E43" s="13" t="inlineStr">
        <is>
          <t>How mature is the organization in managing pipeline governance with clear stages, qualification criteria, forecast probability and CRM discipline, including ownership, evidence, metrics, fallback procedures and crisis stress testing?</t>
        </is>
      </c>
      <c r="F43" s="13" t="inlineStr">
        <is>
          <t>Immature capability for pipeline governance with clear stages, qualification criteria, forecast probability and CRM discipline may lead to weak crisis positioning, poor prioritization of segments, revenue leakage and inability to adapt the offering during Demand shock; Financial liquidity crisis; Reputation crisis.</t>
        </is>
      </c>
      <c r="G43" s="13" t="inlineStr">
        <is>
          <t>Low maturity, weak ownership, incomplete evidence, insufficient testing and poor integration with crisis-management routines for pipeline governance with clear stages, qualification criteria, forecast probability and CRM discipline.</t>
        </is>
      </c>
      <c r="H43" s="13" t="inlineStr">
        <is>
          <t>Severe risk: pipeline governance with clear stages, qualification criteria, forecast probability and CRM discipline is not reliably controlled. During Demand shock; Financial liquidity crisis; Reputation crisis, the organization may face weak crisis positioning, poor prioritization of segments, revenue leakage and inability to adapt the offering with limited visibility or accountability.</t>
        </is>
      </c>
      <c r="I43" s="13" t="inlineStr">
        <is>
          <t>High risk: pipeline governance with clear stages, qualification criteria, forecast probability and CRM discipline depends on informal practices or individual knowledge. Disruption may expose weak crisis positioning, poor prioritization of segments, revenue leakage and inability to adapt the offering and slow recovery.</t>
        </is>
      </c>
      <c r="J43" s="13" t="inlineStr">
        <is>
          <t>Elevated risk: pipeline governance with clear stages, qualification criteria, forecast probability and CRM discipline is partially controlled, but coverage, evidence or testing is inconsistent. Crisis response may be fragmented.</t>
        </is>
      </c>
      <c r="K43" s="13" t="inlineStr">
        <is>
          <t>Moderate risk: pipeline governance with clear stages, qualification criteria, forecast probability and CRM discipline is documented and owned, but measurement, stress testing and integration with dependent processes need strengthening.</t>
        </is>
      </c>
      <c r="L43" s="13" t="inlineStr">
        <is>
          <t>Residual risk: pipeline governance with clear stages, qualification criteria, forecast probability and CRM discipline is measured and reviewed, but monitoring, automation or scenario testing should be improved to prevent maturity drift.</t>
        </is>
      </c>
      <c r="M43" s="13" t="inlineStr">
        <is>
          <t>Low residual risk: pipeline governance with clear stages, qualification criteria, forecast probability and CRM discipline is mature and crisis-tested. Maintain monitoring, evidence, ownership and periodic stress testing.</t>
        </is>
      </c>
      <c r="N43" s="13" t="inlineStr">
        <is>
          <t>Create an immediate risk owner, minimum control baseline and fallback procedure for pipeline governance with clear stages, qualification criteria, forecast probability and CRM discipline. Add it to the crisis risk register and collect first evidence.</t>
        </is>
      </c>
      <c r="O43" s="13" t="inlineStr">
        <is>
          <t>Document pipeline governance with clear stages, qualification criteria, forecast probability and CRM discipline, assign RACI, define minimum controls and KPIs, and validate coverage across key sites, teams or systems.</t>
        </is>
      </c>
      <c r="P43" s="13" t="inlineStr">
        <is>
          <t>Standardize pipeline governance with clear stages, qualification criteria, forecast probability and CRM discipline, close coverage gaps, train accountable roles and connect controls to the relevant crisis scenarios and continuity plans.</t>
        </is>
      </c>
      <c r="Q43" s="13" t="inlineStr">
        <is>
          <t>Measure and test pipeline governance with clear stages, qualification criteria, forecast probability and CRM discipline, run tabletop or operational stress tests, integrate it with dependent processes and update crisis playbooks.</t>
        </is>
      </c>
      <c r="R43" s="13" t="inlineStr">
        <is>
          <t>Automate monitoring where practical, define leading indicators, run periodic scenario tests and track residual risk after each major change.</t>
        </is>
      </c>
      <c r="S43" s="13" t="inlineStr">
        <is>
          <t>Sustain maturity for pipeline governance with clear stages, qualification criteria, forecast probability and CRM discipline: keep evidence current, monitor drift, benchmark externally and refresh risk tests after organizational, system or market changes.</t>
        </is>
      </c>
      <c r="T43" s="13" t="n">
        <v>3</v>
      </c>
      <c r="U43" s="13" t="n">
        <v>3</v>
      </c>
      <c r="V43" s="13" t="n">
        <v>2</v>
      </c>
      <c r="W43" s="13" t="n">
        <v>2</v>
      </c>
      <c r="X43" s="13" t="n">
        <v>1</v>
      </c>
      <c r="Y43" s="13" t="n">
        <v>1</v>
      </c>
      <c r="Z43" s="13" t="inlineStr">
        <is>
          <t>ISO 9001; ISO 31000; ISO 37000; McKinsey 7S; OHI; Bain Elements of Value; Jobs-to-be-Done; Porter Five Forces; OKR</t>
        </is>
      </c>
      <c r="AA43" s="13" t="inlineStr">
        <is>
          <t>Policy/SOP; owner/RACI; system report; dashboard; contracts; test records; incident history; interview evidence related to pipeline governance with clear stages, qualification criteria, forecast probability and CRM discipline.</t>
        </is>
      </c>
      <c r="AB43" s="13" t="inlineStr">
        <is>
          <t>Demand shock; Financial liquidity crisis; Reputation crisis</t>
        </is>
      </c>
      <c r="AC43" s="13" t="inlineStr">
        <is>
          <t>CEO / CSO / CCO</t>
        </is>
      </c>
      <c r="AD43" s="13" t="inlineStr">
        <is>
          <t>Strategy GTM!24</t>
        </is>
      </c>
      <c r="AE43">
        <f>IF($A43="","",IF(OR(ISNUMBER(SEARCH("cyber",$D43)),ISNUMBER(SEARCH("security",$D43)),ISNUMBER(SEARCH("safety",$D43)),ISNUMBER(SEARCH("liquidity",$D43)),ISNUMBER(SEARCH("cash",$D43)),ISNUMBER(SEARCH("continuity",$D43)),ISNUMBER(SEARCH("infrastructure",$D43)),ISNUMBER(SEARCH("outage",$D43))),"Fast",IF(OR(ISNUMBER(SEARCH("compliance",$D43)),ISNUMBER(SEARCH("regulat",$D43)),ISNUMBER(SEARCH("data",$D43)),ISNUMBER(SEARCH("talent",$D43)),ISNUMBER(SEARCH("knowledge",$D43)),ISNUMBER(SEARCH("portfolio",$D43)),ISNUMBER(SEARCH("quality",$D43))),"Slow","Medium")))</f>
        <v/>
      </c>
      <c r="AF43">
        <f>IF($A43="","",IFERROR(VLOOKUP($B43,'_CONFIG_Risk_Calibration'!$A$5:$H$21,2,FALSE),3))</f>
        <v/>
      </c>
      <c r="AG43">
        <f>IF($A43="","",IFERROR(VLOOKUP($B43,'_CONFIG_Risk_Calibration'!$A$5:$H$21,3,FALSE),0))</f>
        <v/>
      </c>
      <c r="AH43">
        <f>IF($A43="","",IFERROR(VLOOKUP($B43,'_CONFIG_Risk_Calibration'!$A$5:$H$21,4,FALSE),3))</f>
        <v/>
      </c>
      <c r="AI43">
        <f>IF($A43="","",IFERROR(VLOOKUP($B43,'_CONFIG_Risk_Calibration'!$A$5:$H$21,5,FALSE),3))</f>
        <v/>
      </c>
      <c r="AJ43">
        <f>IF($A43="","",IFERROR(VLOOKUP($B43,'_CONFIG_Risk_Calibration'!$A$5:$H$21,6,FALSE),"No"))</f>
        <v/>
      </c>
      <c r="AK43">
        <f>IF($A43="","",IFERROR(VLOOKUP($B43,'_CONFIG_Risk_Calibration'!$A$5:$H$21,7,FALSE),1))</f>
        <v/>
      </c>
      <c r="AL43">
        <f>IF($A43="","",IFERROR(VLOOKUP($B43,'_CONFIG_Risk_Calibration'!$A$5:$H$21,8,FALSE),""))</f>
        <v/>
      </c>
    </row>
    <row r="44" ht="84" customHeight="1" s="209">
      <c r="A44" s="13" t="inlineStr">
        <is>
          <t>STRA-021</t>
        </is>
      </c>
      <c r="B44" s="13" t="inlineStr">
        <is>
          <t>Strategy GTM</t>
        </is>
      </c>
      <c r="C44" s="13" t="inlineStr">
        <is>
          <t>GTM execution</t>
        </is>
      </c>
      <c r="D44" s="13" t="inlineStr">
        <is>
          <t>Strategic and go-to-market resilience</t>
        </is>
      </c>
      <c r="E44" s="13" t="inlineStr">
        <is>
          <t>How mature is the organization in managing channel strategy across direct sales, partners, ecommerce, marketplaces, distributors and digital channels, including ownership, evidence, metrics, fallback procedures and crisis stress testing?</t>
        </is>
      </c>
      <c r="F44" s="13" t="inlineStr">
        <is>
          <t>Immature capability for channel strategy across direct sales, partners, ecommerce, marketplaces, distributors and digital channels may lead to weak crisis positioning, poor prioritization of segments, revenue leakage and inability to adapt the offering during Demand shock; Financial liquidity crisis; Reputation crisis.</t>
        </is>
      </c>
      <c r="G44" s="13" t="inlineStr">
        <is>
          <t>Low maturity, weak ownership, incomplete evidence, insufficient testing and poor integration with crisis-management routines for channel strategy across direct sales, partners, ecommerce, marketplaces, distributors and digital channels.</t>
        </is>
      </c>
      <c r="H44" s="13" t="inlineStr">
        <is>
          <t>Severe risk: channel strategy across direct sales, partners, ecommerce, marketplaces, distributors and digital channels is not reliably controlled. During Demand shock; Financial liquidity crisis; Reputation crisis, the organization may face weak crisis positioning, poor prioritization of segments, revenue leakage and inability to adapt the offering with limited visibility or accountability.</t>
        </is>
      </c>
      <c r="I44" s="13" t="inlineStr">
        <is>
          <t>High risk: channel strategy across direct sales, partners, ecommerce, marketplaces, distributors and digital channels depends on informal practices or individual knowledge. Disruption may expose weak crisis positioning, poor prioritization of segments, revenue leakage and inability to adapt the offering and slow recovery.</t>
        </is>
      </c>
      <c r="J44" s="13" t="inlineStr">
        <is>
          <t>Elevated risk: channel strategy across direct sales, partners, ecommerce, marketplaces, distributors and digital channels is partially controlled, but coverage, evidence or testing is inconsistent. Crisis response may be fragmented.</t>
        </is>
      </c>
      <c r="K44" s="13" t="inlineStr">
        <is>
          <t>Moderate risk: channel strategy across direct sales, partners, ecommerce, marketplaces, distributors and digital channels is documented and owned, but measurement, stress testing and integration with dependent processes need strengthening.</t>
        </is>
      </c>
      <c r="L44" s="13" t="inlineStr">
        <is>
          <t>Residual risk: channel strategy across direct sales, partners, ecommerce, marketplaces, distributors and digital channels is measured and reviewed, but monitoring, automation or scenario testing should be improved to prevent maturity drift.</t>
        </is>
      </c>
      <c r="M44" s="13" t="inlineStr">
        <is>
          <t>Low residual risk: channel strategy across direct sales, partners, ecommerce, marketplaces, distributors and digital channels is mature and crisis-tested. Maintain monitoring, evidence, ownership and periodic stress testing.</t>
        </is>
      </c>
      <c r="N44" s="13" t="inlineStr">
        <is>
          <t>Create an immediate risk owner, minimum control baseline and fallback procedure for channel strategy across direct sales, partners, ecommerce, marketplaces, distributors and digital channels. Add it to the crisis risk register and collect first evidence.</t>
        </is>
      </c>
      <c r="O44" s="13" t="inlineStr">
        <is>
          <t>Document channel strategy across direct sales, partners, ecommerce, marketplaces, distributors and digital channels, assign RACI, define minimum controls and KPIs, and validate coverage across key sites, teams or systems.</t>
        </is>
      </c>
      <c r="P44" s="13" t="inlineStr">
        <is>
          <t>Standardize channel strategy across direct sales, partners, ecommerce, marketplaces, distributors and digital channels, close coverage gaps, train accountable roles and connect controls to the relevant crisis scenarios and continuity plans.</t>
        </is>
      </c>
      <c r="Q44" s="13" t="inlineStr">
        <is>
          <t>Measure and test channel strategy across direct sales, partners, ecommerce, marketplaces, distributors and digital channels, run tabletop or operational stress tests, integrate it with dependent processes and update crisis playbooks.</t>
        </is>
      </c>
      <c r="R44" s="13" t="inlineStr">
        <is>
          <t>Automate monitoring where practical, define leading indicators, run periodic scenario tests and track residual risk after each major change.</t>
        </is>
      </c>
      <c r="S44" s="13" t="inlineStr">
        <is>
          <t>Sustain maturity for channel strategy across direct sales, partners, ecommerce, marketplaces, distributors and digital channels: keep evidence current, monitor drift, benchmark externally and refresh risk tests after organizational, system or market changes.</t>
        </is>
      </c>
      <c r="T44" s="13" t="n">
        <v>3</v>
      </c>
      <c r="U44" s="13" t="n">
        <v>3</v>
      </c>
      <c r="V44" s="13" t="n">
        <v>2</v>
      </c>
      <c r="W44" s="13" t="n">
        <v>2</v>
      </c>
      <c r="X44" s="13" t="n">
        <v>1</v>
      </c>
      <c r="Y44" s="13" t="n">
        <v>1</v>
      </c>
      <c r="Z44" s="13" t="inlineStr">
        <is>
          <t>ISO 9001; ISO 31000; ISO 37000; McKinsey 7S; OHI; Bain Elements of Value; Jobs-to-be-Done; Porter Five Forces; OKR</t>
        </is>
      </c>
      <c r="AA44" s="13" t="inlineStr">
        <is>
          <t>Policy/SOP; owner/RACI; system report; dashboard; contracts; test records; incident history; interview evidence related to channel strategy across direct sales, partners, ecommerce, marketplaces, distributors and digital channels.</t>
        </is>
      </c>
      <c r="AB44" s="13" t="inlineStr">
        <is>
          <t>Demand shock; Financial liquidity crisis; Reputation crisis</t>
        </is>
      </c>
      <c r="AC44" s="13" t="inlineStr">
        <is>
          <t>CEO / CSO / CCO</t>
        </is>
      </c>
      <c r="AD44" s="13" t="inlineStr">
        <is>
          <t>Strategy GTM!25</t>
        </is>
      </c>
      <c r="AE44">
        <f>IF($A44="","",IF(OR(ISNUMBER(SEARCH("cyber",$D44)),ISNUMBER(SEARCH("security",$D44)),ISNUMBER(SEARCH("safety",$D44)),ISNUMBER(SEARCH("liquidity",$D44)),ISNUMBER(SEARCH("cash",$D44)),ISNUMBER(SEARCH("continuity",$D44)),ISNUMBER(SEARCH("infrastructure",$D44)),ISNUMBER(SEARCH("outage",$D44))),"Fast",IF(OR(ISNUMBER(SEARCH("compliance",$D44)),ISNUMBER(SEARCH("regulat",$D44)),ISNUMBER(SEARCH("data",$D44)),ISNUMBER(SEARCH("talent",$D44)),ISNUMBER(SEARCH("knowledge",$D44)),ISNUMBER(SEARCH("portfolio",$D44)),ISNUMBER(SEARCH("quality",$D44))),"Slow","Medium")))</f>
        <v/>
      </c>
      <c r="AF44">
        <f>IF($A44="","",IFERROR(VLOOKUP($B44,'_CONFIG_Risk_Calibration'!$A$5:$H$21,2,FALSE),3))</f>
        <v/>
      </c>
      <c r="AG44">
        <f>IF($A44="","",IFERROR(VLOOKUP($B44,'_CONFIG_Risk_Calibration'!$A$5:$H$21,3,FALSE),0))</f>
        <v/>
      </c>
      <c r="AH44">
        <f>IF($A44="","",IFERROR(VLOOKUP($B44,'_CONFIG_Risk_Calibration'!$A$5:$H$21,4,FALSE),3))</f>
        <v/>
      </c>
      <c r="AI44">
        <f>IF($A44="","",IFERROR(VLOOKUP($B44,'_CONFIG_Risk_Calibration'!$A$5:$H$21,5,FALSE),3))</f>
        <v/>
      </c>
      <c r="AJ44">
        <f>IF($A44="","",IFERROR(VLOOKUP($B44,'_CONFIG_Risk_Calibration'!$A$5:$H$21,6,FALSE),"No"))</f>
        <v/>
      </c>
      <c r="AK44">
        <f>IF($A44="","",IFERROR(VLOOKUP($B44,'_CONFIG_Risk_Calibration'!$A$5:$H$21,7,FALSE),1))</f>
        <v/>
      </c>
      <c r="AL44">
        <f>IF($A44="","",IFERROR(VLOOKUP($B44,'_CONFIG_Risk_Calibration'!$A$5:$H$21,8,FALSE),""))</f>
        <v/>
      </c>
    </row>
    <row r="45" ht="72" customHeight="1" s="209">
      <c r="A45" s="13" t="inlineStr">
        <is>
          <t>STRA-022</t>
        </is>
      </c>
      <c r="B45" s="13" t="inlineStr">
        <is>
          <t>Strategy GTM</t>
        </is>
      </c>
      <c r="C45" s="13" t="inlineStr">
        <is>
          <t>GTM execution</t>
        </is>
      </c>
      <c r="D45" s="13" t="inlineStr">
        <is>
          <t>Strategic and go-to-market resilience</t>
        </is>
      </c>
      <c r="E45" s="13" t="inlineStr">
        <is>
          <t>How mature is the organization in managing win/loss analysis feeding back into strategy, offering, pricing and messaging, including ownership, evidence, metrics, fallback procedures and crisis stress testing?</t>
        </is>
      </c>
      <c r="F45" s="13" t="inlineStr">
        <is>
          <t>Immature capability for win/loss analysis feeding back into strategy, offering, pricing and messaging may lead to weak crisis positioning, poor prioritization of segments, revenue leakage and inability to adapt the offering during Demand shock; Financial liquidity crisis; Reputation crisis.</t>
        </is>
      </c>
      <c r="G45" s="13" t="inlineStr">
        <is>
          <t>Low maturity, weak ownership, incomplete evidence, insufficient testing and poor integration with crisis-management routines for win/loss analysis feeding back into strategy, offering, pricing and messaging.</t>
        </is>
      </c>
      <c r="H45" s="13" t="inlineStr">
        <is>
          <t>Severe risk: win/loss analysis feeding back into strategy, offering, pricing and messaging is not reliably controlled. During Demand shock; Financial liquidity crisis; Reputation crisis, the organization may face weak crisis positioning, poor prioritization of segments, revenue leakage and inability to adapt the offering with limited visibility or accountability.</t>
        </is>
      </c>
      <c r="I45" s="13" t="inlineStr">
        <is>
          <t>High risk: win/loss analysis feeding back into strategy, offering, pricing and messaging depends on informal practices or individual knowledge. Disruption may expose weak crisis positioning, poor prioritization of segments, revenue leakage and inability to adapt the offering and slow recovery.</t>
        </is>
      </c>
      <c r="J45" s="13" t="inlineStr">
        <is>
          <t>Elevated risk: win/loss analysis feeding back into strategy, offering, pricing and messaging is partially controlled, but coverage, evidence or testing is inconsistent. Crisis response may be fragmented.</t>
        </is>
      </c>
      <c r="K45" s="13" t="inlineStr">
        <is>
          <t>Moderate risk: win/loss analysis feeding back into strategy, offering, pricing and messaging is documented and owned, but measurement, stress testing and integration with dependent processes need strengthening.</t>
        </is>
      </c>
      <c r="L45" s="13" t="inlineStr">
        <is>
          <t>Residual risk: win/loss analysis feeding back into strategy, offering, pricing and messaging is measured and reviewed, but monitoring, automation or scenario testing should be improved to prevent maturity drift.</t>
        </is>
      </c>
      <c r="M45" s="13" t="inlineStr">
        <is>
          <t>Low residual risk: win/loss analysis feeding back into strategy, offering, pricing and messaging is mature and crisis-tested. Maintain monitoring, evidence, ownership and periodic stress testing.</t>
        </is>
      </c>
      <c r="N45" s="13" t="inlineStr">
        <is>
          <t>Create an immediate risk owner, minimum control baseline and fallback procedure for win/loss analysis feeding back into strategy, offering, pricing and messaging. Add it to the crisis risk register and collect first evidence.</t>
        </is>
      </c>
      <c r="O45" s="13" t="inlineStr">
        <is>
          <t>Document win/loss analysis feeding back into strategy, offering, pricing and messaging, assign RACI, define minimum controls and KPIs, and validate coverage across key sites, teams or systems.</t>
        </is>
      </c>
      <c r="P45" s="13" t="inlineStr">
        <is>
          <t>Standardize win/loss analysis feeding back into strategy, offering, pricing and messaging, close coverage gaps, train accountable roles and connect controls to the relevant crisis scenarios and continuity plans.</t>
        </is>
      </c>
      <c r="Q45" s="13" t="inlineStr">
        <is>
          <t>Measure and test win/loss analysis feeding back into strategy, offering, pricing and messaging, run tabletop or operational stress tests, integrate it with dependent processes and update crisis playbooks.</t>
        </is>
      </c>
      <c r="R45" s="13" t="inlineStr">
        <is>
          <t>Automate monitoring where practical, define leading indicators, run periodic scenario tests and track residual risk after each major change.</t>
        </is>
      </c>
      <c r="S45" s="13" t="inlineStr">
        <is>
          <t>Sustain maturity for win/loss analysis feeding back into strategy, offering, pricing and messaging: keep evidence current, monitor drift, benchmark externally and refresh risk tests after organizational, system or market changes.</t>
        </is>
      </c>
      <c r="T45" s="13" t="n">
        <v>3</v>
      </c>
      <c r="U45" s="13" t="n">
        <v>3</v>
      </c>
      <c r="V45" s="13" t="n">
        <v>2</v>
      </c>
      <c r="W45" s="13" t="n">
        <v>2</v>
      </c>
      <c r="X45" s="13" t="n">
        <v>1</v>
      </c>
      <c r="Y45" s="13" t="n">
        <v>1</v>
      </c>
      <c r="Z45" s="13" t="inlineStr">
        <is>
          <t>ISO 9001; ISO 31000; ISO 37000; McKinsey 7S; OHI; Bain Elements of Value; Jobs-to-be-Done; Porter Five Forces; OKR</t>
        </is>
      </c>
      <c r="AA45" s="13" t="inlineStr">
        <is>
          <t>Policy/SOP; owner/RACI; system report; dashboard; contracts; test records; incident history; interview evidence related to win/loss analysis feeding back into strategy, offering, pricing and messaging.</t>
        </is>
      </c>
      <c r="AB45" s="13" t="inlineStr">
        <is>
          <t>Demand shock; Financial liquidity crisis; Reputation crisis</t>
        </is>
      </c>
      <c r="AC45" s="13" t="inlineStr">
        <is>
          <t>CEO / CSO / CCO</t>
        </is>
      </c>
      <c r="AD45" s="13" t="inlineStr">
        <is>
          <t>Strategy GTM!26</t>
        </is>
      </c>
      <c r="AE45">
        <f>IF($A45="","",IF(OR(ISNUMBER(SEARCH("cyber",$D45)),ISNUMBER(SEARCH("security",$D45)),ISNUMBER(SEARCH("safety",$D45)),ISNUMBER(SEARCH("liquidity",$D45)),ISNUMBER(SEARCH("cash",$D45)),ISNUMBER(SEARCH("continuity",$D45)),ISNUMBER(SEARCH("infrastructure",$D45)),ISNUMBER(SEARCH("outage",$D45))),"Fast",IF(OR(ISNUMBER(SEARCH("compliance",$D45)),ISNUMBER(SEARCH("regulat",$D45)),ISNUMBER(SEARCH("data",$D45)),ISNUMBER(SEARCH("talent",$D45)),ISNUMBER(SEARCH("knowledge",$D45)),ISNUMBER(SEARCH("portfolio",$D45)),ISNUMBER(SEARCH("quality",$D45))),"Slow","Medium")))</f>
        <v/>
      </c>
      <c r="AF45">
        <f>IF($A45="","",IFERROR(VLOOKUP($B45,'_CONFIG_Risk_Calibration'!$A$5:$H$21,2,FALSE),3))</f>
        <v/>
      </c>
      <c r="AG45">
        <f>IF($A45="","",IFERROR(VLOOKUP($B45,'_CONFIG_Risk_Calibration'!$A$5:$H$21,3,FALSE),0))</f>
        <v/>
      </c>
      <c r="AH45">
        <f>IF($A45="","",IFERROR(VLOOKUP($B45,'_CONFIG_Risk_Calibration'!$A$5:$H$21,4,FALSE),3))</f>
        <v/>
      </c>
      <c r="AI45">
        <f>IF($A45="","",IFERROR(VLOOKUP($B45,'_CONFIG_Risk_Calibration'!$A$5:$H$21,5,FALSE),3))</f>
        <v/>
      </c>
      <c r="AJ45">
        <f>IF($A45="","",IFERROR(VLOOKUP($B45,'_CONFIG_Risk_Calibration'!$A$5:$H$21,6,FALSE),"No"))</f>
        <v/>
      </c>
      <c r="AK45">
        <f>IF($A45="","",IFERROR(VLOOKUP($B45,'_CONFIG_Risk_Calibration'!$A$5:$H$21,7,FALSE),1))</f>
        <v/>
      </c>
      <c r="AL45">
        <f>IF($A45="","",IFERROR(VLOOKUP($B45,'_CONFIG_Risk_Calibration'!$A$5:$H$21,8,FALSE),""))</f>
        <v/>
      </c>
    </row>
    <row r="46" ht="84" customHeight="1" s="209">
      <c r="A46" s="13" t="inlineStr">
        <is>
          <t>STRA-024</t>
        </is>
      </c>
      <c r="B46" s="13" t="inlineStr">
        <is>
          <t>Strategy GTM</t>
        </is>
      </c>
      <c r="C46" s="13" t="inlineStr">
        <is>
          <t>GTM execution</t>
        </is>
      </c>
      <c r="D46" s="13" t="inlineStr">
        <is>
          <t>Strategic and go-to-market resilience</t>
        </is>
      </c>
      <c r="E46" s="13" t="inlineStr">
        <is>
          <t>How mature is the organization in managing leading indicators for demand, churn, pricing pressure, conversion, sales velocity and customer health, including ownership, evidence, metrics, fallback procedures and crisis stress testing?</t>
        </is>
      </c>
      <c r="F46" s="13" t="inlineStr">
        <is>
          <t>Immature capability for leading indicators for demand, churn, pricing pressure, conversion, sales velocity and customer health may lead to weak crisis positioning, poor prioritization of segments, revenue leakage and inability to adapt the offering during Demand shock; Financial liquidity crisis; Reputation crisis.</t>
        </is>
      </c>
      <c r="G46" s="13" t="inlineStr">
        <is>
          <t>Low maturity, weak ownership, incomplete evidence, insufficient testing and poor integration with crisis-management routines for leading indicators for demand, churn, pricing pressure, conversion, sales velocity and customer health.</t>
        </is>
      </c>
      <c r="H46" s="13" t="inlineStr">
        <is>
          <t>Severe risk: leading indicators for demand, churn, pricing pressure, conversion, sales velocity and customer health is not reliably controlled. During Demand shock; Financial liquidity crisis; Reputation crisis, the organization may face weak crisis positioning, poor prioritization of segments, revenue leakage and inability to adapt the offering with limited visibility or accountability.</t>
        </is>
      </c>
      <c r="I46" s="13" t="inlineStr">
        <is>
          <t>High risk: leading indicators for demand, churn, pricing pressure, conversion, sales velocity and customer health depends on informal practices or individual knowledge. Disruption may expose weak crisis positioning, poor prioritization of segments, revenue leakage and inability to adapt the offering and slow recovery.</t>
        </is>
      </c>
      <c r="J46" s="13" t="inlineStr">
        <is>
          <t>Elevated risk: leading indicators for demand, churn, pricing pressure, conversion, sales velocity and customer health is partially controlled, but coverage, evidence or testing is inconsistent. Crisis response may be fragmented.</t>
        </is>
      </c>
      <c r="K46" s="13" t="inlineStr">
        <is>
          <t>Moderate risk: leading indicators for demand, churn, pricing pressure, conversion, sales velocity and customer health is documented and owned, but measurement, stress testing and integration with dependent processes need strengthening.</t>
        </is>
      </c>
      <c r="L46" s="13" t="inlineStr">
        <is>
          <t>Residual risk: leading indicators for demand, churn, pricing pressure, conversion, sales velocity and customer health is measured and reviewed, but monitoring, automation or scenario testing should be improved to prevent maturity drift.</t>
        </is>
      </c>
      <c r="M46" s="13" t="inlineStr">
        <is>
          <t>Low residual risk: leading indicators for demand, churn, pricing pressure, conversion, sales velocity and customer health is mature and crisis-tested. Maintain monitoring, evidence, ownership and periodic stress testing.</t>
        </is>
      </c>
      <c r="N46" s="13" t="inlineStr">
        <is>
          <t>Create an immediate risk owner, minimum control baseline and fallback procedure for leading indicators for demand, churn, pricing pressure, conversion, sales velocity and customer health. Add it to the crisis risk register and collect first evidence.</t>
        </is>
      </c>
      <c r="O46" s="13" t="inlineStr">
        <is>
          <t>Document leading indicators for demand, churn, pricing pressure, conversion, sales velocity and customer health, assign RACI, define minimum controls and KPIs, and validate coverage across key sites, teams or systems.</t>
        </is>
      </c>
      <c r="P46" s="13" t="inlineStr">
        <is>
          <t>Standardize leading indicators for demand, churn, pricing pressure, conversion, sales velocity and customer health, close coverage gaps, train accountable roles and connect controls to the relevant crisis scenarios and continuity plans.</t>
        </is>
      </c>
      <c r="Q46" s="13" t="inlineStr">
        <is>
          <t>Measure and test leading indicators for demand, churn, pricing pressure, conversion, sales velocity and customer health, run tabletop or operational stress tests, integrate it with dependent processes and update crisis playbooks.</t>
        </is>
      </c>
      <c r="R46" s="13" t="inlineStr">
        <is>
          <t>Automate monitoring where practical, define leading indicators, run periodic scenario tests and track residual risk after each major change.</t>
        </is>
      </c>
      <c r="S46" s="13" t="inlineStr">
        <is>
          <t>Sustain maturity for leading indicators for demand, churn, pricing pressure, conversion, sales velocity and customer health: keep evidence current, monitor drift, benchmark externally and refresh risk tests after organizational, system or market changes.</t>
        </is>
      </c>
      <c r="T46" s="13" t="n">
        <v>3</v>
      </c>
      <c r="U46" s="13" t="n">
        <v>3</v>
      </c>
      <c r="V46" s="13" t="n">
        <v>2</v>
      </c>
      <c r="W46" s="13" t="n">
        <v>2</v>
      </c>
      <c r="X46" s="13" t="n">
        <v>1</v>
      </c>
      <c r="Y46" s="13" t="n">
        <v>1</v>
      </c>
      <c r="Z46" s="13" t="inlineStr">
        <is>
          <t>ISO 9001; ISO 31000; ISO 37000; McKinsey 7S; OHI; Bain Elements of Value; Jobs-to-be-Done; Porter Five Forces; OKR</t>
        </is>
      </c>
      <c r="AA46" s="13" t="inlineStr">
        <is>
          <t>Policy/SOP; owner/RACI; system report; dashboard; contracts; test records; incident history; interview evidence related to leading indicators for demand, churn, pricing pressure, conversion, sales velocity and customer health.</t>
        </is>
      </c>
      <c r="AB46" s="13" t="inlineStr">
        <is>
          <t>Demand shock; Financial liquidity crisis; Reputation crisis</t>
        </is>
      </c>
      <c r="AC46" s="13" t="inlineStr">
        <is>
          <t>CEO / CSO / CCO</t>
        </is>
      </c>
      <c r="AD46" s="13" t="inlineStr">
        <is>
          <t>Strategy GTM!27</t>
        </is>
      </c>
      <c r="AE46">
        <f>IF($A46="","",IF(OR(ISNUMBER(SEARCH("cyber",$D46)),ISNUMBER(SEARCH("security",$D46)),ISNUMBER(SEARCH("safety",$D46)),ISNUMBER(SEARCH("liquidity",$D46)),ISNUMBER(SEARCH("cash",$D46)),ISNUMBER(SEARCH("continuity",$D46)),ISNUMBER(SEARCH("infrastructure",$D46)),ISNUMBER(SEARCH("outage",$D46))),"Fast",IF(OR(ISNUMBER(SEARCH("compliance",$D46)),ISNUMBER(SEARCH("regulat",$D46)),ISNUMBER(SEARCH("data",$D46)),ISNUMBER(SEARCH("talent",$D46)),ISNUMBER(SEARCH("knowledge",$D46)),ISNUMBER(SEARCH("portfolio",$D46)),ISNUMBER(SEARCH("quality",$D46))),"Slow","Medium")))</f>
        <v/>
      </c>
      <c r="AF46">
        <f>IF($A46="","",IFERROR(VLOOKUP($B46,'_CONFIG_Risk_Calibration'!$A$5:$H$21,2,FALSE),3))</f>
        <v/>
      </c>
      <c r="AG46">
        <f>IF($A46="","",IFERROR(VLOOKUP($B46,'_CONFIG_Risk_Calibration'!$A$5:$H$21,3,FALSE),0))</f>
        <v/>
      </c>
      <c r="AH46">
        <f>IF($A46="","",IFERROR(VLOOKUP($B46,'_CONFIG_Risk_Calibration'!$A$5:$H$21,4,FALSE),3))</f>
        <v/>
      </c>
      <c r="AI46">
        <f>IF($A46="","",IFERROR(VLOOKUP($B46,'_CONFIG_Risk_Calibration'!$A$5:$H$21,5,FALSE),3))</f>
        <v/>
      </c>
      <c r="AJ46">
        <f>IF($A46="","",IFERROR(VLOOKUP($B46,'_CONFIG_Risk_Calibration'!$A$5:$H$21,6,FALSE),"No"))</f>
        <v/>
      </c>
      <c r="AK46">
        <f>IF($A46="","",IFERROR(VLOOKUP($B46,'_CONFIG_Risk_Calibration'!$A$5:$H$21,7,FALSE),1))</f>
        <v/>
      </c>
      <c r="AL46">
        <f>IF($A46="","",IFERROR(VLOOKUP($B46,'_CONFIG_Risk_Calibration'!$A$5:$H$21,8,FALSE),""))</f>
        <v/>
      </c>
    </row>
    <row r="47" ht="84" customHeight="1" s="209">
      <c r="A47" s="13" t="inlineStr">
        <is>
          <t>STRA-025</t>
        </is>
      </c>
      <c r="B47" s="13" t="inlineStr">
        <is>
          <t>Strategy GTM</t>
        </is>
      </c>
      <c r="C47" s="13" t="inlineStr">
        <is>
          <t>External relations and partnerships</t>
        </is>
      </c>
      <c r="D47" s="13" t="inlineStr">
        <is>
          <t>External relationships and stakeholder resilience</t>
        </is>
      </c>
      <c r="E47" s="13" t="inlineStr">
        <is>
          <t>How mature is the organization in managing partner and alliance portfolio management with selection criteria, contracts, performance review and dependency control, including ownership, evidence, metrics, fallback procedures and crisis stress testing?</t>
        </is>
      </c>
      <c r="F47" s="13" t="inlineStr">
        <is>
          <t>Immature capability for partner and alliance portfolio management with selection criteria, contracts, performance review and dependency control may lead to partner-driven revenue loss, channel conflicts and unmanaged third-party dependencies during Demand shock; Supplier/logistics disruption; Reputation crisis.</t>
        </is>
      </c>
      <c r="G47" s="13" t="inlineStr">
        <is>
          <t>Low maturity, weak ownership, incomplete evidence, insufficient testing and poor integration with crisis-management routines for partner and alliance portfolio management with selection criteria, contracts, performance review and dependency control.</t>
        </is>
      </c>
      <c r="H47" s="13" t="inlineStr">
        <is>
          <t>Severe risk: partner and alliance portfolio management with selection criteria, contracts, performance review and dependency control is not reliably controlled. During Demand shock; Supplier/logistics disruption; Reputation crisis, the organization may face partner-driven revenue loss, channel conflicts and unmanaged third-party dependencies with limited visibility or accountability.</t>
        </is>
      </c>
      <c r="I47" s="13" t="inlineStr">
        <is>
          <t>High risk: partner and alliance portfolio management with selection criteria, contracts, performance review and dependency control depends on informal practices or individual knowledge. Disruption may expose partner-driven revenue loss, channel conflicts and unmanaged third-party dependencies and slow recovery.</t>
        </is>
      </c>
      <c r="J47" s="13" t="inlineStr">
        <is>
          <t>Elevated risk: partner and alliance portfolio management with selection criteria, contracts, performance review and dependency control is partially controlled, but coverage, evidence or testing is inconsistent. Crisis response may be fragmented.</t>
        </is>
      </c>
      <c r="K47" s="13" t="inlineStr">
        <is>
          <t>Moderate risk: partner and alliance portfolio management with selection criteria, contracts, performance review and dependency control is documented and owned, but measurement, stress testing and integration with dependent processes need strengthening.</t>
        </is>
      </c>
      <c r="L47" s="13" t="inlineStr">
        <is>
          <t>Residual risk: partner and alliance portfolio management with selection criteria, contracts, performance review and dependency control is measured and reviewed, but monitoring, automation or scenario testing should be improved to prevent maturity drift.</t>
        </is>
      </c>
      <c r="M47" s="13" t="inlineStr">
        <is>
          <t>Low residual risk: partner and alliance portfolio management with selection criteria, contracts, performance review and dependency control is mature and crisis-tested. Maintain monitoring, evidence, ownership and periodic stress testing.</t>
        </is>
      </c>
      <c r="N47" s="13" t="inlineStr">
        <is>
          <t>Create an immediate risk owner, minimum control baseline and fallback procedure for partner and alliance portfolio management with selection criteria, contracts, performance review and dependency control. Add it to the crisis risk register and collect first evidence.</t>
        </is>
      </c>
      <c r="O47" s="13" t="inlineStr">
        <is>
          <t>Document partner and alliance portfolio management with selection criteria, contracts, performance review and dependency control, assign RACI, define minimum controls and KPIs, and validate coverage across key sites, teams or systems.</t>
        </is>
      </c>
      <c r="P47" s="13" t="inlineStr">
        <is>
          <t>Standardize partner and alliance portfolio management with selection criteria, contracts, performance review and dependency control, close coverage gaps, train accountable roles and connect controls to the relevant crisis scenarios and continuity plans.</t>
        </is>
      </c>
      <c r="Q47" s="13" t="inlineStr">
        <is>
          <t>Measure and test partner and alliance portfolio management with selection criteria, contracts, performance review and dependency control, run tabletop or operational stress tests, integrate it with dependent processes and update crisis playbooks.</t>
        </is>
      </c>
      <c r="R47" s="13" t="inlineStr">
        <is>
          <t>Automate monitoring where practical, define leading indicators, run periodic scenario tests and track residual risk after each major change.</t>
        </is>
      </c>
      <c r="S47" s="13" t="inlineStr">
        <is>
          <t>Sustain maturity for partner and alliance portfolio management with selection criteria, contracts, performance review and dependency control: keep evidence current, monitor drift, benchmark externally and refresh risk tests after organizational, system or market changes.</t>
        </is>
      </c>
      <c r="T47" s="13" t="n">
        <v>3</v>
      </c>
      <c r="U47" s="13" t="n">
        <v>3</v>
      </c>
      <c r="V47" s="13" t="n">
        <v>2</v>
      </c>
      <c r="W47" s="13" t="n">
        <v>2</v>
      </c>
      <c r="X47" s="13" t="n">
        <v>1</v>
      </c>
      <c r="Y47" s="13" t="n">
        <v>1</v>
      </c>
      <c r="Z47" s="13" t="inlineStr">
        <is>
          <t>APQC PCF 12.0; EFQM 2025 3.5; ISO 44001</t>
        </is>
      </c>
      <c r="AA47" s="13" t="inlineStr">
        <is>
          <t>Policy/SOP; owner/RACI; system report; dashboard; contracts; test records; incident history; interview evidence related to partner and alliance portfolio management with selection criteria, contracts, performance review and dependency control</t>
        </is>
      </c>
      <c r="AB47" s="13" t="inlineStr">
        <is>
          <t>Demand shock; Supplier/logistics disruption; Reputation crisis</t>
        </is>
      </c>
      <c r="AC47" s="13" t="inlineStr">
        <is>
          <t>CEO / Head of Partnerships</t>
        </is>
      </c>
      <c r="AD47" s="13" t="inlineStr">
        <is>
          <t>Strategy GTM!28</t>
        </is>
      </c>
      <c r="AE47">
        <f>IF($A47="","",IF(OR(ISNUMBER(SEARCH("cyber",$D47)),ISNUMBER(SEARCH("security",$D47)),ISNUMBER(SEARCH("safety",$D47)),ISNUMBER(SEARCH("liquidity",$D47)),ISNUMBER(SEARCH("cash",$D47)),ISNUMBER(SEARCH("continuity",$D47)),ISNUMBER(SEARCH("infrastructure",$D47)),ISNUMBER(SEARCH("outage",$D47))),"Fast",IF(OR(ISNUMBER(SEARCH("compliance",$D47)),ISNUMBER(SEARCH("regulat",$D47)),ISNUMBER(SEARCH("data",$D47)),ISNUMBER(SEARCH("talent",$D47)),ISNUMBER(SEARCH("knowledge",$D47)),ISNUMBER(SEARCH("portfolio",$D47)),ISNUMBER(SEARCH("quality",$D47))),"Slow","Medium")))</f>
        <v/>
      </c>
      <c r="AF47">
        <f>IF($A47="","",IFERROR(VLOOKUP($B47,'_CONFIG_Risk_Calibration'!$A$5:$H$21,2,FALSE),3))</f>
        <v/>
      </c>
      <c r="AG47">
        <f>IF($A47="","",IFERROR(VLOOKUP($B47,'_CONFIG_Risk_Calibration'!$A$5:$H$21,3,FALSE),0))</f>
        <v/>
      </c>
      <c r="AH47">
        <f>IF($A47="","",IFERROR(VLOOKUP($B47,'_CONFIG_Risk_Calibration'!$A$5:$H$21,4,FALSE),3))</f>
        <v/>
      </c>
      <c r="AI47">
        <f>IF($A47="","",IFERROR(VLOOKUP($B47,'_CONFIG_Risk_Calibration'!$A$5:$H$21,5,FALSE),3))</f>
        <v/>
      </c>
      <c r="AJ47">
        <f>IF($A47="","",IFERROR(VLOOKUP($B47,'_CONFIG_Risk_Calibration'!$A$5:$H$21,6,FALSE),"No"))</f>
        <v/>
      </c>
      <c r="AK47">
        <f>IF($A47="","",IFERROR(VLOOKUP($B47,'_CONFIG_Risk_Calibration'!$A$5:$H$21,7,FALSE),1))</f>
        <v/>
      </c>
      <c r="AL47">
        <f>IF($A47="","",IFERROR(VLOOKUP($B47,'_CONFIG_Risk_Calibration'!$A$5:$H$21,8,FALSE),""))</f>
        <v/>
      </c>
    </row>
    <row r="48" ht="72" customHeight="1" s="209">
      <c r="A48" s="13" t="inlineStr">
        <is>
          <t>STRA-026</t>
        </is>
      </c>
      <c r="B48" s="13" t="inlineStr">
        <is>
          <t>Strategy GTM</t>
        </is>
      </c>
      <c r="C48" s="13" t="inlineStr">
        <is>
          <t>External relations and partnerships</t>
        </is>
      </c>
      <c r="D48" s="13" t="inlineStr">
        <is>
          <t>External relationships and stakeholder resilience</t>
        </is>
      </c>
      <c r="E48" s="13" t="inlineStr">
        <is>
          <t>How mature is the organization in managing government and regulator relations with named owners, engagement plan and crisis escalation contacts, including ownership, evidence, metrics, fallback procedures and crisis stress testing?</t>
        </is>
      </c>
      <c r="F48" s="13" t="inlineStr">
        <is>
          <t>Immature capability for government and regulator relations with named owners, engagement plan and crisis escalation contacts may lead to slow regulatory escalation, missed license or permit issues and weak institutional support during crisis during Regulatory/legal shock; War/security crisis.</t>
        </is>
      </c>
      <c r="G48" s="13" t="inlineStr">
        <is>
          <t>Low maturity, weak ownership, incomplete evidence, insufficient testing and poor integration with crisis-management routines for government and regulator relations with named owners, engagement plan and crisis escalation contacts.</t>
        </is>
      </c>
      <c r="H48" s="13" t="inlineStr">
        <is>
          <t>Severe risk: government and regulator relations with named owners, engagement plan and crisis escalation contacts is not reliably controlled. During Regulatory/legal shock; War/security crisis, the organization may face slow regulatory escalation, missed license or permit issues and weak institutional support during crisis with limited visibility or accountability.</t>
        </is>
      </c>
      <c r="I48" s="13" t="inlineStr">
        <is>
          <t>High risk: government and regulator relations with named owners, engagement plan and crisis escalation contacts depends on informal practices or individual knowledge. Disruption may expose slow regulatory escalation, missed license or permit issues and weak institutional support during crisis and slow recovery.</t>
        </is>
      </c>
      <c r="J48" s="13" t="inlineStr">
        <is>
          <t>Elevated risk: government and regulator relations with named owners, engagement plan and crisis escalation contacts is partially controlled, but coverage, evidence or testing is inconsistent. Crisis response may be fragmented.</t>
        </is>
      </c>
      <c r="K48" s="13" t="inlineStr">
        <is>
          <t>Moderate risk: government and regulator relations with named owners, engagement plan and crisis escalation contacts is documented and owned, but measurement, stress testing and integration with dependent processes need strengthening.</t>
        </is>
      </c>
      <c r="L48" s="13" t="inlineStr">
        <is>
          <t>Residual risk: government and regulator relations with named owners, engagement plan and crisis escalation contacts is measured and reviewed, but monitoring, automation or scenario testing should be improved to prevent maturity drift.</t>
        </is>
      </c>
      <c r="M48" s="13" t="inlineStr">
        <is>
          <t>Low residual risk: government and regulator relations with named owners, engagement plan and crisis escalation contacts is mature and crisis-tested. Maintain monitoring, evidence, ownership and periodic stress testing.</t>
        </is>
      </c>
      <c r="N48" s="13" t="inlineStr">
        <is>
          <t>Create an immediate risk owner, minimum control baseline and fallback procedure for government and regulator relations with named owners, engagement plan and crisis escalation contacts. Add it to the crisis risk register and collect first evidence.</t>
        </is>
      </c>
      <c r="O48" s="13" t="inlineStr">
        <is>
          <t>Document government and regulator relations with named owners, engagement plan and crisis escalation contacts, assign RACI, define minimum controls and KPIs, and validate coverage across key sites, teams or systems.</t>
        </is>
      </c>
      <c r="P48" s="13" t="inlineStr">
        <is>
          <t>Standardize government and regulator relations with named owners, engagement plan and crisis escalation contacts, close coverage gaps, train accountable roles and connect controls to the relevant crisis scenarios and continuity plans.</t>
        </is>
      </c>
      <c r="Q48" s="13" t="inlineStr">
        <is>
          <t>Measure and test government and regulator relations with named owners, engagement plan and crisis escalation contacts, run tabletop or operational stress tests, integrate it with dependent processes and update crisis playbooks.</t>
        </is>
      </c>
      <c r="R48" s="13" t="inlineStr">
        <is>
          <t>Automate monitoring where practical, define leading indicators, run periodic scenario tests and track residual risk after each major change.</t>
        </is>
      </c>
      <c r="S48" s="13" t="inlineStr">
        <is>
          <t>Sustain maturity for government and regulator relations with named owners, engagement plan and crisis escalation contacts: keep evidence current, monitor drift, benchmark externally and refresh risk tests after organizational, system or market changes.</t>
        </is>
      </c>
      <c r="T48" s="13" t="n">
        <v>2</v>
      </c>
      <c r="U48" s="13" t="n">
        <v>2</v>
      </c>
      <c r="V48" s="13" t="n">
        <v>2</v>
      </c>
      <c r="W48" s="13" t="n">
        <v>2</v>
      </c>
      <c r="X48" s="13" t="n">
        <v>1</v>
      </c>
      <c r="Y48" s="13" t="n">
        <v>1</v>
      </c>
      <c r="Z48" s="13" t="inlineStr">
        <is>
          <t>APQC PCF 12.1; ISO 37301; PESTLE</t>
        </is>
      </c>
      <c r="AA48" s="13" t="inlineStr">
        <is>
          <t>Policy/SOP; owner/RACI; system report; dashboard; contracts; test records; incident history; interview evidence related to government and regulator relations with named owners, engagement plan and crisis escalation contacts</t>
        </is>
      </c>
      <c r="AB48" s="13" t="inlineStr">
        <is>
          <t>Regulatory/legal shock; War/security crisis</t>
        </is>
      </c>
      <c r="AC48" s="13" t="inlineStr">
        <is>
          <t>CEO / Legal</t>
        </is>
      </c>
      <c r="AD48" s="13" t="inlineStr">
        <is>
          <t>Strategy GTM!29</t>
        </is>
      </c>
      <c r="AE48">
        <f>IF($A48="","",IF(OR(ISNUMBER(SEARCH("cyber",$D48)),ISNUMBER(SEARCH("security",$D48)),ISNUMBER(SEARCH("safety",$D48)),ISNUMBER(SEARCH("liquidity",$D48)),ISNUMBER(SEARCH("cash",$D48)),ISNUMBER(SEARCH("continuity",$D48)),ISNUMBER(SEARCH("infrastructure",$D48)),ISNUMBER(SEARCH("outage",$D48))),"Fast",IF(OR(ISNUMBER(SEARCH("compliance",$D48)),ISNUMBER(SEARCH("regulat",$D48)),ISNUMBER(SEARCH("data",$D48)),ISNUMBER(SEARCH("talent",$D48)),ISNUMBER(SEARCH("knowledge",$D48)),ISNUMBER(SEARCH("portfolio",$D48)),ISNUMBER(SEARCH("quality",$D48))),"Slow","Medium")))</f>
        <v/>
      </c>
      <c r="AF48">
        <f>IF($A48="","",IFERROR(VLOOKUP($B48,'_CONFIG_Risk_Calibration'!$A$5:$H$21,2,FALSE),3))</f>
        <v/>
      </c>
      <c r="AG48">
        <f>IF($A48="","",IFERROR(VLOOKUP($B48,'_CONFIG_Risk_Calibration'!$A$5:$H$21,3,FALSE),0))</f>
        <v/>
      </c>
      <c r="AH48">
        <f>IF($A48="","",IFERROR(VLOOKUP($B48,'_CONFIG_Risk_Calibration'!$A$5:$H$21,4,FALSE),3))</f>
        <v/>
      </c>
      <c r="AI48">
        <f>IF($A48="","",IFERROR(VLOOKUP($B48,'_CONFIG_Risk_Calibration'!$A$5:$H$21,5,FALSE),3))</f>
        <v/>
      </c>
      <c r="AJ48">
        <f>IF($A48="","",IFERROR(VLOOKUP($B48,'_CONFIG_Risk_Calibration'!$A$5:$H$21,6,FALSE),"No"))</f>
        <v/>
      </c>
      <c r="AK48">
        <f>IF($A48="","",IFERROR(VLOOKUP($B48,'_CONFIG_Risk_Calibration'!$A$5:$H$21,7,FALSE),1))</f>
        <v/>
      </c>
      <c r="AL48">
        <f>IF($A48="","",IFERROR(VLOOKUP($B48,'_CONFIG_Risk_Calibration'!$A$5:$H$21,8,FALSE),""))</f>
        <v/>
      </c>
    </row>
    <row r="49" ht="72" customHeight="1" s="209">
      <c r="A49" s="13" t="inlineStr">
        <is>
          <t>STRA-028</t>
        </is>
      </c>
      <c r="B49" s="13" t="inlineStr">
        <is>
          <t>Strategy GTM</t>
        </is>
      </c>
      <c r="C49" s="13" t="inlineStr">
        <is>
          <t>External relations and partnerships</t>
        </is>
      </c>
      <c r="D49" s="13" t="inlineStr">
        <is>
          <t>External relationships and stakeholder resilience</t>
        </is>
      </c>
      <c r="E49" s="13" t="inlineStr">
        <is>
          <t>How mature is the organization in managing owner, investor and lender communication discipline including bad-news protocols and crisis updates, including ownership, evidence, metrics, fallback procedures and crisis stress testing?</t>
        </is>
      </c>
      <c r="F49" s="13" t="inlineStr">
        <is>
          <t>Immature capability for owner, investor and lender communication discipline including bad-news protocols and crisis updates may lead to loss of funding confidence, covenant surprises and shareholder conflict during downturn during Financial/liquidity crisis; Reputation crisis.</t>
        </is>
      </c>
      <c r="G49" s="13" t="inlineStr">
        <is>
          <t>Low maturity, weak ownership, incomplete evidence, insufficient testing and poor integration with crisis-management routines for owner, investor and lender communication discipline including bad-news protocols and crisis updates.</t>
        </is>
      </c>
      <c r="H49" s="13" t="inlineStr">
        <is>
          <t>Severe risk: owner, investor and lender communication discipline including bad-news protocols and crisis updates is not reliably controlled. During Financial/liquidity crisis; Reputation crisis, the organization may face loss of funding confidence, covenant surprises and shareholder conflict during downturn with limited visibility or accountability.</t>
        </is>
      </c>
      <c r="I49" s="13" t="inlineStr">
        <is>
          <t>High risk: owner, investor and lender communication discipline including bad-news protocols and crisis updates depends on informal practices or individual knowledge. Disruption may expose loss of funding confidence, covenant surprises and shareholder conflict during downturn and slow recovery.</t>
        </is>
      </c>
      <c r="J49" s="13" t="inlineStr">
        <is>
          <t>Elevated risk: owner, investor and lender communication discipline including bad-news protocols and crisis updates is partially controlled, but coverage, evidence or testing is inconsistent. Crisis response may be fragmented.</t>
        </is>
      </c>
      <c r="K49" s="13" t="inlineStr">
        <is>
          <t>Moderate risk: owner, investor and lender communication discipline including bad-news protocols and crisis updates is documented and owned, but measurement, stress testing and integration with dependent processes need strengthening.</t>
        </is>
      </c>
      <c r="L49" s="13" t="inlineStr">
        <is>
          <t>Residual risk: owner, investor and lender communication discipline including bad-news protocols and crisis updates is measured and reviewed, but monitoring, automation or scenario testing should be improved to prevent maturity drift.</t>
        </is>
      </c>
      <c r="M49" s="13" t="inlineStr">
        <is>
          <t>Low residual risk: owner, investor and lender communication discipline including bad-news protocols and crisis updates is mature and crisis-tested. Maintain monitoring, evidence, ownership and periodic stress testing.</t>
        </is>
      </c>
      <c r="N49" s="13" t="inlineStr">
        <is>
          <t>Create an immediate risk owner, minimum control baseline and fallback procedure for owner, investor and lender communication discipline including bad-news protocols and crisis updates. Add it to the crisis risk register and collect first evidence.</t>
        </is>
      </c>
      <c r="O49" s="13" t="inlineStr">
        <is>
          <t>Document owner, investor and lender communication discipline including bad-news protocols and crisis updates, assign RACI, define minimum controls and KPIs, and validate coverage across key sites, teams or systems.</t>
        </is>
      </c>
      <c r="P49" s="13" t="inlineStr">
        <is>
          <t>Standardize owner, investor and lender communication discipline including bad-news protocols and crisis updates, close coverage gaps, train accountable roles and connect controls to the relevant crisis scenarios and continuity plans.</t>
        </is>
      </c>
      <c r="Q49" s="13" t="inlineStr">
        <is>
          <t>Measure and test owner, investor and lender communication discipline including bad-news protocols and crisis updates, run tabletop or operational stress tests, integrate it with dependent processes and update crisis playbooks.</t>
        </is>
      </c>
      <c r="R49" s="13" t="inlineStr">
        <is>
          <t>Automate monitoring where practical, define leading indicators, run periodic scenario tests and track residual risk after each major change.</t>
        </is>
      </c>
      <c r="S49" s="13" t="inlineStr">
        <is>
          <t>Sustain maturity for owner, investor and lender communication discipline including bad-news protocols and crisis updates: keep evidence current, monitor drift, benchmark externally and refresh risk tests after organizational, system or market changes.</t>
        </is>
      </c>
      <c r="T49" s="13" t="n">
        <v>2</v>
      </c>
      <c r="U49" s="13" t="n">
        <v>2</v>
      </c>
      <c r="V49" s="13" t="n">
        <v>2</v>
      </c>
      <c r="W49" s="13" t="n">
        <v>2</v>
      </c>
      <c r="X49" s="13" t="n">
        <v>1</v>
      </c>
      <c r="Y49" s="13" t="n">
        <v>1</v>
      </c>
      <c r="Z49" s="13" t="inlineStr">
        <is>
          <t>APQC PCF 12.2; ISO 37000; COSO</t>
        </is>
      </c>
      <c r="AA49" s="13" t="inlineStr">
        <is>
          <t>Policy/SOP; owner/RACI; system report; dashboard; contracts; test records; incident history; interview evidence related to owner, investor and lender communication discipline including bad-news protocols and crisis updates</t>
        </is>
      </c>
      <c r="AB49" s="13" t="inlineStr">
        <is>
          <t>Financial/liquidity crisis; Reputation crisis</t>
        </is>
      </c>
      <c r="AC49" s="13" t="inlineStr">
        <is>
          <t>CEO / CFO</t>
        </is>
      </c>
      <c r="AD49" s="13" t="inlineStr">
        <is>
          <t>Strategy GTM!30</t>
        </is>
      </c>
      <c r="AE49">
        <f>IF($A49="","",IF(OR(ISNUMBER(SEARCH("cyber",$D49)),ISNUMBER(SEARCH("security",$D49)),ISNUMBER(SEARCH("safety",$D49)),ISNUMBER(SEARCH("liquidity",$D49)),ISNUMBER(SEARCH("cash",$D49)),ISNUMBER(SEARCH("continuity",$D49)),ISNUMBER(SEARCH("infrastructure",$D49)),ISNUMBER(SEARCH("outage",$D49))),"Fast",IF(OR(ISNUMBER(SEARCH("compliance",$D49)),ISNUMBER(SEARCH("regulat",$D49)),ISNUMBER(SEARCH("data",$D49)),ISNUMBER(SEARCH("talent",$D49)),ISNUMBER(SEARCH("knowledge",$D49)),ISNUMBER(SEARCH("portfolio",$D49)),ISNUMBER(SEARCH("quality",$D49))),"Slow","Medium")))</f>
        <v/>
      </c>
      <c r="AF49">
        <f>IF($A49="","",IFERROR(VLOOKUP($B49,'_CONFIG_Risk_Calibration'!$A$5:$H$21,2,FALSE),3))</f>
        <v/>
      </c>
      <c r="AG49">
        <f>IF($A49="","",IFERROR(VLOOKUP($B49,'_CONFIG_Risk_Calibration'!$A$5:$H$21,3,FALSE),0))</f>
        <v/>
      </c>
      <c r="AH49">
        <f>IF($A49="","",IFERROR(VLOOKUP($B49,'_CONFIG_Risk_Calibration'!$A$5:$H$21,4,FALSE),3))</f>
        <v/>
      </c>
      <c r="AI49">
        <f>IF($A49="","",IFERROR(VLOOKUP($B49,'_CONFIG_Risk_Calibration'!$A$5:$H$21,5,FALSE),3))</f>
        <v/>
      </c>
      <c r="AJ49">
        <f>IF($A49="","",IFERROR(VLOOKUP($B49,'_CONFIG_Risk_Calibration'!$A$5:$H$21,6,FALSE),"No"))</f>
        <v/>
      </c>
      <c r="AK49">
        <f>IF($A49="","",IFERROR(VLOOKUP($B49,'_CONFIG_Risk_Calibration'!$A$5:$H$21,7,FALSE),1))</f>
        <v/>
      </c>
      <c r="AL49">
        <f>IF($A49="","",IFERROR(VLOOKUP($B49,'_CONFIG_Risk_Calibration'!$A$5:$H$21,8,FALSE),""))</f>
        <v/>
      </c>
    </row>
    <row r="50" ht="60" customHeight="1" s="209">
      <c r="A50" s="13" t="inlineStr">
        <is>
          <t>GOVE-001</t>
        </is>
      </c>
      <c r="B50" s="13" t="inlineStr">
        <is>
          <t>Governance Crisis</t>
        </is>
      </c>
      <c r="C50" s="13" t="inlineStr">
        <is>
          <t>Crisis governance</t>
        </is>
      </c>
      <c r="D50" s="13" t="inlineStr">
        <is>
          <t>Crisis governance and decision-making</t>
        </is>
      </c>
      <c r="E50" s="13" t="inlineStr">
        <is>
          <t>How mature is the organization in managing formal crisis management structure with named roles, deputies, escalation paths and decision authority, including ownership, evidence, metrics, fallback procedures and crisis stress testing?</t>
        </is>
      </c>
      <c r="F50" s="13" t="inlineStr">
        <is>
          <t>Immature capability for formal crisis management structure with named roles, deputies, escalation paths and decision authority may lead to slow decisions, unclear escalation, duplicated actions and weak crisis command during All crisis types.</t>
        </is>
      </c>
      <c r="G50" s="13" t="inlineStr">
        <is>
          <t>Low maturity, weak ownership, incomplete evidence, insufficient testing and poor integration with crisis-management routines for formal crisis management structure with named roles, deputies, escalation paths and decision authority.</t>
        </is>
      </c>
      <c r="H50" s="13" t="inlineStr">
        <is>
          <t>Severe risk: formal crisis management structure with named roles, deputies, escalation paths and decision authority is not reliably controlled. During All crisis types, the organization may face slow decisions, unclear escalation, duplicated actions and weak crisis command with limited visibility or accountability.</t>
        </is>
      </c>
      <c r="I50" s="13" t="inlineStr">
        <is>
          <t>High risk: formal crisis management structure with named roles, deputies, escalation paths and decision authority depends on informal practices or individual knowledge. Disruption may expose slow decisions, unclear escalation, duplicated actions and weak crisis command and slow recovery.</t>
        </is>
      </c>
      <c r="J50" s="13" t="inlineStr">
        <is>
          <t>Elevated risk: formal crisis management structure with named roles, deputies, escalation paths and decision authority is partially controlled, but coverage, evidence or testing is inconsistent. Crisis response may be fragmented.</t>
        </is>
      </c>
      <c r="K50" s="13" t="inlineStr">
        <is>
          <t>Moderate risk: formal crisis management structure with named roles, deputies, escalation paths and decision authority is documented and owned, but measurement, stress testing and integration with dependent processes need strengthening.</t>
        </is>
      </c>
      <c r="L50" s="13" t="inlineStr">
        <is>
          <t>Residual risk: formal crisis management structure with named roles, deputies, escalation paths and decision authority is measured and reviewed, but monitoring, automation or scenario testing should be improved to prevent maturity drift.</t>
        </is>
      </c>
      <c r="M50" s="13" t="inlineStr">
        <is>
          <t>Low residual risk: formal crisis management structure with named roles, deputies, escalation paths and decision authority is mature and crisis-tested. Maintain monitoring, evidence, ownership and periodic stress testing.</t>
        </is>
      </c>
      <c r="N50" s="13" t="inlineStr">
        <is>
          <t>Create an immediate risk owner, minimum control baseline and fallback procedure for formal crisis management structure with named roles, deputies, escalation paths and decision authority. Add it to the crisis risk register and collect first evidence.</t>
        </is>
      </c>
      <c r="O50" s="13" t="inlineStr">
        <is>
          <t>Document formal crisis management structure with named roles, deputies, escalation paths and decision authority, assign RACI, define minimum controls and KPIs, and validate coverage across key sites, teams or systems.</t>
        </is>
      </c>
      <c r="P50" s="13" t="inlineStr">
        <is>
          <t>Standardize formal crisis management structure with named roles, deputies, escalation paths and decision authority, close coverage gaps, train accountable roles and connect controls to the relevant crisis scenarios and continuity plans.</t>
        </is>
      </c>
      <c r="Q50" s="13" t="inlineStr">
        <is>
          <t>Measure and test formal crisis management structure with named roles, deputies, escalation paths and decision authority, run tabletop or operational stress tests, integrate it with dependent processes and update crisis playbooks.</t>
        </is>
      </c>
      <c r="R50" s="13" t="inlineStr">
        <is>
          <t>Automate monitoring where practical, define leading indicators, run periodic scenario tests and track residual risk after each major change.</t>
        </is>
      </c>
      <c r="S50" s="13" t="inlineStr">
        <is>
          <t>Sustain maturity for formal crisis management structure with named roles, deputies, escalation paths and decision authority: keep evidence current, monitor drift, benchmark externally and refresh risk tests after organizational, system or market changes.</t>
        </is>
      </c>
      <c r="T50" s="13" t="n">
        <v>3</v>
      </c>
      <c r="U50" s="13" t="n">
        <v>3</v>
      </c>
      <c r="V50" s="13" t="n">
        <v>2</v>
      </c>
      <c r="W50" s="13" t="n">
        <v>2</v>
      </c>
      <c r="X50" s="13" t="n">
        <v>1</v>
      </c>
      <c r="Y50" s="13" t="n">
        <v>1</v>
      </c>
      <c r="Z50" s="13" t="inlineStr">
        <is>
          <t>ISO 22301; ISO 22320; ISO 31000; ISO 37000; NIST SP 800-34; BCI Good Practice Guidelines; Bain RAPID</t>
        </is>
      </c>
      <c r="AA50" s="13" t="inlineStr">
        <is>
          <t>Policy/SOP; owner/RACI; system report; dashboard; contracts; test records; incident history; interview evidence related to formal crisis management structure with named roles, deputies, escalation paths and decision authority.</t>
        </is>
      </c>
      <c r="AB50" s="13" t="inlineStr">
        <is>
          <t>All crisis types</t>
        </is>
      </c>
      <c r="AC50" s="13" t="inlineStr">
        <is>
          <t>CEO / COO / Risk</t>
        </is>
      </c>
      <c r="AD50" s="13" t="inlineStr">
        <is>
          <t>Governance Crisis!5</t>
        </is>
      </c>
      <c r="AE50">
        <f>IF($A50="","",IF(OR(ISNUMBER(SEARCH("cyber",$D50)),ISNUMBER(SEARCH("security",$D50)),ISNUMBER(SEARCH("safety",$D50)),ISNUMBER(SEARCH("liquidity",$D50)),ISNUMBER(SEARCH("cash",$D50)),ISNUMBER(SEARCH("continuity",$D50)),ISNUMBER(SEARCH("infrastructure",$D50)),ISNUMBER(SEARCH("outage",$D50))),"Fast",IF(OR(ISNUMBER(SEARCH("compliance",$D50)),ISNUMBER(SEARCH("regulat",$D50)),ISNUMBER(SEARCH("data",$D50)),ISNUMBER(SEARCH("talent",$D50)),ISNUMBER(SEARCH("knowledge",$D50)),ISNUMBER(SEARCH("portfolio",$D50)),ISNUMBER(SEARCH("quality",$D50))),"Slow","Medium")))</f>
        <v/>
      </c>
      <c r="AF50">
        <f>IF($A50="","",IFERROR(VLOOKUP($B50,'_CONFIG_Risk_Calibration'!$A$5:$H$21,2,FALSE),3))</f>
        <v/>
      </c>
      <c r="AG50">
        <f>IF($A50="","",IFERROR(VLOOKUP($B50,'_CONFIG_Risk_Calibration'!$A$5:$H$21,3,FALSE),0))</f>
        <v/>
      </c>
      <c r="AH50">
        <f>IF($A50="","",IFERROR(VLOOKUP($B50,'_CONFIG_Risk_Calibration'!$A$5:$H$21,4,FALSE),3))</f>
        <v/>
      </c>
      <c r="AI50">
        <f>IF($A50="","",IFERROR(VLOOKUP($B50,'_CONFIG_Risk_Calibration'!$A$5:$H$21,5,FALSE),3))</f>
        <v/>
      </c>
      <c r="AJ50">
        <f>IF($A50="","",IFERROR(VLOOKUP($B50,'_CONFIG_Risk_Calibration'!$A$5:$H$21,6,FALSE),"No"))</f>
        <v/>
      </c>
      <c r="AK50">
        <f>IF($A50="","",IFERROR(VLOOKUP($B50,'_CONFIG_Risk_Calibration'!$A$5:$H$21,7,FALSE),1))</f>
        <v/>
      </c>
      <c r="AL50">
        <f>IF($A50="","",IFERROR(VLOOKUP($B50,'_CONFIG_Risk_Calibration'!$A$5:$H$21,8,FALSE),""))</f>
        <v/>
      </c>
    </row>
    <row r="51" ht="60" customHeight="1" s="209">
      <c r="A51" s="13" t="inlineStr">
        <is>
          <t>GOVE-002</t>
        </is>
      </c>
      <c r="B51" s="13" t="inlineStr">
        <is>
          <t>Governance Crisis</t>
        </is>
      </c>
      <c r="C51" s="13" t="inlineStr">
        <is>
          <t>Crisis governance</t>
        </is>
      </c>
      <c r="D51" s="13" t="inlineStr">
        <is>
          <t>Crisis governance and decision-making</t>
        </is>
      </c>
      <c r="E51" s="13" t="inlineStr">
        <is>
          <t>How mature is the organization in managing executive crisis team trained for cross-functional crisis response, including ownership, evidence, metrics, fallback procedures and crisis stress testing?</t>
        </is>
      </c>
      <c r="F51" s="13" t="inlineStr">
        <is>
          <t>Immature capability for executive crisis team trained for cross-functional crisis response may lead to slow decisions, unclear escalation, duplicated actions and weak crisis command during All crisis types.</t>
        </is>
      </c>
      <c r="G51" s="13" t="inlineStr">
        <is>
          <t>Low maturity, weak ownership, incomplete evidence, insufficient testing and poor integration with crisis-management routines for executive crisis team trained for cross-functional crisis response.</t>
        </is>
      </c>
      <c r="H51" s="13" t="inlineStr">
        <is>
          <t>Severe risk: executive crisis team trained for cross-functional crisis response is not reliably controlled. During All crisis types, the organization may face slow decisions, unclear escalation, duplicated actions and weak crisis command with limited visibility or accountability.</t>
        </is>
      </c>
      <c r="I51" s="13" t="inlineStr">
        <is>
          <t>High risk: executive crisis team trained for cross-functional crisis response depends on informal practices or individual knowledge. Disruption may expose slow decisions, unclear escalation, duplicated actions and weak crisis command and slow recovery.</t>
        </is>
      </c>
      <c r="J51" s="13" t="inlineStr">
        <is>
          <t>Elevated risk: executive crisis team trained for cross-functional crisis response is partially controlled, but coverage, evidence or testing is inconsistent. Crisis response may be fragmented.</t>
        </is>
      </c>
      <c r="K51" s="13" t="inlineStr">
        <is>
          <t>Moderate risk: executive crisis team trained for cross-functional crisis response is documented and owned, but measurement, stress testing and integration with dependent processes need strengthening.</t>
        </is>
      </c>
      <c r="L51" s="13" t="inlineStr">
        <is>
          <t>Residual risk: executive crisis team trained for cross-functional crisis response is measured and reviewed, but monitoring, automation or scenario testing should be improved to prevent maturity drift.</t>
        </is>
      </c>
      <c r="M51" s="13" t="inlineStr">
        <is>
          <t>Low residual risk: executive crisis team trained for cross-functional crisis response is mature and crisis-tested. Maintain monitoring, evidence, ownership and periodic stress testing.</t>
        </is>
      </c>
      <c r="N51" s="13" t="inlineStr">
        <is>
          <t>Create an immediate risk owner, minimum control baseline and fallback procedure for executive crisis team trained for cross-functional crisis response. Add it to the crisis risk register and collect first evidence.</t>
        </is>
      </c>
      <c r="O51" s="13" t="inlineStr">
        <is>
          <t>Document executive crisis team trained for cross-functional crisis response, assign RACI, define minimum controls and KPIs, and validate coverage across key sites, teams or systems.</t>
        </is>
      </c>
      <c r="P51" s="13" t="inlineStr">
        <is>
          <t>Standardize executive crisis team trained for cross-functional crisis response, close coverage gaps, train accountable roles and connect controls to the relevant crisis scenarios and continuity plans.</t>
        </is>
      </c>
      <c r="Q51" s="13" t="inlineStr">
        <is>
          <t>Measure and test executive crisis team trained for cross-functional crisis response, run tabletop or operational stress tests, integrate it with dependent processes and update crisis playbooks.</t>
        </is>
      </c>
      <c r="R51" s="13" t="inlineStr">
        <is>
          <t>Automate monitoring where practical, define leading indicators, run periodic scenario tests and track residual risk after each major change.</t>
        </is>
      </c>
      <c r="S51" s="13" t="inlineStr">
        <is>
          <t>Sustain maturity for executive crisis team trained for cross-functional crisis response: keep evidence current, monitor drift, benchmark externally and refresh risk tests after organizational, system or market changes.</t>
        </is>
      </c>
      <c r="T51" s="13" t="n">
        <v>3</v>
      </c>
      <c r="U51" s="13" t="n">
        <v>3</v>
      </c>
      <c r="V51" s="13" t="n">
        <v>2</v>
      </c>
      <c r="W51" s="13" t="n">
        <v>2</v>
      </c>
      <c r="X51" s="13" t="n">
        <v>1</v>
      </c>
      <c r="Y51" s="13" t="n">
        <v>1</v>
      </c>
      <c r="Z51" s="13" t="inlineStr">
        <is>
          <t>ISO 22301; ISO 22320; ISO 31000; ISO 37000; NIST SP 800-34; BCI Good Practice Guidelines; Bain RAPID</t>
        </is>
      </c>
      <c r="AA51" s="13" t="inlineStr">
        <is>
          <t>Policy/SOP; owner/RACI; system report; dashboard; contracts; test records; incident history; interview evidence related to executive crisis team trained for cross-functional crisis response.</t>
        </is>
      </c>
      <c r="AB51" s="13" t="inlineStr">
        <is>
          <t>All crisis types</t>
        </is>
      </c>
      <c r="AC51" s="13" t="inlineStr">
        <is>
          <t>CEO / COO / Risk</t>
        </is>
      </c>
      <c r="AD51" s="13" t="inlineStr">
        <is>
          <t>Governance Crisis!6</t>
        </is>
      </c>
      <c r="AE51">
        <f>IF($A51="","",IF(OR(ISNUMBER(SEARCH("cyber",$D51)),ISNUMBER(SEARCH("security",$D51)),ISNUMBER(SEARCH("safety",$D51)),ISNUMBER(SEARCH("liquidity",$D51)),ISNUMBER(SEARCH("cash",$D51)),ISNUMBER(SEARCH("continuity",$D51)),ISNUMBER(SEARCH("infrastructure",$D51)),ISNUMBER(SEARCH("outage",$D51))),"Fast",IF(OR(ISNUMBER(SEARCH("compliance",$D51)),ISNUMBER(SEARCH("regulat",$D51)),ISNUMBER(SEARCH("data",$D51)),ISNUMBER(SEARCH("talent",$D51)),ISNUMBER(SEARCH("knowledge",$D51)),ISNUMBER(SEARCH("portfolio",$D51)),ISNUMBER(SEARCH("quality",$D51))),"Slow","Medium")))</f>
        <v/>
      </c>
      <c r="AF51">
        <f>IF($A51="","",IFERROR(VLOOKUP($B51,'_CONFIG_Risk_Calibration'!$A$5:$H$21,2,FALSE),3))</f>
        <v/>
      </c>
      <c r="AG51">
        <f>IF($A51="","",IFERROR(VLOOKUP($B51,'_CONFIG_Risk_Calibration'!$A$5:$H$21,3,FALSE),0))</f>
        <v/>
      </c>
      <c r="AH51">
        <f>IF($A51="","",IFERROR(VLOOKUP($B51,'_CONFIG_Risk_Calibration'!$A$5:$H$21,4,FALSE),3))</f>
        <v/>
      </c>
      <c r="AI51">
        <f>IF($A51="","",IFERROR(VLOOKUP($B51,'_CONFIG_Risk_Calibration'!$A$5:$H$21,5,FALSE),3))</f>
        <v/>
      </c>
      <c r="AJ51">
        <f>IF($A51="","",IFERROR(VLOOKUP($B51,'_CONFIG_Risk_Calibration'!$A$5:$H$21,6,FALSE),"No"))</f>
        <v/>
      </c>
      <c r="AK51">
        <f>IF($A51="","",IFERROR(VLOOKUP($B51,'_CONFIG_Risk_Calibration'!$A$5:$H$21,7,FALSE),1))</f>
        <v/>
      </c>
      <c r="AL51">
        <f>IF($A51="","",IFERROR(VLOOKUP($B51,'_CONFIG_Risk_Calibration'!$A$5:$H$21,8,FALSE),""))</f>
        <v/>
      </c>
    </row>
    <row r="52" ht="60" customHeight="1" s="209">
      <c r="A52" s="13" t="inlineStr">
        <is>
          <t>GOVE-003</t>
        </is>
      </c>
      <c r="B52" s="13" t="inlineStr">
        <is>
          <t>Governance Crisis</t>
        </is>
      </c>
      <c r="C52" s="13" t="inlineStr">
        <is>
          <t>Crisis governance</t>
        </is>
      </c>
      <c r="D52" s="13" t="inlineStr">
        <is>
          <t>Crisis governance and decision-making</t>
        </is>
      </c>
      <c r="E52" s="13" t="inlineStr">
        <is>
          <t>How mature is the organization in managing clear crisis decision rights for finance, people, operations, IT, legal, safety and communications, including ownership, evidence, metrics, fallback procedures and crisis stress testing?</t>
        </is>
      </c>
      <c r="F52" s="13" t="inlineStr">
        <is>
          <t>Immature capability for clear crisis decision rights for finance, people, operations, IT, legal, safety and communications may lead to slow decisions, unclear escalation, duplicated actions and weak crisis command during All crisis types.</t>
        </is>
      </c>
      <c r="G52" s="13" t="inlineStr">
        <is>
          <t>Low maturity, weak ownership, incomplete evidence, insufficient testing and poor integration with crisis-management routines for clear crisis decision rights for finance, people, operations, IT, legal, safety and communications.</t>
        </is>
      </c>
      <c r="H52" s="13" t="inlineStr">
        <is>
          <t>Severe risk: clear crisis decision rights for finance, people, operations, IT, legal, safety and communications is not reliably controlled. During All crisis types, the organization may face slow decisions, unclear escalation, duplicated actions and weak crisis command with limited visibility or accountability.</t>
        </is>
      </c>
      <c r="I52" s="13" t="inlineStr">
        <is>
          <t>High risk: clear crisis decision rights for finance, people, operations, IT, legal, safety and communications depends on informal practices or individual knowledge. Disruption may expose slow decisions, unclear escalation, duplicated actions and weak crisis command and slow recovery.</t>
        </is>
      </c>
      <c r="J52" s="13" t="inlineStr">
        <is>
          <t>Elevated risk: clear crisis decision rights for finance, people, operations, IT, legal, safety and communications is partially controlled, but coverage, evidence or testing is inconsistent. Crisis response may be fragmented.</t>
        </is>
      </c>
      <c r="K52" s="13" t="inlineStr">
        <is>
          <t>Moderate risk: clear crisis decision rights for finance, people, operations, IT, legal, safety and communications is documented and owned, but measurement, stress testing and integration with dependent processes need strengthening.</t>
        </is>
      </c>
      <c r="L52" s="13" t="inlineStr">
        <is>
          <t>Residual risk: clear crisis decision rights for finance, people, operations, IT, legal, safety and communications is measured and reviewed, but monitoring, automation or scenario testing should be improved to prevent maturity drift.</t>
        </is>
      </c>
      <c r="M52" s="13" t="inlineStr">
        <is>
          <t>Low residual risk: clear crisis decision rights for finance, people, operations, IT, legal, safety and communications is mature and crisis-tested. Maintain monitoring, evidence, ownership and periodic stress testing.</t>
        </is>
      </c>
      <c r="N52" s="13" t="inlineStr">
        <is>
          <t>Create an immediate risk owner, minimum control baseline and fallback procedure for clear crisis decision rights for finance, people, operations, IT, legal, safety and communications. Add it to the crisis risk register and collect first evidence.</t>
        </is>
      </c>
      <c r="O52" s="13" t="inlineStr">
        <is>
          <t>Document clear crisis decision rights for finance, people, operations, IT, legal, safety and communications, assign RACI, define minimum controls and KPIs, and validate coverage across key sites, teams or systems.</t>
        </is>
      </c>
      <c r="P52" s="13" t="inlineStr">
        <is>
          <t>Standardize clear crisis decision rights for finance, people, operations, IT, legal, safety and communications, close coverage gaps, train accountable roles and connect controls to the relevant crisis scenarios and continuity plans.</t>
        </is>
      </c>
      <c r="Q52" s="13" t="inlineStr">
        <is>
          <t>Measure and test clear crisis decision rights for finance, people, operations, IT, legal, safety and communications, run tabletop or operational stress tests, integrate it with dependent processes and update crisis playbooks.</t>
        </is>
      </c>
      <c r="R52" s="13" t="inlineStr">
        <is>
          <t>Automate monitoring where practical, define leading indicators, run periodic scenario tests and track residual risk after each major change.</t>
        </is>
      </c>
      <c r="S52" s="13" t="inlineStr">
        <is>
          <t>Sustain maturity for clear crisis decision rights for finance, people, operations, IT, legal, safety and communications: keep evidence current, monitor drift, benchmark externally and refresh risk tests after organizational, system or market changes.</t>
        </is>
      </c>
      <c r="T52" s="13" t="n">
        <v>3</v>
      </c>
      <c r="U52" s="13" t="n">
        <v>3</v>
      </c>
      <c r="V52" s="13" t="n">
        <v>2</v>
      </c>
      <c r="W52" s="13" t="n">
        <v>2</v>
      </c>
      <c r="X52" s="13" t="n">
        <v>1</v>
      </c>
      <c r="Y52" s="13" t="n">
        <v>1</v>
      </c>
      <c r="Z52" s="13" t="inlineStr">
        <is>
          <t>ISO 22301; ISO 22320; ISO 31000; ISO 37000; NIST SP 800-34; BCI Good Practice Guidelines; Bain RAPID</t>
        </is>
      </c>
      <c r="AA52" s="13" t="inlineStr">
        <is>
          <t>Policy/SOP; owner/RACI; system report; dashboard; contracts; test records; incident history; interview evidence related to clear crisis decision rights for finance, people, operations, IT, legal, safety and communications.</t>
        </is>
      </c>
      <c r="AB52" s="13" t="inlineStr">
        <is>
          <t>All crisis types</t>
        </is>
      </c>
      <c r="AC52" s="13" t="inlineStr">
        <is>
          <t>CEO / COO / Risk</t>
        </is>
      </c>
      <c r="AD52" s="13" t="inlineStr">
        <is>
          <t>Governance Crisis!7</t>
        </is>
      </c>
      <c r="AE52">
        <f>IF($A52="","",IF(OR(ISNUMBER(SEARCH("cyber",$D52)),ISNUMBER(SEARCH("security",$D52)),ISNUMBER(SEARCH("safety",$D52)),ISNUMBER(SEARCH("liquidity",$D52)),ISNUMBER(SEARCH("cash",$D52)),ISNUMBER(SEARCH("continuity",$D52)),ISNUMBER(SEARCH("infrastructure",$D52)),ISNUMBER(SEARCH("outage",$D52))),"Fast",IF(OR(ISNUMBER(SEARCH("compliance",$D52)),ISNUMBER(SEARCH("regulat",$D52)),ISNUMBER(SEARCH("data",$D52)),ISNUMBER(SEARCH("talent",$D52)),ISNUMBER(SEARCH("knowledge",$D52)),ISNUMBER(SEARCH("portfolio",$D52)),ISNUMBER(SEARCH("quality",$D52))),"Slow","Medium")))</f>
        <v/>
      </c>
      <c r="AF52">
        <f>IF($A52="","",IFERROR(VLOOKUP($B52,'_CONFIG_Risk_Calibration'!$A$5:$H$21,2,FALSE),3))</f>
        <v/>
      </c>
      <c r="AG52">
        <f>IF($A52="","",IFERROR(VLOOKUP($B52,'_CONFIG_Risk_Calibration'!$A$5:$H$21,3,FALSE),0))</f>
        <v/>
      </c>
      <c r="AH52">
        <f>IF($A52="","",IFERROR(VLOOKUP($B52,'_CONFIG_Risk_Calibration'!$A$5:$H$21,4,FALSE),3))</f>
        <v/>
      </c>
      <c r="AI52">
        <f>IF($A52="","",IFERROR(VLOOKUP($B52,'_CONFIG_Risk_Calibration'!$A$5:$H$21,5,FALSE),3))</f>
        <v/>
      </c>
      <c r="AJ52">
        <f>IF($A52="","",IFERROR(VLOOKUP($B52,'_CONFIG_Risk_Calibration'!$A$5:$H$21,6,FALSE),"No"))</f>
        <v/>
      </c>
      <c r="AK52">
        <f>IF($A52="","",IFERROR(VLOOKUP($B52,'_CONFIG_Risk_Calibration'!$A$5:$H$21,7,FALSE),1))</f>
        <v/>
      </c>
      <c r="AL52">
        <f>IF($A52="","",IFERROR(VLOOKUP($B52,'_CONFIG_Risk_Calibration'!$A$5:$H$21,8,FALSE),""))</f>
        <v/>
      </c>
    </row>
    <row r="53" ht="60" customHeight="1" s="209">
      <c r="A53" s="13" t="inlineStr">
        <is>
          <t>GOVE-004</t>
        </is>
      </c>
      <c r="B53" s="13" t="inlineStr">
        <is>
          <t>Governance Crisis</t>
        </is>
      </c>
      <c r="C53" s="13" t="inlineStr">
        <is>
          <t>Crisis governance</t>
        </is>
      </c>
      <c r="D53" s="13" t="inlineStr">
        <is>
          <t>Crisis governance and decision-making</t>
        </is>
      </c>
      <c r="E53" s="13" t="inlineStr">
        <is>
          <t>How mature is the organization in managing crisis cadence for situation reports, decisions, action owners, deadlines and follow-up, including ownership, evidence, metrics, fallback procedures and crisis stress testing?</t>
        </is>
      </c>
      <c r="F53" s="13" t="inlineStr">
        <is>
          <t>Immature capability for crisis cadence for situation reports, decisions, action owners, deadlines and follow-up may lead to slow decisions, unclear escalation, duplicated actions and weak crisis command during All crisis types.</t>
        </is>
      </c>
      <c r="G53" s="13" t="inlineStr">
        <is>
          <t>Low maturity, weak ownership, incomplete evidence, insufficient testing and poor integration with crisis-management routines for crisis cadence for situation reports, decisions, action owners, deadlines and follow-up.</t>
        </is>
      </c>
      <c r="H53" s="13" t="inlineStr">
        <is>
          <t>Severe risk: crisis cadence for situation reports, decisions, action owners, deadlines and follow-up is not reliably controlled. During All crisis types, the organization may face slow decisions, unclear escalation, duplicated actions and weak crisis command with limited visibility or accountability.</t>
        </is>
      </c>
      <c r="I53" s="13" t="inlineStr">
        <is>
          <t>High risk: crisis cadence for situation reports, decisions, action owners, deadlines and follow-up depends on informal practices or individual knowledge. Disruption may expose slow decisions, unclear escalation, duplicated actions and weak crisis command and slow recovery.</t>
        </is>
      </c>
      <c r="J53" s="13" t="inlineStr">
        <is>
          <t>Elevated risk: crisis cadence for situation reports, decisions, action owners, deadlines and follow-up is partially controlled, but coverage, evidence or testing is inconsistent. Crisis response may be fragmented.</t>
        </is>
      </c>
      <c r="K53" s="13" t="inlineStr">
        <is>
          <t>Moderate risk: crisis cadence for situation reports, decisions, action owners, deadlines and follow-up is documented and owned, but measurement, stress testing and integration with dependent processes need strengthening.</t>
        </is>
      </c>
      <c r="L53" s="13" t="inlineStr">
        <is>
          <t>Residual risk: crisis cadence for situation reports, decisions, action owners, deadlines and follow-up is measured and reviewed, but monitoring, automation or scenario testing should be improved to prevent maturity drift.</t>
        </is>
      </c>
      <c r="M53" s="13" t="inlineStr">
        <is>
          <t>Low residual risk: crisis cadence for situation reports, decisions, action owners, deadlines and follow-up is mature and crisis-tested. Maintain monitoring, evidence, ownership and periodic stress testing.</t>
        </is>
      </c>
      <c r="N53" s="13" t="inlineStr">
        <is>
          <t>Create an immediate risk owner, minimum control baseline and fallback procedure for crisis cadence for situation reports, decisions, action owners, deadlines and follow-up. Add it to the crisis risk register and collect first evidence.</t>
        </is>
      </c>
      <c r="O53" s="13" t="inlineStr">
        <is>
          <t>Document crisis cadence for situation reports, decisions, action owners, deadlines and follow-up, assign RACI, define minimum controls and KPIs, and validate coverage across key sites, teams or systems.</t>
        </is>
      </c>
      <c r="P53" s="13" t="inlineStr">
        <is>
          <t>Standardize crisis cadence for situation reports, decisions, action owners, deadlines and follow-up, close coverage gaps, train accountable roles and connect controls to the relevant crisis scenarios and continuity plans.</t>
        </is>
      </c>
      <c r="Q53" s="13" t="inlineStr">
        <is>
          <t>Measure and test crisis cadence for situation reports, decisions, action owners, deadlines and follow-up, run tabletop or operational stress tests, integrate it with dependent processes and update crisis playbooks.</t>
        </is>
      </c>
      <c r="R53" s="13" t="inlineStr">
        <is>
          <t>Automate monitoring where practical, define leading indicators, run periodic scenario tests and track residual risk after each major change.</t>
        </is>
      </c>
      <c r="S53" s="13" t="inlineStr">
        <is>
          <t>Sustain maturity for crisis cadence for situation reports, decisions, action owners, deadlines and follow-up: keep evidence current, monitor drift, benchmark externally and refresh risk tests after organizational, system or market changes.</t>
        </is>
      </c>
      <c r="T53" s="13" t="n">
        <v>3</v>
      </c>
      <c r="U53" s="13" t="n">
        <v>3</v>
      </c>
      <c r="V53" s="13" t="n">
        <v>2</v>
      </c>
      <c r="W53" s="13" t="n">
        <v>2</v>
      </c>
      <c r="X53" s="13" t="n">
        <v>1</v>
      </c>
      <c r="Y53" s="13" t="n">
        <v>1</v>
      </c>
      <c r="Z53" s="13" t="inlineStr">
        <is>
          <t>ISO 22301; ISO 22320; ISO 31000; ISO 37000; NIST SP 800-34; BCI Good Practice Guidelines; Bain RAPID</t>
        </is>
      </c>
      <c r="AA53" s="13" t="inlineStr">
        <is>
          <t>Policy/SOP; owner/RACI; system report; dashboard; contracts; test records; incident history; interview evidence related to crisis cadence for situation reports, decisions, action owners, deadlines and follow-up.</t>
        </is>
      </c>
      <c r="AB53" s="13" t="inlineStr">
        <is>
          <t>All crisis types</t>
        </is>
      </c>
      <c r="AC53" s="13" t="inlineStr">
        <is>
          <t>CEO / COO / Risk</t>
        </is>
      </c>
      <c r="AD53" s="13" t="inlineStr">
        <is>
          <t>Governance Crisis!8</t>
        </is>
      </c>
      <c r="AE53">
        <f>IF($A53="","",IF(OR(ISNUMBER(SEARCH("cyber",$D53)),ISNUMBER(SEARCH("security",$D53)),ISNUMBER(SEARCH("safety",$D53)),ISNUMBER(SEARCH("liquidity",$D53)),ISNUMBER(SEARCH("cash",$D53)),ISNUMBER(SEARCH("continuity",$D53)),ISNUMBER(SEARCH("infrastructure",$D53)),ISNUMBER(SEARCH("outage",$D53))),"Fast",IF(OR(ISNUMBER(SEARCH("compliance",$D53)),ISNUMBER(SEARCH("regulat",$D53)),ISNUMBER(SEARCH("data",$D53)),ISNUMBER(SEARCH("talent",$D53)),ISNUMBER(SEARCH("knowledge",$D53)),ISNUMBER(SEARCH("portfolio",$D53)),ISNUMBER(SEARCH("quality",$D53))),"Slow","Medium")))</f>
        <v/>
      </c>
      <c r="AF53">
        <f>IF($A53="","",IFERROR(VLOOKUP($B53,'_CONFIG_Risk_Calibration'!$A$5:$H$21,2,FALSE),3))</f>
        <v/>
      </c>
      <c r="AG53">
        <f>IF($A53="","",IFERROR(VLOOKUP($B53,'_CONFIG_Risk_Calibration'!$A$5:$H$21,3,FALSE),0))</f>
        <v/>
      </c>
      <c r="AH53">
        <f>IF($A53="","",IFERROR(VLOOKUP($B53,'_CONFIG_Risk_Calibration'!$A$5:$H$21,4,FALSE),3))</f>
        <v/>
      </c>
      <c r="AI53">
        <f>IF($A53="","",IFERROR(VLOOKUP($B53,'_CONFIG_Risk_Calibration'!$A$5:$H$21,5,FALSE),3))</f>
        <v/>
      </c>
      <c r="AJ53">
        <f>IF($A53="","",IFERROR(VLOOKUP($B53,'_CONFIG_Risk_Calibration'!$A$5:$H$21,6,FALSE),"No"))</f>
        <v/>
      </c>
      <c r="AK53">
        <f>IF($A53="","",IFERROR(VLOOKUP($B53,'_CONFIG_Risk_Calibration'!$A$5:$H$21,7,FALSE),1))</f>
        <v/>
      </c>
      <c r="AL53">
        <f>IF($A53="","",IFERROR(VLOOKUP($B53,'_CONFIG_Risk_Calibration'!$A$5:$H$21,8,FALSE),""))</f>
        <v/>
      </c>
    </row>
    <row r="54" ht="60" customHeight="1" s="209">
      <c r="A54" s="13" t="inlineStr">
        <is>
          <t>GOVE-005</t>
        </is>
      </c>
      <c r="B54" s="13" t="inlineStr">
        <is>
          <t>Governance Crisis</t>
        </is>
      </c>
      <c r="C54" s="13" t="inlineStr">
        <is>
          <t>Crisis governance</t>
        </is>
      </c>
      <c r="D54" s="13" t="inlineStr">
        <is>
          <t>Crisis governance and decision-making</t>
        </is>
      </c>
      <c r="E54" s="13" t="inlineStr">
        <is>
          <t>How mature is the organization in managing board or owner-level oversight of resilience, continuity and enterprise risk, including ownership, evidence, metrics, fallback procedures and crisis stress testing?</t>
        </is>
      </c>
      <c r="F54" s="13" t="inlineStr">
        <is>
          <t>Immature capability for board or owner-level oversight of resilience, continuity and enterprise risk may lead to slow decisions, unclear escalation, duplicated actions and weak crisis command during All crisis types.</t>
        </is>
      </c>
      <c r="G54" s="13" t="inlineStr">
        <is>
          <t>Low maturity, weak ownership, incomplete evidence, insufficient testing and poor integration with crisis-management routines for board or owner-level oversight of resilience, continuity and enterprise risk.</t>
        </is>
      </c>
      <c r="H54" s="13" t="inlineStr">
        <is>
          <t>Severe risk: board or owner-level oversight of resilience, continuity and enterprise risk is not reliably controlled. During All crisis types, the organization may face slow decisions, unclear escalation, duplicated actions and weak crisis command with limited visibility or accountability.</t>
        </is>
      </c>
      <c r="I54" s="13" t="inlineStr">
        <is>
          <t>High risk: board or owner-level oversight of resilience, continuity and enterprise risk depends on informal practices or individual knowledge. Disruption may expose slow decisions, unclear escalation, duplicated actions and weak crisis command and slow recovery.</t>
        </is>
      </c>
      <c r="J54" s="13" t="inlineStr">
        <is>
          <t>Elevated risk: board or owner-level oversight of resilience, continuity and enterprise risk is partially controlled, but coverage, evidence or testing is inconsistent. Crisis response may be fragmented.</t>
        </is>
      </c>
      <c r="K54" s="13" t="inlineStr">
        <is>
          <t>Moderate risk: board or owner-level oversight of resilience, continuity and enterprise risk is documented and owned, but measurement, stress testing and integration with dependent processes need strengthening.</t>
        </is>
      </c>
      <c r="L54" s="13" t="inlineStr">
        <is>
          <t>Residual risk: board or owner-level oversight of resilience, continuity and enterprise risk is measured and reviewed, but monitoring, automation or scenario testing should be improved to prevent maturity drift.</t>
        </is>
      </c>
      <c r="M54" s="13" t="inlineStr">
        <is>
          <t>Low residual risk: board or owner-level oversight of resilience, continuity and enterprise risk is mature and crisis-tested. Maintain monitoring, evidence, ownership and periodic stress testing.</t>
        </is>
      </c>
      <c r="N54" s="13" t="inlineStr">
        <is>
          <t>Create an immediate risk owner, minimum control baseline and fallback procedure for board or owner-level oversight of resilience, continuity and enterprise risk. Add it to the crisis risk register and collect first evidence.</t>
        </is>
      </c>
      <c r="O54" s="13" t="inlineStr">
        <is>
          <t>Document board or owner-level oversight of resilience, continuity and enterprise risk, assign RACI, define minimum controls and KPIs, and validate coverage across key sites, teams or systems.</t>
        </is>
      </c>
      <c r="P54" s="13" t="inlineStr">
        <is>
          <t>Standardize board or owner-level oversight of resilience, continuity and enterprise risk, close coverage gaps, train accountable roles and connect controls to the relevant crisis scenarios and continuity plans.</t>
        </is>
      </c>
      <c r="Q54" s="13" t="inlineStr">
        <is>
          <t>Measure and test board or owner-level oversight of resilience, continuity and enterprise risk, run tabletop or operational stress tests, integrate it with dependent processes and update crisis playbooks.</t>
        </is>
      </c>
      <c r="R54" s="13" t="inlineStr">
        <is>
          <t>Automate monitoring where practical, define leading indicators, run periodic scenario tests and track residual risk after each major change.</t>
        </is>
      </c>
      <c r="S54" s="13" t="inlineStr">
        <is>
          <t>Sustain maturity for board or owner-level oversight of resilience, continuity and enterprise risk: keep evidence current, monitor drift, benchmark externally and refresh risk tests after organizational, system or market changes.</t>
        </is>
      </c>
      <c r="T54" s="13" t="n">
        <v>3</v>
      </c>
      <c r="U54" s="13" t="n">
        <v>3</v>
      </c>
      <c r="V54" s="13" t="n">
        <v>2</v>
      </c>
      <c r="W54" s="13" t="n">
        <v>2</v>
      </c>
      <c r="X54" s="13" t="n">
        <v>1</v>
      </c>
      <c r="Y54" s="13" t="n">
        <v>1</v>
      </c>
      <c r="Z54" s="13" t="inlineStr">
        <is>
          <t>ISO 22301; ISO 22320; ISO 31000; ISO 37000; NIST SP 800-34; BCI Good Practice Guidelines; Bain RAPID</t>
        </is>
      </c>
      <c r="AA54" s="13" t="inlineStr">
        <is>
          <t>Policy/SOP; owner/RACI; system report; dashboard; contracts; test records; incident history; interview evidence related to board or owner-level oversight of resilience, continuity and enterprise risk.</t>
        </is>
      </c>
      <c r="AB54" s="13" t="inlineStr">
        <is>
          <t>All crisis types</t>
        </is>
      </c>
      <c r="AC54" s="13" t="inlineStr">
        <is>
          <t>CEO / COO / Risk</t>
        </is>
      </c>
      <c r="AD54" s="13" t="inlineStr">
        <is>
          <t>Governance Crisis!9</t>
        </is>
      </c>
      <c r="AE54">
        <f>IF($A54="","",IF(OR(ISNUMBER(SEARCH("cyber",$D54)),ISNUMBER(SEARCH("security",$D54)),ISNUMBER(SEARCH("safety",$D54)),ISNUMBER(SEARCH("liquidity",$D54)),ISNUMBER(SEARCH("cash",$D54)),ISNUMBER(SEARCH("continuity",$D54)),ISNUMBER(SEARCH("infrastructure",$D54)),ISNUMBER(SEARCH("outage",$D54))),"Fast",IF(OR(ISNUMBER(SEARCH("compliance",$D54)),ISNUMBER(SEARCH("regulat",$D54)),ISNUMBER(SEARCH("data",$D54)),ISNUMBER(SEARCH("talent",$D54)),ISNUMBER(SEARCH("knowledge",$D54)),ISNUMBER(SEARCH("portfolio",$D54)),ISNUMBER(SEARCH("quality",$D54))),"Slow","Medium")))</f>
        <v/>
      </c>
      <c r="AF54">
        <f>IF($A54="","",IFERROR(VLOOKUP($B54,'_CONFIG_Risk_Calibration'!$A$5:$H$21,2,FALSE),3))</f>
        <v/>
      </c>
      <c r="AG54">
        <f>IF($A54="","",IFERROR(VLOOKUP($B54,'_CONFIG_Risk_Calibration'!$A$5:$H$21,3,FALSE),0))</f>
        <v/>
      </c>
      <c r="AH54">
        <f>IF($A54="","",IFERROR(VLOOKUP($B54,'_CONFIG_Risk_Calibration'!$A$5:$H$21,4,FALSE),3))</f>
        <v/>
      </c>
      <c r="AI54">
        <f>IF($A54="","",IFERROR(VLOOKUP($B54,'_CONFIG_Risk_Calibration'!$A$5:$H$21,5,FALSE),3))</f>
        <v/>
      </c>
      <c r="AJ54">
        <f>IF($A54="","",IFERROR(VLOOKUP($B54,'_CONFIG_Risk_Calibration'!$A$5:$H$21,6,FALSE),"No"))</f>
        <v/>
      </c>
      <c r="AK54">
        <f>IF($A54="","",IFERROR(VLOOKUP($B54,'_CONFIG_Risk_Calibration'!$A$5:$H$21,7,FALSE),1))</f>
        <v/>
      </c>
      <c r="AL54">
        <f>IF($A54="","",IFERROR(VLOOKUP($B54,'_CONFIG_Risk_Calibration'!$A$5:$H$21,8,FALSE),""))</f>
        <v/>
      </c>
    </row>
    <row r="55" ht="60" customHeight="1" s="209">
      <c r="A55" s="13" t="inlineStr">
        <is>
          <t>GOVE-006</t>
        </is>
      </c>
      <c r="B55" s="13" t="inlineStr">
        <is>
          <t>Governance Crisis</t>
        </is>
      </c>
      <c r="C55" s="13" t="inlineStr">
        <is>
          <t>Crisis governance</t>
        </is>
      </c>
      <c r="D55" s="13" t="inlineStr">
        <is>
          <t>Crisis governance and decision-making</t>
        </is>
      </c>
      <c r="E55" s="13" t="inlineStr">
        <is>
          <t>How mature is the organization in managing emergency spending authority and budget release rules, including ownership, evidence, metrics, fallback procedures and crisis stress testing?</t>
        </is>
      </c>
      <c r="F55" s="13" t="inlineStr">
        <is>
          <t>Immature capability for emergency spending authority and budget release rules may lead to slow decisions, unclear escalation, duplicated actions and weak crisis command during All crisis types.</t>
        </is>
      </c>
      <c r="G55" s="13" t="inlineStr">
        <is>
          <t>Low maturity, weak ownership, incomplete evidence, insufficient testing and poor integration with crisis-management routines for emergency spending authority and budget release rules.</t>
        </is>
      </c>
      <c r="H55" s="13" t="inlineStr">
        <is>
          <t>Severe risk: emergency spending authority and budget release rules is not reliably controlled. During All crisis types, the organization may face slow decisions, unclear escalation, duplicated actions and weak crisis command with limited visibility or accountability.</t>
        </is>
      </c>
      <c r="I55" s="13" t="inlineStr">
        <is>
          <t>High risk: emergency spending authority and budget release rules depends on informal practices or individual knowledge. Disruption may expose slow decisions, unclear escalation, duplicated actions and weak crisis command and slow recovery.</t>
        </is>
      </c>
      <c r="J55" s="13" t="inlineStr">
        <is>
          <t>Elevated risk: emergency spending authority and budget release rules is partially controlled, but coverage, evidence or testing is inconsistent. Crisis response may be fragmented.</t>
        </is>
      </c>
      <c r="K55" s="13" t="inlineStr">
        <is>
          <t>Moderate risk: emergency spending authority and budget release rules is documented and owned, but measurement, stress testing and integration with dependent processes need strengthening.</t>
        </is>
      </c>
      <c r="L55" s="13" t="inlineStr">
        <is>
          <t>Residual risk: emergency spending authority and budget release rules is measured and reviewed, but monitoring, automation or scenario testing should be improved to prevent maturity drift.</t>
        </is>
      </c>
      <c r="M55" s="13" t="inlineStr">
        <is>
          <t>Low residual risk: emergency spending authority and budget release rules is mature and crisis-tested. Maintain monitoring, evidence, ownership and periodic stress testing.</t>
        </is>
      </c>
      <c r="N55" s="13" t="inlineStr">
        <is>
          <t>Create an immediate risk owner, minimum control baseline and fallback procedure for emergency spending authority and budget release rules. Add it to the crisis risk register and collect first evidence.</t>
        </is>
      </c>
      <c r="O55" s="13" t="inlineStr">
        <is>
          <t>Document emergency spending authority and budget release rules, assign RACI, define minimum controls and KPIs, and validate coverage across key sites, teams or systems.</t>
        </is>
      </c>
      <c r="P55" s="13" t="inlineStr">
        <is>
          <t>Standardize emergency spending authority and budget release rules, close coverage gaps, train accountable roles and connect controls to the relevant crisis scenarios and continuity plans.</t>
        </is>
      </c>
      <c r="Q55" s="13" t="inlineStr">
        <is>
          <t>Measure and test emergency spending authority and budget release rules, run tabletop or operational stress tests, integrate it with dependent processes and update crisis playbooks.</t>
        </is>
      </c>
      <c r="R55" s="13" t="inlineStr">
        <is>
          <t>Automate monitoring where practical, define leading indicators, run periodic scenario tests and track residual risk after each major change.</t>
        </is>
      </c>
      <c r="S55" s="13" t="inlineStr">
        <is>
          <t>Sustain maturity for emergency spending authority and budget release rules: keep evidence current, monitor drift, benchmark externally and refresh risk tests after organizational, system or market changes.</t>
        </is>
      </c>
      <c r="T55" s="13" t="n">
        <v>3</v>
      </c>
      <c r="U55" s="13" t="n">
        <v>3</v>
      </c>
      <c r="V55" s="13" t="n">
        <v>2</v>
      </c>
      <c r="W55" s="13" t="n">
        <v>2</v>
      </c>
      <c r="X55" s="13" t="n">
        <v>1</v>
      </c>
      <c r="Y55" s="13" t="n">
        <v>1</v>
      </c>
      <c r="Z55" s="13" t="inlineStr">
        <is>
          <t>ISO 22301; ISO 22320; ISO 31000; ISO 37000; NIST SP 800-34; BCI Good Practice Guidelines; Bain RAPID</t>
        </is>
      </c>
      <c r="AA55" s="13" t="inlineStr">
        <is>
          <t>Policy/SOP; owner/RACI; system report; dashboard; contracts; test records; incident history; interview evidence related to emergency spending authority and budget release rules.</t>
        </is>
      </c>
      <c r="AB55" s="13" t="inlineStr">
        <is>
          <t>All crisis types</t>
        </is>
      </c>
      <c r="AC55" s="13" t="inlineStr">
        <is>
          <t>CEO / COO / Risk</t>
        </is>
      </c>
      <c r="AD55" s="13" t="inlineStr">
        <is>
          <t>Governance Crisis!10</t>
        </is>
      </c>
      <c r="AE55">
        <f>IF($A55="","",IF(OR(ISNUMBER(SEARCH("cyber",$D55)),ISNUMBER(SEARCH("security",$D55)),ISNUMBER(SEARCH("safety",$D55)),ISNUMBER(SEARCH("liquidity",$D55)),ISNUMBER(SEARCH("cash",$D55)),ISNUMBER(SEARCH("continuity",$D55)),ISNUMBER(SEARCH("infrastructure",$D55)),ISNUMBER(SEARCH("outage",$D55))),"Fast",IF(OR(ISNUMBER(SEARCH("compliance",$D55)),ISNUMBER(SEARCH("regulat",$D55)),ISNUMBER(SEARCH("data",$D55)),ISNUMBER(SEARCH("talent",$D55)),ISNUMBER(SEARCH("knowledge",$D55)),ISNUMBER(SEARCH("portfolio",$D55)),ISNUMBER(SEARCH("quality",$D55))),"Slow","Medium")))</f>
        <v/>
      </c>
      <c r="AF55">
        <f>IF($A55="","",IFERROR(VLOOKUP($B55,'_CONFIG_Risk_Calibration'!$A$5:$H$21,2,FALSE),3))</f>
        <v/>
      </c>
      <c r="AG55">
        <f>IF($A55="","",IFERROR(VLOOKUP($B55,'_CONFIG_Risk_Calibration'!$A$5:$H$21,3,FALSE),0))</f>
        <v/>
      </c>
      <c r="AH55">
        <f>IF($A55="","",IFERROR(VLOOKUP($B55,'_CONFIG_Risk_Calibration'!$A$5:$H$21,4,FALSE),3))</f>
        <v/>
      </c>
      <c r="AI55">
        <f>IF($A55="","",IFERROR(VLOOKUP($B55,'_CONFIG_Risk_Calibration'!$A$5:$H$21,5,FALSE),3))</f>
        <v/>
      </c>
      <c r="AJ55">
        <f>IF($A55="","",IFERROR(VLOOKUP($B55,'_CONFIG_Risk_Calibration'!$A$5:$H$21,6,FALSE),"No"))</f>
        <v/>
      </c>
      <c r="AK55">
        <f>IF($A55="","",IFERROR(VLOOKUP($B55,'_CONFIG_Risk_Calibration'!$A$5:$H$21,7,FALSE),1))</f>
        <v/>
      </c>
      <c r="AL55">
        <f>IF($A55="","",IFERROR(VLOOKUP($B55,'_CONFIG_Risk_Calibration'!$A$5:$H$21,8,FALSE),""))</f>
        <v/>
      </c>
    </row>
    <row r="56" ht="60" customHeight="1" s="209">
      <c r="A56" s="13" t="inlineStr">
        <is>
          <t>GOVE-007</t>
        </is>
      </c>
      <c r="B56" s="13" t="inlineStr">
        <is>
          <t>Governance Crisis</t>
        </is>
      </c>
      <c r="C56" s="13" t="inlineStr">
        <is>
          <t>Risk and continuity</t>
        </is>
      </c>
      <c r="D56" s="13" t="inlineStr">
        <is>
          <t>Crisis governance and decision-making</t>
        </is>
      </c>
      <c r="E56" s="13" t="inlineStr">
        <is>
          <t>How mature is the organization in managing enterprise risk register with owners, likelihood, impact, controls, triggers and residual risk, including ownership, evidence, metrics, fallback procedures and crisis stress testing?</t>
        </is>
      </c>
      <c r="F56" s="13" t="inlineStr">
        <is>
          <t>Immature capability for enterprise risk register with owners, likelihood, impact, controls, triggers and residual risk may lead to slow decisions, unclear escalation, duplicated actions and weak crisis command during All crisis types.</t>
        </is>
      </c>
      <c r="G56" s="13" t="inlineStr">
        <is>
          <t>Low maturity, weak ownership, incomplete evidence, insufficient testing and poor integration with crisis-management routines for enterprise risk register with owners, likelihood, impact, controls, triggers and residual risk.</t>
        </is>
      </c>
      <c r="H56" s="13" t="inlineStr">
        <is>
          <t>Severe risk: enterprise risk register with owners, likelihood, impact, controls, triggers and residual risk is not reliably controlled. During All crisis types, the organization may face slow decisions, unclear escalation, duplicated actions and weak crisis command with limited visibility or accountability.</t>
        </is>
      </c>
      <c r="I56" s="13" t="inlineStr">
        <is>
          <t>High risk: enterprise risk register with owners, likelihood, impact, controls, triggers and residual risk depends on informal practices or individual knowledge. Disruption may expose slow decisions, unclear escalation, duplicated actions and weak crisis command and slow recovery.</t>
        </is>
      </c>
      <c r="J56" s="13" t="inlineStr">
        <is>
          <t>Elevated risk: enterprise risk register with owners, likelihood, impact, controls, triggers and residual risk is partially controlled, but coverage, evidence or testing is inconsistent. Crisis response may be fragmented.</t>
        </is>
      </c>
      <c r="K56" s="13" t="inlineStr">
        <is>
          <t>Moderate risk: enterprise risk register with owners, likelihood, impact, controls, triggers and residual risk is documented and owned, but measurement, stress testing and integration with dependent processes need strengthening.</t>
        </is>
      </c>
      <c r="L56" s="13" t="inlineStr">
        <is>
          <t>Residual risk: enterprise risk register with owners, likelihood, impact, controls, triggers and residual risk is measured and reviewed, but monitoring, automation or scenario testing should be improved to prevent maturity drift.</t>
        </is>
      </c>
      <c r="M56" s="13" t="inlineStr">
        <is>
          <t>Low residual risk: enterprise risk register with owners, likelihood, impact, controls, triggers and residual risk is mature and crisis-tested. Maintain monitoring, evidence, ownership and periodic stress testing.</t>
        </is>
      </c>
      <c r="N56" s="13" t="inlineStr">
        <is>
          <t>Create an immediate risk owner, minimum control baseline and fallback procedure for enterprise risk register with owners, likelihood, impact, controls, triggers and residual risk. Add it to the crisis risk register and collect first evidence.</t>
        </is>
      </c>
      <c r="O56" s="13" t="inlineStr">
        <is>
          <t>Document enterprise risk register with owners, likelihood, impact, controls, triggers and residual risk, assign RACI, define minimum controls and KPIs, and validate coverage across key sites, teams or systems.</t>
        </is>
      </c>
      <c r="P56" s="13" t="inlineStr">
        <is>
          <t>Standardize enterprise risk register with owners, likelihood, impact, controls, triggers and residual risk, close coverage gaps, train accountable roles and connect controls to the relevant crisis scenarios and continuity plans.</t>
        </is>
      </c>
      <c r="Q56" s="13" t="inlineStr">
        <is>
          <t>Measure and test enterprise risk register with owners, likelihood, impact, controls, triggers and residual risk, run tabletop or operational stress tests, integrate it with dependent processes and update crisis playbooks.</t>
        </is>
      </c>
      <c r="R56" s="13" t="inlineStr">
        <is>
          <t>Automate monitoring where practical, define leading indicators, run periodic scenario tests and track residual risk after each major change.</t>
        </is>
      </c>
      <c r="S56" s="13" t="inlineStr">
        <is>
          <t>Sustain maturity for enterprise risk register with owners, likelihood, impact, controls, triggers and residual risk: keep evidence current, monitor drift, benchmark externally and refresh risk tests after organizational, system or market changes.</t>
        </is>
      </c>
      <c r="T56" s="13" t="n">
        <v>3</v>
      </c>
      <c r="U56" s="13" t="n">
        <v>3</v>
      </c>
      <c r="V56" s="13" t="n">
        <v>2</v>
      </c>
      <c r="W56" s="13" t="n">
        <v>2</v>
      </c>
      <c r="X56" s="13" t="n">
        <v>1</v>
      </c>
      <c r="Y56" s="13" t="n">
        <v>1</v>
      </c>
      <c r="Z56" s="13" t="inlineStr">
        <is>
          <t>ISO 22301; ISO 22320; ISO 31000; ISO 37000; NIST SP 800-34; BCI Good Practice Guidelines; Bain RAPID</t>
        </is>
      </c>
      <c r="AA56" s="13" t="inlineStr">
        <is>
          <t>Policy/SOP; owner/RACI; system report; dashboard; contracts; test records; incident history; interview evidence related to enterprise risk register with owners, likelihood, impact, controls, triggers and residual risk.</t>
        </is>
      </c>
      <c r="AB56" s="13" t="inlineStr">
        <is>
          <t>All crisis types</t>
        </is>
      </c>
      <c r="AC56" s="13" t="inlineStr">
        <is>
          <t>CEO / COO / Risk</t>
        </is>
      </c>
      <c r="AD56" s="13" t="inlineStr">
        <is>
          <t>Governance Crisis!11</t>
        </is>
      </c>
      <c r="AE56">
        <f>IF($A56="","",IF(OR(ISNUMBER(SEARCH("cyber",$D56)),ISNUMBER(SEARCH("security",$D56)),ISNUMBER(SEARCH("safety",$D56)),ISNUMBER(SEARCH("liquidity",$D56)),ISNUMBER(SEARCH("cash",$D56)),ISNUMBER(SEARCH("continuity",$D56)),ISNUMBER(SEARCH("infrastructure",$D56)),ISNUMBER(SEARCH("outage",$D56))),"Fast",IF(OR(ISNUMBER(SEARCH("compliance",$D56)),ISNUMBER(SEARCH("regulat",$D56)),ISNUMBER(SEARCH("data",$D56)),ISNUMBER(SEARCH("talent",$D56)),ISNUMBER(SEARCH("knowledge",$D56)),ISNUMBER(SEARCH("portfolio",$D56)),ISNUMBER(SEARCH("quality",$D56))),"Slow","Medium")))</f>
        <v/>
      </c>
      <c r="AF56">
        <f>IF($A56="","",IFERROR(VLOOKUP($B56,'_CONFIG_Risk_Calibration'!$A$5:$H$21,2,FALSE),3))</f>
        <v/>
      </c>
      <c r="AG56">
        <f>IF($A56="","",IFERROR(VLOOKUP($B56,'_CONFIG_Risk_Calibration'!$A$5:$H$21,3,FALSE),0))</f>
        <v/>
      </c>
      <c r="AH56">
        <f>IF($A56="","",IFERROR(VLOOKUP($B56,'_CONFIG_Risk_Calibration'!$A$5:$H$21,4,FALSE),3))</f>
        <v/>
      </c>
      <c r="AI56">
        <f>IF($A56="","",IFERROR(VLOOKUP($B56,'_CONFIG_Risk_Calibration'!$A$5:$H$21,5,FALSE),3))</f>
        <v/>
      </c>
      <c r="AJ56">
        <f>IF($A56="","",IFERROR(VLOOKUP($B56,'_CONFIG_Risk_Calibration'!$A$5:$H$21,6,FALSE),"No"))</f>
        <v/>
      </c>
      <c r="AK56">
        <f>IF($A56="","",IFERROR(VLOOKUP($B56,'_CONFIG_Risk_Calibration'!$A$5:$H$21,7,FALSE),1))</f>
        <v/>
      </c>
      <c r="AL56">
        <f>IF($A56="","",IFERROR(VLOOKUP($B56,'_CONFIG_Risk_Calibration'!$A$5:$H$21,8,FALSE),""))</f>
        <v/>
      </c>
    </row>
    <row r="57" ht="60" customHeight="1" s="209">
      <c r="A57" s="13" t="inlineStr">
        <is>
          <t>GOVE-008</t>
        </is>
      </c>
      <c r="B57" s="13" t="inlineStr">
        <is>
          <t>Governance Crisis</t>
        </is>
      </c>
      <c r="C57" s="13" t="inlineStr">
        <is>
          <t>Risk and continuity</t>
        </is>
      </c>
      <c r="D57" s="13" t="inlineStr">
        <is>
          <t>Crisis governance and decision-making</t>
        </is>
      </c>
      <c r="E57" s="13" t="inlineStr">
        <is>
          <t>How mature is the organization in managing risk appetite for safety, cash, cyber, delivery, compliance, reputation and operational continuity, including ownership, evidence, metrics, fallback procedures and crisis stress testing?</t>
        </is>
      </c>
      <c r="F57" s="13" t="inlineStr">
        <is>
          <t>Immature capability for risk appetite for safety, cash, cyber, delivery, compliance, reputation and operational continuity may lead to slow decisions, unclear escalation, duplicated actions and weak crisis command during All crisis types.</t>
        </is>
      </c>
      <c r="G57" s="13" t="inlineStr">
        <is>
          <t>Low maturity, weak ownership, incomplete evidence, insufficient testing and poor integration with crisis-management routines for risk appetite for safety, cash, cyber, delivery, compliance, reputation and operational continuity.</t>
        </is>
      </c>
      <c r="H57" s="13" t="inlineStr">
        <is>
          <t>Severe risk: risk appetite for safety, cash, cyber, delivery, compliance, reputation and operational continuity is not reliably controlled. During All crisis types, the organization may face slow decisions, unclear escalation, duplicated actions and weak crisis command with limited visibility or accountability.</t>
        </is>
      </c>
      <c r="I57" s="13" t="inlineStr">
        <is>
          <t>High risk: risk appetite for safety, cash, cyber, delivery, compliance, reputation and operational continuity depends on informal practices or individual knowledge. Disruption may expose slow decisions, unclear escalation, duplicated actions and weak crisis command and slow recovery.</t>
        </is>
      </c>
      <c r="J57" s="13" t="inlineStr">
        <is>
          <t>Elevated risk: risk appetite for safety, cash, cyber, delivery, compliance, reputation and operational continuity is partially controlled, but coverage, evidence or testing is inconsistent. Crisis response may be fragmented.</t>
        </is>
      </c>
      <c r="K57" s="13" t="inlineStr">
        <is>
          <t>Moderate risk: risk appetite for safety, cash, cyber, delivery, compliance, reputation and operational continuity is documented and owned, but measurement, stress testing and integration with dependent processes need strengthening.</t>
        </is>
      </c>
      <c r="L57" s="13" t="inlineStr">
        <is>
          <t>Residual risk: risk appetite for safety, cash, cyber, delivery, compliance, reputation and operational continuity is measured and reviewed, but monitoring, automation or scenario testing should be improved to prevent maturity drift.</t>
        </is>
      </c>
      <c r="M57" s="13" t="inlineStr">
        <is>
          <t>Low residual risk: risk appetite for safety, cash, cyber, delivery, compliance, reputation and operational continuity is mature and crisis-tested. Maintain monitoring, evidence, ownership and periodic stress testing.</t>
        </is>
      </c>
      <c r="N57" s="13" t="inlineStr">
        <is>
          <t>Create an immediate risk owner, minimum control baseline and fallback procedure for risk appetite for safety, cash, cyber, delivery, compliance, reputation and operational continuity. Add it to the crisis risk register and collect first evidence.</t>
        </is>
      </c>
      <c r="O57" s="13" t="inlineStr">
        <is>
          <t>Document risk appetite for safety, cash, cyber, delivery, compliance, reputation and operational continuity, assign RACI, define minimum controls and KPIs, and validate coverage across key sites, teams or systems.</t>
        </is>
      </c>
      <c r="P57" s="13" t="inlineStr">
        <is>
          <t>Standardize risk appetite for safety, cash, cyber, delivery, compliance, reputation and operational continuity, close coverage gaps, train accountable roles and connect controls to the relevant crisis scenarios and continuity plans.</t>
        </is>
      </c>
      <c r="Q57" s="13" t="inlineStr">
        <is>
          <t>Measure and test risk appetite for safety, cash, cyber, delivery, compliance, reputation and operational continuity, run tabletop or operational stress tests, integrate it with dependent processes and update crisis playbooks.</t>
        </is>
      </c>
      <c r="R57" s="13" t="inlineStr">
        <is>
          <t>Automate monitoring where practical, define leading indicators, run periodic scenario tests and track residual risk after each major change.</t>
        </is>
      </c>
      <c r="S57" s="13" t="inlineStr">
        <is>
          <t>Sustain maturity for risk appetite for safety, cash, cyber, delivery, compliance, reputation and operational continuity: keep evidence current, monitor drift, benchmark externally and refresh risk tests after organizational, system or market changes.</t>
        </is>
      </c>
      <c r="T57" s="13" t="n">
        <v>3</v>
      </c>
      <c r="U57" s="13" t="n">
        <v>3</v>
      </c>
      <c r="V57" s="13" t="n">
        <v>2</v>
      </c>
      <c r="W57" s="13" t="n">
        <v>2</v>
      </c>
      <c r="X57" s="13" t="n">
        <v>1</v>
      </c>
      <c r="Y57" s="13" t="n">
        <v>1</v>
      </c>
      <c r="Z57" s="13" t="inlineStr">
        <is>
          <t>ISO 22301; ISO 22320; ISO 31000; ISO 37000; NIST SP 800-34; BCI Good Practice Guidelines; Bain RAPID</t>
        </is>
      </c>
      <c r="AA57" s="13" t="inlineStr">
        <is>
          <t>Policy/SOP; owner/RACI; system report; dashboard; contracts; test records; incident history; interview evidence related to risk appetite for safety, cash, cyber, delivery, compliance, reputation and operational continuity.</t>
        </is>
      </c>
      <c r="AB57" s="13" t="inlineStr">
        <is>
          <t>All crisis types</t>
        </is>
      </c>
      <c r="AC57" s="13" t="inlineStr">
        <is>
          <t>CEO / COO / Risk</t>
        </is>
      </c>
      <c r="AD57" s="13" t="inlineStr">
        <is>
          <t>Governance Crisis!12</t>
        </is>
      </c>
      <c r="AE57">
        <f>IF($A57="","",IF(OR(ISNUMBER(SEARCH("cyber",$D57)),ISNUMBER(SEARCH("security",$D57)),ISNUMBER(SEARCH("safety",$D57)),ISNUMBER(SEARCH("liquidity",$D57)),ISNUMBER(SEARCH("cash",$D57)),ISNUMBER(SEARCH("continuity",$D57)),ISNUMBER(SEARCH("infrastructure",$D57)),ISNUMBER(SEARCH("outage",$D57))),"Fast",IF(OR(ISNUMBER(SEARCH("compliance",$D57)),ISNUMBER(SEARCH("regulat",$D57)),ISNUMBER(SEARCH("data",$D57)),ISNUMBER(SEARCH("talent",$D57)),ISNUMBER(SEARCH("knowledge",$D57)),ISNUMBER(SEARCH("portfolio",$D57)),ISNUMBER(SEARCH("quality",$D57))),"Slow","Medium")))</f>
        <v/>
      </c>
      <c r="AF57">
        <f>IF($A57="","",IFERROR(VLOOKUP($B57,'_CONFIG_Risk_Calibration'!$A$5:$H$21,2,FALSE),3))</f>
        <v/>
      </c>
      <c r="AG57">
        <f>IF($A57="","",IFERROR(VLOOKUP($B57,'_CONFIG_Risk_Calibration'!$A$5:$H$21,3,FALSE),0))</f>
        <v/>
      </c>
      <c r="AH57">
        <f>IF($A57="","",IFERROR(VLOOKUP($B57,'_CONFIG_Risk_Calibration'!$A$5:$H$21,4,FALSE),3))</f>
        <v/>
      </c>
      <c r="AI57">
        <f>IF($A57="","",IFERROR(VLOOKUP($B57,'_CONFIG_Risk_Calibration'!$A$5:$H$21,5,FALSE),3))</f>
        <v/>
      </c>
      <c r="AJ57">
        <f>IF($A57="","",IFERROR(VLOOKUP($B57,'_CONFIG_Risk_Calibration'!$A$5:$H$21,6,FALSE),"No"))</f>
        <v/>
      </c>
      <c r="AK57">
        <f>IF($A57="","",IFERROR(VLOOKUP($B57,'_CONFIG_Risk_Calibration'!$A$5:$H$21,7,FALSE),1))</f>
        <v/>
      </c>
      <c r="AL57">
        <f>IF($A57="","",IFERROR(VLOOKUP($B57,'_CONFIG_Risk_Calibration'!$A$5:$H$21,8,FALSE),""))</f>
        <v/>
      </c>
    </row>
    <row r="58" ht="60" customHeight="1" s="209">
      <c r="A58" s="13" t="inlineStr">
        <is>
          <t>GOVE-009</t>
        </is>
      </c>
      <c r="B58" s="13" t="inlineStr">
        <is>
          <t>Governance Crisis</t>
        </is>
      </c>
      <c r="C58" s="13" t="inlineStr">
        <is>
          <t>Risk and continuity</t>
        </is>
      </c>
      <c r="D58" s="13" t="inlineStr">
        <is>
          <t>Crisis governance and decision-making</t>
        </is>
      </c>
      <c r="E58" s="13" t="inlineStr">
        <is>
          <t>How mature is the organization in managing early warning indicators for major crisis types and objective crisis activation triggers, including ownership, evidence, metrics, fallback procedures and crisis stress testing?</t>
        </is>
      </c>
      <c r="F58" s="13" t="inlineStr">
        <is>
          <t>Immature capability for early warning indicators for major crisis types and objective crisis activation triggers may lead to slow decisions, unclear escalation, duplicated actions and weak crisis command during All crisis types.</t>
        </is>
      </c>
      <c r="G58" s="13" t="inlineStr">
        <is>
          <t>Low maturity, weak ownership, incomplete evidence, insufficient testing and poor integration with crisis-management routines for early warning indicators for major crisis types and objective crisis activation triggers.</t>
        </is>
      </c>
      <c r="H58" s="13" t="inlineStr">
        <is>
          <t>Severe risk: early warning indicators for major crisis types and objective crisis activation triggers is not reliably controlled. During All crisis types, the organization may face slow decisions, unclear escalation, duplicated actions and weak crisis command with limited visibility or accountability.</t>
        </is>
      </c>
      <c r="I58" s="13" t="inlineStr">
        <is>
          <t>High risk: early warning indicators for major crisis types and objective crisis activation triggers depends on informal practices or individual knowledge. Disruption may expose slow decisions, unclear escalation, duplicated actions and weak crisis command and slow recovery.</t>
        </is>
      </c>
      <c r="J58" s="13" t="inlineStr">
        <is>
          <t>Elevated risk: early warning indicators for major crisis types and objective crisis activation triggers is partially controlled, but coverage, evidence or testing is inconsistent. Crisis response may be fragmented.</t>
        </is>
      </c>
      <c r="K58" s="13" t="inlineStr">
        <is>
          <t>Moderate risk: early warning indicators for major crisis types and objective crisis activation triggers is documented and owned, but measurement, stress testing and integration with dependent processes need strengthening.</t>
        </is>
      </c>
      <c r="L58" s="13" t="inlineStr">
        <is>
          <t>Residual risk: early warning indicators for major crisis types and objective crisis activation triggers is measured and reviewed, but monitoring, automation or scenario testing should be improved to prevent maturity drift.</t>
        </is>
      </c>
      <c r="M58" s="13" t="inlineStr">
        <is>
          <t>Low residual risk: early warning indicators for major crisis types and objective crisis activation triggers is mature and crisis-tested. Maintain monitoring, evidence, ownership and periodic stress testing.</t>
        </is>
      </c>
      <c r="N58" s="13" t="inlineStr">
        <is>
          <t>Create an immediate risk owner, minimum control baseline and fallback procedure for early warning indicators for major crisis types and objective crisis activation triggers. Add it to the crisis risk register and collect first evidence.</t>
        </is>
      </c>
      <c r="O58" s="13" t="inlineStr">
        <is>
          <t>Document early warning indicators for major crisis types and objective crisis activation triggers, assign RACI, define minimum controls and KPIs, and validate coverage across key sites, teams or systems.</t>
        </is>
      </c>
      <c r="P58" s="13" t="inlineStr">
        <is>
          <t>Standardize early warning indicators for major crisis types and objective crisis activation triggers, close coverage gaps, train accountable roles and connect controls to the relevant crisis scenarios and continuity plans.</t>
        </is>
      </c>
      <c r="Q58" s="13" t="inlineStr">
        <is>
          <t>Measure and test early warning indicators for major crisis types and objective crisis activation triggers, run tabletop or operational stress tests, integrate it with dependent processes and update crisis playbooks.</t>
        </is>
      </c>
      <c r="R58" s="13" t="inlineStr">
        <is>
          <t>Automate monitoring where practical, define leading indicators, run periodic scenario tests and track residual risk after each major change.</t>
        </is>
      </c>
      <c r="S58" s="13" t="inlineStr">
        <is>
          <t>Sustain maturity for early warning indicators for major crisis types and objective crisis activation triggers: keep evidence current, monitor drift, benchmark externally and refresh risk tests after organizational, system or market changes.</t>
        </is>
      </c>
      <c r="T58" s="13" t="n">
        <v>3</v>
      </c>
      <c r="U58" s="13" t="n">
        <v>3</v>
      </c>
      <c r="V58" s="13" t="n">
        <v>2</v>
      </c>
      <c r="W58" s="13" t="n">
        <v>2</v>
      </c>
      <c r="X58" s="13" t="n">
        <v>1</v>
      </c>
      <c r="Y58" s="13" t="n">
        <v>1</v>
      </c>
      <c r="Z58" s="13" t="inlineStr">
        <is>
          <t>ISO 22301; ISO 22320; ISO 31000; ISO 37000; NIST SP 800-34; BCI Good Practice Guidelines; Bain RAPID</t>
        </is>
      </c>
      <c r="AA58" s="13" t="inlineStr">
        <is>
          <t>Policy/SOP; owner/RACI; system report; dashboard; contracts; test records; incident history; interview evidence related to early warning indicators for major crisis types and objective crisis activation triggers.</t>
        </is>
      </c>
      <c r="AB58" s="13" t="inlineStr">
        <is>
          <t>All crisis types</t>
        </is>
      </c>
      <c r="AC58" s="13" t="inlineStr">
        <is>
          <t>CEO / COO / Risk</t>
        </is>
      </c>
      <c r="AD58" s="13" t="inlineStr">
        <is>
          <t>Governance Crisis!13</t>
        </is>
      </c>
      <c r="AE58">
        <f>IF($A58="","",IF(OR(ISNUMBER(SEARCH("cyber",$D58)),ISNUMBER(SEARCH("security",$D58)),ISNUMBER(SEARCH("safety",$D58)),ISNUMBER(SEARCH("liquidity",$D58)),ISNUMBER(SEARCH("cash",$D58)),ISNUMBER(SEARCH("continuity",$D58)),ISNUMBER(SEARCH("infrastructure",$D58)),ISNUMBER(SEARCH("outage",$D58))),"Fast",IF(OR(ISNUMBER(SEARCH("compliance",$D58)),ISNUMBER(SEARCH("regulat",$D58)),ISNUMBER(SEARCH("data",$D58)),ISNUMBER(SEARCH("talent",$D58)),ISNUMBER(SEARCH("knowledge",$D58)),ISNUMBER(SEARCH("portfolio",$D58)),ISNUMBER(SEARCH("quality",$D58))),"Slow","Medium")))</f>
        <v/>
      </c>
      <c r="AF58">
        <f>IF($A58="","",IFERROR(VLOOKUP($B58,'_CONFIG_Risk_Calibration'!$A$5:$H$21,2,FALSE),3))</f>
        <v/>
      </c>
      <c r="AG58">
        <f>IF($A58="","",IFERROR(VLOOKUP($B58,'_CONFIG_Risk_Calibration'!$A$5:$H$21,3,FALSE),0))</f>
        <v/>
      </c>
      <c r="AH58">
        <f>IF($A58="","",IFERROR(VLOOKUP($B58,'_CONFIG_Risk_Calibration'!$A$5:$H$21,4,FALSE),3))</f>
        <v/>
      </c>
      <c r="AI58">
        <f>IF($A58="","",IFERROR(VLOOKUP($B58,'_CONFIG_Risk_Calibration'!$A$5:$H$21,5,FALSE),3))</f>
        <v/>
      </c>
      <c r="AJ58">
        <f>IF($A58="","",IFERROR(VLOOKUP($B58,'_CONFIG_Risk_Calibration'!$A$5:$H$21,6,FALSE),"No"))</f>
        <v/>
      </c>
      <c r="AK58">
        <f>IF($A58="","",IFERROR(VLOOKUP($B58,'_CONFIG_Risk_Calibration'!$A$5:$H$21,7,FALSE),1))</f>
        <v/>
      </c>
      <c r="AL58">
        <f>IF($A58="","",IFERROR(VLOOKUP($B58,'_CONFIG_Risk_Calibration'!$A$5:$H$21,8,FALSE),""))</f>
        <v/>
      </c>
    </row>
    <row r="59" ht="60" customHeight="1" s="209">
      <c r="A59" s="13" t="inlineStr">
        <is>
          <t>GOVE-010</t>
        </is>
      </c>
      <c r="B59" s="13" t="inlineStr">
        <is>
          <t>Governance Crisis</t>
        </is>
      </c>
      <c r="C59" s="13" t="inlineStr">
        <is>
          <t>Risk and continuity</t>
        </is>
      </c>
      <c r="D59" s="13" t="inlineStr">
        <is>
          <t>Crisis governance and decision-making</t>
        </is>
      </c>
      <c r="E59" s="13" t="inlineStr">
        <is>
          <t>How mature is the organization in managing business impact analysis across functions, sites, systems, people and suppliers, including ownership, evidence, metrics, fallback procedures and crisis stress testing?</t>
        </is>
      </c>
      <c r="F59" s="13" t="inlineStr">
        <is>
          <t>Immature capability for business impact analysis across functions, sites, systems, people and suppliers may lead to slow decisions, unclear escalation, duplicated actions and weak crisis command during All crisis types.</t>
        </is>
      </c>
      <c r="G59" s="13" t="inlineStr">
        <is>
          <t>Low maturity, weak ownership, incomplete evidence, insufficient testing and poor integration with crisis-management routines for business impact analysis across functions, sites, systems, people and suppliers.</t>
        </is>
      </c>
      <c r="H59" s="13" t="inlineStr">
        <is>
          <t>Severe risk: business impact analysis across functions, sites, systems, people and suppliers is not reliably controlled. During All crisis types, the organization may face slow decisions, unclear escalation, duplicated actions and weak crisis command with limited visibility or accountability.</t>
        </is>
      </c>
      <c r="I59" s="13" t="inlineStr">
        <is>
          <t>High risk: business impact analysis across functions, sites, systems, people and suppliers depends on informal practices or individual knowledge. Disruption may expose slow decisions, unclear escalation, duplicated actions and weak crisis command and slow recovery.</t>
        </is>
      </c>
      <c r="J59" s="13" t="inlineStr">
        <is>
          <t>Elevated risk: business impact analysis across functions, sites, systems, people and suppliers is partially controlled, but coverage, evidence or testing is inconsistent. Crisis response may be fragmented.</t>
        </is>
      </c>
      <c r="K59" s="13" t="inlineStr">
        <is>
          <t>Moderate risk: business impact analysis across functions, sites, systems, people and suppliers is documented and owned, but measurement, stress testing and integration with dependent processes need strengthening.</t>
        </is>
      </c>
      <c r="L59" s="13" t="inlineStr">
        <is>
          <t>Residual risk: business impact analysis across functions, sites, systems, people and suppliers is measured and reviewed, but monitoring, automation or scenario testing should be improved to prevent maturity drift.</t>
        </is>
      </c>
      <c r="M59" s="13" t="inlineStr">
        <is>
          <t>Low residual risk: business impact analysis across functions, sites, systems, people and suppliers is mature and crisis-tested. Maintain monitoring, evidence, ownership and periodic stress testing.</t>
        </is>
      </c>
      <c r="N59" s="13" t="inlineStr">
        <is>
          <t>Create an immediate risk owner, minimum control baseline and fallback procedure for business impact analysis across functions, sites, systems, people and suppliers. Add it to the crisis risk register and collect first evidence.</t>
        </is>
      </c>
      <c r="O59" s="13" t="inlineStr">
        <is>
          <t>Document business impact analysis across functions, sites, systems, people and suppliers, assign RACI, define minimum controls and KPIs, and validate coverage across key sites, teams or systems.</t>
        </is>
      </c>
      <c r="P59" s="13" t="inlineStr">
        <is>
          <t>Standardize business impact analysis across functions, sites, systems, people and suppliers, close coverage gaps, train accountable roles and connect controls to the relevant crisis scenarios and continuity plans.</t>
        </is>
      </c>
      <c r="Q59" s="13" t="inlineStr">
        <is>
          <t>Measure and test business impact analysis across functions, sites, systems, people and suppliers, run tabletop or operational stress tests, integrate it with dependent processes and update crisis playbooks.</t>
        </is>
      </c>
      <c r="R59" s="13" t="inlineStr">
        <is>
          <t>Automate monitoring where practical, define leading indicators, run periodic scenario tests and track residual risk after each major change.</t>
        </is>
      </c>
      <c r="S59" s="13" t="inlineStr">
        <is>
          <t>Sustain maturity for business impact analysis across functions, sites, systems, people and suppliers: keep evidence current, monitor drift, benchmark externally and refresh risk tests after organizational, system or market changes.</t>
        </is>
      </c>
      <c r="T59" s="13" t="n">
        <v>3</v>
      </c>
      <c r="U59" s="13" t="n">
        <v>3</v>
      </c>
      <c r="V59" s="13" t="n">
        <v>2</v>
      </c>
      <c r="W59" s="13" t="n">
        <v>2</v>
      </c>
      <c r="X59" s="13" t="n">
        <v>1</v>
      </c>
      <c r="Y59" s="13" t="n">
        <v>1</v>
      </c>
      <c r="Z59" s="13" t="inlineStr">
        <is>
          <t>ISO 22301; ISO 22320; ISO 31000; ISO 37000; NIST SP 800-34; BCI Good Practice Guidelines; Bain RAPID</t>
        </is>
      </c>
      <c r="AA59" s="13" t="inlineStr">
        <is>
          <t>Policy/SOP; owner/RACI; system report; dashboard; contracts; test records; incident history; interview evidence related to business impact analysis across functions, sites, systems, people and suppliers.</t>
        </is>
      </c>
      <c r="AB59" s="13" t="inlineStr">
        <is>
          <t>All crisis types</t>
        </is>
      </c>
      <c r="AC59" s="13" t="inlineStr">
        <is>
          <t>CEO / COO / Risk</t>
        </is>
      </c>
      <c r="AD59" s="13" t="inlineStr">
        <is>
          <t>Governance Crisis!14</t>
        </is>
      </c>
      <c r="AE59">
        <f>IF($A59="","",IF(OR(ISNUMBER(SEARCH("cyber",$D59)),ISNUMBER(SEARCH("security",$D59)),ISNUMBER(SEARCH("safety",$D59)),ISNUMBER(SEARCH("liquidity",$D59)),ISNUMBER(SEARCH("cash",$D59)),ISNUMBER(SEARCH("continuity",$D59)),ISNUMBER(SEARCH("infrastructure",$D59)),ISNUMBER(SEARCH("outage",$D59))),"Fast",IF(OR(ISNUMBER(SEARCH("compliance",$D59)),ISNUMBER(SEARCH("regulat",$D59)),ISNUMBER(SEARCH("data",$D59)),ISNUMBER(SEARCH("talent",$D59)),ISNUMBER(SEARCH("knowledge",$D59)),ISNUMBER(SEARCH("portfolio",$D59)),ISNUMBER(SEARCH("quality",$D59))),"Slow","Medium")))</f>
        <v/>
      </c>
      <c r="AF59">
        <f>IF($A59="","",IFERROR(VLOOKUP($B59,'_CONFIG_Risk_Calibration'!$A$5:$H$21,2,FALSE),3))</f>
        <v/>
      </c>
      <c r="AG59">
        <f>IF($A59="","",IFERROR(VLOOKUP($B59,'_CONFIG_Risk_Calibration'!$A$5:$H$21,3,FALSE),0))</f>
        <v/>
      </c>
      <c r="AH59">
        <f>IF($A59="","",IFERROR(VLOOKUP($B59,'_CONFIG_Risk_Calibration'!$A$5:$H$21,4,FALSE),3))</f>
        <v/>
      </c>
      <c r="AI59">
        <f>IF($A59="","",IFERROR(VLOOKUP($B59,'_CONFIG_Risk_Calibration'!$A$5:$H$21,5,FALSE),3))</f>
        <v/>
      </c>
      <c r="AJ59">
        <f>IF($A59="","",IFERROR(VLOOKUP($B59,'_CONFIG_Risk_Calibration'!$A$5:$H$21,6,FALSE),"No"))</f>
        <v/>
      </c>
      <c r="AK59">
        <f>IF($A59="","",IFERROR(VLOOKUP($B59,'_CONFIG_Risk_Calibration'!$A$5:$H$21,7,FALSE),1))</f>
        <v/>
      </c>
      <c r="AL59">
        <f>IF($A59="","",IFERROR(VLOOKUP($B59,'_CONFIG_Risk_Calibration'!$A$5:$H$21,8,FALSE),""))</f>
        <v/>
      </c>
    </row>
    <row r="60" ht="72" customHeight="1" s="209">
      <c r="A60" s="13" t="inlineStr">
        <is>
          <t>GOVE-011</t>
        </is>
      </c>
      <c r="B60" s="13" t="inlineStr">
        <is>
          <t>Governance Crisis</t>
        </is>
      </c>
      <c r="C60" s="13" t="inlineStr">
        <is>
          <t>Risk and continuity</t>
        </is>
      </c>
      <c r="D60" s="13" t="inlineStr">
        <is>
          <t>Crisis governance and decision-making</t>
        </is>
      </c>
      <c r="E60" s="13" t="inlineStr">
        <is>
          <t>How mature is the organization in managing business continuity plans covering critical processes, people, systems, sites, suppliers and communication, including ownership, evidence, metrics, fallback procedures and crisis stress testing?</t>
        </is>
      </c>
      <c r="F60" s="13" t="inlineStr">
        <is>
          <t>Immature capability for business continuity plans covering critical processes, people, systems, sites, suppliers and communication may lead to slow decisions, unclear escalation, duplicated actions and weak crisis command during All crisis types.</t>
        </is>
      </c>
      <c r="G60" s="13" t="inlineStr">
        <is>
          <t>Low maturity, weak ownership, incomplete evidence, insufficient testing and poor integration with crisis-management routines for business continuity plans covering critical processes, people, systems, sites, suppliers and communication.</t>
        </is>
      </c>
      <c r="H60" s="13" t="inlineStr">
        <is>
          <t>Severe risk: business continuity plans covering critical processes, people, systems, sites, suppliers and communication is not reliably controlled. During All crisis types, the organization may face slow decisions, unclear escalation, duplicated actions and weak crisis command with limited visibility or accountability.</t>
        </is>
      </c>
      <c r="I60" s="13" t="inlineStr">
        <is>
          <t>High risk: business continuity plans covering critical processes, people, systems, sites, suppliers and communication depends on informal practices or individual knowledge. Disruption may expose slow decisions, unclear escalation, duplicated actions and weak crisis command and slow recovery.</t>
        </is>
      </c>
      <c r="J60" s="13" t="inlineStr">
        <is>
          <t>Elevated risk: business continuity plans covering critical processes, people, systems, sites, suppliers and communication is partially controlled, but coverage, evidence or testing is inconsistent. Crisis response may be fragmented.</t>
        </is>
      </c>
      <c r="K60" s="13" t="inlineStr">
        <is>
          <t>Moderate risk: business continuity plans covering critical processes, people, systems, sites, suppliers and communication is documented and owned, but measurement, stress testing and integration with dependent processes need strengthening.</t>
        </is>
      </c>
      <c r="L60" s="13" t="inlineStr">
        <is>
          <t>Residual risk: business continuity plans covering critical processes, people, systems, sites, suppliers and communication is measured and reviewed, but monitoring, automation or scenario testing should be improved to prevent maturity drift.</t>
        </is>
      </c>
      <c r="M60" s="13" t="inlineStr">
        <is>
          <t>Low residual risk: business continuity plans covering critical processes, people, systems, sites, suppliers and communication is mature and crisis-tested. Maintain monitoring, evidence, ownership and periodic stress testing.</t>
        </is>
      </c>
      <c r="N60" s="13" t="inlineStr">
        <is>
          <t>Create an immediate risk owner, minimum control baseline and fallback procedure for business continuity plans covering critical processes, people, systems, sites, suppliers and communication. Add it to the crisis risk register and collect first evidence.</t>
        </is>
      </c>
      <c r="O60" s="13" t="inlineStr">
        <is>
          <t>Document business continuity plans covering critical processes, people, systems, sites, suppliers and communication, assign RACI, define minimum controls and KPIs, and validate coverage across key sites, teams or systems.</t>
        </is>
      </c>
      <c r="P60" s="13" t="inlineStr">
        <is>
          <t>Standardize business continuity plans covering critical processes, people, systems, sites, suppliers and communication, close coverage gaps, train accountable roles and connect controls to the relevant crisis scenarios and continuity plans.</t>
        </is>
      </c>
      <c r="Q60" s="13" t="inlineStr">
        <is>
          <t>Measure and test business continuity plans covering critical processes, people, systems, sites, suppliers and communication, run tabletop or operational stress tests, integrate it with dependent processes and update crisis playbooks.</t>
        </is>
      </c>
      <c r="R60" s="13" t="inlineStr">
        <is>
          <t>Automate monitoring where practical, define leading indicators, run periodic scenario tests and track residual risk after each major change.</t>
        </is>
      </c>
      <c r="S60" s="13" t="inlineStr">
        <is>
          <t>Sustain maturity for business continuity plans covering critical processes, people, systems, sites, suppliers and communication: keep evidence current, monitor drift, benchmark externally and refresh risk tests after organizational, system or market changes.</t>
        </is>
      </c>
      <c r="T60" s="13" t="n">
        <v>3</v>
      </c>
      <c r="U60" s="13" t="n">
        <v>3</v>
      </c>
      <c r="V60" s="13" t="n">
        <v>2</v>
      </c>
      <c r="W60" s="13" t="n">
        <v>2</v>
      </c>
      <c r="X60" s="13" t="n">
        <v>1</v>
      </c>
      <c r="Y60" s="13" t="n">
        <v>1</v>
      </c>
      <c r="Z60" s="13" t="inlineStr">
        <is>
          <t>ISO 22301; ISO 22320; ISO 31000; ISO 37000; NIST SP 800-34; BCI Good Practice Guidelines; Bain RAPID</t>
        </is>
      </c>
      <c r="AA60" s="13" t="inlineStr">
        <is>
          <t>Policy/SOP; owner/RACI; system report; dashboard; contracts; test records; incident history; interview evidence related to business continuity plans covering critical processes, people, systems, sites, suppliers and communication.</t>
        </is>
      </c>
      <c r="AB60" s="13" t="inlineStr">
        <is>
          <t>All crisis types</t>
        </is>
      </c>
      <c r="AC60" s="13" t="inlineStr">
        <is>
          <t>CEO / COO / Risk</t>
        </is>
      </c>
      <c r="AD60" s="13" t="inlineStr">
        <is>
          <t>Governance Crisis!15</t>
        </is>
      </c>
      <c r="AE60">
        <f>IF($A60="","",IF(OR(ISNUMBER(SEARCH("cyber",$D60)),ISNUMBER(SEARCH("security",$D60)),ISNUMBER(SEARCH("safety",$D60)),ISNUMBER(SEARCH("liquidity",$D60)),ISNUMBER(SEARCH("cash",$D60)),ISNUMBER(SEARCH("continuity",$D60)),ISNUMBER(SEARCH("infrastructure",$D60)),ISNUMBER(SEARCH("outage",$D60))),"Fast",IF(OR(ISNUMBER(SEARCH("compliance",$D60)),ISNUMBER(SEARCH("regulat",$D60)),ISNUMBER(SEARCH("data",$D60)),ISNUMBER(SEARCH("talent",$D60)),ISNUMBER(SEARCH("knowledge",$D60)),ISNUMBER(SEARCH("portfolio",$D60)),ISNUMBER(SEARCH("quality",$D60))),"Slow","Medium")))</f>
        <v/>
      </c>
      <c r="AF60">
        <f>IF($A60="","",IFERROR(VLOOKUP($B60,'_CONFIG_Risk_Calibration'!$A$5:$H$21,2,FALSE),3))</f>
        <v/>
      </c>
      <c r="AG60">
        <f>IF($A60="","",IFERROR(VLOOKUP($B60,'_CONFIG_Risk_Calibration'!$A$5:$H$21,3,FALSE),0))</f>
        <v/>
      </c>
      <c r="AH60">
        <f>IF($A60="","",IFERROR(VLOOKUP($B60,'_CONFIG_Risk_Calibration'!$A$5:$H$21,4,FALSE),3))</f>
        <v/>
      </c>
      <c r="AI60">
        <f>IF($A60="","",IFERROR(VLOOKUP($B60,'_CONFIG_Risk_Calibration'!$A$5:$H$21,5,FALSE),3))</f>
        <v/>
      </c>
      <c r="AJ60">
        <f>IF($A60="","",IFERROR(VLOOKUP($B60,'_CONFIG_Risk_Calibration'!$A$5:$H$21,6,FALSE),"No"))</f>
        <v/>
      </c>
      <c r="AK60">
        <f>IF($A60="","",IFERROR(VLOOKUP($B60,'_CONFIG_Risk_Calibration'!$A$5:$H$21,7,FALSE),1))</f>
        <v/>
      </c>
      <c r="AL60">
        <f>IF($A60="","",IFERROR(VLOOKUP($B60,'_CONFIG_Risk_Calibration'!$A$5:$H$21,8,FALSE),""))</f>
        <v/>
      </c>
    </row>
    <row r="61" ht="72" customHeight="1" s="209">
      <c r="A61" s="13" t="inlineStr">
        <is>
          <t>GOVE-012</t>
        </is>
      </c>
      <c r="B61" s="13" t="inlineStr">
        <is>
          <t>Governance Crisis</t>
        </is>
      </c>
      <c r="C61" s="13" t="inlineStr">
        <is>
          <t>Risk and continuity</t>
        </is>
      </c>
      <c r="D61" s="13" t="inlineStr">
        <is>
          <t>Crisis governance and decision-making</t>
        </is>
      </c>
      <c r="E61" s="13" t="inlineStr">
        <is>
          <t>How mature is the organization in managing scenario library covering cyberattack, war/security, site loss, supplier disruption, cloud outage, pandemic, demand shock and liquidity crisis, including ownership, evidence, metrics, fallback procedures and crisis stress testing?</t>
        </is>
      </c>
      <c r="F61" s="13" t="inlineStr">
        <is>
          <t>Immature capability for scenario library covering cyberattack, war/security, site loss, supplier disruption, cloud outage, pandemic, demand shock and liquidity crisis may lead to slow decisions, unclear escalation, duplicated actions and weak crisis command during All crisis types.</t>
        </is>
      </c>
      <c r="G61" s="13" t="inlineStr">
        <is>
          <t>Low maturity, weak ownership, incomplete evidence, insufficient testing and poor integration with crisis-management routines for scenario library covering cyberattack, war/security, site loss, supplier disruption, cloud outage, pandemic, demand shock and liquidity crisis.</t>
        </is>
      </c>
      <c r="H61" s="13" t="inlineStr">
        <is>
          <t>Severe risk: scenario library covering cyberattack, war/security, site loss, supplier disruption, cloud outage, pandemic, demand shock and liquidity crisis is not reliably controlled. During All crisis types, the organization may face slow decisions, unclear escalation, duplicated actions and weak crisis command with limited visibility or accountability.</t>
        </is>
      </c>
      <c r="I61" s="13" t="inlineStr">
        <is>
          <t>High risk: scenario library covering cyberattack, war/security, site loss, supplier disruption, cloud outage, pandemic, demand shock and liquidity crisis depends on informal practices or individual knowledge. Disruption may expose slow decisions, unclear escalation, duplicated actions and weak crisis command and slow recovery.</t>
        </is>
      </c>
      <c r="J61" s="13" t="inlineStr">
        <is>
          <t>Elevated risk: scenario library covering cyberattack, war/security, site loss, supplier disruption, cloud outage, pandemic, demand shock and liquidity crisis is partially controlled, but coverage, evidence or testing is inconsistent. Crisis response may be fragmented.</t>
        </is>
      </c>
      <c r="K61" s="13" t="inlineStr">
        <is>
          <t>Moderate risk: scenario library covering cyberattack, war/security, site loss, supplier disruption, cloud outage, pandemic, demand shock and liquidity crisis is documented and owned, but measurement, stress testing and integration with dependent processes need strengthening.</t>
        </is>
      </c>
      <c r="L61" s="13" t="inlineStr">
        <is>
          <t>Residual risk: scenario library covering cyberattack, war/security, site loss, supplier disruption, cloud outage, pandemic, demand shock and liquidity crisis is measured and reviewed, but monitoring, automation or scenario testing should be improved to prevent maturity drift.</t>
        </is>
      </c>
      <c r="M61" s="13" t="inlineStr">
        <is>
          <t>Low residual risk: scenario library covering cyberattack, war/security, site loss, supplier disruption, cloud outage, pandemic, demand shock and liquidity crisis is mature and crisis-tested. Maintain monitoring, evidence, ownership and periodic stress testing.</t>
        </is>
      </c>
      <c r="N61" s="13" t="inlineStr">
        <is>
          <t>Create an immediate risk owner, minimum control baseline and fallback procedure for scenario library covering cyberattack, war/security, site loss, supplier disruption, cloud outage, pandemic, demand shock and liquidity crisis. Add it to the crisis risk register and collect first evidence.</t>
        </is>
      </c>
      <c r="O61" s="13" t="inlineStr">
        <is>
          <t>Document scenario library covering cyberattack, war/security, site loss, supplier disruption, cloud outage, pandemic, demand shock and liquidity crisis, assign RACI, define minimum controls and KPIs, and validate coverage across key sites, teams or systems.</t>
        </is>
      </c>
      <c r="P61" s="13" t="inlineStr">
        <is>
          <t>Standardize scenario library covering cyberattack, war/security, site loss, supplier disruption, cloud outage, pandemic, demand shock and liquidity crisis, close coverage gaps, train accountable roles and connect controls to the relevant crisis scenarios and continuity plans.</t>
        </is>
      </c>
      <c r="Q61" s="13" t="inlineStr">
        <is>
          <t>Measure and test scenario library covering cyberattack, war/security, site loss, supplier disruption, cloud outage, pandemic, demand shock and liquidity crisis, run tabletop or operational stress tests, integrate it with dependent processes and update crisis playbooks.</t>
        </is>
      </c>
      <c r="R61" s="13" t="inlineStr">
        <is>
          <t>Automate monitoring where practical, define leading indicators, run periodic scenario tests and track residual risk after each major change.</t>
        </is>
      </c>
      <c r="S61" s="13" t="inlineStr">
        <is>
          <t>Sustain maturity for scenario library covering cyberattack, war/security, site loss, supplier disruption, cloud outage, pandemic, demand shock and liquidity crisis: keep evidence current, monitor drift, benchmark externally and refresh risk tests after organizational, system or market changes.</t>
        </is>
      </c>
      <c r="T61" s="13" t="n">
        <v>3</v>
      </c>
      <c r="U61" s="13" t="n">
        <v>3</v>
      </c>
      <c r="V61" s="13" t="n">
        <v>2</v>
      </c>
      <c r="W61" s="13" t="n">
        <v>2</v>
      </c>
      <c r="X61" s="13" t="n">
        <v>1</v>
      </c>
      <c r="Y61" s="13" t="n">
        <v>1</v>
      </c>
      <c r="Z61" s="13" t="inlineStr">
        <is>
          <t>ISO 22301; ISO 22320; ISO 31000; ISO 37000; NIST SP 800-34; BCI Good Practice Guidelines; Bain RAPID</t>
        </is>
      </c>
      <c r="AA61" s="13" t="inlineStr">
        <is>
          <t>Policy/SOP; owner/RACI; system report; dashboard; contracts; test records; incident history; interview evidence related to scenario library covering cyberattack, war/security, site loss, supplier disruption, cloud outage, pandemic, demand shock and liquidity crisis.</t>
        </is>
      </c>
      <c r="AB61" s="13" t="inlineStr">
        <is>
          <t>All crisis types</t>
        </is>
      </c>
      <c r="AC61" s="13" t="inlineStr">
        <is>
          <t>CEO / COO / Risk</t>
        </is>
      </c>
      <c r="AD61" s="13" t="inlineStr">
        <is>
          <t>Governance Crisis!16</t>
        </is>
      </c>
      <c r="AE61">
        <f>IF($A61="","",IF(OR(ISNUMBER(SEARCH("cyber",$D61)),ISNUMBER(SEARCH("security",$D61)),ISNUMBER(SEARCH("safety",$D61)),ISNUMBER(SEARCH("liquidity",$D61)),ISNUMBER(SEARCH("cash",$D61)),ISNUMBER(SEARCH("continuity",$D61)),ISNUMBER(SEARCH("infrastructure",$D61)),ISNUMBER(SEARCH("outage",$D61))),"Fast",IF(OR(ISNUMBER(SEARCH("compliance",$D61)),ISNUMBER(SEARCH("regulat",$D61)),ISNUMBER(SEARCH("data",$D61)),ISNUMBER(SEARCH("talent",$D61)),ISNUMBER(SEARCH("knowledge",$D61)),ISNUMBER(SEARCH("portfolio",$D61)),ISNUMBER(SEARCH("quality",$D61))),"Slow","Medium")))</f>
        <v/>
      </c>
      <c r="AF61">
        <f>IF($A61="","",IFERROR(VLOOKUP($B61,'_CONFIG_Risk_Calibration'!$A$5:$H$21,2,FALSE),3))</f>
        <v/>
      </c>
      <c r="AG61">
        <f>IF($A61="","",IFERROR(VLOOKUP($B61,'_CONFIG_Risk_Calibration'!$A$5:$H$21,3,FALSE),0))</f>
        <v/>
      </c>
      <c r="AH61">
        <f>IF($A61="","",IFERROR(VLOOKUP($B61,'_CONFIG_Risk_Calibration'!$A$5:$H$21,4,FALSE),3))</f>
        <v/>
      </c>
      <c r="AI61">
        <f>IF($A61="","",IFERROR(VLOOKUP($B61,'_CONFIG_Risk_Calibration'!$A$5:$H$21,5,FALSE),3))</f>
        <v/>
      </c>
      <c r="AJ61">
        <f>IF($A61="","",IFERROR(VLOOKUP($B61,'_CONFIG_Risk_Calibration'!$A$5:$H$21,6,FALSE),"No"))</f>
        <v/>
      </c>
      <c r="AK61">
        <f>IF($A61="","",IFERROR(VLOOKUP($B61,'_CONFIG_Risk_Calibration'!$A$5:$H$21,7,FALSE),1))</f>
        <v/>
      </c>
      <c r="AL61">
        <f>IF($A61="","",IFERROR(VLOOKUP($B61,'_CONFIG_Risk_Calibration'!$A$5:$H$21,8,FALSE),""))</f>
        <v/>
      </c>
    </row>
    <row r="62" ht="60" customHeight="1" s="209">
      <c r="A62" s="13" t="inlineStr">
        <is>
          <t>GOVE-013</t>
        </is>
      </c>
      <c r="B62" s="13" t="inlineStr">
        <is>
          <t>Governance Crisis</t>
        </is>
      </c>
      <c r="C62" s="13" t="inlineStr">
        <is>
          <t>Risk and continuity</t>
        </is>
      </c>
      <c r="D62" s="13" t="inlineStr">
        <is>
          <t>Crisis governance and decision-making</t>
        </is>
      </c>
      <c r="E62" s="13" t="inlineStr">
        <is>
          <t>How mature is the organization in managing continuity testing through tabletop exercises, simulations and real incident reviews, including ownership, evidence, metrics, fallback procedures and crisis stress testing?</t>
        </is>
      </c>
      <c r="F62" s="13" t="inlineStr">
        <is>
          <t>Immature capability for continuity testing through tabletop exercises, simulations and real incident reviews may lead to slow decisions, unclear escalation, duplicated actions and weak crisis command during All crisis types.</t>
        </is>
      </c>
      <c r="G62" s="13" t="inlineStr">
        <is>
          <t>Low maturity, weak ownership, incomplete evidence, insufficient testing and poor integration with crisis-management routines for continuity testing through tabletop exercises, simulations and real incident reviews.</t>
        </is>
      </c>
      <c r="H62" s="13" t="inlineStr">
        <is>
          <t>Severe risk: continuity testing through tabletop exercises, simulations and real incident reviews is not reliably controlled. During All crisis types, the organization may face slow decisions, unclear escalation, duplicated actions and weak crisis command with limited visibility or accountability.</t>
        </is>
      </c>
      <c r="I62" s="13" t="inlineStr">
        <is>
          <t>High risk: continuity testing through tabletop exercises, simulations and real incident reviews depends on informal practices or individual knowledge. Disruption may expose slow decisions, unclear escalation, duplicated actions and weak crisis command and slow recovery.</t>
        </is>
      </c>
      <c r="J62" s="13" t="inlineStr">
        <is>
          <t>Elevated risk: continuity testing through tabletop exercises, simulations and real incident reviews is partially controlled, but coverage, evidence or testing is inconsistent. Crisis response may be fragmented.</t>
        </is>
      </c>
      <c r="K62" s="13" t="inlineStr">
        <is>
          <t>Moderate risk: continuity testing through tabletop exercises, simulations and real incident reviews is documented and owned, but measurement, stress testing and integration with dependent processes need strengthening.</t>
        </is>
      </c>
      <c r="L62" s="13" t="inlineStr">
        <is>
          <t>Residual risk: continuity testing through tabletop exercises, simulations and real incident reviews is measured and reviewed, but monitoring, automation or scenario testing should be improved to prevent maturity drift.</t>
        </is>
      </c>
      <c r="M62" s="13" t="inlineStr">
        <is>
          <t>Low residual risk: continuity testing through tabletop exercises, simulations and real incident reviews is mature and crisis-tested. Maintain monitoring, evidence, ownership and periodic stress testing.</t>
        </is>
      </c>
      <c r="N62" s="13" t="inlineStr">
        <is>
          <t>Create an immediate risk owner, minimum control baseline and fallback procedure for continuity testing through tabletop exercises, simulations and real incident reviews. Add it to the crisis risk register and collect first evidence.</t>
        </is>
      </c>
      <c r="O62" s="13" t="inlineStr">
        <is>
          <t>Document continuity testing through tabletop exercises, simulations and real incident reviews, assign RACI, define minimum controls and KPIs, and validate coverage across key sites, teams or systems.</t>
        </is>
      </c>
      <c r="P62" s="13" t="inlineStr">
        <is>
          <t>Standardize continuity testing through tabletop exercises, simulations and real incident reviews, close coverage gaps, train accountable roles and connect controls to the relevant crisis scenarios and continuity plans.</t>
        </is>
      </c>
      <c r="Q62" s="13" t="inlineStr">
        <is>
          <t>Measure and test continuity testing through tabletop exercises, simulations and real incident reviews, run tabletop or operational stress tests, integrate it with dependent processes and update crisis playbooks.</t>
        </is>
      </c>
      <c r="R62" s="13" t="inlineStr">
        <is>
          <t>Automate monitoring where practical, define leading indicators, run periodic scenario tests and track residual risk after each major change.</t>
        </is>
      </c>
      <c r="S62" s="13" t="inlineStr">
        <is>
          <t>Sustain maturity for continuity testing through tabletop exercises, simulations and real incident reviews: keep evidence current, monitor drift, benchmark externally and refresh risk tests after organizational, system or market changes.</t>
        </is>
      </c>
      <c r="T62" s="13" t="n">
        <v>3</v>
      </c>
      <c r="U62" s="13" t="n">
        <v>3</v>
      </c>
      <c r="V62" s="13" t="n">
        <v>2</v>
      </c>
      <c r="W62" s="13" t="n">
        <v>2</v>
      </c>
      <c r="X62" s="13" t="n">
        <v>1</v>
      </c>
      <c r="Y62" s="13" t="n">
        <v>1</v>
      </c>
      <c r="Z62" s="13" t="inlineStr">
        <is>
          <t>ISO 22301; ISO 22320; ISO 31000; ISO 37000; NIST SP 800-34; BCI Good Practice Guidelines; Bain RAPID</t>
        </is>
      </c>
      <c r="AA62" s="13" t="inlineStr">
        <is>
          <t>Policy/SOP; owner/RACI; system report; dashboard; contracts; test records; incident history; interview evidence related to continuity testing through tabletop exercises, simulations and real incident reviews.</t>
        </is>
      </c>
      <c r="AB62" s="13" t="inlineStr">
        <is>
          <t>All crisis types</t>
        </is>
      </c>
      <c r="AC62" s="13" t="inlineStr">
        <is>
          <t>CEO / COO / Risk</t>
        </is>
      </c>
      <c r="AD62" s="13" t="inlineStr">
        <is>
          <t>Governance Crisis!17</t>
        </is>
      </c>
      <c r="AE62">
        <f>IF($A62="","",IF(OR(ISNUMBER(SEARCH("cyber",$D62)),ISNUMBER(SEARCH("security",$D62)),ISNUMBER(SEARCH("safety",$D62)),ISNUMBER(SEARCH("liquidity",$D62)),ISNUMBER(SEARCH("cash",$D62)),ISNUMBER(SEARCH("continuity",$D62)),ISNUMBER(SEARCH("infrastructure",$D62)),ISNUMBER(SEARCH("outage",$D62))),"Fast",IF(OR(ISNUMBER(SEARCH("compliance",$D62)),ISNUMBER(SEARCH("regulat",$D62)),ISNUMBER(SEARCH("data",$D62)),ISNUMBER(SEARCH("talent",$D62)),ISNUMBER(SEARCH("knowledge",$D62)),ISNUMBER(SEARCH("portfolio",$D62)),ISNUMBER(SEARCH("quality",$D62))),"Slow","Medium")))</f>
        <v/>
      </c>
      <c r="AF62">
        <f>IF($A62="","",IFERROR(VLOOKUP($B62,'_CONFIG_Risk_Calibration'!$A$5:$H$21,2,FALSE),3))</f>
        <v/>
      </c>
      <c r="AG62">
        <f>IF($A62="","",IFERROR(VLOOKUP($B62,'_CONFIG_Risk_Calibration'!$A$5:$H$21,3,FALSE),0))</f>
        <v/>
      </c>
      <c r="AH62">
        <f>IF($A62="","",IFERROR(VLOOKUP($B62,'_CONFIG_Risk_Calibration'!$A$5:$H$21,4,FALSE),3))</f>
        <v/>
      </c>
      <c r="AI62">
        <f>IF($A62="","",IFERROR(VLOOKUP($B62,'_CONFIG_Risk_Calibration'!$A$5:$H$21,5,FALSE),3))</f>
        <v/>
      </c>
      <c r="AJ62">
        <f>IF($A62="","",IFERROR(VLOOKUP($B62,'_CONFIG_Risk_Calibration'!$A$5:$H$21,6,FALSE),"No"))</f>
        <v/>
      </c>
      <c r="AK62">
        <f>IF($A62="","",IFERROR(VLOOKUP($B62,'_CONFIG_Risk_Calibration'!$A$5:$H$21,7,FALSE),1))</f>
        <v/>
      </c>
      <c r="AL62">
        <f>IF($A62="","",IFERROR(VLOOKUP($B62,'_CONFIG_Risk_Calibration'!$A$5:$H$21,8,FALSE),""))</f>
        <v/>
      </c>
    </row>
    <row r="63" ht="60" customHeight="1" s="209">
      <c r="A63" s="13" t="inlineStr">
        <is>
          <t>GOVE-014</t>
        </is>
      </c>
      <c r="B63" s="13" t="inlineStr">
        <is>
          <t>Governance Crisis</t>
        </is>
      </c>
      <c r="C63" s="13" t="inlineStr">
        <is>
          <t>Incident management</t>
        </is>
      </c>
      <c r="D63" s="13" t="inlineStr">
        <is>
          <t>Crisis governance and decision-making</t>
        </is>
      </c>
      <c r="E63" s="13" t="inlineStr">
        <is>
          <t>How mature is the organization in managing common incident classification model for severity, impact, escalation and communication, including ownership, evidence, metrics, fallback procedures and crisis stress testing?</t>
        </is>
      </c>
      <c r="F63" s="13" t="inlineStr">
        <is>
          <t>Immature capability for common incident classification model for severity, impact, escalation and communication may lead to slow decisions, unclear escalation, duplicated actions and weak crisis command during All crisis types.</t>
        </is>
      </c>
      <c r="G63" s="13" t="inlineStr">
        <is>
          <t>Low maturity, weak ownership, incomplete evidence, insufficient testing and poor integration with crisis-management routines for common incident classification model for severity, impact, escalation and communication.</t>
        </is>
      </c>
      <c r="H63" s="13" t="inlineStr">
        <is>
          <t>Severe risk: common incident classification model for severity, impact, escalation and communication is not reliably controlled. During All crisis types, the organization may face slow decisions, unclear escalation, duplicated actions and weak crisis command with limited visibility or accountability.</t>
        </is>
      </c>
      <c r="I63" s="13" t="inlineStr">
        <is>
          <t>High risk: common incident classification model for severity, impact, escalation and communication depends on informal practices or individual knowledge. Disruption may expose slow decisions, unclear escalation, duplicated actions and weak crisis command and slow recovery.</t>
        </is>
      </c>
      <c r="J63" s="13" t="inlineStr">
        <is>
          <t>Elevated risk: common incident classification model for severity, impact, escalation and communication is partially controlled, but coverage, evidence or testing is inconsistent. Crisis response may be fragmented.</t>
        </is>
      </c>
      <c r="K63" s="13" t="inlineStr">
        <is>
          <t>Moderate risk: common incident classification model for severity, impact, escalation and communication is documented and owned, but measurement, stress testing and integration with dependent processes need strengthening.</t>
        </is>
      </c>
      <c r="L63" s="13" t="inlineStr">
        <is>
          <t>Residual risk: common incident classification model for severity, impact, escalation and communication is measured and reviewed, but monitoring, automation or scenario testing should be improved to prevent maturity drift.</t>
        </is>
      </c>
      <c r="M63" s="13" t="inlineStr">
        <is>
          <t>Low residual risk: common incident classification model for severity, impact, escalation and communication is mature and crisis-tested. Maintain monitoring, evidence, ownership and periodic stress testing.</t>
        </is>
      </c>
      <c r="N63" s="13" t="inlineStr">
        <is>
          <t>Create an immediate risk owner, minimum control baseline and fallback procedure for common incident classification model for severity, impact, escalation and communication. Add it to the crisis risk register and collect first evidence.</t>
        </is>
      </c>
      <c r="O63" s="13" t="inlineStr">
        <is>
          <t>Document common incident classification model for severity, impact, escalation and communication, assign RACI, define minimum controls and KPIs, and validate coverage across key sites, teams or systems.</t>
        </is>
      </c>
      <c r="P63" s="13" t="inlineStr">
        <is>
          <t>Standardize common incident classification model for severity, impact, escalation and communication, close coverage gaps, train accountable roles and connect controls to the relevant crisis scenarios and continuity plans.</t>
        </is>
      </c>
      <c r="Q63" s="13" t="inlineStr">
        <is>
          <t>Measure and test common incident classification model for severity, impact, escalation and communication, run tabletop or operational stress tests, integrate it with dependent processes and update crisis playbooks.</t>
        </is>
      </c>
      <c r="R63" s="13" t="inlineStr">
        <is>
          <t>Automate monitoring where practical, define leading indicators, run periodic scenario tests and track residual risk after each major change.</t>
        </is>
      </c>
      <c r="S63" s="13" t="inlineStr">
        <is>
          <t>Sustain maturity for common incident classification model for severity, impact, escalation and communication: keep evidence current, monitor drift, benchmark externally and refresh risk tests after organizational, system or market changes.</t>
        </is>
      </c>
      <c r="T63" s="13" t="n">
        <v>3</v>
      </c>
      <c r="U63" s="13" t="n">
        <v>3</v>
      </c>
      <c r="V63" s="13" t="n">
        <v>2</v>
      </c>
      <c r="W63" s="13" t="n">
        <v>2</v>
      </c>
      <c r="X63" s="13" t="n">
        <v>1</v>
      </c>
      <c r="Y63" s="13" t="n">
        <v>1</v>
      </c>
      <c r="Z63" s="13" t="inlineStr">
        <is>
          <t>ISO 22301; ISO 22320; ISO 31000; ISO 37000; NIST SP 800-34; BCI Good Practice Guidelines; Bain RAPID</t>
        </is>
      </c>
      <c r="AA63" s="13" t="inlineStr">
        <is>
          <t>Policy/SOP; owner/RACI; system report; dashboard; contracts; test records; incident history; interview evidence related to common incident classification model for severity, impact, escalation and communication.</t>
        </is>
      </c>
      <c r="AB63" s="13" t="inlineStr">
        <is>
          <t>All crisis types</t>
        </is>
      </c>
      <c r="AC63" s="13" t="inlineStr">
        <is>
          <t>CEO / COO / Risk</t>
        </is>
      </c>
      <c r="AD63" s="13" t="inlineStr">
        <is>
          <t>Governance Crisis!18</t>
        </is>
      </c>
      <c r="AE63">
        <f>IF($A63="","",IF(OR(ISNUMBER(SEARCH("cyber",$D63)),ISNUMBER(SEARCH("security",$D63)),ISNUMBER(SEARCH("safety",$D63)),ISNUMBER(SEARCH("liquidity",$D63)),ISNUMBER(SEARCH("cash",$D63)),ISNUMBER(SEARCH("continuity",$D63)),ISNUMBER(SEARCH("infrastructure",$D63)),ISNUMBER(SEARCH("outage",$D63))),"Fast",IF(OR(ISNUMBER(SEARCH("compliance",$D63)),ISNUMBER(SEARCH("regulat",$D63)),ISNUMBER(SEARCH("data",$D63)),ISNUMBER(SEARCH("talent",$D63)),ISNUMBER(SEARCH("knowledge",$D63)),ISNUMBER(SEARCH("portfolio",$D63)),ISNUMBER(SEARCH("quality",$D63))),"Slow","Medium")))</f>
        <v/>
      </c>
      <c r="AF63">
        <f>IF($A63="","",IFERROR(VLOOKUP($B63,'_CONFIG_Risk_Calibration'!$A$5:$H$21,2,FALSE),3))</f>
        <v/>
      </c>
      <c r="AG63">
        <f>IF($A63="","",IFERROR(VLOOKUP($B63,'_CONFIG_Risk_Calibration'!$A$5:$H$21,3,FALSE),0))</f>
        <v/>
      </c>
      <c r="AH63">
        <f>IF($A63="","",IFERROR(VLOOKUP($B63,'_CONFIG_Risk_Calibration'!$A$5:$H$21,4,FALSE),3))</f>
        <v/>
      </c>
      <c r="AI63">
        <f>IF($A63="","",IFERROR(VLOOKUP($B63,'_CONFIG_Risk_Calibration'!$A$5:$H$21,5,FALSE),3))</f>
        <v/>
      </c>
      <c r="AJ63">
        <f>IF($A63="","",IFERROR(VLOOKUP($B63,'_CONFIG_Risk_Calibration'!$A$5:$H$21,6,FALSE),"No"))</f>
        <v/>
      </c>
      <c r="AK63">
        <f>IF($A63="","",IFERROR(VLOOKUP($B63,'_CONFIG_Risk_Calibration'!$A$5:$H$21,7,FALSE),1))</f>
        <v/>
      </c>
      <c r="AL63">
        <f>IF($A63="","",IFERROR(VLOOKUP($B63,'_CONFIG_Risk_Calibration'!$A$5:$H$21,8,FALSE),""))</f>
        <v/>
      </c>
    </row>
    <row r="64" ht="60" customHeight="1" s="209">
      <c r="A64" s="13" t="inlineStr">
        <is>
          <t>GOVE-015</t>
        </is>
      </c>
      <c r="B64" s="13" t="inlineStr">
        <is>
          <t>Governance Crisis</t>
        </is>
      </c>
      <c r="C64" s="13" t="inlineStr">
        <is>
          <t>Incident management</t>
        </is>
      </c>
      <c r="D64" s="13" t="inlineStr">
        <is>
          <t>Crisis governance and decision-making</t>
        </is>
      </c>
      <c r="E64" s="13" t="inlineStr">
        <is>
          <t>How mature is the organization in managing post-incident review process that converts incidents into corrective and preventive actions, including ownership, evidence, metrics, fallback procedures and crisis stress testing?</t>
        </is>
      </c>
      <c r="F64" s="13" t="inlineStr">
        <is>
          <t>Immature capability for post-incident review process that converts incidents into corrective and preventive actions may lead to slow decisions, unclear escalation, duplicated actions and weak crisis command during All crisis types.</t>
        </is>
      </c>
      <c r="G64" s="13" t="inlineStr">
        <is>
          <t>Low maturity, weak ownership, incomplete evidence, insufficient testing and poor integration with crisis-management routines for post-incident review process that converts incidents into corrective and preventive actions.</t>
        </is>
      </c>
      <c r="H64" s="13" t="inlineStr">
        <is>
          <t>Severe risk: post-incident review process that converts incidents into corrective and preventive actions is not reliably controlled. During All crisis types, the organization may face slow decisions, unclear escalation, duplicated actions and weak crisis command with limited visibility or accountability.</t>
        </is>
      </c>
      <c r="I64" s="13" t="inlineStr">
        <is>
          <t>High risk: post-incident review process that converts incidents into corrective and preventive actions depends on informal practices or individual knowledge. Disruption may expose slow decisions, unclear escalation, duplicated actions and weak crisis command and slow recovery.</t>
        </is>
      </c>
      <c r="J64" s="13" t="inlineStr">
        <is>
          <t>Elevated risk: post-incident review process that converts incidents into corrective and preventive actions is partially controlled, but coverage, evidence or testing is inconsistent. Crisis response may be fragmented.</t>
        </is>
      </c>
      <c r="K64" s="13" t="inlineStr">
        <is>
          <t>Moderate risk: post-incident review process that converts incidents into corrective and preventive actions is documented and owned, but measurement, stress testing and integration with dependent processes need strengthening.</t>
        </is>
      </c>
      <c r="L64" s="13" t="inlineStr">
        <is>
          <t>Residual risk: post-incident review process that converts incidents into corrective and preventive actions is measured and reviewed, but monitoring, automation or scenario testing should be improved to prevent maturity drift.</t>
        </is>
      </c>
      <c r="M64" s="13" t="inlineStr">
        <is>
          <t>Low residual risk: post-incident review process that converts incidents into corrective and preventive actions is mature and crisis-tested. Maintain monitoring, evidence, ownership and periodic stress testing.</t>
        </is>
      </c>
      <c r="N64" s="13" t="inlineStr">
        <is>
          <t>Create an immediate risk owner, minimum control baseline and fallback procedure for post-incident review process that converts incidents into corrective and preventive actions. Add it to the crisis risk register and collect first evidence.</t>
        </is>
      </c>
      <c r="O64" s="13" t="inlineStr">
        <is>
          <t>Document post-incident review process that converts incidents into corrective and preventive actions, assign RACI, define minimum controls and KPIs, and validate coverage across key sites, teams or systems.</t>
        </is>
      </c>
      <c r="P64" s="13" t="inlineStr">
        <is>
          <t>Standardize post-incident review process that converts incidents into corrective and preventive actions, close coverage gaps, train accountable roles and connect controls to the relevant crisis scenarios and continuity plans.</t>
        </is>
      </c>
      <c r="Q64" s="13" t="inlineStr">
        <is>
          <t>Measure and test post-incident review process that converts incidents into corrective and preventive actions, run tabletop or operational stress tests, integrate it with dependent processes and update crisis playbooks.</t>
        </is>
      </c>
      <c r="R64" s="13" t="inlineStr">
        <is>
          <t>Automate monitoring where practical, define leading indicators, run periodic scenario tests and track residual risk after each major change.</t>
        </is>
      </c>
      <c r="S64" s="13" t="inlineStr">
        <is>
          <t>Sustain maturity for post-incident review process that converts incidents into corrective and preventive actions: keep evidence current, monitor drift, benchmark externally and refresh risk tests after organizational, system or market changes.</t>
        </is>
      </c>
      <c r="T64" s="13" t="n">
        <v>3</v>
      </c>
      <c r="U64" s="13" t="n">
        <v>3</v>
      </c>
      <c r="V64" s="13" t="n">
        <v>2</v>
      </c>
      <c r="W64" s="13" t="n">
        <v>2</v>
      </c>
      <c r="X64" s="13" t="n">
        <v>1</v>
      </c>
      <c r="Y64" s="13" t="n">
        <v>1</v>
      </c>
      <c r="Z64" s="13" t="inlineStr">
        <is>
          <t>ISO 22301; ISO 22320; ISO 31000; ISO 37000; NIST SP 800-34; BCI Good Practice Guidelines; Bain RAPID</t>
        </is>
      </c>
      <c r="AA64" s="13" t="inlineStr">
        <is>
          <t>Policy/SOP; owner/RACI; system report; dashboard; contracts; test records; incident history; interview evidence related to post-incident review process that converts incidents into corrective and preventive actions.</t>
        </is>
      </c>
      <c r="AB64" s="13" t="inlineStr">
        <is>
          <t>All crisis types</t>
        </is>
      </c>
      <c r="AC64" s="13" t="inlineStr">
        <is>
          <t>CEO / COO / Risk</t>
        </is>
      </c>
      <c r="AD64" s="13" t="inlineStr">
        <is>
          <t>Governance Crisis!19</t>
        </is>
      </c>
      <c r="AE64">
        <f>IF($A64="","",IF(OR(ISNUMBER(SEARCH("cyber",$D64)),ISNUMBER(SEARCH("security",$D64)),ISNUMBER(SEARCH("safety",$D64)),ISNUMBER(SEARCH("liquidity",$D64)),ISNUMBER(SEARCH("cash",$D64)),ISNUMBER(SEARCH("continuity",$D64)),ISNUMBER(SEARCH("infrastructure",$D64)),ISNUMBER(SEARCH("outage",$D64))),"Fast",IF(OR(ISNUMBER(SEARCH("compliance",$D64)),ISNUMBER(SEARCH("regulat",$D64)),ISNUMBER(SEARCH("data",$D64)),ISNUMBER(SEARCH("talent",$D64)),ISNUMBER(SEARCH("knowledge",$D64)),ISNUMBER(SEARCH("portfolio",$D64)),ISNUMBER(SEARCH("quality",$D64))),"Slow","Medium")))</f>
        <v/>
      </c>
      <c r="AF64">
        <f>IF($A64="","",IFERROR(VLOOKUP($B64,'_CONFIG_Risk_Calibration'!$A$5:$H$21,2,FALSE),3))</f>
        <v/>
      </c>
      <c r="AG64">
        <f>IF($A64="","",IFERROR(VLOOKUP($B64,'_CONFIG_Risk_Calibration'!$A$5:$H$21,3,FALSE),0))</f>
        <v/>
      </c>
      <c r="AH64">
        <f>IF($A64="","",IFERROR(VLOOKUP($B64,'_CONFIG_Risk_Calibration'!$A$5:$H$21,4,FALSE),3))</f>
        <v/>
      </c>
      <c r="AI64">
        <f>IF($A64="","",IFERROR(VLOOKUP($B64,'_CONFIG_Risk_Calibration'!$A$5:$H$21,5,FALSE),3))</f>
        <v/>
      </c>
      <c r="AJ64">
        <f>IF($A64="","",IFERROR(VLOOKUP($B64,'_CONFIG_Risk_Calibration'!$A$5:$H$21,6,FALSE),"No"))</f>
        <v/>
      </c>
      <c r="AK64">
        <f>IF($A64="","",IFERROR(VLOOKUP($B64,'_CONFIG_Risk_Calibration'!$A$5:$H$21,7,FALSE),1))</f>
        <v/>
      </c>
      <c r="AL64">
        <f>IF($A64="","",IFERROR(VLOOKUP($B64,'_CONFIG_Risk_Calibration'!$A$5:$H$21,8,FALSE),""))</f>
        <v/>
      </c>
    </row>
    <row r="65" ht="60" customHeight="1" s="209">
      <c r="A65" s="13" t="inlineStr">
        <is>
          <t>GOVE-016</t>
        </is>
      </c>
      <c r="B65" s="13" t="inlineStr">
        <is>
          <t>Governance Crisis</t>
        </is>
      </c>
      <c r="C65" s="13" t="inlineStr">
        <is>
          <t>Incident management</t>
        </is>
      </c>
      <c r="D65" s="13" t="inlineStr">
        <is>
          <t>Crisis governance and decision-making</t>
        </is>
      </c>
      <c r="E65" s="13" t="inlineStr">
        <is>
          <t>How mature is the organization in managing interdependency map linking functions, sites, systems, people, suppliers and customers, including ownership, evidence, metrics, fallback procedures and crisis stress testing?</t>
        </is>
      </c>
      <c r="F65" s="13" t="inlineStr">
        <is>
          <t>Immature capability for interdependency map linking functions, sites, systems, people, suppliers and customers may lead to slow decisions, unclear escalation, duplicated actions and weak crisis command during All crisis types.</t>
        </is>
      </c>
      <c r="G65" s="13" t="inlineStr">
        <is>
          <t>Low maturity, weak ownership, incomplete evidence, insufficient testing and poor integration with crisis-management routines for interdependency map linking functions, sites, systems, people, suppliers and customers.</t>
        </is>
      </c>
      <c r="H65" s="13" t="inlineStr">
        <is>
          <t>Severe risk: interdependency map linking functions, sites, systems, people, suppliers and customers is not reliably controlled. During All crisis types, the organization may face slow decisions, unclear escalation, duplicated actions and weak crisis command with limited visibility or accountability.</t>
        </is>
      </c>
      <c r="I65" s="13" t="inlineStr">
        <is>
          <t>High risk: interdependency map linking functions, sites, systems, people, suppliers and customers depends on informal practices or individual knowledge. Disruption may expose slow decisions, unclear escalation, duplicated actions and weak crisis command and slow recovery.</t>
        </is>
      </c>
      <c r="J65" s="13" t="inlineStr">
        <is>
          <t>Elevated risk: interdependency map linking functions, sites, systems, people, suppliers and customers is partially controlled, but coverage, evidence or testing is inconsistent. Crisis response may be fragmented.</t>
        </is>
      </c>
      <c r="K65" s="13" t="inlineStr">
        <is>
          <t>Moderate risk: interdependency map linking functions, sites, systems, people, suppliers and customers is documented and owned, but measurement, stress testing and integration with dependent processes need strengthening.</t>
        </is>
      </c>
      <c r="L65" s="13" t="inlineStr">
        <is>
          <t>Residual risk: interdependency map linking functions, sites, systems, people, suppliers and customers is measured and reviewed, but monitoring, automation or scenario testing should be improved to prevent maturity drift.</t>
        </is>
      </c>
      <c r="M65" s="13" t="inlineStr">
        <is>
          <t>Low residual risk: interdependency map linking functions, sites, systems, people, suppliers and customers is mature and crisis-tested. Maintain monitoring, evidence, ownership and periodic stress testing.</t>
        </is>
      </c>
      <c r="N65" s="13" t="inlineStr">
        <is>
          <t>Create an immediate risk owner, minimum control baseline and fallback procedure for interdependency map linking functions, sites, systems, people, suppliers and customers. Add it to the crisis risk register and collect first evidence.</t>
        </is>
      </c>
      <c r="O65" s="13" t="inlineStr">
        <is>
          <t>Document interdependency map linking functions, sites, systems, people, suppliers and customers, assign RACI, define minimum controls and KPIs, and validate coverage across key sites, teams or systems.</t>
        </is>
      </c>
      <c r="P65" s="13" t="inlineStr">
        <is>
          <t>Standardize interdependency map linking functions, sites, systems, people, suppliers and customers, close coverage gaps, train accountable roles and connect controls to the relevant crisis scenarios and continuity plans.</t>
        </is>
      </c>
      <c r="Q65" s="13" t="inlineStr">
        <is>
          <t>Measure and test interdependency map linking functions, sites, systems, people, suppliers and customers, run tabletop or operational stress tests, integrate it with dependent processes and update crisis playbooks.</t>
        </is>
      </c>
      <c r="R65" s="13" t="inlineStr">
        <is>
          <t>Automate monitoring where practical, define leading indicators, run periodic scenario tests and track residual risk after each major change.</t>
        </is>
      </c>
      <c r="S65" s="13" t="inlineStr">
        <is>
          <t>Sustain maturity for interdependency map linking functions, sites, systems, people, suppliers and customers: keep evidence current, monitor drift, benchmark externally and refresh risk tests after organizational, system or market changes.</t>
        </is>
      </c>
      <c r="T65" s="13" t="n">
        <v>3</v>
      </c>
      <c r="U65" s="13" t="n">
        <v>3</v>
      </c>
      <c r="V65" s="13" t="n">
        <v>2</v>
      </c>
      <c r="W65" s="13" t="n">
        <v>2</v>
      </c>
      <c r="X65" s="13" t="n">
        <v>1</v>
      </c>
      <c r="Y65" s="13" t="n">
        <v>1</v>
      </c>
      <c r="Z65" s="13" t="inlineStr">
        <is>
          <t>ISO 22301; ISO 22320; ISO 31000; ISO 37000; NIST SP 800-34; BCI Good Practice Guidelines; Bain RAPID</t>
        </is>
      </c>
      <c r="AA65" s="13" t="inlineStr">
        <is>
          <t>Policy/SOP; owner/RACI; system report; dashboard; contracts; test records; incident history; interview evidence related to interdependency map linking functions, sites, systems, people, suppliers and customers.</t>
        </is>
      </c>
      <c r="AB65" s="13" t="inlineStr">
        <is>
          <t>All crisis types</t>
        </is>
      </c>
      <c r="AC65" s="13" t="inlineStr">
        <is>
          <t>CEO / COO / Risk</t>
        </is>
      </c>
      <c r="AD65" s="13" t="inlineStr">
        <is>
          <t>Governance Crisis!20</t>
        </is>
      </c>
      <c r="AE65">
        <f>IF($A65="","",IF(OR(ISNUMBER(SEARCH("cyber",$D65)),ISNUMBER(SEARCH("security",$D65)),ISNUMBER(SEARCH("safety",$D65)),ISNUMBER(SEARCH("liquidity",$D65)),ISNUMBER(SEARCH("cash",$D65)),ISNUMBER(SEARCH("continuity",$D65)),ISNUMBER(SEARCH("infrastructure",$D65)),ISNUMBER(SEARCH("outage",$D65))),"Fast",IF(OR(ISNUMBER(SEARCH("compliance",$D65)),ISNUMBER(SEARCH("regulat",$D65)),ISNUMBER(SEARCH("data",$D65)),ISNUMBER(SEARCH("talent",$D65)),ISNUMBER(SEARCH("knowledge",$D65)),ISNUMBER(SEARCH("portfolio",$D65)),ISNUMBER(SEARCH("quality",$D65))),"Slow","Medium")))</f>
        <v/>
      </c>
      <c r="AF65">
        <f>IF($A65="","",IFERROR(VLOOKUP($B65,'_CONFIG_Risk_Calibration'!$A$5:$H$21,2,FALSE),3))</f>
        <v/>
      </c>
      <c r="AG65">
        <f>IF($A65="","",IFERROR(VLOOKUP($B65,'_CONFIG_Risk_Calibration'!$A$5:$H$21,3,FALSE),0))</f>
        <v/>
      </c>
      <c r="AH65">
        <f>IF($A65="","",IFERROR(VLOOKUP($B65,'_CONFIG_Risk_Calibration'!$A$5:$H$21,4,FALSE),3))</f>
        <v/>
      </c>
      <c r="AI65">
        <f>IF($A65="","",IFERROR(VLOOKUP($B65,'_CONFIG_Risk_Calibration'!$A$5:$H$21,5,FALSE),3))</f>
        <v/>
      </c>
      <c r="AJ65">
        <f>IF($A65="","",IFERROR(VLOOKUP($B65,'_CONFIG_Risk_Calibration'!$A$5:$H$21,6,FALSE),"No"))</f>
        <v/>
      </c>
      <c r="AK65">
        <f>IF($A65="","",IFERROR(VLOOKUP($B65,'_CONFIG_Risk_Calibration'!$A$5:$H$21,7,FALSE),1))</f>
        <v/>
      </c>
      <c r="AL65">
        <f>IF($A65="","",IFERROR(VLOOKUP($B65,'_CONFIG_Risk_Calibration'!$A$5:$H$21,8,FALSE),""))</f>
        <v/>
      </c>
    </row>
    <row r="66" ht="60" customHeight="1" s="209">
      <c r="A66" s="13" t="inlineStr">
        <is>
          <t>GOVE-017</t>
        </is>
      </c>
      <c r="B66" s="13" t="inlineStr">
        <is>
          <t>Governance Crisis</t>
        </is>
      </c>
      <c r="C66" s="13" t="inlineStr">
        <is>
          <t>Incident management</t>
        </is>
      </c>
      <c r="D66" s="13" t="inlineStr">
        <is>
          <t>Crisis governance and decision-making</t>
        </is>
      </c>
      <c r="E66" s="13" t="inlineStr">
        <is>
          <t>How mature is the organization in managing crisis communication protocol for employees, customers, suppliers, regulators, insurers and media, including ownership, evidence, metrics, fallback procedures and crisis stress testing?</t>
        </is>
      </c>
      <c r="F66" s="13" t="inlineStr">
        <is>
          <t>Immature capability for crisis communication protocol for employees, customers, suppliers, regulators, insurers and media may lead to slow decisions, unclear escalation, duplicated actions and weak crisis command during All crisis types.</t>
        </is>
      </c>
      <c r="G66" s="13" t="inlineStr">
        <is>
          <t>Low maturity, weak ownership, incomplete evidence, insufficient testing and poor integration with crisis-management routines for crisis communication protocol for employees, customers, suppliers, regulators, insurers and media.</t>
        </is>
      </c>
      <c r="H66" s="13" t="inlineStr">
        <is>
          <t>Severe risk: crisis communication protocol for employees, customers, suppliers, regulators, insurers and media is not reliably controlled. During All crisis types, the organization may face slow decisions, unclear escalation, duplicated actions and weak crisis command with limited visibility or accountability.</t>
        </is>
      </c>
      <c r="I66" s="13" t="inlineStr">
        <is>
          <t>High risk: crisis communication protocol for employees, customers, suppliers, regulators, insurers and media depends on informal practices or individual knowledge. Disruption may expose slow decisions, unclear escalation, duplicated actions and weak crisis command and slow recovery.</t>
        </is>
      </c>
      <c r="J66" s="13" t="inlineStr">
        <is>
          <t>Elevated risk: crisis communication protocol for employees, customers, suppliers, regulators, insurers and media is partially controlled, but coverage, evidence or testing is inconsistent. Crisis response may be fragmented.</t>
        </is>
      </c>
      <c r="K66" s="13" t="inlineStr">
        <is>
          <t>Moderate risk: crisis communication protocol for employees, customers, suppliers, regulators, insurers and media is documented and owned, but measurement, stress testing and integration with dependent processes need strengthening.</t>
        </is>
      </c>
      <c r="L66" s="13" t="inlineStr">
        <is>
          <t>Residual risk: crisis communication protocol for employees, customers, suppliers, regulators, insurers and media is measured and reviewed, but monitoring, automation or scenario testing should be improved to prevent maturity drift.</t>
        </is>
      </c>
      <c r="M66" s="13" t="inlineStr">
        <is>
          <t>Low residual risk: crisis communication protocol for employees, customers, suppliers, regulators, insurers and media is mature and crisis-tested. Maintain monitoring, evidence, ownership and periodic stress testing.</t>
        </is>
      </c>
      <c r="N66" s="13" t="inlineStr">
        <is>
          <t>Create an immediate risk owner, minimum control baseline and fallback procedure for crisis communication protocol for employees, customers, suppliers, regulators, insurers and media. Add it to the crisis risk register and collect first evidence.</t>
        </is>
      </c>
      <c r="O66" s="13" t="inlineStr">
        <is>
          <t>Document crisis communication protocol for employees, customers, suppliers, regulators, insurers and media, assign RACI, define minimum controls and KPIs, and validate coverage across key sites, teams or systems.</t>
        </is>
      </c>
      <c r="P66" s="13" t="inlineStr">
        <is>
          <t>Standardize crisis communication protocol for employees, customers, suppliers, regulators, insurers and media, close coverage gaps, train accountable roles and connect controls to the relevant crisis scenarios and continuity plans.</t>
        </is>
      </c>
      <c r="Q66" s="13" t="inlineStr">
        <is>
          <t>Measure and test crisis communication protocol for employees, customers, suppliers, regulators, insurers and media, run tabletop or operational stress tests, integrate it with dependent processes and update crisis playbooks.</t>
        </is>
      </c>
      <c r="R66" s="13" t="inlineStr">
        <is>
          <t>Automate monitoring where practical, define leading indicators, run periodic scenario tests and track residual risk after each major change.</t>
        </is>
      </c>
      <c r="S66" s="13" t="inlineStr">
        <is>
          <t>Sustain maturity for crisis communication protocol for employees, customers, suppliers, regulators, insurers and media: keep evidence current, monitor drift, benchmark externally and refresh risk tests after organizational, system or market changes.</t>
        </is>
      </c>
      <c r="T66" s="13" t="n">
        <v>3</v>
      </c>
      <c r="U66" s="13" t="n">
        <v>3</v>
      </c>
      <c r="V66" s="13" t="n">
        <v>2</v>
      </c>
      <c r="W66" s="13" t="n">
        <v>2</v>
      </c>
      <c r="X66" s="13" t="n">
        <v>1</v>
      </c>
      <c r="Y66" s="13" t="n">
        <v>1</v>
      </c>
      <c r="Z66" s="13" t="inlineStr">
        <is>
          <t>ISO 22301; ISO 22320; ISO 31000; ISO 37000; NIST SP 800-34; BCI Good Practice Guidelines; Bain RAPID</t>
        </is>
      </c>
      <c r="AA66" s="13" t="inlineStr">
        <is>
          <t>Policy/SOP; owner/RACI; system report; dashboard; contracts; test records; incident history; interview evidence related to crisis communication protocol for employees, customers, suppliers, regulators, insurers and media.</t>
        </is>
      </c>
      <c r="AB66" s="13" t="inlineStr">
        <is>
          <t>All crisis types</t>
        </is>
      </c>
      <c r="AC66" s="13" t="inlineStr">
        <is>
          <t>CEO / COO / Risk</t>
        </is>
      </c>
      <c r="AD66" s="13" t="inlineStr">
        <is>
          <t>Governance Crisis!21</t>
        </is>
      </c>
      <c r="AE66">
        <f>IF($A66="","",IF(OR(ISNUMBER(SEARCH("cyber",$D66)),ISNUMBER(SEARCH("security",$D66)),ISNUMBER(SEARCH("safety",$D66)),ISNUMBER(SEARCH("liquidity",$D66)),ISNUMBER(SEARCH("cash",$D66)),ISNUMBER(SEARCH("continuity",$D66)),ISNUMBER(SEARCH("infrastructure",$D66)),ISNUMBER(SEARCH("outage",$D66))),"Fast",IF(OR(ISNUMBER(SEARCH("compliance",$D66)),ISNUMBER(SEARCH("regulat",$D66)),ISNUMBER(SEARCH("data",$D66)),ISNUMBER(SEARCH("talent",$D66)),ISNUMBER(SEARCH("knowledge",$D66)),ISNUMBER(SEARCH("portfolio",$D66)),ISNUMBER(SEARCH("quality",$D66))),"Slow","Medium")))</f>
        <v/>
      </c>
      <c r="AF66">
        <f>IF($A66="","",IFERROR(VLOOKUP($B66,'_CONFIG_Risk_Calibration'!$A$5:$H$21,2,FALSE),3))</f>
        <v/>
      </c>
      <c r="AG66">
        <f>IF($A66="","",IFERROR(VLOOKUP($B66,'_CONFIG_Risk_Calibration'!$A$5:$H$21,3,FALSE),0))</f>
        <v/>
      </c>
      <c r="AH66">
        <f>IF($A66="","",IFERROR(VLOOKUP($B66,'_CONFIG_Risk_Calibration'!$A$5:$H$21,4,FALSE),3))</f>
        <v/>
      </c>
      <c r="AI66">
        <f>IF($A66="","",IFERROR(VLOOKUP($B66,'_CONFIG_Risk_Calibration'!$A$5:$H$21,5,FALSE),3))</f>
        <v/>
      </c>
      <c r="AJ66">
        <f>IF($A66="","",IFERROR(VLOOKUP($B66,'_CONFIG_Risk_Calibration'!$A$5:$H$21,6,FALSE),"No"))</f>
        <v/>
      </c>
      <c r="AK66">
        <f>IF($A66="","",IFERROR(VLOOKUP($B66,'_CONFIG_Risk_Calibration'!$A$5:$H$21,7,FALSE),1))</f>
        <v/>
      </c>
      <c r="AL66">
        <f>IF($A66="","",IFERROR(VLOOKUP($B66,'_CONFIG_Risk_Calibration'!$A$5:$H$21,8,FALSE),""))</f>
        <v/>
      </c>
    </row>
    <row r="67" ht="48" customHeight="1" s="209">
      <c r="A67" s="13" t="inlineStr">
        <is>
          <t>GOVE-018</t>
        </is>
      </c>
      <c r="B67" s="13" t="inlineStr">
        <is>
          <t>Governance Crisis</t>
        </is>
      </c>
      <c r="C67" s="13" t="inlineStr">
        <is>
          <t>Incident management</t>
        </is>
      </c>
      <c r="D67" s="13" t="inlineStr">
        <is>
          <t>Crisis governance and decision-making</t>
        </is>
      </c>
      <c r="E67" s="13" t="inlineStr">
        <is>
          <t>How mature is the organization in managing mass notification and emergency coordination tools, including ownership, evidence, metrics, fallback procedures and crisis stress testing?</t>
        </is>
      </c>
      <c r="F67" s="13" t="inlineStr">
        <is>
          <t>Immature capability for mass notification and emergency coordination tools may lead to slow decisions, unclear escalation, duplicated actions and weak crisis command during All crisis types.</t>
        </is>
      </c>
      <c r="G67" s="13" t="inlineStr">
        <is>
          <t>Low maturity, weak ownership, incomplete evidence, insufficient testing and poor integration with crisis-management routines for mass notification and emergency coordination tools.</t>
        </is>
      </c>
      <c r="H67" s="13" t="inlineStr">
        <is>
          <t>Severe risk: mass notification and emergency coordination tools is not reliably controlled. During All crisis types, the organization may face slow decisions, unclear escalation, duplicated actions and weak crisis command with limited visibility or accountability.</t>
        </is>
      </c>
      <c r="I67" s="13" t="inlineStr">
        <is>
          <t>High risk: mass notification and emergency coordination tools depends on informal practices or individual knowledge. Disruption may expose slow decisions, unclear escalation, duplicated actions and weak crisis command and slow recovery.</t>
        </is>
      </c>
      <c r="J67" s="13" t="inlineStr">
        <is>
          <t>Elevated risk: mass notification and emergency coordination tools is partially controlled, but coverage, evidence or testing is inconsistent. Crisis response may be fragmented.</t>
        </is>
      </c>
      <c r="K67" s="13" t="inlineStr">
        <is>
          <t>Moderate risk: mass notification and emergency coordination tools is documented and owned, but measurement, stress testing and integration with dependent processes need strengthening.</t>
        </is>
      </c>
      <c r="L67" s="13" t="inlineStr">
        <is>
          <t>Residual risk: mass notification and emergency coordination tools is measured and reviewed, but monitoring, automation or scenario testing should be improved to prevent maturity drift.</t>
        </is>
      </c>
      <c r="M67" s="13" t="inlineStr">
        <is>
          <t>Low residual risk: mass notification and emergency coordination tools is mature and crisis-tested. Maintain monitoring, evidence, ownership and periodic stress testing.</t>
        </is>
      </c>
      <c r="N67" s="13" t="inlineStr">
        <is>
          <t>Create an immediate risk owner, minimum control baseline and fallback procedure for mass notification and emergency coordination tools. Add it to the crisis risk register and collect first evidence.</t>
        </is>
      </c>
      <c r="O67" s="13" t="inlineStr">
        <is>
          <t>Document mass notification and emergency coordination tools, assign RACI, define minimum controls and KPIs, and validate coverage across key sites, teams or systems.</t>
        </is>
      </c>
      <c r="P67" s="13" t="inlineStr">
        <is>
          <t>Standardize mass notification and emergency coordination tools, close coverage gaps, train accountable roles and connect controls to the relevant crisis scenarios and continuity plans.</t>
        </is>
      </c>
      <c r="Q67" s="13" t="inlineStr">
        <is>
          <t>Measure and test mass notification and emergency coordination tools, run tabletop or operational stress tests, integrate it with dependent processes and update crisis playbooks.</t>
        </is>
      </c>
      <c r="R67" s="13" t="inlineStr">
        <is>
          <t>Automate monitoring where practical, define leading indicators, run periodic scenario tests and track residual risk after each major change.</t>
        </is>
      </c>
      <c r="S67" s="13" t="inlineStr">
        <is>
          <t>Sustain maturity for mass notification and emergency coordination tools: keep evidence current, monitor drift, benchmark externally and refresh risk tests after organizational, system or market changes.</t>
        </is>
      </c>
      <c r="T67" s="13" t="n">
        <v>3</v>
      </c>
      <c r="U67" s="13" t="n">
        <v>3</v>
      </c>
      <c r="V67" s="13" t="n">
        <v>2</v>
      </c>
      <c r="W67" s="13" t="n">
        <v>2</v>
      </c>
      <c r="X67" s="13" t="n">
        <v>1</v>
      </c>
      <c r="Y67" s="13" t="n">
        <v>1</v>
      </c>
      <c r="Z67" s="13" t="inlineStr">
        <is>
          <t>ISO 22301; ISO 22320; ISO 31000; ISO 37000; NIST SP 800-34; BCI Good Practice Guidelines; Bain RAPID</t>
        </is>
      </c>
      <c r="AA67" s="13" t="inlineStr">
        <is>
          <t>Policy/SOP; owner/RACI; system report; dashboard; contracts; test records; incident history; interview evidence related to mass notification and emergency coordination tools.</t>
        </is>
      </c>
      <c r="AB67" s="13" t="inlineStr">
        <is>
          <t>All crisis types</t>
        </is>
      </c>
      <c r="AC67" s="13" t="inlineStr">
        <is>
          <t>CEO / COO / Risk</t>
        </is>
      </c>
      <c r="AD67" s="13" t="inlineStr">
        <is>
          <t>Governance Crisis!22</t>
        </is>
      </c>
      <c r="AE67">
        <f>IF($A67="","",IF(OR(ISNUMBER(SEARCH("cyber",$D67)),ISNUMBER(SEARCH("security",$D67)),ISNUMBER(SEARCH("safety",$D67)),ISNUMBER(SEARCH("liquidity",$D67)),ISNUMBER(SEARCH("cash",$D67)),ISNUMBER(SEARCH("continuity",$D67)),ISNUMBER(SEARCH("infrastructure",$D67)),ISNUMBER(SEARCH("outage",$D67))),"Fast",IF(OR(ISNUMBER(SEARCH("compliance",$D67)),ISNUMBER(SEARCH("regulat",$D67)),ISNUMBER(SEARCH("data",$D67)),ISNUMBER(SEARCH("talent",$D67)),ISNUMBER(SEARCH("knowledge",$D67)),ISNUMBER(SEARCH("portfolio",$D67)),ISNUMBER(SEARCH("quality",$D67))),"Slow","Medium")))</f>
        <v/>
      </c>
      <c r="AF67">
        <f>IF($A67="","",IFERROR(VLOOKUP($B67,'_CONFIG_Risk_Calibration'!$A$5:$H$21,2,FALSE),3))</f>
        <v/>
      </c>
      <c r="AG67">
        <f>IF($A67="","",IFERROR(VLOOKUP($B67,'_CONFIG_Risk_Calibration'!$A$5:$H$21,3,FALSE),0))</f>
        <v/>
      </c>
      <c r="AH67">
        <f>IF($A67="","",IFERROR(VLOOKUP($B67,'_CONFIG_Risk_Calibration'!$A$5:$H$21,4,FALSE),3))</f>
        <v/>
      </c>
      <c r="AI67">
        <f>IF($A67="","",IFERROR(VLOOKUP($B67,'_CONFIG_Risk_Calibration'!$A$5:$H$21,5,FALSE),3))</f>
        <v/>
      </c>
      <c r="AJ67">
        <f>IF($A67="","",IFERROR(VLOOKUP($B67,'_CONFIG_Risk_Calibration'!$A$5:$H$21,6,FALSE),"No"))</f>
        <v/>
      </c>
      <c r="AK67">
        <f>IF($A67="","",IFERROR(VLOOKUP($B67,'_CONFIG_Risk_Calibration'!$A$5:$H$21,7,FALSE),1))</f>
        <v/>
      </c>
      <c r="AL67">
        <f>IF($A67="","",IFERROR(VLOOKUP($B67,'_CONFIG_Risk_Calibration'!$A$5:$H$21,8,FALSE),""))</f>
        <v/>
      </c>
    </row>
    <row r="68" ht="60" customHeight="1" s="209">
      <c r="A68" s="13" t="inlineStr">
        <is>
          <t>GOVE-019</t>
        </is>
      </c>
      <c r="B68" s="13" t="inlineStr">
        <is>
          <t>Governance Crisis</t>
        </is>
      </c>
      <c r="C68" s="13" t="inlineStr">
        <is>
          <t>Incident management</t>
        </is>
      </c>
      <c r="D68" s="13" t="inlineStr">
        <is>
          <t>Crisis governance and decision-making</t>
        </is>
      </c>
      <c r="E68" s="13" t="inlineStr">
        <is>
          <t>How mature is the organization in managing crisis lessons-learned process tied to improvement backlog and management review, including ownership, evidence, metrics, fallback procedures and crisis stress testing?</t>
        </is>
      </c>
      <c r="F68" s="13" t="inlineStr">
        <is>
          <t>Immature capability for crisis lessons-learned process tied to improvement backlog and management review may lead to slow decisions, unclear escalation, duplicated actions and weak crisis command during All crisis types.</t>
        </is>
      </c>
      <c r="G68" s="13" t="inlineStr">
        <is>
          <t>Low maturity, weak ownership, incomplete evidence, insufficient testing and poor integration with crisis-management routines for crisis lessons-learned process tied to improvement backlog and management review.</t>
        </is>
      </c>
      <c r="H68" s="13" t="inlineStr">
        <is>
          <t>Severe risk: crisis lessons-learned process tied to improvement backlog and management review is not reliably controlled. During All crisis types, the organization may face slow decisions, unclear escalation, duplicated actions and weak crisis command with limited visibility or accountability.</t>
        </is>
      </c>
      <c r="I68" s="13" t="inlineStr">
        <is>
          <t>High risk: crisis lessons-learned process tied to improvement backlog and management review depends on informal practices or individual knowledge. Disruption may expose slow decisions, unclear escalation, duplicated actions and weak crisis command and slow recovery.</t>
        </is>
      </c>
      <c r="J68" s="13" t="inlineStr">
        <is>
          <t>Elevated risk: crisis lessons-learned process tied to improvement backlog and management review is partially controlled, but coverage, evidence or testing is inconsistent. Crisis response may be fragmented.</t>
        </is>
      </c>
      <c r="K68" s="13" t="inlineStr">
        <is>
          <t>Moderate risk: crisis lessons-learned process tied to improvement backlog and management review is documented and owned, but measurement, stress testing and integration with dependent processes need strengthening.</t>
        </is>
      </c>
      <c r="L68" s="13" t="inlineStr">
        <is>
          <t>Residual risk: crisis lessons-learned process tied to improvement backlog and management review is measured and reviewed, but monitoring, automation or scenario testing should be improved to prevent maturity drift.</t>
        </is>
      </c>
      <c r="M68" s="13" t="inlineStr">
        <is>
          <t>Low residual risk: crisis lessons-learned process tied to improvement backlog and management review is mature and crisis-tested. Maintain monitoring, evidence, ownership and periodic stress testing.</t>
        </is>
      </c>
      <c r="N68" s="13" t="inlineStr">
        <is>
          <t>Create an immediate risk owner, minimum control baseline and fallback procedure for crisis lessons-learned process tied to improvement backlog and management review. Add it to the crisis risk register and collect first evidence.</t>
        </is>
      </c>
      <c r="O68" s="13" t="inlineStr">
        <is>
          <t>Document crisis lessons-learned process tied to improvement backlog and management review, assign RACI, define minimum controls and KPIs, and validate coverage across key sites, teams or systems.</t>
        </is>
      </c>
      <c r="P68" s="13" t="inlineStr">
        <is>
          <t>Standardize crisis lessons-learned process tied to improvement backlog and management review, close coverage gaps, train accountable roles and connect controls to the relevant crisis scenarios and continuity plans.</t>
        </is>
      </c>
      <c r="Q68" s="13" t="inlineStr">
        <is>
          <t>Measure and test crisis lessons-learned process tied to improvement backlog and management review, run tabletop or operational stress tests, integrate it with dependent processes and update crisis playbooks.</t>
        </is>
      </c>
      <c r="R68" s="13" t="inlineStr">
        <is>
          <t>Automate monitoring where practical, define leading indicators, run periodic scenario tests and track residual risk after each major change.</t>
        </is>
      </c>
      <c r="S68" s="13" t="inlineStr">
        <is>
          <t>Sustain maturity for crisis lessons-learned process tied to improvement backlog and management review: keep evidence current, monitor drift, benchmark externally and refresh risk tests after organizational, system or market changes.</t>
        </is>
      </c>
      <c r="T68" s="13" t="n">
        <v>3</v>
      </c>
      <c r="U68" s="13" t="n">
        <v>3</v>
      </c>
      <c r="V68" s="13" t="n">
        <v>2</v>
      </c>
      <c r="W68" s="13" t="n">
        <v>2</v>
      </c>
      <c r="X68" s="13" t="n">
        <v>1</v>
      </c>
      <c r="Y68" s="13" t="n">
        <v>1</v>
      </c>
      <c r="Z68" s="13" t="inlineStr">
        <is>
          <t>ISO 22301; ISO 22320; ISO 31000; ISO 37000; NIST SP 800-34; BCI Good Practice Guidelines; Bain RAPID</t>
        </is>
      </c>
      <c r="AA68" s="13" t="inlineStr">
        <is>
          <t>Policy/SOP; owner/RACI; system report; dashboard; contracts; test records; incident history; interview evidence related to crisis lessons-learned process tied to improvement backlog and management review.</t>
        </is>
      </c>
      <c r="AB68" s="13" t="inlineStr">
        <is>
          <t>All crisis types</t>
        </is>
      </c>
      <c r="AC68" s="13" t="inlineStr">
        <is>
          <t>CEO / COO / Risk</t>
        </is>
      </c>
      <c r="AD68" s="13" t="inlineStr">
        <is>
          <t>Governance Crisis!23</t>
        </is>
      </c>
      <c r="AE68">
        <f>IF($A68="","",IF(OR(ISNUMBER(SEARCH("cyber",$D68)),ISNUMBER(SEARCH("security",$D68)),ISNUMBER(SEARCH("safety",$D68)),ISNUMBER(SEARCH("liquidity",$D68)),ISNUMBER(SEARCH("cash",$D68)),ISNUMBER(SEARCH("continuity",$D68)),ISNUMBER(SEARCH("infrastructure",$D68)),ISNUMBER(SEARCH("outage",$D68))),"Fast",IF(OR(ISNUMBER(SEARCH("compliance",$D68)),ISNUMBER(SEARCH("regulat",$D68)),ISNUMBER(SEARCH("data",$D68)),ISNUMBER(SEARCH("talent",$D68)),ISNUMBER(SEARCH("knowledge",$D68)),ISNUMBER(SEARCH("portfolio",$D68)),ISNUMBER(SEARCH("quality",$D68))),"Slow","Medium")))</f>
        <v/>
      </c>
      <c r="AF68">
        <f>IF($A68="","",IFERROR(VLOOKUP($B68,'_CONFIG_Risk_Calibration'!$A$5:$H$21,2,FALSE),3))</f>
        <v/>
      </c>
      <c r="AG68">
        <f>IF($A68="","",IFERROR(VLOOKUP($B68,'_CONFIG_Risk_Calibration'!$A$5:$H$21,3,FALSE),0))</f>
        <v/>
      </c>
      <c r="AH68">
        <f>IF($A68="","",IFERROR(VLOOKUP($B68,'_CONFIG_Risk_Calibration'!$A$5:$H$21,4,FALSE),3))</f>
        <v/>
      </c>
      <c r="AI68">
        <f>IF($A68="","",IFERROR(VLOOKUP($B68,'_CONFIG_Risk_Calibration'!$A$5:$H$21,5,FALSE),3))</f>
        <v/>
      </c>
      <c r="AJ68">
        <f>IF($A68="","",IFERROR(VLOOKUP($B68,'_CONFIG_Risk_Calibration'!$A$5:$H$21,6,FALSE),"No"))</f>
        <v/>
      </c>
      <c r="AK68">
        <f>IF($A68="","",IFERROR(VLOOKUP($B68,'_CONFIG_Risk_Calibration'!$A$5:$H$21,7,FALSE),1))</f>
        <v/>
      </c>
      <c r="AL68">
        <f>IF($A68="","",IFERROR(VLOOKUP($B68,'_CONFIG_Risk_Calibration'!$A$5:$H$21,8,FALSE),""))</f>
        <v/>
      </c>
    </row>
    <row r="69" ht="84" customHeight="1" s="209">
      <c r="A69" s="13" t="inlineStr">
        <is>
          <t>GOVE-020</t>
        </is>
      </c>
      <c r="B69" s="13" t="inlineStr">
        <is>
          <t>Governance Crisis</t>
        </is>
      </c>
      <c r="C69" s="13" t="inlineStr">
        <is>
          <t>Risk and continuity</t>
        </is>
      </c>
      <c r="D69" s="13" t="inlineStr">
        <is>
          <t>Crisis governance and continuity readiness</t>
        </is>
      </c>
      <c r="E69" s="13" t="inlineStr">
        <is>
          <t>How mature is the organization in managing offline availability of continuity plans, runbooks, contact lists and key contracts when core IT is unavailable, including ownership, evidence, metrics, fallback procedures and crisis stress testing?</t>
        </is>
      </c>
      <c r="F69" s="13" t="inlineStr">
        <is>
          <t>Immature capability for offline availability of continuity plans, runbooks, contact lists and key contracts when core IT is unavailable may lead to recovery plans locked inside failed systems, unreachable contacts and improvised crisis response during Cyberattack/ransomware; Energy/utilities outage; Cloud/SaaS outage.</t>
        </is>
      </c>
      <c r="G69" s="13" t="inlineStr">
        <is>
          <t>Low maturity, weak ownership, incomplete evidence, insufficient testing and poor integration with crisis-management routines for offline availability of continuity plans, runbooks, contact lists and key contracts when core IT is unavailable.</t>
        </is>
      </c>
      <c r="H69" s="13" t="inlineStr">
        <is>
          <t>Severe risk: offline availability of continuity plans, runbooks, contact lists and key contracts when core IT is unavailable is not reliably controlled. During Cyberattack/ransomware; Energy/utilities outage; Cloud/SaaS outage, the organization may face recovery plans locked inside failed systems, unreachable contacts and improvised crisis response with limited visibility or accountability.</t>
        </is>
      </c>
      <c r="I69" s="13" t="inlineStr">
        <is>
          <t>High risk: offline availability of continuity plans, runbooks, contact lists and key contracts when core IT is unavailable depends on informal practices or individual knowledge. Disruption may expose recovery plans locked inside failed systems, unreachable contacts and improvised crisis response and slow recovery.</t>
        </is>
      </c>
      <c r="J69" s="13" t="inlineStr">
        <is>
          <t>Elevated risk: offline availability of continuity plans, runbooks, contact lists and key contracts when core IT is unavailable is partially controlled, but coverage, evidence or testing is inconsistent. Crisis response may be fragmented.</t>
        </is>
      </c>
      <c r="K69" s="13" t="inlineStr">
        <is>
          <t>Moderate risk: offline availability of continuity plans, runbooks, contact lists and key contracts when core IT is unavailable is documented and owned, but measurement, stress testing and integration with dependent processes need strengthening.</t>
        </is>
      </c>
      <c r="L69" s="13" t="inlineStr">
        <is>
          <t>Residual risk: offline availability of continuity plans, runbooks, contact lists and key contracts when core IT is unavailable is measured and reviewed, but monitoring, automation or scenario testing should be improved to prevent maturity drift.</t>
        </is>
      </c>
      <c r="M69" s="13" t="inlineStr">
        <is>
          <t>Low residual risk: offline availability of continuity plans, runbooks, contact lists and key contracts when core IT is unavailable is mature and crisis-tested. Maintain monitoring, evidence, ownership and periodic stress testing.</t>
        </is>
      </c>
      <c r="N69" s="13" t="inlineStr">
        <is>
          <t>Create an immediate risk owner, minimum control baseline and fallback procedure for offline availability of continuity plans, runbooks, contact lists and key contracts when core IT is unavailable. Add it to the crisis risk register and collect first evidence.</t>
        </is>
      </c>
      <c r="O69" s="13" t="inlineStr">
        <is>
          <t>Document offline availability of continuity plans, runbooks, contact lists and key contracts when core IT is unavailable, assign RACI, define minimum controls and KPIs, and validate coverage across key sites, teams or systems.</t>
        </is>
      </c>
      <c r="P69" s="13" t="inlineStr">
        <is>
          <t>Standardize offline availability of continuity plans, runbooks, contact lists and key contracts when core IT is unavailable, close coverage gaps, train accountable roles and connect controls to the relevant crisis scenarios and continuity plans.</t>
        </is>
      </c>
      <c r="Q69" s="13" t="inlineStr">
        <is>
          <t>Measure and test offline availability of continuity plans, runbooks, contact lists and key contracts when core IT is unavailable, run tabletop or operational stress tests, integrate it with dependent processes and update crisis playbooks.</t>
        </is>
      </c>
      <c r="R69" s="13" t="inlineStr">
        <is>
          <t>Automate monitoring where practical, define leading indicators, run periodic scenario tests and track residual risk after each major change.</t>
        </is>
      </c>
      <c r="S69" s="13" t="inlineStr">
        <is>
          <t>Sustain maturity for offline availability of continuity plans, runbooks, contact lists and key contracts when core IT is unavailable: keep evidence current, monitor drift, benchmark externally and refresh risk tests after organizational, system or market changes.</t>
        </is>
      </c>
      <c r="T69" s="13" t="n">
        <v>2</v>
      </c>
      <c r="U69" s="13" t="n">
        <v>2</v>
      </c>
      <c r="V69" s="13" t="n">
        <v>2</v>
      </c>
      <c r="W69" s="13" t="n">
        <v>1</v>
      </c>
      <c r="X69" s="13" t="n">
        <v>1</v>
      </c>
      <c r="Y69" s="13" t="n">
        <v>1</v>
      </c>
      <c r="Z69" s="13" t="inlineStr">
        <is>
          <t>ISO 22301; NIST SP 800-34</t>
        </is>
      </c>
      <c r="AA69" s="13" t="inlineStr">
        <is>
          <t>Policy/SOP; owner/RACI; system report; dashboard; contracts; test records; incident history; interview evidence related to offline availability of continuity plans, runbooks, contact lists and key contracts when core IT is unavailable</t>
        </is>
      </c>
      <c r="AB69" s="13" t="inlineStr">
        <is>
          <t>Cyberattack/ransomware; Energy/utilities outage; Cloud/SaaS outage</t>
        </is>
      </c>
      <c r="AC69" s="13" t="inlineStr">
        <is>
          <t>COO / Risk</t>
        </is>
      </c>
      <c r="AD69" s="13" t="inlineStr">
        <is>
          <t>Governance Crisis!24</t>
        </is>
      </c>
      <c r="AE69">
        <f>IF($A69="","",IF(OR(ISNUMBER(SEARCH("cyber",$D69)),ISNUMBER(SEARCH("security",$D69)),ISNUMBER(SEARCH("safety",$D69)),ISNUMBER(SEARCH("liquidity",$D69)),ISNUMBER(SEARCH("cash",$D69)),ISNUMBER(SEARCH("continuity",$D69)),ISNUMBER(SEARCH("infrastructure",$D69)),ISNUMBER(SEARCH("outage",$D69))),"Fast",IF(OR(ISNUMBER(SEARCH("compliance",$D69)),ISNUMBER(SEARCH("regulat",$D69)),ISNUMBER(SEARCH("data",$D69)),ISNUMBER(SEARCH("talent",$D69)),ISNUMBER(SEARCH("knowledge",$D69)),ISNUMBER(SEARCH("portfolio",$D69)),ISNUMBER(SEARCH("quality",$D69))),"Slow","Medium")))</f>
        <v/>
      </c>
      <c r="AF69">
        <f>IF($A69="","",IFERROR(VLOOKUP($B69,'_CONFIG_Risk_Calibration'!$A$5:$H$21,2,FALSE),3))</f>
        <v/>
      </c>
      <c r="AG69">
        <f>IF($A69="","",IFERROR(VLOOKUP($B69,'_CONFIG_Risk_Calibration'!$A$5:$H$21,3,FALSE),0))</f>
        <v/>
      </c>
      <c r="AH69">
        <f>IF($A69="","",IFERROR(VLOOKUP($B69,'_CONFIG_Risk_Calibration'!$A$5:$H$21,4,FALSE),3))</f>
        <v/>
      </c>
      <c r="AI69">
        <f>IF($A69="","",IFERROR(VLOOKUP($B69,'_CONFIG_Risk_Calibration'!$A$5:$H$21,5,FALSE),3))</f>
        <v/>
      </c>
      <c r="AJ69">
        <f>IF($A69="","",IFERROR(VLOOKUP($B69,'_CONFIG_Risk_Calibration'!$A$5:$H$21,6,FALSE),"No"))</f>
        <v/>
      </c>
      <c r="AK69">
        <f>IF($A69="","",IFERROR(VLOOKUP($B69,'_CONFIG_Risk_Calibration'!$A$5:$H$21,7,FALSE),1))</f>
        <v/>
      </c>
      <c r="AL69">
        <f>IF($A69="","",IFERROR(VLOOKUP($B69,'_CONFIG_Risk_Calibration'!$A$5:$H$21,8,FALSE),""))</f>
        <v/>
      </c>
    </row>
    <row r="70" ht="84" customHeight="1" s="209">
      <c r="A70" s="13" t="inlineStr">
        <is>
          <t>GOVE-021</t>
        </is>
      </c>
      <c r="B70" s="13" t="inlineStr">
        <is>
          <t>Governance Crisis</t>
        </is>
      </c>
      <c r="C70" s="13" t="inlineStr">
        <is>
          <t>Crisis governance</t>
        </is>
      </c>
      <c r="D70" s="13" t="inlineStr">
        <is>
          <t>Crisis governance and continuity readiness</t>
        </is>
      </c>
      <c r="E70" s="13" t="inlineStr">
        <is>
          <t>How mature is the organization in managing primary and alternate crisis command arrangements with independent communications and access to crisis tools, including ownership, evidence, metrics, fallback procedures and crisis stress testing?</t>
        </is>
      </c>
      <c r="F70" s="13" t="inlineStr">
        <is>
          <t>Immature capability for primary and alternate crisis command arrangements with independent communications and access to crisis tools may lead to no functioning command point when the main site or communications fail, delaying coordinated response during War/security crisis; Physical site loss; Energy/utilities outage.</t>
        </is>
      </c>
      <c r="G70" s="13" t="inlineStr">
        <is>
          <t>Low maturity, weak ownership, incomplete evidence, insufficient testing and poor integration with crisis-management routines for primary and alternate crisis command arrangements with independent communications and access to crisis tools.</t>
        </is>
      </c>
      <c r="H70" s="13" t="inlineStr">
        <is>
          <t>Severe risk: primary and alternate crisis command arrangements with independent communications and access to crisis tools is not reliably controlled. During War/security crisis; Physical site loss; Energy/utilities outage, the organization may face no functioning command point when the main site or communications fail, delaying coordinated response with limited visibility or accountability.</t>
        </is>
      </c>
      <c r="I70" s="13" t="inlineStr">
        <is>
          <t>High risk: primary and alternate crisis command arrangements with independent communications and access to crisis tools depends on informal practices or individual knowledge. Disruption may expose no functioning command point when the main site or communications fail, delaying coordinated response and slow recovery.</t>
        </is>
      </c>
      <c r="J70" s="13" t="inlineStr">
        <is>
          <t>Elevated risk: primary and alternate crisis command arrangements with independent communications and access to crisis tools is partially controlled, but coverage, evidence or testing is inconsistent. Crisis response may be fragmented.</t>
        </is>
      </c>
      <c r="K70" s="13" t="inlineStr">
        <is>
          <t>Moderate risk: primary and alternate crisis command arrangements with independent communications and access to crisis tools is documented and owned, but measurement, stress testing and integration with dependent processes need strengthening.</t>
        </is>
      </c>
      <c r="L70" s="13" t="inlineStr">
        <is>
          <t>Residual risk: primary and alternate crisis command arrangements with independent communications and access to crisis tools is measured and reviewed, but monitoring, automation or scenario testing should be improved to prevent maturity drift.</t>
        </is>
      </c>
      <c r="M70" s="13" t="inlineStr">
        <is>
          <t>Low residual risk: primary and alternate crisis command arrangements with independent communications and access to crisis tools is mature and crisis-tested. Maintain monitoring, evidence, ownership and periodic stress testing.</t>
        </is>
      </c>
      <c r="N70" s="13" t="inlineStr">
        <is>
          <t>Create an immediate risk owner, minimum control baseline and fallback procedure for primary and alternate crisis command arrangements with independent communications and access to crisis tools. Add it to the crisis risk register and collect first evidence.</t>
        </is>
      </c>
      <c r="O70" s="13" t="inlineStr">
        <is>
          <t>Document primary and alternate crisis command arrangements with independent communications and access to crisis tools, assign RACI, define minimum controls and KPIs, and validate coverage across key sites, teams or systems.</t>
        </is>
      </c>
      <c r="P70" s="13" t="inlineStr">
        <is>
          <t>Standardize primary and alternate crisis command arrangements with independent communications and access to crisis tools, close coverage gaps, train accountable roles and connect controls to the relevant crisis scenarios and continuity plans.</t>
        </is>
      </c>
      <c r="Q70" s="13" t="inlineStr">
        <is>
          <t>Measure and test primary and alternate crisis command arrangements with independent communications and access to crisis tools, run tabletop or operational stress tests, integrate it with dependent processes and update crisis playbooks.</t>
        </is>
      </c>
      <c r="R70" s="13" t="inlineStr">
        <is>
          <t>Automate monitoring where practical, define leading indicators, run periodic scenario tests and track residual risk after each major change.</t>
        </is>
      </c>
      <c r="S70" s="13" t="inlineStr">
        <is>
          <t>Sustain maturity for primary and alternate crisis command arrangements with independent communications and access to crisis tools: keep evidence current, monitor drift, benchmark externally and refresh risk tests after organizational, system or market changes.</t>
        </is>
      </c>
      <c r="T70" s="13" t="n">
        <v>3</v>
      </c>
      <c r="U70" s="13" t="n">
        <v>3</v>
      </c>
      <c r="V70" s="13" t="n">
        <v>2</v>
      </c>
      <c r="W70" s="13" t="n">
        <v>2</v>
      </c>
      <c r="X70" s="13" t="n">
        <v>1</v>
      </c>
      <c r="Y70" s="13" t="n">
        <v>1</v>
      </c>
      <c r="Z70" s="13" t="inlineStr">
        <is>
          <t>ISO 22301; ISO 22320</t>
        </is>
      </c>
      <c r="AA70" s="13" t="inlineStr">
        <is>
          <t>Policy/SOP; owner/RACI; system report; dashboard; contracts; test records; incident history; interview evidence related to primary and alternate crisis command arrangements with independent communications and access to crisis tools</t>
        </is>
      </c>
      <c r="AB70" s="13" t="inlineStr">
        <is>
          <t>War/security crisis; Physical site loss; Energy/utilities outage</t>
        </is>
      </c>
      <c r="AC70" s="13" t="inlineStr">
        <is>
          <t>COO / Risk</t>
        </is>
      </c>
      <c r="AD70" s="13" t="inlineStr">
        <is>
          <t>Governance Crisis!25</t>
        </is>
      </c>
      <c r="AE70">
        <f>IF($A70="","",IF(OR(ISNUMBER(SEARCH("cyber",$D70)),ISNUMBER(SEARCH("security",$D70)),ISNUMBER(SEARCH("safety",$D70)),ISNUMBER(SEARCH("liquidity",$D70)),ISNUMBER(SEARCH("cash",$D70)),ISNUMBER(SEARCH("continuity",$D70)),ISNUMBER(SEARCH("infrastructure",$D70)),ISNUMBER(SEARCH("outage",$D70))),"Fast",IF(OR(ISNUMBER(SEARCH("compliance",$D70)),ISNUMBER(SEARCH("regulat",$D70)),ISNUMBER(SEARCH("data",$D70)),ISNUMBER(SEARCH("talent",$D70)),ISNUMBER(SEARCH("knowledge",$D70)),ISNUMBER(SEARCH("portfolio",$D70)),ISNUMBER(SEARCH("quality",$D70))),"Slow","Medium")))</f>
        <v/>
      </c>
      <c r="AF70">
        <f>IF($A70="","",IFERROR(VLOOKUP($B70,'_CONFIG_Risk_Calibration'!$A$5:$H$21,2,FALSE),3))</f>
        <v/>
      </c>
      <c r="AG70">
        <f>IF($A70="","",IFERROR(VLOOKUP($B70,'_CONFIG_Risk_Calibration'!$A$5:$H$21,3,FALSE),0))</f>
        <v/>
      </c>
      <c r="AH70">
        <f>IF($A70="","",IFERROR(VLOOKUP($B70,'_CONFIG_Risk_Calibration'!$A$5:$H$21,4,FALSE),3))</f>
        <v/>
      </c>
      <c r="AI70">
        <f>IF($A70="","",IFERROR(VLOOKUP($B70,'_CONFIG_Risk_Calibration'!$A$5:$H$21,5,FALSE),3))</f>
        <v/>
      </c>
      <c r="AJ70">
        <f>IF($A70="","",IFERROR(VLOOKUP($B70,'_CONFIG_Risk_Calibration'!$A$5:$H$21,6,FALSE),"No"))</f>
        <v/>
      </c>
      <c r="AK70">
        <f>IF($A70="","",IFERROR(VLOOKUP($B70,'_CONFIG_Risk_Calibration'!$A$5:$H$21,7,FALSE),1))</f>
        <v/>
      </c>
      <c r="AL70">
        <f>IF($A70="","",IFERROR(VLOOKUP($B70,'_CONFIG_Risk_Calibration'!$A$5:$H$21,8,FALSE),""))</f>
        <v/>
      </c>
    </row>
    <row r="71" ht="84" customHeight="1" s="209">
      <c r="A71" s="13" t="inlineStr">
        <is>
          <t>GOVE-022</t>
        </is>
      </c>
      <c r="B71" s="13" t="inlineStr">
        <is>
          <t>Governance Crisis</t>
        </is>
      </c>
      <c r="C71" s="13" t="inlineStr">
        <is>
          <t>Risk and continuity</t>
        </is>
      </c>
      <c r="D71" s="13" t="inlineStr">
        <is>
          <t>Crisis governance and continuity readiness</t>
        </is>
      </c>
      <c r="E71" s="13" t="inlineStr">
        <is>
          <t>How mature is the organization in managing joint crisis exercises with critical suppliers, customers, authorities and insurers, including ownership, evidence, metrics, fallback procedures and crisis stress testing?</t>
        </is>
      </c>
      <c r="F71" s="13" t="inlineStr">
        <is>
          <t>Immature capability for joint crisis exercises with critical suppliers, customers, authorities and insurers may lead to untested cross-organizational response, conflicting assumptions and slow joint recovery in real events during Supplier/logistics disruption; War/security crisis; Cyberattack/ransomware.</t>
        </is>
      </c>
      <c r="G71" s="13" t="inlineStr">
        <is>
          <t>Low maturity, weak ownership, incomplete evidence, insufficient testing and poor integration with crisis-management routines for joint crisis exercises with critical suppliers, customers, authorities and insurers.</t>
        </is>
      </c>
      <c r="H71" s="13" t="inlineStr">
        <is>
          <t>Severe risk: joint crisis exercises with critical suppliers, customers, authorities and insurers is not reliably controlled. During Supplier/logistics disruption; War/security crisis; Cyberattack/ransomware, the organization may face untested cross-organizational response, conflicting assumptions and slow joint recovery in real events with limited visibility or accountability.</t>
        </is>
      </c>
      <c r="I71" s="13" t="inlineStr">
        <is>
          <t>High risk: joint crisis exercises with critical suppliers, customers, authorities and insurers depends on informal practices or individual knowledge. Disruption may expose untested cross-organizational response, conflicting assumptions and slow joint recovery in real events and slow recovery.</t>
        </is>
      </c>
      <c r="J71" s="13" t="inlineStr">
        <is>
          <t>Elevated risk: joint crisis exercises with critical suppliers, customers, authorities and insurers is partially controlled, but coverage, evidence or testing is inconsistent. Crisis response may be fragmented.</t>
        </is>
      </c>
      <c r="K71" s="13" t="inlineStr">
        <is>
          <t>Moderate risk: joint crisis exercises with critical suppliers, customers, authorities and insurers is documented and owned, but measurement, stress testing and integration with dependent processes need strengthening.</t>
        </is>
      </c>
      <c r="L71" s="13" t="inlineStr">
        <is>
          <t>Residual risk: joint crisis exercises with critical suppliers, customers, authorities and insurers is measured and reviewed, but monitoring, automation or scenario testing should be improved to prevent maturity drift.</t>
        </is>
      </c>
      <c r="M71" s="13" t="inlineStr">
        <is>
          <t>Low residual risk: joint crisis exercises with critical suppliers, customers, authorities and insurers is mature and crisis-tested. Maintain monitoring, evidence, ownership and periodic stress testing.</t>
        </is>
      </c>
      <c r="N71" s="13" t="inlineStr">
        <is>
          <t>Create an immediate risk owner, minimum control baseline and fallback procedure for joint crisis exercises with critical suppliers, customers, authorities and insurers. Add it to the crisis risk register and collect first evidence.</t>
        </is>
      </c>
      <c r="O71" s="13" t="inlineStr">
        <is>
          <t>Document joint crisis exercises with critical suppliers, customers, authorities and insurers, assign RACI, define minimum controls and KPIs, and validate coverage across key sites, teams or systems.</t>
        </is>
      </c>
      <c r="P71" s="13" t="inlineStr">
        <is>
          <t>Standardize joint crisis exercises with critical suppliers, customers, authorities and insurers, close coverage gaps, train accountable roles and connect controls to the relevant crisis scenarios and continuity plans.</t>
        </is>
      </c>
      <c r="Q71" s="13" t="inlineStr">
        <is>
          <t>Measure and test joint crisis exercises with critical suppliers, customers, authorities and insurers, run tabletop or operational stress tests, integrate it with dependent processes and update crisis playbooks.</t>
        </is>
      </c>
      <c r="R71" s="13" t="inlineStr">
        <is>
          <t>Automate monitoring where practical, define leading indicators, run periodic scenario tests and track residual risk after each major change.</t>
        </is>
      </c>
      <c r="S71" s="13" t="inlineStr">
        <is>
          <t>Sustain maturity for joint crisis exercises with critical suppliers, customers, authorities and insurers: keep evidence current, monitor drift, benchmark externally and refresh risk tests after organizational, system or market changes.</t>
        </is>
      </c>
      <c r="T71" s="13" t="n">
        <v>3</v>
      </c>
      <c r="U71" s="13" t="n">
        <v>3</v>
      </c>
      <c r="V71" s="13" t="n">
        <v>2</v>
      </c>
      <c r="W71" s="13" t="n">
        <v>2</v>
      </c>
      <c r="X71" s="13" t="n">
        <v>2</v>
      </c>
      <c r="Y71" s="13" t="n">
        <v>1</v>
      </c>
      <c r="Z71" s="13" t="inlineStr">
        <is>
          <t>ISO 22301; ISO 22398</t>
        </is>
      </c>
      <c r="AA71" s="13" t="inlineStr">
        <is>
          <t>Policy/SOP; owner/RACI; system report; dashboard; contracts; test records; incident history; interview evidence related to joint crisis exercises with critical suppliers, customers, authorities and insurers</t>
        </is>
      </c>
      <c r="AB71" s="13" t="inlineStr">
        <is>
          <t>Supplier/logistics disruption; War/security crisis; Cyberattack/ransomware</t>
        </is>
      </c>
      <c r="AC71" s="13" t="inlineStr">
        <is>
          <t>COO / Risk</t>
        </is>
      </c>
      <c r="AD71" s="13" t="inlineStr">
        <is>
          <t>Governance Crisis!26</t>
        </is>
      </c>
      <c r="AE71">
        <f>IF($A71="","",IF(OR(ISNUMBER(SEARCH("cyber",$D71)),ISNUMBER(SEARCH("security",$D71)),ISNUMBER(SEARCH("safety",$D71)),ISNUMBER(SEARCH("liquidity",$D71)),ISNUMBER(SEARCH("cash",$D71)),ISNUMBER(SEARCH("continuity",$D71)),ISNUMBER(SEARCH("infrastructure",$D71)),ISNUMBER(SEARCH("outage",$D71))),"Fast",IF(OR(ISNUMBER(SEARCH("compliance",$D71)),ISNUMBER(SEARCH("regulat",$D71)),ISNUMBER(SEARCH("data",$D71)),ISNUMBER(SEARCH("talent",$D71)),ISNUMBER(SEARCH("knowledge",$D71)),ISNUMBER(SEARCH("portfolio",$D71)),ISNUMBER(SEARCH("quality",$D71))),"Slow","Medium")))</f>
        <v/>
      </c>
      <c r="AF71">
        <f>IF($A71="","",IFERROR(VLOOKUP($B71,'_CONFIG_Risk_Calibration'!$A$5:$H$21,2,FALSE),3))</f>
        <v/>
      </c>
      <c r="AG71">
        <f>IF($A71="","",IFERROR(VLOOKUP($B71,'_CONFIG_Risk_Calibration'!$A$5:$H$21,3,FALSE),0))</f>
        <v/>
      </c>
      <c r="AH71">
        <f>IF($A71="","",IFERROR(VLOOKUP($B71,'_CONFIG_Risk_Calibration'!$A$5:$H$21,4,FALSE),3))</f>
        <v/>
      </c>
      <c r="AI71">
        <f>IF($A71="","",IFERROR(VLOOKUP($B71,'_CONFIG_Risk_Calibration'!$A$5:$H$21,5,FALSE),3))</f>
        <v/>
      </c>
      <c r="AJ71">
        <f>IF($A71="","",IFERROR(VLOOKUP($B71,'_CONFIG_Risk_Calibration'!$A$5:$H$21,6,FALSE),"No"))</f>
        <v/>
      </c>
      <c r="AK71">
        <f>IF($A71="","",IFERROR(VLOOKUP($B71,'_CONFIG_Risk_Calibration'!$A$5:$H$21,7,FALSE),1))</f>
        <v/>
      </c>
      <c r="AL71">
        <f>IF($A71="","",IFERROR(VLOOKUP($B71,'_CONFIG_Risk_Calibration'!$A$5:$H$21,8,FALSE),""))</f>
        <v/>
      </c>
    </row>
    <row r="72" ht="84" customHeight="1" s="209">
      <c r="A72" s="13" t="inlineStr">
        <is>
          <t>HRWO-001</t>
        </is>
      </c>
      <c r="B72" s="13" t="inlineStr">
        <is>
          <t>HR Workforce</t>
        </is>
      </c>
      <c r="C72" s="13" t="inlineStr">
        <is>
          <t>Workforce visibility</t>
        </is>
      </c>
      <c r="D72" s="13" t="inlineStr">
        <is>
          <t>People, critical roles and knowledge continuity</t>
        </is>
      </c>
      <c r="E72" s="13" t="inlineStr">
        <is>
          <t>How mature is the organization in managing workforce inventory by role, location, manager, contract type, employment entity, skill and criticality, including ownership, evidence, metrics, fallback procedures and crisis stress testing?</t>
        </is>
      </c>
      <c r="F72" s="13" t="inlineStr">
        <is>
          <t>Immature capability for workforce inventory by role, location, manager, contract type, employment entity, skill and criticality may lead to loss of critical knowledge, reduced productivity, unmanaged absenteeism and inability to keep essential work running during Workforce disruption; Pandemic/health crisis; War/security crisis.</t>
        </is>
      </c>
      <c r="G72" s="13" t="inlineStr">
        <is>
          <t>Low maturity, weak ownership, incomplete evidence, insufficient testing and poor integration with crisis-management routines for workforce inventory by role, location, manager, contract type, employment entity, skill and criticality.</t>
        </is>
      </c>
      <c r="H72" s="13" t="inlineStr">
        <is>
          <t>Severe risk: workforce inventory by role, location, manager, contract type, employment entity, skill and criticality is not reliably controlled. During Workforce disruption; Pandemic/health crisis; War/security crisis, the organization may face loss of critical knowledge, reduced productivity, unmanaged absenteeism and inability to keep essential work running with limited visibility or accountability.</t>
        </is>
      </c>
      <c r="I72" s="13" t="inlineStr">
        <is>
          <t>High risk: workforce inventory by role, location, manager, contract type, employment entity, skill and criticality depends on informal practices or individual knowledge. Disruption may expose loss of critical knowledge, reduced productivity, unmanaged absenteeism and inability to keep essential work running and slow recovery.</t>
        </is>
      </c>
      <c r="J72" s="13" t="inlineStr">
        <is>
          <t>Elevated risk: workforce inventory by role, location, manager, contract type, employment entity, skill and criticality is partially controlled, but coverage, evidence or testing is inconsistent. Crisis response may be fragmented.</t>
        </is>
      </c>
      <c r="K72" s="13" t="inlineStr">
        <is>
          <t>Moderate risk: workforce inventory by role, location, manager, contract type, employment entity, skill and criticality is documented and owned, but measurement, stress testing and integration with dependent processes need strengthening.</t>
        </is>
      </c>
      <c r="L72" s="13" t="inlineStr">
        <is>
          <t>Residual risk: workforce inventory by role, location, manager, contract type, employment entity, skill and criticality is measured and reviewed, but monitoring, automation or scenario testing should be improved to prevent maturity drift.</t>
        </is>
      </c>
      <c r="M72" s="13" t="inlineStr">
        <is>
          <t>Low residual risk: workforce inventory by role, location, manager, contract type, employment entity, skill and criticality is mature and crisis-tested. Maintain monitoring, evidence, ownership and periodic stress testing.</t>
        </is>
      </c>
      <c r="N72" s="13" t="inlineStr">
        <is>
          <t>Create an immediate risk owner, minimum control baseline and fallback procedure for workforce inventory by role, location, manager, contract type, employment entity, skill and criticality. Add it to the crisis risk register and collect first evidence.</t>
        </is>
      </c>
      <c r="O72" s="13" t="inlineStr">
        <is>
          <t>Document workforce inventory by role, location, manager, contract type, employment entity, skill and criticality, assign RACI, define minimum controls and KPIs, and validate coverage across key sites, teams or systems.</t>
        </is>
      </c>
      <c r="P72" s="13" t="inlineStr">
        <is>
          <t>Standardize workforce inventory by role, location, manager, contract type, employment entity, skill and criticality, close coverage gaps, train accountable roles and connect controls to the relevant crisis scenarios and continuity plans.</t>
        </is>
      </c>
      <c r="Q72" s="13" t="inlineStr">
        <is>
          <t>Measure and test workforce inventory by role, location, manager, contract type, employment entity, skill and criticality, run tabletop or operational stress tests, integrate it with dependent processes and update crisis playbooks.</t>
        </is>
      </c>
      <c r="R72" s="13" t="inlineStr">
        <is>
          <t>Automate monitoring where practical, define leading indicators, run periodic scenario tests and track residual risk after each major change.</t>
        </is>
      </c>
      <c r="S72" s="13" t="inlineStr">
        <is>
          <t>Sustain maturity for workforce inventory by role, location, manager, contract type, employment entity, skill and criticality: keep evidence current, monitor drift, benchmark externally and refresh risk tests after organizational, system or market changes.</t>
        </is>
      </c>
      <c r="T72" s="13" t="n">
        <v>3</v>
      </c>
      <c r="U72" s="13" t="n">
        <v>3</v>
      </c>
      <c r="V72" s="13" t="n">
        <v>2</v>
      </c>
      <c r="W72" s="13" t="n">
        <v>2</v>
      </c>
      <c r="X72" s="13" t="n">
        <v>1</v>
      </c>
      <c r="Y72" s="13" t="n">
        <v>1</v>
      </c>
      <c r="Z72" s="13" t="inlineStr">
        <is>
          <t>ISO 30414; ISO 30405; ISO 45001; ISO 22301; CIPD; SHRM</t>
        </is>
      </c>
      <c r="AA72" s="13" t="inlineStr">
        <is>
          <t>Policy/SOP; owner/RACI; system report; dashboard; contracts; test records; incident history; interview evidence related to workforce inventory by role, location, manager, contract type, employment entity, skill and criticality.</t>
        </is>
      </c>
      <c r="AB72" s="13" t="inlineStr">
        <is>
          <t>Workforce disruption; Pandemic/health crisis; War/security crisis</t>
        </is>
      </c>
      <c r="AC72" s="13" t="inlineStr">
        <is>
          <t>CHRO / HR</t>
        </is>
      </c>
      <c r="AD72" s="13" t="inlineStr">
        <is>
          <t>HR Workforce!5</t>
        </is>
      </c>
      <c r="AE72">
        <f>IF($A72="","",IF(OR(ISNUMBER(SEARCH("cyber",$D72)),ISNUMBER(SEARCH("security",$D72)),ISNUMBER(SEARCH("safety",$D72)),ISNUMBER(SEARCH("liquidity",$D72)),ISNUMBER(SEARCH("cash",$D72)),ISNUMBER(SEARCH("continuity",$D72)),ISNUMBER(SEARCH("infrastructure",$D72)),ISNUMBER(SEARCH("outage",$D72))),"Fast",IF(OR(ISNUMBER(SEARCH("compliance",$D72)),ISNUMBER(SEARCH("regulat",$D72)),ISNUMBER(SEARCH("data",$D72)),ISNUMBER(SEARCH("talent",$D72)),ISNUMBER(SEARCH("knowledge",$D72)),ISNUMBER(SEARCH("portfolio",$D72)),ISNUMBER(SEARCH("quality",$D72))),"Slow","Medium")))</f>
        <v/>
      </c>
      <c r="AF72">
        <f>IF($A72="","",IFERROR(VLOOKUP($B72,'_CONFIG_Risk_Calibration'!$A$5:$H$21,2,FALSE),3))</f>
        <v/>
      </c>
      <c r="AG72">
        <f>IF($A72="","",IFERROR(VLOOKUP($B72,'_CONFIG_Risk_Calibration'!$A$5:$H$21,3,FALSE),0))</f>
        <v/>
      </c>
      <c r="AH72">
        <f>IF($A72="","",IFERROR(VLOOKUP($B72,'_CONFIG_Risk_Calibration'!$A$5:$H$21,4,FALSE),3))</f>
        <v/>
      </c>
      <c r="AI72">
        <f>IF($A72="","",IFERROR(VLOOKUP($B72,'_CONFIG_Risk_Calibration'!$A$5:$H$21,5,FALSE),3))</f>
        <v/>
      </c>
      <c r="AJ72">
        <f>IF($A72="","",IFERROR(VLOOKUP($B72,'_CONFIG_Risk_Calibration'!$A$5:$H$21,6,FALSE),"No"))</f>
        <v/>
      </c>
      <c r="AK72">
        <f>IF($A72="","",IFERROR(VLOOKUP($B72,'_CONFIG_Risk_Calibration'!$A$5:$H$21,7,FALSE),1))</f>
        <v/>
      </c>
      <c r="AL72">
        <f>IF($A72="","",IFERROR(VLOOKUP($B72,'_CONFIG_Risk_Calibration'!$A$5:$H$21,8,FALSE),""))</f>
        <v/>
      </c>
    </row>
    <row r="73" ht="84" customHeight="1" s="209">
      <c r="A73" s="13" t="inlineStr">
        <is>
          <t>HRWO-002</t>
        </is>
      </c>
      <c r="B73" s="13" t="inlineStr">
        <is>
          <t>HR Workforce</t>
        </is>
      </c>
      <c r="C73" s="13" t="inlineStr">
        <is>
          <t>Workforce visibility</t>
        </is>
      </c>
      <c r="D73" s="13" t="inlineStr">
        <is>
          <t>People, critical roles and knowledge continuity</t>
        </is>
      </c>
      <c r="E73" s="13" t="inlineStr">
        <is>
          <t>How mature is the organization in managing critical role mapping by process dependency, customer impact, system access and knowledge concentration, including ownership, evidence, metrics, fallback procedures and crisis stress testing?</t>
        </is>
      </c>
      <c r="F73" s="13" t="inlineStr">
        <is>
          <t>Immature capability for critical role mapping by process dependency, customer impact, system access and knowledge concentration may lead to loss of critical knowledge, reduced productivity, unmanaged absenteeism and inability to keep essential work running during Workforce disruption; Pandemic/health crisis; War/security crisis.</t>
        </is>
      </c>
      <c r="G73" s="13" t="inlineStr">
        <is>
          <t>Low maturity, weak ownership, incomplete evidence, insufficient testing and poor integration with crisis-management routines for critical role mapping by process dependency, customer impact, system access and knowledge concentration.</t>
        </is>
      </c>
      <c r="H73" s="13" t="inlineStr">
        <is>
          <t>Severe risk: critical role mapping by process dependency, customer impact, system access and knowledge concentration is not reliably controlled. During Workforce disruption; Pandemic/health crisis; War/security crisis, the organization may face loss of critical knowledge, reduced productivity, unmanaged absenteeism and inability to keep essential work running with limited visibility or accountability.</t>
        </is>
      </c>
      <c r="I73" s="13" t="inlineStr">
        <is>
          <t>High risk: critical role mapping by process dependency, customer impact, system access and knowledge concentration depends on informal practices or individual knowledge. Disruption may expose loss of critical knowledge, reduced productivity, unmanaged absenteeism and inability to keep essential work running and slow recovery.</t>
        </is>
      </c>
      <c r="J73" s="13" t="inlineStr">
        <is>
          <t>Elevated risk: critical role mapping by process dependency, customer impact, system access and knowledge concentration is partially controlled, but coverage, evidence or testing is inconsistent. Crisis response may be fragmented.</t>
        </is>
      </c>
      <c r="K73" s="13" t="inlineStr">
        <is>
          <t>Moderate risk: critical role mapping by process dependency, customer impact, system access and knowledge concentration is documented and owned, but measurement, stress testing and integration with dependent processes need strengthening.</t>
        </is>
      </c>
      <c r="L73" s="13" t="inlineStr">
        <is>
          <t>Residual risk: critical role mapping by process dependency, customer impact, system access and knowledge concentration is measured and reviewed, but monitoring, automation or scenario testing should be improved to prevent maturity drift.</t>
        </is>
      </c>
      <c r="M73" s="13" t="inlineStr">
        <is>
          <t>Low residual risk: critical role mapping by process dependency, customer impact, system access and knowledge concentration is mature and crisis-tested. Maintain monitoring, evidence, ownership and periodic stress testing.</t>
        </is>
      </c>
      <c r="N73" s="13" t="inlineStr">
        <is>
          <t>Create an immediate risk owner, minimum control baseline and fallback procedure for critical role mapping by process dependency, customer impact, system access and knowledge concentration. Add it to the crisis risk register and collect first evidence.</t>
        </is>
      </c>
      <c r="O73" s="13" t="inlineStr">
        <is>
          <t>Document critical role mapping by process dependency, customer impact, system access and knowledge concentration, assign RACI, define minimum controls and KPIs, and validate coverage across key sites, teams or systems.</t>
        </is>
      </c>
      <c r="P73" s="13" t="inlineStr">
        <is>
          <t>Standardize critical role mapping by process dependency, customer impact, system access and knowledge concentration, close coverage gaps, train accountable roles and connect controls to the relevant crisis scenarios and continuity plans.</t>
        </is>
      </c>
      <c r="Q73" s="13" t="inlineStr">
        <is>
          <t>Measure and test critical role mapping by process dependency, customer impact, system access and knowledge concentration, run tabletop or operational stress tests, integrate it with dependent processes and update crisis playbooks.</t>
        </is>
      </c>
      <c r="R73" s="13" t="inlineStr">
        <is>
          <t>Automate monitoring where practical, define leading indicators, run periodic scenario tests and track residual risk after each major change.</t>
        </is>
      </c>
      <c r="S73" s="13" t="inlineStr">
        <is>
          <t>Sustain maturity for critical role mapping by process dependency, customer impact, system access and knowledge concentration: keep evidence current, monitor drift, benchmark externally and refresh risk tests after organizational, system or market changes.</t>
        </is>
      </c>
      <c r="T73" s="13" t="n">
        <v>3</v>
      </c>
      <c r="U73" s="13" t="n">
        <v>3</v>
      </c>
      <c r="V73" s="13" t="n">
        <v>2</v>
      </c>
      <c r="W73" s="13" t="n">
        <v>2</v>
      </c>
      <c r="X73" s="13" t="n">
        <v>1</v>
      </c>
      <c r="Y73" s="13" t="n">
        <v>1</v>
      </c>
      <c r="Z73" s="13" t="inlineStr">
        <is>
          <t>ISO 30414; ISO 30405; ISO 45001; ISO 22301; CIPD; SHRM</t>
        </is>
      </c>
      <c r="AA73" s="13" t="inlineStr">
        <is>
          <t>Policy/SOP; owner/RACI; system report; dashboard; contracts; test records; incident history; interview evidence related to critical role mapping by process dependency, customer impact, system access and knowledge concentration.</t>
        </is>
      </c>
      <c r="AB73" s="13" t="inlineStr">
        <is>
          <t>Workforce disruption; Pandemic/health crisis; War/security crisis</t>
        </is>
      </c>
      <c r="AC73" s="13" t="inlineStr">
        <is>
          <t>CHRO / HR</t>
        </is>
      </c>
      <c r="AD73" s="13" t="inlineStr">
        <is>
          <t>HR Workforce!6</t>
        </is>
      </c>
      <c r="AE73">
        <f>IF($A73="","",IF(OR(ISNUMBER(SEARCH("cyber",$D73)),ISNUMBER(SEARCH("security",$D73)),ISNUMBER(SEARCH("safety",$D73)),ISNUMBER(SEARCH("liquidity",$D73)),ISNUMBER(SEARCH("cash",$D73)),ISNUMBER(SEARCH("continuity",$D73)),ISNUMBER(SEARCH("infrastructure",$D73)),ISNUMBER(SEARCH("outage",$D73))),"Fast",IF(OR(ISNUMBER(SEARCH("compliance",$D73)),ISNUMBER(SEARCH("regulat",$D73)),ISNUMBER(SEARCH("data",$D73)),ISNUMBER(SEARCH("talent",$D73)),ISNUMBER(SEARCH("knowledge",$D73)),ISNUMBER(SEARCH("portfolio",$D73)),ISNUMBER(SEARCH("quality",$D73))),"Slow","Medium")))</f>
        <v/>
      </c>
      <c r="AF73">
        <f>IF($A73="","",IFERROR(VLOOKUP($B73,'_CONFIG_Risk_Calibration'!$A$5:$H$21,2,FALSE),3))</f>
        <v/>
      </c>
      <c r="AG73">
        <f>IF($A73="","",IFERROR(VLOOKUP($B73,'_CONFIG_Risk_Calibration'!$A$5:$H$21,3,FALSE),0))</f>
        <v/>
      </c>
      <c r="AH73">
        <f>IF($A73="","",IFERROR(VLOOKUP($B73,'_CONFIG_Risk_Calibration'!$A$5:$H$21,4,FALSE),3))</f>
        <v/>
      </c>
      <c r="AI73">
        <f>IF($A73="","",IFERROR(VLOOKUP($B73,'_CONFIG_Risk_Calibration'!$A$5:$H$21,5,FALSE),3))</f>
        <v/>
      </c>
      <c r="AJ73">
        <f>IF($A73="","",IFERROR(VLOOKUP($B73,'_CONFIG_Risk_Calibration'!$A$5:$H$21,6,FALSE),"No"))</f>
        <v/>
      </c>
      <c r="AK73">
        <f>IF($A73="","",IFERROR(VLOOKUP($B73,'_CONFIG_Risk_Calibration'!$A$5:$H$21,7,FALSE),1))</f>
        <v/>
      </c>
      <c r="AL73">
        <f>IF($A73="","",IFERROR(VLOOKUP($B73,'_CONFIG_Risk_Calibration'!$A$5:$H$21,8,FALSE),""))</f>
        <v/>
      </c>
    </row>
    <row r="74" ht="84" customHeight="1" s="209">
      <c r="A74" s="13" t="inlineStr">
        <is>
          <t>HRWO-003</t>
        </is>
      </c>
      <c r="B74" s="13" t="inlineStr">
        <is>
          <t>HR Workforce</t>
        </is>
      </c>
      <c r="C74" s="13" t="inlineStr">
        <is>
          <t>Workforce visibility</t>
        </is>
      </c>
      <c r="D74" s="13" t="inlineStr">
        <is>
          <t>People, critical roles and knowledge continuity</t>
        </is>
      </c>
      <c r="E74" s="13" t="inlineStr">
        <is>
          <t>How mature is the organization in managing key-person risk for executives, founders, architects, plant specialists, client owners and finance signatories, including ownership, evidence, metrics, fallback procedures and crisis stress testing?</t>
        </is>
      </c>
      <c r="F74" s="13" t="inlineStr">
        <is>
          <t>Immature capability for key-person risk for executives, founders, architects, plant specialists, client owners and finance signatories may lead to loss of critical knowledge, reduced productivity, unmanaged absenteeism and inability to keep essential work running during Workforce disruption; Pandemic/health crisis; War/security crisis.</t>
        </is>
      </c>
      <c r="G74" s="13" t="inlineStr">
        <is>
          <t>Low maturity, weak ownership, incomplete evidence, insufficient testing and poor integration with crisis-management routines for key-person risk for executives, founders, architects, plant specialists, client owners and finance signatories.</t>
        </is>
      </c>
      <c r="H74" s="13" t="inlineStr">
        <is>
          <t>Severe risk: key-person risk for executives, founders, architects, plant specialists, client owners and finance signatories is not reliably controlled. During Workforce disruption; Pandemic/health crisis; War/security crisis, the organization may face loss of critical knowledge, reduced productivity, unmanaged absenteeism and inability to keep essential work running with limited visibility or accountability.</t>
        </is>
      </c>
      <c r="I74" s="13" t="inlineStr">
        <is>
          <t>High risk: key-person risk for executives, founders, architects, plant specialists, client owners and finance signatories depends on informal practices or individual knowledge. Disruption may expose loss of critical knowledge, reduced productivity, unmanaged absenteeism and inability to keep essential work running and slow recovery.</t>
        </is>
      </c>
      <c r="J74" s="13" t="inlineStr">
        <is>
          <t>Elevated risk: key-person risk for executives, founders, architects, plant specialists, client owners and finance signatories is partially controlled, but coverage, evidence or testing is inconsistent. Crisis response may be fragmented.</t>
        </is>
      </c>
      <c r="K74" s="13" t="inlineStr">
        <is>
          <t>Moderate risk: key-person risk for executives, founders, architects, plant specialists, client owners and finance signatories is documented and owned, but measurement, stress testing and integration with dependent processes need strengthening.</t>
        </is>
      </c>
      <c r="L74" s="13" t="inlineStr">
        <is>
          <t>Residual risk: key-person risk for executives, founders, architects, plant specialists, client owners and finance signatories is measured and reviewed, but monitoring, automation or scenario testing should be improved to prevent maturity drift.</t>
        </is>
      </c>
      <c r="M74" s="13" t="inlineStr">
        <is>
          <t>Low residual risk: key-person risk for executives, founders, architects, plant specialists, client owners and finance signatories is mature and crisis-tested. Maintain monitoring, evidence, ownership and periodic stress testing.</t>
        </is>
      </c>
      <c r="N74" s="13" t="inlineStr">
        <is>
          <t>Create an immediate risk owner, minimum control baseline and fallback procedure for key-person risk for executives, founders, architects, plant specialists, client owners and finance signatories. Add it to the crisis risk register and collect first evidence.</t>
        </is>
      </c>
      <c r="O74" s="13" t="inlineStr">
        <is>
          <t>Document key-person risk for executives, founders, architects, plant specialists, client owners and finance signatories, assign RACI, define minimum controls and KPIs, and validate coverage across key sites, teams or systems.</t>
        </is>
      </c>
      <c r="P74" s="13" t="inlineStr">
        <is>
          <t>Standardize key-person risk for executives, founders, architects, plant specialists, client owners and finance signatories, close coverage gaps, train accountable roles and connect controls to the relevant crisis scenarios and continuity plans.</t>
        </is>
      </c>
      <c r="Q74" s="13" t="inlineStr">
        <is>
          <t>Measure and test key-person risk for executives, founders, architects, plant specialists, client owners and finance signatories, run tabletop or operational stress tests, integrate it with dependent processes and update crisis playbooks.</t>
        </is>
      </c>
      <c r="R74" s="13" t="inlineStr">
        <is>
          <t>Automate monitoring where practical, define leading indicators, run periodic scenario tests and track residual risk after each major change.</t>
        </is>
      </c>
      <c r="S74" s="13" t="inlineStr">
        <is>
          <t>Sustain maturity for key-person risk for executives, founders, architects, plant specialists, client owners and finance signatories: keep evidence current, monitor drift, benchmark externally and refresh risk tests after organizational, system or market changes.</t>
        </is>
      </c>
      <c r="T74" s="13" t="n">
        <v>3</v>
      </c>
      <c r="U74" s="13" t="n">
        <v>3</v>
      </c>
      <c r="V74" s="13" t="n">
        <v>2</v>
      </c>
      <c r="W74" s="13" t="n">
        <v>2</v>
      </c>
      <c r="X74" s="13" t="n">
        <v>1</v>
      </c>
      <c r="Y74" s="13" t="n">
        <v>1</v>
      </c>
      <c r="Z74" s="13" t="inlineStr">
        <is>
          <t>ISO 30414; ISO 30405; ISO 45001; ISO 22301; CIPD; SHRM</t>
        </is>
      </c>
      <c r="AA74" s="13" t="inlineStr">
        <is>
          <t>Policy/SOP; owner/RACI; system report; dashboard; contracts; test records; incident history; interview evidence related to key-person risk for executives, founders, architects, plant specialists, client owners and finance signatories.</t>
        </is>
      </c>
      <c r="AB74" s="13" t="inlineStr">
        <is>
          <t>Workforce disruption; Pandemic/health crisis; War/security crisis</t>
        </is>
      </c>
      <c r="AC74" s="13" t="inlineStr">
        <is>
          <t>CHRO / HR</t>
        </is>
      </c>
      <c r="AD74" s="13" t="inlineStr">
        <is>
          <t>HR Workforce!7</t>
        </is>
      </c>
      <c r="AE74">
        <f>IF($A74="","",IF(OR(ISNUMBER(SEARCH("cyber",$D74)),ISNUMBER(SEARCH("security",$D74)),ISNUMBER(SEARCH("safety",$D74)),ISNUMBER(SEARCH("liquidity",$D74)),ISNUMBER(SEARCH("cash",$D74)),ISNUMBER(SEARCH("continuity",$D74)),ISNUMBER(SEARCH("infrastructure",$D74)),ISNUMBER(SEARCH("outage",$D74))),"Fast",IF(OR(ISNUMBER(SEARCH("compliance",$D74)),ISNUMBER(SEARCH("regulat",$D74)),ISNUMBER(SEARCH("data",$D74)),ISNUMBER(SEARCH("talent",$D74)),ISNUMBER(SEARCH("knowledge",$D74)),ISNUMBER(SEARCH("portfolio",$D74)),ISNUMBER(SEARCH("quality",$D74))),"Slow","Medium")))</f>
        <v/>
      </c>
      <c r="AF74">
        <f>IF($A74="","",IFERROR(VLOOKUP($B74,'_CONFIG_Risk_Calibration'!$A$5:$H$21,2,FALSE),3))</f>
        <v/>
      </c>
      <c r="AG74">
        <f>IF($A74="","",IFERROR(VLOOKUP($B74,'_CONFIG_Risk_Calibration'!$A$5:$H$21,3,FALSE),0))</f>
        <v/>
      </c>
      <c r="AH74">
        <f>IF($A74="","",IFERROR(VLOOKUP($B74,'_CONFIG_Risk_Calibration'!$A$5:$H$21,4,FALSE),3))</f>
        <v/>
      </c>
      <c r="AI74">
        <f>IF($A74="","",IFERROR(VLOOKUP($B74,'_CONFIG_Risk_Calibration'!$A$5:$H$21,5,FALSE),3))</f>
        <v/>
      </c>
      <c r="AJ74">
        <f>IF($A74="","",IFERROR(VLOOKUP($B74,'_CONFIG_Risk_Calibration'!$A$5:$H$21,6,FALSE),"No"))</f>
        <v/>
      </c>
      <c r="AK74">
        <f>IF($A74="","",IFERROR(VLOOKUP($B74,'_CONFIG_Risk_Calibration'!$A$5:$H$21,7,FALSE),1))</f>
        <v/>
      </c>
      <c r="AL74">
        <f>IF($A74="","",IFERROR(VLOOKUP($B74,'_CONFIG_Risk_Calibration'!$A$5:$H$21,8,FALSE),""))</f>
        <v/>
      </c>
    </row>
    <row r="75" ht="84" customHeight="1" s="209">
      <c r="A75" s="13" t="inlineStr">
        <is>
          <t>HRWO-004</t>
        </is>
      </c>
      <c r="B75" s="13" t="inlineStr">
        <is>
          <t>HR Workforce</t>
        </is>
      </c>
      <c r="C75" s="13" t="inlineStr">
        <is>
          <t>Workforce visibility</t>
        </is>
      </c>
      <c r="D75" s="13" t="inlineStr">
        <is>
          <t>People, critical roles and knowledge continuity</t>
        </is>
      </c>
      <c r="E75" s="13" t="inlineStr">
        <is>
          <t>How mature is the organization in managing skills matrix linked to critical processes, systems, products, sites and backup coverage, including ownership, evidence, metrics, fallback procedures and crisis stress testing?</t>
        </is>
      </c>
      <c r="F75" s="13" t="inlineStr">
        <is>
          <t>Immature capability for skills matrix linked to critical processes, systems, products, sites and backup coverage may lead to loss of critical knowledge, reduced productivity, unmanaged absenteeism and inability to keep essential work running during Workforce disruption; Pandemic/health crisis; War/security crisis.</t>
        </is>
      </c>
      <c r="G75" s="13" t="inlineStr">
        <is>
          <t>Low maturity, weak ownership, incomplete evidence, insufficient testing and poor integration with crisis-management routines for skills matrix linked to critical processes, systems, products, sites and backup coverage.</t>
        </is>
      </c>
      <c r="H75" s="13" t="inlineStr">
        <is>
          <t>Severe risk: skills matrix linked to critical processes, systems, products, sites and backup coverage is not reliably controlled. During Workforce disruption; Pandemic/health crisis; War/security crisis, the organization may face loss of critical knowledge, reduced productivity, unmanaged absenteeism and inability to keep essential work running with limited visibility or accountability.</t>
        </is>
      </c>
      <c r="I75" s="13" t="inlineStr">
        <is>
          <t>High risk: skills matrix linked to critical processes, systems, products, sites and backup coverage depends on informal practices or individual knowledge. Disruption may expose loss of critical knowledge, reduced productivity, unmanaged absenteeism and inability to keep essential work running and slow recovery.</t>
        </is>
      </c>
      <c r="J75" s="13" t="inlineStr">
        <is>
          <t>Elevated risk: skills matrix linked to critical processes, systems, products, sites and backup coverage is partially controlled, but coverage, evidence or testing is inconsistent. Crisis response may be fragmented.</t>
        </is>
      </c>
      <c r="K75" s="13" t="inlineStr">
        <is>
          <t>Moderate risk: skills matrix linked to critical processes, systems, products, sites and backup coverage is documented and owned, but measurement, stress testing and integration with dependent processes need strengthening.</t>
        </is>
      </c>
      <c r="L75" s="13" t="inlineStr">
        <is>
          <t>Residual risk: skills matrix linked to critical processes, systems, products, sites and backup coverage is measured and reviewed, but monitoring, automation or scenario testing should be improved to prevent maturity drift.</t>
        </is>
      </c>
      <c r="M75" s="13" t="inlineStr">
        <is>
          <t>Low residual risk: skills matrix linked to critical processes, systems, products, sites and backup coverage is mature and crisis-tested. Maintain monitoring, evidence, ownership and periodic stress testing.</t>
        </is>
      </c>
      <c r="N75" s="13" t="inlineStr">
        <is>
          <t>Create an immediate risk owner, minimum control baseline and fallback procedure for skills matrix linked to critical processes, systems, products, sites and backup coverage. Add it to the crisis risk register and collect first evidence.</t>
        </is>
      </c>
      <c r="O75" s="13" t="inlineStr">
        <is>
          <t>Document skills matrix linked to critical processes, systems, products, sites and backup coverage, assign RACI, define minimum controls and KPIs, and validate coverage across key sites, teams or systems.</t>
        </is>
      </c>
      <c r="P75" s="13" t="inlineStr">
        <is>
          <t>Standardize skills matrix linked to critical processes, systems, products, sites and backup coverage, close coverage gaps, train accountable roles and connect controls to the relevant crisis scenarios and continuity plans.</t>
        </is>
      </c>
      <c r="Q75" s="13" t="inlineStr">
        <is>
          <t>Measure and test skills matrix linked to critical processes, systems, products, sites and backup coverage, run tabletop or operational stress tests, integrate it with dependent processes and update crisis playbooks.</t>
        </is>
      </c>
      <c r="R75" s="13" t="inlineStr">
        <is>
          <t>Automate monitoring where practical, define leading indicators, run periodic scenario tests and track residual risk after each major change.</t>
        </is>
      </c>
      <c r="S75" s="13" t="inlineStr">
        <is>
          <t>Sustain maturity for skills matrix linked to critical processes, systems, products, sites and backup coverage: keep evidence current, monitor drift, benchmark externally and refresh risk tests after organizational, system or market changes.</t>
        </is>
      </c>
      <c r="T75" s="13" t="n">
        <v>3</v>
      </c>
      <c r="U75" s="13" t="n">
        <v>3</v>
      </c>
      <c r="V75" s="13" t="n">
        <v>2</v>
      </c>
      <c r="W75" s="13" t="n">
        <v>2</v>
      </c>
      <c r="X75" s="13" t="n">
        <v>1</v>
      </c>
      <c r="Y75" s="13" t="n">
        <v>1</v>
      </c>
      <c r="Z75" s="13" t="inlineStr">
        <is>
          <t>ISO 30414; ISO 30405; ISO 45001; ISO 22301; CIPD; SHRM</t>
        </is>
      </c>
      <c r="AA75" s="13" t="inlineStr">
        <is>
          <t>Policy/SOP; owner/RACI; system report; dashboard; contracts; test records; incident history; interview evidence related to skills matrix linked to critical processes, systems, products, sites and backup coverage.</t>
        </is>
      </c>
      <c r="AB75" s="13" t="inlineStr">
        <is>
          <t>Workforce disruption; Pandemic/health crisis; War/security crisis</t>
        </is>
      </c>
      <c r="AC75" s="13" t="inlineStr">
        <is>
          <t>CHRO / HR</t>
        </is>
      </c>
      <c r="AD75" s="13" t="inlineStr">
        <is>
          <t>HR Workforce!8</t>
        </is>
      </c>
      <c r="AE75">
        <f>IF($A75="","",IF(OR(ISNUMBER(SEARCH("cyber",$D75)),ISNUMBER(SEARCH("security",$D75)),ISNUMBER(SEARCH("safety",$D75)),ISNUMBER(SEARCH("liquidity",$D75)),ISNUMBER(SEARCH("cash",$D75)),ISNUMBER(SEARCH("continuity",$D75)),ISNUMBER(SEARCH("infrastructure",$D75)),ISNUMBER(SEARCH("outage",$D75))),"Fast",IF(OR(ISNUMBER(SEARCH("compliance",$D75)),ISNUMBER(SEARCH("regulat",$D75)),ISNUMBER(SEARCH("data",$D75)),ISNUMBER(SEARCH("talent",$D75)),ISNUMBER(SEARCH("knowledge",$D75)),ISNUMBER(SEARCH("portfolio",$D75)),ISNUMBER(SEARCH("quality",$D75))),"Slow","Medium")))</f>
        <v/>
      </c>
      <c r="AF75">
        <f>IF($A75="","",IFERROR(VLOOKUP($B75,'_CONFIG_Risk_Calibration'!$A$5:$H$21,2,FALSE),3))</f>
        <v/>
      </c>
      <c r="AG75">
        <f>IF($A75="","",IFERROR(VLOOKUP($B75,'_CONFIG_Risk_Calibration'!$A$5:$H$21,3,FALSE),0))</f>
        <v/>
      </c>
      <c r="AH75">
        <f>IF($A75="","",IFERROR(VLOOKUP($B75,'_CONFIG_Risk_Calibration'!$A$5:$H$21,4,FALSE),3))</f>
        <v/>
      </c>
      <c r="AI75">
        <f>IF($A75="","",IFERROR(VLOOKUP($B75,'_CONFIG_Risk_Calibration'!$A$5:$H$21,5,FALSE),3))</f>
        <v/>
      </c>
      <c r="AJ75">
        <f>IF($A75="","",IFERROR(VLOOKUP($B75,'_CONFIG_Risk_Calibration'!$A$5:$H$21,6,FALSE),"No"))</f>
        <v/>
      </c>
      <c r="AK75">
        <f>IF($A75="","",IFERROR(VLOOKUP($B75,'_CONFIG_Risk_Calibration'!$A$5:$H$21,7,FALSE),1))</f>
        <v/>
      </c>
      <c r="AL75">
        <f>IF($A75="","",IFERROR(VLOOKUP($B75,'_CONFIG_Risk_Calibration'!$A$5:$H$21,8,FALSE),""))</f>
        <v/>
      </c>
    </row>
    <row r="76" ht="84" customHeight="1" s="209">
      <c r="A76" s="13" t="inlineStr">
        <is>
          <t>HRWO-005</t>
        </is>
      </c>
      <c r="B76" s="13" t="inlineStr">
        <is>
          <t>HR Workforce</t>
        </is>
      </c>
      <c r="C76" s="13" t="inlineStr">
        <is>
          <t>Workforce visibility</t>
        </is>
      </c>
      <c r="D76" s="13" t="inlineStr">
        <is>
          <t>People, critical roles and knowledge continuity</t>
        </is>
      </c>
      <c r="E76" s="13" t="inlineStr">
        <is>
          <t>How mature is the organization in managing minimum staffing levels for critical functions, shifts, production lines and customer support, including ownership, evidence, metrics, fallback procedures and crisis stress testing?</t>
        </is>
      </c>
      <c r="F76" s="13" t="inlineStr">
        <is>
          <t>Immature capability for minimum staffing levels for critical functions, shifts, production lines and customer support may lead to loss of critical knowledge, reduced productivity, unmanaged absenteeism and inability to keep essential work running during Workforce disruption; Pandemic/health crisis; War/security crisis.</t>
        </is>
      </c>
      <c r="G76" s="13" t="inlineStr">
        <is>
          <t>Low maturity, weak ownership, incomplete evidence, insufficient testing and poor integration with crisis-management routines for minimum staffing levels for critical functions, shifts, production lines and customer support.</t>
        </is>
      </c>
      <c r="H76" s="13" t="inlineStr">
        <is>
          <t>Severe risk: minimum staffing levels for critical functions, shifts, production lines and customer support is not reliably controlled. During Workforce disruption; Pandemic/health crisis; War/security crisis, the organization may face loss of critical knowledge, reduced productivity, unmanaged absenteeism and inability to keep essential work running with limited visibility or accountability.</t>
        </is>
      </c>
      <c r="I76" s="13" t="inlineStr">
        <is>
          <t>High risk: minimum staffing levels for critical functions, shifts, production lines and customer support depends on informal practices or individual knowledge. Disruption may expose loss of critical knowledge, reduced productivity, unmanaged absenteeism and inability to keep essential work running and slow recovery.</t>
        </is>
      </c>
      <c r="J76" s="13" t="inlineStr">
        <is>
          <t>Elevated risk: minimum staffing levels for critical functions, shifts, production lines and customer support is partially controlled, but coverage, evidence or testing is inconsistent. Crisis response may be fragmented.</t>
        </is>
      </c>
      <c r="K76" s="13" t="inlineStr">
        <is>
          <t>Moderate risk: minimum staffing levels for critical functions, shifts, production lines and customer support is documented and owned, but measurement, stress testing and integration with dependent processes need strengthening.</t>
        </is>
      </c>
      <c r="L76" s="13" t="inlineStr">
        <is>
          <t>Residual risk: minimum staffing levels for critical functions, shifts, production lines and customer support is measured and reviewed, but monitoring, automation or scenario testing should be improved to prevent maturity drift.</t>
        </is>
      </c>
      <c r="M76" s="13" t="inlineStr">
        <is>
          <t>Low residual risk: minimum staffing levels for critical functions, shifts, production lines and customer support is mature and crisis-tested. Maintain monitoring, evidence, ownership and periodic stress testing.</t>
        </is>
      </c>
      <c r="N76" s="13" t="inlineStr">
        <is>
          <t>Create an immediate risk owner, minimum control baseline and fallback procedure for minimum staffing levels for critical functions, shifts, production lines and customer support. Add it to the crisis risk register and collect first evidence.</t>
        </is>
      </c>
      <c r="O76" s="13" t="inlineStr">
        <is>
          <t>Document minimum staffing levels for critical functions, shifts, production lines and customer support, assign RACI, define minimum controls and KPIs, and validate coverage across key sites, teams or systems.</t>
        </is>
      </c>
      <c r="P76" s="13" t="inlineStr">
        <is>
          <t>Standardize minimum staffing levels for critical functions, shifts, production lines and customer support, close coverage gaps, train accountable roles and connect controls to the relevant crisis scenarios and continuity plans.</t>
        </is>
      </c>
      <c r="Q76" s="13" t="inlineStr">
        <is>
          <t>Measure and test minimum staffing levels for critical functions, shifts, production lines and customer support, run tabletop or operational stress tests, integrate it with dependent processes and update crisis playbooks.</t>
        </is>
      </c>
      <c r="R76" s="13" t="inlineStr">
        <is>
          <t>Automate monitoring where practical, define leading indicators, run periodic scenario tests and track residual risk after each major change.</t>
        </is>
      </c>
      <c r="S76" s="13" t="inlineStr">
        <is>
          <t>Sustain maturity for minimum staffing levels for critical functions, shifts, production lines and customer support: keep evidence current, monitor drift, benchmark externally and refresh risk tests after organizational, system or market changes.</t>
        </is>
      </c>
      <c r="T76" s="13" t="n">
        <v>3</v>
      </c>
      <c r="U76" s="13" t="n">
        <v>3</v>
      </c>
      <c r="V76" s="13" t="n">
        <v>2</v>
      </c>
      <c r="W76" s="13" t="n">
        <v>2</v>
      </c>
      <c r="X76" s="13" t="n">
        <v>1</v>
      </c>
      <c r="Y76" s="13" t="n">
        <v>1</v>
      </c>
      <c r="Z76" s="13" t="inlineStr">
        <is>
          <t>ISO 30414; ISO 30405; ISO 45001; ISO 22301; CIPD; SHRM</t>
        </is>
      </c>
      <c r="AA76" s="13" t="inlineStr">
        <is>
          <t>Policy/SOP; owner/RACI; system report; dashboard; contracts; test records; incident history; interview evidence related to minimum staffing levels for critical functions, shifts, production lines and customer support.</t>
        </is>
      </c>
      <c r="AB76" s="13" t="inlineStr">
        <is>
          <t>Workforce disruption; Pandemic/health crisis; War/security crisis</t>
        </is>
      </c>
      <c r="AC76" s="13" t="inlineStr">
        <is>
          <t>CHRO / HR</t>
        </is>
      </c>
      <c r="AD76" s="13" t="inlineStr">
        <is>
          <t>HR Workforce!9</t>
        </is>
      </c>
      <c r="AE76">
        <f>IF($A76="","",IF(OR(ISNUMBER(SEARCH("cyber",$D76)),ISNUMBER(SEARCH("security",$D76)),ISNUMBER(SEARCH("safety",$D76)),ISNUMBER(SEARCH("liquidity",$D76)),ISNUMBER(SEARCH("cash",$D76)),ISNUMBER(SEARCH("continuity",$D76)),ISNUMBER(SEARCH("infrastructure",$D76)),ISNUMBER(SEARCH("outage",$D76))),"Fast",IF(OR(ISNUMBER(SEARCH("compliance",$D76)),ISNUMBER(SEARCH("regulat",$D76)),ISNUMBER(SEARCH("data",$D76)),ISNUMBER(SEARCH("talent",$D76)),ISNUMBER(SEARCH("knowledge",$D76)),ISNUMBER(SEARCH("portfolio",$D76)),ISNUMBER(SEARCH("quality",$D76))),"Slow","Medium")))</f>
        <v/>
      </c>
      <c r="AF76">
        <f>IF($A76="","",IFERROR(VLOOKUP($B76,'_CONFIG_Risk_Calibration'!$A$5:$H$21,2,FALSE),3))</f>
        <v/>
      </c>
      <c r="AG76">
        <f>IF($A76="","",IFERROR(VLOOKUP($B76,'_CONFIG_Risk_Calibration'!$A$5:$H$21,3,FALSE),0))</f>
        <v/>
      </c>
      <c r="AH76">
        <f>IF($A76="","",IFERROR(VLOOKUP($B76,'_CONFIG_Risk_Calibration'!$A$5:$H$21,4,FALSE),3))</f>
        <v/>
      </c>
      <c r="AI76">
        <f>IF($A76="","",IFERROR(VLOOKUP($B76,'_CONFIG_Risk_Calibration'!$A$5:$H$21,5,FALSE),3))</f>
        <v/>
      </c>
      <c r="AJ76">
        <f>IF($A76="","",IFERROR(VLOOKUP($B76,'_CONFIG_Risk_Calibration'!$A$5:$H$21,6,FALSE),"No"))</f>
        <v/>
      </c>
      <c r="AK76">
        <f>IF($A76="","",IFERROR(VLOOKUP($B76,'_CONFIG_Risk_Calibration'!$A$5:$H$21,7,FALSE),1))</f>
        <v/>
      </c>
      <c r="AL76">
        <f>IF($A76="","",IFERROR(VLOOKUP($B76,'_CONFIG_Risk_Calibration'!$A$5:$H$21,8,FALSE),""))</f>
        <v/>
      </c>
    </row>
    <row r="77" ht="72" customHeight="1" s="209">
      <c r="A77" s="13" t="inlineStr">
        <is>
          <t>HRWO-006</t>
        </is>
      </c>
      <c r="B77" s="13" t="inlineStr">
        <is>
          <t>HR Workforce</t>
        </is>
      </c>
      <c r="C77" s="13" t="inlineStr">
        <is>
          <t>Workforce visibility</t>
        </is>
      </c>
      <c r="D77" s="13" t="inlineStr">
        <is>
          <t>People, critical roles and knowledge continuity</t>
        </is>
      </c>
      <c r="E77" s="13" t="inlineStr">
        <is>
          <t>How mature is the organization in managing absence trends, sick leave spikes and workforce availability monitoring, including ownership, evidence, metrics, fallback procedures and crisis stress testing?</t>
        </is>
      </c>
      <c r="F77" s="13" t="inlineStr">
        <is>
          <t>Immature capability for absence trends, sick leave spikes and workforce availability monitoring may lead to loss of critical knowledge, reduced productivity, unmanaged absenteeism and inability to keep essential work running during Workforce disruption; Pandemic/health crisis; War/security crisis.</t>
        </is>
      </c>
      <c r="G77" s="13" t="inlineStr">
        <is>
          <t>Low maturity, weak ownership, incomplete evidence, insufficient testing and poor integration with crisis-management routines for absence trends, sick leave spikes and workforce availability monitoring.</t>
        </is>
      </c>
      <c r="H77" s="13" t="inlineStr">
        <is>
          <t>Severe risk: absence trends, sick leave spikes and workforce availability monitoring is not reliably controlled. During Workforce disruption; Pandemic/health crisis; War/security crisis, the organization may face loss of critical knowledge, reduced productivity, unmanaged absenteeism and inability to keep essential work running with limited visibility or accountability.</t>
        </is>
      </c>
      <c r="I77" s="13" t="inlineStr">
        <is>
          <t>High risk: absence trends, sick leave spikes and workforce availability monitoring depends on informal practices or individual knowledge. Disruption may expose loss of critical knowledge, reduced productivity, unmanaged absenteeism and inability to keep essential work running and slow recovery.</t>
        </is>
      </c>
      <c r="J77" s="13" t="inlineStr">
        <is>
          <t>Elevated risk: absence trends, sick leave spikes and workforce availability monitoring is partially controlled, but coverage, evidence or testing is inconsistent. Crisis response may be fragmented.</t>
        </is>
      </c>
      <c r="K77" s="13" t="inlineStr">
        <is>
          <t>Moderate risk: absence trends, sick leave spikes and workforce availability monitoring is documented and owned, but measurement, stress testing and integration with dependent processes need strengthening.</t>
        </is>
      </c>
      <c r="L77" s="13" t="inlineStr">
        <is>
          <t>Residual risk: absence trends, sick leave spikes and workforce availability monitoring is measured and reviewed, but monitoring, automation or scenario testing should be improved to prevent maturity drift.</t>
        </is>
      </c>
      <c r="M77" s="13" t="inlineStr">
        <is>
          <t>Low residual risk: absence trends, sick leave spikes and workforce availability monitoring is mature and crisis-tested. Maintain monitoring, evidence, ownership and periodic stress testing.</t>
        </is>
      </c>
      <c r="N77" s="13" t="inlineStr">
        <is>
          <t>Create an immediate risk owner, minimum control baseline and fallback procedure for absence trends, sick leave spikes and workforce availability monitoring. Add it to the crisis risk register and collect first evidence.</t>
        </is>
      </c>
      <c r="O77" s="13" t="inlineStr">
        <is>
          <t>Document absence trends, sick leave spikes and workforce availability monitoring, assign RACI, define minimum controls and KPIs, and validate coverage across key sites, teams or systems.</t>
        </is>
      </c>
      <c r="P77" s="13" t="inlineStr">
        <is>
          <t>Standardize absence trends, sick leave spikes and workforce availability monitoring, close coverage gaps, train accountable roles and connect controls to the relevant crisis scenarios and continuity plans.</t>
        </is>
      </c>
      <c r="Q77" s="13" t="inlineStr">
        <is>
          <t>Measure and test absence trends, sick leave spikes and workforce availability monitoring, run tabletop or operational stress tests, integrate it with dependent processes and update crisis playbooks.</t>
        </is>
      </c>
      <c r="R77" s="13" t="inlineStr">
        <is>
          <t>Automate monitoring where practical, define leading indicators, run periodic scenario tests and track residual risk after each major change.</t>
        </is>
      </c>
      <c r="S77" s="13" t="inlineStr">
        <is>
          <t>Sustain maturity for absence trends, sick leave spikes and workforce availability monitoring: keep evidence current, monitor drift, benchmark externally and refresh risk tests after organizational, system or market changes.</t>
        </is>
      </c>
      <c r="T77" s="13" t="n">
        <v>3</v>
      </c>
      <c r="U77" s="13" t="n">
        <v>3</v>
      </c>
      <c r="V77" s="13" t="n">
        <v>2</v>
      </c>
      <c r="W77" s="13" t="n">
        <v>2</v>
      </c>
      <c r="X77" s="13" t="n">
        <v>1</v>
      </c>
      <c r="Y77" s="13" t="n">
        <v>1</v>
      </c>
      <c r="Z77" s="13" t="inlineStr">
        <is>
          <t>ISO 30414; ISO 30405; ISO 45001; ISO 22301; CIPD; SHRM</t>
        </is>
      </c>
      <c r="AA77" s="13" t="inlineStr">
        <is>
          <t>Policy/SOP; owner/RACI; system report; dashboard; contracts; test records; incident history; interview evidence related to absence trends, sick leave spikes and workforce availability monitoring.</t>
        </is>
      </c>
      <c r="AB77" s="13" t="inlineStr">
        <is>
          <t>Workforce disruption; Pandemic/health crisis; War/security crisis</t>
        </is>
      </c>
      <c r="AC77" s="13" t="inlineStr">
        <is>
          <t>CHRO / HR</t>
        </is>
      </c>
      <c r="AD77" s="13" t="inlineStr">
        <is>
          <t>HR Workforce!10</t>
        </is>
      </c>
      <c r="AE77">
        <f>IF($A77="","",IF(OR(ISNUMBER(SEARCH("cyber",$D77)),ISNUMBER(SEARCH("security",$D77)),ISNUMBER(SEARCH("safety",$D77)),ISNUMBER(SEARCH("liquidity",$D77)),ISNUMBER(SEARCH("cash",$D77)),ISNUMBER(SEARCH("continuity",$D77)),ISNUMBER(SEARCH("infrastructure",$D77)),ISNUMBER(SEARCH("outage",$D77))),"Fast",IF(OR(ISNUMBER(SEARCH("compliance",$D77)),ISNUMBER(SEARCH("regulat",$D77)),ISNUMBER(SEARCH("data",$D77)),ISNUMBER(SEARCH("talent",$D77)),ISNUMBER(SEARCH("knowledge",$D77)),ISNUMBER(SEARCH("portfolio",$D77)),ISNUMBER(SEARCH("quality",$D77))),"Slow","Medium")))</f>
        <v/>
      </c>
      <c r="AF77">
        <f>IF($A77="","",IFERROR(VLOOKUP($B77,'_CONFIG_Risk_Calibration'!$A$5:$H$21,2,FALSE),3))</f>
        <v/>
      </c>
      <c r="AG77">
        <f>IF($A77="","",IFERROR(VLOOKUP($B77,'_CONFIG_Risk_Calibration'!$A$5:$H$21,3,FALSE),0))</f>
        <v/>
      </c>
      <c r="AH77">
        <f>IF($A77="","",IFERROR(VLOOKUP($B77,'_CONFIG_Risk_Calibration'!$A$5:$H$21,4,FALSE),3))</f>
        <v/>
      </c>
      <c r="AI77">
        <f>IF($A77="","",IFERROR(VLOOKUP($B77,'_CONFIG_Risk_Calibration'!$A$5:$H$21,5,FALSE),3))</f>
        <v/>
      </c>
      <c r="AJ77">
        <f>IF($A77="","",IFERROR(VLOOKUP($B77,'_CONFIG_Risk_Calibration'!$A$5:$H$21,6,FALSE),"No"))</f>
        <v/>
      </c>
      <c r="AK77">
        <f>IF($A77="","",IFERROR(VLOOKUP($B77,'_CONFIG_Risk_Calibration'!$A$5:$H$21,7,FALSE),1))</f>
        <v/>
      </c>
      <c r="AL77">
        <f>IF($A77="","",IFERROR(VLOOKUP($B77,'_CONFIG_Risk_Calibration'!$A$5:$H$21,8,FALSE),""))</f>
        <v/>
      </c>
    </row>
    <row r="78" ht="84" customHeight="1" s="209">
      <c r="A78" s="13" t="inlineStr">
        <is>
          <t>HRWO-007</t>
        </is>
      </c>
      <c r="B78" s="13" t="inlineStr">
        <is>
          <t>HR Workforce</t>
        </is>
      </c>
      <c r="C78" s="13" t="inlineStr">
        <is>
          <t>Recruitment and retention</t>
        </is>
      </c>
      <c r="D78" s="13" t="inlineStr">
        <is>
          <t>People, critical roles and knowledge continuity</t>
        </is>
      </c>
      <c r="E78" s="13" t="inlineStr">
        <is>
          <t>How mature is the organization in managing hiring pipeline resilience for critical roles under market shortage or geographic disruption, including ownership, evidence, metrics, fallback procedures and crisis stress testing?</t>
        </is>
      </c>
      <c r="F78" s="13" t="inlineStr">
        <is>
          <t>Immature capability for hiring pipeline resilience for critical roles under market shortage or geographic disruption may lead to loss of critical knowledge, reduced productivity, unmanaged absenteeism and inability to keep essential work running during Workforce disruption; Pandemic/health crisis; War/security crisis.</t>
        </is>
      </c>
      <c r="G78" s="13" t="inlineStr">
        <is>
          <t>Low maturity, weak ownership, incomplete evidence, insufficient testing and poor integration with crisis-management routines for hiring pipeline resilience for critical roles under market shortage or geographic disruption.</t>
        </is>
      </c>
      <c r="H78" s="13" t="inlineStr">
        <is>
          <t>Severe risk: hiring pipeline resilience for critical roles under market shortage or geographic disruption is not reliably controlled. During Workforce disruption; Pandemic/health crisis; War/security crisis, the organization may face loss of critical knowledge, reduced productivity, unmanaged absenteeism and inability to keep essential work running with limited visibility or accountability.</t>
        </is>
      </c>
      <c r="I78" s="13" t="inlineStr">
        <is>
          <t>High risk: hiring pipeline resilience for critical roles under market shortage or geographic disruption depends on informal practices or individual knowledge. Disruption may expose loss of critical knowledge, reduced productivity, unmanaged absenteeism and inability to keep essential work running and slow recovery.</t>
        </is>
      </c>
      <c r="J78" s="13" t="inlineStr">
        <is>
          <t>Elevated risk: hiring pipeline resilience for critical roles under market shortage or geographic disruption is partially controlled, but coverage, evidence or testing is inconsistent. Crisis response may be fragmented.</t>
        </is>
      </c>
      <c r="K78" s="13" t="inlineStr">
        <is>
          <t>Moderate risk: hiring pipeline resilience for critical roles under market shortage or geographic disruption is documented and owned, but measurement, stress testing and integration with dependent processes need strengthening.</t>
        </is>
      </c>
      <c r="L78" s="13" t="inlineStr">
        <is>
          <t>Residual risk: hiring pipeline resilience for critical roles under market shortage or geographic disruption is measured and reviewed, but monitoring, automation or scenario testing should be improved to prevent maturity drift.</t>
        </is>
      </c>
      <c r="M78" s="13" t="inlineStr">
        <is>
          <t>Low residual risk: hiring pipeline resilience for critical roles under market shortage or geographic disruption is mature and crisis-tested. Maintain monitoring, evidence, ownership and periodic stress testing.</t>
        </is>
      </c>
      <c r="N78" s="13" t="inlineStr">
        <is>
          <t>Create an immediate risk owner, minimum control baseline and fallback procedure for hiring pipeline resilience for critical roles under market shortage or geographic disruption. Add it to the crisis risk register and collect first evidence.</t>
        </is>
      </c>
      <c r="O78" s="13" t="inlineStr">
        <is>
          <t>Document hiring pipeline resilience for critical roles under market shortage or geographic disruption, assign RACI, define minimum controls and KPIs, and validate coverage across key sites, teams or systems.</t>
        </is>
      </c>
      <c r="P78" s="13" t="inlineStr">
        <is>
          <t>Standardize hiring pipeline resilience for critical roles under market shortage or geographic disruption, close coverage gaps, train accountable roles and connect controls to the relevant crisis scenarios and continuity plans.</t>
        </is>
      </c>
      <c r="Q78" s="13" t="inlineStr">
        <is>
          <t>Measure and test hiring pipeline resilience for critical roles under market shortage or geographic disruption, run tabletop or operational stress tests, integrate it with dependent processes and update crisis playbooks.</t>
        </is>
      </c>
      <c r="R78" s="13" t="inlineStr">
        <is>
          <t>Automate monitoring where practical, define leading indicators, run periodic scenario tests and track residual risk after each major change.</t>
        </is>
      </c>
      <c r="S78" s="13" t="inlineStr">
        <is>
          <t>Sustain maturity for hiring pipeline resilience for critical roles under market shortage or geographic disruption: keep evidence current, monitor drift, benchmark externally and refresh risk tests after organizational, system or market changes.</t>
        </is>
      </c>
      <c r="T78" s="13" t="n">
        <v>3</v>
      </c>
      <c r="U78" s="13" t="n">
        <v>3</v>
      </c>
      <c r="V78" s="13" t="n">
        <v>2</v>
      </c>
      <c r="W78" s="13" t="n">
        <v>2</v>
      </c>
      <c r="X78" s="13" t="n">
        <v>1</v>
      </c>
      <c r="Y78" s="13" t="n">
        <v>1</v>
      </c>
      <c r="Z78" s="13" t="inlineStr">
        <is>
          <t>ISO 30414; ISO 30405; ISO 45001; ISO 22301; CIPD; SHRM</t>
        </is>
      </c>
      <c r="AA78" s="13" t="inlineStr">
        <is>
          <t>Policy/SOP; owner/RACI; system report; dashboard; contracts; test records; incident history; interview evidence related to hiring pipeline resilience for critical roles under market shortage or geographic disruption.</t>
        </is>
      </c>
      <c r="AB78" s="13" t="inlineStr">
        <is>
          <t>Workforce disruption; Pandemic/health crisis; War/security crisis</t>
        </is>
      </c>
      <c r="AC78" s="13" t="inlineStr">
        <is>
          <t>CHRO / HR</t>
        </is>
      </c>
      <c r="AD78" s="13" t="inlineStr">
        <is>
          <t>HR Workforce!11</t>
        </is>
      </c>
      <c r="AE78">
        <f>IF($A78="","",IF(OR(ISNUMBER(SEARCH("cyber",$D78)),ISNUMBER(SEARCH("security",$D78)),ISNUMBER(SEARCH("safety",$D78)),ISNUMBER(SEARCH("liquidity",$D78)),ISNUMBER(SEARCH("cash",$D78)),ISNUMBER(SEARCH("continuity",$D78)),ISNUMBER(SEARCH("infrastructure",$D78)),ISNUMBER(SEARCH("outage",$D78))),"Fast",IF(OR(ISNUMBER(SEARCH("compliance",$D78)),ISNUMBER(SEARCH("regulat",$D78)),ISNUMBER(SEARCH("data",$D78)),ISNUMBER(SEARCH("talent",$D78)),ISNUMBER(SEARCH("knowledge",$D78)),ISNUMBER(SEARCH("portfolio",$D78)),ISNUMBER(SEARCH("quality",$D78))),"Slow","Medium")))</f>
        <v/>
      </c>
      <c r="AF78">
        <f>IF($A78="","",IFERROR(VLOOKUP($B78,'_CONFIG_Risk_Calibration'!$A$5:$H$21,2,FALSE),3))</f>
        <v/>
      </c>
      <c r="AG78">
        <f>IF($A78="","",IFERROR(VLOOKUP($B78,'_CONFIG_Risk_Calibration'!$A$5:$H$21,3,FALSE),0))</f>
        <v/>
      </c>
      <c r="AH78">
        <f>IF($A78="","",IFERROR(VLOOKUP($B78,'_CONFIG_Risk_Calibration'!$A$5:$H$21,4,FALSE),3))</f>
        <v/>
      </c>
      <c r="AI78">
        <f>IF($A78="","",IFERROR(VLOOKUP($B78,'_CONFIG_Risk_Calibration'!$A$5:$H$21,5,FALSE),3))</f>
        <v/>
      </c>
      <c r="AJ78">
        <f>IF($A78="","",IFERROR(VLOOKUP($B78,'_CONFIG_Risk_Calibration'!$A$5:$H$21,6,FALSE),"No"))</f>
        <v/>
      </c>
      <c r="AK78">
        <f>IF($A78="","",IFERROR(VLOOKUP($B78,'_CONFIG_Risk_Calibration'!$A$5:$H$21,7,FALSE),1))</f>
        <v/>
      </c>
      <c r="AL78">
        <f>IF($A78="","",IFERROR(VLOOKUP($B78,'_CONFIG_Risk_Calibration'!$A$5:$H$21,8,FALSE),""))</f>
        <v/>
      </c>
    </row>
    <row r="79" ht="72" customHeight="1" s="209">
      <c r="A79" s="13" t="inlineStr">
        <is>
          <t>HRWO-008</t>
        </is>
      </c>
      <c r="B79" s="13" t="inlineStr">
        <is>
          <t>HR Workforce</t>
        </is>
      </c>
      <c r="C79" s="13" t="inlineStr">
        <is>
          <t>Recruitment and retention</t>
        </is>
      </c>
      <c r="D79" s="13" t="inlineStr">
        <is>
          <t>People, critical roles and knowledge continuity</t>
        </is>
      </c>
      <c r="E79" s="13" t="inlineStr">
        <is>
          <t>How mature is the organization in managing time-to-hire tracking by critical role, geography and seniority, including ownership, evidence, metrics, fallback procedures and crisis stress testing?</t>
        </is>
      </c>
      <c r="F79" s="13" t="inlineStr">
        <is>
          <t>Immature capability for time-to-hire tracking by critical role, geography and seniority may lead to loss of critical knowledge, reduced productivity, unmanaged absenteeism and inability to keep essential work running during Workforce disruption; Pandemic/health crisis; War/security crisis.</t>
        </is>
      </c>
      <c r="G79" s="13" t="inlineStr">
        <is>
          <t>Low maturity, weak ownership, incomplete evidence, insufficient testing and poor integration with crisis-management routines for time-to-hire tracking by critical role, geography and seniority.</t>
        </is>
      </c>
      <c r="H79" s="13" t="inlineStr">
        <is>
          <t>Severe risk: time-to-hire tracking by critical role, geography and seniority is not reliably controlled. During Workforce disruption; Pandemic/health crisis; War/security crisis, the organization may face loss of critical knowledge, reduced productivity, unmanaged absenteeism and inability to keep essential work running with limited visibility or accountability.</t>
        </is>
      </c>
      <c r="I79" s="13" t="inlineStr">
        <is>
          <t>High risk: time-to-hire tracking by critical role, geography and seniority depends on informal practices or individual knowledge. Disruption may expose loss of critical knowledge, reduced productivity, unmanaged absenteeism and inability to keep essential work running and slow recovery.</t>
        </is>
      </c>
      <c r="J79" s="13" t="inlineStr">
        <is>
          <t>Elevated risk: time-to-hire tracking by critical role, geography and seniority is partially controlled, but coverage, evidence or testing is inconsistent. Crisis response may be fragmented.</t>
        </is>
      </c>
      <c r="K79" s="13" t="inlineStr">
        <is>
          <t>Moderate risk: time-to-hire tracking by critical role, geography and seniority is documented and owned, but measurement, stress testing and integration with dependent processes need strengthening.</t>
        </is>
      </c>
      <c r="L79" s="13" t="inlineStr">
        <is>
          <t>Residual risk: time-to-hire tracking by critical role, geography and seniority is measured and reviewed, but monitoring, automation or scenario testing should be improved to prevent maturity drift.</t>
        </is>
      </c>
      <c r="M79" s="13" t="inlineStr">
        <is>
          <t>Low residual risk: time-to-hire tracking by critical role, geography and seniority is mature and crisis-tested. Maintain monitoring, evidence, ownership and periodic stress testing.</t>
        </is>
      </c>
      <c r="N79" s="13" t="inlineStr">
        <is>
          <t>Create an immediate risk owner, minimum control baseline and fallback procedure for time-to-hire tracking by critical role, geography and seniority. Add it to the crisis risk register and collect first evidence.</t>
        </is>
      </c>
      <c r="O79" s="13" t="inlineStr">
        <is>
          <t>Document time-to-hire tracking by critical role, geography and seniority, assign RACI, define minimum controls and KPIs, and validate coverage across key sites, teams or systems.</t>
        </is>
      </c>
      <c r="P79" s="13" t="inlineStr">
        <is>
          <t>Standardize time-to-hire tracking by critical role, geography and seniority, close coverage gaps, train accountable roles and connect controls to the relevant crisis scenarios and continuity plans.</t>
        </is>
      </c>
      <c r="Q79" s="13" t="inlineStr">
        <is>
          <t>Measure and test time-to-hire tracking by critical role, geography and seniority, run tabletop or operational stress tests, integrate it with dependent processes and update crisis playbooks.</t>
        </is>
      </c>
      <c r="R79" s="13" t="inlineStr">
        <is>
          <t>Automate monitoring where practical, define leading indicators, run periodic scenario tests and track residual risk after each major change.</t>
        </is>
      </c>
      <c r="S79" s="13" t="inlineStr">
        <is>
          <t>Sustain maturity for time-to-hire tracking by critical role, geography and seniority: keep evidence current, monitor drift, benchmark externally and refresh risk tests after organizational, system or market changes.</t>
        </is>
      </c>
      <c r="T79" s="13" t="n">
        <v>3</v>
      </c>
      <c r="U79" s="13" t="n">
        <v>3</v>
      </c>
      <c r="V79" s="13" t="n">
        <v>2</v>
      </c>
      <c r="W79" s="13" t="n">
        <v>2</v>
      </c>
      <c r="X79" s="13" t="n">
        <v>1</v>
      </c>
      <c r="Y79" s="13" t="n">
        <v>1</v>
      </c>
      <c r="Z79" s="13" t="inlineStr">
        <is>
          <t>ISO 30414; ISO 30405; ISO 45001; ISO 22301; CIPD; SHRM</t>
        </is>
      </c>
      <c r="AA79" s="13" t="inlineStr">
        <is>
          <t>Policy/SOP; owner/RACI; system report; dashboard; contracts; test records; incident history; interview evidence related to time-to-hire tracking by critical role, geography and seniority.</t>
        </is>
      </c>
      <c r="AB79" s="13" t="inlineStr">
        <is>
          <t>Workforce disruption; Pandemic/health crisis; War/security crisis</t>
        </is>
      </c>
      <c r="AC79" s="13" t="inlineStr">
        <is>
          <t>CHRO / HR</t>
        </is>
      </c>
      <c r="AD79" s="13" t="inlineStr">
        <is>
          <t>HR Workforce!12</t>
        </is>
      </c>
      <c r="AE79">
        <f>IF($A79="","",IF(OR(ISNUMBER(SEARCH("cyber",$D79)),ISNUMBER(SEARCH("security",$D79)),ISNUMBER(SEARCH("safety",$D79)),ISNUMBER(SEARCH("liquidity",$D79)),ISNUMBER(SEARCH("cash",$D79)),ISNUMBER(SEARCH("continuity",$D79)),ISNUMBER(SEARCH("infrastructure",$D79)),ISNUMBER(SEARCH("outage",$D79))),"Fast",IF(OR(ISNUMBER(SEARCH("compliance",$D79)),ISNUMBER(SEARCH("regulat",$D79)),ISNUMBER(SEARCH("data",$D79)),ISNUMBER(SEARCH("talent",$D79)),ISNUMBER(SEARCH("knowledge",$D79)),ISNUMBER(SEARCH("portfolio",$D79)),ISNUMBER(SEARCH("quality",$D79))),"Slow","Medium")))</f>
        <v/>
      </c>
      <c r="AF79">
        <f>IF($A79="","",IFERROR(VLOOKUP($B79,'_CONFIG_Risk_Calibration'!$A$5:$H$21,2,FALSE),3))</f>
        <v/>
      </c>
      <c r="AG79">
        <f>IF($A79="","",IFERROR(VLOOKUP($B79,'_CONFIG_Risk_Calibration'!$A$5:$H$21,3,FALSE),0))</f>
        <v/>
      </c>
      <c r="AH79">
        <f>IF($A79="","",IFERROR(VLOOKUP($B79,'_CONFIG_Risk_Calibration'!$A$5:$H$21,4,FALSE),3))</f>
        <v/>
      </c>
      <c r="AI79">
        <f>IF($A79="","",IFERROR(VLOOKUP($B79,'_CONFIG_Risk_Calibration'!$A$5:$H$21,5,FALSE),3))</f>
        <v/>
      </c>
      <c r="AJ79">
        <f>IF($A79="","",IFERROR(VLOOKUP($B79,'_CONFIG_Risk_Calibration'!$A$5:$H$21,6,FALSE),"No"))</f>
        <v/>
      </c>
      <c r="AK79">
        <f>IF($A79="","",IFERROR(VLOOKUP($B79,'_CONFIG_Risk_Calibration'!$A$5:$H$21,7,FALSE),1))</f>
        <v/>
      </c>
      <c r="AL79">
        <f>IF($A79="","",IFERROR(VLOOKUP($B79,'_CONFIG_Risk_Calibration'!$A$5:$H$21,8,FALSE),""))</f>
        <v/>
      </c>
    </row>
    <row r="80" ht="84" customHeight="1" s="209">
      <c r="A80" s="13" t="inlineStr">
        <is>
          <t>HRWO-009</t>
        </is>
      </c>
      <c r="B80" s="13" t="inlineStr">
        <is>
          <t>HR Workforce</t>
        </is>
      </c>
      <c r="C80" s="13" t="inlineStr">
        <is>
          <t>Recruitment and retention</t>
        </is>
      </c>
      <c r="D80" s="13" t="inlineStr">
        <is>
          <t>People, critical roles and knowledge continuity</t>
        </is>
      </c>
      <c r="E80" s="13" t="inlineStr">
        <is>
          <t>How mature is the organization in managing alternative sourcing channels for critical roles, geographies and rare skills, including ownership, evidence, metrics, fallback procedures and crisis stress testing?</t>
        </is>
      </c>
      <c r="F80" s="13" t="inlineStr">
        <is>
          <t>Immature capability for alternative sourcing channels for critical roles, geographies and rare skills may lead to loss of critical knowledge, reduced productivity, unmanaged absenteeism and inability to keep essential work running during Workforce disruption; Pandemic/health crisis; War/security crisis.</t>
        </is>
      </c>
      <c r="G80" s="13" t="inlineStr">
        <is>
          <t>Low maturity, weak ownership, incomplete evidence, insufficient testing and poor integration with crisis-management routines for alternative sourcing channels for critical roles, geographies and rare skills.</t>
        </is>
      </c>
      <c r="H80" s="13" t="inlineStr">
        <is>
          <t>Severe risk: alternative sourcing channels for critical roles, geographies and rare skills is not reliably controlled. During Workforce disruption; Pandemic/health crisis; War/security crisis, the organization may face loss of critical knowledge, reduced productivity, unmanaged absenteeism and inability to keep essential work running with limited visibility or accountability.</t>
        </is>
      </c>
      <c r="I80" s="13" t="inlineStr">
        <is>
          <t>High risk: alternative sourcing channels for critical roles, geographies and rare skills depends on informal practices or individual knowledge. Disruption may expose loss of critical knowledge, reduced productivity, unmanaged absenteeism and inability to keep essential work running and slow recovery.</t>
        </is>
      </c>
      <c r="J80" s="13" t="inlineStr">
        <is>
          <t>Elevated risk: alternative sourcing channels for critical roles, geographies and rare skills is partially controlled, but coverage, evidence or testing is inconsistent. Crisis response may be fragmented.</t>
        </is>
      </c>
      <c r="K80" s="13" t="inlineStr">
        <is>
          <t>Moderate risk: alternative sourcing channels for critical roles, geographies and rare skills is documented and owned, but measurement, stress testing and integration with dependent processes need strengthening.</t>
        </is>
      </c>
      <c r="L80" s="13" t="inlineStr">
        <is>
          <t>Residual risk: alternative sourcing channels for critical roles, geographies and rare skills is measured and reviewed, but monitoring, automation or scenario testing should be improved to prevent maturity drift.</t>
        </is>
      </c>
      <c r="M80" s="13" t="inlineStr">
        <is>
          <t>Low residual risk: alternative sourcing channels for critical roles, geographies and rare skills is mature and crisis-tested. Maintain monitoring, evidence, ownership and periodic stress testing.</t>
        </is>
      </c>
      <c r="N80" s="13" t="inlineStr">
        <is>
          <t>Create an immediate risk owner, minimum control baseline and fallback procedure for alternative sourcing channels for critical roles, geographies and rare skills. Add it to the crisis risk register and collect first evidence.</t>
        </is>
      </c>
      <c r="O80" s="13" t="inlineStr">
        <is>
          <t>Document alternative sourcing channels for critical roles, geographies and rare skills, assign RACI, define minimum controls and KPIs, and validate coverage across key sites, teams or systems.</t>
        </is>
      </c>
      <c r="P80" s="13" t="inlineStr">
        <is>
          <t>Standardize alternative sourcing channels for critical roles, geographies and rare skills, close coverage gaps, train accountable roles and connect controls to the relevant crisis scenarios and continuity plans.</t>
        </is>
      </c>
      <c r="Q80" s="13" t="inlineStr">
        <is>
          <t>Measure and test alternative sourcing channels for critical roles, geographies and rare skills, run tabletop or operational stress tests, integrate it with dependent processes and update crisis playbooks.</t>
        </is>
      </c>
      <c r="R80" s="13" t="inlineStr">
        <is>
          <t>Automate monitoring where practical, define leading indicators, run periodic scenario tests and track residual risk after each major change.</t>
        </is>
      </c>
      <c r="S80" s="13" t="inlineStr">
        <is>
          <t>Sustain maturity for alternative sourcing channels for critical roles, geographies and rare skills: keep evidence current, monitor drift, benchmark externally and refresh risk tests after organizational, system or market changes.</t>
        </is>
      </c>
      <c r="T80" s="13" t="n">
        <v>3</v>
      </c>
      <c r="U80" s="13" t="n">
        <v>3</v>
      </c>
      <c r="V80" s="13" t="n">
        <v>2</v>
      </c>
      <c r="W80" s="13" t="n">
        <v>2</v>
      </c>
      <c r="X80" s="13" t="n">
        <v>1</v>
      </c>
      <c r="Y80" s="13" t="n">
        <v>1</v>
      </c>
      <c r="Z80" s="13" t="inlineStr">
        <is>
          <t>ISO 30414; ISO 30405; ISO 45001; ISO 22301; CIPD; SHRM</t>
        </is>
      </c>
      <c r="AA80" s="13" t="inlineStr">
        <is>
          <t>Policy/SOP; owner/RACI; system report; dashboard; contracts; test records; incident history; interview evidence related to alternative sourcing channels for critical roles, geographies and rare skills.</t>
        </is>
      </c>
      <c r="AB80" s="13" t="inlineStr">
        <is>
          <t>Workforce disruption; Pandemic/health crisis; War/security crisis</t>
        </is>
      </c>
      <c r="AC80" s="13" t="inlineStr">
        <is>
          <t>CHRO / HR</t>
        </is>
      </c>
      <c r="AD80" s="13" t="inlineStr">
        <is>
          <t>HR Workforce!13</t>
        </is>
      </c>
      <c r="AE80">
        <f>IF($A80="","",IF(OR(ISNUMBER(SEARCH("cyber",$D80)),ISNUMBER(SEARCH("security",$D80)),ISNUMBER(SEARCH("safety",$D80)),ISNUMBER(SEARCH("liquidity",$D80)),ISNUMBER(SEARCH("cash",$D80)),ISNUMBER(SEARCH("continuity",$D80)),ISNUMBER(SEARCH("infrastructure",$D80)),ISNUMBER(SEARCH("outage",$D80))),"Fast",IF(OR(ISNUMBER(SEARCH("compliance",$D80)),ISNUMBER(SEARCH("regulat",$D80)),ISNUMBER(SEARCH("data",$D80)),ISNUMBER(SEARCH("talent",$D80)),ISNUMBER(SEARCH("knowledge",$D80)),ISNUMBER(SEARCH("portfolio",$D80)),ISNUMBER(SEARCH("quality",$D80))),"Slow","Medium")))</f>
        <v/>
      </c>
      <c r="AF80">
        <f>IF($A80="","",IFERROR(VLOOKUP($B80,'_CONFIG_Risk_Calibration'!$A$5:$H$21,2,FALSE),3))</f>
        <v/>
      </c>
      <c r="AG80">
        <f>IF($A80="","",IFERROR(VLOOKUP($B80,'_CONFIG_Risk_Calibration'!$A$5:$H$21,3,FALSE),0))</f>
        <v/>
      </c>
      <c r="AH80">
        <f>IF($A80="","",IFERROR(VLOOKUP($B80,'_CONFIG_Risk_Calibration'!$A$5:$H$21,4,FALSE),3))</f>
        <v/>
      </c>
      <c r="AI80">
        <f>IF($A80="","",IFERROR(VLOOKUP($B80,'_CONFIG_Risk_Calibration'!$A$5:$H$21,5,FALSE),3))</f>
        <v/>
      </c>
      <c r="AJ80">
        <f>IF($A80="","",IFERROR(VLOOKUP($B80,'_CONFIG_Risk_Calibration'!$A$5:$H$21,6,FALSE),"No"))</f>
        <v/>
      </c>
      <c r="AK80">
        <f>IF($A80="","",IFERROR(VLOOKUP($B80,'_CONFIG_Risk_Calibration'!$A$5:$H$21,7,FALSE),1))</f>
        <v/>
      </c>
      <c r="AL80">
        <f>IF($A80="","",IFERROR(VLOOKUP($B80,'_CONFIG_Risk_Calibration'!$A$5:$H$21,8,FALSE),""))</f>
        <v/>
      </c>
    </row>
    <row r="81" ht="84" customHeight="1" s="209">
      <c r="A81" s="13" t="inlineStr">
        <is>
          <t>HRWO-010</t>
        </is>
      </c>
      <c r="B81" s="13" t="inlineStr">
        <is>
          <t>HR Workforce</t>
        </is>
      </c>
      <c r="C81" s="13" t="inlineStr">
        <is>
          <t>Recruitment and retention</t>
        </is>
      </c>
      <c r="D81" s="13" t="inlineStr">
        <is>
          <t>People, critical roles and knowledge continuity</t>
        </is>
      </c>
      <c r="E81" s="13" t="inlineStr">
        <is>
          <t>How mature is the organization in managing retention risk monitoring for critical people, high performers and scarce-skill roles, including ownership, evidence, metrics, fallback procedures and crisis stress testing?</t>
        </is>
      </c>
      <c r="F81" s="13" t="inlineStr">
        <is>
          <t>Immature capability for retention risk monitoring for critical people, high performers and scarce-skill roles may lead to loss of critical knowledge, reduced productivity, unmanaged absenteeism and inability to keep essential work running during Workforce disruption; Pandemic/health crisis; War/security crisis.</t>
        </is>
      </c>
      <c r="G81" s="13" t="inlineStr">
        <is>
          <t>Low maturity, weak ownership, incomplete evidence, insufficient testing and poor integration with crisis-management routines for retention risk monitoring for critical people, high performers and scarce-skill roles.</t>
        </is>
      </c>
      <c r="H81" s="13" t="inlineStr">
        <is>
          <t>Severe risk: retention risk monitoring for critical people, high performers and scarce-skill roles is not reliably controlled. During Workforce disruption; Pandemic/health crisis; War/security crisis, the organization may face loss of critical knowledge, reduced productivity, unmanaged absenteeism and inability to keep essential work running with limited visibility or accountability.</t>
        </is>
      </c>
      <c r="I81" s="13" t="inlineStr">
        <is>
          <t>High risk: retention risk monitoring for critical people, high performers and scarce-skill roles depends on informal practices or individual knowledge. Disruption may expose loss of critical knowledge, reduced productivity, unmanaged absenteeism and inability to keep essential work running and slow recovery.</t>
        </is>
      </c>
      <c r="J81" s="13" t="inlineStr">
        <is>
          <t>Elevated risk: retention risk monitoring for critical people, high performers and scarce-skill roles is partially controlled, but coverage, evidence or testing is inconsistent. Crisis response may be fragmented.</t>
        </is>
      </c>
      <c r="K81" s="13" t="inlineStr">
        <is>
          <t>Moderate risk: retention risk monitoring for critical people, high performers and scarce-skill roles is documented and owned, but measurement, stress testing and integration with dependent processes need strengthening.</t>
        </is>
      </c>
      <c r="L81" s="13" t="inlineStr">
        <is>
          <t>Residual risk: retention risk monitoring for critical people, high performers and scarce-skill roles is measured and reviewed, but monitoring, automation or scenario testing should be improved to prevent maturity drift.</t>
        </is>
      </c>
      <c r="M81" s="13" t="inlineStr">
        <is>
          <t>Low residual risk: retention risk monitoring for critical people, high performers and scarce-skill roles is mature and crisis-tested. Maintain monitoring, evidence, ownership and periodic stress testing.</t>
        </is>
      </c>
      <c r="N81" s="13" t="inlineStr">
        <is>
          <t>Create an immediate risk owner, minimum control baseline and fallback procedure for retention risk monitoring for critical people, high performers and scarce-skill roles. Add it to the crisis risk register and collect first evidence.</t>
        </is>
      </c>
      <c r="O81" s="13" t="inlineStr">
        <is>
          <t>Document retention risk monitoring for critical people, high performers and scarce-skill roles, assign RACI, define minimum controls and KPIs, and validate coverage across key sites, teams or systems.</t>
        </is>
      </c>
      <c r="P81" s="13" t="inlineStr">
        <is>
          <t>Standardize retention risk monitoring for critical people, high performers and scarce-skill roles, close coverage gaps, train accountable roles and connect controls to the relevant crisis scenarios and continuity plans.</t>
        </is>
      </c>
      <c r="Q81" s="13" t="inlineStr">
        <is>
          <t>Measure and test retention risk monitoring for critical people, high performers and scarce-skill roles, run tabletop or operational stress tests, integrate it with dependent processes and update crisis playbooks.</t>
        </is>
      </c>
      <c r="R81" s="13" t="inlineStr">
        <is>
          <t>Automate monitoring where practical, define leading indicators, run periodic scenario tests and track residual risk after each major change.</t>
        </is>
      </c>
      <c r="S81" s="13" t="inlineStr">
        <is>
          <t>Sustain maturity for retention risk monitoring for critical people, high performers and scarce-skill roles: keep evidence current, monitor drift, benchmark externally and refresh risk tests after organizational, system or market changes.</t>
        </is>
      </c>
      <c r="T81" s="13" t="n">
        <v>3</v>
      </c>
      <c r="U81" s="13" t="n">
        <v>3</v>
      </c>
      <c r="V81" s="13" t="n">
        <v>2</v>
      </c>
      <c r="W81" s="13" t="n">
        <v>2</v>
      </c>
      <c r="X81" s="13" t="n">
        <v>1</v>
      </c>
      <c r="Y81" s="13" t="n">
        <v>1</v>
      </c>
      <c r="Z81" s="13" t="inlineStr">
        <is>
          <t>ISO 30414; ISO 30405; ISO 45001; ISO 22301; CIPD; SHRM</t>
        </is>
      </c>
      <c r="AA81" s="13" t="inlineStr">
        <is>
          <t>Policy/SOP; owner/RACI; system report; dashboard; contracts; test records; incident history; interview evidence related to retention risk monitoring for critical people, high performers and scarce-skill roles.</t>
        </is>
      </c>
      <c r="AB81" s="13" t="inlineStr">
        <is>
          <t>Workforce disruption; Pandemic/health crisis; War/security crisis</t>
        </is>
      </c>
      <c r="AC81" s="13" t="inlineStr">
        <is>
          <t>CHRO / HR</t>
        </is>
      </c>
      <c r="AD81" s="13" t="inlineStr">
        <is>
          <t>HR Workforce!14</t>
        </is>
      </c>
      <c r="AE81">
        <f>IF($A81="","",IF(OR(ISNUMBER(SEARCH("cyber",$D81)),ISNUMBER(SEARCH("security",$D81)),ISNUMBER(SEARCH("safety",$D81)),ISNUMBER(SEARCH("liquidity",$D81)),ISNUMBER(SEARCH("cash",$D81)),ISNUMBER(SEARCH("continuity",$D81)),ISNUMBER(SEARCH("infrastructure",$D81)),ISNUMBER(SEARCH("outage",$D81))),"Fast",IF(OR(ISNUMBER(SEARCH("compliance",$D81)),ISNUMBER(SEARCH("regulat",$D81)),ISNUMBER(SEARCH("data",$D81)),ISNUMBER(SEARCH("talent",$D81)),ISNUMBER(SEARCH("knowledge",$D81)),ISNUMBER(SEARCH("portfolio",$D81)),ISNUMBER(SEARCH("quality",$D81))),"Slow","Medium")))</f>
        <v/>
      </c>
      <c r="AF81">
        <f>IF($A81="","",IFERROR(VLOOKUP($B81,'_CONFIG_Risk_Calibration'!$A$5:$H$21,2,FALSE),3))</f>
        <v/>
      </c>
      <c r="AG81">
        <f>IF($A81="","",IFERROR(VLOOKUP($B81,'_CONFIG_Risk_Calibration'!$A$5:$H$21,3,FALSE),0))</f>
        <v/>
      </c>
      <c r="AH81">
        <f>IF($A81="","",IFERROR(VLOOKUP($B81,'_CONFIG_Risk_Calibration'!$A$5:$H$21,4,FALSE),3))</f>
        <v/>
      </c>
      <c r="AI81">
        <f>IF($A81="","",IFERROR(VLOOKUP($B81,'_CONFIG_Risk_Calibration'!$A$5:$H$21,5,FALSE),3))</f>
        <v/>
      </c>
      <c r="AJ81">
        <f>IF($A81="","",IFERROR(VLOOKUP($B81,'_CONFIG_Risk_Calibration'!$A$5:$H$21,6,FALSE),"No"))</f>
        <v/>
      </c>
      <c r="AK81">
        <f>IF($A81="","",IFERROR(VLOOKUP($B81,'_CONFIG_Risk_Calibration'!$A$5:$H$21,7,FALSE),1))</f>
        <v/>
      </c>
      <c r="AL81">
        <f>IF($A81="","",IFERROR(VLOOKUP($B81,'_CONFIG_Risk_Calibration'!$A$5:$H$21,8,FALSE),""))</f>
        <v/>
      </c>
    </row>
    <row r="82" ht="84" customHeight="1" s="209">
      <c r="A82" s="13" t="inlineStr">
        <is>
          <t>HRWO-011</t>
        </is>
      </c>
      <c r="B82" s="13" t="inlineStr">
        <is>
          <t>HR Workforce</t>
        </is>
      </c>
      <c r="C82" s="13" t="inlineStr">
        <is>
          <t>Recruitment and retention</t>
        </is>
      </c>
      <c r="D82" s="13" t="inlineStr">
        <is>
          <t>People, critical roles and knowledge continuity</t>
        </is>
      </c>
      <c r="E82" s="13" t="inlineStr">
        <is>
          <t>How mature is the organization in managing compensation and payroll continuity during banking, legal or system disruption, including ownership, evidence, metrics, fallback procedures and crisis stress testing?</t>
        </is>
      </c>
      <c r="F82" s="13" t="inlineStr">
        <is>
          <t>Immature capability for compensation and payroll continuity during banking, legal or system disruption may lead to loss of critical knowledge, reduced productivity, unmanaged absenteeism and inability to keep essential work running during Workforce disruption; Pandemic/health crisis; War/security crisis.</t>
        </is>
      </c>
      <c r="G82" s="13" t="inlineStr">
        <is>
          <t>Low maturity, weak ownership, incomplete evidence, insufficient testing and poor integration with crisis-management routines for compensation and payroll continuity during banking, legal or system disruption.</t>
        </is>
      </c>
      <c r="H82" s="13" t="inlineStr">
        <is>
          <t>Severe risk: compensation and payroll continuity during banking, legal or system disruption is not reliably controlled. During Workforce disruption; Pandemic/health crisis; War/security crisis, the organization may face loss of critical knowledge, reduced productivity, unmanaged absenteeism and inability to keep essential work running with limited visibility or accountability.</t>
        </is>
      </c>
      <c r="I82" s="13" t="inlineStr">
        <is>
          <t>High risk: compensation and payroll continuity during banking, legal or system disruption depends on informal practices or individual knowledge. Disruption may expose loss of critical knowledge, reduced productivity, unmanaged absenteeism and inability to keep essential work running and slow recovery.</t>
        </is>
      </c>
      <c r="J82" s="13" t="inlineStr">
        <is>
          <t>Elevated risk: compensation and payroll continuity during banking, legal or system disruption is partially controlled, but coverage, evidence or testing is inconsistent. Crisis response may be fragmented.</t>
        </is>
      </c>
      <c r="K82" s="13" t="inlineStr">
        <is>
          <t>Moderate risk: compensation and payroll continuity during banking, legal or system disruption is documented and owned, but measurement, stress testing and integration with dependent processes need strengthening.</t>
        </is>
      </c>
      <c r="L82" s="13" t="inlineStr">
        <is>
          <t>Residual risk: compensation and payroll continuity during banking, legal or system disruption is measured and reviewed, but monitoring, automation or scenario testing should be improved to prevent maturity drift.</t>
        </is>
      </c>
      <c r="M82" s="13" t="inlineStr">
        <is>
          <t>Low residual risk: compensation and payroll continuity during banking, legal or system disruption is mature and crisis-tested. Maintain monitoring, evidence, ownership and periodic stress testing.</t>
        </is>
      </c>
      <c r="N82" s="13" t="inlineStr">
        <is>
          <t>Create an immediate risk owner, minimum control baseline and fallback procedure for compensation and payroll continuity during banking, legal or system disruption. Add it to the crisis risk register and collect first evidence.</t>
        </is>
      </c>
      <c r="O82" s="13" t="inlineStr">
        <is>
          <t>Document compensation and payroll continuity during banking, legal or system disruption, assign RACI, define minimum controls and KPIs, and validate coverage across key sites, teams or systems.</t>
        </is>
      </c>
      <c r="P82" s="13" t="inlineStr">
        <is>
          <t>Standardize compensation and payroll continuity during banking, legal or system disruption, close coverage gaps, train accountable roles and connect controls to the relevant crisis scenarios and continuity plans.</t>
        </is>
      </c>
      <c r="Q82" s="13" t="inlineStr">
        <is>
          <t>Measure and test compensation and payroll continuity during banking, legal or system disruption, run tabletop or operational stress tests, integrate it with dependent processes and update crisis playbooks.</t>
        </is>
      </c>
      <c r="R82" s="13" t="inlineStr">
        <is>
          <t>Automate monitoring where practical, define leading indicators, run periodic scenario tests and track residual risk after each major change.</t>
        </is>
      </c>
      <c r="S82" s="13" t="inlineStr">
        <is>
          <t>Sustain maturity for compensation and payroll continuity during banking, legal or system disruption: keep evidence current, monitor drift, benchmark externally and refresh risk tests after organizational, system or market changes.</t>
        </is>
      </c>
      <c r="T82" s="13" t="n">
        <v>3</v>
      </c>
      <c r="U82" s="13" t="n">
        <v>3</v>
      </c>
      <c r="V82" s="13" t="n">
        <v>2</v>
      </c>
      <c r="W82" s="13" t="n">
        <v>2</v>
      </c>
      <c r="X82" s="13" t="n">
        <v>1</v>
      </c>
      <c r="Y82" s="13" t="n">
        <v>1</v>
      </c>
      <c r="Z82" s="13" t="inlineStr">
        <is>
          <t>ISO 30414; ISO 30405; ISO 45001; ISO 22301; CIPD; SHRM</t>
        </is>
      </c>
      <c r="AA82" s="13" t="inlineStr">
        <is>
          <t>Policy/SOP; owner/RACI; system report; dashboard; contracts; test records; incident history; interview evidence related to compensation and payroll continuity during banking, legal or system disruption.</t>
        </is>
      </c>
      <c r="AB82" s="13" t="inlineStr">
        <is>
          <t>Workforce disruption; Pandemic/health crisis; War/security crisis</t>
        </is>
      </c>
      <c r="AC82" s="13" t="inlineStr">
        <is>
          <t>CHRO / HR</t>
        </is>
      </c>
      <c r="AD82" s="13" t="inlineStr">
        <is>
          <t>HR Workforce!15</t>
        </is>
      </c>
      <c r="AE82">
        <f>IF($A82="","",IF(OR(ISNUMBER(SEARCH("cyber",$D82)),ISNUMBER(SEARCH("security",$D82)),ISNUMBER(SEARCH("safety",$D82)),ISNUMBER(SEARCH("liquidity",$D82)),ISNUMBER(SEARCH("cash",$D82)),ISNUMBER(SEARCH("continuity",$D82)),ISNUMBER(SEARCH("infrastructure",$D82)),ISNUMBER(SEARCH("outage",$D82))),"Fast",IF(OR(ISNUMBER(SEARCH("compliance",$D82)),ISNUMBER(SEARCH("regulat",$D82)),ISNUMBER(SEARCH("data",$D82)),ISNUMBER(SEARCH("talent",$D82)),ISNUMBER(SEARCH("knowledge",$D82)),ISNUMBER(SEARCH("portfolio",$D82)),ISNUMBER(SEARCH("quality",$D82))),"Slow","Medium")))</f>
        <v/>
      </c>
      <c r="AF82">
        <f>IF($A82="","",IFERROR(VLOOKUP($B82,'_CONFIG_Risk_Calibration'!$A$5:$H$21,2,FALSE),3))</f>
        <v/>
      </c>
      <c r="AG82">
        <f>IF($A82="","",IFERROR(VLOOKUP($B82,'_CONFIG_Risk_Calibration'!$A$5:$H$21,3,FALSE),0))</f>
        <v/>
      </c>
      <c r="AH82">
        <f>IF($A82="","",IFERROR(VLOOKUP($B82,'_CONFIG_Risk_Calibration'!$A$5:$H$21,4,FALSE),3))</f>
        <v/>
      </c>
      <c r="AI82">
        <f>IF($A82="","",IFERROR(VLOOKUP($B82,'_CONFIG_Risk_Calibration'!$A$5:$H$21,5,FALSE),3))</f>
        <v/>
      </c>
      <c r="AJ82">
        <f>IF($A82="","",IFERROR(VLOOKUP($B82,'_CONFIG_Risk_Calibration'!$A$5:$H$21,6,FALSE),"No"))</f>
        <v/>
      </c>
      <c r="AK82">
        <f>IF($A82="","",IFERROR(VLOOKUP($B82,'_CONFIG_Risk_Calibration'!$A$5:$H$21,7,FALSE),1))</f>
        <v/>
      </c>
      <c r="AL82">
        <f>IF($A82="","",IFERROR(VLOOKUP($B82,'_CONFIG_Risk_Calibration'!$A$5:$H$21,8,FALSE),""))</f>
        <v/>
      </c>
    </row>
    <row r="83" ht="84" customHeight="1" s="209">
      <c r="A83" s="13" t="inlineStr">
        <is>
          <t>HRWO-012</t>
        </is>
      </c>
      <c r="B83" s="13" t="inlineStr">
        <is>
          <t>HR Workforce</t>
        </is>
      </c>
      <c r="C83" s="13" t="inlineStr">
        <is>
          <t>Recruitment and retention</t>
        </is>
      </c>
      <c r="D83" s="13" t="inlineStr">
        <is>
          <t>People, critical roles and knowledge continuity</t>
        </is>
      </c>
      <c r="E83" s="13" t="inlineStr">
        <is>
          <t>How mature is the organization in managing succession planning and deputies for all critical leadership and operational roles, including ownership, evidence, metrics, fallback procedures and crisis stress testing?</t>
        </is>
      </c>
      <c r="F83" s="13" t="inlineStr">
        <is>
          <t>Immature capability for succession planning and deputies for all critical leadership and operational roles may lead to loss of critical knowledge, reduced productivity, unmanaged absenteeism and inability to keep essential work running during Workforce disruption; Pandemic/health crisis; War/security crisis.</t>
        </is>
      </c>
      <c r="G83" s="13" t="inlineStr">
        <is>
          <t>Low maturity, weak ownership, incomplete evidence, insufficient testing and poor integration with crisis-management routines for succession planning and deputies for all critical leadership and operational roles.</t>
        </is>
      </c>
      <c r="H83" s="13" t="inlineStr">
        <is>
          <t>Severe risk: succession planning and deputies for all critical leadership and operational roles is not reliably controlled. During Workforce disruption; Pandemic/health crisis; War/security crisis, the organization may face loss of critical knowledge, reduced productivity, unmanaged absenteeism and inability to keep essential work running with limited visibility or accountability.</t>
        </is>
      </c>
      <c r="I83" s="13" t="inlineStr">
        <is>
          <t>High risk: succession planning and deputies for all critical leadership and operational roles depends on informal practices or individual knowledge. Disruption may expose loss of critical knowledge, reduced productivity, unmanaged absenteeism and inability to keep essential work running and slow recovery.</t>
        </is>
      </c>
      <c r="J83" s="13" t="inlineStr">
        <is>
          <t>Elevated risk: succession planning and deputies for all critical leadership and operational roles is partially controlled, but coverage, evidence or testing is inconsistent. Crisis response may be fragmented.</t>
        </is>
      </c>
      <c r="K83" s="13" t="inlineStr">
        <is>
          <t>Moderate risk: succession planning and deputies for all critical leadership and operational roles is documented and owned, but measurement, stress testing and integration with dependent processes need strengthening.</t>
        </is>
      </c>
      <c r="L83" s="13" t="inlineStr">
        <is>
          <t>Residual risk: succession planning and deputies for all critical leadership and operational roles is measured and reviewed, but monitoring, automation or scenario testing should be improved to prevent maturity drift.</t>
        </is>
      </c>
      <c r="M83" s="13" t="inlineStr">
        <is>
          <t>Low residual risk: succession planning and deputies for all critical leadership and operational roles is mature and crisis-tested. Maintain monitoring, evidence, ownership and periodic stress testing.</t>
        </is>
      </c>
      <c r="N83" s="13" t="inlineStr">
        <is>
          <t>Create an immediate risk owner, minimum control baseline and fallback procedure for succession planning and deputies for all critical leadership and operational roles. Add it to the crisis risk register and collect first evidence.</t>
        </is>
      </c>
      <c r="O83" s="13" t="inlineStr">
        <is>
          <t>Document succession planning and deputies for all critical leadership and operational roles, assign RACI, define minimum controls and KPIs, and validate coverage across key sites, teams or systems.</t>
        </is>
      </c>
      <c r="P83" s="13" t="inlineStr">
        <is>
          <t>Standardize succession planning and deputies for all critical leadership and operational roles, close coverage gaps, train accountable roles and connect controls to the relevant crisis scenarios and continuity plans.</t>
        </is>
      </c>
      <c r="Q83" s="13" t="inlineStr">
        <is>
          <t>Measure and test succession planning and deputies for all critical leadership and operational roles, run tabletop or operational stress tests, integrate it with dependent processes and update crisis playbooks.</t>
        </is>
      </c>
      <c r="R83" s="13" t="inlineStr">
        <is>
          <t>Automate monitoring where practical, define leading indicators, run periodic scenario tests and track residual risk after each major change.</t>
        </is>
      </c>
      <c r="S83" s="13" t="inlineStr">
        <is>
          <t>Sustain maturity for succession planning and deputies for all critical leadership and operational roles: keep evidence current, monitor drift, benchmark externally and refresh risk tests after organizational, system or market changes.</t>
        </is>
      </c>
      <c r="T83" s="13" t="n">
        <v>3</v>
      </c>
      <c r="U83" s="13" t="n">
        <v>3</v>
      </c>
      <c r="V83" s="13" t="n">
        <v>2</v>
      </c>
      <c r="W83" s="13" t="n">
        <v>2</v>
      </c>
      <c r="X83" s="13" t="n">
        <v>1</v>
      </c>
      <c r="Y83" s="13" t="n">
        <v>1</v>
      </c>
      <c r="Z83" s="13" t="inlineStr">
        <is>
          <t>ISO 30414; ISO 30405; ISO 45001; ISO 22301; CIPD; SHRM</t>
        </is>
      </c>
      <c r="AA83" s="13" t="inlineStr">
        <is>
          <t>Policy/SOP; owner/RACI; system report; dashboard; contracts; test records; incident history; interview evidence related to succession planning and deputies for all critical leadership and operational roles.</t>
        </is>
      </c>
      <c r="AB83" s="13" t="inlineStr">
        <is>
          <t>Workforce disruption; Pandemic/health crisis; War/security crisis</t>
        </is>
      </c>
      <c r="AC83" s="13" t="inlineStr">
        <is>
          <t>CHRO / HR</t>
        </is>
      </c>
      <c r="AD83" s="13" t="inlineStr">
        <is>
          <t>HR Workforce!16</t>
        </is>
      </c>
      <c r="AE83">
        <f>IF($A83="","",IF(OR(ISNUMBER(SEARCH("cyber",$D83)),ISNUMBER(SEARCH("security",$D83)),ISNUMBER(SEARCH("safety",$D83)),ISNUMBER(SEARCH("liquidity",$D83)),ISNUMBER(SEARCH("cash",$D83)),ISNUMBER(SEARCH("continuity",$D83)),ISNUMBER(SEARCH("infrastructure",$D83)),ISNUMBER(SEARCH("outage",$D83))),"Fast",IF(OR(ISNUMBER(SEARCH("compliance",$D83)),ISNUMBER(SEARCH("regulat",$D83)),ISNUMBER(SEARCH("data",$D83)),ISNUMBER(SEARCH("talent",$D83)),ISNUMBER(SEARCH("knowledge",$D83)),ISNUMBER(SEARCH("portfolio",$D83)),ISNUMBER(SEARCH("quality",$D83))),"Slow","Medium")))</f>
        <v/>
      </c>
      <c r="AF83">
        <f>IF($A83="","",IFERROR(VLOOKUP($B83,'_CONFIG_Risk_Calibration'!$A$5:$H$21,2,FALSE),3))</f>
        <v/>
      </c>
      <c r="AG83">
        <f>IF($A83="","",IFERROR(VLOOKUP($B83,'_CONFIG_Risk_Calibration'!$A$5:$H$21,3,FALSE),0))</f>
        <v/>
      </c>
      <c r="AH83">
        <f>IF($A83="","",IFERROR(VLOOKUP($B83,'_CONFIG_Risk_Calibration'!$A$5:$H$21,4,FALSE),3))</f>
        <v/>
      </c>
      <c r="AI83">
        <f>IF($A83="","",IFERROR(VLOOKUP($B83,'_CONFIG_Risk_Calibration'!$A$5:$H$21,5,FALSE),3))</f>
        <v/>
      </c>
      <c r="AJ83">
        <f>IF($A83="","",IFERROR(VLOOKUP($B83,'_CONFIG_Risk_Calibration'!$A$5:$H$21,6,FALSE),"No"))</f>
        <v/>
      </c>
      <c r="AK83">
        <f>IF($A83="","",IFERROR(VLOOKUP($B83,'_CONFIG_Risk_Calibration'!$A$5:$H$21,7,FALSE),1))</f>
        <v/>
      </c>
      <c r="AL83">
        <f>IF($A83="","",IFERROR(VLOOKUP($B83,'_CONFIG_Risk_Calibration'!$A$5:$H$21,8,FALSE),""))</f>
        <v/>
      </c>
    </row>
    <row r="84" ht="84" customHeight="1" s="209">
      <c r="A84" s="13" t="inlineStr">
        <is>
          <t>HRWO-013</t>
        </is>
      </c>
      <c r="B84" s="13" t="inlineStr">
        <is>
          <t>HR Workforce</t>
        </is>
      </c>
      <c r="C84" s="13" t="inlineStr">
        <is>
          <t>Continuity and wellbeing</t>
        </is>
      </c>
      <c r="D84" s="13" t="inlineStr">
        <is>
          <t>People, critical roles and knowledge continuity</t>
        </is>
      </c>
      <c r="E84" s="13" t="inlineStr">
        <is>
          <t>How mature is the organization in managing remote onboarding with secure access, equipment, training and manager support, including ownership, evidence, metrics, fallback procedures and crisis stress testing?</t>
        </is>
      </c>
      <c r="F84" s="13" t="inlineStr">
        <is>
          <t>Immature capability for remote onboarding with secure access, equipment, training and manager support may lead to loss of critical knowledge, reduced productivity, unmanaged absenteeism and inability to keep essential work running during Workforce disruption; Pandemic/health crisis; War/security crisis.</t>
        </is>
      </c>
      <c r="G84" s="13" t="inlineStr">
        <is>
          <t>Low maturity, weak ownership, incomplete evidence, insufficient testing and poor integration with crisis-management routines for remote onboarding with secure access, equipment, training and manager support.</t>
        </is>
      </c>
      <c r="H84" s="13" t="inlineStr">
        <is>
          <t>Severe risk: remote onboarding with secure access, equipment, training and manager support is not reliably controlled. During Workforce disruption; Pandemic/health crisis; War/security crisis, the organization may face loss of critical knowledge, reduced productivity, unmanaged absenteeism and inability to keep essential work running with limited visibility or accountability.</t>
        </is>
      </c>
      <c r="I84" s="13" t="inlineStr">
        <is>
          <t>High risk: remote onboarding with secure access, equipment, training and manager support depends on informal practices or individual knowledge. Disruption may expose loss of critical knowledge, reduced productivity, unmanaged absenteeism and inability to keep essential work running and slow recovery.</t>
        </is>
      </c>
      <c r="J84" s="13" t="inlineStr">
        <is>
          <t>Elevated risk: remote onboarding with secure access, equipment, training and manager support is partially controlled, but coverage, evidence or testing is inconsistent. Crisis response may be fragmented.</t>
        </is>
      </c>
      <c r="K84" s="13" t="inlineStr">
        <is>
          <t>Moderate risk: remote onboarding with secure access, equipment, training and manager support is documented and owned, but measurement, stress testing and integration with dependent processes need strengthening.</t>
        </is>
      </c>
      <c r="L84" s="13" t="inlineStr">
        <is>
          <t>Residual risk: remote onboarding with secure access, equipment, training and manager support is measured and reviewed, but monitoring, automation or scenario testing should be improved to prevent maturity drift.</t>
        </is>
      </c>
      <c r="M84" s="13" t="inlineStr">
        <is>
          <t>Low residual risk: remote onboarding with secure access, equipment, training and manager support is mature and crisis-tested. Maintain monitoring, evidence, ownership and periodic stress testing.</t>
        </is>
      </c>
      <c r="N84" s="13" t="inlineStr">
        <is>
          <t>Create an immediate risk owner, minimum control baseline and fallback procedure for remote onboarding with secure access, equipment, training and manager support. Add it to the crisis risk register and collect first evidence.</t>
        </is>
      </c>
      <c r="O84" s="13" t="inlineStr">
        <is>
          <t>Document remote onboarding with secure access, equipment, training and manager support, assign RACI, define minimum controls and KPIs, and validate coverage across key sites, teams or systems.</t>
        </is>
      </c>
      <c r="P84" s="13" t="inlineStr">
        <is>
          <t>Standardize remote onboarding with secure access, equipment, training and manager support, close coverage gaps, train accountable roles and connect controls to the relevant crisis scenarios and continuity plans.</t>
        </is>
      </c>
      <c r="Q84" s="13" t="inlineStr">
        <is>
          <t>Measure and test remote onboarding with secure access, equipment, training and manager support, run tabletop or operational stress tests, integrate it with dependent processes and update crisis playbooks.</t>
        </is>
      </c>
      <c r="R84" s="13" t="inlineStr">
        <is>
          <t>Automate monitoring where practical, define leading indicators, run periodic scenario tests and track residual risk after each major change.</t>
        </is>
      </c>
      <c r="S84" s="13" t="inlineStr">
        <is>
          <t>Sustain maturity for remote onboarding with secure access, equipment, training and manager support: keep evidence current, monitor drift, benchmark externally and refresh risk tests after organizational, system or market changes.</t>
        </is>
      </c>
      <c r="T84" s="13" t="n">
        <v>3</v>
      </c>
      <c r="U84" s="13" t="n">
        <v>3</v>
      </c>
      <c r="V84" s="13" t="n">
        <v>2</v>
      </c>
      <c r="W84" s="13" t="n">
        <v>2</v>
      </c>
      <c r="X84" s="13" t="n">
        <v>1</v>
      </c>
      <c r="Y84" s="13" t="n">
        <v>1</v>
      </c>
      <c r="Z84" s="13" t="inlineStr">
        <is>
          <t>ISO 30414; ISO 30405; ISO 45001; ISO 22301; CIPD; SHRM</t>
        </is>
      </c>
      <c r="AA84" s="13" t="inlineStr">
        <is>
          <t>Policy/SOP; owner/RACI; system report; dashboard; contracts; test records; incident history; interview evidence related to remote onboarding with secure access, equipment, training and manager support.</t>
        </is>
      </c>
      <c r="AB84" s="13" t="inlineStr">
        <is>
          <t>Workforce disruption; Pandemic/health crisis; War/security crisis</t>
        </is>
      </c>
      <c r="AC84" s="13" t="inlineStr">
        <is>
          <t>CHRO / HR</t>
        </is>
      </c>
      <c r="AD84" s="13" t="inlineStr">
        <is>
          <t>HR Workforce!17</t>
        </is>
      </c>
      <c r="AE84">
        <f>IF($A84="","",IF(OR(ISNUMBER(SEARCH("cyber",$D84)),ISNUMBER(SEARCH("security",$D84)),ISNUMBER(SEARCH("safety",$D84)),ISNUMBER(SEARCH("liquidity",$D84)),ISNUMBER(SEARCH("cash",$D84)),ISNUMBER(SEARCH("continuity",$D84)),ISNUMBER(SEARCH("infrastructure",$D84)),ISNUMBER(SEARCH("outage",$D84))),"Fast",IF(OR(ISNUMBER(SEARCH("compliance",$D84)),ISNUMBER(SEARCH("regulat",$D84)),ISNUMBER(SEARCH("data",$D84)),ISNUMBER(SEARCH("talent",$D84)),ISNUMBER(SEARCH("knowledge",$D84)),ISNUMBER(SEARCH("portfolio",$D84)),ISNUMBER(SEARCH("quality",$D84))),"Slow","Medium")))</f>
        <v/>
      </c>
      <c r="AF84">
        <f>IF($A84="","",IFERROR(VLOOKUP($B84,'_CONFIG_Risk_Calibration'!$A$5:$H$21,2,FALSE),3))</f>
        <v/>
      </c>
      <c r="AG84">
        <f>IF($A84="","",IFERROR(VLOOKUP($B84,'_CONFIG_Risk_Calibration'!$A$5:$H$21,3,FALSE),0))</f>
        <v/>
      </c>
      <c r="AH84">
        <f>IF($A84="","",IFERROR(VLOOKUP($B84,'_CONFIG_Risk_Calibration'!$A$5:$H$21,4,FALSE),3))</f>
        <v/>
      </c>
      <c r="AI84">
        <f>IF($A84="","",IFERROR(VLOOKUP($B84,'_CONFIG_Risk_Calibration'!$A$5:$H$21,5,FALSE),3))</f>
        <v/>
      </c>
      <c r="AJ84">
        <f>IF($A84="","",IFERROR(VLOOKUP($B84,'_CONFIG_Risk_Calibration'!$A$5:$H$21,6,FALSE),"No"))</f>
        <v/>
      </c>
      <c r="AK84">
        <f>IF($A84="","",IFERROR(VLOOKUP($B84,'_CONFIG_Risk_Calibration'!$A$5:$H$21,7,FALSE),1))</f>
        <v/>
      </c>
      <c r="AL84">
        <f>IF($A84="","",IFERROR(VLOOKUP($B84,'_CONFIG_Risk_Calibration'!$A$5:$H$21,8,FALSE),""))</f>
        <v/>
      </c>
    </row>
    <row r="85" ht="84" customHeight="1" s="209">
      <c r="A85" s="13" t="inlineStr">
        <is>
          <t>HRWO-014</t>
        </is>
      </c>
      <c r="B85" s="13" t="inlineStr">
        <is>
          <t>HR Workforce</t>
        </is>
      </c>
      <c r="C85" s="13" t="inlineStr">
        <is>
          <t>Continuity and wellbeing</t>
        </is>
      </c>
      <c r="D85" s="13" t="inlineStr">
        <is>
          <t>People, critical roles and knowledge continuity</t>
        </is>
      </c>
      <c r="E85" s="13" t="inlineStr">
        <is>
          <t>How mature is the organization in managing remote work capability with secure access, connectivity, equipment and documented procedures, including ownership, evidence, metrics, fallback procedures and crisis stress testing?</t>
        </is>
      </c>
      <c r="F85" s="13" t="inlineStr">
        <is>
          <t>Immature capability for remote work capability with secure access, connectivity, equipment and documented procedures may lead to loss of critical knowledge, reduced productivity, unmanaged absenteeism and inability to keep essential work running during Workforce disruption; Pandemic/health crisis; War/security crisis.</t>
        </is>
      </c>
      <c r="G85" s="13" t="inlineStr">
        <is>
          <t>Low maturity, weak ownership, incomplete evidence, insufficient testing and poor integration with crisis-management routines for remote work capability with secure access, connectivity, equipment and documented procedures.</t>
        </is>
      </c>
      <c r="H85" s="13" t="inlineStr">
        <is>
          <t>Severe risk: remote work capability with secure access, connectivity, equipment and documented procedures is not reliably controlled. During Workforce disruption; Pandemic/health crisis; War/security crisis, the organization may face loss of critical knowledge, reduced productivity, unmanaged absenteeism and inability to keep essential work running with limited visibility or accountability.</t>
        </is>
      </c>
      <c r="I85" s="13" t="inlineStr">
        <is>
          <t>High risk: remote work capability with secure access, connectivity, equipment and documented procedures depends on informal practices or individual knowledge. Disruption may expose loss of critical knowledge, reduced productivity, unmanaged absenteeism and inability to keep essential work running and slow recovery.</t>
        </is>
      </c>
      <c r="J85" s="13" t="inlineStr">
        <is>
          <t>Elevated risk: remote work capability with secure access, connectivity, equipment and documented procedures is partially controlled, but coverage, evidence or testing is inconsistent. Crisis response may be fragmented.</t>
        </is>
      </c>
      <c r="K85" s="13" t="inlineStr">
        <is>
          <t>Moderate risk: remote work capability with secure access, connectivity, equipment and documented procedures is documented and owned, but measurement, stress testing and integration with dependent processes need strengthening.</t>
        </is>
      </c>
      <c r="L85" s="13" t="inlineStr">
        <is>
          <t>Residual risk: remote work capability with secure access, connectivity, equipment and documented procedures is measured and reviewed, but monitoring, automation or scenario testing should be improved to prevent maturity drift.</t>
        </is>
      </c>
      <c r="M85" s="13" t="inlineStr">
        <is>
          <t>Low residual risk: remote work capability with secure access, connectivity, equipment and documented procedures is mature and crisis-tested. Maintain monitoring, evidence, ownership and periodic stress testing.</t>
        </is>
      </c>
      <c r="N85" s="13" t="inlineStr">
        <is>
          <t>Create an immediate risk owner, minimum control baseline and fallback procedure for remote work capability with secure access, connectivity, equipment and documented procedures. Add it to the crisis risk register and collect first evidence.</t>
        </is>
      </c>
      <c r="O85" s="13" t="inlineStr">
        <is>
          <t>Document remote work capability with secure access, connectivity, equipment and documented procedures, assign RACI, define minimum controls and KPIs, and validate coverage across key sites, teams or systems.</t>
        </is>
      </c>
      <c r="P85" s="13" t="inlineStr">
        <is>
          <t>Standardize remote work capability with secure access, connectivity, equipment and documented procedures, close coverage gaps, train accountable roles and connect controls to the relevant crisis scenarios and continuity plans.</t>
        </is>
      </c>
      <c r="Q85" s="13" t="inlineStr">
        <is>
          <t>Measure and test remote work capability with secure access, connectivity, equipment and documented procedures, run tabletop or operational stress tests, integrate it with dependent processes and update crisis playbooks.</t>
        </is>
      </c>
      <c r="R85" s="13" t="inlineStr">
        <is>
          <t>Automate monitoring where practical, define leading indicators, run periodic scenario tests and track residual risk after each major change.</t>
        </is>
      </c>
      <c r="S85" s="13" t="inlineStr">
        <is>
          <t>Sustain maturity for remote work capability with secure access, connectivity, equipment and documented procedures: keep evidence current, monitor drift, benchmark externally and refresh risk tests after organizational, system or market changes.</t>
        </is>
      </c>
      <c r="T85" s="13" t="n">
        <v>3</v>
      </c>
      <c r="U85" s="13" t="n">
        <v>3</v>
      </c>
      <c r="V85" s="13" t="n">
        <v>2</v>
      </c>
      <c r="W85" s="13" t="n">
        <v>2</v>
      </c>
      <c r="X85" s="13" t="n">
        <v>1</v>
      </c>
      <c r="Y85" s="13" t="n">
        <v>1</v>
      </c>
      <c r="Z85" s="13" t="inlineStr">
        <is>
          <t>ISO 30414; ISO 30405; ISO 45001; ISO 22301; CIPD; SHRM</t>
        </is>
      </c>
      <c r="AA85" s="13" t="inlineStr">
        <is>
          <t>Policy/SOP; owner/RACI; system report; dashboard; contracts; test records; incident history; interview evidence related to remote work capability with secure access, connectivity, equipment and documented procedures.</t>
        </is>
      </c>
      <c r="AB85" s="13" t="inlineStr">
        <is>
          <t>Workforce disruption; Pandemic/health crisis; War/security crisis</t>
        </is>
      </c>
      <c r="AC85" s="13" t="inlineStr">
        <is>
          <t>CHRO / HR</t>
        </is>
      </c>
      <c r="AD85" s="13" t="inlineStr">
        <is>
          <t>HR Workforce!18</t>
        </is>
      </c>
      <c r="AE85">
        <f>IF($A85="","",IF(OR(ISNUMBER(SEARCH("cyber",$D85)),ISNUMBER(SEARCH("security",$D85)),ISNUMBER(SEARCH("safety",$D85)),ISNUMBER(SEARCH("liquidity",$D85)),ISNUMBER(SEARCH("cash",$D85)),ISNUMBER(SEARCH("continuity",$D85)),ISNUMBER(SEARCH("infrastructure",$D85)),ISNUMBER(SEARCH("outage",$D85))),"Fast",IF(OR(ISNUMBER(SEARCH("compliance",$D85)),ISNUMBER(SEARCH("regulat",$D85)),ISNUMBER(SEARCH("data",$D85)),ISNUMBER(SEARCH("talent",$D85)),ISNUMBER(SEARCH("knowledge",$D85)),ISNUMBER(SEARCH("portfolio",$D85)),ISNUMBER(SEARCH("quality",$D85))),"Slow","Medium")))</f>
        <v/>
      </c>
      <c r="AF85">
        <f>IF($A85="","",IFERROR(VLOOKUP($B85,'_CONFIG_Risk_Calibration'!$A$5:$H$21,2,FALSE),3))</f>
        <v/>
      </c>
      <c r="AG85">
        <f>IF($A85="","",IFERROR(VLOOKUP($B85,'_CONFIG_Risk_Calibration'!$A$5:$H$21,3,FALSE),0))</f>
        <v/>
      </c>
      <c r="AH85">
        <f>IF($A85="","",IFERROR(VLOOKUP($B85,'_CONFIG_Risk_Calibration'!$A$5:$H$21,4,FALSE),3))</f>
        <v/>
      </c>
      <c r="AI85">
        <f>IF($A85="","",IFERROR(VLOOKUP($B85,'_CONFIG_Risk_Calibration'!$A$5:$H$21,5,FALSE),3))</f>
        <v/>
      </c>
      <c r="AJ85">
        <f>IF($A85="","",IFERROR(VLOOKUP($B85,'_CONFIG_Risk_Calibration'!$A$5:$H$21,6,FALSE),"No"))</f>
        <v/>
      </c>
      <c r="AK85">
        <f>IF($A85="","",IFERROR(VLOOKUP($B85,'_CONFIG_Risk_Calibration'!$A$5:$H$21,7,FALSE),1))</f>
        <v/>
      </c>
      <c r="AL85">
        <f>IF($A85="","",IFERROR(VLOOKUP($B85,'_CONFIG_Risk_Calibration'!$A$5:$H$21,8,FALSE),""))</f>
        <v/>
      </c>
    </row>
    <row r="86" ht="72" customHeight="1" s="209">
      <c r="A86" s="13" t="inlineStr">
        <is>
          <t>HRWO-015</t>
        </is>
      </c>
      <c r="B86" s="13" t="inlineStr">
        <is>
          <t>HR Workforce</t>
        </is>
      </c>
      <c r="C86" s="13" t="inlineStr">
        <is>
          <t>Continuity and wellbeing</t>
        </is>
      </c>
      <c r="D86" s="13" t="inlineStr">
        <is>
          <t>People, critical roles and knowledge continuity</t>
        </is>
      </c>
      <c r="E86" s="13" t="inlineStr">
        <is>
          <t>How mature is the organization in managing backup connectivity options for critical staff and locations, including ownership, evidence, metrics, fallback procedures and crisis stress testing?</t>
        </is>
      </c>
      <c r="F86" s="13" t="inlineStr">
        <is>
          <t>Immature capability for backup connectivity options for critical staff and locations may lead to loss of critical knowledge, reduced productivity, unmanaged absenteeism and inability to keep essential work running during Workforce disruption; Pandemic/health crisis; War/security crisis.</t>
        </is>
      </c>
      <c r="G86" s="13" t="inlineStr">
        <is>
          <t>Low maturity, weak ownership, incomplete evidence, insufficient testing and poor integration with crisis-management routines for backup connectivity options for critical staff and locations.</t>
        </is>
      </c>
      <c r="H86" s="13" t="inlineStr">
        <is>
          <t>Severe risk: backup connectivity options for critical staff and locations is not reliably controlled. During Workforce disruption; Pandemic/health crisis; War/security crisis, the organization may face loss of critical knowledge, reduced productivity, unmanaged absenteeism and inability to keep essential work running with limited visibility or accountability.</t>
        </is>
      </c>
      <c r="I86" s="13" t="inlineStr">
        <is>
          <t>High risk: backup connectivity options for critical staff and locations depends on informal practices or individual knowledge. Disruption may expose loss of critical knowledge, reduced productivity, unmanaged absenteeism and inability to keep essential work running and slow recovery.</t>
        </is>
      </c>
      <c r="J86" s="13" t="inlineStr">
        <is>
          <t>Elevated risk: backup connectivity options for critical staff and locations is partially controlled, but coverage, evidence or testing is inconsistent. Crisis response may be fragmented.</t>
        </is>
      </c>
      <c r="K86" s="13" t="inlineStr">
        <is>
          <t>Moderate risk: backup connectivity options for critical staff and locations is documented and owned, but measurement, stress testing and integration with dependent processes need strengthening.</t>
        </is>
      </c>
      <c r="L86" s="13" t="inlineStr">
        <is>
          <t>Residual risk: backup connectivity options for critical staff and locations is measured and reviewed, but monitoring, automation or scenario testing should be improved to prevent maturity drift.</t>
        </is>
      </c>
      <c r="M86" s="13" t="inlineStr">
        <is>
          <t>Low residual risk: backup connectivity options for critical staff and locations is mature and crisis-tested. Maintain monitoring, evidence, ownership and periodic stress testing.</t>
        </is>
      </c>
      <c r="N86" s="13" t="inlineStr">
        <is>
          <t>Create an immediate risk owner, minimum control baseline and fallback procedure for backup connectivity options for critical staff and locations. Add it to the crisis risk register and collect first evidence.</t>
        </is>
      </c>
      <c r="O86" s="13" t="inlineStr">
        <is>
          <t>Document backup connectivity options for critical staff and locations, assign RACI, define minimum controls and KPIs, and validate coverage across key sites, teams or systems.</t>
        </is>
      </c>
      <c r="P86" s="13" t="inlineStr">
        <is>
          <t>Standardize backup connectivity options for critical staff and locations, close coverage gaps, train accountable roles and connect controls to the relevant crisis scenarios and continuity plans.</t>
        </is>
      </c>
      <c r="Q86" s="13" t="inlineStr">
        <is>
          <t>Measure and test backup connectivity options for critical staff and locations, run tabletop or operational stress tests, integrate it with dependent processes and update crisis playbooks.</t>
        </is>
      </c>
      <c r="R86" s="13" t="inlineStr">
        <is>
          <t>Automate monitoring where practical, define leading indicators, run periodic scenario tests and track residual risk after each major change.</t>
        </is>
      </c>
      <c r="S86" s="13" t="inlineStr">
        <is>
          <t>Sustain maturity for backup connectivity options for critical staff and locations: keep evidence current, monitor drift, benchmark externally and refresh risk tests after organizational, system or market changes.</t>
        </is>
      </c>
      <c r="T86" s="13" t="n">
        <v>3</v>
      </c>
      <c r="U86" s="13" t="n">
        <v>3</v>
      </c>
      <c r="V86" s="13" t="n">
        <v>2</v>
      </c>
      <c r="W86" s="13" t="n">
        <v>2</v>
      </c>
      <c r="X86" s="13" t="n">
        <v>1</v>
      </c>
      <c r="Y86" s="13" t="n">
        <v>1</v>
      </c>
      <c r="Z86" s="13" t="inlineStr">
        <is>
          <t>ISO 30414; ISO 30405; ISO 45001; ISO 22301; CIPD; SHRM</t>
        </is>
      </c>
      <c r="AA86" s="13" t="inlineStr">
        <is>
          <t>Policy/SOP; owner/RACI; system report; dashboard; contracts; test records; incident history; interview evidence related to backup connectivity options for critical staff and locations.</t>
        </is>
      </c>
      <c r="AB86" s="13" t="inlineStr">
        <is>
          <t>Workforce disruption; Pandemic/health crisis; War/security crisis</t>
        </is>
      </c>
      <c r="AC86" s="13" t="inlineStr">
        <is>
          <t>CHRO / HR</t>
        </is>
      </c>
      <c r="AD86" s="13" t="inlineStr">
        <is>
          <t>HR Workforce!19</t>
        </is>
      </c>
      <c r="AE86">
        <f>IF($A86="","",IF(OR(ISNUMBER(SEARCH("cyber",$D86)),ISNUMBER(SEARCH("security",$D86)),ISNUMBER(SEARCH("safety",$D86)),ISNUMBER(SEARCH("liquidity",$D86)),ISNUMBER(SEARCH("cash",$D86)),ISNUMBER(SEARCH("continuity",$D86)),ISNUMBER(SEARCH("infrastructure",$D86)),ISNUMBER(SEARCH("outage",$D86))),"Fast",IF(OR(ISNUMBER(SEARCH("compliance",$D86)),ISNUMBER(SEARCH("regulat",$D86)),ISNUMBER(SEARCH("data",$D86)),ISNUMBER(SEARCH("talent",$D86)),ISNUMBER(SEARCH("knowledge",$D86)),ISNUMBER(SEARCH("portfolio",$D86)),ISNUMBER(SEARCH("quality",$D86))),"Slow","Medium")))</f>
        <v/>
      </c>
      <c r="AF86">
        <f>IF($A86="","",IFERROR(VLOOKUP($B86,'_CONFIG_Risk_Calibration'!$A$5:$H$21,2,FALSE),3))</f>
        <v/>
      </c>
      <c r="AG86">
        <f>IF($A86="","",IFERROR(VLOOKUP($B86,'_CONFIG_Risk_Calibration'!$A$5:$H$21,3,FALSE),0))</f>
        <v/>
      </c>
      <c r="AH86">
        <f>IF($A86="","",IFERROR(VLOOKUP($B86,'_CONFIG_Risk_Calibration'!$A$5:$H$21,4,FALSE),3))</f>
        <v/>
      </c>
      <c r="AI86">
        <f>IF($A86="","",IFERROR(VLOOKUP($B86,'_CONFIG_Risk_Calibration'!$A$5:$H$21,5,FALSE),3))</f>
        <v/>
      </c>
      <c r="AJ86">
        <f>IF($A86="","",IFERROR(VLOOKUP($B86,'_CONFIG_Risk_Calibration'!$A$5:$H$21,6,FALSE),"No"))</f>
        <v/>
      </c>
      <c r="AK86">
        <f>IF($A86="","",IFERROR(VLOOKUP($B86,'_CONFIG_Risk_Calibration'!$A$5:$H$21,7,FALSE),1))</f>
        <v/>
      </c>
      <c r="AL86">
        <f>IF($A86="","",IFERROR(VLOOKUP($B86,'_CONFIG_Risk_Calibration'!$A$5:$H$21,8,FALSE),""))</f>
        <v/>
      </c>
    </row>
    <row r="87" ht="72" customHeight="1" s="209">
      <c r="A87" s="13" t="inlineStr">
        <is>
          <t>HRWO-016</t>
        </is>
      </c>
      <c r="B87" s="13" t="inlineStr">
        <is>
          <t>HR Workforce</t>
        </is>
      </c>
      <c r="C87" s="13" t="inlineStr">
        <is>
          <t>Continuity and wellbeing</t>
        </is>
      </c>
      <c r="D87" s="13" t="inlineStr">
        <is>
          <t>People, critical roles and knowledge continuity</t>
        </is>
      </c>
      <c r="E87" s="13" t="inlineStr">
        <is>
          <t>How mature is the organization in managing employee location and safety check process during severe incidents, including ownership, evidence, metrics, fallback procedures and crisis stress testing?</t>
        </is>
      </c>
      <c r="F87" s="13" t="inlineStr">
        <is>
          <t>Immature capability for employee location and safety check process during severe incidents may lead to loss of critical knowledge, reduced productivity, unmanaged absenteeism and inability to keep essential work running during Workforce disruption; Pandemic/health crisis; War/security crisis.</t>
        </is>
      </c>
      <c r="G87" s="13" t="inlineStr">
        <is>
          <t>Low maturity, weak ownership, incomplete evidence, insufficient testing and poor integration with crisis-management routines for employee location and safety check process during severe incidents.</t>
        </is>
      </c>
      <c r="H87" s="13" t="inlineStr">
        <is>
          <t>Severe risk: employee location and safety check process during severe incidents is not reliably controlled. During Workforce disruption; Pandemic/health crisis; War/security crisis, the organization may face loss of critical knowledge, reduced productivity, unmanaged absenteeism and inability to keep essential work running with limited visibility or accountability.</t>
        </is>
      </c>
      <c r="I87" s="13" t="inlineStr">
        <is>
          <t>High risk: employee location and safety check process during severe incidents depends on informal practices or individual knowledge. Disruption may expose loss of critical knowledge, reduced productivity, unmanaged absenteeism and inability to keep essential work running and slow recovery.</t>
        </is>
      </c>
      <c r="J87" s="13" t="inlineStr">
        <is>
          <t>Elevated risk: employee location and safety check process during severe incidents is partially controlled, but coverage, evidence or testing is inconsistent. Crisis response may be fragmented.</t>
        </is>
      </c>
      <c r="K87" s="13" t="inlineStr">
        <is>
          <t>Moderate risk: employee location and safety check process during severe incidents is documented and owned, but measurement, stress testing and integration with dependent processes need strengthening.</t>
        </is>
      </c>
      <c r="L87" s="13" t="inlineStr">
        <is>
          <t>Residual risk: employee location and safety check process during severe incidents is measured and reviewed, but monitoring, automation or scenario testing should be improved to prevent maturity drift.</t>
        </is>
      </c>
      <c r="M87" s="13" t="inlineStr">
        <is>
          <t>Low residual risk: employee location and safety check process during severe incidents is mature and crisis-tested. Maintain monitoring, evidence, ownership and periodic stress testing.</t>
        </is>
      </c>
      <c r="N87" s="13" t="inlineStr">
        <is>
          <t>Create an immediate risk owner, minimum control baseline and fallback procedure for employee location and safety check process during severe incidents. Add it to the crisis risk register and collect first evidence.</t>
        </is>
      </c>
      <c r="O87" s="13" t="inlineStr">
        <is>
          <t>Document employee location and safety check process during severe incidents, assign RACI, define minimum controls and KPIs, and validate coverage across key sites, teams or systems.</t>
        </is>
      </c>
      <c r="P87" s="13" t="inlineStr">
        <is>
          <t>Standardize employee location and safety check process during severe incidents, close coverage gaps, train accountable roles and connect controls to the relevant crisis scenarios and continuity plans.</t>
        </is>
      </c>
      <c r="Q87" s="13" t="inlineStr">
        <is>
          <t>Measure and test employee location and safety check process during severe incidents, run tabletop or operational stress tests, integrate it with dependent processes and update crisis playbooks.</t>
        </is>
      </c>
      <c r="R87" s="13" t="inlineStr">
        <is>
          <t>Automate monitoring where practical, define leading indicators, run periodic scenario tests and track residual risk after each major change.</t>
        </is>
      </c>
      <c r="S87" s="13" t="inlineStr">
        <is>
          <t>Sustain maturity for employee location and safety check process during severe incidents: keep evidence current, monitor drift, benchmark externally and refresh risk tests after organizational, system or market changes.</t>
        </is>
      </c>
      <c r="T87" s="13" t="n">
        <v>3</v>
      </c>
      <c r="U87" s="13" t="n">
        <v>3</v>
      </c>
      <c r="V87" s="13" t="n">
        <v>2</v>
      </c>
      <c r="W87" s="13" t="n">
        <v>2</v>
      </c>
      <c r="X87" s="13" t="n">
        <v>1</v>
      </c>
      <c r="Y87" s="13" t="n">
        <v>1</v>
      </c>
      <c r="Z87" s="13" t="inlineStr">
        <is>
          <t>ISO 30414; ISO 30405; ISO 45001; ISO 22301; CIPD; SHRM</t>
        </is>
      </c>
      <c r="AA87" s="13" t="inlineStr">
        <is>
          <t>Policy/SOP; owner/RACI; system report; dashboard; contracts; test records; incident history; interview evidence related to employee location and safety check process during severe incidents.</t>
        </is>
      </c>
      <c r="AB87" s="13" t="inlineStr">
        <is>
          <t>Workforce disruption; Pandemic/health crisis; War/security crisis</t>
        </is>
      </c>
      <c r="AC87" s="13" t="inlineStr">
        <is>
          <t>CHRO / HR</t>
        </is>
      </c>
      <c r="AD87" s="13" t="inlineStr">
        <is>
          <t>HR Workforce!20</t>
        </is>
      </c>
      <c r="AE87">
        <f>IF($A87="","",IF(OR(ISNUMBER(SEARCH("cyber",$D87)),ISNUMBER(SEARCH("security",$D87)),ISNUMBER(SEARCH("safety",$D87)),ISNUMBER(SEARCH("liquidity",$D87)),ISNUMBER(SEARCH("cash",$D87)),ISNUMBER(SEARCH("continuity",$D87)),ISNUMBER(SEARCH("infrastructure",$D87)),ISNUMBER(SEARCH("outage",$D87))),"Fast",IF(OR(ISNUMBER(SEARCH("compliance",$D87)),ISNUMBER(SEARCH("regulat",$D87)),ISNUMBER(SEARCH("data",$D87)),ISNUMBER(SEARCH("talent",$D87)),ISNUMBER(SEARCH("knowledge",$D87)),ISNUMBER(SEARCH("portfolio",$D87)),ISNUMBER(SEARCH("quality",$D87))),"Slow","Medium")))</f>
        <v/>
      </c>
      <c r="AF87">
        <f>IF($A87="","",IFERROR(VLOOKUP($B87,'_CONFIG_Risk_Calibration'!$A$5:$H$21,2,FALSE),3))</f>
        <v/>
      </c>
      <c r="AG87">
        <f>IF($A87="","",IFERROR(VLOOKUP($B87,'_CONFIG_Risk_Calibration'!$A$5:$H$21,3,FALSE),0))</f>
        <v/>
      </c>
      <c r="AH87">
        <f>IF($A87="","",IFERROR(VLOOKUP($B87,'_CONFIG_Risk_Calibration'!$A$5:$H$21,4,FALSE),3))</f>
        <v/>
      </c>
      <c r="AI87">
        <f>IF($A87="","",IFERROR(VLOOKUP($B87,'_CONFIG_Risk_Calibration'!$A$5:$H$21,5,FALSE),3))</f>
        <v/>
      </c>
      <c r="AJ87">
        <f>IF($A87="","",IFERROR(VLOOKUP($B87,'_CONFIG_Risk_Calibration'!$A$5:$H$21,6,FALSE),"No"))</f>
        <v/>
      </c>
      <c r="AK87">
        <f>IF($A87="","",IFERROR(VLOOKUP($B87,'_CONFIG_Risk_Calibration'!$A$5:$H$21,7,FALSE),1))</f>
        <v/>
      </c>
      <c r="AL87">
        <f>IF($A87="","",IFERROR(VLOOKUP($B87,'_CONFIG_Risk_Calibration'!$A$5:$H$21,8,FALSE),""))</f>
        <v/>
      </c>
    </row>
    <row r="88" ht="84" customHeight="1" s="209">
      <c r="A88" s="13" t="inlineStr">
        <is>
          <t>HRWO-017</t>
        </is>
      </c>
      <c r="B88" s="13" t="inlineStr">
        <is>
          <t>HR Workforce</t>
        </is>
      </c>
      <c r="C88" s="13" t="inlineStr">
        <is>
          <t>Continuity and wellbeing</t>
        </is>
      </c>
      <c r="D88" s="13" t="inlineStr">
        <is>
          <t>People, critical roles and knowledge continuity</t>
        </is>
      </c>
      <c r="E88" s="13" t="inlineStr">
        <is>
          <t>How mature is the organization in managing wellbeing, fatigue, burnout and psychological safety monitoring during prolonged crisis, including ownership, evidence, metrics, fallback procedures and crisis stress testing?</t>
        </is>
      </c>
      <c r="F88" s="13" t="inlineStr">
        <is>
          <t>Immature capability for wellbeing, fatigue, burnout and psychological safety monitoring during prolonged crisis may lead to loss of critical knowledge, reduced productivity, unmanaged absenteeism and inability to keep essential work running during Workforce disruption; Pandemic/health crisis; War/security crisis.</t>
        </is>
      </c>
      <c r="G88" s="13" t="inlineStr">
        <is>
          <t>Low maturity, weak ownership, incomplete evidence, insufficient testing and poor integration with crisis-management routines for wellbeing, fatigue, burnout and psychological safety monitoring during prolonged crisis.</t>
        </is>
      </c>
      <c r="H88" s="13" t="inlineStr">
        <is>
          <t>Severe risk: wellbeing, fatigue, burnout and psychological safety monitoring during prolonged crisis is not reliably controlled. During Workforce disruption; Pandemic/health crisis; War/security crisis, the organization may face loss of critical knowledge, reduced productivity, unmanaged absenteeism and inability to keep essential work running with limited visibility or accountability.</t>
        </is>
      </c>
      <c r="I88" s="13" t="inlineStr">
        <is>
          <t>High risk: wellbeing, fatigue, burnout and psychological safety monitoring during prolonged crisis depends on informal practices or individual knowledge. Disruption may expose loss of critical knowledge, reduced productivity, unmanaged absenteeism and inability to keep essential work running and slow recovery.</t>
        </is>
      </c>
      <c r="J88" s="13" t="inlineStr">
        <is>
          <t>Elevated risk: wellbeing, fatigue, burnout and psychological safety monitoring during prolonged crisis is partially controlled, but coverage, evidence or testing is inconsistent. Crisis response may be fragmented.</t>
        </is>
      </c>
      <c r="K88" s="13" t="inlineStr">
        <is>
          <t>Moderate risk: wellbeing, fatigue, burnout and psychological safety monitoring during prolonged crisis is documented and owned, but measurement, stress testing and integration with dependent processes need strengthening.</t>
        </is>
      </c>
      <c r="L88" s="13" t="inlineStr">
        <is>
          <t>Residual risk: wellbeing, fatigue, burnout and psychological safety monitoring during prolonged crisis is measured and reviewed, but monitoring, automation or scenario testing should be improved to prevent maturity drift.</t>
        </is>
      </c>
      <c r="M88" s="13" t="inlineStr">
        <is>
          <t>Low residual risk: wellbeing, fatigue, burnout and psychological safety monitoring during prolonged crisis is mature and crisis-tested. Maintain monitoring, evidence, ownership and periodic stress testing.</t>
        </is>
      </c>
      <c r="N88" s="13" t="inlineStr">
        <is>
          <t>Create an immediate risk owner, minimum control baseline and fallback procedure for wellbeing, fatigue, burnout and psychological safety monitoring during prolonged crisis. Add it to the crisis risk register and collect first evidence.</t>
        </is>
      </c>
      <c r="O88" s="13" t="inlineStr">
        <is>
          <t>Document wellbeing, fatigue, burnout and psychological safety monitoring during prolonged crisis, assign RACI, define minimum controls and KPIs, and validate coverage across key sites, teams or systems.</t>
        </is>
      </c>
      <c r="P88" s="13" t="inlineStr">
        <is>
          <t>Standardize wellbeing, fatigue, burnout and psychological safety monitoring during prolonged crisis, close coverage gaps, train accountable roles and connect controls to the relevant crisis scenarios and continuity plans.</t>
        </is>
      </c>
      <c r="Q88" s="13" t="inlineStr">
        <is>
          <t>Measure and test wellbeing, fatigue, burnout and psychological safety monitoring during prolonged crisis, run tabletop or operational stress tests, integrate it with dependent processes and update crisis playbooks.</t>
        </is>
      </c>
      <c r="R88" s="13" t="inlineStr">
        <is>
          <t>Automate monitoring where practical, define leading indicators, run periodic scenario tests and track residual risk after each major change.</t>
        </is>
      </c>
      <c r="S88" s="13" t="inlineStr">
        <is>
          <t>Sustain maturity for wellbeing, fatigue, burnout and psychological safety monitoring during prolonged crisis: keep evidence current, monitor drift, benchmark externally and refresh risk tests after organizational, system or market changes.</t>
        </is>
      </c>
      <c r="T88" s="13" t="n">
        <v>3</v>
      </c>
      <c r="U88" s="13" t="n">
        <v>3</v>
      </c>
      <c r="V88" s="13" t="n">
        <v>2</v>
      </c>
      <c r="W88" s="13" t="n">
        <v>2</v>
      </c>
      <c r="X88" s="13" t="n">
        <v>1</v>
      </c>
      <c r="Y88" s="13" t="n">
        <v>1</v>
      </c>
      <c r="Z88" s="13" t="inlineStr">
        <is>
          <t>ISO 30414; ISO 30405; ISO 45001; ISO 22301; CIPD; SHRM</t>
        </is>
      </c>
      <c r="AA88" s="13" t="inlineStr">
        <is>
          <t>Policy/SOP; owner/RACI; system report; dashboard; contracts; test records; incident history; interview evidence related to wellbeing, fatigue, burnout and psychological safety monitoring during prolonged crisis.</t>
        </is>
      </c>
      <c r="AB88" s="13" t="inlineStr">
        <is>
          <t>Workforce disruption; Pandemic/health crisis; War/security crisis</t>
        </is>
      </c>
      <c r="AC88" s="13" t="inlineStr">
        <is>
          <t>CHRO / HR</t>
        </is>
      </c>
      <c r="AD88" s="13" t="inlineStr">
        <is>
          <t>HR Workforce!21</t>
        </is>
      </c>
      <c r="AE88">
        <f>IF($A88="","",IF(OR(ISNUMBER(SEARCH("cyber",$D88)),ISNUMBER(SEARCH("security",$D88)),ISNUMBER(SEARCH("safety",$D88)),ISNUMBER(SEARCH("liquidity",$D88)),ISNUMBER(SEARCH("cash",$D88)),ISNUMBER(SEARCH("continuity",$D88)),ISNUMBER(SEARCH("infrastructure",$D88)),ISNUMBER(SEARCH("outage",$D88))),"Fast",IF(OR(ISNUMBER(SEARCH("compliance",$D88)),ISNUMBER(SEARCH("regulat",$D88)),ISNUMBER(SEARCH("data",$D88)),ISNUMBER(SEARCH("talent",$D88)),ISNUMBER(SEARCH("knowledge",$D88)),ISNUMBER(SEARCH("portfolio",$D88)),ISNUMBER(SEARCH("quality",$D88))),"Slow","Medium")))</f>
        <v/>
      </c>
      <c r="AF88">
        <f>IF($A88="","",IFERROR(VLOOKUP($B88,'_CONFIG_Risk_Calibration'!$A$5:$H$21,2,FALSE),3))</f>
        <v/>
      </c>
      <c r="AG88">
        <f>IF($A88="","",IFERROR(VLOOKUP($B88,'_CONFIG_Risk_Calibration'!$A$5:$H$21,3,FALSE),0))</f>
        <v/>
      </c>
      <c r="AH88">
        <f>IF($A88="","",IFERROR(VLOOKUP($B88,'_CONFIG_Risk_Calibration'!$A$5:$H$21,4,FALSE),3))</f>
        <v/>
      </c>
      <c r="AI88">
        <f>IF($A88="","",IFERROR(VLOOKUP($B88,'_CONFIG_Risk_Calibration'!$A$5:$H$21,5,FALSE),3))</f>
        <v/>
      </c>
      <c r="AJ88">
        <f>IF($A88="","",IFERROR(VLOOKUP($B88,'_CONFIG_Risk_Calibration'!$A$5:$H$21,6,FALSE),"No"))</f>
        <v/>
      </c>
      <c r="AK88">
        <f>IF($A88="","",IFERROR(VLOOKUP($B88,'_CONFIG_Risk_Calibration'!$A$5:$H$21,7,FALSE),1))</f>
        <v/>
      </c>
      <c r="AL88">
        <f>IF($A88="","",IFERROR(VLOOKUP($B88,'_CONFIG_Risk_Calibration'!$A$5:$H$21,8,FALSE),""))</f>
        <v/>
      </c>
    </row>
    <row r="89" ht="84" customHeight="1" s="209">
      <c r="A89" s="13" t="inlineStr">
        <is>
          <t>HRWO-018</t>
        </is>
      </c>
      <c r="B89" s="13" t="inlineStr">
        <is>
          <t>HR Workforce</t>
        </is>
      </c>
      <c r="C89" s="13" t="inlineStr">
        <is>
          <t>Continuity and wellbeing</t>
        </is>
      </c>
      <c r="D89" s="13" t="inlineStr">
        <is>
          <t>People, critical roles and knowledge continuity</t>
        </is>
      </c>
      <c r="E89" s="13" t="inlineStr">
        <is>
          <t>How mature is the organization in managing emergency HR policies for relocation, evacuation, hardship support, flexible work and temporary staffing, including ownership, evidence, metrics, fallback procedures and crisis stress testing?</t>
        </is>
      </c>
      <c r="F89" s="13" t="inlineStr">
        <is>
          <t>Immature capability for emergency HR policies for relocation, evacuation, hardship support, flexible work and temporary staffing may lead to loss of critical knowledge, reduced productivity, unmanaged absenteeism and inability to keep essential work running during Workforce disruption; Pandemic/health crisis; War/security crisis.</t>
        </is>
      </c>
      <c r="G89" s="13" t="inlineStr">
        <is>
          <t>Low maturity, weak ownership, incomplete evidence, insufficient testing and poor integration with crisis-management routines for emergency HR policies for relocation, evacuation, hardship support, flexible work and temporary staffing.</t>
        </is>
      </c>
      <c r="H89" s="13" t="inlineStr">
        <is>
          <t>Severe risk: emergency HR policies for relocation, evacuation, hardship support, flexible work and temporary staffing is not reliably controlled. During Workforce disruption; Pandemic/health crisis; War/security crisis, the organization may face loss of critical knowledge, reduced productivity, unmanaged absenteeism and inability to keep essential work running with limited visibility or accountability.</t>
        </is>
      </c>
      <c r="I89" s="13" t="inlineStr">
        <is>
          <t>High risk: emergency HR policies for relocation, evacuation, hardship support, flexible work and temporary staffing depends on informal practices or individual knowledge. Disruption may expose loss of critical knowledge, reduced productivity, unmanaged absenteeism and inability to keep essential work running and slow recovery.</t>
        </is>
      </c>
      <c r="J89" s="13" t="inlineStr">
        <is>
          <t>Elevated risk: emergency HR policies for relocation, evacuation, hardship support, flexible work and temporary staffing is partially controlled, but coverage, evidence or testing is inconsistent. Crisis response may be fragmented.</t>
        </is>
      </c>
      <c r="K89" s="13" t="inlineStr">
        <is>
          <t>Moderate risk: emergency HR policies for relocation, evacuation, hardship support, flexible work and temporary staffing is documented and owned, but measurement, stress testing and integration with dependent processes need strengthening.</t>
        </is>
      </c>
      <c r="L89" s="13" t="inlineStr">
        <is>
          <t>Residual risk: emergency HR policies for relocation, evacuation, hardship support, flexible work and temporary staffing is measured and reviewed, but monitoring, automation or scenario testing should be improved to prevent maturity drift.</t>
        </is>
      </c>
      <c r="M89" s="13" t="inlineStr">
        <is>
          <t>Low residual risk: emergency HR policies for relocation, evacuation, hardship support, flexible work and temporary staffing is mature and crisis-tested. Maintain monitoring, evidence, ownership and periodic stress testing.</t>
        </is>
      </c>
      <c r="N89" s="13" t="inlineStr">
        <is>
          <t>Create an immediate risk owner, minimum control baseline and fallback procedure for emergency HR policies for relocation, evacuation, hardship support, flexible work and temporary staffing. Add it to the crisis risk register and collect first evidence.</t>
        </is>
      </c>
      <c r="O89" s="13" t="inlineStr">
        <is>
          <t>Document emergency HR policies for relocation, evacuation, hardship support, flexible work and temporary staffing, assign RACI, define minimum controls and KPIs, and validate coverage across key sites, teams or systems.</t>
        </is>
      </c>
      <c r="P89" s="13" t="inlineStr">
        <is>
          <t>Standardize emergency HR policies for relocation, evacuation, hardship support, flexible work and temporary staffing, close coverage gaps, train accountable roles and connect controls to the relevant crisis scenarios and continuity plans.</t>
        </is>
      </c>
      <c r="Q89" s="13" t="inlineStr">
        <is>
          <t>Measure and test emergency HR policies for relocation, evacuation, hardship support, flexible work and temporary staffing, run tabletop or operational stress tests, integrate it with dependent processes and update crisis playbooks.</t>
        </is>
      </c>
      <c r="R89" s="13" t="inlineStr">
        <is>
          <t>Automate monitoring where practical, define leading indicators, run periodic scenario tests and track residual risk after each major change.</t>
        </is>
      </c>
      <c r="S89" s="13" t="inlineStr">
        <is>
          <t>Sustain maturity for emergency HR policies for relocation, evacuation, hardship support, flexible work and temporary staffing: keep evidence current, monitor drift, benchmark externally and refresh risk tests after organizational, system or market changes.</t>
        </is>
      </c>
      <c r="T89" s="13" t="n">
        <v>3</v>
      </c>
      <c r="U89" s="13" t="n">
        <v>3</v>
      </c>
      <c r="V89" s="13" t="n">
        <v>2</v>
      </c>
      <c r="W89" s="13" t="n">
        <v>2</v>
      </c>
      <c r="X89" s="13" t="n">
        <v>1</v>
      </c>
      <c r="Y89" s="13" t="n">
        <v>1</v>
      </c>
      <c r="Z89" s="13" t="inlineStr">
        <is>
          <t>ISO 30414; ISO 30405; ISO 45001; ISO 22301; CIPD; SHRM</t>
        </is>
      </c>
      <c r="AA89" s="13" t="inlineStr">
        <is>
          <t>Policy/SOP; owner/RACI; system report; dashboard; contracts; test records; incident history; interview evidence related to emergency HR policies for relocation, evacuation, hardship support, flexible work and temporary staffing.</t>
        </is>
      </c>
      <c r="AB89" s="13" t="inlineStr">
        <is>
          <t>Workforce disruption; Pandemic/health crisis; War/security crisis</t>
        </is>
      </c>
      <c r="AC89" s="13" t="inlineStr">
        <is>
          <t>CHRO / HR</t>
        </is>
      </c>
      <c r="AD89" s="13" t="inlineStr">
        <is>
          <t>HR Workforce!22</t>
        </is>
      </c>
      <c r="AE89">
        <f>IF($A89="","",IF(OR(ISNUMBER(SEARCH("cyber",$D89)),ISNUMBER(SEARCH("security",$D89)),ISNUMBER(SEARCH("safety",$D89)),ISNUMBER(SEARCH("liquidity",$D89)),ISNUMBER(SEARCH("cash",$D89)),ISNUMBER(SEARCH("continuity",$D89)),ISNUMBER(SEARCH("infrastructure",$D89)),ISNUMBER(SEARCH("outage",$D89))),"Fast",IF(OR(ISNUMBER(SEARCH("compliance",$D89)),ISNUMBER(SEARCH("regulat",$D89)),ISNUMBER(SEARCH("data",$D89)),ISNUMBER(SEARCH("talent",$D89)),ISNUMBER(SEARCH("knowledge",$D89)),ISNUMBER(SEARCH("portfolio",$D89)),ISNUMBER(SEARCH("quality",$D89))),"Slow","Medium")))</f>
        <v/>
      </c>
      <c r="AF89">
        <f>IF($A89="","",IFERROR(VLOOKUP($B89,'_CONFIG_Risk_Calibration'!$A$5:$H$21,2,FALSE),3))</f>
        <v/>
      </c>
      <c r="AG89">
        <f>IF($A89="","",IFERROR(VLOOKUP($B89,'_CONFIG_Risk_Calibration'!$A$5:$H$21,3,FALSE),0))</f>
        <v/>
      </c>
      <c r="AH89">
        <f>IF($A89="","",IFERROR(VLOOKUP($B89,'_CONFIG_Risk_Calibration'!$A$5:$H$21,4,FALSE),3))</f>
        <v/>
      </c>
      <c r="AI89">
        <f>IF($A89="","",IFERROR(VLOOKUP($B89,'_CONFIG_Risk_Calibration'!$A$5:$H$21,5,FALSE),3))</f>
        <v/>
      </c>
      <c r="AJ89">
        <f>IF($A89="","",IFERROR(VLOOKUP($B89,'_CONFIG_Risk_Calibration'!$A$5:$H$21,6,FALSE),"No"))</f>
        <v/>
      </c>
      <c r="AK89">
        <f>IF($A89="","",IFERROR(VLOOKUP($B89,'_CONFIG_Risk_Calibration'!$A$5:$H$21,7,FALSE),1))</f>
        <v/>
      </c>
      <c r="AL89">
        <f>IF($A89="","",IFERROR(VLOOKUP($B89,'_CONFIG_Risk_Calibration'!$A$5:$H$21,8,FALSE),""))</f>
        <v/>
      </c>
    </row>
    <row r="90" ht="84" customHeight="1" s="209">
      <c r="A90" s="13" t="inlineStr">
        <is>
          <t>HRWO-019</t>
        </is>
      </c>
      <c r="B90" s="13" t="inlineStr">
        <is>
          <t>HR Workforce</t>
        </is>
      </c>
      <c r="C90" s="13" t="inlineStr">
        <is>
          <t>Continuity and wellbeing</t>
        </is>
      </c>
      <c r="D90" s="13" t="inlineStr">
        <is>
          <t>People, critical roles and knowledge continuity</t>
        </is>
      </c>
      <c r="E90" s="13" t="inlineStr">
        <is>
          <t>How mature is the organization in managing cross-training and knowledge transfer for critical operations and rare skills, including ownership, evidence, metrics, fallback procedures and crisis stress testing?</t>
        </is>
      </c>
      <c r="F90" s="13" t="inlineStr">
        <is>
          <t>Immature capability for cross-training and knowledge transfer for critical operations and rare skills may lead to loss of critical knowledge, reduced productivity, unmanaged absenteeism and inability to keep essential work running during Workforce disruption; Pandemic/health crisis; War/security crisis.</t>
        </is>
      </c>
      <c r="G90" s="13" t="inlineStr">
        <is>
          <t>Low maturity, weak ownership, incomplete evidence, insufficient testing and poor integration with crisis-management routines for cross-training and knowledge transfer for critical operations and rare skills.</t>
        </is>
      </c>
      <c r="H90" s="13" t="inlineStr">
        <is>
          <t>Severe risk: cross-training and knowledge transfer for critical operations and rare skills is not reliably controlled. During Workforce disruption; Pandemic/health crisis; War/security crisis, the organization may face loss of critical knowledge, reduced productivity, unmanaged absenteeism and inability to keep essential work running with limited visibility or accountability.</t>
        </is>
      </c>
      <c r="I90" s="13" t="inlineStr">
        <is>
          <t>High risk: cross-training and knowledge transfer for critical operations and rare skills depends on informal practices or individual knowledge. Disruption may expose loss of critical knowledge, reduced productivity, unmanaged absenteeism and inability to keep essential work running and slow recovery.</t>
        </is>
      </c>
      <c r="J90" s="13" t="inlineStr">
        <is>
          <t>Elevated risk: cross-training and knowledge transfer for critical operations and rare skills is partially controlled, but coverage, evidence or testing is inconsistent. Crisis response may be fragmented.</t>
        </is>
      </c>
      <c r="K90" s="13" t="inlineStr">
        <is>
          <t>Moderate risk: cross-training and knowledge transfer for critical operations and rare skills is documented and owned, but measurement, stress testing and integration with dependent processes need strengthening.</t>
        </is>
      </c>
      <c r="L90" s="13" t="inlineStr">
        <is>
          <t>Residual risk: cross-training and knowledge transfer for critical operations and rare skills is measured and reviewed, but monitoring, automation or scenario testing should be improved to prevent maturity drift.</t>
        </is>
      </c>
      <c r="M90" s="13" t="inlineStr">
        <is>
          <t>Low residual risk: cross-training and knowledge transfer for critical operations and rare skills is mature and crisis-tested. Maintain monitoring, evidence, ownership and periodic stress testing.</t>
        </is>
      </c>
      <c r="N90" s="13" t="inlineStr">
        <is>
          <t>Create an immediate risk owner, minimum control baseline and fallback procedure for cross-training and knowledge transfer for critical operations and rare skills. Add it to the crisis risk register and collect first evidence.</t>
        </is>
      </c>
      <c r="O90" s="13" t="inlineStr">
        <is>
          <t>Document cross-training and knowledge transfer for critical operations and rare skills, assign RACI, define minimum controls and KPIs, and validate coverage across key sites, teams or systems.</t>
        </is>
      </c>
      <c r="P90" s="13" t="inlineStr">
        <is>
          <t>Standardize cross-training and knowledge transfer for critical operations and rare skills, close coverage gaps, train accountable roles and connect controls to the relevant crisis scenarios and continuity plans.</t>
        </is>
      </c>
      <c r="Q90" s="13" t="inlineStr">
        <is>
          <t>Measure and test cross-training and knowledge transfer for critical operations and rare skills, run tabletop or operational stress tests, integrate it with dependent processes and update crisis playbooks.</t>
        </is>
      </c>
      <c r="R90" s="13" t="inlineStr">
        <is>
          <t>Automate monitoring where practical, define leading indicators, run periodic scenario tests and track residual risk after each major change.</t>
        </is>
      </c>
      <c r="S90" s="13" t="inlineStr">
        <is>
          <t>Sustain maturity for cross-training and knowledge transfer for critical operations and rare skills: keep evidence current, monitor drift, benchmark externally and refresh risk tests after organizational, system or market changes.</t>
        </is>
      </c>
      <c r="T90" s="13" t="n">
        <v>3</v>
      </c>
      <c r="U90" s="13" t="n">
        <v>3</v>
      </c>
      <c r="V90" s="13" t="n">
        <v>2</v>
      </c>
      <c r="W90" s="13" t="n">
        <v>2</v>
      </c>
      <c r="X90" s="13" t="n">
        <v>1</v>
      </c>
      <c r="Y90" s="13" t="n">
        <v>1</v>
      </c>
      <c r="Z90" s="13" t="inlineStr">
        <is>
          <t>ISO 30414; ISO 30405; ISO 45001; ISO 22301; CIPD; SHRM</t>
        </is>
      </c>
      <c r="AA90" s="13" t="inlineStr">
        <is>
          <t>Policy/SOP; owner/RACI; system report; dashboard; contracts; test records; incident history; interview evidence related to cross-training and knowledge transfer for critical operations and rare skills.</t>
        </is>
      </c>
      <c r="AB90" s="13" t="inlineStr">
        <is>
          <t>Workforce disruption; Pandemic/health crisis; War/security crisis</t>
        </is>
      </c>
      <c r="AC90" s="13" t="inlineStr">
        <is>
          <t>CHRO / HR</t>
        </is>
      </c>
      <c r="AD90" s="13" t="inlineStr">
        <is>
          <t>HR Workforce!23</t>
        </is>
      </c>
      <c r="AE90">
        <f>IF($A90="","",IF(OR(ISNUMBER(SEARCH("cyber",$D90)),ISNUMBER(SEARCH("security",$D90)),ISNUMBER(SEARCH("safety",$D90)),ISNUMBER(SEARCH("liquidity",$D90)),ISNUMBER(SEARCH("cash",$D90)),ISNUMBER(SEARCH("continuity",$D90)),ISNUMBER(SEARCH("infrastructure",$D90)),ISNUMBER(SEARCH("outage",$D90))),"Fast",IF(OR(ISNUMBER(SEARCH("compliance",$D90)),ISNUMBER(SEARCH("regulat",$D90)),ISNUMBER(SEARCH("data",$D90)),ISNUMBER(SEARCH("talent",$D90)),ISNUMBER(SEARCH("knowledge",$D90)),ISNUMBER(SEARCH("portfolio",$D90)),ISNUMBER(SEARCH("quality",$D90))),"Slow","Medium")))</f>
        <v/>
      </c>
      <c r="AF90">
        <f>IF($A90="","",IFERROR(VLOOKUP($B90,'_CONFIG_Risk_Calibration'!$A$5:$H$21,2,FALSE),3))</f>
        <v/>
      </c>
      <c r="AG90">
        <f>IF($A90="","",IFERROR(VLOOKUP($B90,'_CONFIG_Risk_Calibration'!$A$5:$H$21,3,FALSE),0))</f>
        <v/>
      </c>
      <c r="AH90">
        <f>IF($A90="","",IFERROR(VLOOKUP($B90,'_CONFIG_Risk_Calibration'!$A$5:$H$21,4,FALSE),3))</f>
        <v/>
      </c>
      <c r="AI90">
        <f>IF($A90="","",IFERROR(VLOOKUP($B90,'_CONFIG_Risk_Calibration'!$A$5:$H$21,5,FALSE),3))</f>
        <v/>
      </c>
      <c r="AJ90">
        <f>IF($A90="","",IFERROR(VLOOKUP($B90,'_CONFIG_Risk_Calibration'!$A$5:$H$21,6,FALSE),"No"))</f>
        <v/>
      </c>
      <c r="AK90">
        <f>IF($A90="","",IFERROR(VLOOKUP($B90,'_CONFIG_Risk_Calibration'!$A$5:$H$21,7,FALSE),1))</f>
        <v/>
      </c>
      <c r="AL90">
        <f>IF($A90="","",IFERROR(VLOOKUP($B90,'_CONFIG_Risk_Calibration'!$A$5:$H$21,8,FALSE),""))</f>
        <v/>
      </c>
    </row>
    <row r="91" ht="84" customHeight="1" s="209">
      <c r="A91" s="13" t="inlineStr">
        <is>
          <t>HRWO-020</t>
        </is>
      </c>
      <c r="B91" s="13" t="inlineStr">
        <is>
          <t>HR Workforce</t>
        </is>
      </c>
      <c r="C91" s="13" t="inlineStr">
        <is>
          <t>HR systems and compliance</t>
        </is>
      </c>
      <c r="D91" s="13" t="inlineStr">
        <is>
          <t>People, critical roles and knowledge continuity</t>
        </is>
      </c>
      <c r="E91" s="13" t="inlineStr">
        <is>
          <t>How mature is the organization in managing HRMS reliability, backup, manual fallback and data quality for employee records and emergency contacts, including ownership, evidence, metrics, fallback procedures and crisis stress testing?</t>
        </is>
      </c>
      <c r="F91" s="13" t="inlineStr">
        <is>
          <t>Immature capability for HRMS reliability, backup, manual fallback and data quality for employee records and emergency contacts may lead to loss of critical knowledge, reduced productivity, unmanaged absenteeism and inability to keep essential work running during Workforce disruption; Pandemic/health crisis; War/security crisis.</t>
        </is>
      </c>
      <c r="G91" s="13" t="inlineStr">
        <is>
          <t>Low maturity, weak ownership, incomplete evidence, insufficient testing and poor integration with crisis-management routines for HRMS reliability, backup, manual fallback and data quality for employee records and emergency contacts.</t>
        </is>
      </c>
      <c r="H91" s="13" t="inlineStr">
        <is>
          <t>Severe risk: HRMS reliability, backup, manual fallback and data quality for employee records and emergency contacts is not reliably controlled. During Workforce disruption; Pandemic/health crisis; War/security crisis, the organization may face loss of critical knowledge, reduced productivity, unmanaged absenteeism and inability to keep essential work running with limited visibility or accountability.</t>
        </is>
      </c>
      <c r="I91" s="13" t="inlineStr">
        <is>
          <t>High risk: HRMS reliability, backup, manual fallback and data quality for employee records and emergency contacts depends on informal practices or individual knowledge. Disruption may expose loss of critical knowledge, reduced productivity, unmanaged absenteeism and inability to keep essential work running and slow recovery.</t>
        </is>
      </c>
      <c r="J91" s="13" t="inlineStr">
        <is>
          <t>Elevated risk: HRMS reliability, backup, manual fallback and data quality for employee records and emergency contacts is partially controlled, but coverage, evidence or testing is inconsistent. Crisis response may be fragmented.</t>
        </is>
      </c>
      <c r="K91" s="13" t="inlineStr">
        <is>
          <t>Moderate risk: HRMS reliability, backup, manual fallback and data quality for employee records and emergency contacts is documented and owned, but measurement, stress testing and integration with dependent processes need strengthening.</t>
        </is>
      </c>
      <c r="L91" s="13" t="inlineStr">
        <is>
          <t>Residual risk: HRMS reliability, backup, manual fallback and data quality for employee records and emergency contacts is measured and reviewed, but monitoring, automation or scenario testing should be improved to prevent maturity drift.</t>
        </is>
      </c>
      <c r="M91" s="13" t="inlineStr">
        <is>
          <t>Low residual risk: HRMS reliability, backup, manual fallback and data quality for employee records and emergency contacts is mature and crisis-tested. Maintain monitoring, evidence, ownership and periodic stress testing.</t>
        </is>
      </c>
      <c r="N91" s="13" t="inlineStr">
        <is>
          <t>Create an immediate risk owner, minimum control baseline and fallback procedure for HRMS reliability, backup, manual fallback and data quality for employee records and emergency contacts. Add it to the crisis risk register and collect first evidence.</t>
        </is>
      </c>
      <c r="O91" s="13" t="inlineStr">
        <is>
          <t>Document HRMS reliability, backup, manual fallback and data quality for employee records and emergency contacts, assign RACI, define minimum controls and KPIs, and validate coverage across key sites, teams or systems.</t>
        </is>
      </c>
      <c r="P91" s="13" t="inlineStr">
        <is>
          <t>Standardize HRMS reliability, backup, manual fallback and data quality for employee records and emergency contacts, close coverage gaps, train accountable roles and connect controls to the relevant crisis scenarios and continuity plans.</t>
        </is>
      </c>
      <c r="Q91" s="13" t="inlineStr">
        <is>
          <t>Measure and test HRMS reliability, backup, manual fallback and data quality for employee records and emergency contacts, run tabletop or operational stress tests, integrate it with dependent processes and update crisis playbooks.</t>
        </is>
      </c>
      <c r="R91" s="13" t="inlineStr">
        <is>
          <t>Automate monitoring where practical, define leading indicators, run periodic scenario tests and track residual risk after each major change.</t>
        </is>
      </c>
      <c r="S91" s="13" t="inlineStr">
        <is>
          <t>Sustain maturity for HRMS reliability, backup, manual fallback and data quality for employee records and emergency contacts: keep evidence current, monitor drift, benchmark externally and refresh risk tests after organizational, system or market changes.</t>
        </is>
      </c>
      <c r="T91" s="13" t="n">
        <v>3</v>
      </c>
      <c r="U91" s="13" t="n">
        <v>3</v>
      </c>
      <c r="V91" s="13" t="n">
        <v>2</v>
      </c>
      <c r="W91" s="13" t="n">
        <v>2</v>
      </c>
      <c r="X91" s="13" t="n">
        <v>1</v>
      </c>
      <c r="Y91" s="13" t="n">
        <v>1</v>
      </c>
      <c r="Z91" s="13" t="inlineStr">
        <is>
          <t>ISO 30414; ISO 30405; ISO 45001; ISO 22301; CIPD; SHRM</t>
        </is>
      </c>
      <c r="AA91" s="13" t="inlineStr">
        <is>
          <t>Policy/SOP; owner/RACI; system report; dashboard; contracts; test records; incident history; interview evidence related to HRMS reliability, backup, manual fallback and data quality for employee records and emergency contacts.</t>
        </is>
      </c>
      <c r="AB91" s="13" t="inlineStr">
        <is>
          <t>Workforce disruption; Pandemic/health crisis; War/security crisis</t>
        </is>
      </c>
      <c r="AC91" s="13" t="inlineStr">
        <is>
          <t>CHRO / HR</t>
        </is>
      </c>
      <c r="AD91" s="13" t="inlineStr">
        <is>
          <t>HR Workforce!24</t>
        </is>
      </c>
      <c r="AE91">
        <f>IF($A91="","",IF(OR(ISNUMBER(SEARCH("cyber",$D91)),ISNUMBER(SEARCH("security",$D91)),ISNUMBER(SEARCH("safety",$D91)),ISNUMBER(SEARCH("liquidity",$D91)),ISNUMBER(SEARCH("cash",$D91)),ISNUMBER(SEARCH("continuity",$D91)),ISNUMBER(SEARCH("infrastructure",$D91)),ISNUMBER(SEARCH("outage",$D91))),"Fast",IF(OR(ISNUMBER(SEARCH("compliance",$D91)),ISNUMBER(SEARCH("regulat",$D91)),ISNUMBER(SEARCH("data",$D91)),ISNUMBER(SEARCH("talent",$D91)),ISNUMBER(SEARCH("knowledge",$D91)),ISNUMBER(SEARCH("portfolio",$D91)),ISNUMBER(SEARCH("quality",$D91))),"Slow","Medium")))</f>
        <v/>
      </c>
      <c r="AF91">
        <f>IF($A91="","",IFERROR(VLOOKUP($B91,'_CONFIG_Risk_Calibration'!$A$5:$H$21,2,FALSE),3))</f>
        <v/>
      </c>
      <c r="AG91">
        <f>IF($A91="","",IFERROR(VLOOKUP($B91,'_CONFIG_Risk_Calibration'!$A$5:$H$21,3,FALSE),0))</f>
        <v/>
      </c>
      <c r="AH91">
        <f>IF($A91="","",IFERROR(VLOOKUP($B91,'_CONFIG_Risk_Calibration'!$A$5:$H$21,4,FALSE),3))</f>
        <v/>
      </c>
      <c r="AI91">
        <f>IF($A91="","",IFERROR(VLOOKUP($B91,'_CONFIG_Risk_Calibration'!$A$5:$H$21,5,FALSE),3))</f>
        <v/>
      </c>
      <c r="AJ91">
        <f>IF($A91="","",IFERROR(VLOOKUP($B91,'_CONFIG_Risk_Calibration'!$A$5:$H$21,6,FALSE),"No"))</f>
        <v/>
      </c>
      <c r="AK91">
        <f>IF($A91="","",IFERROR(VLOOKUP($B91,'_CONFIG_Risk_Calibration'!$A$5:$H$21,7,FALSE),1))</f>
        <v/>
      </c>
      <c r="AL91">
        <f>IF($A91="","",IFERROR(VLOOKUP($B91,'_CONFIG_Risk_Calibration'!$A$5:$H$21,8,FALSE),""))</f>
        <v/>
      </c>
    </row>
    <row r="92" ht="84" customHeight="1" s="209">
      <c r="A92" s="13" t="inlineStr">
        <is>
          <t>HRWO-022</t>
        </is>
      </c>
      <c r="B92" s="13" t="inlineStr">
        <is>
          <t>HR Workforce</t>
        </is>
      </c>
      <c r="C92" s="13" t="inlineStr">
        <is>
          <t>HR systems and compliance</t>
        </is>
      </c>
      <c r="D92" s="13" t="inlineStr">
        <is>
          <t>People, critical roles and knowledge continuity</t>
        </is>
      </c>
      <c r="E92" s="13" t="inlineStr">
        <is>
          <t>How mature is the organization in managing employment compliance by country, contract type, working hours and emergency measures, including ownership, evidence, metrics, fallback procedures and crisis stress testing?</t>
        </is>
      </c>
      <c r="F92" s="13" t="inlineStr">
        <is>
          <t>Immature capability for employment compliance by country, contract type, working hours and emergency measures may lead to loss of critical knowledge, reduced productivity, unmanaged absenteeism and inability to keep essential work running during Workforce disruption; Pandemic/health crisis; War/security crisis.</t>
        </is>
      </c>
      <c r="G92" s="13" t="inlineStr">
        <is>
          <t>Low maturity, weak ownership, incomplete evidence, insufficient testing and poor integration with crisis-management routines for employment compliance by country, contract type, working hours and emergency measures.</t>
        </is>
      </c>
      <c r="H92" s="13" t="inlineStr">
        <is>
          <t>Severe risk: employment compliance by country, contract type, working hours and emergency measures is not reliably controlled. During Workforce disruption; Pandemic/health crisis; War/security crisis, the organization may face loss of critical knowledge, reduced productivity, unmanaged absenteeism and inability to keep essential work running with limited visibility or accountability.</t>
        </is>
      </c>
      <c r="I92" s="13" t="inlineStr">
        <is>
          <t>High risk: employment compliance by country, contract type, working hours and emergency measures depends on informal practices or individual knowledge. Disruption may expose loss of critical knowledge, reduced productivity, unmanaged absenteeism and inability to keep essential work running and slow recovery.</t>
        </is>
      </c>
      <c r="J92" s="13" t="inlineStr">
        <is>
          <t>Elevated risk: employment compliance by country, contract type, working hours and emergency measures is partially controlled, but coverage, evidence or testing is inconsistent. Crisis response may be fragmented.</t>
        </is>
      </c>
      <c r="K92" s="13" t="inlineStr">
        <is>
          <t>Moderate risk: employment compliance by country, contract type, working hours and emergency measures is documented and owned, but measurement, stress testing and integration with dependent processes need strengthening.</t>
        </is>
      </c>
      <c r="L92" s="13" t="inlineStr">
        <is>
          <t>Residual risk: employment compliance by country, contract type, working hours and emergency measures is measured and reviewed, but monitoring, automation or scenario testing should be improved to prevent maturity drift.</t>
        </is>
      </c>
      <c r="M92" s="13" t="inlineStr">
        <is>
          <t>Low residual risk: employment compliance by country, contract type, working hours and emergency measures is mature and crisis-tested. Maintain monitoring, evidence, ownership and periodic stress testing.</t>
        </is>
      </c>
      <c r="N92" s="13" t="inlineStr">
        <is>
          <t>Create an immediate risk owner, minimum control baseline and fallback procedure for employment compliance by country, contract type, working hours and emergency measures. Add it to the crisis risk register and collect first evidence.</t>
        </is>
      </c>
      <c r="O92" s="13" t="inlineStr">
        <is>
          <t>Document employment compliance by country, contract type, working hours and emergency measures, assign RACI, define minimum controls and KPIs, and validate coverage across key sites, teams or systems.</t>
        </is>
      </c>
      <c r="P92" s="13" t="inlineStr">
        <is>
          <t>Standardize employment compliance by country, contract type, working hours and emergency measures, close coverage gaps, train accountable roles and connect controls to the relevant crisis scenarios and continuity plans.</t>
        </is>
      </c>
      <c r="Q92" s="13" t="inlineStr">
        <is>
          <t>Measure and test employment compliance by country, contract type, working hours and emergency measures, run tabletop or operational stress tests, integrate it with dependent processes and update crisis playbooks.</t>
        </is>
      </c>
      <c r="R92" s="13" t="inlineStr">
        <is>
          <t>Automate monitoring where practical, define leading indicators, run periodic scenario tests and track residual risk after each major change.</t>
        </is>
      </c>
      <c r="S92" s="13" t="inlineStr">
        <is>
          <t>Sustain maturity for employment compliance by country, contract type, working hours and emergency measures: keep evidence current, monitor drift, benchmark externally and refresh risk tests after organizational, system or market changes.</t>
        </is>
      </c>
      <c r="T92" s="13" t="n">
        <v>3</v>
      </c>
      <c r="U92" s="13" t="n">
        <v>3</v>
      </c>
      <c r="V92" s="13" t="n">
        <v>2</v>
      </c>
      <c r="W92" s="13" t="n">
        <v>2</v>
      </c>
      <c r="X92" s="13" t="n">
        <v>1</v>
      </c>
      <c r="Y92" s="13" t="n">
        <v>1</v>
      </c>
      <c r="Z92" s="13" t="inlineStr">
        <is>
          <t>ISO 30414; ISO 30405; ISO 45001; ISO 22301; CIPD; SHRM</t>
        </is>
      </c>
      <c r="AA92" s="13" t="inlineStr">
        <is>
          <t>Policy/SOP; owner/RACI; system report; dashboard; contracts; test records; incident history; interview evidence related to employment compliance by country, contract type, working hours and emergency measures.</t>
        </is>
      </c>
      <c r="AB92" s="13" t="inlineStr">
        <is>
          <t>Workforce disruption; Pandemic/health crisis; War/security crisis</t>
        </is>
      </c>
      <c r="AC92" s="13" t="inlineStr">
        <is>
          <t>CHRO / HR</t>
        </is>
      </c>
      <c r="AD92" s="13" t="inlineStr">
        <is>
          <t>HR Workforce!25</t>
        </is>
      </c>
      <c r="AE92">
        <f>IF($A92="","",IF(OR(ISNUMBER(SEARCH("cyber",$D92)),ISNUMBER(SEARCH("security",$D92)),ISNUMBER(SEARCH("safety",$D92)),ISNUMBER(SEARCH("liquidity",$D92)),ISNUMBER(SEARCH("cash",$D92)),ISNUMBER(SEARCH("continuity",$D92)),ISNUMBER(SEARCH("infrastructure",$D92)),ISNUMBER(SEARCH("outage",$D92))),"Fast",IF(OR(ISNUMBER(SEARCH("compliance",$D92)),ISNUMBER(SEARCH("regulat",$D92)),ISNUMBER(SEARCH("data",$D92)),ISNUMBER(SEARCH("talent",$D92)),ISNUMBER(SEARCH("knowledge",$D92)),ISNUMBER(SEARCH("portfolio",$D92)),ISNUMBER(SEARCH("quality",$D92))),"Slow","Medium")))</f>
        <v/>
      </c>
      <c r="AF92">
        <f>IF($A92="","",IFERROR(VLOOKUP($B92,'_CONFIG_Risk_Calibration'!$A$5:$H$21,2,FALSE),3))</f>
        <v/>
      </c>
      <c r="AG92">
        <f>IF($A92="","",IFERROR(VLOOKUP($B92,'_CONFIG_Risk_Calibration'!$A$5:$H$21,3,FALSE),0))</f>
        <v/>
      </c>
      <c r="AH92">
        <f>IF($A92="","",IFERROR(VLOOKUP($B92,'_CONFIG_Risk_Calibration'!$A$5:$H$21,4,FALSE),3))</f>
        <v/>
      </c>
      <c r="AI92">
        <f>IF($A92="","",IFERROR(VLOOKUP($B92,'_CONFIG_Risk_Calibration'!$A$5:$H$21,5,FALSE),3))</f>
        <v/>
      </c>
      <c r="AJ92">
        <f>IF($A92="","",IFERROR(VLOOKUP($B92,'_CONFIG_Risk_Calibration'!$A$5:$H$21,6,FALSE),"No"))</f>
        <v/>
      </c>
      <c r="AK92">
        <f>IF($A92="","",IFERROR(VLOOKUP($B92,'_CONFIG_Risk_Calibration'!$A$5:$H$21,7,FALSE),1))</f>
        <v/>
      </c>
      <c r="AL92">
        <f>IF($A92="","",IFERROR(VLOOKUP($B92,'_CONFIG_Risk_Calibration'!$A$5:$H$21,8,FALSE),""))</f>
        <v/>
      </c>
    </row>
    <row r="93" ht="84" customHeight="1" s="209">
      <c r="A93" s="13" t="inlineStr">
        <is>
          <t>HRWO-024</t>
        </is>
      </c>
      <c r="B93" s="13" t="inlineStr">
        <is>
          <t>HR Workforce</t>
        </is>
      </c>
      <c r="C93" s="13" t="inlineStr">
        <is>
          <t>HR systems and compliance</t>
        </is>
      </c>
      <c r="D93" s="13" t="inlineStr">
        <is>
          <t>People, critical roles and knowledge continuity</t>
        </is>
      </c>
      <c r="E93" s="13" t="inlineStr">
        <is>
          <t>How mature is the organization in managing health emergency protocols for infectious disease, injury, evacuation and return-to-work, including ownership, evidence, metrics, fallback procedures and crisis stress testing?</t>
        </is>
      </c>
      <c r="F93" s="13" t="inlineStr">
        <is>
          <t>Immature capability for health emergency protocols for infectious disease, injury, evacuation and return-to-work may lead to loss of critical knowledge, reduced productivity, unmanaged absenteeism and inability to keep essential work running during Workforce disruption; Pandemic/health crisis; War/security crisis.</t>
        </is>
      </c>
      <c r="G93" s="13" t="inlineStr">
        <is>
          <t>Low maturity, weak ownership, incomplete evidence, insufficient testing and poor integration with crisis-management routines for health emergency protocols for infectious disease, injury, evacuation and return-to-work.</t>
        </is>
      </c>
      <c r="H93" s="13" t="inlineStr">
        <is>
          <t>Severe risk: health emergency protocols for infectious disease, injury, evacuation and return-to-work is not reliably controlled. During Workforce disruption; Pandemic/health crisis; War/security crisis, the organization may face loss of critical knowledge, reduced productivity, unmanaged absenteeism and inability to keep essential work running with limited visibility or accountability.</t>
        </is>
      </c>
      <c r="I93" s="13" t="inlineStr">
        <is>
          <t>High risk: health emergency protocols for infectious disease, injury, evacuation and return-to-work depends on informal practices or individual knowledge. Disruption may expose loss of critical knowledge, reduced productivity, unmanaged absenteeism and inability to keep essential work running and slow recovery.</t>
        </is>
      </c>
      <c r="J93" s="13" t="inlineStr">
        <is>
          <t>Elevated risk: health emergency protocols for infectious disease, injury, evacuation and return-to-work is partially controlled, but coverage, evidence or testing is inconsistent. Crisis response may be fragmented.</t>
        </is>
      </c>
      <c r="K93" s="13" t="inlineStr">
        <is>
          <t>Moderate risk: health emergency protocols for infectious disease, injury, evacuation and return-to-work is documented and owned, but measurement, stress testing and integration with dependent processes need strengthening.</t>
        </is>
      </c>
      <c r="L93" s="13" t="inlineStr">
        <is>
          <t>Residual risk: health emergency protocols for infectious disease, injury, evacuation and return-to-work is measured and reviewed, but monitoring, automation or scenario testing should be improved to prevent maturity drift.</t>
        </is>
      </c>
      <c r="M93" s="13" t="inlineStr">
        <is>
          <t>Low residual risk: health emergency protocols for infectious disease, injury, evacuation and return-to-work is mature and crisis-tested. Maintain monitoring, evidence, ownership and periodic stress testing.</t>
        </is>
      </c>
      <c r="N93" s="13" t="inlineStr">
        <is>
          <t>Create an immediate risk owner, minimum control baseline and fallback procedure for health emergency protocols for infectious disease, injury, evacuation and return-to-work. Add it to the crisis risk register and collect first evidence.</t>
        </is>
      </c>
      <c r="O93" s="13" t="inlineStr">
        <is>
          <t>Document health emergency protocols for infectious disease, injury, evacuation and return-to-work, assign RACI, define minimum controls and KPIs, and validate coverage across key sites, teams or systems.</t>
        </is>
      </c>
      <c r="P93" s="13" t="inlineStr">
        <is>
          <t>Standardize health emergency protocols for infectious disease, injury, evacuation and return-to-work, close coverage gaps, train accountable roles and connect controls to the relevant crisis scenarios and continuity plans.</t>
        </is>
      </c>
      <c r="Q93" s="13" t="inlineStr">
        <is>
          <t>Measure and test health emergency protocols for infectious disease, injury, evacuation and return-to-work, run tabletop or operational stress tests, integrate it with dependent processes and update crisis playbooks.</t>
        </is>
      </c>
      <c r="R93" s="13" t="inlineStr">
        <is>
          <t>Automate monitoring where practical, define leading indicators, run periodic scenario tests and track residual risk after each major change.</t>
        </is>
      </c>
      <c r="S93" s="13" t="inlineStr">
        <is>
          <t>Sustain maturity for health emergency protocols for infectious disease, injury, evacuation and return-to-work: keep evidence current, monitor drift, benchmark externally and refresh risk tests after organizational, system or market changes.</t>
        </is>
      </c>
      <c r="T93" s="13" t="n">
        <v>3</v>
      </c>
      <c r="U93" s="13" t="n">
        <v>3</v>
      </c>
      <c r="V93" s="13" t="n">
        <v>2</v>
      </c>
      <c r="W93" s="13" t="n">
        <v>2</v>
      </c>
      <c r="X93" s="13" t="n">
        <v>1</v>
      </c>
      <c r="Y93" s="13" t="n">
        <v>1</v>
      </c>
      <c r="Z93" s="13" t="inlineStr">
        <is>
          <t>ISO 30414; ISO 30405; ISO 45001; ISO 22301; CIPD; SHRM</t>
        </is>
      </c>
      <c r="AA93" s="13" t="inlineStr">
        <is>
          <t>Policy/SOP; owner/RACI; system report; dashboard; contracts; test records; incident history; interview evidence related to health emergency protocols for infectious disease, injury, evacuation and return-to-work.</t>
        </is>
      </c>
      <c r="AB93" s="13" t="inlineStr">
        <is>
          <t>Workforce disruption; Pandemic/health crisis; War/security crisis</t>
        </is>
      </c>
      <c r="AC93" s="13" t="inlineStr">
        <is>
          <t>CHRO / HR</t>
        </is>
      </c>
      <c r="AD93" s="13" t="inlineStr">
        <is>
          <t>HR Workforce!26</t>
        </is>
      </c>
      <c r="AE93">
        <f>IF($A93="","",IF(OR(ISNUMBER(SEARCH("cyber",$D93)),ISNUMBER(SEARCH("security",$D93)),ISNUMBER(SEARCH("safety",$D93)),ISNUMBER(SEARCH("liquidity",$D93)),ISNUMBER(SEARCH("cash",$D93)),ISNUMBER(SEARCH("continuity",$D93)),ISNUMBER(SEARCH("infrastructure",$D93)),ISNUMBER(SEARCH("outage",$D93))),"Fast",IF(OR(ISNUMBER(SEARCH("compliance",$D93)),ISNUMBER(SEARCH("regulat",$D93)),ISNUMBER(SEARCH("data",$D93)),ISNUMBER(SEARCH("talent",$D93)),ISNUMBER(SEARCH("knowledge",$D93)),ISNUMBER(SEARCH("portfolio",$D93)),ISNUMBER(SEARCH("quality",$D93))),"Slow","Medium")))</f>
        <v/>
      </c>
      <c r="AF93">
        <f>IF($A93="","",IFERROR(VLOOKUP($B93,'_CONFIG_Risk_Calibration'!$A$5:$H$21,2,FALSE),3))</f>
        <v/>
      </c>
      <c r="AG93">
        <f>IF($A93="","",IFERROR(VLOOKUP($B93,'_CONFIG_Risk_Calibration'!$A$5:$H$21,3,FALSE),0))</f>
        <v/>
      </c>
      <c r="AH93">
        <f>IF($A93="","",IFERROR(VLOOKUP($B93,'_CONFIG_Risk_Calibration'!$A$5:$H$21,4,FALSE),3))</f>
        <v/>
      </c>
      <c r="AI93">
        <f>IF($A93="","",IFERROR(VLOOKUP($B93,'_CONFIG_Risk_Calibration'!$A$5:$H$21,5,FALSE),3))</f>
        <v/>
      </c>
      <c r="AJ93">
        <f>IF($A93="","",IFERROR(VLOOKUP($B93,'_CONFIG_Risk_Calibration'!$A$5:$H$21,6,FALSE),"No"))</f>
        <v/>
      </c>
      <c r="AK93">
        <f>IF($A93="","",IFERROR(VLOOKUP($B93,'_CONFIG_Risk_Calibration'!$A$5:$H$21,7,FALSE),1))</f>
        <v/>
      </c>
      <c r="AL93">
        <f>IF($A93="","",IFERROR(VLOOKUP($B93,'_CONFIG_Risk_Calibration'!$A$5:$H$21,8,FALSE),""))</f>
        <v/>
      </c>
    </row>
    <row r="94" ht="72" customHeight="1" s="209">
      <c r="A94" s="13" t="inlineStr">
        <is>
          <t>HRWO-025</t>
        </is>
      </c>
      <c r="B94" s="13" t="inlineStr">
        <is>
          <t>HR Workforce</t>
        </is>
      </c>
      <c r="C94" s="13" t="inlineStr">
        <is>
          <t>HR systems and compliance</t>
        </is>
      </c>
      <c r="D94" s="13" t="inlineStr">
        <is>
          <t>Workforce trust and security</t>
        </is>
      </c>
      <c r="E94" s="13" t="inlineStr">
        <is>
          <t>How mature is the organization in managing background verification and vetting for roles with access to funds, sensitive data or critical systems, including ownership, evidence, metrics, fallback procedures and crisis stress testing?</t>
        </is>
      </c>
      <c r="F94" s="13" t="inlineStr">
        <is>
          <t>Immature capability for background verification and vetting for roles with access to funds, sensitive data or critical systems may lead to insider risk in critical roles, fraud exposure and compliance gaps in regulated engagements during Cyberattack/ransomware; Regulatory/legal shock.</t>
        </is>
      </c>
      <c r="G94" s="13" t="inlineStr">
        <is>
          <t>Low maturity, weak ownership, incomplete evidence, insufficient testing and poor integration with crisis-management routines for background verification and vetting for roles with access to funds, sensitive data or critical systems.</t>
        </is>
      </c>
      <c r="H94" s="13" t="inlineStr">
        <is>
          <t>Severe risk: background verification and vetting for roles with access to funds, sensitive data or critical systems is not reliably controlled. During Cyberattack/ransomware; Regulatory/legal shock, the organization may face insider risk in critical roles, fraud exposure and compliance gaps in regulated engagements with limited visibility or accountability.</t>
        </is>
      </c>
      <c r="I94" s="13" t="inlineStr">
        <is>
          <t>High risk: background verification and vetting for roles with access to funds, sensitive data or critical systems depends on informal practices or individual knowledge. Disruption may expose insider risk in critical roles, fraud exposure and compliance gaps in regulated engagements and slow recovery.</t>
        </is>
      </c>
      <c r="J94" s="13" t="inlineStr">
        <is>
          <t>Elevated risk: background verification and vetting for roles with access to funds, sensitive data or critical systems is partially controlled, but coverage, evidence or testing is inconsistent. Crisis response may be fragmented.</t>
        </is>
      </c>
      <c r="K94" s="13" t="inlineStr">
        <is>
          <t>Moderate risk: background verification and vetting for roles with access to funds, sensitive data or critical systems is documented and owned, but measurement, stress testing and integration with dependent processes need strengthening.</t>
        </is>
      </c>
      <c r="L94" s="13" t="inlineStr">
        <is>
          <t>Residual risk: background verification and vetting for roles with access to funds, sensitive data or critical systems is measured and reviewed, but monitoring, automation or scenario testing should be improved to prevent maturity drift.</t>
        </is>
      </c>
      <c r="M94" s="13" t="inlineStr">
        <is>
          <t>Low residual risk: background verification and vetting for roles with access to funds, sensitive data or critical systems is mature and crisis-tested. Maintain monitoring, evidence, ownership and periodic stress testing.</t>
        </is>
      </c>
      <c r="N94" s="13" t="inlineStr">
        <is>
          <t>Create an immediate risk owner, minimum control baseline and fallback procedure for background verification and vetting for roles with access to funds, sensitive data or critical systems. Add it to the crisis risk register and collect first evidence.</t>
        </is>
      </c>
      <c r="O94" s="13" t="inlineStr">
        <is>
          <t>Document background verification and vetting for roles with access to funds, sensitive data or critical systems, assign RACI, define minimum controls and KPIs, and validate coverage across key sites, teams or systems.</t>
        </is>
      </c>
      <c r="P94" s="13" t="inlineStr">
        <is>
          <t>Standardize background verification and vetting for roles with access to funds, sensitive data or critical systems, close coverage gaps, train accountable roles and connect controls to the relevant crisis scenarios and continuity plans.</t>
        </is>
      </c>
      <c r="Q94" s="13" t="inlineStr">
        <is>
          <t>Measure and test background verification and vetting for roles with access to funds, sensitive data or critical systems, run tabletop or operational stress tests, integrate it with dependent processes and update crisis playbooks.</t>
        </is>
      </c>
      <c r="R94" s="13" t="inlineStr">
        <is>
          <t>Automate monitoring where practical, define leading indicators, run periodic scenario tests and track residual risk after each major change.</t>
        </is>
      </c>
      <c r="S94" s="13" t="inlineStr">
        <is>
          <t>Sustain maturity for background verification and vetting for roles with access to funds, sensitive data or critical systems: keep evidence current, monitor drift, benchmark externally and refresh risk tests after organizational, system or market changes.</t>
        </is>
      </c>
      <c r="T94" s="13" t="n">
        <v>2</v>
      </c>
      <c r="U94" s="13" t="n">
        <v>2</v>
      </c>
      <c r="V94" s="13" t="n">
        <v>2</v>
      </c>
      <c r="W94" s="13" t="n">
        <v>2</v>
      </c>
      <c r="X94" s="13" t="n">
        <v>1</v>
      </c>
      <c r="Y94" s="13" t="n">
        <v>1</v>
      </c>
      <c r="Z94" s="13" t="inlineStr">
        <is>
          <t>C2M2 WORKFORCE; ISO 27001 HR security; customer audit requirements</t>
        </is>
      </c>
      <c r="AA94" s="13" t="inlineStr">
        <is>
          <t>Policy/SOP; owner/RACI; system report; dashboard; contracts; test records; incident history; interview evidence related to background verification and vetting for roles with access to funds, sensitive data or critical systems</t>
        </is>
      </c>
      <c r="AB94" s="13" t="inlineStr">
        <is>
          <t>Cyberattack/ransomware; Regulatory/legal shock</t>
        </is>
      </c>
      <c r="AC94" s="13" t="inlineStr">
        <is>
          <t>CHRO / CISO</t>
        </is>
      </c>
      <c r="AD94" s="13" t="inlineStr">
        <is>
          <t>HR Workforce!27</t>
        </is>
      </c>
      <c r="AE94">
        <f>IF($A94="","",IF(OR(ISNUMBER(SEARCH("cyber",$D94)),ISNUMBER(SEARCH("security",$D94)),ISNUMBER(SEARCH("safety",$D94)),ISNUMBER(SEARCH("liquidity",$D94)),ISNUMBER(SEARCH("cash",$D94)),ISNUMBER(SEARCH("continuity",$D94)),ISNUMBER(SEARCH("infrastructure",$D94)),ISNUMBER(SEARCH("outage",$D94))),"Fast",IF(OR(ISNUMBER(SEARCH("compliance",$D94)),ISNUMBER(SEARCH("regulat",$D94)),ISNUMBER(SEARCH("data",$D94)),ISNUMBER(SEARCH("talent",$D94)),ISNUMBER(SEARCH("knowledge",$D94)),ISNUMBER(SEARCH("portfolio",$D94)),ISNUMBER(SEARCH("quality",$D94))),"Slow","Medium")))</f>
        <v/>
      </c>
      <c r="AF94">
        <f>IF($A94="","",IFERROR(VLOOKUP($B94,'_CONFIG_Risk_Calibration'!$A$5:$H$21,2,FALSE),3))</f>
        <v/>
      </c>
      <c r="AG94">
        <f>IF($A94="","",IFERROR(VLOOKUP($B94,'_CONFIG_Risk_Calibration'!$A$5:$H$21,3,FALSE),0))</f>
        <v/>
      </c>
      <c r="AH94">
        <f>IF($A94="","",IFERROR(VLOOKUP($B94,'_CONFIG_Risk_Calibration'!$A$5:$H$21,4,FALSE),3))</f>
        <v/>
      </c>
      <c r="AI94">
        <f>IF($A94="","",IFERROR(VLOOKUP($B94,'_CONFIG_Risk_Calibration'!$A$5:$H$21,5,FALSE),3))</f>
        <v/>
      </c>
      <c r="AJ94">
        <f>IF($A94="","",IFERROR(VLOOKUP($B94,'_CONFIG_Risk_Calibration'!$A$5:$H$21,6,FALSE),"No"))</f>
        <v/>
      </c>
      <c r="AK94">
        <f>IF($A94="","",IFERROR(VLOOKUP($B94,'_CONFIG_Risk_Calibration'!$A$5:$H$21,7,FALSE),1))</f>
        <v/>
      </c>
      <c r="AL94">
        <f>IF($A94="","",IFERROR(VLOOKUP($B94,'_CONFIG_Risk_Calibration'!$A$5:$H$21,8,FALSE),""))</f>
        <v/>
      </c>
    </row>
    <row r="95" ht="72" customHeight="1" s="209">
      <c r="A95" s="13" t="inlineStr">
        <is>
          <t>HRWO-026</t>
        </is>
      </c>
      <c r="B95" s="13" t="inlineStr">
        <is>
          <t>HR Workforce</t>
        </is>
      </c>
      <c r="C95" s="13" t="inlineStr">
        <is>
          <t>HR systems and compliance</t>
        </is>
      </c>
      <c r="D95" s="13" t="inlineStr">
        <is>
          <t>Workforce trust and security</t>
        </is>
      </c>
      <c r="E95" s="13" t="inlineStr">
        <is>
          <t>How mature is the organization in managing role-specific security responsibilities embedded in job descriptions with specialized training for high-risk roles, including ownership, evidence, metrics, fallback procedures and crisis stress testing?</t>
        </is>
      </c>
      <c r="F95" s="13" t="inlineStr">
        <is>
          <t>Immature capability for role-specific security responsibilities embedded in job descriptions with specialized training for high-risk roles may lead to critical-role employees unaware of security duties and untrained for role-specific threats during Cyberattack/ransomware; Workforce disruption.</t>
        </is>
      </c>
      <c r="G95" s="13" t="inlineStr">
        <is>
          <t>Low maturity, weak ownership, incomplete evidence, insufficient testing and poor integration with crisis-management routines for role-specific security responsibilities embedded in job descriptions with specialized training for high-risk roles.</t>
        </is>
      </c>
      <c r="H95" s="13" t="inlineStr">
        <is>
          <t>Severe risk: role-specific security responsibilities embedded in job descriptions with specialized training for high-risk roles is not reliably controlled. During Cyberattack/ransomware; Workforce disruption, the organization may face critical-role employees unaware of security duties and untrained for role-specific threats with limited visibility or accountability.</t>
        </is>
      </c>
      <c r="I95" s="13" t="inlineStr">
        <is>
          <t>High risk: role-specific security responsibilities embedded in job descriptions with specialized training for high-risk roles depends on informal practices or individual knowledge. Disruption may expose critical-role employees unaware of security duties and untrained for role-specific threats and slow recovery.</t>
        </is>
      </c>
      <c r="J95" s="13" t="inlineStr">
        <is>
          <t>Elevated risk: role-specific security responsibilities embedded in job descriptions with specialized training for high-risk roles is partially controlled, but coverage, evidence or testing is inconsistent. Crisis response may be fragmented.</t>
        </is>
      </c>
      <c r="K95" s="13" t="inlineStr">
        <is>
          <t>Moderate risk: role-specific security responsibilities embedded in job descriptions with specialized training for high-risk roles is documented and owned, but measurement, stress testing and integration with dependent processes need strengthening.</t>
        </is>
      </c>
      <c r="L95" s="13" t="inlineStr">
        <is>
          <t>Residual risk: role-specific security responsibilities embedded in job descriptions with specialized training for high-risk roles is measured and reviewed, but monitoring, automation or scenario testing should be improved to prevent maturity drift.</t>
        </is>
      </c>
      <c r="M95" s="13" t="inlineStr">
        <is>
          <t>Low residual risk: role-specific security responsibilities embedded in job descriptions with specialized training for high-risk roles is mature and crisis-tested. Maintain monitoring, evidence, ownership and periodic stress testing.</t>
        </is>
      </c>
      <c r="N95" s="13" t="inlineStr">
        <is>
          <t>Create an immediate risk owner, minimum control baseline and fallback procedure for role-specific security responsibilities embedded in job descriptions with specialized training for high-risk roles. Add it to the crisis risk register and collect first evidence.</t>
        </is>
      </c>
      <c r="O95" s="13" t="inlineStr">
        <is>
          <t>Document role-specific security responsibilities embedded in job descriptions with specialized training for high-risk roles, assign RACI, define minimum controls and KPIs, and validate coverage across key sites, teams or systems.</t>
        </is>
      </c>
      <c r="P95" s="13" t="inlineStr">
        <is>
          <t>Standardize role-specific security responsibilities embedded in job descriptions with specialized training for high-risk roles, close coverage gaps, train accountable roles and connect controls to the relevant crisis scenarios and continuity plans.</t>
        </is>
      </c>
      <c r="Q95" s="13" t="inlineStr">
        <is>
          <t>Measure and test role-specific security responsibilities embedded in job descriptions with specialized training for high-risk roles, run tabletop or operational stress tests, integrate it with dependent processes and update crisis playbooks.</t>
        </is>
      </c>
      <c r="R95" s="13" t="inlineStr">
        <is>
          <t>Automate monitoring where practical, define leading indicators, run periodic scenario tests and track residual risk after each major change.</t>
        </is>
      </c>
      <c r="S95" s="13" t="inlineStr">
        <is>
          <t>Sustain maturity for role-specific security responsibilities embedded in job descriptions with specialized training for high-risk roles: keep evidence current, monitor drift, benchmark externally and refresh risk tests after organizational, system or market changes.</t>
        </is>
      </c>
      <c r="T95" s="13" t="n">
        <v>2</v>
      </c>
      <c r="U95" s="13" t="n">
        <v>2</v>
      </c>
      <c r="V95" s="13" t="n">
        <v>2</v>
      </c>
      <c r="W95" s="13" t="n">
        <v>2</v>
      </c>
      <c r="X95" s="13" t="n">
        <v>1</v>
      </c>
      <c r="Y95" s="13" t="n">
        <v>1</v>
      </c>
      <c r="Z95" s="13" t="inlineStr">
        <is>
          <t>C2M2 WORKFORCE; NIST CSF 2.0 PR.AT-02; ISO 27001</t>
        </is>
      </c>
      <c r="AA95" s="13" t="inlineStr">
        <is>
          <t>Policy/SOP; owner/RACI; system report; dashboard; contracts; test records; incident history; interview evidence related to role-specific security responsibilities embedded in job descriptions with specialized training for high-risk roles</t>
        </is>
      </c>
      <c r="AB95" s="13" t="inlineStr">
        <is>
          <t>Cyberattack/ransomware; Workforce disruption</t>
        </is>
      </c>
      <c r="AC95" s="13" t="inlineStr">
        <is>
          <t>CHRO / CISO</t>
        </is>
      </c>
      <c r="AD95" s="13" t="inlineStr">
        <is>
          <t>HR Workforce!28</t>
        </is>
      </c>
      <c r="AE95">
        <f>IF($A95="","",IF(OR(ISNUMBER(SEARCH("cyber",$D95)),ISNUMBER(SEARCH("security",$D95)),ISNUMBER(SEARCH("safety",$D95)),ISNUMBER(SEARCH("liquidity",$D95)),ISNUMBER(SEARCH("cash",$D95)),ISNUMBER(SEARCH("continuity",$D95)),ISNUMBER(SEARCH("infrastructure",$D95)),ISNUMBER(SEARCH("outage",$D95))),"Fast",IF(OR(ISNUMBER(SEARCH("compliance",$D95)),ISNUMBER(SEARCH("regulat",$D95)),ISNUMBER(SEARCH("data",$D95)),ISNUMBER(SEARCH("talent",$D95)),ISNUMBER(SEARCH("knowledge",$D95)),ISNUMBER(SEARCH("portfolio",$D95)),ISNUMBER(SEARCH("quality",$D95))),"Slow","Medium")))</f>
        <v/>
      </c>
      <c r="AF95">
        <f>IF($A95="","",IFERROR(VLOOKUP($B95,'_CONFIG_Risk_Calibration'!$A$5:$H$21,2,FALSE),3))</f>
        <v/>
      </c>
      <c r="AG95">
        <f>IF($A95="","",IFERROR(VLOOKUP($B95,'_CONFIG_Risk_Calibration'!$A$5:$H$21,3,FALSE),0))</f>
        <v/>
      </c>
      <c r="AH95">
        <f>IF($A95="","",IFERROR(VLOOKUP($B95,'_CONFIG_Risk_Calibration'!$A$5:$H$21,4,FALSE),3))</f>
        <v/>
      </c>
      <c r="AI95">
        <f>IF($A95="","",IFERROR(VLOOKUP($B95,'_CONFIG_Risk_Calibration'!$A$5:$H$21,5,FALSE),3))</f>
        <v/>
      </c>
      <c r="AJ95">
        <f>IF($A95="","",IFERROR(VLOOKUP($B95,'_CONFIG_Risk_Calibration'!$A$5:$H$21,6,FALSE),"No"))</f>
        <v/>
      </c>
      <c r="AK95">
        <f>IF($A95="","",IFERROR(VLOOKUP($B95,'_CONFIG_Risk_Calibration'!$A$5:$H$21,7,FALSE),1))</f>
        <v/>
      </c>
      <c r="AL95">
        <f>IF($A95="","",IFERROR(VLOOKUP($B95,'_CONFIG_Risk_Calibration'!$A$5:$H$21,8,FALSE),""))</f>
        <v/>
      </c>
    </row>
    <row r="96" ht="72" customHeight="1" s="209">
      <c r="A96" s="13" t="inlineStr">
        <is>
          <t>HRWO-027</t>
        </is>
      </c>
      <c r="B96" s="13" t="inlineStr">
        <is>
          <t>HR Workforce</t>
        </is>
      </c>
      <c r="C96" s="13" t="inlineStr">
        <is>
          <t>Continuity and wellbeing</t>
        </is>
      </c>
      <c r="D96" s="13" t="inlineStr">
        <is>
          <t>Workforce trust and security</t>
        </is>
      </c>
      <c r="E96" s="13" t="inlineStr">
        <is>
          <t>How mature is the organization in managing systematic employee engagement measurement with trends, segmentation and follow-up actions, including ownership, evidence, metrics, fallback procedures and crisis stress testing?</t>
        </is>
      </c>
      <c r="F96" s="13" t="inlineStr">
        <is>
          <t>Immature capability for systematic employee engagement measurement with trends, segmentation and follow-up actions may lead to invisible morale erosion, late attrition warnings and unverified people-related claims during Workforce disruption; Pandemic/health crisis.</t>
        </is>
      </c>
      <c r="G96" s="13" t="inlineStr">
        <is>
          <t>Low maturity, weak ownership, incomplete evidence, insufficient testing and poor integration with crisis-management routines for systematic employee engagement measurement with trends, segmentation and follow-up actions.</t>
        </is>
      </c>
      <c r="H96" s="13" t="inlineStr">
        <is>
          <t>Severe risk: systematic employee engagement measurement with trends, segmentation and follow-up actions is not reliably controlled. During Workforce disruption; Pandemic/health crisis, the organization may face invisible morale erosion, late attrition warnings and unverified people-related claims with limited visibility or accountability.</t>
        </is>
      </c>
      <c r="I96" s="13" t="inlineStr">
        <is>
          <t>High risk: systematic employee engagement measurement with trends, segmentation and follow-up actions depends on informal practices or individual knowledge. Disruption may expose invisible morale erosion, late attrition warnings and unverified people-related claims and slow recovery.</t>
        </is>
      </c>
      <c r="J96" s="13" t="inlineStr">
        <is>
          <t>Elevated risk: systematic employee engagement measurement with trends, segmentation and follow-up actions is partially controlled, but coverage, evidence or testing is inconsistent. Crisis response may be fragmented.</t>
        </is>
      </c>
      <c r="K96" s="13" t="inlineStr">
        <is>
          <t>Moderate risk: systematic employee engagement measurement with trends, segmentation and follow-up actions is documented and owned, but measurement, stress testing and integration with dependent processes need strengthening.</t>
        </is>
      </c>
      <c r="L96" s="13" t="inlineStr">
        <is>
          <t>Residual risk: systematic employee engagement measurement with trends, segmentation and follow-up actions is measured and reviewed, but monitoring, automation or scenario testing should be improved to prevent maturity drift.</t>
        </is>
      </c>
      <c r="M96" s="13" t="inlineStr">
        <is>
          <t>Low residual risk: systematic employee engagement measurement with trends, segmentation and follow-up actions is mature and crisis-tested. Maintain monitoring, evidence, ownership and periodic stress testing.</t>
        </is>
      </c>
      <c r="N96" s="13" t="inlineStr">
        <is>
          <t>Create an immediate risk owner, minimum control baseline and fallback procedure for systematic employee engagement measurement with trends, segmentation and follow-up actions. Add it to the crisis risk register and collect first evidence.</t>
        </is>
      </c>
      <c r="O96" s="13" t="inlineStr">
        <is>
          <t>Document systematic employee engagement measurement with trends, segmentation and follow-up actions, assign RACI, define minimum controls and KPIs, and validate coverage across key sites, teams or systems.</t>
        </is>
      </c>
      <c r="P96" s="13" t="inlineStr">
        <is>
          <t>Standardize systematic employee engagement measurement with trends, segmentation and follow-up actions, close coverage gaps, train accountable roles and connect controls to the relevant crisis scenarios and continuity plans.</t>
        </is>
      </c>
      <c r="Q96" s="13" t="inlineStr">
        <is>
          <t>Measure and test systematic employee engagement measurement with trends, segmentation and follow-up actions, run tabletop or operational stress tests, integrate it with dependent processes and update crisis playbooks.</t>
        </is>
      </c>
      <c r="R96" s="13" t="inlineStr">
        <is>
          <t>Automate monitoring where practical, define leading indicators, run periodic scenario tests and track residual risk after each major change.</t>
        </is>
      </c>
      <c r="S96" s="13" t="inlineStr">
        <is>
          <t>Sustain maturity for systematic employee engagement measurement with trends, segmentation and follow-up actions: keep evidence current, monitor drift, benchmark externally and refresh risk tests after organizational, system or market changes.</t>
        </is>
      </c>
      <c r="T96" s="13" t="n">
        <v>2</v>
      </c>
      <c r="U96" s="13" t="n">
        <v>2</v>
      </c>
      <c r="V96" s="13" t="n">
        <v>2</v>
      </c>
      <c r="W96" s="13" t="n">
        <v>2</v>
      </c>
      <c r="X96" s="13" t="n">
        <v>1</v>
      </c>
      <c r="Y96" s="13" t="n">
        <v>1</v>
      </c>
      <c r="Z96" s="13" t="inlineStr">
        <is>
          <t>EFQM 2025 3.2 and Results; ISO 30414</t>
        </is>
      </c>
      <c r="AA96" s="13" t="inlineStr">
        <is>
          <t>Policy/SOP; owner/RACI; system report; dashboard; contracts; test records; incident history; interview evidence related to systematic employee engagement measurement with trends, segmentation and follow-up actions</t>
        </is>
      </c>
      <c r="AB96" s="13" t="inlineStr">
        <is>
          <t>Workforce disruption; Pandemic/health crisis</t>
        </is>
      </c>
      <c r="AC96" s="13" t="inlineStr">
        <is>
          <t>CHRO</t>
        </is>
      </c>
      <c r="AD96" s="13" t="inlineStr">
        <is>
          <t>HR Workforce!29</t>
        </is>
      </c>
      <c r="AE96">
        <f>IF($A96="","",IF(OR(ISNUMBER(SEARCH("cyber",$D96)),ISNUMBER(SEARCH("security",$D96)),ISNUMBER(SEARCH("safety",$D96)),ISNUMBER(SEARCH("liquidity",$D96)),ISNUMBER(SEARCH("cash",$D96)),ISNUMBER(SEARCH("continuity",$D96)),ISNUMBER(SEARCH("infrastructure",$D96)),ISNUMBER(SEARCH("outage",$D96))),"Fast",IF(OR(ISNUMBER(SEARCH("compliance",$D96)),ISNUMBER(SEARCH("regulat",$D96)),ISNUMBER(SEARCH("data",$D96)),ISNUMBER(SEARCH("talent",$D96)),ISNUMBER(SEARCH("knowledge",$D96)),ISNUMBER(SEARCH("portfolio",$D96)),ISNUMBER(SEARCH("quality",$D96))),"Slow","Medium")))</f>
        <v/>
      </c>
      <c r="AF96">
        <f>IF($A96="","",IFERROR(VLOOKUP($B96,'_CONFIG_Risk_Calibration'!$A$5:$H$21,2,FALSE),3))</f>
        <v/>
      </c>
      <c r="AG96">
        <f>IF($A96="","",IFERROR(VLOOKUP($B96,'_CONFIG_Risk_Calibration'!$A$5:$H$21,3,FALSE),0))</f>
        <v/>
      </c>
      <c r="AH96">
        <f>IF($A96="","",IFERROR(VLOOKUP($B96,'_CONFIG_Risk_Calibration'!$A$5:$H$21,4,FALSE),3))</f>
        <v/>
      </c>
      <c r="AI96">
        <f>IF($A96="","",IFERROR(VLOOKUP($B96,'_CONFIG_Risk_Calibration'!$A$5:$H$21,5,FALSE),3))</f>
        <v/>
      </c>
      <c r="AJ96">
        <f>IF($A96="","",IFERROR(VLOOKUP($B96,'_CONFIG_Risk_Calibration'!$A$5:$H$21,6,FALSE),"No"))</f>
        <v/>
      </c>
      <c r="AK96">
        <f>IF($A96="","",IFERROR(VLOOKUP($B96,'_CONFIG_Risk_Calibration'!$A$5:$H$21,7,FALSE),1))</f>
        <v/>
      </c>
      <c r="AL96">
        <f>IF($A96="","",IFERROR(VLOOKUP($B96,'_CONFIG_Risk_Calibration'!$A$5:$H$21,8,FALSE),""))</f>
        <v/>
      </c>
    </row>
    <row r="97" ht="84" customHeight="1" s="209">
      <c r="A97" s="13" t="inlineStr">
        <is>
          <t>HRWO-028</t>
        </is>
      </c>
      <c r="B97" s="13" t="inlineStr">
        <is>
          <t>HR Workforce</t>
        </is>
      </c>
      <c r="C97" s="13" t="inlineStr">
        <is>
          <t>Workforce visibility</t>
        </is>
      </c>
      <c r="D97" s="13" t="inlineStr">
        <is>
          <t>Workforce availability under state obligations</t>
        </is>
      </c>
      <c r="E97" s="13" t="inlineStr">
        <is>
          <t>How mature is the organization in managing workforce exposure to national emergency duties such as conscription, reservist service or civil mobilization, including exemption processes and continuity planning, including ownership, evidence, metrics, fallback procedures and crisis stress testing?</t>
        </is>
      </c>
      <c r="F97" s="13" t="inlineStr">
        <is>
          <t>Immature capability for workforce exposure to national emergency duties such as conscription, reservist service or civil mobilization, including exemption processes and continuity planning may lead to sudden loss of critical staff to state duties, unplanned absence waves and stalled critical operations during War/security crisis; Workforce disruption.</t>
        </is>
      </c>
      <c r="G97" s="13" t="inlineStr">
        <is>
          <t>Low maturity, weak ownership, incomplete evidence, insufficient testing and poor integration with crisis-management routines for workforce exposure to national emergency duties such as conscription, reservist service or civil mobilization, including exemption processes and continuity planning.</t>
        </is>
      </c>
      <c r="H97" s="13" t="inlineStr">
        <is>
          <t>Severe risk: workforce exposure to national emergency duties such as conscription, reservist service or civil mobilization, including exemption processes and continuity planning is not reliably controlled. During War/security crisis; Workforce disruption, the organization may face sudden loss of critical staff to state duties, unplanned absence waves and stalled critical operations with limited visibility or accountability.</t>
        </is>
      </c>
      <c r="I97" s="13" t="inlineStr">
        <is>
          <t>High risk: workforce exposure to national emergency duties such as conscription, reservist service or civil mobilization, including exemption processes and continuity planning depends on informal practices or individual knowledge. Disruption may expose sudden loss of critical staff to state duties, unplanned absence waves and stalled critical operations and slow recovery.</t>
        </is>
      </c>
      <c r="J97" s="13" t="inlineStr">
        <is>
          <t>Elevated risk: workforce exposure to national emergency duties such as conscription, reservist service or civil mobilization, including exemption processes and continuity planning is partially controlled, but coverage, evidence or testing is inconsistent. Crisis response may be fragmented.</t>
        </is>
      </c>
      <c r="K97" s="13" t="inlineStr">
        <is>
          <t>Moderate risk: workforce exposure to national emergency duties such as conscription, reservist service or civil mobilization, including exemption processes and continuity planning is documented and owned, but measurement, stress testing and integration with dependent processes need strengthening.</t>
        </is>
      </c>
      <c r="L97" s="13" t="inlineStr">
        <is>
          <t>Residual risk: workforce exposure to national emergency duties such as conscription, reservist service or civil mobilization, including exemption processes and continuity planning is measured and reviewed, but monitoring, automation or scenario testing should be improved to prevent maturity drift.</t>
        </is>
      </c>
      <c r="M97" s="13" t="inlineStr">
        <is>
          <t>Low residual risk: workforce exposure to national emergency duties such as conscription, reservist service or civil mobilization, including exemption processes and continuity planning is mature and crisis-tested. Maintain monitoring, evidence, ownership and periodic stress testing.</t>
        </is>
      </c>
      <c r="N97" s="13" t="inlineStr">
        <is>
          <t>Create an immediate risk owner, minimum control baseline and fallback procedure for workforce exposure to national emergency duties such as conscription, reservist service or civil mobilization, including exemption processes and continuity planning. Add it to the crisis risk register and collect first evidence.</t>
        </is>
      </c>
      <c r="O97" s="13" t="inlineStr">
        <is>
          <t>Document workforce exposure to national emergency duties such as conscription, reservist service or civil mobilization, including exemption processes and continuity planning, assign RACI, define minimum controls and KPIs, and validate coverage across key sites, teams or systems.</t>
        </is>
      </c>
      <c r="P97" s="13" t="inlineStr">
        <is>
          <t>Standardize workforce exposure to national emergency duties such as conscription, reservist service or civil mobilization, including exemption processes and continuity planning, close coverage gaps, train accountable roles and connect controls to the relevant crisis scenarios and continuity plans.</t>
        </is>
      </c>
      <c r="Q97" s="13" t="inlineStr">
        <is>
          <t>Measure and test workforce exposure to national emergency duties such as conscription, reservist service or civil mobilization, including exemption processes and continuity planning, run tabletop or operational stress tests, integrate it with dependent processes and update crisis playbooks.</t>
        </is>
      </c>
      <c r="R97" s="13" t="inlineStr">
        <is>
          <t>Automate monitoring where practical, define leading indicators, run periodic scenario tests and track residual risk after each major change.</t>
        </is>
      </c>
      <c r="S97" s="13" t="inlineStr">
        <is>
          <t>Sustain maturity for workforce exposure to national emergency duties such as conscription, reservist service or civil mobilization, including exemption processes and continuity planning: keep evidence current, monitor drift, benchmark externally and refresh risk tests after organizational, system or market changes.</t>
        </is>
      </c>
      <c r="T97" s="13" t="n">
        <v>3</v>
      </c>
      <c r="U97" s="13" t="n">
        <v>3</v>
      </c>
      <c r="V97" s="13" t="n">
        <v>2</v>
      </c>
      <c r="W97" s="13" t="n">
        <v>2</v>
      </c>
      <c r="X97" s="13" t="n">
        <v>2</v>
      </c>
      <c r="Y97" s="13" t="n">
        <v>1</v>
      </c>
      <c r="Z97" s="13" t="inlineStr">
        <is>
          <t>ISO 22301; national emergency and labor legislation; workforce planning</t>
        </is>
      </c>
      <c r="AA97" s="13" t="inlineStr">
        <is>
          <t>Policy/SOP; owner/RACI; system report; dashboard; contracts; test records; incident history; interview evidence related to workforce exposure to national emergency duties such as conscription, reservist service or civil mobilization, including exemption processes and continuity planning</t>
        </is>
      </c>
      <c r="AB97" s="13" t="inlineStr">
        <is>
          <t>War/security crisis; Workforce disruption</t>
        </is>
      </c>
      <c r="AC97" s="13" t="inlineStr">
        <is>
          <t>CHRO / Legal</t>
        </is>
      </c>
      <c r="AD97" s="13" t="inlineStr">
        <is>
          <t>HR Workforce!30</t>
        </is>
      </c>
      <c r="AE97">
        <f>IF($A97="","",IF(OR(ISNUMBER(SEARCH("cyber",$D97)),ISNUMBER(SEARCH("security",$D97)),ISNUMBER(SEARCH("safety",$D97)),ISNUMBER(SEARCH("liquidity",$D97)),ISNUMBER(SEARCH("cash",$D97)),ISNUMBER(SEARCH("continuity",$D97)),ISNUMBER(SEARCH("infrastructure",$D97)),ISNUMBER(SEARCH("outage",$D97))),"Fast",IF(OR(ISNUMBER(SEARCH("compliance",$D97)),ISNUMBER(SEARCH("regulat",$D97)),ISNUMBER(SEARCH("data",$D97)),ISNUMBER(SEARCH("talent",$D97)),ISNUMBER(SEARCH("knowledge",$D97)),ISNUMBER(SEARCH("portfolio",$D97)),ISNUMBER(SEARCH("quality",$D97))),"Slow","Medium")))</f>
        <v/>
      </c>
      <c r="AF97">
        <f>IF($A97="","",IFERROR(VLOOKUP($B97,'_CONFIG_Risk_Calibration'!$A$5:$H$21,2,FALSE),3))</f>
        <v/>
      </c>
      <c r="AG97">
        <f>IF($A97="","",IFERROR(VLOOKUP($B97,'_CONFIG_Risk_Calibration'!$A$5:$H$21,3,FALSE),0))</f>
        <v/>
      </c>
      <c r="AH97">
        <f>IF($A97="","",IFERROR(VLOOKUP($B97,'_CONFIG_Risk_Calibration'!$A$5:$H$21,4,FALSE),3))</f>
        <v/>
      </c>
      <c r="AI97">
        <f>IF($A97="","",IFERROR(VLOOKUP($B97,'_CONFIG_Risk_Calibration'!$A$5:$H$21,5,FALSE),3))</f>
        <v/>
      </c>
      <c r="AJ97">
        <f>IF($A97="","",IFERROR(VLOOKUP($B97,'_CONFIG_Risk_Calibration'!$A$5:$H$21,6,FALSE),"No"))</f>
        <v/>
      </c>
      <c r="AK97">
        <f>IF($A97="","",IFERROR(VLOOKUP($B97,'_CONFIG_Risk_Calibration'!$A$5:$H$21,7,FALSE),1))</f>
        <v/>
      </c>
      <c r="AL97">
        <f>IF($A97="","",IFERROR(VLOOKUP($B97,'_CONFIG_Risk_Calibration'!$A$5:$H$21,8,FALSE),""))</f>
        <v/>
      </c>
    </row>
    <row r="98" ht="72" customHeight="1" s="209">
      <c r="A98" s="13" t="inlineStr">
        <is>
          <t>FINA-001</t>
        </is>
      </c>
      <c r="B98" s="13" t="inlineStr">
        <is>
          <t>Finance Procurement</t>
        </is>
      </c>
      <c r="C98" s="13" t="inlineStr">
        <is>
          <t>Financial resilience</t>
        </is>
      </c>
      <c r="D98" s="13" t="inlineStr">
        <is>
          <t>Financial control and procurement resilience</t>
        </is>
      </c>
      <c r="E98" s="13" t="inlineStr">
        <is>
          <t>How mature is the organization in managing cash visibility by legal entity, bank, currency, restrictions and emergency access, including ownership, evidence, metrics, fallback procedures and crisis stress testing?</t>
        </is>
      </c>
      <c r="F98" s="13" t="inlineStr">
        <is>
          <t>Immature capability for cash visibility by legal entity, bank, currency, restrictions and emergency access may lead to cash-flow stress, uncontrolled spend, supplier payment disruption and weak financial visibility during Financial liquidity crisis; Supplier disruption; Fraud risk.</t>
        </is>
      </c>
      <c r="G98" s="13" t="inlineStr">
        <is>
          <t>Low maturity, weak ownership, incomplete evidence, insufficient testing and poor integration with crisis-management routines for cash visibility by legal entity, bank, currency, restrictions and emergency access.</t>
        </is>
      </c>
      <c r="H98" s="13" t="inlineStr">
        <is>
          <t>Severe risk: cash visibility by legal entity, bank, currency, restrictions and emergency access is not reliably controlled. During Financial liquidity crisis; Supplier disruption; Fraud risk, the organization may face cash-flow stress, uncontrolled spend, supplier payment disruption and weak financial visibility with limited visibility or accountability.</t>
        </is>
      </c>
      <c r="I98" s="13" t="inlineStr">
        <is>
          <t>High risk: cash visibility by legal entity, bank, currency, restrictions and emergency access depends on informal practices or individual knowledge. Disruption may expose cash-flow stress, uncontrolled spend, supplier payment disruption and weak financial visibility and slow recovery.</t>
        </is>
      </c>
      <c r="J98" s="13" t="inlineStr">
        <is>
          <t>Elevated risk: cash visibility by legal entity, bank, currency, restrictions and emergency access is partially controlled, but coverage, evidence or testing is inconsistent. Crisis response may be fragmented.</t>
        </is>
      </c>
      <c r="K98" s="13" t="inlineStr">
        <is>
          <t>Moderate risk: cash visibility by legal entity, bank, currency, restrictions and emergency access is documented and owned, but measurement, stress testing and integration with dependent processes need strengthening.</t>
        </is>
      </c>
      <c r="L98" s="13" t="inlineStr">
        <is>
          <t>Residual risk: cash visibility by legal entity, bank, currency, restrictions and emergency access is measured and reviewed, but monitoring, automation or scenario testing should be improved to prevent maturity drift.</t>
        </is>
      </c>
      <c r="M98" s="13" t="inlineStr">
        <is>
          <t>Low residual risk: cash visibility by legal entity, bank, currency, restrictions and emergency access is mature and crisis-tested. Maintain monitoring, evidence, ownership and periodic stress testing.</t>
        </is>
      </c>
      <c r="N98" s="13" t="inlineStr">
        <is>
          <t>Create an immediate risk owner, minimum control baseline and fallback procedure for cash visibility by legal entity, bank, currency, restrictions and emergency access. Add it to the crisis risk register and collect first evidence.</t>
        </is>
      </c>
      <c r="O98" s="13" t="inlineStr">
        <is>
          <t>Document cash visibility by legal entity, bank, currency, restrictions and emergency access, assign RACI, define minimum controls and KPIs, and validate coverage across key sites, teams or systems.</t>
        </is>
      </c>
      <c r="P98" s="13" t="inlineStr">
        <is>
          <t>Standardize cash visibility by legal entity, bank, currency, restrictions and emergency access, close coverage gaps, train accountable roles and connect controls to the relevant crisis scenarios and continuity plans.</t>
        </is>
      </c>
      <c r="Q98" s="13" t="inlineStr">
        <is>
          <t>Measure and test cash visibility by legal entity, bank, currency, restrictions and emergency access, run tabletop or operational stress tests, integrate it with dependent processes and update crisis playbooks.</t>
        </is>
      </c>
      <c r="R98" s="13" t="inlineStr">
        <is>
          <t>Automate monitoring where practical, define leading indicators, run periodic scenario tests and track residual risk after each major change.</t>
        </is>
      </c>
      <c r="S98" s="13" t="inlineStr">
        <is>
          <t>Sustain maturity for cash visibility by legal entity, bank, currency, restrictions and emergency access: keep evidence current, monitor drift, benchmark externally and refresh risk tests after organizational, system or market changes.</t>
        </is>
      </c>
      <c r="T98" s="13" t="n">
        <v>3</v>
      </c>
      <c r="U98" s="13" t="n">
        <v>3</v>
      </c>
      <c r="V98" s="13" t="n">
        <v>2</v>
      </c>
      <c r="W98" s="13" t="n">
        <v>2</v>
      </c>
      <c r="X98" s="13" t="n">
        <v>1</v>
      </c>
      <c r="Y98" s="13" t="n">
        <v>1</v>
      </c>
      <c r="Z98" s="13" t="inlineStr">
        <is>
          <t>COSO Internal Control; COSO ERM; IFRS; ISO 20400; ISO 37001; CIPS</t>
        </is>
      </c>
      <c r="AA98" s="13" t="inlineStr">
        <is>
          <t>Policy/SOP; owner/RACI; system report; dashboard; contracts; test records; incident history; interview evidence related to cash visibility by legal entity, bank, currency, restrictions and emergency access.</t>
        </is>
      </c>
      <c r="AB98" s="13" t="inlineStr">
        <is>
          <t>Financial liquidity crisis; Supplier disruption; Fraud risk</t>
        </is>
      </c>
      <c r="AC98" s="13" t="inlineStr">
        <is>
          <t>CFO / Procurement</t>
        </is>
      </c>
      <c r="AD98" s="13" t="inlineStr">
        <is>
          <t>Finance Procurement!5</t>
        </is>
      </c>
      <c r="AE98">
        <f>IF($A98="","",IF(OR(ISNUMBER(SEARCH("cyber",$D98)),ISNUMBER(SEARCH("security",$D98)),ISNUMBER(SEARCH("safety",$D98)),ISNUMBER(SEARCH("liquidity",$D98)),ISNUMBER(SEARCH("cash",$D98)),ISNUMBER(SEARCH("continuity",$D98)),ISNUMBER(SEARCH("infrastructure",$D98)),ISNUMBER(SEARCH("outage",$D98))),"Fast",IF(OR(ISNUMBER(SEARCH("compliance",$D98)),ISNUMBER(SEARCH("regulat",$D98)),ISNUMBER(SEARCH("data",$D98)),ISNUMBER(SEARCH("talent",$D98)),ISNUMBER(SEARCH("knowledge",$D98)),ISNUMBER(SEARCH("portfolio",$D98)),ISNUMBER(SEARCH("quality",$D98))),"Slow","Medium")))</f>
        <v/>
      </c>
      <c r="AF98">
        <f>IF($A98="","",IFERROR(VLOOKUP($B98,'_CONFIG_Risk_Calibration'!$A$5:$H$21,2,FALSE),3))</f>
        <v/>
      </c>
      <c r="AG98">
        <f>IF($A98="","",IFERROR(VLOOKUP($B98,'_CONFIG_Risk_Calibration'!$A$5:$H$21,3,FALSE),0))</f>
        <v/>
      </c>
      <c r="AH98">
        <f>IF($A98="","",IFERROR(VLOOKUP($B98,'_CONFIG_Risk_Calibration'!$A$5:$H$21,4,FALSE),3))</f>
        <v/>
      </c>
      <c r="AI98">
        <f>IF($A98="","",IFERROR(VLOOKUP($B98,'_CONFIG_Risk_Calibration'!$A$5:$H$21,5,FALSE),3))</f>
        <v/>
      </c>
      <c r="AJ98">
        <f>IF($A98="","",IFERROR(VLOOKUP($B98,'_CONFIG_Risk_Calibration'!$A$5:$H$21,6,FALSE),"No"))</f>
        <v/>
      </c>
      <c r="AK98">
        <f>IF($A98="","",IFERROR(VLOOKUP($B98,'_CONFIG_Risk_Calibration'!$A$5:$H$21,7,FALSE),1))</f>
        <v/>
      </c>
      <c r="AL98">
        <f>IF($A98="","",IFERROR(VLOOKUP($B98,'_CONFIG_Risk_Calibration'!$A$5:$H$21,8,FALSE),""))</f>
        <v/>
      </c>
    </row>
    <row r="99" ht="72" customHeight="1" s="209">
      <c r="A99" s="13" t="inlineStr">
        <is>
          <t>FINA-002</t>
        </is>
      </c>
      <c r="B99" s="13" t="inlineStr">
        <is>
          <t>Finance Procurement</t>
        </is>
      </c>
      <c r="C99" s="13" t="inlineStr">
        <is>
          <t>Financial resilience</t>
        </is>
      </c>
      <c r="D99" s="13" t="inlineStr">
        <is>
          <t>Financial control and procurement resilience</t>
        </is>
      </c>
      <c r="E99" s="13" t="inlineStr">
        <is>
          <t>How mature is the organization in managing cash-flow forecasting under base, downside and severe crisis scenarios, including ownership, evidence, metrics, fallback procedures and crisis stress testing?</t>
        </is>
      </c>
      <c r="F99" s="13" t="inlineStr">
        <is>
          <t>Immature capability for cash-flow forecasting under base, downside and severe crisis scenarios may lead to cash-flow stress, uncontrolled spend, supplier payment disruption and weak financial visibility during Financial liquidity crisis; Supplier disruption; Fraud risk.</t>
        </is>
      </c>
      <c r="G99" s="13" t="inlineStr">
        <is>
          <t>Low maturity, weak ownership, incomplete evidence, insufficient testing and poor integration with crisis-management routines for cash-flow forecasting under base, downside and severe crisis scenarios.</t>
        </is>
      </c>
      <c r="H99" s="13" t="inlineStr">
        <is>
          <t>Severe risk: cash-flow forecasting under base, downside and severe crisis scenarios is not reliably controlled. During Financial liquidity crisis; Supplier disruption; Fraud risk, the organization may face cash-flow stress, uncontrolled spend, supplier payment disruption and weak financial visibility with limited visibility or accountability.</t>
        </is>
      </c>
      <c r="I99" s="13" t="inlineStr">
        <is>
          <t>High risk: cash-flow forecasting under base, downside and severe crisis scenarios depends on informal practices or individual knowledge. Disruption may expose cash-flow stress, uncontrolled spend, supplier payment disruption and weak financial visibility and slow recovery.</t>
        </is>
      </c>
      <c r="J99" s="13" t="inlineStr">
        <is>
          <t>Elevated risk: cash-flow forecasting under base, downside and severe crisis scenarios is partially controlled, but coverage, evidence or testing is inconsistent. Crisis response may be fragmented.</t>
        </is>
      </c>
      <c r="K99" s="13" t="inlineStr">
        <is>
          <t>Moderate risk: cash-flow forecasting under base, downside and severe crisis scenarios is documented and owned, but measurement, stress testing and integration with dependent processes need strengthening.</t>
        </is>
      </c>
      <c r="L99" s="13" t="inlineStr">
        <is>
          <t>Residual risk: cash-flow forecasting under base, downside and severe crisis scenarios is measured and reviewed, but monitoring, automation or scenario testing should be improved to prevent maturity drift.</t>
        </is>
      </c>
      <c r="M99" s="13" t="inlineStr">
        <is>
          <t>Low residual risk: cash-flow forecasting under base, downside and severe crisis scenarios is mature and crisis-tested. Maintain monitoring, evidence, ownership and periodic stress testing.</t>
        </is>
      </c>
      <c r="N99" s="13" t="inlineStr">
        <is>
          <t>Create an immediate risk owner, minimum control baseline and fallback procedure for cash-flow forecasting under base, downside and severe crisis scenarios. Add it to the crisis risk register and collect first evidence.</t>
        </is>
      </c>
      <c r="O99" s="13" t="inlineStr">
        <is>
          <t>Document cash-flow forecasting under base, downside and severe crisis scenarios, assign RACI, define minimum controls and KPIs, and validate coverage across key sites, teams or systems.</t>
        </is>
      </c>
      <c r="P99" s="13" t="inlineStr">
        <is>
          <t>Standardize cash-flow forecasting under base, downside and severe crisis scenarios, close coverage gaps, train accountable roles and connect controls to the relevant crisis scenarios and continuity plans.</t>
        </is>
      </c>
      <c r="Q99" s="13" t="inlineStr">
        <is>
          <t>Measure and test cash-flow forecasting under base, downside and severe crisis scenarios, run tabletop or operational stress tests, integrate it with dependent processes and update crisis playbooks.</t>
        </is>
      </c>
      <c r="R99" s="13" t="inlineStr">
        <is>
          <t>Automate monitoring where practical, define leading indicators, run periodic scenario tests and track residual risk after each major change.</t>
        </is>
      </c>
      <c r="S99" s="13" t="inlineStr">
        <is>
          <t>Sustain maturity for cash-flow forecasting under base, downside and severe crisis scenarios: keep evidence current, monitor drift, benchmark externally and refresh risk tests after organizational, system or market changes.</t>
        </is>
      </c>
      <c r="T99" s="13" t="n">
        <v>3</v>
      </c>
      <c r="U99" s="13" t="n">
        <v>3</v>
      </c>
      <c r="V99" s="13" t="n">
        <v>2</v>
      </c>
      <c r="W99" s="13" t="n">
        <v>2</v>
      </c>
      <c r="X99" s="13" t="n">
        <v>1</v>
      </c>
      <c r="Y99" s="13" t="n">
        <v>1</v>
      </c>
      <c r="Z99" s="13" t="inlineStr">
        <is>
          <t>COSO Internal Control; COSO ERM; IFRS; ISO 20400; ISO 37001; CIPS</t>
        </is>
      </c>
      <c r="AA99" s="13" t="inlineStr">
        <is>
          <t>Policy/SOP; owner/RACI; system report; dashboard; contracts; test records; incident history; interview evidence related to cash-flow forecasting under base, downside and severe crisis scenarios.</t>
        </is>
      </c>
      <c r="AB99" s="13" t="inlineStr">
        <is>
          <t>Financial liquidity crisis; Supplier disruption; Fraud risk</t>
        </is>
      </c>
      <c r="AC99" s="13" t="inlineStr">
        <is>
          <t>CFO / Procurement</t>
        </is>
      </c>
      <c r="AD99" s="13" t="inlineStr">
        <is>
          <t>Finance Procurement!6</t>
        </is>
      </c>
      <c r="AE99">
        <f>IF($A99="","",IF(OR(ISNUMBER(SEARCH("cyber",$D99)),ISNUMBER(SEARCH("security",$D99)),ISNUMBER(SEARCH("safety",$D99)),ISNUMBER(SEARCH("liquidity",$D99)),ISNUMBER(SEARCH("cash",$D99)),ISNUMBER(SEARCH("continuity",$D99)),ISNUMBER(SEARCH("infrastructure",$D99)),ISNUMBER(SEARCH("outage",$D99))),"Fast",IF(OR(ISNUMBER(SEARCH("compliance",$D99)),ISNUMBER(SEARCH("regulat",$D99)),ISNUMBER(SEARCH("data",$D99)),ISNUMBER(SEARCH("talent",$D99)),ISNUMBER(SEARCH("knowledge",$D99)),ISNUMBER(SEARCH("portfolio",$D99)),ISNUMBER(SEARCH("quality",$D99))),"Slow","Medium")))</f>
        <v/>
      </c>
      <c r="AF99">
        <f>IF($A99="","",IFERROR(VLOOKUP($B99,'_CONFIG_Risk_Calibration'!$A$5:$H$21,2,FALSE),3))</f>
        <v/>
      </c>
      <c r="AG99">
        <f>IF($A99="","",IFERROR(VLOOKUP($B99,'_CONFIG_Risk_Calibration'!$A$5:$H$21,3,FALSE),0))</f>
        <v/>
      </c>
      <c r="AH99">
        <f>IF($A99="","",IFERROR(VLOOKUP($B99,'_CONFIG_Risk_Calibration'!$A$5:$H$21,4,FALSE),3))</f>
        <v/>
      </c>
      <c r="AI99">
        <f>IF($A99="","",IFERROR(VLOOKUP($B99,'_CONFIG_Risk_Calibration'!$A$5:$H$21,5,FALSE),3))</f>
        <v/>
      </c>
      <c r="AJ99">
        <f>IF($A99="","",IFERROR(VLOOKUP($B99,'_CONFIG_Risk_Calibration'!$A$5:$H$21,6,FALSE),"No"))</f>
        <v/>
      </c>
      <c r="AK99">
        <f>IF($A99="","",IFERROR(VLOOKUP($B99,'_CONFIG_Risk_Calibration'!$A$5:$H$21,7,FALSE),1))</f>
        <v/>
      </c>
      <c r="AL99">
        <f>IF($A99="","",IFERROR(VLOOKUP($B99,'_CONFIG_Risk_Calibration'!$A$5:$H$21,8,FALSE),""))</f>
        <v/>
      </c>
    </row>
    <row r="100" ht="72" customHeight="1" s="209">
      <c r="A100" s="13" t="inlineStr">
        <is>
          <t>FINA-003</t>
        </is>
      </c>
      <c r="B100" s="13" t="inlineStr">
        <is>
          <t>Finance Procurement</t>
        </is>
      </c>
      <c r="C100" s="13" t="inlineStr">
        <is>
          <t>Financial resilience</t>
        </is>
      </c>
      <c r="D100" s="13" t="inlineStr">
        <is>
          <t>Financial control and procurement resilience</t>
        </is>
      </c>
      <c r="E100" s="13" t="inlineStr">
        <is>
          <t>How mature is the organization in managing liquidity buffers, credit lines, emergency funding options and covenant monitoring, including ownership, evidence, metrics, fallback procedures and crisis stress testing?</t>
        </is>
      </c>
      <c r="F100" s="13" t="inlineStr">
        <is>
          <t>Immature capability for liquidity buffers, credit lines, emergency funding options and covenant monitoring may lead to cash-flow stress, uncontrolled spend, supplier payment disruption and weak financial visibility during Financial liquidity crisis; Supplier disruption; Fraud risk.</t>
        </is>
      </c>
      <c r="G100" s="13" t="inlineStr">
        <is>
          <t>Low maturity, weak ownership, incomplete evidence, insufficient testing and poor integration with crisis-management routines for liquidity buffers, credit lines, emergency funding options and covenant monitoring.</t>
        </is>
      </c>
      <c r="H100" s="13" t="inlineStr">
        <is>
          <t>Severe risk: liquidity buffers, credit lines, emergency funding options and covenant monitoring is not reliably controlled. During Financial liquidity crisis; Supplier disruption; Fraud risk, the organization may face cash-flow stress, uncontrolled spend, supplier payment disruption and weak financial visibility with limited visibility or accountability.</t>
        </is>
      </c>
      <c r="I100" s="13" t="inlineStr">
        <is>
          <t>High risk: liquidity buffers, credit lines, emergency funding options and covenant monitoring depends on informal practices or individual knowledge. Disruption may expose cash-flow stress, uncontrolled spend, supplier payment disruption and weak financial visibility and slow recovery.</t>
        </is>
      </c>
      <c r="J100" s="13" t="inlineStr">
        <is>
          <t>Elevated risk: liquidity buffers, credit lines, emergency funding options and covenant monitoring is partially controlled, but coverage, evidence or testing is inconsistent. Crisis response may be fragmented.</t>
        </is>
      </c>
      <c r="K100" s="13" t="inlineStr">
        <is>
          <t>Moderate risk: liquidity buffers, credit lines, emergency funding options and covenant monitoring is documented and owned, but measurement, stress testing and integration with dependent processes need strengthening.</t>
        </is>
      </c>
      <c r="L100" s="13" t="inlineStr">
        <is>
          <t>Residual risk: liquidity buffers, credit lines, emergency funding options and covenant monitoring is measured and reviewed, but monitoring, automation or scenario testing should be improved to prevent maturity drift.</t>
        </is>
      </c>
      <c r="M100" s="13" t="inlineStr">
        <is>
          <t>Low residual risk: liquidity buffers, credit lines, emergency funding options and covenant monitoring is mature and crisis-tested. Maintain monitoring, evidence, ownership and periodic stress testing.</t>
        </is>
      </c>
      <c r="N100" s="13" t="inlineStr">
        <is>
          <t>Create an immediate risk owner, minimum control baseline and fallback procedure for liquidity buffers, credit lines, emergency funding options and covenant monitoring. Add it to the crisis risk register and collect first evidence.</t>
        </is>
      </c>
      <c r="O100" s="13" t="inlineStr">
        <is>
          <t>Document liquidity buffers, credit lines, emergency funding options and covenant monitoring, assign RACI, define minimum controls and KPIs, and validate coverage across key sites, teams or systems.</t>
        </is>
      </c>
      <c r="P100" s="13" t="inlineStr">
        <is>
          <t>Standardize liquidity buffers, credit lines, emergency funding options and covenant monitoring, close coverage gaps, train accountable roles and connect controls to the relevant crisis scenarios and continuity plans.</t>
        </is>
      </c>
      <c r="Q100" s="13" t="inlineStr">
        <is>
          <t>Measure and test liquidity buffers, credit lines, emergency funding options and covenant monitoring, run tabletop or operational stress tests, integrate it with dependent processes and update crisis playbooks.</t>
        </is>
      </c>
      <c r="R100" s="13" t="inlineStr">
        <is>
          <t>Automate monitoring where practical, define leading indicators, run periodic scenario tests and track residual risk after each major change.</t>
        </is>
      </c>
      <c r="S100" s="13" t="inlineStr">
        <is>
          <t>Sustain maturity for liquidity buffers, credit lines, emergency funding options and covenant monitoring: keep evidence current, monitor drift, benchmark externally and refresh risk tests after organizational, system or market changes.</t>
        </is>
      </c>
      <c r="T100" s="13" t="n">
        <v>3</v>
      </c>
      <c r="U100" s="13" t="n">
        <v>3</v>
      </c>
      <c r="V100" s="13" t="n">
        <v>2</v>
      </c>
      <c r="W100" s="13" t="n">
        <v>2</v>
      </c>
      <c r="X100" s="13" t="n">
        <v>1</v>
      </c>
      <c r="Y100" s="13" t="n">
        <v>1</v>
      </c>
      <c r="Z100" s="13" t="inlineStr">
        <is>
          <t>COSO Internal Control; COSO ERM; IFRS; ISO 20400; ISO 37001; CIPS</t>
        </is>
      </c>
      <c r="AA100" s="13" t="inlineStr">
        <is>
          <t>Policy/SOP; owner/RACI; system report; dashboard; contracts; test records; incident history; interview evidence related to liquidity buffers, credit lines, emergency funding options and covenant monitoring.</t>
        </is>
      </c>
      <c r="AB100" s="13" t="inlineStr">
        <is>
          <t>Financial liquidity crisis; Supplier disruption; Fraud risk</t>
        </is>
      </c>
      <c r="AC100" s="13" t="inlineStr">
        <is>
          <t>CFO / Procurement</t>
        </is>
      </c>
      <c r="AD100" s="13" t="inlineStr">
        <is>
          <t>Finance Procurement!7</t>
        </is>
      </c>
      <c r="AE100">
        <f>IF($A100="","",IF(OR(ISNUMBER(SEARCH("cyber",$D100)),ISNUMBER(SEARCH("security",$D100)),ISNUMBER(SEARCH("safety",$D100)),ISNUMBER(SEARCH("liquidity",$D100)),ISNUMBER(SEARCH("cash",$D100)),ISNUMBER(SEARCH("continuity",$D100)),ISNUMBER(SEARCH("infrastructure",$D100)),ISNUMBER(SEARCH("outage",$D100))),"Fast",IF(OR(ISNUMBER(SEARCH("compliance",$D100)),ISNUMBER(SEARCH("regulat",$D100)),ISNUMBER(SEARCH("data",$D100)),ISNUMBER(SEARCH("talent",$D100)),ISNUMBER(SEARCH("knowledge",$D100)),ISNUMBER(SEARCH("portfolio",$D100)),ISNUMBER(SEARCH("quality",$D100))),"Slow","Medium")))</f>
        <v/>
      </c>
      <c r="AF100">
        <f>IF($A100="","",IFERROR(VLOOKUP($B100,'_CONFIG_Risk_Calibration'!$A$5:$H$21,2,FALSE),3))</f>
        <v/>
      </c>
      <c r="AG100">
        <f>IF($A100="","",IFERROR(VLOOKUP($B100,'_CONFIG_Risk_Calibration'!$A$5:$H$21,3,FALSE),0))</f>
        <v/>
      </c>
      <c r="AH100">
        <f>IF($A100="","",IFERROR(VLOOKUP($B100,'_CONFIG_Risk_Calibration'!$A$5:$H$21,4,FALSE),3))</f>
        <v/>
      </c>
      <c r="AI100">
        <f>IF($A100="","",IFERROR(VLOOKUP($B100,'_CONFIG_Risk_Calibration'!$A$5:$H$21,5,FALSE),3))</f>
        <v/>
      </c>
      <c r="AJ100">
        <f>IF($A100="","",IFERROR(VLOOKUP($B100,'_CONFIG_Risk_Calibration'!$A$5:$H$21,6,FALSE),"No"))</f>
        <v/>
      </c>
      <c r="AK100">
        <f>IF($A100="","",IFERROR(VLOOKUP($B100,'_CONFIG_Risk_Calibration'!$A$5:$H$21,7,FALSE),1))</f>
        <v/>
      </c>
      <c r="AL100">
        <f>IF($A100="","",IFERROR(VLOOKUP($B100,'_CONFIG_Risk_Calibration'!$A$5:$H$21,8,FALSE),""))</f>
        <v/>
      </c>
    </row>
    <row r="101" ht="72" customHeight="1" s="209">
      <c r="A101" s="13" t="inlineStr">
        <is>
          <t>FINA-004</t>
        </is>
      </c>
      <c r="B101" s="13" t="inlineStr">
        <is>
          <t>Finance Procurement</t>
        </is>
      </c>
      <c r="C101" s="13" t="inlineStr">
        <is>
          <t>Financial resilience</t>
        </is>
      </c>
      <c r="D101" s="13" t="inlineStr">
        <is>
          <t>Financial control and procurement resilience</t>
        </is>
      </c>
      <c r="E101" s="13" t="inlineStr">
        <is>
          <t>How mature is the organization in managing driver-based financial forecasting linked to sales, delivery, workforce, inventory and production, including ownership, evidence, metrics, fallback procedures and crisis stress testing?</t>
        </is>
      </c>
      <c r="F101" s="13" t="inlineStr">
        <is>
          <t>Immature capability for driver-based financial forecasting linked to sales, delivery, workforce, inventory and production may lead to cash-flow stress, uncontrolled spend, supplier payment disruption and weak financial visibility during Financial liquidity crisis; Supplier disruption; Fraud risk.</t>
        </is>
      </c>
      <c r="G101" s="13" t="inlineStr">
        <is>
          <t>Low maturity, weak ownership, incomplete evidence, insufficient testing and poor integration with crisis-management routines for driver-based financial forecasting linked to sales, delivery, workforce, inventory and production.</t>
        </is>
      </c>
      <c r="H101" s="13" t="inlineStr">
        <is>
          <t>Severe risk: driver-based financial forecasting linked to sales, delivery, workforce, inventory and production is not reliably controlled. During Financial liquidity crisis; Supplier disruption; Fraud risk, the organization may face cash-flow stress, uncontrolled spend, supplier payment disruption and weak financial visibility with limited visibility or accountability.</t>
        </is>
      </c>
      <c r="I101" s="13" t="inlineStr">
        <is>
          <t>High risk: driver-based financial forecasting linked to sales, delivery, workforce, inventory and production depends on informal practices or individual knowledge. Disruption may expose cash-flow stress, uncontrolled spend, supplier payment disruption and weak financial visibility and slow recovery.</t>
        </is>
      </c>
      <c r="J101" s="13" t="inlineStr">
        <is>
          <t>Elevated risk: driver-based financial forecasting linked to sales, delivery, workforce, inventory and production is partially controlled, but coverage, evidence or testing is inconsistent. Crisis response may be fragmented.</t>
        </is>
      </c>
      <c r="K101" s="13" t="inlineStr">
        <is>
          <t>Moderate risk: driver-based financial forecasting linked to sales, delivery, workforce, inventory and production is documented and owned, but measurement, stress testing and integration with dependent processes need strengthening.</t>
        </is>
      </c>
      <c r="L101" s="13" t="inlineStr">
        <is>
          <t>Residual risk: driver-based financial forecasting linked to sales, delivery, workforce, inventory and production is measured and reviewed, but monitoring, automation or scenario testing should be improved to prevent maturity drift.</t>
        </is>
      </c>
      <c r="M101" s="13" t="inlineStr">
        <is>
          <t>Low residual risk: driver-based financial forecasting linked to sales, delivery, workforce, inventory and production is mature and crisis-tested. Maintain monitoring, evidence, ownership and periodic stress testing.</t>
        </is>
      </c>
      <c r="N101" s="13" t="inlineStr">
        <is>
          <t>Create an immediate risk owner, minimum control baseline and fallback procedure for driver-based financial forecasting linked to sales, delivery, workforce, inventory and production. Add it to the crisis risk register and collect first evidence.</t>
        </is>
      </c>
      <c r="O101" s="13" t="inlineStr">
        <is>
          <t>Document driver-based financial forecasting linked to sales, delivery, workforce, inventory and production, assign RACI, define minimum controls and KPIs, and validate coverage across key sites, teams or systems.</t>
        </is>
      </c>
      <c r="P101" s="13" t="inlineStr">
        <is>
          <t>Standardize driver-based financial forecasting linked to sales, delivery, workforce, inventory and production, close coverage gaps, train accountable roles and connect controls to the relevant crisis scenarios and continuity plans.</t>
        </is>
      </c>
      <c r="Q101" s="13" t="inlineStr">
        <is>
          <t>Measure and test driver-based financial forecasting linked to sales, delivery, workforce, inventory and production, run tabletop or operational stress tests, integrate it with dependent processes and update crisis playbooks.</t>
        </is>
      </c>
      <c r="R101" s="13" t="inlineStr">
        <is>
          <t>Automate monitoring where practical, define leading indicators, run periodic scenario tests and track residual risk after each major change.</t>
        </is>
      </c>
      <c r="S101" s="13" t="inlineStr">
        <is>
          <t>Sustain maturity for driver-based financial forecasting linked to sales, delivery, workforce, inventory and production: keep evidence current, monitor drift, benchmark externally and refresh risk tests after organizational, system or market changes.</t>
        </is>
      </c>
      <c r="T101" s="13" t="n">
        <v>3</v>
      </c>
      <c r="U101" s="13" t="n">
        <v>3</v>
      </c>
      <c r="V101" s="13" t="n">
        <v>2</v>
      </c>
      <c r="W101" s="13" t="n">
        <v>2</v>
      </c>
      <c r="X101" s="13" t="n">
        <v>1</v>
      </c>
      <c r="Y101" s="13" t="n">
        <v>1</v>
      </c>
      <c r="Z101" s="13" t="inlineStr">
        <is>
          <t>COSO Internal Control; COSO ERM; IFRS; ISO 20400; ISO 37001; CIPS</t>
        </is>
      </c>
      <c r="AA101" s="13" t="inlineStr">
        <is>
          <t>Policy/SOP; owner/RACI; system report; dashboard; contracts; test records; incident history; interview evidence related to driver-based financial forecasting linked to sales, delivery, workforce, inventory and production.</t>
        </is>
      </c>
      <c r="AB101" s="13" t="inlineStr">
        <is>
          <t>Financial liquidity crisis; Supplier disruption; Fraud risk</t>
        </is>
      </c>
      <c r="AC101" s="13" t="inlineStr">
        <is>
          <t>CFO / Procurement</t>
        </is>
      </c>
      <c r="AD101" s="13" t="inlineStr">
        <is>
          <t>Finance Procurement!8</t>
        </is>
      </c>
      <c r="AE101">
        <f>IF($A101="","",IF(OR(ISNUMBER(SEARCH("cyber",$D101)),ISNUMBER(SEARCH("security",$D101)),ISNUMBER(SEARCH("safety",$D101)),ISNUMBER(SEARCH("liquidity",$D101)),ISNUMBER(SEARCH("cash",$D101)),ISNUMBER(SEARCH("continuity",$D101)),ISNUMBER(SEARCH("infrastructure",$D101)),ISNUMBER(SEARCH("outage",$D101))),"Fast",IF(OR(ISNUMBER(SEARCH("compliance",$D101)),ISNUMBER(SEARCH("regulat",$D101)),ISNUMBER(SEARCH("data",$D101)),ISNUMBER(SEARCH("talent",$D101)),ISNUMBER(SEARCH("knowledge",$D101)),ISNUMBER(SEARCH("portfolio",$D101)),ISNUMBER(SEARCH("quality",$D101))),"Slow","Medium")))</f>
        <v/>
      </c>
      <c r="AF101">
        <f>IF($A101="","",IFERROR(VLOOKUP($B101,'_CONFIG_Risk_Calibration'!$A$5:$H$21,2,FALSE),3))</f>
        <v/>
      </c>
      <c r="AG101">
        <f>IF($A101="","",IFERROR(VLOOKUP($B101,'_CONFIG_Risk_Calibration'!$A$5:$H$21,3,FALSE),0))</f>
        <v/>
      </c>
      <c r="AH101">
        <f>IF($A101="","",IFERROR(VLOOKUP($B101,'_CONFIG_Risk_Calibration'!$A$5:$H$21,4,FALSE),3))</f>
        <v/>
      </c>
      <c r="AI101">
        <f>IF($A101="","",IFERROR(VLOOKUP($B101,'_CONFIG_Risk_Calibration'!$A$5:$H$21,5,FALSE),3))</f>
        <v/>
      </c>
      <c r="AJ101">
        <f>IF($A101="","",IFERROR(VLOOKUP($B101,'_CONFIG_Risk_Calibration'!$A$5:$H$21,6,FALSE),"No"))</f>
        <v/>
      </c>
      <c r="AK101">
        <f>IF($A101="","",IFERROR(VLOOKUP($B101,'_CONFIG_Risk_Calibration'!$A$5:$H$21,7,FALSE),1))</f>
        <v/>
      </c>
      <c r="AL101">
        <f>IF($A101="","",IFERROR(VLOOKUP($B101,'_CONFIG_Risk_Calibration'!$A$5:$H$21,8,FALSE),""))</f>
        <v/>
      </c>
    </row>
    <row r="102" ht="60" customHeight="1" s="209">
      <c r="A102" s="13" t="inlineStr">
        <is>
          <t>FINA-005</t>
        </is>
      </c>
      <c r="B102" s="13" t="inlineStr">
        <is>
          <t>Finance Procurement</t>
        </is>
      </c>
      <c r="C102" s="13" t="inlineStr">
        <is>
          <t>Financial resilience</t>
        </is>
      </c>
      <c r="D102" s="13" t="inlineStr">
        <is>
          <t>Financial control and procurement resilience</t>
        </is>
      </c>
      <c r="E102" s="13" t="inlineStr">
        <is>
          <t>How mature is the organization in managing budget flexibility and emergency reallocation rules, including ownership, evidence, metrics, fallback procedures and crisis stress testing?</t>
        </is>
      </c>
      <c r="F102" s="13" t="inlineStr">
        <is>
          <t>Immature capability for budget flexibility and emergency reallocation rules may lead to cash-flow stress, uncontrolled spend, supplier payment disruption and weak financial visibility during Financial liquidity crisis; Supplier disruption; Fraud risk.</t>
        </is>
      </c>
      <c r="G102" s="13" t="inlineStr">
        <is>
          <t>Low maturity, weak ownership, incomplete evidence, insufficient testing and poor integration with crisis-management routines for budget flexibility and emergency reallocation rules.</t>
        </is>
      </c>
      <c r="H102" s="13" t="inlineStr">
        <is>
          <t>Severe risk: budget flexibility and emergency reallocation rules is not reliably controlled. During Financial liquidity crisis; Supplier disruption; Fraud risk, the organization may face cash-flow stress, uncontrolled spend, supplier payment disruption and weak financial visibility with limited visibility or accountability.</t>
        </is>
      </c>
      <c r="I102" s="13" t="inlineStr">
        <is>
          <t>High risk: budget flexibility and emergency reallocation rules depends on informal practices or individual knowledge. Disruption may expose cash-flow stress, uncontrolled spend, supplier payment disruption and weak financial visibility and slow recovery.</t>
        </is>
      </c>
      <c r="J102" s="13" t="inlineStr">
        <is>
          <t>Elevated risk: budget flexibility and emergency reallocation rules is partially controlled, but coverage, evidence or testing is inconsistent. Crisis response may be fragmented.</t>
        </is>
      </c>
      <c r="K102" s="13" t="inlineStr">
        <is>
          <t>Moderate risk: budget flexibility and emergency reallocation rules is documented and owned, but measurement, stress testing and integration with dependent processes need strengthening.</t>
        </is>
      </c>
      <c r="L102" s="13" t="inlineStr">
        <is>
          <t>Residual risk: budget flexibility and emergency reallocation rules is measured and reviewed, but monitoring, automation or scenario testing should be improved to prevent maturity drift.</t>
        </is>
      </c>
      <c r="M102" s="13" t="inlineStr">
        <is>
          <t>Low residual risk: budget flexibility and emergency reallocation rules is mature and crisis-tested. Maintain monitoring, evidence, ownership and periodic stress testing.</t>
        </is>
      </c>
      <c r="N102" s="13" t="inlineStr">
        <is>
          <t>Create an immediate risk owner, minimum control baseline and fallback procedure for budget flexibility and emergency reallocation rules. Add it to the crisis risk register and collect first evidence.</t>
        </is>
      </c>
      <c r="O102" s="13" t="inlineStr">
        <is>
          <t>Document budget flexibility and emergency reallocation rules, assign RACI, define minimum controls and KPIs, and validate coverage across key sites, teams or systems.</t>
        </is>
      </c>
      <c r="P102" s="13" t="inlineStr">
        <is>
          <t>Standardize budget flexibility and emergency reallocation rules, close coverage gaps, train accountable roles and connect controls to the relevant crisis scenarios and continuity plans.</t>
        </is>
      </c>
      <c r="Q102" s="13" t="inlineStr">
        <is>
          <t>Measure and test budget flexibility and emergency reallocation rules, run tabletop or operational stress tests, integrate it with dependent processes and update crisis playbooks.</t>
        </is>
      </c>
      <c r="R102" s="13" t="inlineStr">
        <is>
          <t>Automate monitoring where practical, define leading indicators, run periodic scenario tests and track residual risk after each major change.</t>
        </is>
      </c>
      <c r="S102" s="13" t="inlineStr">
        <is>
          <t>Sustain maturity for budget flexibility and emergency reallocation rules: keep evidence current, monitor drift, benchmark externally and refresh risk tests after organizational, system or market changes.</t>
        </is>
      </c>
      <c r="T102" s="13" t="n">
        <v>3</v>
      </c>
      <c r="U102" s="13" t="n">
        <v>3</v>
      </c>
      <c r="V102" s="13" t="n">
        <v>2</v>
      </c>
      <c r="W102" s="13" t="n">
        <v>2</v>
      </c>
      <c r="X102" s="13" t="n">
        <v>1</v>
      </c>
      <c r="Y102" s="13" t="n">
        <v>1</v>
      </c>
      <c r="Z102" s="13" t="inlineStr">
        <is>
          <t>COSO Internal Control; COSO ERM; IFRS; ISO 20400; ISO 37001; CIPS</t>
        </is>
      </c>
      <c r="AA102" s="13" t="inlineStr">
        <is>
          <t>Policy/SOP; owner/RACI; system report; dashboard; contracts; test records; incident history; interview evidence related to budget flexibility and emergency reallocation rules.</t>
        </is>
      </c>
      <c r="AB102" s="13" t="inlineStr">
        <is>
          <t>Financial liquidity crisis; Supplier disruption; Fraud risk</t>
        </is>
      </c>
      <c r="AC102" s="13" t="inlineStr">
        <is>
          <t>CFO / Procurement</t>
        </is>
      </c>
      <c r="AD102" s="13" t="inlineStr">
        <is>
          <t>Finance Procurement!9</t>
        </is>
      </c>
      <c r="AE102">
        <f>IF($A102="","",IF(OR(ISNUMBER(SEARCH("cyber",$D102)),ISNUMBER(SEARCH("security",$D102)),ISNUMBER(SEARCH("safety",$D102)),ISNUMBER(SEARCH("liquidity",$D102)),ISNUMBER(SEARCH("cash",$D102)),ISNUMBER(SEARCH("continuity",$D102)),ISNUMBER(SEARCH("infrastructure",$D102)),ISNUMBER(SEARCH("outage",$D102))),"Fast",IF(OR(ISNUMBER(SEARCH("compliance",$D102)),ISNUMBER(SEARCH("regulat",$D102)),ISNUMBER(SEARCH("data",$D102)),ISNUMBER(SEARCH("talent",$D102)),ISNUMBER(SEARCH("knowledge",$D102)),ISNUMBER(SEARCH("portfolio",$D102)),ISNUMBER(SEARCH("quality",$D102))),"Slow","Medium")))</f>
        <v/>
      </c>
      <c r="AF102">
        <f>IF($A102="","",IFERROR(VLOOKUP($B102,'_CONFIG_Risk_Calibration'!$A$5:$H$21,2,FALSE),3))</f>
        <v/>
      </c>
      <c r="AG102">
        <f>IF($A102="","",IFERROR(VLOOKUP($B102,'_CONFIG_Risk_Calibration'!$A$5:$H$21,3,FALSE),0))</f>
        <v/>
      </c>
      <c r="AH102">
        <f>IF($A102="","",IFERROR(VLOOKUP($B102,'_CONFIG_Risk_Calibration'!$A$5:$H$21,4,FALSE),3))</f>
        <v/>
      </c>
      <c r="AI102">
        <f>IF($A102="","",IFERROR(VLOOKUP($B102,'_CONFIG_Risk_Calibration'!$A$5:$H$21,5,FALSE),3))</f>
        <v/>
      </c>
      <c r="AJ102">
        <f>IF($A102="","",IFERROR(VLOOKUP($B102,'_CONFIG_Risk_Calibration'!$A$5:$H$21,6,FALSE),"No"))</f>
        <v/>
      </c>
      <c r="AK102">
        <f>IF($A102="","",IFERROR(VLOOKUP($B102,'_CONFIG_Risk_Calibration'!$A$5:$H$21,7,FALSE),1))</f>
        <v/>
      </c>
      <c r="AL102">
        <f>IF($A102="","",IFERROR(VLOOKUP($B102,'_CONFIG_Risk_Calibration'!$A$5:$H$21,8,FALSE),""))</f>
        <v/>
      </c>
    </row>
    <row r="103" ht="84" customHeight="1" s="209">
      <c r="A103" s="13" t="inlineStr">
        <is>
          <t>FINA-006</t>
        </is>
      </c>
      <c r="B103" s="13" t="inlineStr">
        <is>
          <t>Finance Procurement</t>
        </is>
      </c>
      <c r="C103" s="13" t="inlineStr">
        <is>
          <t>Financial resilience</t>
        </is>
      </c>
      <c r="D103" s="13" t="inlineStr">
        <is>
          <t>Financial control and procurement resilience</t>
        </is>
      </c>
      <c r="E103" s="13" t="inlineStr">
        <is>
          <t>How mature is the organization in managing financial stress tests for revenue collapse, currency shock, supplier price spikes, debt pressure and delayed receivables, including ownership, evidence, metrics, fallback procedures and crisis stress testing?</t>
        </is>
      </c>
      <c r="F103" s="13" t="inlineStr">
        <is>
          <t>Immature capability for financial stress tests for revenue collapse, currency shock, supplier price spikes, debt pressure and delayed receivables may lead to cash-flow stress, uncontrolled spend, supplier payment disruption and weak financial visibility during Financial liquidity crisis; Supplier disruption; Fraud risk.</t>
        </is>
      </c>
      <c r="G103" s="13" t="inlineStr">
        <is>
          <t>Low maturity, weak ownership, incomplete evidence, insufficient testing and poor integration with crisis-management routines for financial stress tests for revenue collapse, currency shock, supplier price spikes, debt pressure and delayed receivables.</t>
        </is>
      </c>
      <c r="H103" s="13" t="inlineStr">
        <is>
          <t>Severe risk: financial stress tests for revenue collapse, currency shock, supplier price spikes, debt pressure and delayed receivables is not reliably controlled. During Financial liquidity crisis; Supplier disruption; Fraud risk, the organization may face cash-flow stress, uncontrolled spend, supplier payment disruption and weak financial visibility with limited visibility or accountability.</t>
        </is>
      </c>
      <c r="I103" s="13" t="inlineStr">
        <is>
          <t>High risk: financial stress tests for revenue collapse, currency shock, supplier price spikes, debt pressure and delayed receivables depends on informal practices or individual knowledge. Disruption may expose cash-flow stress, uncontrolled spend, supplier payment disruption and weak financial visibility and slow recovery.</t>
        </is>
      </c>
      <c r="J103" s="13" t="inlineStr">
        <is>
          <t>Elevated risk: financial stress tests for revenue collapse, currency shock, supplier price spikes, debt pressure and delayed receivables is partially controlled, but coverage, evidence or testing is inconsistent. Crisis response may be fragmented.</t>
        </is>
      </c>
      <c r="K103" s="13" t="inlineStr">
        <is>
          <t>Moderate risk: financial stress tests for revenue collapse, currency shock, supplier price spikes, debt pressure and delayed receivables is documented and owned, but measurement, stress testing and integration with dependent processes need strengthening.</t>
        </is>
      </c>
      <c r="L103" s="13" t="inlineStr">
        <is>
          <t>Residual risk: financial stress tests for revenue collapse, currency shock, supplier price spikes, debt pressure and delayed receivables is measured and reviewed, but monitoring, automation or scenario testing should be improved to prevent maturity drift.</t>
        </is>
      </c>
      <c r="M103" s="13" t="inlineStr">
        <is>
          <t>Low residual risk: financial stress tests for revenue collapse, currency shock, supplier price spikes, debt pressure and delayed receivables is mature and crisis-tested. Maintain monitoring, evidence, ownership and periodic stress testing.</t>
        </is>
      </c>
      <c r="N103" s="13" t="inlineStr">
        <is>
          <t>Create an immediate risk owner, minimum control baseline and fallback procedure for financial stress tests for revenue collapse, currency shock, supplier price spikes, debt pressure and delayed receivables. Add it to the crisis risk register and collect first evidence.</t>
        </is>
      </c>
      <c r="O103" s="13" t="inlineStr">
        <is>
          <t>Document financial stress tests for revenue collapse, currency shock, supplier price spikes, debt pressure and delayed receivables, assign RACI, define minimum controls and KPIs, and validate coverage across key sites, teams or systems.</t>
        </is>
      </c>
      <c r="P103" s="13" t="inlineStr">
        <is>
          <t>Standardize financial stress tests for revenue collapse, currency shock, supplier price spikes, debt pressure and delayed receivables, close coverage gaps, train accountable roles and connect controls to the relevant crisis scenarios and continuity plans.</t>
        </is>
      </c>
      <c r="Q103" s="13" t="inlineStr">
        <is>
          <t>Measure and test financial stress tests for revenue collapse, currency shock, supplier price spikes, debt pressure and delayed receivables, run tabletop or operational stress tests, integrate it with dependent processes and update crisis playbooks.</t>
        </is>
      </c>
      <c r="R103" s="13" t="inlineStr">
        <is>
          <t>Automate monitoring where practical, define leading indicators, run periodic scenario tests and track residual risk after each major change.</t>
        </is>
      </c>
      <c r="S103" s="13" t="inlineStr">
        <is>
          <t>Sustain maturity for financial stress tests for revenue collapse, currency shock, supplier price spikes, debt pressure and delayed receivables: keep evidence current, monitor drift, benchmark externally and refresh risk tests after organizational, system or market changes.</t>
        </is>
      </c>
      <c r="T103" s="13" t="n">
        <v>3</v>
      </c>
      <c r="U103" s="13" t="n">
        <v>3</v>
      </c>
      <c r="V103" s="13" t="n">
        <v>2</v>
      </c>
      <c r="W103" s="13" t="n">
        <v>2</v>
      </c>
      <c r="X103" s="13" t="n">
        <v>1</v>
      </c>
      <c r="Y103" s="13" t="n">
        <v>1</v>
      </c>
      <c r="Z103" s="13" t="inlineStr">
        <is>
          <t>COSO Internal Control; COSO ERM; IFRS; ISO 20400; ISO 37001; CIPS</t>
        </is>
      </c>
      <c r="AA103" s="13" t="inlineStr">
        <is>
          <t>Policy/SOP; owner/RACI; system report; dashboard; contracts; test records; incident history; interview evidence related to financial stress tests for revenue collapse, currency shock, supplier price spikes, debt pressure and delayed receivables.</t>
        </is>
      </c>
      <c r="AB103" s="13" t="inlineStr">
        <is>
          <t>Financial liquidity crisis; Supplier disruption; Fraud risk</t>
        </is>
      </c>
      <c r="AC103" s="13" t="inlineStr">
        <is>
          <t>CFO / Procurement</t>
        </is>
      </c>
      <c r="AD103" s="13" t="inlineStr">
        <is>
          <t>Finance Procurement!10</t>
        </is>
      </c>
      <c r="AE103">
        <f>IF($A103="","",IF(OR(ISNUMBER(SEARCH("cyber",$D103)),ISNUMBER(SEARCH("security",$D103)),ISNUMBER(SEARCH("safety",$D103)),ISNUMBER(SEARCH("liquidity",$D103)),ISNUMBER(SEARCH("cash",$D103)),ISNUMBER(SEARCH("continuity",$D103)),ISNUMBER(SEARCH("infrastructure",$D103)),ISNUMBER(SEARCH("outage",$D103))),"Fast",IF(OR(ISNUMBER(SEARCH("compliance",$D103)),ISNUMBER(SEARCH("regulat",$D103)),ISNUMBER(SEARCH("data",$D103)),ISNUMBER(SEARCH("talent",$D103)),ISNUMBER(SEARCH("knowledge",$D103)),ISNUMBER(SEARCH("portfolio",$D103)),ISNUMBER(SEARCH("quality",$D103))),"Slow","Medium")))</f>
        <v/>
      </c>
      <c r="AF103">
        <f>IF($A103="","",IFERROR(VLOOKUP($B103,'_CONFIG_Risk_Calibration'!$A$5:$H$21,2,FALSE),3))</f>
        <v/>
      </c>
      <c r="AG103">
        <f>IF($A103="","",IFERROR(VLOOKUP($B103,'_CONFIG_Risk_Calibration'!$A$5:$H$21,3,FALSE),0))</f>
        <v/>
      </c>
      <c r="AH103">
        <f>IF($A103="","",IFERROR(VLOOKUP($B103,'_CONFIG_Risk_Calibration'!$A$5:$H$21,4,FALSE),3))</f>
        <v/>
      </c>
      <c r="AI103">
        <f>IF($A103="","",IFERROR(VLOOKUP($B103,'_CONFIG_Risk_Calibration'!$A$5:$H$21,5,FALSE),3))</f>
        <v/>
      </c>
      <c r="AJ103">
        <f>IF($A103="","",IFERROR(VLOOKUP($B103,'_CONFIG_Risk_Calibration'!$A$5:$H$21,6,FALSE),"No"))</f>
        <v/>
      </c>
      <c r="AK103">
        <f>IF($A103="","",IFERROR(VLOOKUP($B103,'_CONFIG_Risk_Calibration'!$A$5:$H$21,7,FALSE),1))</f>
        <v/>
      </c>
      <c r="AL103">
        <f>IF($A103="","",IFERROR(VLOOKUP($B103,'_CONFIG_Risk_Calibration'!$A$5:$H$21,8,FALSE),""))</f>
        <v/>
      </c>
    </row>
    <row r="104" ht="72" customHeight="1" s="209">
      <c r="A104" s="13" t="inlineStr">
        <is>
          <t>FINA-007</t>
        </is>
      </c>
      <c r="B104" s="13" t="inlineStr">
        <is>
          <t>Finance Procurement</t>
        </is>
      </c>
      <c r="C104" s="13" t="inlineStr">
        <is>
          <t>Controls and accounting</t>
        </is>
      </c>
      <c r="D104" s="13" t="inlineStr">
        <is>
          <t>Financial control and procurement resilience</t>
        </is>
      </c>
      <c r="E104" s="13" t="inlineStr">
        <is>
          <t>How mature is the organization in managing approval limits and emergency approvals resilient if key approvers are unavailable, including ownership, evidence, metrics, fallback procedures and crisis stress testing?</t>
        </is>
      </c>
      <c r="F104" s="13" t="inlineStr">
        <is>
          <t>Immature capability for approval limits and emergency approvals resilient if key approvers are unavailable may lead to cash-flow stress, uncontrolled spend, supplier payment disruption and weak financial visibility during Financial liquidity crisis; Supplier disruption; Fraud risk.</t>
        </is>
      </c>
      <c r="G104" s="13" t="inlineStr">
        <is>
          <t>Low maturity, weak ownership, incomplete evidence, insufficient testing and poor integration with crisis-management routines for approval limits and emergency approvals resilient if key approvers are unavailable.</t>
        </is>
      </c>
      <c r="H104" s="13" t="inlineStr">
        <is>
          <t>Severe risk: approval limits and emergency approvals resilient if key approvers are unavailable is not reliably controlled. During Financial liquidity crisis; Supplier disruption; Fraud risk, the organization may face cash-flow stress, uncontrolled spend, supplier payment disruption and weak financial visibility with limited visibility or accountability.</t>
        </is>
      </c>
      <c r="I104" s="13" t="inlineStr">
        <is>
          <t>High risk: approval limits and emergency approvals resilient if key approvers are unavailable depends on informal practices or individual knowledge. Disruption may expose cash-flow stress, uncontrolled spend, supplier payment disruption and weak financial visibility and slow recovery.</t>
        </is>
      </c>
      <c r="J104" s="13" t="inlineStr">
        <is>
          <t>Elevated risk: approval limits and emergency approvals resilient if key approvers are unavailable is partially controlled, but coverage, evidence or testing is inconsistent. Crisis response may be fragmented.</t>
        </is>
      </c>
      <c r="K104" s="13" t="inlineStr">
        <is>
          <t>Moderate risk: approval limits and emergency approvals resilient if key approvers are unavailable is documented and owned, but measurement, stress testing and integration with dependent processes need strengthening.</t>
        </is>
      </c>
      <c r="L104" s="13" t="inlineStr">
        <is>
          <t>Residual risk: approval limits and emergency approvals resilient if key approvers are unavailable is measured and reviewed, but monitoring, automation or scenario testing should be improved to prevent maturity drift.</t>
        </is>
      </c>
      <c r="M104" s="13" t="inlineStr">
        <is>
          <t>Low residual risk: approval limits and emergency approvals resilient if key approvers are unavailable is mature and crisis-tested. Maintain monitoring, evidence, ownership and periodic stress testing.</t>
        </is>
      </c>
      <c r="N104" s="13" t="inlineStr">
        <is>
          <t>Create an immediate risk owner, minimum control baseline and fallback procedure for approval limits and emergency approvals resilient if key approvers are unavailable. Add it to the crisis risk register and collect first evidence.</t>
        </is>
      </c>
      <c r="O104" s="13" t="inlineStr">
        <is>
          <t>Document approval limits and emergency approvals resilient if key approvers are unavailable, assign RACI, define minimum controls and KPIs, and validate coverage across key sites, teams or systems.</t>
        </is>
      </c>
      <c r="P104" s="13" t="inlineStr">
        <is>
          <t>Standardize approval limits and emergency approvals resilient if key approvers are unavailable, close coverage gaps, train accountable roles and connect controls to the relevant crisis scenarios and continuity plans.</t>
        </is>
      </c>
      <c r="Q104" s="13" t="inlineStr">
        <is>
          <t>Measure and test approval limits and emergency approvals resilient if key approvers are unavailable, run tabletop or operational stress tests, integrate it with dependent processes and update crisis playbooks.</t>
        </is>
      </c>
      <c r="R104" s="13" t="inlineStr">
        <is>
          <t>Automate monitoring where practical, define leading indicators, run periodic scenario tests and track residual risk after each major change.</t>
        </is>
      </c>
      <c r="S104" s="13" t="inlineStr">
        <is>
          <t>Sustain maturity for approval limits and emergency approvals resilient if key approvers are unavailable: keep evidence current, monitor drift, benchmark externally and refresh risk tests after organizational, system or market changes.</t>
        </is>
      </c>
      <c r="T104" s="13" t="n">
        <v>3</v>
      </c>
      <c r="U104" s="13" t="n">
        <v>3</v>
      </c>
      <c r="V104" s="13" t="n">
        <v>2</v>
      </c>
      <c r="W104" s="13" t="n">
        <v>2</v>
      </c>
      <c r="X104" s="13" t="n">
        <v>1</v>
      </c>
      <c r="Y104" s="13" t="n">
        <v>1</v>
      </c>
      <c r="Z104" s="13" t="inlineStr">
        <is>
          <t>COSO Internal Control; COSO ERM; IFRS; ISO 20400; ISO 37001; CIPS</t>
        </is>
      </c>
      <c r="AA104" s="13" t="inlineStr">
        <is>
          <t>Policy/SOP; owner/RACI; system report; dashboard; contracts; test records; incident history; interview evidence related to approval limits and emergency approvals resilient if key approvers are unavailable.</t>
        </is>
      </c>
      <c r="AB104" s="13" t="inlineStr">
        <is>
          <t>Financial liquidity crisis; Supplier disruption; Fraud risk</t>
        </is>
      </c>
      <c r="AC104" s="13" t="inlineStr">
        <is>
          <t>CFO / Procurement</t>
        </is>
      </c>
      <c r="AD104" s="13" t="inlineStr">
        <is>
          <t>Finance Procurement!11</t>
        </is>
      </c>
      <c r="AE104">
        <f>IF($A104="","",IF(OR(ISNUMBER(SEARCH("cyber",$D104)),ISNUMBER(SEARCH("security",$D104)),ISNUMBER(SEARCH("safety",$D104)),ISNUMBER(SEARCH("liquidity",$D104)),ISNUMBER(SEARCH("cash",$D104)),ISNUMBER(SEARCH("continuity",$D104)),ISNUMBER(SEARCH("infrastructure",$D104)),ISNUMBER(SEARCH("outage",$D104))),"Fast",IF(OR(ISNUMBER(SEARCH("compliance",$D104)),ISNUMBER(SEARCH("regulat",$D104)),ISNUMBER(SEARCH("data",$D104)),ISNUMBER(SEARCH("talent",$D104)),ISNUMBER(SEARCH("knowledge",$D104)),ISNUMBER(SEARCH("portfolio",$D104)),ISNUMBER(SEARCH("quality",$D104))),"Slow","Medium")))</f>
        <v/>
      </c>
      <c r="AF104">
        <f>IF($A104="","",IFERROR(VLOOKUP($B104,'_CONFIG_Risk_Calibration'!$A$5:$H$21,2,FALSE),3))</f>
        <v/>
      </c>
      <c r="AG104">
        <f>IF($A104="","",IFERROR(VLOOKUP($B104,'_CONFIG_Risk_Calibration'!$A$5:$H$21,3,FALSE),0))</f>
        <v/>
      </c>
      <c r="AH104">
        <f>IF($A104="","",IFERROR(VLOOKUP($B104,'_CONFIG_Risk_Calibration'!$A$5:$H$21,4,FALSE),3))</f>
        <v/>
      </c>
      <c r="AI104">
        <f>IF($A104="","",IFERROR(VLOOKUP($B104,'_CONFIG_Risk_Calibration'!$A$5:$H$21,5,FALSE),3))</f>
        <v/>
      </c>
      <c r="AJ104">
        <f>IF($A104="","",IFERROR(VLOOKUP($B104,'_CONFIG_Risk_Calibration'!$A$5:$H$21,6,FALSE),"No"))</f>
        <v/>
      </c>
      <c r="AK104">
        <f>IF($A104="","",IFERROR(VLOOKUP($B104,'_CONFIG_Risk_Calibration'!$A$5:$H$21,7,FALSE),1))</f>
        <v/>
      </c>
      <c r="AL104">
        <f>IF($A104="","",IFERROR(VLOOKUP($B104,'_CONFIG_Risk_Calibration'!$A$5:$H$21,8,FALSE),""))</f>
        <v/>
      </c>
    </row>
    <row r="105" ht="72" customHeight="1" s="209">
      <c r="A105" s="13" t="inlineStr">
        <is>
          <t>FINA-008</t>
        </is>
      </c>
      <c r="B105" s="13" t="inlineStr">
        <is>
          <t>Finance Procurement</t>
        </is>
      </c>
      <c r="C105" s="13" t="inlineStr">
        <is>
          <t>Controls and accounting</t>
        </is>
      </c>
      <c r="D105" s="13" t="inlineStr">
        <is>
          <t>Financial control and procurement resilience</t>
        </is>
      </c>
      <c r="E105" s="13" t="inlineStr">
        <is>
          <t>How mature is the organization in managing segregation of duties in finance, procurement, ERP and payment processes, including ownership, evidence, metrics, fallback procedures and crisis stress testing?</t>
        </is>
      </c>
      <c r="F105" s="13" t="inlineStr">
        <is>
          <t>Immature capability for segregation of duties in finance, procurement, ERP and payment processes may lead to cash-flow stress, uncontrolled spend, supplier payment disruption and weak financial visibility during Financial liquidity crisis; Supplier disruption; Fraud risk.</t>
        </is>
      </c>
      <c r="G105" s="13" t="inlineStr">
        <is>
          <t>Low maturity, weak ownership, incomplete evidence, insufficient testing and poor integration with crisis-management routines for segregation of duties in finance, procurement, ERP and payment processes.</t>
        </is>
      </c>
      <c r="H105" s="13" t="inlineStr">
        <is>
          <t>Severe risk: segregation of duties in finance, procurement, ERP and payment processes is not reliably controlled. During Financial liquidity crisis; Supplier disruption; Fraud risk, the organization may face cash-flow stress, uncontrolled spend, supplier payment disruption and weak financial visibility with limited visibility or accountability.</t>
        </is>
      </c>
      <c r="I105" s="13" t="inlineStr">
        <is>
          <t>High risk: segregation of duties in finance, procurement, ERP and payment processes depends on informal practices or individual knowledge. Disruption may expose cash-flow stress, uncontrolled spend, supplier payment disruption and weak financial visibility and slow recovery.</t>
        </is>
      </c>
      <c r="J105" s="13" t="inlineStr">
        <is>
          <t>Elevated risk: segregation of duties in finance, procurement, ERP and payment processes is partially controlled, but coverage, evidence or testing is inconsistent. Crisis response may be fragmented.</t>
        </is>
      </c>
      <c r="K105" s="13" t="inlineStr">
        <is>
          <t>Moderate risk: segregation of duties in finance, procurement, ERP and payment processes is documented and owned, but measurement, stress testing and integration with dependent processes need strengthening.</t>
        </is>
      </c>
      <c r="L105" s="13" t="inlineStr">
        <is>
          <t>Residual risk: segregation of duties in finance, procurement, ERP and payment processes is measured and reviewed, but monitoring, automation or scenario testing should be improved to prevent maturity drift.</t>
        </is>
      </c>
      <c r="M105" s="13" t="inlineStr">
        <is>
          <t>Low residual risk: segregation of duties in finance, procurement, ERP and payment processes is mature and crisis-tested. Maintain monitoring, evidence, ownership and periodic stress testing.</t>
        </is>
      </c>
      <c r="N105" s="13" t="inlineStr">
        <is>
          <t>Create an immediate risk owner, minimum control baseline and fallback procedure for segregation of duties in finance, procurement, ERP and payment processes. Add it to the crisis risk register and collect first evidence.</t>
        </is>
      </c>
      <c r="O105" s="13" t="inlineStr">
        <is>
          <t>Document segregation of duties in finance, procurement, ERP and payment processes, assign RACI, define minimum controls and KPIs, and validate coverage across key sites, teams or systems.</t>
        </is>
      </c>
      <c r="P105" s="13" t="inlineStr">
        <is>
          <t>Standardize segregation of duties in finance, procurement, ERP and payment processes, close coverage gaps, train accountable roles and connect controls to the relevant crisis scenarios and continuity plans.</t>
        </is>
      </c>
      <c r="Q105" s="13" t="inlineStr">
        <is>
          <t>Measure and test segregation of duties in finance, procurement, ERP and payment processes, run tabletop or operational stress tests, integrate it with dependent processes and update crisis playbooks.</t>
        </is>
      </c>
      <c r="R105" s="13" t="inlineStr">
        <is>
          <t>Automate monitoring where practical, define leading indicators, run periodic scenario tests and track residual risk after each major change.</t>
        </is>
      </c>
      <c r="S105" s="13" t="inlineStr">
        <is>
          <t>Sustain maturity for segregation of duties in finance, procurement, ERP and payment processes: keep evidence current, monitor drift, benchmark externally and refresh risk tests after organizational, system or market changes.</t>
        </is>
      </c>
      <c r="T105" s="13" t="n">
        <v>3</v>
      </c>
      <c r="U105" s="13" t="n">
        <v>3</v>
      </c>
      <c r="V105" s="13" t="n">
        <v>2</v>
      </c>
      <c r="W105" s="13" t="n">
        <v>2</v>
      </c>
      <c r="X105" s="13" t="n">
        <v>1</v>
      </c>
      <c r="Y105" s="13" t="n">
        <v>1</v>
      </c>
      <c r="Z105" s="13" t="inlineStr">
        <is>
          <t>COSO Internal Control; COSO ERM; IFRS; ISO 20400; ISO 37001; CIPS</t>
        </is>
      </c>
      <c r="AA105" s="13" t="inlineStr">
        <is>
          <t>Policy/SOP; owner/RACI; system report; dashboard; contracts; test records; incident history; interview evidence related to segregation of duties in finance, procurement, ERP and payment processes.</t>
        </is>
      </c>
      <c r="AB105" s="13" t="inlineStr">
        <is>
          <t>Financial liquidity crisis; Supplier disruption; Fraud risk</t>
        </is>
      </c>
      <c r="AC105" s="13" t="inlineStr">
        <is>
          <t>CFO / Procurement</t>
        </is>
      </c>
      <c r="AD105" s="13" t="inlineStr">
        <is>
          <t>Finance Procurement!12</t>
        </is>
      </c>
      <c r="AE105">
        <f>IF($A105="","",IF(OR(ISNUMBER(SEARCH("cyber",$D105)),ISNUMBER(SEARCH("security",$D105)),ISNUMBER(SEARCH("safety",$D105)),ISNUMBER(SEARCH("liquidity",$D105)),ISNUMBER(SEARCH("cash",$D105)),ISNUMBER(SEARCH("continuity",$D105)),ISNUMBER(SEARCH("infrastructure",$D105)),ISNUMBER(SEARCH("outage",$D105))),"Fast",IF(OR(ISNUMBER(SEARCH("compliance",$D105)),ISNUMBER(SEARCH("regulat",$D105)),ISNUMBER(SEARCH("data",$D105)),ISNUMBER(SEARCH("talent",$D105)),ISNUMBER(SEARCH("knowledge",$D105)),ISNUMBER(SEARCH("portfolio",$D105)),ISNUMBER(SEARCH("quality",$D105))),"Slow","Medium")))</f>
        <v/>
      </c>
      <c r="AF105">
        <f>IF($A105="","",IFERROR(VLOOKUP($B105,'_CONFIG_Risk_Calibration'!$A$5:$H$21,2,FALSE),3))</f>
        <v/>
      </c>
      <c r="AG105">
        <f>IF($A105="","",IFERROR(VLOOKUP($B105,'_CONFIG_Risk_Calibration'!$A$5:$H$21,3,FALSE),0))</f>
        <v/>
      </c>
      <c r="AH105">
        <f>IF($A105="","",IFERROR(VLOOKUP($B105,'_CONFIG_Risk_Calibration'!$A$5:$H$21,4,FALSE),3))</f>
        <v/>
      </c>
      <c r="AI105">
        <f>IF($A105="","",IFERROR(VLOOKUP($B105,'_CONFIG_Risk_Calibration'!$A$5:$H$21,5,FALSE),3))</f>
        <v/>
      </c>
      <c r="AJ105">
        <f>IF($A105="","",IFERROR(VLOOKUP($B105,'_CONFIG_Risk_Calibration'!$A$5:$H$21,6,FALSE),"No"))</f>
        <v/>
      </c>
      <c r="AK105">
        <f>IF($A105="","",IFERROR(VLOOKUP($B105,'_CONFIG_Risk_Calibration'!$A$5:$H$21,7,FALSE),1))</f>
        <v/>
      </c>
      <c r="AL105">
        <f>IF($A105="","",IFERROR(VLOOKUP($B105,'_CONFIG_Risk_Calibration'!$A$5:$H$21,8,FALSE),""))</f>
        <v/>
      </c>
    </row>
    <row r="106" ht="72" customHeight="1" s="209">
      <c r="A106" s="13" t="inlineStr">
        <is>
          <t>FINA-009</t>
        </is>
      </c>
      <c r="B106" s="13" t="inlineStr">
        <is>
          <t>Finance Procurement</t>
        </is>
      </c>
      <c r="C106" s="13" t="inlineStr">
        <is>
          <t>Controls and accounting</t>
        </is>
      </c>
      <c r="D106" s="13" t="inlineStr">
        <is>
          <t>Financial control and procurement resilience</t>
        </is>
      </c>
      <c r="E106" s="13" t="inlineStr">
        <is>
          <t>How mature is the organization in managing month-end close continuity under remote work, system outage or unavailable finance staff, including ownership, evidence, metrics, fallback procedures and crisis stress testing?</t>
        </is>
      </c>
      <c r="F106" s="13" t="inlineStr">
        <is>
          <t>Immature capability for month-end close continuity under remote work, system outage or unavailable finance staff may lead to cash-flow stress, uncontrolled spend, supplier payment disruption and weak financial visibility during Financial liquidity crisis; Supplier disruption; Fraud risk.</t>
        </is>
      </c>
      <c r="G106" s="13" t="inlineStr">
        <is>
          <t>Low maturity, weak ownership, incomplete evidence, insufficient testing and poor integration with crisis-management routines for month-end close continuity under remote work, system outage or unavailable finance staff.</t>
        </is>
      </c>
      <c r="H106" s="13" t="inlineStr">
        <is>
          <t>Severe risk: month-end close continuity under remote work, system outage or unavailable finance staff is not reliably controlled. During Financial liquidity crisis; Supplier disruption; Fraud risk, the organization may face cash-flow stress, uncontrolled spend, supplier payment disruption and weak financial visibility with limited visibility or accountability.</t>
        </is>
      </c>
      <c r="I106" s="13" t="inlineStr">
        <is>
          <t>High risk: month-end close continuity under remote work, system outage or unavailable finance staff depends on informal practices or individual knowledge. Disruption may expose cash-flow stress, uncontrolled spend, supplier payment disruption and weak financial visibility and slow recovery.</t>
        </is>
      </c>
      <c r="J106" s="13" t="inlineStr">
        <is>
          <t>Elevated risk: month-end close continuity under remote work, system outage or unavailable finance staff is partially controlled, but coverage, evidence or testing is inconsistent. Crisis response may be fragmented.</t>
        </is>
      </c>
      <c r="K106" s="13" t="inlineStr">
        <is>
          <t>Moderate risk: month-end close continuity under remote work, system outage or unavailable finance staff is documented and owned, but measurement, stress testing and integration with dependent processes need strengthening.</t>
        </is>
      </c>
      <c r="L106" s="13" t="inlineStr">
        <is>
          <t>Residual risk: month-end close continuity under remote work, system outage or unavailable finance staff is measured and reviewed, but monitoring, automation or scenario testing should be improved to prevent maturity drift.</t>
        </is>
      </c>
      <c r="M106" s="13" t="inlineStr">
        <is>
          <t>Low residual risk: month-end close continuity under remote work, system outage or unavailable finance staff is mature and crisis-tested. Maintain monitoring, evidence, ownership and periodic stress testing.</t>
        </is>
      </c>
      <c r="N106" s="13" t="inlineStr">
        <is>
          <t>Create an immediate risk owner, minimum control baseline and fallback procedure for month-end close continuity under remote work, system outage or unavailable finance staff. Add it to the crisis risk register and collect first evidence.</t>
        </is>
      </c>
      <c r="O106" s="13" t="inlineStr">
        <is>
          <t>Document month-end close continuity under remote work, system outage or unavailable finance staff, assign RACI, define minimum controls and KPIs, and validate coverage across key sites, teams or systems.</t>
        </is>
      </c>
      <c r="P106" s="13" t="inlineStr">
        <is>
          <t>Standardize month-end close continuity under remote work, system outage or unavailable finance staff, close coverage gaps, train accountable roles and connect controls to the relevant crisis scenarios and continuity plans.</t>
        </is>
      </c>
      <c r="Q106" s="13" t="inlineStr">
        <is>
          <t>Measure and test month-end close continuity under remote work, system outage or unavailable finance staff, run tabletop or operational stress tests, integrate it with dependent processes and update crisis playbooks.</t>
        </is>
      </c>
      <c r="R106" s="13" t="inlineStr">
        <is>
          <t>Automate monitoring where practical, define leading indicators, run periodic scenario tests and track residual risk after each major change.</t>
        </is>
      </c>
      <c r="S106" s="13" t="inlineStr">
        <is>
          <t>Sustain maturity for month-end close continuity under remote work, system outage or unavailable finance staff: keep evidence current, monitor drift, benchmark externally and refresh risk tests after organizational, system or market changes.</t>
        </is>
      </c>
      <c r="T106" s="13" t="n">
        <v>3</v>
      </c>
      <c r="U106" s="13" t="n">
        <v>3</v>
      </c>
      <c r="V106" s="13" t="n">
        <v>2</v>
      </c>
      <c r="W106" s="13" t="n">
        <v>2</v>
      </c>
      <c r="X106" s="13" t="n">
        <v>1</v>
      </c>
      <c r="Y106" s="13" t="n">
        <v>1</v>
      </c>
      <c r="Z106" s="13" t="inlineStr">
        <is>
          <t>COSO Internal Control; COSO ERM; IFRS; ISO 20400; ISO 37001; CIPS</t>
        </is>
      </c>
      <c r="AA106" s="13" t="inlineStr">
        <is>
          <t>Policy/SOP; owner/RACI; system report; dashboard; contracts; test records; incident history; interview evidence related to month-end close continuity under remote work, system outage or unavailable finance staff.</t>
        </is>
      </c>
      <c r="AB106" s="13" t="inlineStr">
        <is>
          <t>Financial liquidity crisis; Supplier disruption; Fraud risk</t>
        </is>
      </c>
      <c r="AC106" s="13" t="inlineStr">
        <is>
          <t>CFO / Procurement</t>
        </is>
      </c>
      <c r="AD106" s="13" t="inlineStr">
        <is>
          <t>Finance Procurement!13</t>
        </is>
      </c>
      <c r="AE106">
        <f>IF($A106="","",IF(OR(ISNUMBER(SEARCH("cyber",$D106)),ISNUMBER(SEARCH("security",$D106)),ISNUMBER(SEARCH("safety",$D106)),ISNUMBER(SEARCH("liquidity",$D106)),ISNUMBER(SEARCH("cash",$D106)),ISNUMBER(SEARCH("continuity",$D106)),ISNUMBER(SEARCH("infrastructure",$D106)),ISNUMBER(SEARCH("outage",$D106))),"Fast",IF(OR(ISNUMBER(SEARCH("compliance",$D106)),ISNUMBER(SEARCH("regulat",$D106)),ISNUMBER(SEARCH("data",$D106)),ISNUMBER(SEARCH("talent",$D106)),ISNUMBER(SEARCH("knowledge",$D106)),ISNUMBER(SEARCH("portfolio",$D106)),ISNUMBER(SEARCH("quality",$D106))),"Slow","Medium")))</f>
        <v/>
      </c>
      <c r="AF106">
        <f>IF($A106="","",IFERROR(VLOOKUP($B106,'_CONFIG_Risk_Calibration'!$A$5:$H$21,2,FALSE),3))</f>
        <v/>
      </c>
      <c r="AG106">
        <f>IF($A106="","",IFERROR(VLOOKUP($B106,'_CONFIG_Risk_Calibration'!$A$5:$H$21,3,FALSE),0))</f>
        <v/>
      </c>
      <c r="AH106">
        <f>IF($A106="","",IFERROR(VLOOKUP($B106,'_CONFIG_Risk_Calibration'!$A$5:$H$21,4,FALSE),3))</f>
        <v/>
      </c>
      <c r="AI106">
        <f>IF($A106="","",IFERROR(VLOOKUP($B106,'_CONFIG_Risk_Calibration'!$A$5:$H$21,5,FALSE),3))</f>
        <v/>
      </c>
      <c r="AJ106">
        <f>IF($A106="","",IFERROR(VLOOKUP($B106,'_CONFIG_Risk_Calibration'!$A$5:$H$21,6,FALSE),"No"))</f>
        <v/>
      </c>
      <c r="AK106">
        <f>IF($A106="","",IFERROR(VLOOKUP($B106,'_CONFIG_Risk_Calibration'!$A$5:$H$21,7,FALSE),1))</f>
        <v/>
      </c>
      <c r="AL106">
        <f>IF($A106="","",IFERROR(VLOOKUP($B106,'_CONFIG_Risk_Calibration'!$A$5:$H$21,8,FALSE),""))</f>
        <v/>
      </c>
    </row>
    <row r="107" ht="72" customHeight="1" s="209">
      <c r="A107" s="13" t="inlineStr">
        <is>
          <t>FINA-010</t>
        </is>
      </c>
      <c r="B107" s="13" t="inlineStr">
        <is>
          <t>Finance Procurement</t>
        </is>
      </c>
      <c r="C107" s="13" t="inlineStr">
        <is>
          <t>Controls and accounting</t>
        </is>
      </c>
      <c r="D107" s="13" t="inlineStr">
        <is>
          <t>Financial control and procurement resilience</t>
        </is>
      </c>
      <c r="E107" s="13" t="inlineStr">
        <is>
          <t>How mature is the organization in managing manual fallback procedures for billing, payments, payroll, procurement and accounting close, including ownership, evidence, metrics, fallback procedures and crisis stress testing?</t>
        </is>
      </c>
      <c r="F107" s="13" t="inlineStr">
        <is>
          <t>Immature capability for manual fallback procedures for billing, payments, payroll, procurement and accounting close may lead to cash-flow stress, uncontrolled spend, supplier payment disruption and weak financial visibility during Financial liquidity crisis; Supplier disruption; Fraud risk.</t>
        </is>
      </c>
      <c r="G107" s="13" t="inlineStr">
        <is>
          <t>Low maturity, weak ownership, incomplete evidence, insufficient testing and poor integration with crisis-management routines for manual fallback procedures for billing, payments, payroll, procurement and accounting close.</t>
        </is>
      </c>
      <c r="H107" s="13" t="inlineStr">
        <is>
          <t>Severe risk: manual fallback procedures for billing, payments, payroll, procurement and accounting close is not reliably controlled. During Financial liquidity crisis; Supplier disruption; Fraud risk, the organization may face cash-flow stress, uncontrolled spend, supplier payment disruption and weak financial visibility with limited visibility or accountability.</t>
        </is>
      </c>
      <c r="I107" s="13" t="inlineStr">
        <is>
          <t>High risk: manual fallback procedures for billing, payments, payroll, procurement and accounting close depends on informal practices or individual knowledge. Disruption may expose cash-flow stress, uncontrolled spend, supplier payment disruption and weak financial visibility and slow recovery.</t>
        </is>
      </c>
      <c r="J107" s="13" t="inlineStr">
        <is>
          <t>Elevated risk: manual fallback procedures for billing, payments, payroll, procurement and accounting close is partially controlled, but coverage, evidence or testing is inconsistent. Crisis response may be fragmented.</t>
        </is>
      </c>
      <c r="K107" s="13" t="inlineStr">
        <is>
          <t>Moderate risk: manual fallback procedures for billing, payments, payroll, procurement and accounting close is documented and owned, but measurement, stress testing and integration with dependent processes need strengthening.</t>
        </is>
      </c>
      <c r="L107" s="13" t="inlineStr">
        <is>
          <t>Residual risk: manual fallback procedures for billing, payments, payroll, procurement and accounting close is measured and reviewed, but monitoring, automation or scenario testing should be improved to prevent maturity drift.</t>
        </is>
      </c>
      <c r="M107" s="13" t="inlineStr">
        <is>
          <t>Low residual risk: manual fallback procedures for billing, payments, payroll, procurement and accounting close is mature and crisis-tested. Maintain monitoring, evidence, ownership and periodic stress testing.</t>
        </is>
      </c>
      <c r="N107" s="13" t="inlineStr">
        <is>
          <t>Create an immediate risk owner, minimum control baseline and fallback procedure for manual fallback procedures for billing, payments, payroll, procurement and accounting close. Add it to the crisis risk register and collect first evidence.</t>
        </is>
      </c>
      <c r="O107" s="13" t="inlineStr">
        <is>
          <t>Document manual fallback procedures for billing, payments, payroll, procurement and accounting close, assign RACI, define minimum controls and KPIs, and validate coverage across key sites, teams or systems.</t>
        </is>
      </c>
      <c r="P107" s="13" t="inlineStr">
        <is>
          <t>Standardize manual fallback procedures for billing, payments, payroll, procurement and accounting close, close coverage gaps, train accountable roles and connect controls to the relevant crisis scenarios and continuity plans.</t>
        </is>
      </c>
      <c r="Q107" s="13" t="inlineStr">
        <is>
          <t>Measure and test manual fallback procedures for billing, payments, payroll, procurement and accounting close, run tabletop or operational stress tests, integrate it with dependent processes and update crisis playbooks.</t>
        </is>
      </c>
      <c r="R107" s="13" t="inlineStr">
        <is>
          <t>Automate monitoring where practical, define leading indicators, run periodic scenario tests and track residual risk after each major change.</t>
        </is>
      </c>
      <c r="S107" s="13" t="inlineStr">
        <is>
          <t>Sustain maturity for manual fallback procedures for billing, payments, payroll, procurement and accounting close: keep evidence current, monitor drift, benchmark externally and refresh risk tests after organizational, system or market changes.</t>
        </is>
      </c>
      <c r="T107" s="13" t="n">
        <v>3</v>
      </c>
      <c r="U107" s="13" t="n">
        <v>3</v>
      </c>
      <c r="V107" s="13" t="n">
        <v>2</v>
      </c>
      <c r="W107" s="13" t="n">
        <v>2</v>
      </c>
      <c r="X107" s="13" t="n">
        <v>1</v>
      </c>
      <c r="Y107" s="13" t="n">
        <v>1</v>
      </c>
      <c r="Z107" s="13" t="inlineStr">
        <is>
          <t>COSO Internal Control; COSO ERM; IFRS; ISO 20400; ISO 37001; CIPS</t>
        </is>
      </c>
      <c r="AA107" s="13" t="inlineStr">
        <is>
          <t>Policy/SOP; owner/RACI; system report; dashboard; contracts; test records; incident history; interview evidence related to manual fallback procedures for billing, payments, payroll, procurement and accounting close.</t>
        </is>
      </c>
      <c r="AB107" s="13" t="inlineStr">
        <is>
          <t>Financial liquidity crisis; Supplier disruption; Fraud risk</t>
        </is>
      </c>
      <c r="AC107" s="13" t="inlineStr">
        <is>
          <t>CFO / Procurement</t>
        </is>
      </c>
      <c r="AD107" s="13" t="inlineStr">
        <is>
          <t>Finance Procurement!14</t>
        </is>
      </c>
      <c r="AE107">
        <f>IF($A107="","",IF(OR(ISNUMBER(SEARCH("cyber",$D107)),ISNUMBER(SEARCH("security",$D107)),ISNUMBER(SEARCH("safety",$D107)),ISNUMBER(SEARCH("liquidity",$D107)),ISNUMBER(SEARCH("cash",$D107)),ISNUMBER(SEARCH("continuity",$D107)),ISNUMBER(SEARCH("infrastructure",$D107)),ISNUMBER(SEARCH("outage",$D107))),"Fast",IF(OR(ISNUMBER(SEARCH("compliance",$D107)),ISNUMBER(SEARCH("regulat",$D107)),ISNUMBER(SEARCH("data",$D107)),ISNUMBER(SEARCH("talent",$D107)),ISNUMBER(SEARCH("knowledge",$D107)),ISNUMBER(SEARCH("portfolio",$D107)),ISNUMBER(SEARCH("quality",$D107))),"Slow","Medium")))</f>
        <v/>
      </c>
      <c r="AF107">
        <f>IF($A107="","",IFERROR(VLOOKUP($B107,'_CONFIG_Risk_Calibration'!$A$5:$H$21,2,FALSE),3))</f>
        <v/>
      </c>
      <c r="AG107">
        <f>IF($A107="","",IFERROR(VLOOKUP($B107,'_CONFIG_Risk_Calibration'!$A$5:$H$21,3,FALSE),0))</f>
        <v/>
      </c>
      <c r="AH107">
        <f>IF($A107="","",IFERROR(VLOOKUP($B107,'_CONFIG_Risk_Calibration'!$A$5:$H$21,4,FALSE),3))</f>
        <v/>
      </c>
      <c r="AI107">
        <f>IF($A107="","",IFERROR(VLOOKUP($B107,'_CONFIG_Risk_Calibration'!$A$5:$H$21,5,FALSE),3))</f>
        <v/>
      </c>
      <c r="AJ107">
        <f>IF($A107="","",IFERROR(VLOOKUP($B107,'_CONFIG_Risk_Calibration'!$A$5:$H$21,6,FALSE),"No"))</f>
        <v/>
      </c>
      <c r="AK107">
        <f>IF($A107="","",IFERROR(VLOOKUP($B107,'_CONFIG_Risk_Calibration'!$A$5:$H$21,7,FALSE),1))</f>
        <v/>
      </c>
      <c r="AL107">
        <f>IF($A107="","",IFERROR(VLOOKUP($B107,'_CONFIG_Risk_Calibration'!$A$5:$H$21,8,FALSE),""))</f>
        <v/>
      </c>
    </row>
    <row r="108" ht="84" customHeight="1" s="209">
      <c r="A108" s="13" t="inlineStr">
        <is>
          <t>FINA-011</t>
        </is>
      </c>
      <c r="B108" s="13" t="inlineStr">
        <is>
          <t>Finance Procurement</t>
        </is>
      </c>
      <c r="C108" s="13" t="inlineStr">
        <is>
          <t>Controls and accounting</t>
        </is>
      </c>
      <c r="D108" s="13" t="inlineStr">
        <is>
          <t>Financial control and procurement resilience</t>
        </is>
      </c>
      <c r="E108" s="13" t="inlineStr">
        <is>
          <t>How mature is the organization in managing fraud risk controls for fake invoices, payment diversion, supplier impersonation and business email compromise, including ownership, evidence, metrics, fallback procedures and crisis stress testing?</t>
        </is>
      </c>
      <c r="F108" s="13" t="inlineStr">
        <is>
          <t>Immature capability for fraud risk controls for fake invoices, payment diversion, supplier impersonation and business email compromise may lead to cash-flow stress, uncontrolled spend, supplier payment disruption and weak financial visibility during Financial liquidity crisis; Supplier disruption; Fraud risk.</t>
        </is>
      </c>
      <c r="G108" s="13" t="inlineStr">
        <is>
          <t>Low maturity, weak ownership, incomplete evidence, insufficient testing and poor integration with crisis-management routines for fraud risk controls for fake invoices, payment diversion, supplier impersonation and business email compromise.</t>
        </is>
      </c>
      <c r="H108" s="13" t="inlineStr">
        <is>
          <t>Severe risk: fraud risk controls for fake invoices, payment diversion, supplier impersonation and business email compromise is not reliably controlled. During Financial liquidity crisis; Supplier disruption; Fraud risk, the organization may face cash-flow stress, uncontrolled spend, supplier payment disruption and weak financial visibility with limited visibility or accountability.</t>
        </is>
      </c>
      <c r="I108" s="13" t="inlineStr">
        <is>
          <t>High risk: fraud risk controls for fake invoices, payment diversion, supplier impersonation and business email compromise depends on informal practices or individual knowledge. Disruption may expose cash-flow stress, uncontrolled spend, supplier payment disruption and weak financial visibility and slow recovery.</t>
        </is>
      </c>
      <c r="J108" s="13" t="inlineStr">
        <is>
          <t>Elevated risk: fraud risk controls for fake invoices, payment diversion, supplier impersonation and business email compromise is partially controlled, but coverage, evidence or testing is inconsistent. Crisis response may be fragmented.</t>
        </is>
      </c>
      <c r="K108" s="13" t="inlineStr">
        <is>
          <t>Moderate risk: fraud risk controls for fake invoices, payment diversion, supplier impersonation and business email compromise is documented and owned, but measurement, stress testing and integration with dependent processes need strengthening.</t>
        </is>
      </c>
      <c r="L108" s="13" t="inlineStr">
        <is>
          <t>Residual risk: fraud risk controls for fake invoices, payment diversion, supplier impersonation and business email compromise is measured and reviewed, but monitoring, automation or scenario testing should be improved to prevent maturity drift.</t>
        </is>
      </c>
      <c r="M108" s="13" t="inlineStr">
        <is>
          <t>Low residual risk: fraud risk controls for fake invoices, payment diversion, supplier impersonation and business email compromise is mature and crisis-tested. Maintain monitoring, evidence, ownership and periodic stress testing.</t>
        </is>
      </c>
      <c r="N108" s="13" t="inlineStr">
        <is>
          <t>Create an immediate risk owner, minimum control baseline and fallback procedure for fraud risk controls for fake invoices, payment diversion, supplier impersonation and business email compromise. Add it to the crisis risk register and collect first evidence.</t>
        </is>
      </c>
      <c r="O108" s="13" t="inlineStr">
        <is>
          <t>Document fraud risk controls for fake invoices, payment diversion, supplier impersonation and business email compromise, assign RACI, define minimum controls and KPIs, and validate coverage across key sites, teams or systems.</t>
        </is>
      </c>
      <c r="P108" s="13" t="inlineStr">
        <is>
          <t>Standardize fraud risk controls for fake invoices, payment diversion, supplier impersonation and business email compromise, close coverage gaps, train accountable roles and connect controls to the relevant crisis scenarios and continuity plans.</t>
        </is>
      </c>
      <c r="Q108" s="13" t="inlineStr">
        <is>
          <t>Measure and test fraud risk controls for fake invoices, payment diversion, supplier impersonation and business email compromise, run tabletop or operational stress tests, integrate it with dependent processes and update crisis playbooks.</t>
        </is>
      </c>
      <c r="R108" s="13" t="inlineStr">
        <is>
          <t>Automate monitoring where practical, define leading indicators, run periodic scenario tests and track residual risk after each major change.</t>
        </is>
      </c>
      <c r="S108" s="13" t="inlineStr">
        <is>
          <t>Sustain maturity for fraud risk controls for fake invoices, payment diversion, supplier impersonation and business email compromise: keep evidence current, monitor drift, benchmark externally and refresh risk tests after organizational, system or market changes.</t>
        </is>
      </c>
      <c r="T108" s="13" t="n">
        <v>3</v>
      </c>
      <c r="U108" s="13" t="n">
        <v>3</v>
      </c>
      <c r="V108" s="13" t="n">
        <v>2</v>
      </c>
      <c r="W108" s="13" t="n">
        <v>2</v>
      </c>
      <c r="X108" s="13" t="n">
        <v>1</v>
      </c>
      <c r="Y108" s="13" t="n">
        <v>1</v>
      </c>
      <c r="Z108" s="13" t="inlineStr">
        <is>
          <t>COSO Internal Control; COSO ERM; IFRS; ISO 20400; ISO 37001; CIPS</t>
        </is>
      </c>
      <c r="AA108" s="13" t="inlineStr">
        <is>
          <t>Policy/SOP; owner/RACI; system report; dashboard; contracts; test records; incident history; interview evidence related to fraud risk controls for fake invoices, payment diversion, supplier impersonation and business email compromise.</t>
        </is>
      </c>
      <c r="AB108" s="13" t="inlineStr">
        <is>
          <t>Financial liquidity crisis; Supplier disruption; Fraud risk</t>
        </is>
      </c>
      <c r="AC108" s="13" t="inlineStr">
        <is>
          <t>CFO / Procurement</t>
        </is>
      </c>
      <c r="AD108" s="13" t="inlineStr">
        <is>
          <t>Finance Procurement!15</t>
        </is>
      </c>
      <c r="AE108">
        <f>IF($A108="","",IF(OR(ISNUMBER(SEARCH("cyber",$D108)),ISNUMBER(SEARCH("security",$D108)),ISNUMBER(SEARCH("safety",$D108)),ISNUMBER(SEARCH("liquidity",$D108)),ISNUMBER(SEARCH("cash",$D108)),ISNUMBER(SEARCH("continuity",$D108)),ISNUMBER(SEARCH("infrastructure",$D108)),ISNUMBER(SEARCH("outage",$D108))),"Fast",IF(OR(ISNUMBER(SEARCH("compliance",$D108)),ISNUMBER(SEARCH("regulat",$D108)),ISNUMBER(SEARCH("data",$D108)),ISNUMBER(SEARCH("talent",$D108)),ISNUMBER(SEARCH("knowledge",$D108)),ISNUMBER(SEARCH("portfolio",$D108)),ISNUMBER(SEARCH("quality",$D108))),"Slow","Medium")))</f>
        <v/>
      </c>
      <c r="AF108">
        <f>IF($A108="","",IFERROR(VLOOKUP($B108,'_CONFIG_Risk_Calibration'!$A$5:$H$21,2,FALSE),3))</f>
        <v/>
      </c>
      <c r="AG108">
        <f>IF($A108="","",IFERROR(VLOOKUP($B108,'_CONFIG_Risk_Calibration'!$A$5:$H$21,3,FALSE),0))</f>
        <v/>
      </c>
      <c r="AH108">
        <f>IF($A108="","",IFERROR(VLOOKUP($B108,'_CONFIG_Risk_Calibration'!$A$5:$H$21,4,FALSE),3))</f>
        <v/>
      </c>
      <c r="AI108">
        <f>IF($A108="","",IFERROR(VLOOKUP($B108,'_CONFIG_Risk_Calibration'!$A$5:$H$21,5,FALSE),3))</f>
        <v/>
      </c>
      <c r="AJ108">
        <f>IF($A108="","",IFERROR(VLOOKUP($B108,'_CONFIG_Risk_Calibration'!$A$5:$H$21,6,FALSE),"No"))</f>
        <v/>
      </c>
      <c r="AK108">
        <f>IF($A108="","",IFERROR(VLOOKUP($B108,'_CONFIG_Risk_Calibration'!$A$5:$H$21,7,FALSE),1))</f>
        <v/>
      </c>
      <c r="AL108">
        <f>IF($A108="","",IFERROR(VLOOKUP($B108,'_CONFIG_Risk_Calibration'!$A$5:$H$21,8,FALSE),""))</f>
        <v/>
      </c>
    </row>
    <row r="109" ht="72" customHeight="1" s="209">
      <c r="A109" s="13" t="inlineStr">
        <is>
          <t>FINA-012</t>
        </is>
      </c>
      <c r="B109" s="13" t="inlineStr">
        <is>
          <t>Finance Procurement</t>
        </is>
      </c>
      <c r="C109" s="13" t="inlineStr">
        <is>
          <t>Controls and accounting</t>
        </is>
      </c>
      <c r="D109" s="13" t="inlineStr">
        <is>
          <t>Financial control and procurement resilience</t>
        </is>
      </c>
      <c r="E109" s="13" t="inlineStr">
        <is>
          <t>How mature is the organization in managing finance master data controls for chart of accounts, cost centers, vendors, customers and reporting dimensions, including ownership, evidence, metrics, fallback procedures and crisis stress testing?</t>
        </is>
      </c>
      <c r="F109" s="13" t="inlineStr">
        <is>
          <t>Immature capability for finance master data controls for chart of accounts, cost centers, vendors, customers and reporting dimensions may lead to cash-flow stress, uncontrolled spend, supplier payment disruption and weak financial visibility during Financial liquidity crisis; Supplier disruption; Fraud risk.</t>
        </is>
      </c>
      <c r="G109" s="13" t="inlineStr">
        <is>
          <t>Low maturity, weak ownership, incomplete evidence, insufficient testing and poor integration with crisis-management routines for finance master data controls for chart of accounts, cost centers, vendors, customers and reporting dimensions.</t>
        </is>
      </c>
      <c r="H109" s="13" t="inlineStr">
        <is>
          <t>Severe risk: finance master data controls for chart of accounts, cost centers, vendors, customers and reporting dimensions is not reliably controlled. During Financial liquidity crisis; Supplier disruption; Fraud risk, the organization may face cash-flow stress, uncontrolled spend, supplier payment disruption and weak financial visibility with limited visibility or accountability.</t>
        </is>
      </c>
      <c r="I109" s="13" t="inlineStr">
        <is>
          <t>High risk: finance master data controls for chart of accounts, cost centers, vendors, customers and reporting dimensions depends on informal practices or individual knowledge. Disruption may expose cash-flow stress, uncontrolled spend, supplier payment disruption and weak financial visibility and slow recovery.</t>
        </is>
      </c>
      <c r="J109" s="13" t="inlineStr">
        <is>
          <t>Elevated risk: finance master data controls for chart of accounts, cost centers, vendors, customers and reporting dimensions is partially controlled, but coverage, evidence or testing is inconsistent. Crisis response may be fragmented.</t>
        </is>
      </c>
      <c r="K109" s="13" t="inlineStr">
        <is>
          <t>Moderate risk: finance master data controls for chart of accounts, cost centers, vendors, customers and reporting dimensions is documented and owned, but measurement, stress testing and integration with dependent processes need strengthening.</t>
        </is>
      </c>
      <c r="L109" s="13" t="inlineStr">
        <is>
          <t>Residual risk: finance master data controls for chart of accounts, cost centers, vendors, customers and reporting dimensions is measured and reviewed, but monitoring, automation or scenario testing should be improved to prevent maturity drift.</t>
        </is>
      </c>
      <c r="M109" s="13" t="inlineStr">
        <is>
          <t>Low residual risk: finance master data controls for chart of accounts, cost centers, vendors, customers and reporting dimensions is mature and crisis-tested. Maintain monitoring, evidence, ownership and periodic stress testing.</t>
        </is>
      </c>
      <c r="N109" s="13" t="inlineStr">
        <is>
          <t>Create an immediate risk owner, minimum control baseline and fallback procedure for finance master data controls for chart of accounts, cost centers, vendors, customers and reporting dimensions. Add it to the crisis risk register and collect first evidence.</t>
        </is>
      </c>
      <c r="O109" s="13" t="inlineStr">
        <is>
          <t>Document finance master data controls for chart of accounts, cost centers, vendors, customers and reporting dimensions, assign RACI, define minimum controls and KPIs, and validate coverage across key sites, teams or systems.</t>
        </is>
      </c>
      <c r="P109" s="13" t="inlineStr">
        <is>
          <t>Standardize finance master data controls for chart of accounts, cost centers, vendors, customers and reporting dimensions, close coverage gaps, train accountable roles and connect controls to the relevant crisis scenarios and continuity plans.</t>
        </is>
      </c>
      <c r="Q109" s="13" t="inlineStr">
        <is>
          <t>Measure and test finance master data controls for chart of accounts, cost centers, vendors, customers and reporting dimensions, run tabletop or operational stress tests, integrate it with dependent processes and update crisis playbooks.</t>
        </is>
      </c>
      <c r="R109" s="13" t="inlineStr">
        <is>
          <t>Automate monitoring where practical, define leading indicators, run periodic scenario tests and track residual risk after each major change.</t>
        </is>
      </c>
      <c r="S109" s="13" t="inlineStr">
        <is>
          <t>Sustain maturity for finance master data controls for chart of accounts, cost centers, vendors, customers and reporting dimensions: keep evidence current, monitor drift, benchmark externally and refresh risk tests after organizational, system or market changes.</t>
        </is>
      </c>
      <c r="T109" s="13" t="n">
        <v>3</v>
      </c>
      <c r="U109" s="13" t="n">
        <v>3</v>
      </c>
      <c r="V109" s="13" t="n">
        <v>2</v>
      </c>
      <c r="W109" s="13" t="n">
        <v>2</v>
      </c>
      <c r="X109" s="13" t="n">
        <v>1</v>
      </c>
      <c r="Y109" s="13" t="n">
        <v>1</v>
      </c>
      <c r="Z109" s="13" t="inlineStr">
        <is>
          <t>COSO Internal Control; COSO ERM; IFRS; ISO 20400; ISO 37001; CIPS</t>
        </is>
      </c>
      <c r="AA109" s="13" t="inlineStr">
        <is>
          <t>Policy/SOP; owner/RACI; system report; dashboard; contracts; test records; incident history; interview evidence related to finance master data controls for chart of accounts, cost centers, vendors, customers and reporting dimensions.</t>
        </is>
      </c>
      <c r="AB109" s="13" t="inlineStr">
        <is>
          <t>Financial liquidity crisis; Supplier disruption; Fraud risk</t>
        </is>
      </c>
      <c r="AC109" s="13" t="inlineStr">
        <is>
          <t>CFO / Procurement</t>
        </is>
      </c>
      <c r="AD109" s="13" t="inlineStr">
        <is>
          <t>Finance Procurement!16</t>
        </is>
      </c>
      <c r="AE109">
        <f>IF($A109="","",IF(OR(ISNUMBER(SEARCH("cyber",$D109)),ISNUMBER(SEARCH("security",$D109)),ISNUMBER(SEARCH("safety",$D109)),ISNUMBER(SEARCH("liquidity",$D109)),ISNUMBER(SEARCH("cash",$D109)),ISNUMBER(SEARCH("continuity",$D109)),ISNUMBER(SEARCH("infrastructure",$D109)),ISNUMBER(SEARCH("outage",$D109))),"Fast",IF(OR(ISNUMBER(SEARCH("compliance",$D109)),ISNUMBER(SEARCH("regulat",$D109)),ISNUMBER(SEARCH("data",$D109)),ISNUMBER(SEARCH("talent",$D109)),ISNUMBER(SEARCH("knowledge",$D109)),ISNUMBER(SEARCH("portfolio",$D109)),ISNUMBER(SEARCH("quality",$D109))),"Slow","Medium")))</f>
        <v/>
      </c>
      <c r="AF109">
        <f>IF($A109="","",IFERROR(VLOOKUP($B109,'_CONFIG_Risk_Calibration'!$A$5:$H$21,2,FALSE),3))</f>
        <v/>
      </c>
      <c r="AG109">
        <f>IF($A109="","",IFERROR(VLOOKUP($B109,'_CONFIG_Risk_Calibration'!$A$5:$H$21,3,FALSE),0))</f>
        <v/>
      </c>
      <c r="AH109">
        <f>IF($A109="","",IFERROR(VLOOKUP($B109,'_CONFIG_Risk_Calibration'!$A$5:$H$21,4,FALSE),3))</f>
        <v/>
      </c>
      <c r="AI109">
        <f>IF($A109="","",IFERROR(VLOOKUP($B109,'_CONFIG_Risk_Calibration'!$A$5:$H$21,5,FALSE),3))</f>
        <v/>
      </c>
      <c r="AJ109">
        <f>IF($A109="","",IFERROR(VLOOKUP($B109,'_CONFIG_Risk_Calibration'!$A$5:$H$21,6,FALSE),"No"))</f>
        <v/>
      </c>
      <c r="AK109">
        <f>IF($A109="","",IFERROR(VLOOKUP($B109,'_CONFIG_Risk_Calibration'!$A$5:$H$21,7,FALSE),1))</f>
        <v/>
      </c>
      <c r="AL109">
        <f>IF($A109="","",IFERROR(VLOOKUP($B109,'_CONFIG_Risk_Calibration'!$A$5:$H$21,8,FALSE),""))</f>
        <v/>
      </c>
    </row>
    <row r="110" ht="72" customHeight="1" s="209">
      <c r="A110" s="13" t="inlineStr">
        <is>
          <t>FINA-013</t>
        </is>
      </c>
      <c r="B110" s="13" t="inlineStr">
        <is>
          <t>Finance Procurement</t>
        </is>
      </c>
      <c r="C110" s="13" t="inlineStr">
        <is>
          <t>Procurement and suppliers</t>
        </is>
      </c>
      <c r="D110" s="13" t="inlineStr">
        <is>
          <t>Financial control and procurement resilience</t>
        </is>
      </c>
      <c r="E110" s="13" t="inlineStr">
        <is>
          <t>How mature is the organization in managing procurement policy covering sourcing, approvals, conflicts of interest and emergency purchasing, including ownership, evidence, metrics, fallback procedures and crisis stress testing?</t>
        </is>
      </c>
      <c r="F110" s="13" t="inlineStr">
        <is>
          <t>Immature capability for procurement policy covering sourcing, approvals, conflicts of interest and emergency purchasing may lead to cash-flow stress, uncontrolled spend, supplier payment disruption and weak financial visibility during Financial liquidity crisis; Supplier disruption; Fraud risk.</t>
        </is>
      </c>
      <c r="G110" s="13" t="inlineStr">
        <is>
          <t>Low maturity, weak ownership, incomplete evidence, insufficient testing and poor integration with crisis-management routines for procurement policy covering sourcing, approvals, conflicts of interest and emergency purchasing.</t>
        </is>
      </c>
      <c r="H110" s="13" t="inlineStr">
        <is>
          <t>Severe risk: procurement policy covering sourcing, approvals, conflicts of interest and emergency purchasing is not reliably controlled. During Financial liquidity crisis; Supplier disruption; Fraud risk, the organization may face cash-flow stress, uncontrolled spend, supplier payment disruption and weak financial visibility with limited visibility or accountability.</t>
        </is>
      </c>
      <c r="I110" s="13" t="inlineStr">
        <is>
          <t>High risk: procurement policy covering sourcing, approvals, conflicts of interest and emergency purchasing depends on informal practices or individual knowledge. Disruption may expose cash-flow stress, uncontrolled spend, supplier payment disruption and weak financial visibility and slow recovery.</t>
        </is>
      </c>
      <c r="J110" s="13" t="inlineStr">
        <is>
          <t>Elevated risk: procurement policy covering sourcing, approvals, conflicts of interest and emergency purchasing is partially controlled, but coverage, evidence or testing is inconsistent. Crisis response may be fragmented.</t>
        </is>
      </c>
      <c r="K110" s="13" t="inlineStr">
        <is>
          <t>Moderate risk: procurement policy covering sourcing, approvals, conflicts of interest and emergency purchasing is documented and owned, but measurement, stress testing and integration with dependent processes need strengthening.</t>
        </is>
      </c>
      <c r="L110" s="13" t="inlineStr">
        <is>
          <t>Residual risk: procurement policy covering sourcing, approvals, conflicts of interest and emergency purchasing is measured and reviewed, but monitoring, automation or scenario testing should be improved to prevent maturity drift.</t>
        </is>
      </c>
      <c r="M110" s="13" t="inlineStr">
        <is>
          <t>Low residual risk: procurement policy covering sourcing, approvals, conflicts of interest and emergency purchasing is mature and crisis-tested. Maintain monitoring, evidence, ownership and periodic stress testing.</t>
        </is>
      </c>
      <c r="N110" s="13" t="inlineStr">
        <is>
          <t>Create an immediate risk owner, minimum control baseline and fallback procedure for procurement policy covering sourcing, approvals, conflicts of interest and emergency purchasing. Add it to the crisis risk register and collect first evidence.</t>
        </is>
      </c>
      <c r="O110" s="13" t="inlineStr">
        <is>
          <t>Document procurement policy covering sourcing, approvals, conflicts of interest and emergency purchasing, assign RACI, define minimum controls and KPIs, and validate coverage across key sites, teams or systems.</t>
        </is>
      </c>
      <c r="P110" s="13" t="inlineStr">
        <is>
          <t>Standardize procurement policy covering sourcing, approvals, conflicts of interest and emergency purchasing, close coverage gaps, train accountable roles and connect controls to the relevant crisis scenarios and continuity plans.</t>
        </is>
      </c>
      <c r="Q110" s="13" t="inlineStr">
        <is>
          <t>Measure and test procurement policy covering sourcing, approvals, conflicts of interest and emergency purchasing, run tabletop or operational stress tests, integrate it with dependent processes and update crisis playbooks.</t>
        </is>
      </c>
      <c r="R110" s="13" t="inlineStr">
        <is>
          <t>Automate monitoring where practical, define leading indicators, run periodic scenario tests and track residual risk after each major change.</t>
        </is>
      </c>
      <c r="S110" s="13" t="inlineStr">
        <is>
          <t>Sustain maturity for procurement policy covering sourcing, approvals, conflicts of interest and emergency purchasing: keep evidence current, monitor drift, benchmark externally and refresh risk tests after organizational, system or market changes.</t>
        </is>
      </c>
      <c r="T110" s="13" t="n">
        <v>3</v>
      </c>
      <c r="U110" s="13" t="n">
        <v>3</v>
      </c>
      <c r="V110" s="13" t="n">
        <v>2</v>
      </c>
      <c r="W110" s="13" t="n">
        <v>2</v>
      </c>
      <c r="X110" s="13" t="n">
        <v>1</v>
      </c>
      <c r="Y110" s="13" t="n">
        <v>1</v>
      </c>
      <c r="Z110" s="13" t="inlineStr">
        <is>
          <t>COSO Internal Control; COSO ERM; IFRS; ISO 20400; ISO 37001; CIPS</t>
        </is>
      </c>
      <c r="AA110" s="13" t="inlineStr">
        <is>
          <t>Policy/SOP; owner/RACI; system report; dashboard; contracts; test records; incident history; interview evidence related to procurement policy covering sourcing, approvals, conflicts of interest and emergency purchasing.</t>
        </is>
      </c>
      <c r="AB110" s="13" t="inlineStr">
        <is>
          <t>Financial liquidity crisis; Supplier disruption; Fraud risk</t>
        </is>
      </c>
      <c r="AC110" s="13" t="inlineStr">
        <is>
          <t>CFO / Procurement</t>
        </is>
      </c>
      <c r="AD110" s="13" t="inlineStr">
        <is>
          <t>Finance Procurement!17</t>
        </is>
      </c>
      <c r="AE110">
        <f>IF($A110="","",IF(OR(ISNUMBER(SEARCH("cyber",$D110)),ISNUMBER(SEARCH("security",$D110)),ISNUMBER(SEARCH("safety",$D110)),ISNUMBER(SEARCH("liquidity",$D110)),ISNUMBER(SEARCH("cash",$D110)),ISNUMBER(SEARCH("continuity",$D110)),ISNUMBER(SEARCH("infrastructure",$D110)),ISNUMBER(SEARCH("outage",$D110))),"Fast",IF(OR(ISNUMBER(SEARCH("compliance",$D110)),ISNUMBER(SEARCH("regulat",$D110)),ISNUMBER(SEARCH("data",$D110)),ISNUMBER(SEARCH("talent",$D110)),ISNUMBER(SEARCH("knowledge",$D110)),ISNUMBER(SEARCH("portfolio",$D110)),ISNUMBER(SEARCH("quality",$D110))),"Slow","Medium")))</f>
        <v/>
      </c>
      <c r="AF110">
        <f>IF($A110="","",IFERROR(VLOOKUP($B110,'_CONFIG_Risk_Calibration'!$A$5:$H$21,2,FALSE),3))</f>
        <v/>
      </c>
      <c r="AG110">
        <f>IF($A110="","",IFERROR(VLOOKUP($B110,'_CONFIG_Risk_Calibration'!$A$5:$H$21,3,FALSE),0))</f>
        <v/>
      </c>
      <c r="AH110">
        <f>IF($A110="","",IFERROR(VLOOKUP($B110,'_CONFIG_Risk_Calibration'!$A$5:$H$21,4,FALSE),3))</f>
        <v/>
      </c>
      <c r="AI110">
        <f>IF($A110="","",IFERROR(VLOOKUP($B110,'_CONFIG_Risk_Calibration'!$A$5:$H$21,5,FALSE),3))</f>
        <v/>
      </c>
      <c r="AJ110">
        <f>IF($A110="","",IFERROR(VLOOKUP($B110,'_CONFIG_Risk_Calibration'!$A$5:$H$21,6,FALSE),"No"))</f>
        <v/>
      </c>
      <c r="AK110">
        <f>IF($A110="","",IFERROR(VLOOKUP($B110,'_CONFIG_Risk_Calibration'!$A$5:$H$21,7,FALSE),1))</f>
        <v/>
      </c>
      <c r="AL110">
        <f>IF($A110="","",IFERROR(VLOOKUP($B110,'_CONFIG_Risk_Calibration'!$A$5:$H$21,8,FALSE),""))</f>
        <v/>
      </c>
    </row>
    <row r="111" ht="72" customHeight="1" s="209">
      <c r="A111" s="13" t="inlineStr">
        <is>
          <t>FINA-014</t>
        </is>
      </c>
      <c r="B111" s="13" t="inlineStr">
        <is>
          <t>Finance Procurement</t>
        </is>
      </c>
      <c r="C111" s="13" t="inlineStr">
        <is>
          <t>Procurement and suppliers</t>
        </is>
      </c>
      <c r="D111" s="13" t="inlineStr">
        <is>
          <t>Financial control and procurement resilience</t>
        </is>
      </c>
      <c r="E111" s="13" t="inlineStr">
        <is>
          <t>How mature is the organization in managing critical supplier classification by business impact, replaceability, geography, financial health and SLA, including ownership, evidence, metrics, fallback procedures and crisis stress testing?</t>
        </is>
      </c>
      <c r="F111" s="13" t="inlineStr">
        <is>
          <t>Immature capability for critical supplier classification by business impact, replaceability, geography, financial health and SLA may lead to cash-flow stress, uncontrolled spend, supplier payment disruption and weak financial visibility during Financial liquidity crisis; Supplier disruption; Fraud risk.</t>
        </is>
      </c>
      <c r="G111" s="13" t="inlineStr">
        <is>
          <t>Low maturity, weak ownership, incomplete evidence, insufficient testing and poor integration with crisis-management routines for critical supplier classification by business impact, replaceability, geography, financial health and SLA.</t>
        </is>
      </c>
      <c r="H111" s="13" t="inlineStr">
        <is>
          <t>Severe risk: critical supplier classification by business impact, replaceability, geography, financial health and SLA is not reliably controlled. During Financial liquidity crisis; Supplier disruption; Fraud risk, the organization may face cash-flow stress, uncontrolled spend, supplier payment disruption and weak financial visibility with limited visibility or accountability.</t>
        </is>
      </c>
      <c r="I111" s="13" t="inlineStr">
        <is>
          <t>High risk: critical supplier classification by business impact, replaceability, geography, financial health and SLA depends on informal practices or individual knowledge. Disruption may expose cash-flow stress, uncontrolled spend, supplier payment disruption and weak financial visibility and slow recovery.</t>
        </is>
      </c>
      <c r="J111" s="13" t="inlineStr">
        <is>
          <t>Elevated risk: critical supplier classification by business impact, replaceability, geography, financial health and SLA is partially controlled, but coverage, evidence or testing is inconsistent. Crisis response may be fragmented.</t>
        </is>
      </c>
      <c r="K111" s="13" t="inlineStr">
        <is>
          <t>Moderate risk: critical supplier classification by business impact, replaceability, geography, financial health and SLA is documented and owned, but measurement, stress testing and integration with dependent processes need strengthening.</t>
        </is>
      </c>
      <c r="L111" s="13" t="inlineStr">
        <is>
          <t>Residual risk: critical supplier classification by business impact, replaceability, geography, financial health and SLA is measured and reviewed, but monitoring, automation or scenario testing should be improved to prevent maturity drift.</t>
        </is>
      </c>
      <c r="M111" s="13" t="inlineStr">
        <is>
          <t>Low residual risk: critical supplier classification by business impact, replaceability, geography, financial health and SLA is mature and crisis-tested. Maintain monitoring, evidence, ownership and periodic stress testing.</t>
        </is>
      </c>
      <c r="N111" s="13" t="inlineStr">
        <is>
          <t>Create an immediate risk owner, minimum control baseline and fallback procedure for critical supplier classification by business impact, replaceability, geography, financial health and SLA. Add it to the crisis risk register and collect first evidence.</t>
        </is>
      </c>
      <c r="O111" s="13" t="inlineStr">
        <is>
          <t>Document critical supplier classification by business impact, replaceability, geography, financial health and SLA, assign RACI, define minimum controls and KPIs, and validate coverage across key sites, teams or systems.</t>
        </is>
      </c>
      <c r="P111" s="13" t="inlineStr">
        <is>
          <t>Standardize critical supplier classification by business impact, replaceability, geography, financial health and SLA, close coverage gaps, train accountable roles and connect controls to the relevant crisis scenarios and continuity plans.</t>
        </is>
      </c>
      <c r="Q111" s="13" t="inlineStr">
        <is>
          <t>Measure and test critical supplier classification by business impact, replaceability, geography, financial health and SLA, run tabletop or operational stress tests, integrate it with dependent processes and update crisis playbooks.</t>
        </is>
      </c>
      <c r="R111" s="13" t="inlineStr">
        <is>
          <t>Automate monitoring where practical, define leading indicators, run periodic scenario tests and track residual risk after each major change.</t>
        </is>
      </c>
      <c r="S111" s="13" t="inlineStr">
        <is>
          <t>Sustain maturity for critical supplier classification by business impact, replaceability, geography, financial health and SLA: keep evidence current, monitor drift, benchmark externally and refresh risk tests after organizational, system or market changes.</t>
        </is>
      </c>
      <c r="T111" s="13" t="n">
        <v>3</v>
      </c>
      <c r="U111" s="13" t="n">
        <v>3</v>
      </c>
      <c r="V111" s="13" t="n">
        <v>2</v>
      </c>
      <c r="W111" s="13" t="n">
        <v>2</v>
      </c>
      <c r="X111" s="13" t="n">
        <v>1</v>
      </c>
      <c r="Y111" s="13" t="n">
        <v>1</v>
      </c>
      <c r="Z111" s="13" t="inlineStr">
        <is>
          <t>COSO Internal Control; COSO ERM; IFRS; ISO 20400; ISO 37001; CIPS</t>
        </is>
      </c>
      <c r="AA111" s="13" t="inlineStr">
        <is>
          <t>Policy/SOP; owner/RACI; system report; dashboard; contracts; test records; incident history; interview evidence related to critical supplier classification by business impact, replaceability, geography, financial health and SLA.</t>
        </is>
      </c>
      <c r="AB111" s="13" t="inlineStr">
        <is>
          <t>Financial liquidity crisis; Supplier disruption; Fraud risk</t>
        </is>
      </c>
      <c r="AC111" s="13" t="inlineStr">
        <is>
          <t>CFO / Procurement</t>
        </is>
      </c>
      <c r="AD111" s="13" t="inlineStr">
        <is>
          <t>Finance Procurement!18</t>
        </is>
      </c>
      <c r="AE111">
        <f>IF($A111="","",IF(OR(ISNUMBER(SEARCH("cyber",$D111)),ISNUMBER(SEARCH("security",$D111)),ISNUMBER(SEARCH("safety",$D111)),ISNUMBER(SEARCH("liquidity",$D111)),ISNUMBER(SEARCH("cash",$D111)),ISNUMBER(SEARCH("continuity",$D111)),ISNUMBER(SEARCH("infrastructure",$D111)),ISNUMBER(SEARCH("outage",$D111))),"Fast",IF(OR(ISNUMBER(SEARCH("compliance",$D111)),ISNUMBER(SEARCH("regulat",$D111)),ISNUMBER(SEARCH("data",$D111)),ISNUMBER(SEARCH("talent",$D111)),ISNUMBER(SEARCH("knowledge",$D111)),ISNUMBER(SEARCH("portfolio",$D111)),ISNUMBER(SEARCH("quality",$D111))),"Slow","Medium")))</f>
        <v/>
      </c>
      <c r="AF111">
        <f>IF($A111="","",IFERROR(VLOOKUP($B111,'_CONFIG_Risk_Calibration'!$A$5:$H$21,2,FALSE),3))</f>
        <v/>
      </c>
      <c r="AG111">
        <f>IF($A111="","",IFERROR(VLOOKUP($B111,'_CONFIG_Risk_Calibration'!$A$5:$H$21,3,FALSE),0))</f>
        <v/>
      </c>
      <c r="AH111">
        <f>IF($A111="","",IFERROR(VLOOKUP($B111,'_CONFIG_Risk_Calibration'!$A$5:$H$21,4,FALSE),3))</f>
        <v/>
      </c>
      <c r="AI111">
        <f>IF($A111="","",IFERROR(VLOOKUP($B111,'_CONFIG_Risk_Calibration'!$A$5:$H$21,5,FALSE),3))</f>
        <v/>
      </c>
      <c r="AJ111">
        <f>IF($A111="","",IFERROR(VLOOKUP($B111,'_CONFIG_Risk_Calibration'!$A$5:$H$21,6,FALSE),"No"))</f>
        <v/>
      </c>
      <c r="AK111">
        <f>IF($A111="","",IFERROR(VLOOKUP($B111,'_CONFIG_Risk_Calibration'!$A$5:$H$21,7,FALSE),1))</f>
        <v/>
      </c>
      <c r="AL111">
        <f>IF($A111="","",IFERROR(VLOOKUP($B111,'_CONFIG_Risk_Calibration'!$A$5:$H$21,8,FALSE),""))</f>
        <v/>
      </c>
    </row>
    <row r="112" ht="72" customHeight="1" s="209">
      <c r="A112" s="13" t="inlineStr">
        <is>
          <t>FINA-015</t>
        </is>
      </c>
      <c r="B112" s="13" t="inlineStr">
        <is>
          <t>Finance Procurement</t>
        </is>
      </c>
      <c r="C112" s="13" t="inlineStr">
        <is>
          <t>Procurement and suppliers</t>
        </is>
      </c>
      <c r="D112" s="13" t="inlineStr">
        <is>
          <t>Financial control and procurement resilience</t>
        </is>
      </c>
      <c r="E112" s="13" t="inlineStr">
        <is>
          <t>How mature is the organization in managing single-source and sole-source supplier exposure and mitigation plans, including ownership, evidence, metrics, fallback procedures and crisis stress testing?</t>
        </is>
      </c>
      <c r="F112" s="13" t="inlineStr">
        <is>
          <t>Immature capability for single-source and sole-source supplier exposure and mitigation plans may lead to cash-flow stress, uncontrolled spend, supplier payment disruption and weak financial visibility during Financial liquidity crisis; Supplier disruption; Fraud risk.</t>
        </is>
      </c>
      <c r="G112" s="13" t="inlineStr">
        <is>
          <t>Low maturity, weak ownership, incomplete evidence, insufficient testing and poor integration with crisis-management routines for single-source and sole-source supplier exposure and mitigation plans.</t>
        </is>
      </c>
      <c r="H112" s="13" t="inlineStr">
        <is>
          <t>Severe risk: single-source and sole-source supplier exposure and mitigation plans is not reliably controlled. During Financial liquidity crisis; Supplier disruption; Fraud risk, the organization may face cash-flow stress, uncontrolled spend, supplier payment disruption and weak financial visibility with limited visibility or accountability.</t>
        </is>
      </c>
      <c r="I112" s="13" t="inlineStr">
        <is>
          <t>High risk: single-source and sole-source supplier exposure and mitigation plans depends on informal practices or individual knowledge. Disruption may expose cash-flow stress, uncontrolled spend, supplier payment disruption and weak financial visibility and slow recovery.</t>
        </is>
      </c>
      <c r="J112" s="13" t="inlineStr">
        <is>
          <t>Elevated risk: single-source and sole-source supplier exposure and mitigation plans is partially controlled, but coverage, evidence or testing is inconsistent. Crisis response may be fragmented.</t>
        </is>
      </c>
      <c r="K112" s="13" t="inlineStr">
        <is>
          <t>Moderate risk: single-source and sole-source supplier exposure and mitigation plans is documented and owned, but measurement, stress testing and integration with dependent processes need strengthening.</t>
        </is>
      </c>
      <c r="L112" s="13" t="inlineStr">
        <is>
          <t>Residual risk: single-source and sole-source supplier exposure and mitigation plans is measured and reviewed, but monitoring, automation or scenario testing should be improved to prevent maturity drift.</t>
        </is>
      </c>
      <c r="M112" s="13" t="inlineStr">
        <is>
          <t>Low residual risk: single-source and sole-source supplier exposure and mitigation plans is mature and crisis-tested. Maintain monitoring, evidence, ownership and periodic stress testing.</t>
        </is>
      </c>
      <c r="N112" s="13" t="inlineStr">
        <is>
          <t>Create an immediate risk owner, minimum control baseline and fallback procedure for single-source and sole-source supplier exposure and mitigation plans. Add it to the crisis risk register and collect first evidence.</t>
        </is>
      </c>
      <c r="O112" s="13" t="inlineStr">
        <is>
          <t>Document single-source and sole-source supplier exposure and mitigation plans, assign RACI, define minimum controls and KPIs, and validate coverage across key sites, teams or systems.</t>
        </is>
      </c>
      <c r="P112" s="13" t="inlineStr">
        <is>
          <t>Standardize single-source and sole-source supplier exposure and mitigation plans, close coverage gaps, train accountable roles and connect controls to the relevant crisis scenarios and continuity plans.</t>
        </is>
      </c>
      <c r="Q112" s="13" t="inlineStr">
        <is>
          <t>Measure and test single-source and sole-source supplier exposure and mitigation plans, run tabletop or operational stress tests, integrate it with dependent processes and update crisis playbooks.</t>
        </is>
      </c>
      <c r="R112" s="13" t="inlineStr">
        <is>
          <t>Automate monitoring where practical, define leading indicators, run periodic scenario tests and track residual risk after each major change.</t>
        </is>
      </c>
      <c r="S112" s="13" t="inlineStr">
        <is>
          <t>Sustain maturity for single-source and sole-source supplier exposure and mitigation plans: keep evidence current, monitor drift, benchmark externally and refresh risk tests after organizational, system or market changes.</t>
        </is>
      </c>
      <c r="T112" s="13" t="n">
        <v>3</v>
      </c>
      <c r="U112" s="13" t="n">
        <v>3</v>
      </c>
      <c r="V112" s="13" t="n">
        <v>2</v>
      </c>
      <c r="W112" s="13" t="n">
        <v>2</v>
      </c>
      <c r="X112" s="13" t="n">
        <v>1</v>
      </c>
      <c r="Y112" s="13" t="n">
        <v>1</v>
      </c>
      <c r="Z112" s="13" t="inlineStr">
        <is>
          <t>COSO Internal Control; COSO ERM; IFRS; ISO 20400; ISO 37001; CIPS</t>
        </is>
      </c>
      <c r="AA112" s="13" t="inlineStr">
        <is>
          <t>Policy/SOP; owner/RACI; system report; dashboard; contracts; test records; incident history; interview evidence related to single-source and sole-source supplier exposure and mitigation plans.</t>
        </is>
      </c>
      <c r="AB112" s="13" t="inlineStr">
        <is>
          <t>Financial liquidity crisis; Supplier disruption; Fraud risk</t>
        </is>
      </c>
      <c r="AC112" s="13" t="inlineStr">
        <is>
          <t>CFO / Procurement</t>
        </is>
      </c>
      <c r="AD112" s="13" t="inlineStr">
        <is>
          <t>Finance Procurement!19</t>
        </is>
      </c>
      <c r="AE112">
        <f>IF($A112="","",IF(OR(ISNUMBER(SEARCH("cyber",$D112)),ISNUMBER(SEARCH("security",$D112)),ISNUMBER(SEARCH("safety",$D112)),ISNUMBER(SEARCH("liquidity",$D112)),ISNUMBER(SEARCH("cash",$D112)),ISNUMBER(SEARCH("continuity",$D112)),ISNUMBER(SEARCH("infrastructure",$D112)),ISNUMBER(SEARCH("outage",$D112))),"Fast",IF(OR(ISNUMBER(SEARCH("compliance",$D112)),ISNUMBER(SEARCH("regulat",$D112)),ISNUMBER(SEARCH("data",$D112)),ISNUMBER(SEARCH("talent",$D112)),ISNUMBER(SEARCH("knowledge",$D112)),ISNUMBER(SEARCH("portfolio",$D112)),ISNUMBER(SEARCH("quality",$D112))),"Slow","Medium")))</f>
        <v/>
      </c>
      <c r="AF112">
        <f>IF($A112="","",IFERROR(VLOOKUP($B112,'_CONFIG_Risk_Calibration'!$A$5:$H$21,2,FALSE),3))</f>
        <v/>
      </c>
      <c r="AG112">
        <f>IF($A112="","",IFERROR(VLOOKUP($B112,'_CONFIG_Risk_Calibration'!$A$5:$H$21,3,FALSE),0))</f>
        <v/>
      </c>
      <c r="AH112">
        <f>IF($A112="","",IFERROR(VLOOKUP($B112,'_CONFIG_Risk_Calibration'!$A$5:$H$21,4,FALSE),3))</f>
        <v/>
      </c>
      <c r="AI112">
        <f>IF($A112="","",IFERROR(VLOOKUP($B112,'_CONFIG_Risk_Calibration'!$A$5:$H$21,5,FALSE),3))</f>
        <v/>
      </c>
      <c r="AJ112">
        <f>IF($A112="","",IFERROR(VLOOKUP($B112,'_CONFIG_Risk_Calibration'!$A$5:$H$21,6,FALSE),"No"))</f>
        <v/>
      </c>
      <c r="AK112">
        <f>IF($A112="","",IFERROR(VLOOKUP($B112,'_CONFIG_Risk_Calibration'!$A$5:$H$21,7,FALSE),1))</f>
        <v/>
      </c>
      <c r="AL112">
        <f>IF($A112="","",IFERROR(VLOOKUP($B112,'_CONFIG_Risk_Calibration'!$A$5:$H$21,8,FALSE),""))</f>
        <v/>
      </c>
    </row>
    <row r="113" ht="72" customHeight="1" s="209">
      <c r="A113" s="13" t="inlineStr">
        <is>
          <t>FINA-016</t>
        </is>
      </c>
      <c r="B113" s="13" t="inlineStr">
        <is>
          <t>Finance Procurement</t>
        </is>
      </c>
      <c r="C113" s="13" t="inlineStr">
        <is>
          <t>Procurement and suppliers</t>
        </is>
      </c>
      <c r="D113" s="13" t="inlineStr">
        <is>
          <t>Financial control and procurement resilience</t>
        </is>
      </c>
      <c r="E113" s="13" t="inlineStr">
        <is>
          <t>How mature is the organization in managing supplier financial health, sanctions, insurance, delivery reliability and crisis exposure monitoring, including ownership, evidence, metrics, fallback procedures and crisis stress testing?</t>
        </is>
      </c>
      <c r="F113" s="13" t="inlineStr">
        <is>
          <t>Immature capability for supplier financial health, sanctions, insurance, delivery reliability and crisis exposure monitoring may lead to cash-flow stress, uncontrolled spend, supplier payment disruption and weak financial visibility during Financial liquidity crisis; Supplier disruption; Fraud risk.</t>
        </is>
      </c>
      <c r="G113" s="13" t="inlineStr">
        <is>
          <t>Low maturity, weak ownership, incomplete evidence, insufficient testing and poor integration with crisis-management routines for supplier financial health, sanctions, insurance, delivery reliability and crisis exposure monitoring.</t>
        </is>
      </c>
      <c r="H113" s="13" t="inlineStr">
        <is>
          <t>Severe risk: supplier financial health, sanctions, insurance, delivery reliability and crisis exposure monitoring is not reliably controlled. During Financial liquidity crisis; Supplier disruption; Fraud risk, the organization may face cash-flow stress, uncontrolled spend, supplier payment disruption and weak financial visibility with limited visibility or accountability.</t>
        </is>
      </c>
      <c r="I113" s="13" t="inlineStr">
        <is>
          <t>High risk: supplier financial health, sanctions, insurance, delivery reliability and crisis exposure monitoring depends on informal practices or individual knowledge. Disruption may expose cash-flow stress, uncontrolled spend, supplier payment disruption and weak financial visibility and slow recovery.</t>
        </is>
      </c>
      <c r="J113" s="13" t="inlineStr">
        <is>
          <t>Elevated risk: supplier financial health, sanctions, insurance, delivery reliability and crisis exposure monitoring is partially controlled, but coverage, evidence or testing is inconsistent. Crisis response may be fragmented.</t>
        </is>
      </c>
      <c r="K113" s="13" t="inlineStr">
        <is>
          <t>Moderate risk: supplier financial health, sanctions, insurance, delivery reliability and crisis exposure monitoring is documented and owned, but measurement, stress testing and integration with dependent processes need strengthening.</t>
        </is>
      </c>
      <c r="L113" s="13" t="inlineStr">
        <is>
          <t>Residual risk: supplier financial health, sanctions, insurance, delivery reliability and crisis exposure monitoring is measured and reviewed, but monitoring, automation or scenario testing should be improved to prevent maturity drift.</t>
        </is>
      </c>
      <c r="M113" s="13" t="inlineStr">
        <is>
          <t>Low residual risk: supplier financial health, sanctions, insurance, delivery reliability and crisis exposure monitoring is mature and crisis-tested. Maintain monitoring, evidence, ownership and periodic stress testing.</t>
        </is>
      </c>
      <c r="N113" s="13" t="inlineStr">
        <is>
          <t>Create an immediate risk owner, minimum control baseline and fallback procedure for supplier financial health, sanctions, insurance, delivery reliability and crisis exposure monitoring. Add it to the crisis risk register and collect first evidence.</t>
        </is>
      </c>
      <c r="O113" s="13" t="inlineStr">
        <is>
          <t>Document supplier financial health, sanctions, insurance, delivery reliability and crisis exposure monitoring, assign RACI, define minimum controls and KPIs, and validate coverage across key sites, teams or systems.</t>
        </is>
      </c>
      <c r="P113" s="13" t="inlineStr">
        <is>
          <t>Standardize supplier financial health, sanctions, insurance, delivery reliability and crisis exposure monitoring, close coverage gaps, train accountable roles and connect controls to the relevant crisis scenarios and continuity plans.</t>
        </is>
      </c>
      <c r="Q113" s="13" t="inlineStr">
        <is>
          <t>Measure and test supplier financial health, sanctions, insurance, delivery reliability and crisis exposure monitoring, run tabletop or operational stress tests, integrate it with dependent processes and update crisis playbooks.</t>
        </is>
      </c>
      <c r="R113" s="13" t="inlineStr">
        <is>
          <t>Automate monitoring where practical, define leading indicators, run periodic scenario tests and track residual risk after each major change.</t>
        </is>
      </c>
      <c r="S113" s="13" t="inlineStr">
        <is>
          <t>Sustain maturity for supplier financial health, sanctions, insurance, delivery reliability and crisis exposure monitoring: keep evidence current, monitor drift, benchmark externally and refresh risk tests after organizational, system or market changes.</t>
        </is>
      </c>
      <c r="T113" s="13" t="n">
        <v>3</v>
      </c>
      <c r="U113" s="13" t="n">
        <v>3</v>
      </c>
      <c r="V113" s="13" t="n">
        <v>2</v>
      </c>
      <c r="W113" s="13" t="n">
        <v>2</v>
      </c>
      <c r="X113" s="13" t="n">
        <v>1</v>
      </c>
      <c r="Y113" s="13" t="n">
        <v>1</v>
      </c>
      <c r="Z113" s="13" t="inlineStr">
        <is>
          <t>COSO Internal Control; COSO ERM; IFRS; ISO 20400; ISO 37001; CIPS</t>
        </is>
      </c>
      <c r="AA113" s="13" t="inlineStr">
        <is>
          <t>Policy/SOP; owner/RACI; system report; dashboard; contracts; test records; incident history; interview evidence related to supplier financial health, sanctions, insurance, delivery reliability and crisis exposure monitoring.</t>
        </is>
      </c>
      <c r="AB113" s="13" t="inlineStr">
        <is>
          <t>Financial liquidity crisis; Supplier disruption; Fraud risk</t>
        </is>
      </c>
      <c r="AC113" s="13" t="inlineStr">
        <is>
          <t>CFO / Procurement</t>
        </is>
      </c>
      <c r="AD113" s="13" t="inlineStr">
        <is>
          <t>Finance Procurement!20</t>
        </is>
      </c>
      <c r="AE113">
        <f>IF($A113="","",IF(OR(ISNUMBER(SEARCH("cyber",$D113)),ISNUMBER(SEARCH("security",$D113)),ISNUMBER(SEARCH("safety",$D113)),ISNUMBER(SEARCH("liquidity",$D113)),ISNUMBER(SEARCH("cash",$D113)),ISNUMBER(SEARCH("continuity",$D113)),ISNUMBER(SEARCH("infrastructure",$D113)),ISNUMBER(SEARCH("outage",$D113))),"Fast",IF(OR(ISNUMBER(SEARCH("compliance",$D113)),ISNUMBER(SEARCH("regulat",$D113)),ISNUMBER(SEARCH("data",$D113)),ISNUMBER(SEARCH("talent",$D113)),ISNUMBER(SEARCH("knowledge",$D113)),ISNUMBER(SEARCH("portfolio",$D113)),ISNUMBER(SEARCH("quality",$D113))),"Slow","Medium")))</f>
        <v/>
      </c>
      <c r="AF113">
        <f>IF($A113="","",IFERROR(VLOOKUP($B113,'_CONFIG_Risk_Calibration'!$A$5:$H$21,2,FALSE),3))</f>
        <v/>
      </c>
      <c r="AG113">
        <f>IF($A113="","",IFERROR(VLOOKUP($B113,'_CONFIG_Risk_Calibration'!$A$5:$H$21,3,FALSE),0))</f>
        <v/>
      </c>
      <c r="AH113">
        <f>IF($A113="","",IFERROR(VLOOKUP($B113,'_CONFIG_Risk_Calibration'!$A$5:$H$21,4,FALSE),3))</f>
        <v/>
      </c>
      <c r="AI113">
        <f>IF($A113="","",IFERROR(VLOOKUP($B113,'_CONFIG_Risk_Calibration'!$A$5:$H$21,5,FALSE),3))</f>
        <v/>
      </c>
      <c r="AJ113">
        <f>IF($A113="","",IFERROR(VLOOKUP($B113,'_CONFIG_Risk_Calibration'!$A$5:$H$21,6,FALSE),"No"))</f>
        <v/>
      </c>
      <c r="AK113">
        <f>IF($A113="","",IFERROR(VLOOKUP($B113,'_CONFIG_Risk_Calibration'!$A$5:$H$21,7,FALSE),1))</f>
        <v/>
      </c>
      <c r="AL113">
        <f>IF($A113="","",IFERROR(VLOOKUP($B113,'_CONFIG_Risk_Calibration'!$A$5:$H$21,8,FALSE),""))</f>
        <v/>
      </c>
    </row>
    <row r="114" ht="72" customHeight="1" s="209">
      <c r="A114" s="13" t="inlineStr">
        <is>
          <t>FINA-018</t>
        </is>
      </c>
      <c r="B114" s="13" t="inlineStr">
        <is>
          <t>Finance Procurement</t>
        </is>
      </c>
      <c r="C114" s="13" t="inlineStr">
        <is>
          <t>Procurement and suppliers</t>
        </is>
      </c>
      <c r="D114" s="13" t="inlineStr">
        <is>
          <t>Financial control and procurement resilience</t>
        </is>
      </c>
      <c r="E114" s="13" t="inlineStr">
        <is>
          <t>How mature is the organization in managing emergency purchasing process that preserves essential controls and fraud prevention, including ownership, evidence, metrics, fallback procedures and crisis stress testing?</t>
        </is>
      </c>
      <c r="F114" s="13" t="inlineStr">
        <is>
          <t>Immature capability for emergency purchasing process that preserves essential controls and fraud prevention may lead to cash-flow stress, uncontrolled spend, supplier payment disruption and weak financial visibility during Financial liquidity crisis; Supplier disruption; Fraud risk.</t>
        </is>
      </c>
      <c r="G114" s="13" t="inlineStr">
        <is>
          <t>Low maturity, weak ownership, incomplete evidence, insufficient testing and poor integration with crisis-management routines for emergency purchasing process that preserves essential controls and fraud prevention.</t>
        </is>
      </c>
      <c r="H114" s="13" t="inlineStr">
        <is>
          <t>Severe risk: emergency purchasing process that preserves essential controls and fraud prevention is not reliably controlled. During Financial liquidity crisis; Supplier disruption; Fraud risk, the organization may face cash-flow stress, uncontrolled spend, supplier payment disruption and weak financial visibility with limited visibility or accountability.</t>
        </is>
      </c>
      <c r="I114" s="13" t="inlineStr">
        <is>
          <t>High risk: emergency purchasing process that preserves essential controls and fraud prevention depends on informal practices or individual knowledge. Disruption may expose cash-flow stress, uncontrolled spend, supplier payment disruption and weak financial visibility and slow recovery.</t>
        </is>
      </c>
      <c r="J114" s="13" t="inlineStr">
        <is>
          <t>Elevated risk: emergency purchasing process that preserves essential controls and fraud prevention is partially controlled, but coverage, evidence or testing is inconsistent. Crisis response may be fragmented.</t>
        </is>
      </c>
      <c r="K114" s="13" t="inlineStr">
        <is>
          <t>Moderate risk: emergency purchasing process that preserves essential controls and fraud prevention is documented and owned, but measurement, stress testing and integration with dependent processes need strengthening.</t>
        </is>
      </c>
      <c r="L114" s="13" t="inlineStr">
        <is>
          <t>Residual risk: emergency purchasing process that preserves essential controls and fraud prevention is measured and reviewed, but monitoring, automation or scenario testing should be improved to prevent maturity drift.</t>
        </is>
      </c>
      <c r="M114" s="13" t="inlineStr">
        <is>
          <t>Low residual risk: emergency purchasing process that preserves essential controls and fraud prevention is mature and crisis-tested. Maintain monitoring, evidence, ownership and periodic stress testing.</t>
        </is>
      </c>
      <c r="N114" s="13" t="inlineStr">
        <is>
          <t>Create an immediate risk owner, minimum control baseline and fallback procedure for emergency purchasing process that preserves essential controls and fraud prevention. Add it to the crisis risk register and collect first evidence.</t>
        </is>
      </c>
      <c r="O114" s="13" t="inlineStr">
        <is>
          <t>Document emergency purchasing process that preserves essential controls and fraud prevention, assign RACI, define minimum controls and KPIs, and validate coverage across key sites, teams or systems.</t>
        </is>
      </c>
      <c r="P114" s="13" t="inlineStr">
        <is>
          <t>Standardize emergency purchasing process that preserves essential controls and fraud prevention, close coverage gaps, train accountable roles and connect controls to the relevant crisis scenarios and continuity plans.</t>
        </is>
      </c>
      <c r="Q114" s="13" t="inlineStr">
        <is>
          <t>Measure and test emergency purchasing process that preserves essential controls and fraud prevention, run tabletop or operational stress tests, integrate it with dependent processes and update crisis playbooks.</t>
        </is>
      </c>
      <c r="R114" s="13" t="inlineStr">
        <is>
          <t>Automate monitoring where practical, define leading indicators, run periodic scenario tests and track residual risk after each major change.</t>
        </is>
      </c>
      <c r="S114" s="13" t="inlineStr">
        <is>
          <t>Sustain maturity for emergency purchasing process that preserves essential controls and fraud prevention: keep evidence current, monitor drift, benchmark externally and refresh risk tests after organizational, system or market changes.</t>
        </is>
      </c>
      <c r="T114" s="13" t="n">
        <v>3</v>
      </c>
      <c r="U114" s="13" t="n">
        <v>3</v>
      </c>
      <c r="V114" s="13" t="n">
        <v>2</v>
      </c>
      <c r="W114" s="13" t="n">
        <v>2</v>
      </c>
      <c r="X114" s="13" t="n">
        <v>1</v>
      </c>
      <c r="Y114" s="13" t="n">
        <v>1</v>
      </c>
      <c r="Z114" s="13" t="inlineStr">
        <is>
          <t>COSO Internal Control; COSO ERM; IFRS; ISO 20400; ISO 37001; CIPS</t>
        </is>
      </c>
      <c r="AA114" s="13" t="inlineStr">
        <is>
          <t>Policy/SOP; owner/RACI; system report; dashboard; contracts; test records; incident history; interview evidence related to emergency purchasing process that preserves essential controls and fraud prevention.</t>
        </is>
      </c>
      <c r="AB114" s="13" t="inlineStr">
        <is>
          <t>Financial liquidity crisis; Supplier disruption; Fraud risk</t>
        </is>
      </c>
      <c r="AC114" s="13" t="inlineStr">
        <is>
          <t>CFO / Procurement</t>
        </is>
      </c>
      <c r="AD114" s="13" t="inlineStr">
        <is>
          <t>Finance Procurement!21</t>
        </is>
      </c>
      <c r="AE114">
        <f>IF($A114="","",IF(OR(ISNUMBER(SEARCH("cyber",$D114)),ISNUMBER(SEARCH("security",$D114)),ISNUMBER(SEARCH("safety",$D114)),ISNUMBER(SEARCH("liquidity",$D114)),ISNUMBER(SEARCH("cash",$D114)),ISNUMBER(SEARCH("continuity",$D114)),ISNUMBER(SEARCH("infrastructure",$D114)),ISNUMBER(SEARCH("outage",$D114))),"Fast",IF(OR(ISNUMBER(SEARCH("compliance",$D114)),ISNUMBER(SEARCH("regulat",$D114)),ISNUMBER(SEARCH("data",$D114)),ISNUMBER(SEARCH("talent",$D114)),ISNUMBER(SEARCH("knowledge",$D114)),ISNUMBER(SEARCH("portfolio",$D114)),ISNUMBER(SEARCH("quality",$D114))),"Slow","Medium")))</f>
        <v/>
      </c>
      <c r="AF114">
        <f>IF($A114="","",IFERROR(VLOOKUP($B114,'_CONFIG_Risk_Calibration'!$A$5:$H$21,2,FALSE),3))</f>
        <v/>
      </c>
      <c r="AG114">
        <f>IF($A114="","",IFERROR(VLOOKUP($B114,'_CONFIG_Risk_Calibration'!$A$5:$H$21,3,FALSE),0))</f>
        <v/>
      </c>
      <c r="AH114">
        <f>IF($A114="","",IFERROR(VLOOKUP($B114,'_CONFIG_Risk_Calibration'!$A$5:$H$21,4,FALSE),3))</f>
        <v/>
      </c>
      <c r="AI114">
        <f>IF($A114="","",IFERROR(VLOOKUP($B114,'_CONFIG_Risk_Calibration'!$A$5:$H$21,5,FALSE),3))</f>
        <v/>
      </c>
      <c r="AJ114">
        <f>IF($A114="","",IFERROR(VLOOKUP($B114,'_CONFIG_Risk_Calibration'!$A$5:$H$21,6,FALSE),"No"))</f>
        <v/>
      </c>
      <c r="AK114">
        <f>IF($A114="","",IFERROR(VLOOKUP($B114,'_CONFIG_Risk_Calibration'!$A$5:$H$21,7,FALSE),1))</f>
        <v/>
      </c>
      <c r="AL114">
        <f>IF($A114="","",IFERROR(VLOOKUP($B114,'_CONFIG_Risk_Calibration'!$A$5:$H$21,8,FALSE),""))</f>
        <v/>
      </c>
    </row>
    <row r="115" ht="72" customHeight="1" s="209">
      <c r="A115" s="13" t="inlineStr">
        <is>
          <t>FINA-019</t>
        </is>
      </c>
      <c r="B115" s="13" t="inlineStr">
        <is>
          <t>Finance Procurement</t>
        </is>
      </c>
      <c r="C115" s="13" t="inlineStr">
        <is>
          <t>Procurement and suppliers</t>
        </is>
      </c>
      <c r="D115" s="13" t="inlineStr">
        <is>
          <t>Financial control and procurement resilience</t>
        </is>
      </c>
      <c r="E115" s="13" t="inlineStr">
        <is>
          <t>How mature is the organization in managing purchasing triggers linked to demand, lead time, minimum stock and crisis buffers, including ownership, evidence, metrics, fallback procedures and crisis stress testing?</t>
        </is>
      </c>
      <c r="F115" s="13" t="inlineStr">
        <is>
          <t>Immature capability for purchasing triggers linked to demand, lead time, minimum stock and crisis buffers may lead to cash-flow stress, uncontrolled spend, supplier payment disruption and weak financial visibility during Financial liquidity crisis; Supplier disruption; Fraud risk.</t>
        </is>
      </c>
      <c r="G115" s="13" t="inlineStr">
        <is>
          <t>Low maturity, weak ownership, incomplete evidence, insufficient testing and poor integration with crisis-management routines for purchasing triggers linked to demand, lead time, minimum stock and crisis buffers.</t>
        </is>
      </c>
      <c r="H115" s="13" t="inlineStr">
        <is>
          <t>Severe risk: purchasing triggers linked to demand, lead time, minimum stock and crisis buffers is not reliably controlled. During Financial liquidity crisis; Supplier disruption; Fraud risk, the organization may face cash-flow stress, uncontrolled spend, supplier payment disruption and weak financial visibility with limited visibility or accountability.</t>
        </is>
      </c>
      <c r="I115" s="13" t="inlineStr">
        <is>
          <t>High risk: purchasing triggers linked to demand, lead time, minimum stock and crisis buffers depends on informal practices or individual knowledge. Disruption may expose cash-flow stress, uncontrolled spend, supplier payment disruption and weak financial visibility and slow recovery.</t>
        </is>
      </c>
      <c r="J115" s="13" t="inlineStr">
        <is>
          <t>Elevated risk: purchasing triggers linked to demand, lead time, minimum stock and crisis buffers is partially controlled, but coverage, evidence or testing is inconsistent. Crisis response may be fragmented.</t>
        </is>
      </c>
      <c r="K115" s="13" t="inlineStr">
        <is>
          <t>Moderate risk: purchasing triggers linked to demand, lead time, minimum stock and crisis buffers is documented and owned, but measurement, stress testing and integration with dependent processes need strengthening.</t>
        </is>
      </c>
      <c r="L115" s="13" t="inlineStr">
        <is>
          <t>Residual risk: purchasing triggers linked to demand, lead time, minimum stock and crisis buffers is measured and reviewed, but monitoring, automation or scenario testing should be improved to prevent maturity drift.</t>
        </is>
      </c>
      <c r="M115" s="13" t="inlineStr">
        <is>
          <t>Low residual risk: purchasing triggers linked to demand, lead time, minimum stock and crisis buffers is mature and crisis-tested. Maintain monitoring, evidence, ownership and periodic stress testing.</t>
        </is>
      </c>
      <c r="N115" s="13" t="inlineStr">
        <is>
          <t>Create an immediate risk owner, minimum control baseline and fallback procedure for purchasing triggers linked to demand, lead time, minimum stock and crisis buffers. Add it to the crisis risk register and collect first evidence.</t>
        </is>
      </c>
      <c r="O115" s="13" t="inlineStr">
        <is>
          <t>Document purchasing triggers linked to demand, lead time, minimum stock and crisis buffers, assign RACI, define minimum controls and KPIs, and validate coverage across key sites, teams or systems.</t>
        </is>
      </c>
      <c r="P115" s="13" t="inlineStr">
        <is>
          <t>Standardize purchasing triggers linked to demand, lead time, minimum stock and crisis buffers, close coverage gaps, train accountable roles and connect controls to the relevant crisis scenarios and continuity plans.</t>
        </is>
      </c>
      <c r="Q115" s="13" t="inlineStr">
        <is>
          <t>Measure and test purchasing triggers linked to demand, lead time, minimum stock and crisis buffers, run tabletop or operational stress tests, integrate it with dependent processes and update crisis playbooks.</t>
        </is>
      </c>
      <c r="R115" s="13" t="inlineStr">
        <is>
          <t>Automate monitoring where practical, define leading indicators, run periodic scenario tests and track residual risk after each major change.</t>
        </is>
      </c>
      <c r="S115" s="13" t="inlineStr">
        <is>
          <t>Sustain maturity for purchasing triggers linked to demand, lead time, minimum stock and crisis buffers: keep evidence current, monitor drift, benchmark externally and refresh risk tests after organizational, system or market changes.</t>
        </is>
      </c>
      <c r="T115" s="13" t="n">
        <v>3</v>
      </c>
      <c r="U115" s="13" t="n">
        <v>3</v>
      </c>
      <c r="V115" s="13" t="n">
        <v>2</v>
      </c>
      <c r="W115" s="13" t="n">
        <v>2</v>
      </c>
      <c r="X115" s="13" t="n">
        <v>1</v>
      </c>
      <c r="Y115" s="13" t="n">
        <v>1</v>
      </c>
      <c r="Z115" s="13" t="inlineStr">
        <is>
          <t>COSO Internal Control; COSO ERM; IFRS; ISO 20400; ISO 37001; CIPS</t>
        </is>
      </c>
      <c r="AA115" s="13" t="inlineStr">
        <is>
          <t>Policy/SOP; owner/RACI; system report; dashboard; contracts; test records; incident history; interview evidence related to purchasing triggers linked to demand, lead time, minimum stock and crisis buffers.</t>
        </is>
      </c>
      <c r="AB115" s="13" t="inlineStr">
        <is>
          <t>Financial liquidity crisis; Supplier disruption; Fraud risk</t>
        </is>
      </c>
      <c r="AC115" s="13" t="inlineStr">
        <is>
          <t>CFO / Procurement</t>
        </is>
      </c>
      <c r="AD115" s="13" t="inlineStr">
        <is>
          <t>Finance Procurement!22</t>
        </is>
      </c>
      <c r="AE115">
        <f>IF($A115="","",IF(OR(ISNUMBER(SEARCH("cyber",$D115)),ISNUMBER(SEARCH("security",$D115)),ISNUMBER(SEARCH("safety",$D115)),ISNUMBER(SEARCH("liquidity",$D115)),ISNUMBER(SEARCH("cash",$D115)),ISNUMBER(SEARCH("continuity",$D115)),ISNUMBER(SEARCH("infrastructure",$D115)),ISNUMBER(SEARCH("outage",$D115))),"Fast",IF(OR(ISNUMBER(SEARCH("compliance",$D115)),ISNUMBER(SEARCH("regulat",$D115)),ISNUMBER(SEARCH("data",$D115)),ISNUMBER(SEARCH("talent",$D115)),ISNUMBER(SEARCH("knowledge",$D115)),ISNUMBER(SEARCH("portfolio",$D115)),ISNUMBER(SEARCH("quality",$D115))),"Slow","Medium")))</f>
        <v/>
      </c>
      <c r="AF115">
        <f>IF($A115="","",IFERROR(VLOOKUP($B115,'_CONFIG_Risk_Calibration'!$A$5:$H$21,2,FALSE),3))</f>
        <v/>
      </c>
      <c r="AG115">
        <f>IF($A115="","",IFERROR(VLOOKUP($B115,'_CONFIG_Risk_Calibration'!$A$5:$H$21,3,FALSE),0))</f>
        <v/>
      </c>
      <c r="AH115">
        <f>IF($A115="","",IFERROR(VLOOKUP($B115,'_CONFIG_Risk_Calibration'!$A$5:$H$21,4,FALSE),3))</f>
        <v/>
      </c>
      <c r="AI115">
        <f>IF($A115="","",IFERROR(VLOOKUP($B115,'_CONFIG_Risk_Calibration'!$A$5:$H$21,5,FALSE),3))</f>
        <v/>
      </c>
      <c r="AJ115">
        <f>IF($A115="","",IFERROR(VLOOKUP($B115,'_CONFIG_Risk_Calibration'!$A$5:$H$21,6,FALSE),"No"))</f>
        <v/>
      </c>
      <c r="AK115">
        <f>IF($A115="","",IFERROR(VLOOKUP($B115,'_CONFIG_Risk_Calibration'!$A$5:$H$21,7,FALSE),1))</f>
        <v/>
      </c>
      <c r="AL115">
        <f>IF($A115="","",IFERROR(VLOOKUP($B115,'_CONFIG_Risk_Calibration'!$A$5:$H$21,8,FALSE),""))</f>
        <v/>
      </c>
    </row>
    <row r="116" ht="72" customHeight="1" s="209">
      <c r="A116" s="13" t="inlineStr">
        <is>
          <t>FINA-020</t>
        </is>
      </c>
      <c r="B116" s="13" t="inlineStr">
        <is>
          <t>Finance Procurement</t>
        </is>
      </c>
      <c r="C116" s="13" t="inlineStr">
        <is>
          <t>Working capital</t>
        </is>
      </c>
      <c r="D116" s="13" t="inlineStr">
        <is>
          <t>Financial control and procurement resilience</t>
        </is>
      </c>
      <c r="E116" s="13" t="inlineStr">
        <is>
          <t>How mature is the organization in managing receivables aging, customer payment risk and collection scenarios, including ownership, evidence, metrics, fallback procedures and crisis stress testing?</t>
        </is>
      </c>
      <c r="F116" s="13" t="inlineStr">
        <is>
          <t>Immature capability for receivables aging, customer payment risk and collection scenarios may lead to cash-flow stress, uncontrolled spend, supplier payment disruption and weak financial visibility during Financial liquidity crisis; Supplier disruption; Fraud risk.</t>
        </is>
      </c>
      <c r="G116" s="13" t="inlineStr">
        <is>
          <t>Low maturity, weak ownership, incomplete evidence, insufficient testing and poor integration with crisis-management routines for receivables aging, customer payment risk and collection scenarios.</t>
        </is>
      </c>
      <c r="H116" s="13" t="inlineStr">
        <is>
          <t>Severe risk: receivables aging, customer payment risk and collection scenarios is not reliably controlled. During Financial liquidity crisis; Supplier disruption; Fraud risk, the organization may face cash-flow stress, uncontrolled spend, supplier payment disruption and weak financial visibility with limited visibility or accountability.</t>
        </is>
      </c>
      <c r="I116" s="13" t="inlineStr">
        <is>
          <t>High risk: receivables aging, customer payment risk and collection scenarios depends on informal practices or individual knowledge. Disruption may expose cash-flow stress, uncontrolled spend, supplier payment disruption and weak financial visibility and slow recovery.</t>
        </is>
      </c>
      <c r="J116" s="13" t="inlineStr">
        <is>
          <t>Elevated risk: receivables aging, customer payment risk and collection scenarios is partially controlled, but coverage, evidence or testing is inconsistent. Crisis response may be fragmented.</t>
        </is>
      </c>
      <c r="K116" s="13" t="inlineStr">
        <is>
          <t>Moderate risk: receivables aging, customer payment risk and collection scenarios is documented and owned, but measurement, stress testing and integration with dependent processes need strengthening.</t>
        </is>
      </c>
      <c r="L116" s="13" t="inlineStr">
        <is>
          <t>Residual risk: receivables aging, customer payment risk and collection scenarios is measured and reviewed, but monitoring, automation or scenario testing should be improved to prevent maturity drift.</t>
        </is>
      </c>
      <c r="M116" s="13" t="inlineStr">
        <is>
          <t>Low residual risk: receivables aging, customer payment risk and collection scenarios is mature and crisis-tested. Maintain monitoring, evidence, ownership and periodic stress testing.</t>
        </is>
      </c>
      <c r="N116" s="13" t="inlineStr">
        <is>
          <t>Create an immediate risk owner, minimum control baseline and fallback procedure for receivables aging, customer payment risk and collection scenarios. Add it to the crisis risk register and collect first evidence.</t>
        </is>
      </c>
      <c r="O116" s="13" t="inlineStr">
        <is>
          <t>Document receivables aging, customer payment risk and collection scenarios, assign RACI, define minimum controls and KPIs, and validate coverage across key sites, teams or systems.</t>
        </is>
      </c>
      <c r="P116" s="13" t="inlineStr">
        <is>
          <t>Standardize receivables aging, customer payment risk and collection scenarios, close coverage gaps, train accountable roles and connect controls to the relevant crisis scenarios and continuity plans.</t>
        </is>
      </c>
      <c r="Q116" s="13" t="inlineStr">
        <is>
          <t>Measure and test receivables aging, customer payment risk and collection scenarios, run tabletop or operational stress tests, integrate it with dependent processes and update crisis playbooks.</t>
        </is>
      </c>
      <c r="R116" s="13" t="inlineStr">
        <is>
          <t>Automate monitoring where practical, define leading indicators, run periodic scenario tests and track residual risk after each major change.</t>
        </is>
      </c>
      <c r="S116" s="13" t="inlineStr">
        <is>
          <t>Sustain maturity for receivables aging, customer payment risk and collection scenarios: keep evidence current, monitor drift, benchmark externally and refresh risk tests after organizational, system or market changes.</t>
        </is>
      </c>
      <c r="T116" s="13" t="n">
        <v>3</v>
      </c>
      <c r="U116" s="13" t="n">
        <v>3</v>
      </c>
      <c r="V116" s="13" t="n">
        <v>2</v>
      </c>
      <c r="W116" s="13" t="n">
        <v>2</v>
      </c>
      <c r="X116" s="13" t="n">
        <v>1</v>
      </c>
      <c r="Y116" s="13" t="n">
        <v>1</v>
      </c>
      <c r="Z116" s="13" t="inlineStr">
        <is>
          <t>COSO Internal Control; COSO ERM; IFRS; ISO 20400; ISO 37001; CIPS</t>
        </is>
      </c>
      <c r="AA116" s="13" t="inlineStr">
        <is>
          <t>Policy/SOP; owner/RACI; system report; dashboard; contracts; test records; incident history; interview evidence related to receivables aging, customer payment risk and collection scenarios.</t>
        </is>
      </c>
      <c r="AB116" s="13" t="inlineStr">
        <is>
          <t>Financial liquidity crisis; Supplier disruption; Fraud risk</t>
        </is>
      </c>
      <c r="AC116" s="13" t="inlineStr">
        <is>
          <t>CFO / Procurement</t>
        </is>
      </c>
      <c r="AD116" s="13" t="inlineStr">
        <is>
          <t>Finance Procurement!23</t>
        </is>
      </c>
      <c r="AE116">
        <f>IF($A116="","",IF(OR(ISNUMBER(SEARCH("cyber",$D116)),ISNUMBER(SEARCH("security",$D116)),ISNUMBER(SEARCH("safety",$D116)),ISNUMBER(SEARCH("liquidity",$D116)),ISNUMBER(SEARCH("cash",$D116)),ISNUMBER(SEARCH("continuity",$D116)),ISNUMBER(SEARCH("infrastructure",$D116)),ISNUMBER(SEARCH("outage",$D116))),"Fast",IF(OR(ISNUMBER(SEARCH("compliance",$D116)),ISNUMBER(SEARCH("regulat",$D116)),ISNUMBER(SEARCH("data",$D116)),ISNUMBER(SEARCH("talent",$D116)),ISNUMBER(SEARCH("knowledge",$D116)),ISNUMBER(SEARCH("portfolio",$D116)),ISNUMBER(SEARCH("quality",$D116))),"Slow","Medium")))</f>
        <v/>
      </c>
      <c r="AF116">
        <f>IF($A116="","",IFERROR(VLOOKUP($B116,'_CONFIG_Risk_Calibration'!$A$5:$H$21,2,FALSE),3))</f>
        <v/>
      </c>
      <c r="AG116">
        <f>IF($A116="","",IFERROR(VLOOKUP($B116,'_CONFIG_Risk_Calibration'!$A$5:$H$21,3,FALSE),0))</f>
        <v/>
      </c>
      <c r="AH116">
        <f>IF($A116="","",IFERROR(VLOOKUP($B116,'_CONFIG_Risk_Calibration'!$A$5:$H$21,4,FALSE),3))</f>
        <v/>
      </c>
      <c r="AI116">
        <f>IF($A116="","",IFERROR(VLOOKUP($B116,'_CONFIG_Risk_Calibration'!$A$5:$H$21,5,FALSE),3))</f>
        <v/>
      </c>
      <c r="AJ116">
        <f>IF($A116="","",IFERROR(VLOOKUP($B116,'_CONFIG_Risk_Calibration'!$A$5:$H$21,6,FALSE),"No"))</f>
        <v/>
      </c>
      <c r="AK116">
        <f>IF($A116="","",IFERROR(VLOOKUP($B116,'_CONFIG_Risk_Calibration'!$A$5:$H$21,7,FALSE),1))</f>
        <v/>
      </c>
      <c r="AL116">
        <f>IF($A116="","",IFERROR(VLOOKUP($B116,'_CONFIG_Risk_Calibration'!$A$5:$H$21,8,FALSE),""))</f>
        <v/>
      </c>
    </row>
    <row r="117" ht="72" customHeight="1" s="209">
      <c r="A117" s="13" t="inlineStr">
        <is>
          <t>FINA-021</t>
        </is>
      </c>
      <c r="B117" s="13" t="inlineStr">
        <is>
          <t>Finance Procurement</t>
        </is>
      </c>
      <c r="C117" s="13" t="inlineStr">
        <is>
          <t>Working capital</t>
        </is>
      </c>
      <c r="D117" s="13" t="inlineStr">
        <is>
          <t>Financial control and procurement resilience</t>
        </is>
      </c>
      <c r="E117" s="13" t="inlineStr">
        <is>
          <t>How mature is the organization in managing supplier payment priority rules during cash constraint, including ownership, evidence, metrics, fallback procedures and crisis stress testing?</t>
        </is>
      </c>
      <c r="F117" s="13" t="inlineStr">
        <is>
          <t>Immature capability for supplier payment priority rules during cash constraint may lead to cash-flow stress, uncontrolled spend, supplier payment disruption and weak financial visibility during Financial liquidity crisis; Supplier disruption; Fraud risk.</t>
        </is>
      </c>
      <c r="G117" s="13" t="inlineStr">
        <is>
          <t>Low maturity, weak ownership, incomplete evidence, insufficient testing and poor integration with crisis-management routines for supplier payment priority rules during cash constraint.</t>
        </is>
      </c>
      <c r="H117" s="13" t="inlineStr">
        <is>
          <t>Severe risk: supplier payment priority rules during cash constraint is not reliably controlled. During Financial liquidity crisis; Supplier disruption; Fraud risk, the organization may face cash-flow stress, uncontrolled spend, supplier payment disruption and weak financial visibility with limited visibility or accountability.</t>
        </is>
      </c>
      <c r="I117" s="13" t="inlineStr">
        <is>
          <t>High risk: supplier payment priority rules during cash constraint depends on informal practices or individual knowledge. Disruption may expose cash-flow stress, uncontrolled spend, supplier payment disruption and weak financial visibility and slow recovery.</t>
        </is>
      </c>
      <c r="J117" s="13" t="inlineStr">
        <is>
          <t>Elevated risk: supplier payment priority rules during cash constraint is partially controlled, but coverage, evidence or testing is inconsistent. Crisis response may be fragmented.</t>
        </is>
      </c>
      <c r="K117" s="13" t="inlineStr">
        <is>
          <t>Moderate risk: supplier payment priority rules during cash constraint is documented and owned, but measurement, stress testing and integration with dependent processes need strengthening.</t>
        </is>
      </c>
      <c r="L117" s="13" t="inlineStr">
        <is>
          <t>Residual risk: supplier payment priority rules during cash constraint is measured and reviewed, but monitoring, automation or scenario testing should be improved to prevent maturity drift.</t>
        </is>
      </c>
      <c r="M117" s="13" t="inlineStr">
        <is>
          <t>Low residual risk: supplier payment priority rules during cash constraint is mature and crisis-tested. Maintain monitoring, evidence, ownership and periodic stress testing.</t>
        </is>
      </c>
      <c r="N117" s="13" t="inlineStr">
        <is>
          <t>Create an immediate risk owner, minimum control baseline and fallback procedure for supplier payment priority rules during cash constraint. Add it to the crisis risk register and collect first evidence.</t>
        </is>
      </c>
      <c r="O117" s="13" t="inlineStr">
        <is>
          <t>Document supplier payment priority rules during cash constraint, assign RACI, define minimum controls and KPIs, and validate coverage across key sites, teams or systems.</t>
        </is>
      </c>
      <c r="P117" s="13" t="inlineStr">
        <is>
          <t>Standardize supplier payment priority rules during cash constraint, close coverage gaps, train accountable roles and connect controls to the relevant crisis scenarios and continuity plans.</t>
        </is>
      </c>
      <c r="Q117" s="13" t="inlineStr">
        <is>
          <t>Measure and test supplier payment priority rules during cash constraint, run tabletop or operational stress tests, integrate it with dependent processes and update crisis playbooks.</t>
        </is>
      </c>
      <c r="R117" s="13" t="inlineStr">
        <is>
          <t>Automate monitoring where practical, define leading indicators, run periodic scenario tests and track residual risk after each major change.</t>
        </is>
      </c>
      <c r="S117" s="13" t="inlineStr">
        <is>
          <t>Sustain maturity for supplier payment priority rules during cash constraint: keep evidence current, monitor drift, benchmark externally and refresh risk tests after organizational, system or market changes.</t>
        </is>
      </c>
      <c r="T117" s="13" t="n">
        <v>3</v>
      </c>
      <c r="U117" s="13" t="n">
        <v>3</v>
      </c>
      <c r="V117" s="13" t="n">
        <v>2</v>
      </c>
      <c r="W117" s="13" t="n">
        <v>2</v>
      </c>
      <c r="X117" s="13" t="n">
        <v>1</v>
      </c>
      <c r="Y117" s="13" t="n">
        <v>1</v>
      </c>
      <c r="Z117" s="13" t="inlineStr">
        <is>
          <t>COSO Internal Control; COSO ERM; IFRS; ISO 20400; ISO 37001; CIPS</t>
        </is>
      </c>
      <c r="AA117" s="13" t="inlineStr">
        <is>
          <t>Policy/SOP; owner/RACI; system report; dashboard; contracts; test records; incident history; interview evidence related to supplier payment priority rules during cash constraint.</t>
        </is>
      </c>
      <c r="AB117" s="13" t="inlineStr">
        <is>
          <t>Financial liquidity crisis; Supplier disruption; Fraud risk</t>
        </is>
      </c>
      <c r="AC117" s="13" t="inlineStr">
        <is>
          <t>CFO / Procurement</t>
        </is>
      </c>
      <c r="AD117" s="13" t="inlineStr">
        <is>
          <t>Finance Procurement!24</t>
        </is>
      </c>
      <c r="AE117">
        <f>IF($A117="","",IF(OR(ISNUMBER(SEARCH("cyber",$D117)),ISNUMBER(SEARCH("security",$D117)),ISNUMBER(SEARCH("safety",$D117)),ISNUMBER(SEARCH("liquidity",$D117)),ISNUMBER(SEARCH("cash",$D117)),ISNUMBER(SEARCH("continuity",$D117)),ISNUMBER(SEARCH("infrastructure",$D117)),ISNUMBER(SEARCH("outage",$D117))),"Fast",IF(OR(ISNUMBER(SEARCH("compliance",$D117)),ISNUMBER(SEARCH("regulat",$D117)),ISNUMBER(SEARCH("data",$D117)),ISNUMBER(SEARCH("talent",$D117)),ISNUMBER(SEARCH("knowledge",$D117)),ISNUMBER(SEARCH("portfolio",$D117)),ISNUMBER(SEARCH("quality",$D117))),"Slow","Medium")))</f>
        <v/>
      </c>
      <c r="AF117">
        <f>IF($A117="","",IFERROR(VLOOKUP($B117,'_CONFIG_Risk_Calibration'!$A$5:$H$21,2,FALSE),3))</f>
        <v/>
      </c>
      <c r="AG117">
        <f>IF($A117="","",IFERROR(VLOOKUP($B117,'_CONFIG_Risk_Calibration'!$A$5:$H$21,3,FALSE),0))</f>
        <v/>
      </c>
      <c r="AH117">
        <f>IF($A117="","",IFERROR(VLOOKUP($B117,'_CONFIG_Risk_Calibration'!$A$5:$H$21,4,FALSE),3))</f>
        <v/>
      </c>
      <c r="AI117">
        <f>IF($A117="","",IFERROR(VLOOKUP($B117,'_CONFIG_Risk_Calibration'!$A$5:$H$21,5,FALSE),3))</f>
        <v/>
      </c>
      <c r="AJ117">
        <f>IF($A117="","",IFERROR(VLOOKUP($B117,'_CONFIG_Risk_Calibration'!$A$5:$H$21,6,FALSE),"No"))</f>
        <v/>
      </c>
      <c r="AK117">
        <f>IF($A117="","",IFERROR(VLOOKUP($B117,'_CONFIG_Risk_Calibration'!$A$5:$H$21,7,FALSE),1))</f>
        <v/>
      </c>
      <c r="AL117">
        <f>IF($A117="","",IFERROR(VLOOKUP($B117,'_CONFIG_Risk_Calibration'!$A$5:$H$21,8,FALSE),""))</f>
        <v/>
      </c>
    </row>
    <row r="118" ht="72" customHeight="1" s="209">
      <c r="A118" s="13" t="inlineStr">
        <is>
          <t>FINA-022</t>
        </is>
      </c>
      <c r="B118" s="13" t="inlineStr">
        <is>
          <t>Finance Procurement</t>
        </is>
      </c>
      <c r="C118" s="13" t="inlineStr">
        <is>
          <t>Working capital</t>
        </is>
      </c>
      <c r="D118" s="13" t="inlineStr">
        <is>
          <t>Financial control and procurement resilience</t>
        </is>
      </c>
      <c r="E118" s="13" t="inlineStr">
        <is>
          <t>How mature is the organization in managing banking resilience with backup banks, signatories, online access and payment release fallback, including ownership, evidence, metrics, fallback procedures and crisis stress testing?</t>
        </is>
      </c>
      <c r="F118" s="13" t="inlineStr">
        <is>
          <t>Immature capability for banking resilience with backup banks, signatories, online access and payment release fallback may lead to cash-flow stress, uncontrolled spend, supplier payment disruption and weak financial visibility during Financial liquidity crisis; Supplier disruption; Fraud risk.</t>
        </is>
      </c>
      <c r="G118" s="13" t="inlineStr">
        <is>
          <t>Low maturity, weak ownership, incomplete evidence, insufficient testing and poor integration with crisis-management routines for banking resilience with backup banks, signatories, online access and payment release fallback.</t>
        </is>
      </c>
      <c r="H118" s="13" t="inlineStr">
        <is>
          <t>Severe risk: banking resilience with backup banks, signatories, online access and payment release fallback is not reliably controlled. During Financial liquidity crisis; Supplier disruption; Fraud risk, the organization may face cash-flow stress, uncontrolled spend, supplier payment disruption and weak financial visibility with limited visibility or accountability.</t>
        </is>
      </c>
      <c r="I118" s="13" t="inlineStr">
        <is>
          <t>High risk: banking resilience with backup banks, signatories, online access and payment release fallback depends on informal practices or individual knowledge. Disruption may expose cash-flow stress, uncontrolled spend, supplier payment disruption and weak financial visibility and slow recovery.</t>
        </is>
      </c>
      <c r="J118" s="13" t="inlineStr">
        <is>
          <t>Elevated risk: banking resilience with backup banks, signatories, online access and payment release fallback is partially controlled, but coverage, evidence or testing is inconsistent. Crisis response may be fragmented.</t>
        </is>
      </c>
      <c r="K118" s="13" t="inlineStr">
        <is>
          <t>Moderate risk: banking resilience with backup banks, signatories, online access and payment release fallback is documented and owned, but measurement, stress testing and integration with dependent processes need strengthening.</t>
        </is>
      </c>
      <c r="L118" s="13" t="inlineStr">
        <is>
          <t>Residual risk: banking resilience with backup banks, signatories, online access and payment release fallback is measured and reviewed, but monitoring, automation or scenario testing should be improved to prevent maturity drift.</t>
        </is>
      </c>
      <c r="M118" s="13" t="inlineStr">
        <is>
          <t>Low residual risk: banking resilience with backup banks, signatories, online access and payment release fallback is mature and crisis-tested. Maintain monitoring, evidence, ownership and periodic stress testing.</t>
        </is>
      </c>
      <c r="N118" s="13" t="inlineStr">
        <is>
          <t>Create an immediate risk owner, minimum control baseline and fallback procedure for banking resilience with backup banks, signatories, online access and payment release fallback. Add it to the crisis risk register and collect first evidence.</t>
        </is>
      </c>
      <c r="O118" s="13" t="inlineStr">
        <is>
          <t>Document banking resilience with backup banks, signatories, online access and payment release fallback, assign RACI, define minimum controls and KPIs, and validate coverage across key sites, teams or systems.</t>
        </is>
      </c>
      <c r="P118" s="13" t="inlineStr">
        <is>
          <t>Standardize banking resilience with backup banks, signatories, online access and payment release fallback, close coverage gaps, train accountable roles and connect controls to the relevant crisis scenarios and continuity plans.</t>
        </is>
      </c>
      <c r="Q118" s="13" t="inlineStr">
        <is>
          <t>Measure and test banking resilience with backup banks, signatories, online access and payment release fallback, run tabletop or operational stress tests, integrate it with dependent processes and update crisis playbooks.</t>
        </is>
      </c>
      <c r="R118" s="13" t="inlineStr">
        <is>
          <t>Automate monitoring where practical, define leading indicators, run periodic scenario tests and track residual risk after each major change.</t>
        </is>
      </c>
      <c r="S118" s="13" t="inlineStr">
        <is>
          <t>Sustain maturity for banking resilience with backup banks, signatories, online access and payment release fallback: keep evidence current, monitor drift, benchmark externally and refresh risk tests after organizational, system or market changes.</t>
        </is>
      </c>
      <c r="T118" s="13" t="n">
        <v>3</v>
      </c>
      <c r="U118" s="13" t="n">
        <v>3</v>
      </c>
      <c r="V118" s="13" t="n">
        <v>2</v>
      </c>
      <c r="W118" s="13" t="n">
        <v>2</v>
      </c>
      <c r="X118" s="13" t="n">
        <v>1</v>
      </c>
      <c r="Y118" s="13" t="n">
        <v>1</v>
      </c>
      <c r="Z118" s="13" t="inlineStr">
        <is>
          <t>COSO Internal Control; COSO ERM; IFRS; ISO 20400; ISO 37001; CIPS</t>
        </is>
      </c>
      <c r="AA118" s="13" t="inlineStr">
        <is>
          <t>Policy/SOP; owner/RACI; system report; dashboard; contracts; test records; incident history; interview evidence related to banking resilience with backup banks, signatories, online access and payment release fallback.</t>
        </is>
      </c>
      <c r="AB118" s="13" t="inlineStr">
        <is>
          <t>Financial liquidity crisis; Supplier disruption; Fraud risk</t>
        </is>
      </c>
      <c r="AC118" s="13" t="inlineStr">
        <is>
          <t>CFO / Procurement</t>
        </is>
      </c>
      <c r="AD118" s="13" t="inlineStr">
        <is>
          <t>Finance Procurement!25</t>
        </is>
      </c>
      <c r="AE118">
        <f>IF($A118="","",IF(OR(ISNUMBER(SEARCH("cyber",$D118)),ISNUMBER(SEARCH("security",$D118)),ISNUMBER(SEARCH("safety",$D118)),ISNUMBER(SEARCH("liquidity",$D118)),ISNUMBER(SEARCH("cash",$D118)),ISNUMBER(SEARCH("continuity",$D118)),ISNUMBER(SEARCH("infrastructure",$D118)),ISNUMBER(SEARCH("outage",$D118))),"Fast",IF(OR(ISNUMBER(SEARCH("compliance",$D118)),ISNUMBER(SEARCH("regulat",$D118)),ISNUMBER(SEARCH("data",$D118)),ISNUMBER(SEARCH("talent",$D118)),ISNUMBER(SEARCH("knowledge",$D118)),ISNUMBER(SEARCH("portfolio",$D118)),ISNUMBER(SEARCH("quality",$D118))),"Slow","Medium")))</f>
        <v/>
      </c>
      <c r="AF118">
        <f>IF($A118="","",IFERROR(VLOOKUP($B118,'_CONFIG_Risk_Calibration'!$A$5:$H$21,2,FALSE),3))</f>
        <v/>
      </c>
      <c r="AG118">
        <f>IF($A118="","",IFERROR(VLOOKUP($B118,'_CONFIG_Risk_Calibration'!$A$5:$H$21,3,FALSE),0))</f>
        <v/>
      </c>
      <c r="AH118">
        <f>IF($A118="","",IFERROR(VLOOKUP($B118,'_CONFIG_Risk_Calibration'!$A$5:$H$21,4,FALSE),3))</f>
        <v/>
      </c>
      <c r="AI118">
        <f>IF($A118="","",IFERROR(VLOOKUP($B118,'_CONFIG_Risk_Calibration'!$A$5:$H$21,5,FALSE),3))</f>
        <v/>
      </c>
      <c r="AJ118">
        <f>IF($A118="","",IFERROR(VLOOKUP($B118,'_CONFIG_Risk_Calibration'!$A$5:$H$21,6,FALSE),"No"))</f>
        <v/>
      </c>
      <c r="AK118">
        <f>IF($A118="","",IFERROR(VLOOKUP($B118,'_CONFIG_Risk_Calibration'!$A$5:$H$21,7,FALSE),1))</f>
        <v/>
      </c>
      <c r="AL118">
        <f>IF($A118="","",IFERROR(VLOOKUP($B118,'_CONFIG_Risk_Calibration'!$A$5:$H$21,8,FALSE),""))</f>
        <v/>
      </c>
    </row>
    <row r="119" ht="72" customHeight="1" s="209">
      <c r="A119" s="13" t="inlineStr">
        <is>
          <t>FINA-023</t>
        </is>
      </c>
      <c r="B119" s="13" t="inlineStr">
        <is>
          <t>Finance Procurement</t>
        </is>
      </c>
      <c r="C119" s="13" t="inlineStr">
        <is>
          <t>Working capital</t>
        </is>
      </c>
      <c r="D119" s="13" t="inlineStr">
        <is>
          <t>Financial control and procurement resilience</t>
        </is>
      </c>
      <c r="E119" s="13" t="inlineStr">
        <is>
          <t>How mature is the organization in managing tax compliance calendar and statutory reporting continuity, including ownership, evidence, metrics, fallback procedures and crisis stress testing?</t>
        </is>
      </c>
      <c r="F119" s="13" t="inlineStr">
        <is>
          <t>Immature capability for tax compliance calendar and statutory reporting continuity may lead to cash-flow stress, uncontrolled spend, supplier payment disruption and weak financial visibility during Financial liquidity crisis; Supplier disruption; Fraud risk.</t>
        </is>
      </c>
      <c r="G119" s="13" t="inlineStr">
        <is>
          <t>Low maturity, weak ownership, incomplete evidence, insufficient testing and poor integration with crisis-management routines for tax compliance calendar and statutory reporting continuity.</t>
        </is>
      </c>
      <c r="H119" s="13" t="inlineStr">
        <is>
          <t>Severe risk: tax compliance calendar and statutory reporting continuity is not reliably controlled. During Financial liquidity crisis; Supplier disruption; Fraud risk, the organization may face cash-flow stress, uncontrolled spend, supplier payment disruption and weak financial visibility with limited visibility or accountability.</t>
        </is>
      </c>
      <c r="I119" s="13" t="inlineStr">
        <is>
          <t>High risk: tax compliance calendar and statutory reporting continuity depends on informal practices or individual knowledge. Disruption may expose cash-flow stress, uncontrolled spend, supplier payment disruption and weak financial visibility and slow recovery.</t>
        </is>
      </c>
      <c r="J119" s="13" t="inlineStr">
        <is>
          <t>Elevated risk: tax compliance calendar and statutory reporting continuity is partially controlled, but coverage, evidence or testing is inconsistent. Crisis response may be fragmented.</t>
        </is>
      </c>
      <c r="K119" s="13" t="inlineStr">
        <is>
          <t>Moderate risk: tax compliance calendar and statutory reporting continuity is documented and owned, but measurement, stress testing and integration with dependent processes need strengthening.</t>
        </is>
      </c>
      <c r="L119" s="13" t="inlineStr">
        <is>
          <t>Residual risk: tax compliance calendar and statutory reporting continuity is measured and reviewed, but monitoring, automation or scenario testing should be improved to prevent maturity drift.</t>
        </is>
      </c>
      <c r="M119" s="13" t="inlineStr">
        <is>
          <t>Low residual risk: tax compliance calendar and statutory reporting continuity is mature and crisis-tested. Maintain monitoring, evidence, ownership and periodic stress testing.</t>
        </is>
      </c>
      <c r="N119" s="13" t="inlineStr">
        <is>
          <t>Create an immediate risk owner, minimum control baseline and fallback procedure for tax compliance calendar and statutory reporting continuity. Add it to the crisis risk register and collect first evidence.</t>
        </is>
      </c>
      <c r="O119" s="13" t="inlineStr">
        <is>
          <t>Document tax compliance calendar and statutory reporting continuity, assign RACI, define minimum controls and KPIs, and validate coverage across key sites, teams or systems.</t>
        </is>
      </c>
      <c r="P119" s="13" t="inlineStr">
        <is>
          <t>Standardize tax compliance calendar and statutory reporting continuity, close coverage gaps, train accountable roles and connect controls to the relevant crisis scenarios and continuity plans.</t>
        </is>
      </c>
      <c r="Q119" s="13" t="inlineStr">
        <is>
          <t>Measure and test tax compliance calendar and statutory reporting continuity, run tabletop or operational stress tests, integrate it with dependent processes and update crisis playbooks.</t>
        </is>
      </c>
      <c r="R119" s="13" t="inlineStr">
        <is>
          <t>Automate monitoring where practical, define leading indicators, run periodic scenario tests and track residual risk after each major change.</t>
        </is>
      </c>
      <c r="S119" s="13" t="inlineStr">
        <is>
          <t>Sustain maturity for tax compliance calendar and statutory reporting continuity: keep evidence current, monitor drift, benchmark externally and refresh risk tests after organizational, system or market changes.</t>
        </is>
      </c>
      <c r="T119" s="13" t="n">
        <v>3</v>
      </c>
      <c r="U119" s="13" t="n">
        <v>3</v>
      </c>
      <c r="V119" s="13" t="n">
        <v>2</v>
      </c>
      <c r="W119" s="13" t="n">
        <v>2</v>
      </c>
      <c r="X119" s="13" t="n">
        <v>1</v>
      </c>
      <c r="Y119" s="13" t="n">
        <v>1</v>
      </c>
      <c r="Z119" s="13" t="inlineStr">
        <is>
          <t>COSO Internal Control; COSO ERM; IFRS; ISO 20400; ISO 37001; CIPS</t>
        </is>
      </c>
      <c r="AA119" s="13" t="inlineStr">
        <is>
          <t>Policy/SOP; owner/RACI; system report; dashboard; contracts; test records; incident history; interview evidence related to tax compliance calendar and statutory reporting continuity.</t>
        </is>
      </c>
      <c r="AB119" s="13" t="inlineStr">
        <is>
          <t>Financial liquidity crisis; Supplier disruption; Fraud risk</t>
        </is>
      </c>
      <c r="AC119" s="13" t="inlineStr">
        <is>
          <t>CFO / Procurement</t>
        </is>
      </c>
      <c r="AD119" s="13" t="inlineStr">
        <is>
          <t>Finance Procurement!26</t>
        </is>
      </c>
      <c r="AE119">
        <f>IF($A119="","",IF(OR(ISNUMBER(SEARCH("cyber",$D119)),ISNUMBER(SEARCH("security",$D119)),ISNUMBER(SEARCH("safety",$D119)),ISNUMBER(SEARCH("liquidity",$D119)),ISNUMBER(SEARCH("cash",$D119)),ISNUMBER(SEARCH("continuity",$D119)),ISNUMBER(SEARCH("infrastructure",$D119)),ISNUMBER(SEARCH("outage",$D119))),"Fast",IF(OR(ISNUMBER(SEARCH("compliance",$D119)),ISNUMBER(SEARCH("regulat",$D119)),ISNUMBER(SEARCH("data",$D119)),ISNUMBER(SEARCH("talent",$D119)),ISNUMBER(SEARCH("knowledge",$D119)),ISNUMBER(SEARCH("portfolio",$D119)),ISNUMBER(SEARCH("quality",$D119))),"Slow","Medium")))</f>
        <v/>
      </c>
      <c r="AF119">
        <f>IF($A119="","",IFERROR(VLOOKUP($B119,'_CONFIG_Risk_Calibration'!$A$5:$H$21,2,FALSE),3))</f>
        <v/>
      </c>
      <c r="AG119">
        <f>IF($A119="","",IFERROR(VLOOKUP($B119,'_CONFIG_Risk_Calibration'!$A$5:$H$21,3,FALSE),0))</f>
        <v/>
      </c>
      <c r="AH119">
        <f>IF($A119="","",IFERROR(VLOOKUP($B119,'_CONFIG_Risk_Calibration'!$A$5:$H$21,4,FALSE),3))</f>
        <v/>
      </c>
      <c r="AI119">
        <f>IF($A119="","",IFERROR(VLOOKUP($B119,'_CONFIG_Risk_Calibration'!$A$5:$H$21,5,FALSE),3))</f>
        <v/>
      </c>
      <c r="AJ119">
        <f>IF($A119="","",IFERROR(VLOOKUP($B119,'_CONFIG_Risk_Calibration'!$A$5:$H$21,6,FALSE),"No"))</f>
        <v/>
      </c>
      <c r="AK119">
        <f>IF($A119="","",IFERROR(VLOOKUP($B119,'_CONFIG_Risk_Calibration'!$A$5:$H$21,7,FALSE),1))</f>
        <v/>
      </c>
      <c r="AL119">
        <f>IF($A119="","",IFERROR(VLOOKUP($B119,'_CONFIG_Risk_Calibration'!$A$5:$H$21,8,FALSE),""))</f>
        <v/>
      </c>
    </row>
    <row r="120" ht="72" customHeight="1" s="209">
      <c r="A120" s="13" t="inlineStr">
        <is>
          <t>FINA-024</t>
        </is>
      </c>
      <c r="B120" s="13" t="inlineStr">
        <is>
          <t>Finance Procurement</t>
        </is>
      </c>
      <c r="C120" s="13" t="inlineStr">
        <is>
          <t>Working capital</t>
        </is>
      </c>
      <c r="D120" s="13" t="inlineStr">
        <is>
          <t>Financial control and procurement resilience</t>
        </is>
      </c>
      <c r="E120" s="13" t="inlineStr">
        <is>
          <t>How mature is the organization in managing business interruption insurance fit against realistic recovery scenarios, including ownership, evidence, metrics, fallback procedures and crisis stress testing?</t>
        </is>
      </c>
      <c r="F120" s="13" t="inlineStr">
        <is>
          <t>Immature capability for business interruption insurance fit against realistic recovery scenarios may lead to cash-flow stress, uncontrolled spend, supplier payment disruption and weak financial visibility during Financial liquidity crisis; Supplier disruption; Fraud risk.</t>
        </is>
      </c>
      <c r="G120" s="13" t="inlineStr">
        <is>
          <t>Low maturity, weak ownership, incomplete evidence, insufficient testing and poor integration with crisis-management routines for business interruption insurance fit against realistic recovery scenarios.</t>
        </is>
      </c>
      <c r="H120" s="13" t="inlineStr">
        <is>
          <t>Severe risk: business interruption insurance fit against realistic recovery scenarios is not reliably controlled. During Financial liquidity crisis; Supplier disruption; Fraud risk, the organization may face cash-flow stress, uncontrolled spend, supplier payment disruption and weak financial visibility with limited visibility or accountability.</t>
        </is>
      </c>
      <c r="I120" s="13" t="inlineStr">
        <is>
          <t>High risk: business interruption insurance fit against realistic recovery scenarios depends on informal practices or individual knowledge. Disruption may expose cash-flow stress, uncontrolled spend, supplier payment disruption and weak financial visibility and slow recovery.</t>
        </is>
      </c>
      <c r="J120" s="13" t="inlineStr">
        <is>
          <t>Elevated risk: business interruption insurance fit against realistic recovery scenarios is partially controlled, but coverage, evidence or testing is inconsistent. Crisis response may be fragmented.</t>
        </is>
      </c>
      <c r="K120" s="13" t="inlineStr">
        <is>
          <t>Moderate risk: business interruption insurance fit against realistic recovery scenarios is documented and owned, but measurement, stress testing and integration with dependent processes need strengthening.</t>
        </is>
      </c>
      <c r="L120" s="13" t="inlineStr">
        <is>
          <t>Residual risk: business interruption insurance fit against realistic recovery scenarios is measured and reviewed, but monitoring, automation or scenario testing should be improved to prevent maturity drift.</t>
        </is>
      </c>
      <c r="M120" s="13" t="inlineStr">
        <is>
          <t>Low residual risk: business interruption insurance fit against realistic recovery scenarios is mature and crisis-tested. Maintain monitoring, evidence, ownership and periodic stress testing.</t>
        </is>
      </c>
      <c r="N120" s="13" t="inlineStr">
        <is>
          <t>Create an immediate risk owner, minimum control baseline and fallback procedure for business interruption insurance fit against realistic recovery scenarios. Add it to the crisis risk register and collect first evidence.</t>
        </is>
      </c>
      <c r="O120" s="13" t="inlineStr">
        <is>
          <t>Document business interruption insurance fit against realistic recovery scenarios, assign RACI, define minimum controls and KPIs, and validate coverage across key sites, teams or systems.</t>
        </is>
      </c>
      <c r="P120" s="13" t="inlineStr">
        <is>
          <t>Standardize business interruption insurance fit against realistic recovery scenarios, close coverage gaps, train accountable roles and connect controls to the relevant crisis scenarios and continuity plans.</t>
        </is>
      </c>
      <c r="Q120" s="13" t="inlineStr">
        <is>
          <t>Measure and test business interruption insurance fit against realistic recovery scenarios, run tabletop or operational stress tests, integrate it with dependent processes and update crisis playbooks.</t>
        </is>
      </c>
      <c r="R120" s="13" t="inlineStr">
        <is>
          <t>Automate monitoring where practical, define leading indicators, run periodic scenario tests and track residual risk after each major change.</t>
        </is>
      </c>
      <c r="S120" s="13" t="inlineStr">
        <is>
          <t>Sustain maturity for business interruption insurance fit against realistic recovery scenarios: keep evidence current, monitor drift, benchmark externally and refresh risk tests after organizational, system or market changes.</t>
        </is>
      </c>
      <c r="T120" s="13" t="n">
        <v>3</v>
      </c>
      <c r="U120" s="13" t="n">
        <v>3</v>
      </c>
      <c r="V120" s="13" t="n">
        <v>2</v>
      </c>
      <c r="W120" s="13" t="n">
        <v>2</v>
      </c>
      <c r="X120" s="13" t="n">
        <v>1</v>
      </c>
      <c r="Y120" s="13" t="n">
        <v>1</v>
      </c>
      <c r="Z120" s="13" t="inlineStr">
        <is>
          <t>COSO Internal Control; COSO ERM; IFRS; ISO 20400; ISO 37001; CIPS</t>
        </is>
      </c>
      <c r="AA120" s="13" t="inlineStr">
        <is>
          <t>Policy/SOP; owner/RACI; system report; dashboard; contracts; test records; incident history; interview evidence related to business interruption insurance fit against realistic recovery scenarios.</t>
        </is>
      </c>
      <c r="AB120" s="13" t="inlineStr">
        <is>
          <t>Financial liquidity crisis; Supplier disruption; Fraud risk</t>
        </is>
      </c>
      <c r="AC120" s="13" t="inlineStr">
        <is>
          <t>CFO / Procurement</t>
        </is>
      </c>
      <c r="AD120" s="13" t="inlineStr">
        <is>
          <t>Finance Procurement!27</t>
        </is>
      </c>
      <c r="AE120">
        <f>IF($A120="","",IF(OR(ISNUMBER(SEARCH("cyber",$D120)),ISNUMBER(SEARCH("security",$D120)),ISNUMBER(SEARCH("safety",$D120)),ISNUMBER(SEARCH("liquidity",$D120)),ISNUMBER(SEARCH("cash",$D120)),ISNUMBER(SEARCH("continuity",$D120)),ISNUMBER(SEARCH("infrastructure",$D120)),ISNUMBER(SEARCH("outage",$D120))),"Fast",IF(OR(ISNUMBER(SEARCH("compliance",$D120)),ISNUMBER(SEARCH("regulat",$D120)),ISNUMBER(SEARCH("data",$D120)),ISNUMBER(SEARCH("talent",$D120)),ISNUMBER(SEARCH("knowledge",$D120)),ISNUMBER(SEARCH("portfolio",$D120)),ISNUMBER(SEARCH("quality",$D120))),"Slow","Medium")))</f>
        <v/>
      </c>
      <c r="AF120">
        <f>IF($A120="","",IFERROR(VLOOKUP($B120,'_CONFIG_Risk_Calibration'!$A$5:$H$21,2,FALSE),3))</f>
        <v/>
      </c>
      <c r="AG120">
        <f>IF($A120="","",IFERROR(VLOOKUP($B120,'_CONFIG_Risk_Calibration'!$A$5:$H$21,3,FALSE),0))</f>
        <v/>
      </c>
      <c r="AH120">
        <f>IF($A120="","",IFERROR(VLOOKUP($B120,'_CONFIG_Risk_Calibration'!$A$5:$H$21,4,FALSE),3))</f>
        <v/>
      </c>
      <c r="AI120">
        <f>IF($A120="","",IFERROR(VLOOKUP($B120,'_CONFIG_Risk_Calibration'!$A$5:$H$21,5,FALSE),3))</f>
        <v/>
      </c>
      <c r="AJ120">
        <f>IF($A120="","",IFERROR(VLOOKUP($B120,'_CONFIG_Risk_Calibration'!$A$5:$H$21,6,FALSE),"No"))</f>
        <v/>
      </c>
      <c r="AK120">
        <f>IF($A120="","",IFERROR(VLOOKUP($B120,'_CONFIG_Risk_Calibration'!$A$5:$H$21,7,FALSE),1))</f>
        <v/>
      </c>
      <c r="AL120">
        <f>IF($A120="","",IFERROR(VLOOKUP($B120,'_CONFIG_Risk_Calibration'!$A$5:$H$21,8,FALSE),""))</f>
        <v/>
      </c>
    </row>
    <row r="121" ht="72" customHeight="1" s="209">
      <c r="A121" s="13" t="inlineStr">
        <is>
          <t>FINA-025</t>
        </is>
      </c>
      <c r="B121" s="13" t="inlineStr">
        <is>
          <t>Finance Procurement</t>
        </is>
      </c>
      <c r="C121" s="13" t="inlineStr">
        <is>
          <t>Financial resilience</t>
        </is>
      </c>
      <c r="D121" s="13" t="inlineStr">
        <is>
          <t>Financial flexibility and market risk</t>
        </is>
      </c>
      <c r="E121" s="13" t="inlineStr">
        <is>
          <t>How mature is the organization in managing currency risk management using natural hedges, contract indexation or hedging instruments, including ownership, evidence, metrics, fallback procedures and crisis stress testing?</t>
        </is>
      </c>
      <c r="F121" s="13" t="inlineStr">
        <is>
          <t>Immature capability for currency risk management using natural hedges, contract indexation or hedging instruments may lead to margin erosion from currency mismatch between revenue and cost base and unbudgeted FX losses during Financial/liquidity crisis; Demand shock.</t>
        </is>
      </c>
      <c r="G121" s="13" t="inlineStr">
        <is>
          <t>Low maturity, weak ownership, incomplete evidence, insufficient testing and poor integration with crisis-management routines for currency risk management using natural hedges, contract indexation or hedging instruments.</t>
        </is>
      </c>
      <c r="H121" s="13" t="inlineStr">
        <is>
          <t>Severe risk: currency risk management using natural hedges, contract indexation or hedging instruments is not reliably controlled. During Financial/liquidity crisis; Demand shock, the organization may face margin erosion from currency mismatch between revenue and cost base and unbudgeted FX losses with limited visibility or accountability.</t>
        </is>
      </c>
      <c r="I121" s="13" t="inlineStr">
        <is>
          <t>High risk: currency risk management using natural hedges, contract indexation or hedging instruments depends on informal practices or individual knowledge. Disruption may expose margin erosion from currency mismatch between revenue and cost base and unbudgeted FX losses and slow recovery.</t>
        </is>
      </c>
      <c r="J121" s="13" t="inlineStr">
        <is>
          <t>Elevated risk: currency risk management using natural hedges, contract indexation or hedging instruments is partially controlled, but coverage, evidence or testing is inconsistent. Crisis response may be fragmented.</t>
        </is>
      </c>
      <c r="K121" s="13" t="inlineStr">
        <is>
          <t>Moderate risk: currency risk management using natural hedges, contract indexation or hedging instruments is documented and owned, but measurement, stress testing and integration with dependent processes need strengthening.</t>
        </is>
      </c>
      <c r="L121" s="13" t="inlineStr">
        <is>
          <t>Residual risk: currency risk management using natural hedges, contract indexation or hedging instruments is measured and reviewed, but monitoring, automation or scenario testing should be improved to prevent maturity drift.</t>
        </is>
      </c>
      <c r="M121" s="13" t="inlineStr">
        <is>
          <t>Low residual risk: currency risk management using natural hedges, contract indexation or hedging instruments is mature and crisis-tested. Maintain monitoring, evidence, ownership and periodic stress testing.</t>
        </is>
      </c>
      <c r="N121" s="13" t="inlineStr">
        <is>
          <t>Create an immediate risk owner, minimum control baseline and fallback procedure for currency risk management using natural hedges, contract indexation or hedging instruments. Add it to the crisis risk register and collect first evidence.</t>
        </is>
      </c>
      <c r="O121" s="13" t="inlineStr">
        <is>
          <t>Document currency risk management using natural hedges, contract indexation or hedging instruments, assign RACI, define minimum controls and KPIs, and validate coverage across key sites, teams or systems.</t>
        </is>
      </c>
      <c r="P121" s="13" t="inlineStr">
        <is>
          <t>Standardize currency risk management using natural hedges, contract indexation or hedging instruments, close coverage gaps, train accountable roles and connect controls to the relevant crisis scenarios and continuity plans.</t>
        </is>
      </c>
      <c r="Q121" s="13" t="inlineStr">
        <is>
          <t>Measure and test currency risk management using natural hedges, contract indexation or hedging instruments, run tabletop or operational stress tests, integrate it with dependent processes and update crisis playbooks.</t>
        </is>
      </c>
      <c r="R121" s="13" t="inlineStr">
        <is>
          <t>Automate monitoring where practical, define leading indicators, run periodic scenario tests and track residual risk after each major change.</t>
        </is>
      </c>
      <c r="S121" s="13" t="inlineStr">
        <is>
          <t>Sustain maturity for currency risk management using natural hedges, contract indexation or hedging instruments: keep evidence current, monitor drift, benchmark externally and refresh risk tests after organizational, system or market changes.</t>
        </is>
      </c>
      <c r="T121" s="13" t="n">
        <v>3</v>
      </c>
      <c r="U121" s="13" t="n">
        <v>3</v>
      </c>
      <c r="V121" s="13" t="n">
        <v>2</v>
      </c>
      <c r="W121" s="13" t="n">
        <v>2</v>
      </c>
      <c r="X121" s="13" t="n">
        <v>1</v>
      </c>
      <c r="Y121" s="13" t="n">
        <v>1</v>
      </c>
      <c r="Z121" s="13" t="inlineStr">
        <is>
          <t>COSO; IFRS; treasury management practices</t>
        </is>
      </c>
      <c r="AA121" s="13" t="inlineStr">
        <is>
          <t>Policy/SOP; owner/RACI; system report; dashboard; contracts; test records; incident history; interview evidence related to currency risk management using natural hedges, contract indexation or hedging instruments</t>
        </is>
      </c>
      <c r="AB121" s="13" t="inlineStr">
        <is>
          <t>Financial/liquidity crisis; Demand shock</t>
        </is>
      </c>
      <c r="AC121" s="13" t="inlineStr">
        <is>
          <t>CFO</t>
        </is>
      </c>
      <c r="AD121" s="13" t="inlineStr">
        <is>
          <t>Finance Procurement!28</t>
        </is>
      </c>
      <c r="AE121">
        <f>IF($A121="","",IF(OR(ISNUMBER(SEARCH("cyber",$D121)),ISNUMBER(SEARCH("security",$D121)),ISNUMBER(SEARCH("safety",$D121)),ISNUMBER(SEARCH("liquidity",$D121)),ISNUMBER(SEARCH("cash",$D121)),ISNUMBER(SEARCH("continuity",$D121)),ISNUMBER(SEARCH("infrastructure",$D121)),ISNUMBER(SEARCH("outage",$D121))),"Fast",IF(OR(ISNUMBER(SEARCH("compliance",$D121)),ISNUMBER(SEARCH("regulat",$D121)),ISNUMBER(SEARCH("data",$D121)),ISNUMBER(SEARCH("talent",$D121)),ISNUMBER(SEARCH("knowledge",$D121)),ISNUMBER(SEARCH("portfolio",$D121)),ISNUMBER(SEARCH("quality",$D121))),"Slow","Medium")))</f>
        <v/>
      </c>
      <c r="AF121">
        <f>IF($A121="","",IFERROR(VLOOKUP($B121,'_CONFIG_Risk_Calibration'!$A$5:$H$21,2,FALSE),3))</f>
        <v/>
      </c>
      <c r="AG121">
        <f>IF($A121="","",IFERROR(VLOOKUP($B121,'_CONFIG_Risk_Calibration'!$A$5:$H$21,3,FALSE),0))</f>
        <v/>
      </c>
      <c r="AH121">
        <f>IF($A121="","",IFERROR(VLOOKUP($B121,'_CONFIG_Risk_Calibration'!$A$5:$H$21,4,FALSE),3))</f>
        <v/>
      </c>
      <c r="AI121">
        <f>IF($A121="","",IFERROR(VLOOKUP($B121,'_CONFIG_Risk_Calibration'!$A$5:$H$21,5,FALSE),3))</f>
        <v/>
      </c>
      <c r="AJ121">
        <f>IF($A121="","",IFERROR(VLOOKUP($B121,'_CONFIG_Risk_Calibration'!$A$5:$H$21,6,FALSE),"No"))</f>
        <v/>
      </c>
      <c r="AK121">
        <f>IF($A121="","",IFERROR(VLOOKUP($B121,'_CONFIG_Risk_Calibration'!$A$5:$H$21,7,FALSE),1))</f>
        <v/>
      </c>
      <c r="AL121">
        <f>IF($A121="","",IFERROR(VLOOKUP($B121,'_CONFIG_Risk_Calibration'!$A$5:$H$21,8,FALSE),""))</f>
        <v/>
      </c>
    </row>
    <row r="122" ht="72" customHeight="1" s="209">
      <c r="A122" s="13" t="inlineStr">
        <is>
          <t>FINA-026</t>
        </is>
      </c>
      <c r="B122" s="13" t="inlineStr">
        <is>
          <t>Finance Procurement</t>
        </is>
      </c>
      <c r="C122" s="13" t="inlineStr">
        <is>
          <t>Financial resilience</t>
        </is>
      </c>
      <c r="D122" s="13" t="inlineStr">
        <is>
          <t>Financial flexibility and market risk</t>
        </is>
      </c>
      <c r="E122" s="13" t="inlineStr">
        <is>
          <t>How mature is the organization in managing cost structure flexibility with fixed-to-variable ratio visibility and cost reduction levers ranked by speed and impact, including ownership, evidence, metrics, fallback procedures and crisis stress testing?</t>
        </is>
      </c>
      <c r="F122" s="13" t="inlineStr">
        <is>
          <t>Immature capability for cost structure flexibility with fixed-to-variable ratio visibility and cost reduction levers ranked by speed and impact may lead to slow and unfocused cost response to revenue decline and overcutting of value-critical spend during Financial/liquidity crisis; Demand shock.</t>
        </is>
      </c>
      <c r="G122" s="13" t="inlineStr">
        <is>
          <t>Low maturity, weak ownership, incomplete evidence, insufficient testing and poor integration with crisis-management routines for cost structure flexibility with fixed-to-variable ratio visibility and cost reduction levers ranked by speed and impact.</t>
        </is>
      </c>
      <c r="H122" s="13" t="inlineStr">
        <is>
          <t>Severe risk: cost structure flexibility with fixed-to-variable ratio visibility and cost reduction levers ranked by speed and impact is not reliably controlled. During Financial/liquidity crisis; Demand shock, the organization may face slow and unfocused cost response to revenue decline and overcutting of value-critical spend with limited visibility or accountability.</t>
        </is>
      </c>
      <c r="I122" s="13" t="inlineStr">
        <is>
          <t>High risk: cost structure flexibility with fixed-to-variable ratio visibility and cost reduction levers ranked by speed and impact depends on informal practices or individual knowledge. Disruption may expose slow and unfocused cost response to revenue decline and overcutting of value-critical spend and slow recovery.</t>
        </is>
      </c>
      <c r="J122" s="13" t="inlineStr">
        <is>
          <t>Elevated risk: cost structure flexibility with fixed-to-variable ratio visibility and cost reduction levers ranked by speed and impact is partially controlled, but coverage, evidence or testing is inconsistent. Crisis response may be fragmented.</t>
        </is>
      </c>
      <c r="K122" s="13" t="inlineStr">
        <is>
          <t>Moderate risk: cost structure flexibility with fixed-to-variable ratio visibility and cost reduction levers ranked by speed and impact is documented and owned, but measurement, stress testing and integration with dependent processes need strengthening.</t>
        </is>
      </c>
      <c r="L122" s="13" t="inlineStr">
        <is>
          <t>Residual risk: cost structure flexibility with fixed-to-variable ratio visibility and cost reduction levers ranked by speed and impact is measured and reviewed, but monitoring, automation or scenario testing should be improved to prevent maturity drift.</t>
        </is>
      </c>
      <c r="M122" s="13" t="inlineStr">
        <is>
          <t>Low residual risk: cost structure flexibility with fixed-to-variable ratio visibility and cost reduction levers ranked by speed and impact is mature and crisis-tested. Maintain monitoring, evidence, ownership and periodic stress testing.</t>
        </is>
      </c>
      <c r="N122" s="13" t="inlineStr">
        <is>
          <t>Create an immediate risk owner, minimum control baseline and fallback procedure for cost structure flexibility with fixed-to-variable ratio visibility and cost reduction levers ranked by speed and impact. Add it to the crisis risk register and collect first evidence.</t>
        </is>
      </c>
      <c r="O122" s="13" t="inlineStr">
        <is>
          <t>Document cost structure flexibility with fixed-to-variable ratio visibility and cost reduction levers ranked by speed and impact, assign RACI, define minimum controls and KPIs, and validate coverage across key sites, teams or systems.</t>
        </is>
      </c>
      <c r="P122" s="13" t="inlineStr">
        <is>
          <t>Standardize cost structure flexibility with fixed-to-variable ratio visibility and cost reduction levers ranked by speed and impact, close coverage gaps, train accountable roles and connect controls to the relevant crisis scenarios and continuity plans.</t>
        </is>
      </c>
      <c r="Q122" s="13" t="inlineStr">
        <is>
          <t>Measure and test cost structure flexibility with fixed-to-variable ratio visibility and cost reduction levers ranked by speed and impact, run tabletop or operational stress tests, integrate it with dependent processes and update crisis playbooks.</t>
        </is>
      </c>
      <c r="R122" s="13" t="inlineStr">
        <is>
          <t>Automate monitoring where practical, define leading indicators, run periodic scenario tests and track residual risk after each major change.</t>
        </is>
      </c>
      <c r="S122" s="13" t="inlineStr">
        <is>
          <t>Sustain maturity for cost structure flexibility with fixed-to-variable ratio visibility and cost reduction levers ranked by speed and impact: keep evidence current, monitor drift, benchmark externally and refresh risk tests after organizational, system or market changes.</t>
        </is>
      </c>
      <c r="T122" s="13" t="n">
        <v>2</v>
      </c>
      <c r="U122" s="13" t="n">
        <v>2</v>
      </c>
      <c r="V122" s="13" t="n">
        <v>2</v>
      </c>
      <c r="W122" s="13" t="n">
        <v>2</v>
      </c>
      <c r="X122" s="13" t="n">
        <v>1</v>
      </c>
      <c r="Y122" s="13" t="n">
        <v>1</v>
      </c>
      <c r="Z122" s="13" t="inlineStr">
        <is>
          <t>driver-based planning practices; COSO</t>
        </is>
      </c>
      <c r="AA122" s="13" t="inlineStr">
        <is>
          <t>Policy/SOP; owner/RACI; system report; dashboard; contracts; test records; incident history; interview evidence related to cost structure flexibility with fixed-to-variable ratio visibility and cost reduction levers ranked by speed and impact</t>
        </is>
      </c>
      <c r="AB122" s="13" t="inlineStr">
        <is>
          <t>Financial/liquidity crisis; Demand shock</t>
        </is>
      </c>
      <c r="AC122" s="13" t="inlineStr">
        <is>
          <t>CFO</t>
        </is>
      </c>
      <c r="AD122" s="13" t="inlineStr">
        <is>
          <t>Finance Procurement!29</t>
        </is>
      </c>
      <c r="AE122">
        <f>IF($A122="","",IF(OR(ISNUMBER(SEARCH("cyber",$D122)),ISNUMBER(SEARCH("security",$D122)),ISNUMBER(SEARCH("safety",$D122)),ISNUMBER(SEARCH("liquidity",$D122)),ISNUMBER(SEARCH("cash",$D122)),ISNUMBER(SEARCH("continuity",$D122)),ISNUMBER(SEARCH("infrastructure",$D122)),ISNUMBER(SEARCH("outage",$D122))),"Fast",IF(OR(ISNUMBER(SEARCH("compliance",$D122)),ISNUMBER(SEARCH("regulat",$D122)),ISNUMBER(SEARCH("data",$D122)),ISNUMBER(SEARCH("talent",$D122)),ISNUMBER(SEARCH("knowledge",$D122)),ISNUMBER(SEARCH("portfolio",$D122)),ISNUMBER(SEARCH("quality",$D122))),"Slow","Medium")))</f>
        <v/>
      </c>
      <c r="AF122">
        <f>IF($A122="","",IFERROR(VLOOKUP($B122,'_CONFIG_Risk_Calibration'!$A$5:$H$21,2,FALSE),3))</f>
        <v/>
      </c>
      <c r="AG122">
        <f>IF($A122="","",IFERROR(VLOOKUP($B122,'_CONFIG_Risk_Calibration'!$A$5:$H$21,3,FALSE),0))</f>
        <v/>
      </c>
      <c r="AH122">
        <f>IF($A122="","",IFERROR(VLOOKUP($B122,'_CONFIG_Risk_Calibration'!$A$5:$H$21,4,FALSE),3))</f>
        <v/>
      </c>
      <c r="AI122">
        <f>IF($A122="","",IFERROR(VLOOKUP($B122,'_CONFIG_Risk_Calibration'!$A$5:$H$21,5,FALSE),3))</f>
        <v/>
      </c>
      <c r="AJ122">
        <f>IF($A122="","",IFERROR(VLOOKUP($B122,'_CONFIG_Risk_Calibration'!$A$5:$H$21,6,FALSE),"No"))</f>
        <v/>
      </c>
      <c r="AK122">
        <f>IF($A122="","",IFERROR(VLOOKUP($B122,'_CONFIG_Risk_Calibration'!$A$5:$H$21,7,FALSE),1))</f>
        <v/>
      </c>
      <c r="AL122">
        <f>IF($A122="","",IFERROR(VLOOKUP($B122,'_CONFIG_Risk_Calibration'!$A$5:$H$21,8,FALSE),""))</f>
        <v/>
      </c>
    </row>
    <row r="123" ht="72" customHeight="1" s="209">
      <c r="A123" s="13" t="inlineStr">
        <is>
          <t>FINA-027</t>
        </is>
      </c>
      <c r="B123" s="13" t="inlineStr">
        <is>
          <t>Finance Procurement</t>
        </is>
      </c>
      <c r="C123" s="13" t="inlineStr">
        <is>
          <t>Working capital</t>
        </is>
      </c>
      <c r="D123" s="13" t="inlineStr">
        <is>
          <t>Financial flexibility and market risk</t>
        </is>
      </c>
      <c r="E123" s="13" t="inlineStr">
        <is>
          <t>How mature is the organization in managing customer credit risk assessment with credit checks, limits and payment terms control before contracting, including ownership, evidence, metrics, fallback procedures and crisis stress testing?</t>
        </is>
      </c>
      <c r="F123" s="13" t="inlineStr">
        <is>
          <t>Immature capability for customer credit risk assessment with credit checks, limits and payment terms control before contracting may lead to revenue converted into bad debt, cash gaps from defaulting customers and unpriced credit exposure during Financial/liquidity crisis; Key customer loss.</t>
        </is>
      </c>
      <c r="G123" s="13" t="inlineStr">
        <is>
          <t>Low maturity, weak ownership, incomplete evidence, insufficient testing and poor integration with crisis-management routines for customer credit risk assessment with credit checks, limits and payment terms control before contracting.</t>
        </is>
      </c>
      <c r="H123" s="13" t="inlineStr">
        <is>
          <t>Severe risk: customer credit risk assessment with credit checks, limits and payment terms control before contracting is not reliably controlled. During Financial/liquidity crisis; Key customer loss, the organization may face revenue converted into bad debt, cash gaps from defaulting customers and unpriced credit exposure with limited visibility or accountability.</t>
        </is>
      </c>
      <c r="I123" s="13" t="inlineStr">
        <is>
          <t>High risk: customer credit risk assessment with credit checks, limits and payment terms control before contracting depends on informal practices or individual knowledge. Disruption may expose revenue converted into bad debt, cash gaps from defaulting customers and unpriced credit exposure and slow recovery.</t>
        </is>
      </c>
      <c r="J123" s="13" t="inlineStr">
        <is>
          <t>Elevated risk: customer credit risk assessment with credit checks, limits and payment terms control before contracting is partially controlled, but coverage, evidence or testing is inconsistent. Crisis response may be fragmented.</t>
        </is>
      </c>
      <c r="K123" s="13" t="inlineStr">
        <is>
          <t>Moderate risk: customer credit risk assessment with credit checks, limits and payment terms control before contracting is documented and owned, but measurement, stress testing and integration with dependent processes need strengthening.</t>
        </is>
      </c>
      <c r="L123" s="13" t="inlineStr">
        <is>
          <t>Residual risk: customer credit risk assessment with credit checks, limits and payment terms control before contracting is measured and reviewed, but monitoring, automation or scenario testing should be improved to prevent maturity drift.</t>
        </is>
      </c>
      <c r="M123" s="13" t="inlineStr">
        <is>
          <t>Low residual risk: customer credit risk assessment with credit checks, limits and payment terms control before contracting is mature and crisis-tested. Maintain monitoring, evidence, ownership and periodic stress testing.</t>
        </is>
      </c>
      <c r="N123" s="13" t="inlineStr">
        <is>
          <t>Create an immediate risk owner, minimum control baseline and fallback procedure for customer credit risk assessment with credit checks, limits and payment terms control before contracting. Add it to the crisis risk register and collect first evidence.</t>
        </is>
      </c>
      <c r="O123" s="13" t="inlineStr">
        <is>
          <t>Document customer credit risk assessment with credit checks, limits and payment terms control before contracting, assign RACI, define minimum controls and KPIs, and validate coverage across key sites, teams or systems.</t>
        </is>
      </c>
      <c r="P123" s="13" t="inlineStr">
        <is>
          <t>Standardize customer credit risk assessment with credit checks, limits and payment terms control before contracting, close coverage gaps, train accountable roles and connect controls to the relevant crisis scenarios and continuity plans.</t>
        </is>
      </c>
      <c r="Q123" s="13" t="inlineStr">
        <is>
          <t>Measure and test customer credit risk assessment with credit checks, limits and payment terms control before contracting, run tabletop or operational stress tests, integrate it with dependent processes and update crisis playbooks.</t>
        </is>
      </c>
      <c r="R123" s="13" t="inlineStr">
        <is>
          <t>Automate monitoring where practical, define leading indicators, run periodic scenario tests and track residual risk after each major change.</t>
        </is>
      </c>
      <c r="S123" s="13" t="inlineStr">
        <is>
          <t>Sustain maturity for customer credit risk assessment with credit checks, limits and payment terms control before contracting: keep evidence current, monitor drift, benchmark externally and refresh risk tests after organizational, system or market changes.</t>
        </is>
      </c>
      <c r="T123" s="13" t="n">
        <v>2</v>
      </c>
      <c r="U123" s="13" t="n">
        <v>2</v>
      </c>
      <c r="V123" s="13" t="n">
        <v>2</v>
      </c>
      <c r="W123" s="13" t="n">
        <v>2</v>
      </c>
      <c r="X123" s="13" t="n">
        <v>1</v>
      </c>
      <c r="Y123" s="13" t="n">
        <v>1</v>
      </c>
      <c r="Z123" s="13" t="inlineStr">
        <is>
          <t>credit management practices; COSO</t>
        </is>
      </c>
      <c r="AA123" s="13" t="inlineStr">
        <is>
          <t>Policy/SOP; owner/RACI; system report; dashboard; contracts; test records; incident history; interview evidence related to customer credit risk assessment with credit checks, limits and payment terms control before contracting</t>
        </is>
      </c>
      <c r="AB123" s="13" t="inlineStr">
        <is>
          <t>Financial/liquidity crisis; Key customer loss</t>
        </is>
      </c>
      <c r="AC123" s="13" t="inlineStr">
        <is>
          <t>CFO / Sales</t>
        </is>
      </c>
      <c r="AD123" s="13" t="inlineStr">
        <is>
          <t>Finance Procurement!30</t>
        </is>
      </c>
      <c r="AE123">
        <f>IF($A123="","",IF(OR(ISNUMBER(SEARCH("cyber",$D123)),ISNUMBER(SEARCH("security",$D123)),ISNUMBER(SEARCH("safety",$D123)),ISNUMBER(SEARCH("liquidity",$D123)),ISNUMBER(SEARCH("cash",$D123)),ISNUMBER(SEARCH("continuity",$D123)),ISNUMBER(SEARCH("infrastructure",$D123)),ISNUMBER(SEARCH("outage",$D123))),"Fast",IF(OR(ISNUMBER(SEARCH("compliance",$D123)),ISNUMBER(SEARCH("regulat",$D123)),ISNUMBER(SEARCH("data",$D123)),ISNUMBER(SEARCH("talent",$D123)),ISNUMBER(SEARCH("knowledge",$D123)),ISNUMBER(SEARCH("portfolio",$D123)),ISNUMBER(SEARCH("quality",$D123))),"Slow","Medium")))</f>
        <v/>
      </c>
      <c r="AF123">
        <f>IF($A123="","",IFERROR(VLOOKUP($B123,'_CONFIG_Risk_Calibration'!$A$5:$H$21,2,FALSE),3))</f>
        <v/>
      </c>
      <c r="AG123">
        <f>IF($A123="","",IFERROR(VLOOKUP($B123,'_CONFIG_Risk_Calibration'!$A$5:$H$21,3,FALSE),0))</f>
        <v/>
      </c>
      <c r="AH123">
        <f>IF($A123="","",IFERROR(VLOOKUP($B123,'_CONFIG_Risk_Calibration'!$A$5:$H$21,4,FALSE),3))</f>
        <v/>
      </c>
      <c r="AI123">
        <f>IF($A123="","",IFERROR(VLOOKUP($B123,'_CONFIG_Risk_Calibration'!$A$5:$H$21,5,FALSE),3))</f>
        <v/>
      </c>
      <c r="AJ123">
        <f>IF($A123="","",IFERROR(VLOOKUP($B123,'_CONFIG_Risk_Calibration'!$A$5:$H$21,6,FALSE),"No"))</f>
        <v/>
      </c>
      <c r="AK123">
        <f>IF($A123="","",IFERROR(VLOOKUP($B123,'_CONFIG_Risk_Calibration'!$A$5:$H$21,7,FALSE),1))</f>
        <v/>
      </c>
      <c r="AL123">
        <f>IF($A123="","",IFERROR(VLOOKUP($B123,'_CONFIG_Risk_Calibration'!$A$5:$H$21,8,FALSE),""))</f>
        <v/>
      </c>
    </row>
    <row r="124" ht="72" customHeight="1" s="209">
      <c r="A124" s="13" t="inlineStr">
        <is>
          <t>LEGA-001</t>
        </is>
      </c>
      <c r="B124" s="13" t="inlineStr">
        <is>
          <t>Legal Risk</t>
        </is>
      </c>
      <c r="C124" s="13" t="inlineStr">
        <is>
          <t>Compliance</t>
        </is>
      </c>
      <c r="D124" s="13" t="inlineStr">
        <is>
          <t>Legal, compliance and contractual exposure</t>
        </is>
      </c>
      <c r="E124" s="13" t="inlineStr">
        <is>
          <t>How mature is the organization in managing compliance obligations register by jurisdiction, license, customer, industry and function, including ownership, evidence, metrics, fallback procedures and crisis stress testing?</t>
        </is>
      </c>
      <c r="F124" s="13" t="inlineStr">
        <is>
          <t>Immature capability for compliance obligations register by jurisdiction, license, customer, industry and function may lead to contractual disputes, compliance breaches, regulatory penalties and delayed legal response during Regulatory/legal shock; Contractual exposure; Data breach.</t>
        </is>
      </c>
      <c r="G124" s="13" t="inlineStr">
        <is>
          <t>Low maturity, weak ownership, incomplete evidence, insufficient testing and poor integration with crisis-management routines for compliance obligations register by jurisdiction, license, customer, industry and function.</t>
        </is>
      </c>
      <c r="H124" s="13" t="inlineStr">
        <is>
          <t>Severe risk: compliance obligations register by jurisdiction, license, customer, industry and function is not reliably controlled. During Regulatory/legal shock; Contractual exposure; Data breach, the organization may face contractual disputes, compliance breaches, regulatory penalties and delayed legal response with limited visibility or accountability.</t>
        </is>
      </c>
      <c r="I124" s="13" t="inlineStr">
        <is>
          <t>High risk: compliance obligations register by jurisdiction, license, customer, industry and function depends on informal practices or individual knowledge. Disruption may expose contractual disputes, compliance breaches, regulatory penalties and delayed legal response and slow recovery.</t>
        </is>
      </c>
      <c r="J124" s="13" t="inlineStr">
        <is>
          <t>Elevated risk: compliance obligations register by jurisdiction, license, customer, industry and function is partially controlled, but coverage, evidence or testing is inconsistent. Crisis response may be fragmented.</t>
        </is>
      </c>
      <c r="K124" s="13" t="inlineStr">
        <is>
          <t>Moderate risk: compliance obligations register by jurisdiction, license, customer, industry and function is documented and owned, but measurement, stress testing and integration with dependent processes need strengthening.</t>
        </is>
      </c>
      <c r="L124" s="13" t="inlineStr">
        <is>
          <t>Residual risk: compliance obligations register by jurisdiction, license, customer, industry and function is measured and reviewed, but monitoring, automation or scenario testing should be improved to prevent maturity drift.</t>
        </is>
      </c>
      <c r="M124" s="13" t="inlineStr">
        <is>
          <t>Low residual risk: compliance obligations register by jurisdiction, license, customer, industry and function is mature and crisis-tested. Maintain monitoring, evidence, ownership and periodic stress testing.</t>
        </is>
      </c>
      <c r="N124" s="13" t="inlineStr">
        <is>
          <t>Create an immediate risk owner, minimum control baseline and fallback procedure for compliance obligations register by jurisdiction, license, customer, industry and function. Add it to the crisis risk register and collect first evidence.</t>
        </is>
      </c>
      <c r="O124" s="13" t="inlineStr">
        <is>
          <t>Document compliance obligations register by jurisdiction, license, customer, industry and function, assign RACI, define minimum controls and KPIs, and validate coverage across key sites, teams or systems.</t>
        </is>
      </c>
      <c r="P124" s="13" t="inlineStr">
        <is>
          <t>Standardize compliance obligations register by jurisdiction, license, customer, industry and function, close coverage gaps, train accountable roles and connect controls to the relevant crisis scenarios and continuity plans.</t>
        </is>
      </c>
      <c r="Q124" s="13" t="inlineStr">
        <is>
          <t>Measure and test compliance obligations register by jurisdiction, license, customer, industry and function, run tabletop or operational stress tests, integrate it with dependent processes and update crisis playbooks.</t>
        </is>
      </c>
      <c r="R124" s="13" t="inlineStr">
        <is>
          <t>Automate monitoring where practical, define leading indicators, run periodic scenario tests and track residual risk after each major change.</t>
        </is>
      </c>
      <c r="S124" s="13" t="inlineStr">
        <is>
          <t>Sustain maturity for compliance obligations register by jurisdiction, license, customer, industry and function: keep evidence current, monitor drift, benchmark externally and refresh risk tests after organizational, system or market changes.</t>
        </is>
      </c>
      <c r="T124" s="13" t="n">
        <v>3</v>
      </c>
      <c r="U124" s="13" t="n">
        <v>3</v>
      </c>
      <c r="V124" s="13" t="n">
        <v>2</v>
      </c>
      <c r="W124" s="13" t="n">
        <v>2</v>
      </c>
      <c r="X124" s="13" t="n">
        <v>1</v>
      </c>
      <c r="Y124" s="13" t="n">
        <v>1</v>
      </c>
      <c r="Z124" s="13" t="inlineStr">
        <is>
          <t>ISO 37301; ISO 31000; ISO 37001; ISO/IEC 27701; GDPR; contract management best practices</t>
        </is>
      </c>
      <c r="AA124" s="13" t="inlineStr">
        <is>
          <t>Policy/SOP; owner/RACI; system report; dashboard; contracts; test records; incident history; interview evidence related to compliance obligations register by jurisdiction, license, customer, industry and function.</t>
        </is>
      </c>
      <c r="AB124" s="13" t="inlineStr">
        <is>
          <t>Regulatory/legal shock; Contractual exposure; Data breach</t>
        </is>
      </c>
      <c r="AC124" s="13" t="inlineStr">
        <is>
          <t>Legal / Compliance</t>
        </is>
      </c>
      <c r="AD124" s="13" t="inlineStr">
        <is>
          <t>Legal Risk!5</t>
        </is>
      </c>
      <c r="AE124">
        <f>IF($A124="","",IF(OR(ISNUMBER(SEARCH("cyber",$D124)),ISNUMBER(SEARCH("security",$D124)),ISNUMBER(SEARCH("safety",$D124)),ISNUMBER(SEARCH("liquidity",$D124)),ISNUMBER(SEARCH("cash",$D124)),ISNUMBER(SEARCH("continuity",$D124)),ISNUMBER(SEARCH("infrastructure",$D124)),ISNUMBER(SEARCH("outage",$D124))),"Fast",IF(OR(ISNUMBER(SEARCH("compliance",$D124)),ISNUMBER(SEARCH("regulat",$D124)),ISNUMBER(SEARCH("data",$D124)),ISNUMBER(SEARCH("talent",$D124)),ISNUMBER(SEARCH("knowledge",$D124)),ISNUMBER(SEARCH("portfolio",$D124)),ISNUMBER(SEARCH("quality",$D124))),"Slow","Medium")))</f>
        <v/>
      </c>
      <c r="AF124">
        <f>IF($A124="","",IFERROR(VLOOKUP($B124,'_CONFIG_Risk_Calibration'!$A$5:$H$21,2,FALSE),3))</f>
        <v/>
      </c>
      <c r="AG124">
        <f>IF($A124="","",IFERROR(VLOOKUP($B124,'_CONFIG_Risk_Calibration'!$A$5:$H$21,3,FALSE),0))</f>
        <v/>
      </c>
      <c r="AH124">
        <f>IF($A124="","",IFERROR(VLOOKUP($B124,'_CONFIG_Risk_Calibration'!$A$5:$H$21,4,FALSE),3))</f>
        <v/>
      </c>
      <c r="AI124">
        <f>IF($A124="","",IFERROR(VLOOKUP($B124,'_CONFIG_Risk_Calibration'!$A$5:$H$21,5,FALSE),3))</f>
        <v/>
      </c>
      <c r="AJ124">
        <f>IF($A124="","",IFERROR(VLOOKUP($B124,'_CONFIG_Risk_Calibration'!$A$5:$H$21,6,FALSE),"No"))</f>
        <v/>
      </c>
      <c r="AK124">
        <f>IF($A124="","",IFERROR(VLOOKUP($B124,'_CONFIG_Risk_Calibration'!$A$5:$H$21,7,FALSE),1))</f>
        <v/>
      </c>
      <c r="AL124">
        <f>IF($A124="","",IFERROR(VLOOKUP($B124,'_CONFIG_Risk_Calibration'!$A$5:$H$21,8,FALSE),""))</f>
        <v/>
      </c>
    </row>
    <row r="125" ht="84" customHeight="1" s="209">
      <c r="A125" s="13" t="inlineStr">
        <is>
          <t>LEGA-002</t>
        </is>
      </c>
      <c r="B125" s="13" t="inlineStr">
        <is>
          <t>Legal Risk</t>
        </is>
      </c>
      <c r="C125" s="13" t="inlineStr">
        <is>
          <t>Compliance</t>
        </is>
      </c>
      <c r="D125" s="13" t="inlineStr">
        <is>
          <t>Legal, compliance and contractual exposure</t>
        </is>
      </c>
      <c r="E125" s="13" t="inlineStr">
        <is>
          <t>How mature is the organization in managing regulatory reporting calendar and emergency reporting triggers for cyber, safety, finance, environment and privacy, including ownership, evidence, metrics, fallback procedures and crisis stress testing?</t>
        </is>
      </c>
      <c r="F125" s="13" t="inlineStr">
        <is>
          <t>Immature capability for regulatory reporting calendar and emergency reporting triggers for cyber, safety, finance, environment and privacy may lead to contractual disputes, compliance breaches, regulatory penalties and delayed legal response during Regulatory/legal shock; Contractual exposure; Data breach.</t>
        </is>
      </c>
      <c r="G125" s="13" t="inlineStr">
        <is>
          <t>Low maturity, weak ownership, incomplete evidence, insufficient testing and poor integration with crisis-management routines for regulatory reporting calendar and emergency reporting triggers for cyber, safety, finance, environment and privacy.</t>
        </is>
      </c>
      <c r="H125" s="13" t="inlineStr">
        <is>
          <t>Severe risk: regulatory reporting calendar and emergency reporting triggers for cyber, safety, finance, environment and privacy is not reliably controlled. During Regulatory/legal shock; Contractual exposure; Data breach, the organization may face contractual disputes, compliance breaches, regulatory penalties and delayed legal response with limited visibility or accountability.</t>
        </is>
      </c>
      <c r="I125" s="13" t="inlineStr">
        <is>
          <t>High risk: regulatory reporting calendar and emergency reporting triggers for cyber, safety, finance, environment and privacy depends on informal practices or individual knowledge. Disruption may expose contractual disputes, compliance breaches, regulatory penalties and delayed legal response and slow recovery.</t>
        </is>
      </c>
      <c r="J125" s="13" t="inlineStr">
        <is>
          <t>Elevated risk: regulatory reporting calendar and emergency reporting triggers for cyber, safety, finance, environment and privacy is partially controlled, but coverage, evidence or testing is inconsistent. Crisis response may be fragmented.</t>
        </is>
      </c>
      <c r="K125" s="13" t="inlineStr">
        <is>
          <t>Moderate risk: regulatory reporting calendar and emergency reporting triggers for cyber, safety, finance, environment and privacy is documented and owned, but measurement, stress testing and integration with dependent processes need strengthening.</t>
        </is>
      </c>
      <c r="L125" s="13" t="inlineStr">
        <is>
          <t>Residual risk: regulatory reporting calendar and emergency reporting triggers for cyber, safety, finance, environment and privacy is measured and reviewed, but monitoring, automation or scenario testing should be improved to prevent maturity drift.</t>
        </is>
      </c>
      <c r="M125" s="13" t="inlineStr">
        <is>
          <t>Low residual risk: regulatory reporting calendar and emergency reporting triggers for cyber, safety, finance, environment and privacy is mature and crisis-tested. Maintain monitoring, evidence, ownership and periodic stress testing.</t>
        </is>
      </c>
      <c r="N125" s="13" t="inlineStr">
        <is>
          <t>Create an immediate risk owner, minimum control baseline and fallback procedure for regulatory reporting calendar and emergency reporting triggers for cyber, safety, finance, environment and privacy. Add it to the crisis risk register and collect first evidence.</t>
        </is>
      </c>
      <c r="O125" s="13" t="inlineStr">
        <is>
          <t>Document regulatory reporting calendar and emergency reporting triggers for cyber, safety, finance, environment and privacy, assign RACI, define minimum controls and KPIs, and validate coverage across key sites, teams or systems.</t>
        </is>
      </c>
      <c r="P125" s="13" t="inlineStr">
        <is>
          <t>Standardize regulatory reporting calendar and emergency reporting triggers for cyber, safety, finance, environment and privacy, close coverage gaps, train accountable roles and connect controls to the relevant crisis scenarios and continuity plans.</t>
        </is>
      </c>
      <c r="Q125" s="13" t="inlineStr">
        <is>
          <t>Measure and test regulatory reporting calendar and emergency reporting triggers for cyber, safety, finance, environment and privacy, run tabletop or operational stress tests, integrate it with dependent processes and update crisis playbooks.</t>
        </is>
      </c>
      <c r="R125" s="13" t="inlineStr">
        <is>
          <t>Automate monitoring where practical, define leading indicators, run periodic scenario tests and track residual risk after each major change.</t>
        </is>
      </c>
      <c r="S125" s="13" t="inlineStr">
        <is>
          <t>Sustain maturity for regulatory reporting calendar and emergency reporting triggers for cyber, safety, finance, environment and privacy: keep evidence current, monitor drift, benchmark externally and refresh risk tests after organizational, system or market changes.</t>
        </is>
      </c>
      <c r="T125" s="13" t="n">
        <v>3</v>
      </c>
      <c r="U125" s="13" t="n">
        <v>3</v>
      </c>
      <c r="V125" s="13" t="n">
        <v>2</v>
      </c>
      <c r="W125" s="13" t="n">
        <v>2</v>
      </c>
      <c r="X125" s="13" t="n">
        <v>1</v>
      </c>
      <c r="Y125" s="13" t="n">
        <v>1</v>
      </c>
      <c r="Z125" s="13" t="inlineStr">
        <is>
          <t>ISO 37301; ISO 31000; ISO 37001; ISO/IEC 27701; GDPR; contract management best practices</t>
        </is>
      </c>
      <c r="AA125" s="13" t="inlineStr">
        <is>
          <t>Policy/SOP; owner/RACI; system report; dashboard; contracts; test records; incident history; interview evidence related to regulatory reporting calendar and emergency reporting triggers for cyber, safety, finance, environment and privacy.</t>
        </is>
      </c>
      <c r="AB125" s="13" t="inlineStr">
        <is>
          <t>Regulatory/legal shock; Contractual exposure; Data breach</t>
        </is>
      </c>
      <c r="AC125" s="13" t="inlineStr">
        <is>
          <t>Legal / Compliance</t>
        </is>
      </c>
      <c r="AD125" s="13" t="inlineStr">
        <is>
          <t>Legal Risk!6</t>
        </is>
      </c>
      <c r="AE125">
        <f>IF($A125="","",IF(OR(ISNUMBER(SEARCH("cyber",$D125)),ISNUMBER(SEARCH("security",$D125)),ISNUMBER(SEARCH("safety",$D125)),ISNUMBER(SEARCH("liquidity",$D125)),ISNUMBER(SEARCH("cash",$D125)),ISNUMBER(SEARCH("continuity",$D125)),ISNUMBER(SEARCH("infrastructure",$D125)),ISNUMBER(SEARCH("outage",$D125))),"Fast",IF(OR(ISNUMBER(SEARCH("compliance",$D125)),ISNUMBER(SEARCH("regulat",$D125)),ISNUMBER(SEARCH("data",$D125)),ISNUMBER(SEARCH("talent",$D125)),ISNUMBER(SEARCH("knowledge",$D125)),ISNUMBER(SEARCH("portfolio",$D125)),ISNUMBER(SEARCH("quality",$D125))),"Slow","Medium")))</f>
        <v/>
      </c>
      <c r="AF125">
        <f>IF($A125="","",IFERROR(VLOOKUP($B125,'_CONFIG_Risk_Calibration'!$A$5:$H$21,2,FALSE),3))</f>
        <v/>
      </c>
      <c r="AG125">
        <f>IF($A125="","",IFERROR(VLOOKUP($B125,'_CONFIG_Risk_Calibration'!$A$5:$H$21,3,FALSE),0))</f>
        <v/>
      </c>
      <c r="AH125">
        <f>IF($A125="","",IFERROR(VLOOKUP($B125,'_CONFIG_Risk_Calibration'!$A$5:$H$21,4,FALSE),3))</f>
        <v/>
      </c>
      <c r="AI125">
        <f>IF($A125="","",IFERROR(VLOOKUP($B125,'_CONFIG_Risk_Calibration'!$A$5:$H$21,5,FALSE),3))</f>
        <v/>
      </c>
      <c r="AJ125">
        <f>IF($A125="","",IFERROR(VLOOKUP($B125,'_CONFIG_Risk_Calibration'!$A$5:$H$21,6,FALSE),"No"))</f>
        <v/>
      </c>
      <c r="AK125">
        <f>IF($A125="","",IFERROR(VLOOKUP($B125,'_CONFIG_Risk_Calibration'!$A$5:$H$21,7,FALSE),1))</f>
        <v/>
      </c>
      <c r="AL125">
        <f>IF($A125="","",IFERROR(VLOOKUP($B125,'_CONFIG_Risk_Calibration'!$A$5:$H$21,8,FALSE),""))</f>
        <v/>
      </c>
    </row>
    <row r="126" ht="72" customHeight="1" s="209">
      <c r="A126" s="13" t="inlineStr">
        <is>
          <t>LEGA-003</t>
        </is>
      </c>
      <c r="B126" s="13" t="inlineStr">
        <is>
          <t>Legal Risk</t>
        </is>
      </c>
      <c r="C126" s="13" t="inlineStr">
        <is>
          <t>Compliance</t>
        </is>
      </c>
      <c r="D126" s="13" t="inlineStr">
        <is>
          <t>Legal, compliance and contractual exposure</t>
        </is>
      </c>
      <c r="E126" s="13" t="inlineStr">
        <is>
          <t>How mature is the organization in managing sanctions and restricted-party screening for customers, suppliers, owners and payments, including ownership, evidence, metrics, fallback procedures and crisis stress testing?</t>
        </is>
      </c>
      <c r="F126" s="13" t="inlineStr">
        <is>
          <t>Immature capability for sanctions and restricted-party screening for customers, suppliers, owners and payments may lead to contractual disputes, compliance breaches, regulatory penalties and delayed legal response during Regulatory/legal shock; Contractual exposure; Data breach.</t>
        </is>
      </c>
      <c r="G126" s="13" t="inlineStr">
        <is>
          <t>Low maturity, weak ownership, incomplete evidence, insufficient testing and poor integration with crisis-management routines for sanctions and restricted-party screening for customers, suppliers, owners and payments.</t>
        </is>
      </c>
      <c r="H126" s="13" t="inlineStr">
        <is>
          <t>Severe risk: sanctions and restricted-party screening for customers, suppliers, owners and payments is not reliably controlled. During Regulatory/legal shock; Contractual exposure; Data breach, the organization may face contractual disputes, compliance breaches, regulatory penalties and delayed legal response with limited visibility or accountability.</t>
        </is>
      </c>
      <c r="I126" s="13" t="inlineStr">
        <is>
          <t>High risk: sanctions and restricted-party screening for customers, suppliers, owners and payments depends on informal practices or individual knowledge. Disruption may expose contractual disputes, compliance breaches, regulatory penalties and delayed legal response and slow recovery.</t>
        </is>
      </c>
      <c r="J126" s="13" t="inlineStr">
        <is>
          <t>Elevated risk: sanctions and restricted-party screening for customers, suppliers, owners and payments is partially controlled, but coverage, evidence or testing is inconsistent. Crisis response may be fragmented.</t>
        </is>
      </c>
      <c r="K126" s="13" t="inlineStr">
        <is>
          <t>Moderate risk: sanctions and restricted-party screening for customers, suppliers, owners and payments is documented and owned, but measurement, stress testing and integration with dependent processes need strengthening.</t>
        </is>
      </c>
      <c r="L126" s="13" t="inlineStr">
        <is>
          <t>Residual risk: sanctions and restricted-party screening for customers, suppliers, owners and payments is measured and reviewed, but monitoring, automation or scenario testing should be improved to prevent maturity drift.</t>
        </is>
      </c>
      <c r="M126" s="13" t="inlineStr">
        <is>
          <t>Low residual risk: sanctions and restricted-party screening for customers, suppliers, owners and payments is mature and crisis-tested. Maintain monitoring, evidence, ownership and periodic stress testing.</t>
        </is>
      </c>
      <c r="N126" s="13" t="inlineStr">
        <is>
          <t>Create an immediate risk owner, minimum control baseline and fallback procedure for sanctions and restricted-party screening for customers, suppliers, owners and payments. Add it to the crisis risk register and collect first evidence.</t>
        </is>
      </c>
      <c r="O126" s="13" t="inlineStr">
        <is>
          <t>Document sanctions and restricted-party screening for customers, suppliers, owners and payments, assign RACI, define minimum controls and KPIs, and validate coverage across key sites, teams or systems.</t>
        </is>
      </c>
      <c r="P126" s="13" t="inlineStr">
        <is>
          <t>Standardize sanctions and restricted-party screening for customers, suppliers, owners and payments, close coverage gaps, train accountable roles and connect controls to the relevant crisis scenarios and continuity plans.</t>
        </is>
      </c>
      <c r="Q126" s="13" t="inlineStr">
        <is>
          <t>Measure and test sanctions and restricted-party screening for customers, suppliers, owners and payments, run tabletop or operational stress tests, integrate it with dependent processes and update crisis playbooks.</t>
        </is>
      </c>
      <c r="R126" s="13" t="inlineStr">
        <is>
          <t>Automate monitoring where practical, define leading indicators, run periodic scenario tests and track residual risk after each major change.</t>
        </is>
      </c>
      <c r="S126" s="13" t="inlineStr">
        <is>
          <t>Sustain maturity for sanctions and restricted-party screening for customers, suppliers, owners and payments: keep evidence current, monitor drift, benchmark externally and refresh risk tests after organizational, system or market changes.</t>
        </is>
      </c>
      <c r="T126" s="13" t="n">
        <v>3</v>
      </c>
      <c r="U126" s="13" t="n">
        <v>3</v>
      </c>
      <c r="V126" s="13" t="n">
        <v>2</v>
      </c>
      <c r="W126" s="13" t="n">
        <v>2</v>
      </c>
      <c r="X126" s="13" t="n">
        <v>1</v>
      </c>
      <c r="Y126" s="13" t="n">
        <v>1</v>
      </c>
      <c r="Z126" s="13" t="inlineStr">
        <is>
          <t>ISO 37301; ISO 31000; ISO 37001; ISO/IEC 27701; GDPR; contract management best practices</t>
        </is>
      </c>
      <c r="AA126" s="13" t="inlineStr">
        <is>
          <t>Policy/SOP; owner/RACI; system report; dashboard; contracts; test records; incident history; interview evidence related to sanctions and restricted-party screening for customers, suppliers, owners and payments.</t>
        </is>
      </c>
      <c r="AB126" s="13" t="inlineStr">
        <is>
          <t>Regulatory/legal shock; Contractual exposure; Data breach</t>
        </is>
      </c>
      <c r="AC126" s="13" t="inlineStr">
        <is>
          <t>Legal / Compliance</t>
        </is>
      </c>
      <c r="AD126" s="13" t="inlineStr">
        <is>
          <t>Legal Risk!7</t>
        </is>
      </c>
      <c r="AE126">
        <f>IF($A126="","",IF(OR(ISNUMBER(SEARCH("cyber",$D126)),ISNUMBER(SEARCH("security",$D126)),ISNUMBER(SEARCH("safety",$D126)),ISNUMBER(SEARCH("liquidity",$D126)),ISNUMBER(SEARCH("cash",$D126)),ISNUMBER(SEARCH("continuity",$D126)),ISNUMBER(SEARCH("infrastructure",$D126)),ISNUMBER(SEARCH("outage",$D126))),"Fast",IF(OR(ISNUMBER(SEARCH("compliance",$D126)),ISNUMBER(SEARCH("regulat",$D126)),ISNUMBER(SEARCH("data",$D126)),ISNUMBER(SEARCH("talent",$D126)),ISNUMBER(SEARCH("knowledge",$D126)),ISNUMBER(SEARCH("portfolio",$D126)),ISNUMBER(SEARCH("quality",$D126))),"Slow","Medium")))</f>
        <v/>
      </c>
      <c r="AF126">
        <f>IF($A126="","",IFERROR(VLOOKUP($B126,'_CONFIG_Risk_Calibration'!$A$5:$H$21,2,FALSE),3))</f>
        <v/>
      </c>
      <c r="AG126">
        <f>IF($A126="","",IFERROR(VLOOKUP($B126,'_CONFIG_Risk_Calibration'!$A$5:$H$21,3,FALSE),0))</f>
        <v/>
      </c>
      <c r="AH126">
        <f>IF($A126="","",IFERROR(VLOOKUP($B126,'_CONFIG_Risk_Calibration'!$A$5:$H$21,4,FALSE),3))</f>
        <v/>
      </c>
      <c r="AI126">
        <f>IF($A126="","",IFERROR(VLOOKUP($B126,'_CONFIG_Risk_Calibration'!$A$5:$H$21,5,FALSE),3))</f>
        <v/>
      </c>
      <c r="AJ126">
        <f>IF($A126="","",IFERROR(VLOOKUP($B126,'_CONFIG_Risk_Calibration'!$A$5:$H$21,6,FALSE),"No"))</f>
        <v/>
      </c>
      <c r="AK126">
        <f>IF($A126="","",IFERROR(VLOOKUP($B126,'_CONFIG_Risk_Calibration'!$A$5:$H$21,7,FALSE),1))</f>
        <v/>
      </c>
      <c r="AL126">
        <f>IF($A126="","",IFERROR(VLOOKUP($B126,'_CONFIG_Risk_Calibration'!$A$5:$H$21,8,FALSE),""))</f>
        <v/>
      </c>
    </row>
    <row r="127" ht="72" customHeight="1" s="209">
      <c r="A127" s="13" t="inlineStr">
        <is>
          <t>LEGA-004</t>
        </is>
      </c>
      <c r="B127" s="13" t="inlineStr">
        <is>
          <t>Legal Risk</t>
        </is>
      </c>
      <c r="C127" s="13" t="inlineStr">
        <is>
          <t>Compliance</t>
        </is>
      </c>
      <c r="D127" s="13" t="inlineStr">
        <is>
          <t>Legal, compliance and contractual exposure</t>
        </is>
      </c>
      <c r="E127" s="13" t="inlineStr">
        <is>
          <t>How mature is the organization in managing anti-bribery and corruption controls during emergency procurement and high-pressure sales, including ownership, evidence, metrics, fallback procedures and crisis stress testing?</t>
        </is>
      </c>
      <c r="F127" s="13" t="inlineStr">
        <is>
          <t>Immature capability for anti-bribery and corruption controls during emergency procurement and high-pressure sales may lead to contractual disputes, compliance breaches, regulatory penalties and delayed legal response during Regulatory/legal shock; Contractual exposure; Data breach.</t>
        </is>
      </c>
      <c r="G127" s="13" t="inlineStr">
        <is>
          <t>Low maturity, weak ownership, incomplete evidence, insufficient testing and poor integration with crisis-management routines for anti-bribery and corruption controls during emergency procurement and high-pressure sales.</t>
        </is>
      </c>
      <c r="H127" s="13" t="inlineStr">
        <is>
          <t>Severe risk: anti-bribery and corruption controls during emergency procurement and high-pressure sales is not reliably controlled. During Regulatory/legal shock; Contractual exposure; Data breach, the organization may face contractual disputes, compliance breaches, regulatory penalties and delayed legal response with limited visibility or accountability.</t>
        </is>
      </c>
      <c r="I127" s="13" t="inlineStr">
        <is>
          <t>High risk: anti-bribery and corruption controls during emergency procurement and high-pressure sales depends on informal practices or individual knowledge. Disruption may expose contractual disputes, compliance breaches, regulatory penalties and delayed legal response and slow recovery.</t>
        </is>
      </c>
      <c r="J127" s="13" t="inlineStr">
        <is>
          <t>Elevated risk: anti-bribery and corruption controls during emergency procurement and high-pressure sales is partially controlled, but coverage, evidence or testing is inconsistent. Crisis response may be fragmented.</t>
        </is>
      </c>
      <c r="K127" s="13" t="inlineStr">
        <is>
          <t>Moderate risk: anti-bribery and corruption controls during emergency procurement and high-pressure sales is documented and owned, but measurement, stress testing and integration with dependent processes need strengthening.</t>
        </is>
      </c>
      <c r="L127" s="13" t="inlineStr">
        <is>
          <t>Residual risk: anti-bribery and corruption controls during emergency procurement and high-pressure sales is measured and reviewed, but monitoring, automation or scenario testing should be improved to prevent maturity drift.</t>
        </is>
      </c>
      <c r="M127" s="13" t="inlineStr">
        <is>
          <t>Low residual risk: anti-bribery and corruption controls during emergency procurement and high-pressure sales is mature and crisis-tested. Maintain monitoring, evidence, ownership and periodic stress testing.</t>
        </is>
      </c>
      <c r="N127" s="13" t="inlineStr">
        <is>
          <t>Create an immediate risk owner, minimum control baseline and fallback procedure for anti-bribery and corruption controls during emergency procurement and high-pressure sales. Add it to the crisis risk register and collect first evidence.</t>
        </is>
      </c>
      <c r="O127" s="13" t="inlineStr">
        <is>
          <t>Document anti-bribery and corruption controls during emergency procurement and high-pressure sales, assign RACI, define minimum controls and KPIs, and validate coverage across key sites, teams or systems.</t>
        </is>
      </c>
      <c r="P127" s="13" t="inlineStr">
        <is>
          <t>Standardize anti-bribery and corruption controls during emergency procurement and high-pressure sales, close coverage gaps, train accountable roles and connect controls to the relevant crisis scenarios and continuity plans.</t>
        </is>
      </c>
      <c r="Q127" s="13" t="inlineStr">
        <is>
          <t>Measure and test anti-bribery and corruption controls during emergency procurement and high-pressure sales, run tabletop or operational stress tests, integrate it with dependent processes and update crisis playbooks.</t>
        </is>
      </c>
      <c r="R127" s="13" t="inlineStr">
        <is>
          <t>Automate monitoring where practical, define leading indicators, run periodic scenario tests and track residual risk after each major change.</t>
        </is>
      </c>
      <c r="S127" s="13" t="inlineStr">
        <is>
          <t>Sustain maturity for anti-bribery and corruption controls during emergency procurement and high-pressure sales: keep evidence current, monitor drift, benchmark externally and refresh risk tests after organizational, system or market changes.</t>
        </is>
      </c>
      <c r="T127" s="13" t="n">
        <v>3</v>
      </c>
      <c r="U127" s="13" t="n">
        <v>3</v>
      </c>
      <c r="V127" s="13" t="n">
        <v>2</v>
      </c>
      <c r="W127" s="13" t="n">
        <v>2</v>
      </c>
      <c r="X127" s="13" t="n">
        <v>1</v>
      </c>
      <c r="Y127" s="13" t="n">
        <v>1</v>
      </c>
      <c r="Z127" s="13" t="inlineStr">
        <is>
          <t>ISO 37301; ISO 31000; ISO 37001; ISO/IEC 27701; GDPR; contract management best practices</t>
        </is>
      </c>
      <c r="AA127" s="13" t="inlineStr">
        <is>
          <t>Policy/SOP; owner/RACI; system report; dashboard; contracts; test records; incident history; interview evidence related to anti-bribery and corruption controls during emergency procurement and high-pressure sales.</t>
        </is>
      </c>
      <c r="AB127" s="13" t="inlineStr">
        <is>
          <t>Regulatory/legal shock; Contractual exposure; Data breach</t>
        </is>
      </c>
      <c r="AC127" s="13" t="inlineStr">
        <is>
          <t>Legal / Compliance</t>
        </is>
      </c>
      <c r="AD127" s="13" t="inlineStr">
        <is>
          <t>Legal Risk!8</t>
        </is>
      </c>
      <c r="AE127">
        <f>IF($A127="","",IF(OR(ISNUMBER(SEARCH("cyber",$D127)),ISNUMBER(SEARCH("security",$D127)),ISNUMBER(SEARCH("safety",$D127)),ISNUMBER(SEARCH("liquidity",$D127)),ISNUMBER(SEARCH("cash",$D127)),ISNUMBER(SEARCH("continuity",$D127)),ISNUMBER(SEARCH("infrastructure",$D127)),ISNUMBER(SEARCH("outage",$D127))),"Fast",IF(OR(ISNUMBER(SEARCH("compliance",$D127)),ISNUMBER(SEARCH("regulat",$D127)),ISNUMBER(SEARCH("data",$D127)),ISNUMBER(SEARCH("talent",$D127)),ISNUMBER(SEARCH("knowledge",$D127)),ISNUMBER(SEARCH("portfolio",$D127)),ISNUMBER(SEARCH("quality",$D127))),"Slow","Medium")))</f>
        <v/>
      </c>
      <c r="AF127">
        <f>IF($A127="","",IFERROR(VLOOKUP($B127,'_CONFIG_Risk_Calibration'!$A$5:$H$21,2,FALSE),3))</f>
        <v/>
      </c>
      <c r="AG127">
        <f>IF($A127="","",IFERROR(VLOOKUP($B127,'_CONFIG_Risk_Calibration'!$A$5:$H$21,3,FALSE),0))</f>
        <v/>
      </c>
      <c r="AH127">
        <f>IF($A127="","",IFERROR(VLOOKUP($B127,'_CONFIG_Risk_Calibration'!$A$5:$H$21,4,FALSE),3))</f>
        <v/>
      </c>
      <c r="AI127">
        <f>IF($A127="","",IFERROR(VLOOKUP($B127,'_CONFIG_Risk_Calibration'!$A$5:$H$21,5,FALSE),3))</f>
        <v/>
      </c>
      <c r="AJ127">
        <f>IF($A127="","",IFERROR(VLOOKUP($B127,'_CONFIG_Risk_Calibration'!$A$5:$H$21,6,FALSE),"No"))</f>
        <v/>
      </c>
      <c r="AK127">
        <f>IF($A127="","",IFERROR(VLOOKUP($B127,'_CONFIG_Risk_Calibration'!$A$5:$H$21,7,FALSE),1))</f>
        <v/>
      </c>
      <c r="AL127">
        <f>IF($A127="","",IFERROR(VLOOKUP($B127,'_CONFIG_Risk_Calibration'!$A$5:$H$21,8,FALSE),""))</f>
        <v/>
      </c>
    </row>
    <row r="128" ht="72" customHeight="1" s="209">
      <c r="A128" s="13" t="inlineStr">
        <is>
          <t>LEGA-005</t>
        </is>
      </c>
      <c r="B128" s="13" t="inlineStr">
        <is>
          <t>Legal Risk</t>
        </is>
      </c>
      <c r="C128" s="13" t="inlineStr">
        <is>
          <t>Compliance</t>
        </is>
      </c>
      <c r="D128" s="13" t="inlineStr">
        <is>
          <t>Legal, compliance and contractual exposure</t>
        </is>
      </c>
      <c r="E128" s="13" t="inlineStr">
        <is>
          <t>How mature is the organization in managing whistleblowing and misconduct reporting mechanism with investigation process, including ownership, evidence, metrics, fallback procedures and crisis stress testing?</t>
        </is>
      </c>
      <c r="F128" s="13" t="inlineStr">
        <is>
          <t>Immature capability for whistleblowing and misconduct reporting mechanism with investigation process may lead to contractual disputes, compliance breaches, regulatory penalties and delayed legal response during Regulatory/legal shock; Contractual exposure; Data breach.</t>
        </is>
      </c>
      <c r="G128" s="13" t="inlineStr">
        <is>
          <t>Low maturity, weak ownership, incomplete evidence, insufficient testing and poor integration with crisis-management routines for whistleblowing and misconduct reporting mechanism with investigation process.</t>
        </is>
      </c>
      <c r="H128" s="13" t="inlineStr">
        <is>
          <t>Severe risk: whistleblowing and misconduct reporting mechanism with investigation process is not reliably controlled. During Regulatory/legal shock; Contractual exposure; Data breach, the organization may face contractual disputes, compliance breaches, regulatory penalties and delayed legal response with limited visibility or accountability.</t>
        </is>
      </c>
      <c r="I128" s="13" t="inlineStr">
        <is>
          <t>High risk: whistleblowing and misconduct reporting mechanism with investigation process depends on informal practices or individual knowledge. Disruption may expose contractual disputes, compliance breaches, regulatory penalties and delayed legal response and slow recovery.</t>
        </is>
      </c>
      <c r="J128" s="13" t="inlineStr">
        <is>
          <t>Elevated risk: whistleblowing and misconduct reporting mechanism with investigation process is partially controlled, but coverage, evidence or testing is inconsistent. Crisis response may be fragmented.</t>
        </is>
      </c>
      <c r="K128" s="13" t="inlineStr">
        <is>
          <t>Moderate risk: whistleblowing and misconduct reporting mechanism with investigation process is documented and owned, but measurement, stress testing and integration with dependent processes need strengthening.</t>
        </is>
      </c>
      <c r="L128" s="13" t="inlineStr">
        <is>
          <t>Residual risk: whistleblowing and misconduct reporting mechanism with investigation process is measured and reviewed, but monitoring, automation or scenario testing should be improved to prevent maturity drift.</t>
        </is>
      </c>
      <c r="M128" s="13" t="inlineStr">
        <is>
          <t>Low residual risk: whistleblowing and misconduct reporting mechanism with investigation process is mature and crisis-tested. Maintain monitoring, evidence, ownership and periodic stress testing.</t>
        </is>
      </c>
      <c r="N128" s="13" t="inlineStr">
        <is>
          <t>Create an immediate risk owner, minimum control baseline and fallback procedure for whistleblowing and misconduct reporting mechanism with investigation process. Add it to the crisis risk register and collect first evidence.</t>
        </is>
      </c>
      <c r="O128" s="13" t="inlineStr">
        <is>
          <t>Document whistleblowing and misconduct reporting mechanism with investigation process, assign RACI, define minimum controls and KPIs, and validate coverage across key sites, teams or systems.</t>
        </is>
      </c>
      <c r="P128" s="13" t="inlineStr">
        <is>
          <t>Standardize whistleblowing and misconduct reporting mechanism with investigation process, close coverage gaps, train accountable roles and connect controls to the relevant crisis scenarios and continuity plans.</t>
        </is>
      </c>
      <c r="Q128" s="13" t="inlineStr">
        <is>
          <t>Measure and test whistleblowing and misconduct reporting mechanism with investigation process, run tabletop or operational stress tests, integrate it with dependent processes and update crisis playbooks.</t>
        </is>
      </c>
      <c r="R128" s="13" t="inlineStr">
        <is>
          <t>Automate monitoring where practical, define leading indicators, run periodic scenario tests and track residual risk after each major change.</t>
        </is>
      </c>
      <c r="S128" s="13" t="inlineStr">
        <is>
          <t>Sustain maturity for whistleblowing and misconduct reporting mechanism with investigation process: keep evidence current, monitor drift, benchmark externally and refresh risk tests after organizational, system or market changes.</t>
        </is>
      </c>
      <c r="T128" s="13" t="n">
        <v>3</v>
      </c>
      <c r="U128" s="13" t="n">
        <v>3</v>
      </c>
      <c r="V128" s="13" t="n">
        <v>2</v>
      </c>
      <c r="W128" s="13" t="n">
        <v>2</v>
      </c>
      <c r="X128" s="13" t="n">
        <v>1</v>
      </c>
      <c r="Y128" s="13" t="n">
        <v>1</v>
      </c>
      <c r="Z128" s="13" t="inlineStr">
        <is>
          <t>ISO 37301; ISO 31000; ISO 37001; ISO/IEC 27701; GDPR; contract management best practices</t>
        </is>
      </c>
      <c r="AA128" s="13" t="inlineStr">
        <is>
          <t>Policy/SOP; owner/RACI; system report; dashboard; contracts; test records; incident history; interview evidence related to whistleblowing and misconduct reporting mechanism with investigation process.</t>
        </is>
      </c>
      <c r="AB128" s="13" t="inlineStr">
        <is>
          <t>Regulatory/legal shock; Contractual exposure; Data breach</t>
        </is>
      </c>
      <c r="AC128" s="13" t="inlineStr">
        <is>
          <t>Legal / Compliance</t>
        </is>
      </c>
      <c r="AD128" s="13" t="inlineStr">
        <is>
          <t>Legal Risk!9</t>
        </is>
      </c>
      <c r="AE128">
        <f>IF($A128="","",IF(OR(ISNUMBER(SEARCH("cyber",$D128)),ISNUMBER(SEARCH("security",$D128)),ISNUMBER(SEARCH("safety",$D128)),ISNUMBER(SEARCH("liquidity",$D128)),ISNUMBER(SEARCH("cash",$D128)),ISNUMBER(SEARCH("continuity",$D128)),ISNUMBER(SEARCH("infrastructure",$D128)),ISNUMBER(SEARCH("outage",$D128))),"Fast",IF(OR(ISNUMBER(SEARCH("compliance",$D128)),ISNUMBER(SEARCH("regulat",$D128)),ISNUMBER(SEARCH("data",$D128)),ISNUMBER(SEARCH("talent",$D128)),ISNUMBER(SEARCH("knowledge",$D128)),ISNUMBER(SEARCH("portfolio",$D128)),ISNUMBER(SEARCH("quality",$D128))),"Slow","Medium")))</f>
        <v/>
      </c>
      <c r="AF128">
        <f>IF($A128="","",IFERROR(VLOOKUP($B128,'_CONFIG_Risk_Calibration'!$A$5:$H$21,2,FALSE),3))</f>
        <v/>
      </c>
      <c r="AG128">
        <f>IF($A128="","",IFERROR(VLOOKUP($B128,'_CONFIG_Risk_Calibration'!$A$5:$H$21,3,FALSE),0))</f>
        <v/>
      </c>
      <c r="AH128">
        <f>IF($A128="","",IFERROR(VLOOKUP($B128,'_CONFIG_Risk_Calibration'!$A$5:$H$21,4,FALSE),3))</f>
        <v/>
      </c>
      <c r="AI128">
        <f>IF($A128="","",IFERROR(VLOOKUP($B128,'_CONFIG_Risk_Calibration'!$A$5:$H$21,5,FALSE),3))</f>
        <v/>
      </c>
      <c r="AJ128">
        <f>IF($A128="","",IFERROR(VLOOKUP($B128,'_CONFIG_Risk_Calibration'!$A$5:$H$21,6,FALSE),"No"))</f>
        <v/>
      </c>
      <c r="AK128">
        <f>IF($A128="","",IFERROR(VLOOKUP($B128,'_CONFIG_Risk_Calibration'!$A$5:$H$21,7,FALSE),1))</f>
        <v/>
      </c>
      <c r="AL128">
        <f>IF($A128="","",IFERROR(VLOOKUP($B128,'_CONFIG_Risk_Calibration'!$A$5:$H$21,8,FALSE),""))</f>
        <v/>
      </c>
    </row>
    <row r="129" ht="72" customHeight="1" s="209">
      <c r="A129" s="13" t="inlineStr">
        <is>
          <t>LEGA-006</t>
        </is>
      </c>
      <c r="B129" s="13" t="inlineStr">
        <is>
          <t>Legal Risk</t>
        </is>
      </c>
      <c r="C129" s="13" t="inlineStr">
        <is>
          <t>Compliance</t>
        </is>
      </c>
      <c r="D129" s="13" t="inlineStr">
        <is>
          <t>Legal, compliance and contractual exposure</t>
        </is>
      </c>
      <c r="E129" s="13" t="inlineStr">
        <is>
          <t>How mature is the organization in managing legal support continuity if internal or external counsel is unavailable, including ownership, evidence, metrics, fallback procedures and crisis stress testing?</t>
        </is>
      </c>
      <c r="F129" s="13" t="inlineStr">
        <is>
          <t>Immature capability for legal support continuity if internal or external counsel is unavailable may lead to contractual disputes, compliance breaches, regulatory penalties and delayed legal response during Regulatory/legal shock; Contractual exposure; Data breach.</t>
        </is>
      </c>
      <c r="G129" s="13" t="inlineStr">
        <is>
          <t>Low maturity, weak ownership, incomplete evidence, insufficient testing and poor integration with crisis-management routines for legal support continuity if internal or external counsel is unavailable.</t>
        </is>
      </c>
      <c r="H129" s="13" t="inlineStr">
        <is>
          <t>Severe risk: legal support continuity if internal or external counsel is unavailable is not reliably controlled. During Regulatory/legal shock; Contractual exposure; Data breach, the organization may face contractual disputes, compliance breaches, regulatory penalties and delayed legal response with limited visibility or accountability.</t>
        </is>
      </c>
      <c r="I129" s="13" t="inlineStr">
        <is>
          <t>High risk: legal support continuity if internal or external counsel is unavailable depends on informal practices or individual knowledge. Disruption may expose contractual disputes, compliance breaches, regulatory penalties and delayed legal response and slow recovery.</t>
        </is>
      </c>
      <c r="J129" s="13" t="inlineStr">
        <is>
          <t>Elevated risk: legal support continuity if internal or external counsel is unavailable is partially controlled, but coverage, evidence or testing is inconsistent. Crisis response may be fragmented.</t>
        </is>
      </c>
      <c r="K129" s="13" t="inlineStr">
        <is>
          <t>Moderate risk: legal support continuity if internal or external counsel is unavailable is documented and owned, but measurement, stress testing and integration with dependent processes need strengthening.</t>
        </is>
      </c>
      <c r="L129" s="13" t="inlineStr">
        <is>
          <t>Residual risk: legal support continuity if internal or external counsel is unavailable is measured and reviewed, but monitoring, automation or scenario testing should be improved to prevent maturity drift.</t>
        </is>
      </c>
      <c r="M129" s="13" t="inlineStr">
        <is>
          <t>Low residual risk: legal support continuity if internal or external counsel is unavailable is mature and crisis-tested. Maintain monitoring, evidence, ownership and periodic stress testing.</t>
        </is>
      </c>
      <c r="N129" s="13" t="inlineStr">
        <is>
          <t>Create an immediate risk owner, minimum control baseline and fallback procedure for legal support continuity if internal or external counsel is unavailable. Add it to the crisis risk register and collect first evidence.</t>
        </is>
      </c>
      <c r="O129" s="13" t="inlineStr">
        <is>
          <t>Document legal support continuity if internal or external counsel is unavailable, assign RACI, define minimum controls and KPIs, and validate coverage across key sites, teams or systems.</t>
        </is>
      </c>
      <c r="P129" s="13" t="inlineStr">
        <is>
          <t>Standardize legal support continuity if internal or external counsel is unavailable, close coverage gaps, train accountable roles and connect controls to the relevant crisis scenarios and continuity plans.</t>
        </is>
      </c>
      <c r="Q129" s="13" t="inlineStr">
        <is>
          <t>Measure and test legal support continuity if internal or external counsel is unavailable, run tabletop or operational stress tests, integrate it with dependent processes and update crisis playbooks.</t>
        </is>
      </c>
      <c r="R129" s="13" t="inlineStr">
        <is>
          <t>Automate monitoring where practical, define leading indicators, run periodic scenario tests and track residual risk after each major change.</t>
        </is>
      </c>
      <c r="S129" s="13" t="inlineStr">
        <is>
          <t>Sustain maturity for legal support continuity if internal or external counsel is unavailable: keep evidence current, monitor drift, benchmark externally and refresh risk tests after organizational, system or market changes.</t>
        </is>
      </c>
      <c r="T129" s="13" t="n">
        <v>3</v>
      </c>
      <c r="U129" s="13" t="n">
        <v>3</v>
      </c>
      <c r="V129" s="13" t="n">
        <v>2</v>
      </c>
      <c r="W129" s="13" t="n">
        <v>2</v>
      </c>
      <c r="X129" s="13" t="n">
        <v>1</v>
      </c>
      <c r="Y129" s="13" t="n">
        <v>1</v>
      </c>
      <c r="Z129" s="13" t="inlineStr">
        <is>
          <t>ISO 37301; ISO 31000; ISO 37001; ISO/IEC 27701; GDPR; contract management best practices</t>
        </is>
      </c>
      <c r="AA129" s="13" t="inlineStr">
        <is>
          <t>Policy/SOP; owner/RACI; system report; dashboard; contracts; test records; incident history; interview evidence related to legal support continuity if internal or external counsel is unavailable.</t>
        </is>
      </c>
      <c r="AB129" s="13" t="inlineStr">
        <is>
          <t>Regulatory/legal shock; Contractual exposure; Data breach</t>
        </is>
      </c>
      <c r="AC129" s="13" t="inlineStr">
        <is>
          <t>Legal / Compliance</t>
        </is>
      </c>
      <c r="AD129" s="13" t="inlineStr">
        <is>
          <t>Legal Risk!10</t>
        </is>
      </c>
      <c r="AE129">
        <f>IF($A129="","",IF(OR(ISNUMBER(SEARCH("cyber",$D129)),ISNUMBER(SEARCH("security",$D129)),ISNUMBER(SEARCH("safety",$D129)),ISNUMBER(SEARCH("liquidity",$D129)),ISNUMBER(SEARCH("cash",$D129)),ISNUMBER(SEARCH("continuity",$D129)),ISNUMBER(SEARCH("infrastructure",$D129)),ISNUMBER(SEARCH("outage",$D129))),"Fast",IF(OR(ISNUMBER(SEARCH("compliance",$D129)),ISNUMBER(SEARCH("regulat",$D129)),ISNUMBER(SEARCH("data",$D129)),ISNUMBER(SEARCH("talent",$D129)),ISNUMBER(SEARCH("knowledge",$D129)),ISNUMBER(SEARCH("portfolio",$D129)),ISNUMBER(SEARCH("quality",$D129))),"Slow","Medium")))</f>
        <v/>
      </c>
      <c r="AF129">
        <f>IF($A129="","",IFERROR(VLOOKUP($B129,'_CONFIG_Risk_Calibration'!$A$5:$H$21,2,FALSE),3))</f>
        <v/>
      </c>
      <c r="AG129">
        <f>IF($A129="","",IFERROR(VLOOKUP($B129,'_CONFIG_Risk_Calibration'!$A$5:$H$21,3,FALSE),0))</f>
        <v/>
      </c>
      <c r="AH129">
        <f>IF($A129="","",IFERROR(VLOOKUP($B129,'_CONFIG_Risk_Calibration'!$A$5:$H$21,4,FALSE),3))</f>
        <v/>
      </c>
      <c r="AI129">
        <f>IF($A129="","",IFERROR(VLOOKUP($B129,'_CONFIG_Risk_Calibration'!$A$5:$H$21,5,FALSE),3))</f>
        <v/>
      </c>
      <c r="AJ129">
        <f>IF($A129="","",IFERROR(VLOOKUP($B129,'_CONFIG_Risk_Calibration'!$A$5:$H$21,6,FALSE),"No"))</f>
        <v/>
      </c>
      <c r="AK129">
        <f>IF($A129="","",IFERROR(VLOOKUP($B129,'_CONFIG_Risk_Calibration'!$A$5:$H$21,7,FALSE),1))</f>
        <v/>
      </c>
      <c r="AL129">
        <f>IF($A129="","",IFERROR(VLOOKUP($B129,'_CONFIG_Risk_Calibration'!$A$5:$H$21,8,FALSE),""))</f>
        <v/>
      </c>
    </row>
    <row r="130" ht="72" customHeight="1" s="209">
      <c r="A130" s="13" t="inlineStr">
        <is>
          <t>LEGA-007</t>
        </is>
      </c>
      <c r="B130" s="13" t="inlineStr">
        <is>
          <t>Legal Risk</t>
        </is>
      </c>
      <c r="C130" s="13" t="inlineStr">
        <is>
          <t>Contracts</t>
        </is>
      </c>
      <c r="D130" s="13" t="inlineStr">
        <is>
          <t>Legal, compliance and contractual exposure</t>
        </is>
      </c>
      <c r="E130" s="13" t="inlineStr">
        <is>
          <t>How mature is the organization in managing complete contract register for customers, suppliers, leases, loans, employment, insurance and IP, including ownership, evidence, metrics, fallback procedures and crisis stress testing?</t>
        </is>
      </c>
      <c r="F130" s="13" t="inlineStr">
        <is>
          <t>Immature capability for complete contract register for customers, suppliers, leases, loans, employment, insurance and IP may lead to contractual disputes, compliance breaches, regulatory penalties and delayed legal response during Regulatory/legal shock; Contractual exposure; Data breach.</t>
        </is>
      </c>
      <c r="G130" s="13" t="inlineStr">
        <is>
          <t>Low maturity, weak ownership, incomplete evidence, insufficient testing and poor integration with crisis-management routines for complete contract register for customers, suppliers, leases, loans, employment, insurance and IP.</t>
        </is>
      </c>
      <c r="H130" s="13" t="inlineStr">
        <is>
          <t>Severe risk: complete contract register for customers, suppliers, leases, loans, employment, insurance and IP is not reliably controlled. During Regulatory/legal shock; Contractual exposure; Data breach, the organization may face contractual disputes, compliance breaches, regulatory penalties and delayed legal response with limited visibility or accountability.</t>
        </is>
      </c>
      <c r="I130" s="13" t="inlineStr">
        <is>
          <t>High risk: complete contract register for customers, suppliers, leases, loans, employment, insurance and IP depends on informal practices or individual knowledge. Disruption may expose contractual disputes, compliance breaches, regulatory penalties and delayed legal response and slow recovery.</t>
        </is>
      </c>
      <c r="J130" s="13" t="inlineStr">
        <is>
          <t>Elevated risk: complete contract register for customers, suppliers, leases, loans, employment, insurance and IP is partially controlled, but coverage, evidence or testing is inconsistent. Crisis response may be fragmented.</t>
        </is>
      </c>
      <c r="K130" s="13" t="inlineStr">
        <is>
          <t>Moderate risk: complete contract register for customers, suppliers, leases, loans, employment, insurance and IP is documented and owned, but measurement, stress testing and integration with dependent processes need strengthening.</t>
        </is>
      </c>
      <c r="L130" s="13" t="inlineStr">
        <is>
          <t>Residual risk: complete contract register for customers, suppliers, leases, loans, employment, insurance and IP is measured and reviewed, but monitoring, automation or scenario testing should be improved to prevent maturity drift.</t>
        </is>
      </c>
      <c r="M130" s="13" t="inlineStr">
        <is>
          <t>Low residual risk: complete contract register for customers, suppliers, leases, loans, employment, insurance and IP is mature and crisis-tested. Maintain monitoring, evidence, ownership and periodic stress testing.</t>
        </is>
      </c>
      <c r="N130" s="13" t="inlineStr">
        <is>
          <t>Create an immediate risk owner, minimum control baseline and fallback procedure for complete contract register for customers, suppliers, leases, loans, employment, insurance and IP. Add it to the crisis risk register and collect first evidence.</t>
        </is>
      </c>
      <c r="O130" s="13" t="inlineStr">
        <is>
          <t>Document complete contract register for customers, suppliers, leases, loans, employment, insurance and IP, assign RACI, define minimum controls and KPIs, and validate coverage across key sites, teams or systems.</t>
        </is>
      </c>
      <c r="P130" s="13" t="inlineStr">
        <is>
          <t>Standardize complete contract register for customers, suppliers, leases, loans, employment, insurance and IP, close coverage gaps, train accountable roles and connect controls to the relevant crisis scenarios and continuity plans.</t>
        </is>
      </c>
      <c r="Q130" s="13" t="inlineStr">
        <is>
          <t>Measure and test complete contract register for customers, suppliers, leases, loans, employment, insurance and IP, run tabletop or operational stress tests, integrate it with dependent processes and update crisis playbooks.</t>
        </is>
      </c>
      <c r="R130" s="13" t="inlineStr">
        <is>
          <t>Automate monitoring where practical, define leading indicators, run periodic scenario tests and track residual risk after each major change.</t>
        </is>
      </c>
      <c r="S130" s="13" t="inlineStr">
        <is>
          <t>Sustain maturity for complete contract register for customers, suppliers, leases, loans, employment, insurance and IP: keep evidence current, monitor drift, benchmark externally and refresh risk tests after organizational, system or market changes.</t>
        </is>
      </c>
      <c r="T130" s="13" t="n">
        <v>3</v>
      </c>
      <c r="U130" s="13" t="n">
        <v>3</v>
      </c>
      <c r="V130" s="13" t="n">
        <v>2</v>
      </c>
      <c r="W130" s="13" t="n">
        <v>2</v>
      </c>
      <c r="X130" s="13" t="n">
        <v>1</v>
      </c>
      <c r="Y130" s="13" t="n">
        <v>1</v>
      </c>
      <c r="Z130" s="13" t="inlineStr">
        <is>
          <t>ISO 37301; ISO 31000; ISO 37001; ISO/IEC 27701; GDPR; contract management best practices</t>
        </is>
      </c>
      <c r="AA130" s="13" t="inlineStr">
        <is>
          <t>Policy/SOP; owner/RACI; system report; dashboard; contracts; test records; incident history; interview evidence related to complete contract register for customers, suppliers, leases, loans, employment, insurance and IP.</t>
        </is>
      </c>
      <c r="AB130" s="13" t="inlineStr">
        <is>
          <t>Regulatory/legal shock; Contractual exposure; Data breach</t>
        </is>
      </c>
      <c r="AC130" s="13" t="inlineStr">
        <is>
          <t>Legal / Compliance</t>
        </is>
      </c>
      <c r="AD130" s="13" t="inlineStr">
        <is>
          <t>Legal Risk!11</t>
        </is>
      </c>
      <c r="AE130">
        <f>IF($A130="","",IF(OR(ISNUMBER(SEARCH("cyber",$D130)),ISNUMBER(SEARCH("security",$D130)),ISNUMBER(SEARCH("safety",$D130)),ISNUMBER(SEARCH("liquidity",$D130)),ISNUMBER(SEARCH("cash",$D130)),ISNUMBER(SEARCH("continuity",$D130)),ISNUMBER(SEARCH("infrastructure",$D130)),ISNUMBER(SEARCH("outage",$D130))),"Fast",IF(OR(ISNUMBER(SEARCH("compliance",$D130)),ISNUMBER(SEARCH("regulat",$D130)),ISNUMBER(SEARCH("data",$D130)),ISNUMBER(SEARCH("talent",$D130)),ISNUMBER(SEARCH("knowledge",$D130)),ISNUMBER(SEARCH("portfolio",$D130)),ISNUMBER(SEARCH("quality",$D130))),"Slow","Medium")))</f>
        <v/>
      </c>
      <c r="AF130">
        <f>IF($A130="","",IFERROR(VLOOKUP($B130,'_CONFIG_Risk_Calibration'!$A$5:$H$21,2,FALSE),3))</f>
        <v/>
      </c>
      <c r="AG130">
        <f>IF($A130="","",IFERROR(VLOOKUP($B130,'_CONFIG_Risk_Calibration'!$A$5:$H$21,3,FALSE),0))</f>
        <v/>
      </c>
      <c r="AH130">
        <f>IF($A130="","",IFERROR(VLOOKUP($B130,'_CONFIG_Risk_Calibration'!$A$5:$H$21,4,FALSE),3))</f>
        <v/>
      </c>
      <c r="AI130">
        <f>IF($A130="","",IFERROR(VLOOKUP($B130,'_CONFIG_Risk_Calibration'!$A$5:$H$21,5,FALSE),3))</f>
        <v/>
      </c>
      <c r="AJ130">
        <f>IF($A130="","",IFERROR(VLOOKUP($B130,'_CONFIG_Risk_Calibration'!$A$5:$H$21,6,FALSE),"No"))</f>
        <v/>
      </c>
      <c r="AK130">
        <f>IF($A130="","",IFERROR(VLOOKUP($B130,'_CONFIG_Risk_Calibration'!$A$5:$H$21,7,FALSE),1))</f>
        <v/>
      </c>
      <c r="AL130">
        <f>IF($A130="","",IFERROR(VLOOKUP($B130,'_CONFIG_Risk_Calibration'!$A$5:$H$21,8,FALSE),""))</f>
        <v/>
      </c>
    </row>
    <row r="131" ht="72" customHeight="1" s="209">
      <c r="A131" s="13" t="inlineStr">
        <is>
          <t>LEGA-008</t>
        </is>
      </c>
      <c r="B131" s="13" t="inlineStr">
        <is>
          <t>Legal Risk</t>
        </is>
      </c>
      <c r="C131" s="13" t="inlineStr">
        <is>
          <t>Contracts</t>
        </is>
      </c>
      <c r="D131" s="13" t="inlineStr">
        <is>
          <t>Legal, compliance and contractual exposure</t>
        </is>
      </c>
      <c r="E131" s="13" t="inlineStr">
        <is>
          <t>How mature is the organization in managing analysis of force majeure, hardship, termination, liability and continuity clauses in critical contracts, including ownership, evidence, metrics, fallback procedures and crisis stress testing?</t>
        </is>
      </c>
      <c r="F131" s="13" t="inlineStr">
        <is>
          <t>Immature capability for analysis of force majeure, hardship, termination, liability and continuity clauses in critical contracts may lead to contractual disputes, compliance breaches, regulatory penalties and delayed legal response during Regulatory/legal shock; Contractual exposure; Data breach.</t>
        </is>
      </c>
      <c r="G131" s="13" t="inlineStr">
        <is>
          <t>Low maturity, weak ownership, incomplete evidence, insufficient testing and poor integration with crisis-management routines for analysis of force majeure, hardship, termination, liability and continuity clauses in critical contracts.</t>
        </is>
      </c>
      <c r="H131" s="13" t="inlineStr">
        <is>
          <t>Severe risk: analysis of force majeure, hardship, termination, liability and continuity clauses in critical contracts is not reliably controlled. During Regulatory/legal shock; Contractual exposure; Data breach, the organization may face contractual disputes, compliance breaches, regulatory penalties and delayed legal response with limited visibility or accountability.</t>
        </is>
      </c>
      <c r="I131" s="13" t="inlineStr">
        <is>
          <t>High risk: analysis of force majeure, hardship, termination, liability and continuity clauses in critical contracts depends on informal practices or individual knowledge. Disruption may expose contractual disputes, compliance breaches, regulatory penalties and delayed legal response and slow recovery.</t>
        </is>
      </c>
      <c r="J131" s="13" t="inlineStr">
        <is>
          <t>Elevated risk: analysis of force majeure, hardship, termination, liability and continuity clauses in critical contracts is partially controlled, but coverage, evidence or testing is inconsistent. Crisis response may be fragmented.</t>
        </is>
      </c>
      <c r="K131" s="13" t="inlineStr">
        <is>
          <t>Moderate risk: analysis of force majeure, hardship, termination, liability and continuity clauses in critical contracts is documented and owned, but measurement, stress testing and integration with dependent processes need strengthening.</t>
        </is>
      </c>
      <c r="L131" s="13" t="inlineStr">
        <is>
          <t>Residual risk: analysis of force majeure, hardship, termination, liability and continuity clauses in critical contracts is measured and reviewed, but monitoring, automation or scenario testing should be improved to prevent maturity drift.</t>
        </is>
      </c>
      <c r="M131" s="13" t="inlineStr">
        <is>
          <t>Low residual risk: analysis of force majeure, hardship, termination, liability and continuity clauses in critical contracts is mature and crisis-tested. Maintain monitoring, evidence, ownership and periodic stress testing.</t>
        </is>
      </c>
      <c r="N131" s="13" t="inlineStr">
        <is>
          <t>Create an immediate risk owner, minimum control baseline and fallback procedure for analysis of force majeure, hardship, termination, liability and continuity clauses in critical contracts. Add it to the crisis risk register and collect first evidence.</t>
        </is>
      </c>
      <c r="O131" s="13" t="inlineStr">
        <is>
          <t>Document analysis of force majeure, hardship, termination, liability and continuity clauses in critical contracts, assign RACI, define minimum controls and KPIs, and validate coverage across key sites, teams or systems.</t>
        </is>
      </c>
      <c r="P131" s="13" t="inlineStr">
        <is>
          <t>Standardize analysis of force majeure, hardship, termination, liability and continuity clauses in critical contracts, close coverage gaps, train accountable roles and connect controls to the relevant crisis scenarios and continuity plans.</t>
        </is>
      </c>
      <c r="Q131" s="13" t="inlineStr">
        <is>
          <t>Measure and test analysis of force majeure, hardship, termination, liability and continuity clauses in critical contracts, run tabletop or operational stress tests, integrate it with dependent processes and update crisis playbooks.</t>
        </is>
      </c>
      <c r="R131" s="13" t="inlineStr">
        <is>
          <t>Automate monitoring where practical, define leading indicators, run periodic scenario tests and track residual risk after each major change.</t>
        </is>
      </c>
      <c r="S131" s="13" t="inlineStr">
        <is>
          <t>Sustain maturity for analysis of force majeure, hardship, termination, liability and continuity clauses in critical contracts: keep evidence current, monitor drift, benchmark externally and refresh risk tests after organizational, system or market changes.</t>
        </is>
      </c>
      <c r="T131" s="13" t="n">
        <v>3</v>
      </c>
      <c r="U131" s="13" t="n">
        <v>3</v>
      </c>
      <c r="V131" s="13" t="n">
        <v>2</v>
      </c>
      <c r="W131" s="13" t="n">
        <v>2</v>
      </c>
      <c r="X131" s="13" t="n">
        <v>1</v>
      </c>
      <c r="Y131" s="13" t="n">
        <v>1</v>
      </c>
      <c r="Z131" s="13" t="inlineStr">
        <is>
          <t>ISO 37301; ISO 31000; ISO 37001; ISO/IEC 27701; GDPR; contract management best practices</t>
        </is>
      </c>
      <c r="AA131" s="13" t="inlineStr">
        <is>
          <t>Policy/SOP; owner/RACI; system report; dashboard; contracts; test records; incident history; interview evidence related to analysis of force majeure, hardship, termination, liability and continuity clauses in critical contracts.</t>
        </is>
      </c>
      <c r="AB131" s="13" t="inlineStr">
        <is>
          <t>Regulatory/legal shock; Contractual exposure; Data breach</t>
        </is>
      </c>
      <c r="AC131" s="13" t="inlineStr">
        <is>
          <t>Legal / Compliance</t>
        </is>
      </c>
      <c r="AD131" s="13" t="inlineStr">
        <is>
          <t>Legal Risk!12</t>
        </is>
      </c>
      <c r="AE131">
        <f>IF($A131="","",IF(OR(ISNUMBER(SEARCH("cyber",$D131)),ISNUMBER(SEARCH("security",$D131)),ISNUMBER(SEARCH("safety",$D131)),ISNUMBER(SEARCH("liquidity",$D131)),ISNUMBER(SEARCH("cash",$D131)),ISNUMBER(SEARCH("continuity",$D131)),ISNUMBER(SEARCH("infrastructure",$D131)),ISNUMBER(SEARCH("outage",$D131))),"Fast",IF(OR(ISNUMBER(SEARCH("compliance",$D131)),ISNUMBER(SEARCH("regulat",$D131)),ISNUMBER(SEARCH("data",$D131)),ISNUMBER(SEARCH("talent",$D131)),ISNUMBER(SEARCH("knowledge",$D131)),ISNUMBER(SEARCH("portfolio",$D131)),ISNUMBER(SEARCH("quality",$D131))),"Slow","Medium")))</f>
        <v/>
      </c>
      <c r="AF131">
        <f>IF($A131="","",IFERROR(VLOOKUP($B131,'_CONFIG_Risk_Calibration'!$A$5:$H$21,2,FALSE),3))</f>
        <v/>
      </c>
      <c r="AG131">
        <f>IF($A131="","",IFERROR(VLOOKUP($B131,'_CONFIG_Risk_Calibration'!$A$5:$H$21,3,FALSE),0))</f>
        <v/>
      </c>
      <c r="AH131">
        <f>IF($A131="","",IFERROR(VLOOKUP($B131,'_CONFIG_Risk_Calibration'!$A$5:$H$21,4,FALSE),3))</f>
        <v/>
      </c>
      <c r="AI131">
        <f>IF($A131="","",IFERROR(VLOOKUP($B131,'_CONFIG_Risk_Calibration'!$A$5:$H$21,5,FALSE),3))</f>
        <v/>
      </c>
      <c r="AJ131">
        <f>IF($A131="","",IFERROR(VLOOKUP($B131,'_CONFIG_Risk_Calibration'!$A$5:$H$21,6,FALSE),"No"))</f>
        <v/>
      </c>
      <c r="AK131">
        <f>IF($A131="","",IFERROR(VLOOKUP($B131,'_CONFIG_Risk_Calibration'!$A$5:$H$21,7,FALSE),1))</f>
        <v/>
      </c>
      <c r="AL131">
        <f>IF($A131="","",IFERROR(VLOOKUP($B131,'_CONFIG_Risk_Calibration'!$A$5:$H$21,8,FALSE),""))</f>
        <v/>
      </c>
    </row>
    <row r="132" ht="72" customHeight="1" s="209">
      <c r="A132" s="13" t="inlineStr">
        <is>
          <t>LEGA-009</t>
        </is>
      </c>
      <c r="B132" s="13" t="inlineStr">
        <is>
          <t>Legal Risk</t>
        </is>
      </c>
      <c r="C132" s="13" t="inlineStr">
        <is>
          <t>Contracts</t>
        </is>
      </c>
      <c r="D132" s="13" t="inlineStr">
        <is>
          <t>Legal, compliance and contractual exposure</t>
        </is>
      </c>
      <c r="E132" s="13" t="inlineStr">
        <is>
          <t>How mature is the organization in managing customer SLA obligations, penalties, notification timelines and service credits during disruption, including ownership, evidence, metrics, fallback procedures and crisis stress testing?</t>
        </is>
      </c>
      <c r="F132" s="13" t="inlineStr">
        <is>
          <t>Immature capability for customer SLA obligations, penalties, notification timelines and service credits during disruption may lead to contractual disputes, compliance breaches, regulatory penalties and delayed legal response during Regulatory/legal shock; Contractual exposure; Data breach.</t>
        </is>
      </c>
      <c r="G132" s="13" t="inlineStr">
        <is>
          <t>Low maturity, weak ownership, incomplete evidence, insufficient testing and poor integration with crisis-management routines for customer SLA obligations, penalties, notification timelines and service credits during disruption.</t>
        </is>
      </c>
      <c r="H132" s="13" t="inlineStr">
        <is>
          <t>Severe risk: customer SLA obligations, penalties, notification timelines and service credits during disruption is not reliably controlled. During Regulatory/legal shock; Contractual exposure; Data breach, the organization may face contractual disputes, compliance breaches, regulatory penalties and delayed legal response with limited visibility or accountability.</t>
        </is>
      </c>
      <c r="I132" s="13" t="inlineStr">
        <is>
          <t>High risk: customer SLA obligations, penalties, notification timelines and service credits during disruption depends on informal practices or individual knowledge. Disruption may expose contractual disputes, compliance breaches, regulatory penalties and delayed legal response and slow recovery.</t>
        </is>
      </c>
      <c r="J132" s="13" t="inlineStr">
        <is>
          <t>Elevated risk: customer SLA obligations, penalties, notification timelines and service credits during disruption is partially controlled, but coverage, evidence or testing is inconsistent. Crisis response may be fragmented.</t>
        </is>
      </c>
      <c r="K132" s="13" t="inlineStr">
        <is>
          <t>Moderate risk: customer SLA obligations, penalties, notification timelines and service credits during disruption is documented and owned, but measurement, stress testing and integration with dependent processes need strengthening.</t>
        </is>
      </c>
      <c r="L132" s="13" t="inlineStr">
        <is>
          <t>Residual risk: customer SLA obligations, penalties, notification timelines and service credits during disruption is measured and reviewed, but monitoring, automation or scenario testing should be improved to prevent maturity drift.</t>
        </is>
      </c>
      <c r="M132" s="13" t="inlineStr">
        <is>
          <t>Low residual risk: customer SLA obligations, penalties, notification timelines and service credits during disruption is mature and crisis-tested. Maintain monitoring, evidence, ownership and periodic stress testing.</t>
        </is>
      </c>
      <c r="N132" s="13" t="inlineStr">
        <is>
          <t>Create an immediate risk owner, minimum control baseline and fallback procedure for customer SLA obligations, penalties, notification timelines and service credits during disruption. Add it to the crisis risk register and collect first evidence.</t>
        </is>
      </c>
      <c r="O132" s="13" t="inlineStr">
        <is>
          <t>Document customer SLA obligations, penalties, notification timelines and service credits during disruption, assign RACI, define minimum controls and KPIs, and validate coverage across key sites, teams or systems.</t>
        </is>
      </c>
      <c r="P132" s="13" t="inlineStr">
        <is>
          <t>Standardize customer SLA obligations, penalties, notification timelines and service credits during disruption, close coverage gaps, train accountable roles and connect controls to the relevant crisis scenarios and continuity plans.</t>
        </is>
      </c>
      <c r="Q132" s="13" t="inlineStr">
        <is>
          <t>Measure and test customer SLA obligations, penalties, notification timelines and service credits during disruption, run tabletop or operational stress tests, integrate it with dependent processes and update crisis playbooks.</t>
        </is>
      </c>
      <c r="R132" s="13" t="inlineStr">
        <is>
          <t>Automate monitoring where practical, define leading indicators, run periodic scenario tests and track residual risk after each major change.</t>
        </is>
      </c>
      <c r="S132" s="13" t="inlineStr">
        <is>
          <t>Sustain maturity for customer SLA obligations, penalties, notification timelines and service credits during disruption: keep evidence current, monitor drift, benchmark externally and refresh risk tests after organizational, system or market changes.</t>
        </is>
      </c>
      <c r="T132" s="13" t="n">
        <v>3</v>
      </c>
      <c r="U132" s="13" t="n">
        <v>3</v>
      </c>
      <c r="V132" s="13" t="n">
        <v>2</v>
      </c>
      <c r="W132" s="13" t="n">
        <v>2</v>
      </c>
      <c r="X132" s="13" t="n">
        <v>1</v>
      </c>
      <c r="Y132" s="13" t="n">
        <v>1</v>
      </c>
      <c r="Z132" s="13" t="inlineStr">
        <is>
          <t>ISO 37301; ISO 31000; ISO 37001; ISO/IEC 27701; GDPR; contract management best practices</t>
        </is>
      </c>
      <c r="AA132" s="13" t="inlineStr">
        <is>
          <t>Policy/SOP; owner/RACI; system report; dashboard; contracts; test records; incident history; interview evidence related to customer SLA obligations, penalties, notification timelines and service credits during disruption.</t>
        </is>
      </c>
      <c r="AB132" s="13" t="inlineStr">
        <is>
          <t>Regulatory/legal shock; Contractual exposure; Data breach</t>
        </is>
      </c>
      <c r="AC132" s="13" t="inlineStr">
        <is>
          <t>Legal / Compliance</t>
        </is>
      </c>
      <c r="AD132" s="13" t="inlineStr">
        <is>
          <t>Legal Risk!13</t>
        </is>
      </c>
      <c r="AE132">
        <f>IF($A132="","",IF(OR(ISNUMBER(SEARCH("cyber",$D132)),ISNUMBER(SEARCH("security",$D132)),ISNUMBER(SEARCH("safety",$D132)),ISNUMBER(SEARCH("liquidity",$D132)),ISNUMBER(SEARCH("cash",$D132)),ISNUMBER(SEARCH("continuity",$D132)),ISNUMBER(SEARCH("infrastructure",$D132)),ISNUMBER(SEARCH("outage",$D132))),"Fast",IF(OR(ISNUMBER(SEARCH("compliance",$D132)),ISNUMBER(SEARCH("regulat",$D132)),ISNUMBER(SEARCH("data",$D132)),ISNUMBER(SEARCH("talent",$D132)),ISNUMBER(SEARCH("knowledge",$D132)),ISNUMBER(SEARCH("portfolio",$D132)),ISNUMBER(SEARCH("quality",$D132))),"Slow","Medium")))</f>
        <v/>
      </c>
      <c r="AF132">
        <f>IF($A132="","",IFERROR(VLOOKUP($B132,'_CONFIG_Risk_Calibration'!$A$5:$H$21,2,FALSE),3))</f>
        <v/>
      </c>
      <c r="AG132">
        <f>IF($A132="","",IFERROR(VLOOKUP($B132,'_CONFIG_Risk_Calibration'!$A$5:$H$21,3,FALSE),0))</f>
        <v/>
      </c>
      <c r="AH132">
        <f>IF($A132="","",IFERROR(VLOOKUP($B132,'_CONFIG_Risk_Calibration'!$A$5:$H$21,4,FALSE),3))</f>
        <v/>
      </c>
      <c r="AI132">
        <f>IF($A132="","",IFERROR(VLOOKUP($B132,'_CONFIG_Risk_Calibration'!$A$5:$H$21,5,FALSE),3))</f>
        <v/>
      </c>
      <c r="AJ132">
        <f>IF($A132="","",IFERROR(VLOOKUP($B132,'_CONFIG_Risk_Calibration'!$A$5:$H$21,6,FALSE),"No"))</f>
        <v/>
      </c>
      <c r="AK132">
        <f>IF($A132="","",IFERROR(VLOOKUP($B132,'_CONFIG_Risk_Calibration'!$A$5:$H$21,7,FALSE),1))</f>
        <v/>
      </c>
      <c r="AL132">
        <f>IF($A132="","",IFERROR(VLOOKUP($B132,'_CONFIG_Risk_Calibration'!$A$5:$H$21,8,FALSE),""))</f>
        <v/>
      </c>
    </row>
    <row r="133" ht="72" customHeight="1" s="209">
      <c r="A133" s="13" t="inlineStr">
        <is>
          <t>LEGA-010</t>
        </is>
      </c>
      <c r="B133" s="13" t="inlineStr">
        <is>
          <t>Legal Risk</t>
        </is>
      </c>
      <c r="C133" s="13" t="inlineStr">
        <is>
          <t>Contracts</t>
        </is>
      </c>
      <c r="D133" s="13" t="inlineStr">
        <is>
          <t>Legal, compliance and contractual exposure</t>
        </is>
      </c>
      <c r="E133" s="13" t="inlineStr">
        <is>
          <t>How mature is the organization in managing supplier continuity, security, audit, subcontractor and incident notification clauses, including ownership, evidence, metrics, fallback procedures and crisis stress testing?</t>
        </is>
      </c>
      <c r="F133" s="13" t="inlineStr">
        <is>
          <t>Immature capability for supplier continuity, security, audit, subcontractor and incident notification clauses may lead to contractual disputes, compliance breaches, regulatory penalties and delayed legal response during Regulatory/legal shock; Contractual exposure; Data breach.</t>
        </is>
      </c>
      <c r="G133" s="13" t="inlineStr">
        <is>
          <t>Low maturity, weak ownership, incomplete evidence, insufficient testing and poor integration with crisis-management routines for supplier continuity, security, audit, subcontractor and incident notification clauses.</t>
        </is>
      </c>
      <c r="H133" s="13" t="inlineStr">
        <is>
          <t>Severe risk: supplier continuity, security, audit, subcontractor and incident notification clauses is not reliably controlled. During Regulatory/legal shock; Contractual exposure; Data breach, the organization may face contractual disputes, compliance breaches, regulatory penalties and delayed legal response with limited visibility or accountability.</t>
        </is>
      </c>
      <c r="I133" s="13" t="inlineStr">
        <is>
          <t>High risk: supplier continuity, security, audit, subcontractor and incident notification clauses depends on informal practices or individual knowledge. Disruption may expose contractual disputes, compliance breaches, regulatory penalties and delayed legal response and slow recovery.</t>
        </is>
      </c>
      <c r="J133" s="13" t="inlineStr">
        <is>
          <t>Elevated risk: supplier continuity, security, audit, subcontractor and incident notification clauses is partially controlled, but coverage, evidence or testing is inconsistent. Crisis response may be fragmented.</t>
        </is>
      </c>
      <c r="K133" s="13" t="inlineStr">
        <is>
          <t>Moderate risk: supplier continuity, security, audit, subcontractor and incident notification clauses is documented and owned, but measurement, stress testing and integration with dependent processes need strengthening.</t>
        </is>
      </c>
      <c r="L133" s="13" t="inlineStr">
        <is>
          <t>Residual risk: supplier continuity, security, audit, subcontractor and incident notification clauses is measured and reviewed, but monitoring, automation or scenario testing should be improved to prevent maturity drift.</t>
        </is>
      </c>
      <c r="M133" s="13" t="inlineStr">
        <is>
          <t>Low residual risk: supplier continuity, security, audit, subcontractor and incident notification clauses is mature and crisis-tested. Maintain monitoring, evidence, ownership and periodic stress testing.</t>
        </is>
      </c>
      <c r="N133" s="13" t="inlineStr">
        <is>
          <t>Create an immediate risk owner, minimum control baseline and fallback procedure for supplier continuity, security, audit, subcontractor and incident notification clauses. Add it to the crisis risk register and collect first evidence.</t>
        </is>
      </c>
      <c r="O133" s="13" t="inlineStr">
        <is>
          <t>Document supplier continuity, security, audit, subcontractor and incident notification clauses, assign RACI, define minimum controls and KPIs, and validate coverage across key sites, teams or systems.</t>
        </is>
      </c>
      <c r="P133" s="13" t="inlineStr">
        <is>
          <t>Standardize supplier continuity, security, audit, subcontractor and incident notification clauses, close coverage gaps, train accountable roles and connect controls to the relevant crisis scenarios and continuity plans.</t>
        </is>
      </c>
      <c r="Q133" s="13" t="inlineStr">
        <is>
          <t>Measure and test supplier continuity, security, audit, subcontractor and incident notification clauses, run tabletop or operational stress tests, integrate it with dependent processes and update crisis playbooks.</t>
        </is>
      </c>
      <c r="R133" s="13" t="inlineStr">
        <is>
          <t>Automate monitoring where practical, define leading indicators, run periodic scenario tests and track residual risk after each major change.</t>
        </is>
      </c>
      <c r="S133" s="13" t="inlineStr">
        <is>
          <t>Sustain maturity for supplier continuity, security, audit, subcontractor and incident notification clauses: keep evidence current, monitor drift, benchmark externally and refresh risk tests after organizational, system or market changes.</t>
        </is>
      </c>
      <c r="T133" s="13" t="n">
        <v>3</v>
      </c>
      <c r="U133" s="13" t="n">
        <v>3</v>
      </c>
      <c r="V133" s="13" t="n">
        <v>2</v>
      </c>
      <c r="W133" s="13" t="n">
        <v>2</v>
      </c>
      <c r="X133" s="13" t="n">
        <v>1</v>
      </c>
      <c r="Y133" s="13" t="n">
        <v>1</v>
      </c>
      <c r="Z133" s="13" t="inlineStr">
        <is>
          <t>ISO 37301; ISO 31000; ISO 37001; ISO/IEC 27701; GDPR; contract management best practices</t>
        </is>
      </c>
      <c r="AA133" s="13" t="inlineStr">
        <is>
          <t>Policy/SOP; owner/RACI; system report; dashboard; contracts; test records; incident history; interview evidence related to supplier continuity, security, audit, subcontractor and incident notification clauses.</t>
        </is>
      </c>
      <c r="AB133" s="13" t="inlineStr">
        <is>
          <t>Regulatory/legal shock; Contractual exposure; Data breach</t>
        </is>
      </c>
      <c r="AC133" s="13" t="inlineStr">
        <is>
          <t>Legal / Compliance</t>
        </is>
      </c>
      <c r="AD133" s="13" t="inlineStr">
        <is>
          <t>Legal Risk!14</t>
        </is>
      </c>
      <c r="AE133">
        <f>IF($A133="","",IF(OR(ISNUMBER(SEARCH("cyber",$D133)),ISNUMBER(SEARCH("security",$D133)),ISNUMBER(SEARCH("safety",$D133)),ISNUMBER(SEARCH("liquidity",$D133)),ISNUMBER(SEARCH("cash",$D133)),ISNUMBER(SEARCH("continuity",$D133)),ISNUMBER(SEARCH("infrastructure",$D133)),ISNUMBER(SEARCH("outage",$D133))),"Fast",IF(OR(ISNUMBER(SEARCH("compliance",$D133)),ISNUMBER(SEARCH("regulat",$D133)),ISNUMBER(SEARCH("data",$D133)),ISNUMBER(SEARCH("talent",$D133)),ISNUMBER(SEARCH("knowledge",$D133)),ISNUMBER(SEARCH("portfolio",$D133)),ISNUMBER(SEARCH("quality",$D133))),"Slow","Medium")))</f>
        <v/>
      </c>
      <c r="AF133">
        <f>IF($A133="","",IFERROR(VLOOKUP($B133,'_CONFIG_Risk_Calibration'!$A$5:$H$21,2,FALSE),3))</f>
        <v/>
      </c>
      <c r="AG133">
        <f>IF($A133="","",IFERROR(VLOOKUP($B133,'_CONFIG_Risk_Calibration'!$A$5:$H$21,3,FALSE),0))</f>
        <v/>
      </c>
      <c r="AH133">
        <f>IF($A133="","",IFERROR(VLOOKUP($B133,'_CONFIG_Risk_Calibration'!$A$5:$H$21,4,FALSE),3))</f>
        <v/>
      </c>
      <c r="AI133">
        <f>IF($A133="","",IFERROR(VLOOKUP($B133,'_CONFIG_Risk_Calibration'!$A$5:$H$21,5,FALSE),3))</f>
        <v/>
      </c>
      <c r="AJ133">
        <f>IF($A133="","",IFERROR(VLOOKUP($B133,'_CONFIG_Risk_Calibration'!$A$5:$H$21,6,FALSE),"No"))</f>
        <v/>
      </c>
      <c r="AK133">
        <f>IF($A133="","",IFERROR(VLOOKUP($B133,'_CONFIG_Risk_Calibration'!$A$5:$H$21,7,FALSE),1))</f>
        <v/>
      </c>
      <c r="AL133">
        <f>IF($A133="","",IFERROR(VLOOKUP($B133,'_CONFIG_Risk_Calibration'!$A$5:$H$21,8,FALSE),""))</f>
        <v/>
      </c>
    </row>
    <row r="134" ht="72" customHeight="1" s="209">
      <c r="A134" s="13" t="inlineStr">
        <is>
          <t>LEGA-011</t>
        </is>
      </c>
      <c r="B134" s="13" t="inlineStr">
        <is>
          <t>Legal Risk</t>
        </is>
      </c>
      <c r="C134" s="13" t="inlineStr">
        <is>
          <t>Contracts</t>
        </is>
      </c>
      <c r="D134" s="13" t="inlineStr">
        <is>
          <t>Legal, compliance and contractual exposure</t>
        </is>
      </c>
      <c r="E134" s="13" t="inlineStr">
        <is>
          <t>How mature is the organization in managing signatory continuity with powers of attorney, board approvals and emergency delegation, including ownership, evidence, metrics, fallback procedures and crisis stress testing?</t>
        </is>
      </c>
      <c r="F134" s="13" t="inlineStr">
        <is>
          <t>Immature capability for signatory continuity with powers of attorney, board approvals and emergency delegation may lead to contractual disputes, compliance breaches, regulatory penalties and delayed legal response during Regulatory/legal shock; Contractual exposure; Data breach.</t>
        </is>
      </c>
      <c r="G134" s="13" t="inlineStr">
        <is>
          <t>Low maturity, weak ownership, incomplete evidence, insufficient testing and poor integration with crisis-management routines for signatory continuity with powers of attorney, board approvals and emergency delegation.</t>
        </is>
      </c>
      <c r="H134" s="13" t="inlineStr">
        <is>
          <t>Severe risk: signatory continuity with powers of attorney, board approvals and emergency delegation is not reliably controlled. During Regulatory/legal shock; Contractual exposure; Data breach, the organization may face contractual disputes, compliance breaches, regulatory penalties and delayed legal response with limited visibility or accountability.</t>
        </is>
      </c>
      <c r="I134" s="13" t="inlineStr">
        <is>
          <t>High risk: signatory continuity with powers of attorney, board approvals and emergency delegation depends on informal practices or individual knowledge. Disruption may expose contractual disputes, compliance breaches, regulatory penalties and delayed legal response and slow recovery.</t>
        </is>
      </c>
      <c r="J134" s="13" t="inlineStr">
        <is>
          <t>Elevated risk: signatory continuity with powers of attorney, board approvals and emergency delegation is partially controlled, but coverage, evidence or testing is inconsistent. Crisis response may be fragmented.</t>
        </is>
      </c>
      <c r="K134" s="13" t="inlineStr">
        <is>
          <t>Moderate risk: signatory continuity with powers of attorney, board approvals and emergency delegation is documented and owned, but measurement, stress testing and integration with dependent processes need strengthening.</t>
        </is>
      </c>
      <c r="L134" s="13" t="inlineStr">
        <is>
          <t>Residual risk: signatory continuity with powers of attorney, board approvals and emergency delegation is measured and reviewed, but monitoring, automation or scenario testing should be improved to prevent maturity drift.</t>
        </is>
      </c>
      <c r="M134" s="13" t="inlineStr">
        <is>
          <t>Low residual risk: signatory continuity with powers of attorney, board approvals and emergency delegation is mature and crisis-tested. Maintain monitoring, evidence, ownership and periodic stress testing.</t>
        </is>
      </c>
      <c r="N134" s="13" t="inlineStr">
        <is>
          <t>Create an immediate risk owner, minimum control baseline and fallback procedure for signatory continuity with powers of attorney, board approvals and emergency delegation. Add it to the crisis risk register and collect first evidence.</t>
        </is>
      </c>
      <c r="O134" s="13" t="inlineStr">
        <is>
          <t>Document signatory continuity with powers of attorney, board approvals and emergency delegation, assign RACI, define minimum controls and KPIs, and validate coverage across key sites, teams or systems.</t>
        </is>
      </c>
      <c r="P134" s="13" t="inlineStr">
        <is>
          <t>Standardize signatory continuity with powers of attorney, board approvals and emergency delegation, close coverage gaps, train accountable roles and connect controls to the relevant crisis scenarios and continuity plans.</t>
        </is>
      </c>
      <c r="Q134" s="13" t="inlineStr">
        <is>
          <t>Measure and test signatory continuity with powers of attorney, board approvals and emergency delegation, run tabletop or operational stress tests, integrate it with dependent processes and update crisis playbooks.</t>
        </is>
      </c>
      <c r="R134" s="13" t="inlineStr">
        <is>
          <t>Automate monitoring where practical, define leading indicators, run periodic scenario tests and track residual risk after each major change.</t>
        </is>
      </c>
      <c r="S134" s="13" t="inlineStr">
        <is>
          <t>Sustain maturity for signatory continuity with powers of attorney, board approvals and emergency delegation: keep evidence current, monitor drift, benchmark externally and refresh risk tests after organizational, system or market changes.</t>
        </is>
      </c>
      <c r="T134" s="13" t="n">
        <v>3</v>
      </c>
      <c r="U134" s="13" t="n">
        <v>3</v>
      </c>
      <c r="V134" s="13" t="n">
        <v>2</v>
      </c>
      <c r="W134" s="13" t="n">
        <v>2</v>
      </c>
      <c r="X134" s="13" t="n">
        <v>1</v>
      </c>
      <c r="Y134" s="13" t="n">
        <v>1</v>
      </c>
      <c r="Z134" s="13" t="inlineStr">
        <is>
          <t>ISO 37301; ISO 31000; ISO 37001; ISO/IEC 27701; GDPR; contract management best practices</t>
        </is>
      </c>
      <c r="AA134" s="13" t="inlineStr">
        <is>
          <t>Policy/SOP; owner/RACI; system report; dashboard; contracts; test records; incident history; interview evidence related to signatory continuity with powers of attorney, board approvals and emergency delegation.</t>
        </is>
      </c>
      <c r="AB134" s="13" t="inlineStr">
        <is>
          <t>Regulatory/legal shock; Contractual exposure; Data breach</t>
        </is>
      </c>
      <c r="AC134" s="13" t="inlineStr">
        <is>
          <t>Legal / Compliance</t>
        </is>
      </c>
      <c r="AD134" s="13" t="inlineStr">
        <is>
          <t>Legal Risk!15</t>
        </is>
      </c>
      <c r="AE134">
        <f>IF($A134="","",IF(OR(ISNUMBER(SEARCH("cyber",$D134)),ISNUMBER(SEARCH("security",$D134)),ISNUMBER(SEARCH("safety",$D134)),ISNUMBER(SEARCH("liquidity",$D134)),ISNUMBER(SEARCH("cash",$D134)),ISNUMBER(SEARCH("continuity",$D134)),ISNUMBER(SEARCH("infrastructure",$D134)),ISNUMBER(SEARCH("outage",$D134))),"Fast",IF(OR(ISNUMBER(SEARCH("compliance",$D134)),ISNUMBER(SEARCH("regulat",$D134)),ISNUMBER(SEARCH("data",$D134)),ISNUMBER(SEARCH("talent",$D134)),ISNUMBER(SEARCH("knowledge",$D134)),ISNUMBER(SEARCH("portfolio",$D134)),ISNUMBER(SEARCH("quality",$D134))),"Slow","Medium")))</f>
        <v/>
      </c>
      <c r="AF134">
        <f>IF($A134="","",IFERROR(VLOOKUP($B134,'_CONFIG_Risk_Calibration'!$A$5:$H$21,2,FALSE),3))</f>
        <v/>
      </c>
      <c r="AG134">
        <f>IF($A134="","",IFERROR(VLOOKUP($B134,'_CONFIG_Risk_Calibration'!$A$5:$H$21,3,FALSE),0))</f>
        <v/>
      </c>
      <c r="AH134">
        <f>IF($A134="","",IFERROR(VLOOKUP($B134,'_CONFIG_Risk_Calibration'!$A$5:$H$21,4,FALSE),3))</f>
        <v/>
      </c>
      <c r="AI134">
        <f>IF($A134="","",IFERROR(VLOOKUP($B134,'_CONFIG_Risk_Calibration'!$A$5:$H$21,5,FALSE),3))</f>
        <v/>
      </c>
      <c r="AJ134">
        <f>IF($A134="","",IFERROR(VLOOKUP($B134,'_CONFIG_Risk_Calibration'!$A$5:$H$21,6,FALSE),"No"))</f>
        <v/>
      </c>
      <c r="AK134">
        <f>IF($A134="","",IFERROR(VLOOKUP($B134,'_CONFIG_Risk_Calibration'!$A$5:$H$21,7,FALSE),1))</f>
        <v/>
      </c>
      <c r="AL134">
        <f>IF($A134="","",IFERROR(VLOOKUP($B134,'_CONFIG_Risk_Calibration'!$A$5:$H$21,8,FALSE),""))</f>
        <v/>
      </c>
    </row>
    <row r="135" ht="72" customHeight="1" s="209">
      <c r="A135" s="13" t="inlineStr">
        <is>
          <t>LEGA-012</t>
        </is>
      </c>
      <c r="B135" s="13" t="inlineStr">
        <is>
          <t>Legal Risk</t>
        </is>
      </c>
      <c r="C135" s="13" t="inlineStr">
        <is>
          <t>Contracts</t>
        </is>
      </c>
      <c r="D135" s="13" t="inlineStr">
        <is>
          <t>Legal, compliance and contractual exposure</t>
        </is>
      </c>
      <c r="E135" s="13" t="inlineStr">
        <is>
          <t>How mature is the organization in managing insurance claims process linked to incident evidence collection, including ownership, evidence, metrics, fallback procedures and crisis stress testing?</t>
        </is>
      </c>
      <c r="F135" s="13" t="inlineStr">
        <is>
          <t>Immature capability for insurance claims process linked to incident evidence collection may lead to contractual disputes, compliance breaches, regulatory penalties and delayed legal response during Regulatory/legal shock; Contractual exposure; Data breach.</t>
        </is>
      </c>
      <c r="G135" s="13" t="inlineStr">
        <is>
          <t>Low maturity, weak ownership, incomplete evidence, insufficient testing and poor integration with crisis-management routines for insurance claims process linked to incident evidence collection.</t>
        </is>
      </c>
      <c r="H135" s="13" t="inlineStr">
        <is>
          <t>Severe risk: insurance claims process linked to incident evidence collection is not reliably controlled. During Regulatory/legal shock; Contractual exposure; Data breach, the organization may face contractual disputes, compliance breaches, regulatory penalties and delayed legal response with limited visibility or accountability.</t>
        </is>
      </c>
      <c r="I135" s="13" t="inlineStr">
        <is>
          <t>High risk: insurance claims process linked to incident evidence collection depends on informal practices or individual knowledge. Disruption may expose contractual disputes, compliance breaches, regulatory penalties and delayed legal response and slow recovery.</t>
        </is>
      </c>
      <c r="J135" s="13" t="inlineStr">
        <is>
          <t>Elevated risk: insurance claims process linked to incident evidence collection is partially controlled, but coverage, evidence or testing is inconsistent. Crisis response may be fragmented.</t>
        </is>
      </c>
      <c r="K135" s="13" t="inlineStr">
        <is>
          <t>Moderate risk: insurance claims process linked to incident evidence collection is documented and owned, but measurement, stress testing and integration with dependent processes need strengthening.</t>
        </is>
      </c>
      <c r="L135" s="13" t="inlineStr">
        <is>
          <t>Residual risk: insurance claims process linked to incident evidence collection is measured and reviewed, but monitoring, automation or scenario testing should be improved to prevent maturity drift.</t>
        </is>
      </c>
      <c r="M135" s="13" t="inlineStr">
        <is>
          <t>Low residual risk: insurance claims process linked to incident evidence collection is mature and crisis-tested. Maintain monitoring, evidence, ownership and periodic stress testing.</t>
        </is>
      </c>
      <c r="N135" s="13" t="inlineStr">
        <is>
          <t>Create an immediate risk owner, minimum control baseline and fallback procedure for insurance claims process linked to incident evidence collection. Add it to the crisis risk register and collect first evidence.</t>
        </is>
      </c>
      <c r="O135" s="13" t="inlineStr">
        <is>
          <t>Document insurance claims process linked to incident evidence collection, assign RACI, define minimum controls and KPIs, and validate coverage across key sites, teams or systems.</t>
        </is>
      </c>
      <c r="P135" s="13" t="inlineStr">
        <is>
          <t>Standardize insurance claims process linked to incident evidence collection, close coverage gaps, train accountable roles and connect controls to the relevant crisis scenarios and continuity plans.</t>
        </is>
      </c>
      <c r="Q135" s="13" t="inlineStr">
        <is>
          <t>Measure and test insurance claims process linked to incident evidence collection, run tabletop or operational stress tests, integrate it with dependent processes and update crisis playbooks.</t>
        </is>
      </c>
      <c r="R135" s="13" t="inlineStr">
        <is>
          <t>Automate monitoring where practical, define leading indicators, run periodic scenario tests and track residual risk after each major change.</t>
        </is>
      </c>
      <c r="S135" s="13" t="inlineStr">
        <is>
          <t>Sustain maturity for insurance claims process linked to incident evidence collection: keep evidence current, monitor drift, benchmark externally and refresh risk tests after organizational, system or market changes.</t>
        </is>
      </c>
      <c r="T135" s="13" t="n">
        <v>3</v>
      </c>
      <c r="U135" s="13" t="n">
        <v>3</v>
      </c>
      <c r="V135" s="13" t="n">
        <v>2</v>
      </c>
      <c r="W135" s="13" t="n">
        <v>2</v>
      </c>
      <c r="X135" s="13" t="n">
        <v>1</v>
      </c>
      <c r="Y135" s="13" t="n">
        <v>1</v>
      </c>
      <c r="Z135" s="13" t="inlineStr">
        <is>
          <t>ISO 37301; ISO 31000; ISO 37001; ISO/IEC 27701; GDPR; contract management best practices</t>
        </is>
      </c>
      <c r="AA135" s="13" t="inlineStr">
        <is>
          <t>Policy/SOP; owner/RACI; system report; dashboard; contracts; test records; incident history; interview evidence related to insurance claims process linked to incident evidence collection.</t>
        </is>
      </c>
      <c r="AB135" s="13" t="inlineStr">
        <is>
          <t>Regulatory/legal shock; Contractual exposure; Data breach</t>
        </is>
      </c>
      <c r="AC135" s="13" t="inlineStr">
        <is>
          <t>Legal / Compliance</t>
        </is>
      </c>
      <c r="AD135" s="13" t="inlineStr">
        <is>
          <t>Legal Risk!16</t>
        </is>
      </c>
      <c r="AE135">
        <f>IF($A135="","",IF(OR(ISNUMBER(SEARCH("cyber",$D135)),ISNUMBER(SEARCH("security",$D135)),ISNUMBER(SEARCH("safety",$D135)),ISNUMBER(SEARCH("liquidity",$D135)),ISNUMBER(SEARCH("cash",$D135)),ISNUMBER(SEARCH("continuity",$D135)),ISNUMBER(SEARCH("infrastructure",$D135)),ISNUMBER(SEARCH("outage",$D135))),"Fast",IF(OR(ISNUMBER(SEARCH("compliance",$D135)),ISNUMBER(SEARCH("regulat",$D135)),ISNUMBER(SEARCH("data",$D135)),ISNUMBER(SEARCH("talent",$D135)),ISNUMBER(SEARCH("knowledge",$D135)),ISNUMBER(SEARCH("portfolio",$D135)),ISNUMBER(SEARCH("quality",$D135))),"Slow","Medium")))</f>
        <v/>
      </c>
      <c r="AF135">
        <f>IF($A135="","",IFERROR(VLOOKUP($B135,'_CONFIG_Risk_Calibration'!$A$5:$H$21,2,FALSE),3))</f>
        <v/>
      </c>
      <c r="AG135">
        <f>IF($A135="","",IFERROR(VLOOKUP($B135,'_CONFIG_Risk_Calibration'!$A$5:$H$21,3,FALSE),0))</f>
        <v/>
      </c>
      <c r="AH135">
        <f>IF($A135="","",IFERROR(VLOOKUP($B135,'_CONFIG_Risk_Calibration'!$A$5:$H$21,4,FALSE),3))</f>
        <v/>
      </c>
      <c r="AI135">
        <f>IF($A135="","",IFERROR(VLOOKUP($B135,'_CONFIG_Risk_Calibration'!$A$5:$H$21,5,FALSE),3))</f>
        <v/>
      </c>
      <c r="AJ135">
        <f>IF($A135="","",IFERROR(VLOOKUP($B135,'_CONFIG_Risk_Calibration'!$A$5:$H$21,6,FALSE),"No"))</f>
        <v/>
      </c>
      <c r="AK135">
        <f>IF($A135="","",IFERROR(VLOOKUP($B135,'_CONFIG_Risk_Calibration'!$A$5:$H$21,7,FALSE),1))</f>
        <v/>
      </c>
      <c r="AL135">
        <f>IF($A135="","",IFERROR(VLOOKUP($B135,'_CONFIG_Risk_Calibration'!$A$5:$H$21,8,FALSE),""))</f>
        <v/>
      </c>
    </row>
    <row r="136" ht="72" customHeight="1" s="209">
      <c r="A136" s="13" t="inlineStr">
        <is>
          <t>LEGA-013</t>
        </is>
      </c>
      <c r="B136" s="13" t="inlineStr">
        <is>
          <t>Legal Risk</t>
        </is>
      </c>
      <c r="C136" s="13" t="inlineStr">
        <is>
          <t>Data and IP</t>
        </is>
      </c>
      <c r="D136" s="13" t="inlineStr">
        <is>
          <t>Legal, compliance and contractual exposure</t>
        </is>
      </c>
      <c r="E136" s="13" t="inlineStr">
        <is>
          <t>How mature is the organization in managing personal data processing map by system, purpose, location, processor and transfer mechanism, including ownership, evidence, metrics, fallback procedures and crisis stress testing?</t>
        </is>
      </c>
      <c r="F136" s="13" t="inlineStr">
        <is>
          <t>Immature capability for personal data processing map by system, purpose, location, processor and transfer mechanism may lead to contractual disputes, compliance breaches, regulatory penalties and delayed legal response during Regulatory/legal shock; Contractual exposure; Data breach.</t>
        </is>
      </c>
      <c r="G136" s="13" t="inlineStr">
        <is>
          <t>Low maturity, weak ownership, incomplete evidence, insufficient testing and poor integration with crisis-management routines for personal data processing map by system, purpose, location, processor and transfer mechanism.</t>
        </is>
      </c>
      <c r="H136" s="13" t="inlineStr">
        <is>
          <t>Severe risk: personal data processing map by system, purpose, location, processor and transfer mechanism is not reliably controlled. During Regulatory/legal shock; Contractual exposure; Data breach, the organization may face contractual disputes, compliance breaches, regulatory penalties and delayed legal response with limited visibility or accountability.</t>
        </is>
      </c>
      <c r="I136" s="13" t="inlineStr">
        <is>
          <t>High risk: personal data processing map by system, purpose, location, processor and transfer mechanism depends on informal practices or individual knowledge. Disruption may expose contractual disputes, compliance breaches, regulatory penalties and delayed legal response and slow recovery.</t>
        </is>
      </c>
      <c r="J136" s="13" t="inlineStr">
        <is>
          <t>Elevated risk: personal data processing map by system, purpose, location, processor and transfer mechanism is partially controlled, but coverage, evidence or testing is inconsistent. Crisis response may be fragmented.</t>
        </is>
      </c>
      <c r="K136" s="13" t="inlineStr">
        <is>
          <t>Moderate risk: personal data processing map by system, purpose, location, processor and transfer mechanism is documented and owned, but measurement, stress testing and integration with dependent processes need strengthening.</t>
        </is>
      </c>
      <c r="L136" s="13" t="inlineStr">
        <is>
          <t>Residual risk: personal data processing map by system, purpose, location, processor and transfer mechanism is measured and reviewed, but monitoring, automation or scenario testing should be improved to prevent maturity drift.</t>
        </is>
      </c>
      <c r="M136" s="13" t="inlineStr">
        <is>
          <t>Low residual risk: personal data processing map by system, purpose, location, processor and transfer mechanism is mature and crisis-tested. Maintain monitoring, evidence, ownership and periodic stress testing.</t>
        </is>
      </c>
      <c r="N136" s="13" t="inlineStr">
        <is>
          <t>Create an immediate risk owner, minimum control baseline and fallback procedure for personal data processing map by system, purpose, location, processor and transfer mechanism. Add it to the crisis risk register and collect first evidence.</t>
        </is>
      </c>
      <c r="O136" s="13" t="inlineStr">
        <is>
          <t>Document personal data processing map by system, purpose, location, processor and transfer mechanism, assign RACI, define minimum controls and KPIs, and validate coverage across key sites, teams or systems.</t>
        </is>
      </c>
      <c r="P136" s="13" t="inlineStr">
        <is>
          <t>Standardize personal data processing map by system, purpose, location, processor and transfer mechanism, close coverage gaps, train accountable roles and connect controls to the relevant crisis scenarios and continuity plans.</t>
        </is>
      </c>
      <c r="Q136" s="13" t="inlineStr">
        <is>
          <t>Measure and test personal data processing map by system, purpose, location, processor and transfer mechanism, run tabletop or operational stress tests, integrate it with dependent processes and update crisis playbooks.</t>
        </is>
      </c>
      <c r="R136" s="13" t="inlineStr">
        <is>
          <t>Automate monitoring where practical, define leading indicators, run periodic scenario tests and track residual risk after each major change.</t>
        </is>
      </c>
      <c r="S136" s="13" t="inlineStr">
        <is>
          <t>Sustain maturity for personal data processing map by system, purpose, location, processor and transfer mechanism: keep evidence current, monitor drift, benchmark externally and refresh risk tests after organizational, system or market changes.</t>
        </is>
      </c>
      <c r="T136" s="13" t="n">
        <v>3</v>
      </c>
      <c r="U136" s="13" t="n">
        <v>3</v>
      </c>
      <c r="V136" s="13" t="n">
        <v>2</v>
      </c>
      <c r="W136" s="13" t="n">
        <v>2</v>
      </c>
      <c r="X136" s="13" t="n">
        <v>1</v>
      </c>
      <c r="Y136" s="13" t="n">
        <v>1</v>
      </c>
      <c r="Z136" s="13" t="inlineStr">
        <is>
          <t>ISO 37301; ISO 31000; ISO 37001; ISO/IEC 27701; GDPR; contract management best practices</t>
        </is>
      </c>
      <c r="AA136" s="13" t="inlineStr">
        <is>
          <t>Policy/SOP; owner/RACI; system report; dashboard; contracts; test records; incident history; interview evidence related to personal data processing map by system, purpose, location, processor and transfer mechanism.</t>
        </is>
      </c>
      <c r="AB136" s="13" t="inlineStr">
        <is>
          <t>Regulatory/legal shock; Contractual exposure; Data breach</t>
        </is>
      </c>
      <c r="AC136" s="13" t="inlineStr">
        <is>
          <t>Legal / Compliance</t>
        </is>
      </c>
      <c r="AD136" s="13" t="inlineStr">
        <is>
          <t>Legal Risk!17</t>
        </is>
      </c>
      <c r="AE136">
        <f>IF($A136="","",IF(OR(ISNUMBER(SEARCH("cyber",$D136)),ISNUMBER(SEARCH("security",$D136)),ISNUMBER(SEARCH("safety",$D136)),ISNUMBER(SEARCH("liquidity",$D136)),ISNUMBER(SEARCH("cash",$D136)),ISNUMBER(SEARCH("continuity",$D136)),ISNUMBER(SEARCH("infrastructure",$D136)),ISNUMBER(SEARCH("outage",$D136))),"Fast",IF(OR(ISNUMBER(SEARCH("compliance",$D136)),ISNUMBER(SEARCH("regulat",$D136)),ISNUMBER(SEARCH("data",$D136)),ISNUMBER(SEARCH("talent",$D136)),ISNUMBER(SEARCH("knowledge",$D136)),ISNUMBER(SEARCH("portfolio",$D136)),ISNUMBER(SEARCH("quality",$D136))),"Slow","Medium")))</f>
        <v/>
      </c>
      <c r="AF136">
        <f>IF($A136="","",IFERROR(VLOOKUP($B136,'_CONFIG_Risk_Calibration'!$A$5:$H$21,2,FALSE),3))</f>
        <v/>
      </c>
      <c r="AG136">
        <f>IF($A136="","",IFERROR(VLOOKUP($B136,'_CONFIG_Risk_Calibration'!$A$5:$H$21,3,FALSE),0))</f>
        <v/>
      </c>
      <c r="AH136">
        <f>IF($A136="","",IFERROR(VLOOKUP($B136,'_CONFIG_Risk_Calibration'!$A$5:$H$21,4,FALSE),3))</f>
        <v/>
      </c>
      <c r="AI136">
        <f>IF($A136="","",IFERROR(VLOOKUP($B136,'_CONFIG_Risk_Calibration'!$A$5:$H$21,5,FALSE),3))</f>
        <v/>
      </c>
      <c r="AJ136">
        <f>IF($A136="","",IFERROR(VLOOKUP($B136,'_CONFIG_Risk_Calibration'!$A$5:$H$21,6,FALSE),"No"))</f>
        <v/>
      </c>
      <c r="AK136">
        <f>IF($A136="","",IFERROR(VLOOKUP($B136,'_CONFIG_Risk_Calibration'!$A$5:$H$21,7,FALSE),1))</f>
        <v/>
      </c>
      <c r="AL136">
        <f>IF($A136="","",IFERROR(VLOOKUP($B136,'_CONFIG_Risk_Calibration'!$A$5:$H$21,8,FALSE),""))</f>
        <v/>
      </c>
    </row>
    <row r="137" ht="72" customHeight="1" s="209">
      <c r="A137" s="13" t="inlineStr">
        <is>
          <t>LEGA-014</t>
        </is>
      </c>
      <c r="B137" s="13" t="inlineStr">
        <is>
          <t>Legal Risk</t>
        </is>
      </c>
      <c r="C137" s="13" t="inlineStr">
        <is>
          <t>Data and IP</t>
        </is>
      </c>
      <c r="D137" s="13" t="inlineStr">
        <is>
          <t>Legal, compliance and contractual exposure</t>
        </is>
      </c>
      <c r="E137" s="13" t="inlineStr">
        <is>
          <t>How mature is the organization in managing breach notification readiness for personal data and customer contractual obligations, including ownership, evidence, metrics, fallback procedures and crisis stress testing?</t>
        </is>
      </c>
      <c r="F137" s="13" t="inlineStr">
        <is>
          <t>Immature capability for breach notification readiness for personal data and customer contractual obligations may lead to contractual disputes, compliance breaches, regulatory penalties and delayed legal response during Regulatory/legal shock; Contractual exposure; Data breach.</t>
        </is>
      </c>
      <c r="G137" s="13" t="inlineStr">
        <is>
          <t>Low maturity, weak ownership, incomplete evidence, insufficient testing and poor integration with crisis-management routines for breach notification readiness for personal data and customer contractual obligations.</t>
        </is>
      </c>
      <c r="H137" s="13" t="inlineStr">
        <is>
          <t>Severe risk: breach notification readiness for personal data and customer contractual obligations is not reliably controlled. During Regulatory/legal shock; Contractual exposure; Data breach, the organization may face contractual disputes, compliance breaches, regulatory penalties and delayed legal response with limited visibility or accountability.</t>
        </is>
      </c>
      <c r="I137" s="13" t="inlineStr">
        <is>
          <t>High risk: breach notification readiness for personal data and customer contractual obligations depends on informal practices or individual knowledge. Disruption may expose contractual disputes, compliance breaches, regulatory penalties and delayed legal response and slow recovery.</t>
        </is>
      </c>
      <c r="J137" s="13" t="inlineStr">
        <is>
          <t>Elevated risk: breach notification readiness for personal data and customer contractual obligations is partially controlled, but coverage, evidence or testing is inconsistent. Crisis response may be fragmented.</t>
        </is>
      </c>
      <c r="K137" s="13" t="inlineStr">
        <is>
          <t>Moderate risk: breach notification readiness for personal data and customer contractual obligations is documented and owned, but measurement, stress testing and integration with dependent processes need strengthening.</t>
        </is>
      </c>
      <c r="L137" s="13" t="inlineStr">
        <is>
          <t>Residual risk: breach notification readiness for personal data and customer contractual obligations is measured and reviewed, but monitoring, automation or scenario testing should be improved to prevent maturity drift.</t>
        </is>
      </c>
      <c r="M137" s="13" t="inlineStr">
        <is>
          <t>Low residual risk: breach notification readiness for personal data and customer contractual obligations is mature and crisis-tested. Maintain monitoring, evidence, ownership and periodic stress testing.</t>
        </is>
      </c>
      <c r="N137" s="13" t="inlineStr">
        <is>
          <t>Create an immediate risk owner, minimum control baseline and fallback procedure for breach notification readiness for personal data and customer contractual obligations. Add it to the crisis risk register and collect first evidence.</t>
        </is>
      </c>
      <c r="O137" s="13" t="inlineStr">
        <is>
          <t>Document breach notification readiness for personal data and customer contractual obligations, assign RACI, define minimum controls and KPIs, and validate coverage across key sites, teams or systems.</t>
        </is>
      </c>
      <c r="P137" s="13" t="inlineStr">
        <is>
          <t>Standardize breach notification readiness for personal data and customer contractual obligations, close coverage gaps, train accountable roles and connect controls to the relevant crisis scenarios and continuity plans.</t>
        </is>
      </c>
      <c r="Q137" s="13" t="inlineStr">
        <is>
          <t>Measure and test breach notification readiness for personal data and customer contractual obligations, run tabletop or operational stress tests, integrate it with dependent processes and update crisis playbooks.</t>
        </is>
      </c>
      <c r="R137" s="13" t="inlineStr">
        <is>
          <t>Automate monitoring where practical, define leading indicators, run periodic scenario tests and track residual risk after each major change.</t>
        </is>
      </c>
      <c r="S137" s="13" t="inlineStr">
        <is>
          <t>Sustain maturity for breach notification readiness for personal data and customer contractual obligations: keep evidence current, monitor drift, benchmark externally and refresh risk tests after organizational, system or market changes.</t>
        </is>
      </c>
      <c r="T137" s="13" t="n">
        <v>3</v>
      </c>
      <c r="U137" s="13" t="n">
        <v>3</v>
      </c>
      <c r="V137" s="13" t="n">
        <v>2</v>
      </c>
      <c r="W137" s="13" t="n">
        <v>2</v>
      </c>
      <c r="X137" s="13" t="n">
        <v>1</v>
      </c>
      <c r="Y137" s="13" t="n">
        <v>1</v>
      </c>
      <c r="Z137" s="13" t="inlineStr">
        <is>
          <t>ISO 37301; ISO 31000; ISO 37001; ISO/IEC 27701; GDPR; contract management best practices</t>
        </is>
      </c>
      <c r="AA137" s="13" t="inlineStr">
        <is>
          <t>Policy/SOP; owner/RACI; system report; dashboard; contracts; test records; incident history; interview evidence related to breach notification readiness for personal data and customer contractual obligations.</t>
        </is>
      </c>
      <c r="AB137" s="13" t="inlineStr">
        <is>
          <t>Regulatory/legal shock; Contractual exposure; Data breach</t>
        </is>
      </c>
      <c r="AC137" s="13" t="inlineStr">
        <is>
          <t>Legal / Compliance</t>
        </is>
      </c>
      <c r="AD137" s="13" t="inlineStr">
        <is>
          <t>Legal Risk!18</t>
        </is>
      </c>
      <c r="AE137">
        <f>IF($A137="","",IF(OR(ISNUMBER(SEARCH("cyber",$D137)),ISNUMBER(SEARCH("security",$D137)),ISNUMBER(SEARCH("safety",$D137)),ISNUMBER(SEARCH("liquidity",$D137)),ISNUMBER(SEARCH("cash",$D137)),ISNUMBER(SEARCH("continuity",$D137)),ISNUMBER(SEARCH("infrastructure",$D137)),ISNUMBER(SEARCH("outage",$D137))),"Fast",IF(OR(ISNUMBER(SEARCH("compliance",$D137)),ISNUMBER(SEARCH("regulat",$D137)),ISNUMBER(SEARCH("data",$D137)),ISNUMBER(SEARCH("talent",$D137)),ISNUMBER(SEARCH("knowledge",$D137)),ISNUMBER(SEARCH("portfolio",$D137)),ISNUMBER(SEARCH("quality",$D137))),"Slow","Medium")))</f>
        <v/>
      </c>
      <c r="AF137">
        <f>IF($A137="","",IFERROR(VLOOKUP($B137,'_CONFIG_Risk_Calibration'!$A$5:$H$21,2,FALSE),3))</f>
        <v/>
      </c>
      <c r="AG137">
        <f>IF($A137="","",IFERROR(VLOOKUP($B137,'_CONFIG_Risk_Calibration'!$A$5:$H$21,3,FALSE),0))</f>
        <v/>
      </c>
      <c r="AH137">
        <f>IF($A137="","",IFERROR(VLOOKUP($B137,'_CONFIG_Risk_Calibration'!$A$5:$H$21,4,FALSE),3))</f>
        <v/>
      </c>
      <c r="AI137">
        <f>IF($A137="","",IFERROR(VLOOKUP($B137,'_CONFIG_Risk_Calibration'!$A$5:$H$21,5,FALSE),3))</f>
        <v/>
      </c>
      <c r="AJ137">
        <f>IF($A137="","",IFERROR(VLOOKUP($B137,'_CONFIG_Risk_Calibration'!$A$5:$H$21,6,FALSE),"No"))</f>
        <v/>
      </c>
      <c r="AK137">
        <f>IF($A137="","",IFERROR(VLOOKUP($B137,'_CONFIG_Risk_Calibration'!$A$5:$H$21,7,FALSE),1))</f>
        <v/>
      </c>
      <c r="AL137">
        <f>IF($A137="","",IFERROR(VLOOKUP($B137,'_CONFIG_Risk_Calibration'!$A$5:$H$21,8,FALSE),""))</f>
        <v/>
      </c>
    </row>
    <row r="138" ht="72" customHeight="1" s="209">
      <c r="A138" s="13" t="inlineStr">
        <is>
          <t>LEGA-015</t>
        </is>
      </c>
      <c r="B138" s="13" t="inlineStr">
        <is>
          <t>Legal Risk</t>
        </is>
      </c>
      <c r="C138" s="13" t="inlineStr">
        <is>
          <t>Data and IP</t>
        </is>
      </c>
      <c r="D138" s="13" t="inlineStr">
        <is>
          <t>Legal, compliance and contractual exposure</t>
        </is>
      </c>
      <c r="E138" s="13" t="inlineStr">
        <is>
          <t>How mature is the organization in managing data processing agreements with vendors covering security, incident response, sub-processors and continuity, including ownership, evidence, metrics, fallback procedures and crisis stress testing?</t>
        </is>
      </c>
      <c r="F138" s="13" t="inlineStr">
        <is>
          <t>Immature capability for data processing agreements with vendors covering security, incident response, sub-processors and continuity may lead to contractual disputes, compliance breaches, regulatory penalties and delayed legal response during Regulatory/legal shock; Contractual exposure; Data breach.</t>
        </is>
      </c>
      <c r="G138" s="13" t="inlineStr">
        <is>
          <t>Low maturity, weak ownership, incomplete evidence, insufficient testing and poor integration with crisis-management routines for data processing agreements with vendors covering security, incident response, sub-processors and continuity.</t>
        </is>
      </c>
      <c r="H138" s="13" t="inlineStr">
        <is>
          <t>Severe risk: data processing agreements with vendors covering security, incident response, sub-processors and continuity is not reliably controlled. During Regulatory/legal shock; Contractual exposure; Data breach, the organization may face contractual disputes, compliance breaches, regulatory penalties and delayed legal response with limited visibility or accountability.</t>
        </is>
      </c>
      <c r="I138" s="13" t="inlineStr">
        <is>
          <t>High risk: data processing agreements with vendors covering security, incident response, sub-processors and continuity depends on informal practices or individual knowledge. Disruption may expose contractual disputes, compliance breaches, regulatory penalties and delayed legal response and slow recovery.</t>
        </is>
      </c>
      <c r="J138" s="13" t="inlineStr">
        <is>
          <t>Elevated risk: data processing agreements with vendors covering security, incident response, sub-processors and continuity is partially controlled, but coverage, evidence or testing is inconsistent. Crisis response may be fragmented.</t>
        </is>
      </c>
      <c r="K138" s="13" t="inlineStr">
        <is>
          <t>Moderate risk: data processing agreements with vendors covering security, incident response, sub-processors and continuity is documented and owned, but measurement, stress testing and integration with dependent processes need strengthening.</t>
        </is>
      </c>
      <c r="L138" s="13" t="inlineStr">
        <is>
          <t>Residual risk: data processing agreements with vendors covering security, incident response, sub-processors and continuity is measured and reviewed, but monitoring, automation or scenario testing should be improved to prevent maturity drift.</t>
        </is>
      </c>
      <c r="M138" s="13" t="inlineStr">
        <is>
          <t>Low residual risk: data processing agreements with vendors covering security, incident response, sub-processors and continuity is mature and crisis-tested. Maintain monitoring, evidence, ownership and periodic stress testing.</t>
        </is>
      </c>
      <c r="N138" s="13" t="inlineStr">
        <is>
          <t>Create an immediate risk owner, minimum control baseline and fallback procedure for data processing agreements with vendors covering security, incident response, sub-processors and continuity. Add it to the crisis risk register and collect first evidence.</t>
        </is>
      </c>
      <c r="O138" s="13" t="inlineStr">
        <is>
          <t>Document data processing agreements with vendors covering security, incident response, sub-processors and continuity, assign RACI, define minimum controls and KPIs, and validate coverage across key sites, teams or systems.</t>
        </is>
      </c>
      <c r="P138" s="13" t="inlineStr">
        <is>
          <t>Standardize data processing agreements with vendors covering security, incident response, sub-processors and continuity, close coverage gaps, train accountable roles and connect controls to the relevant crisis scenarios and continuity plans.</t>
        </is>
      </c>
      <c r="Q138" s="13" t="inlineStr">
        <is>
          <t>Measure and test data processing agreements with vendors covering security, incident response, sub-processors and continuity, run tabletop or operational stress tests, integrate it with dependent processes and update crisis playbooks.</t>
        </is>
      </c>
      <c r="R138" s="13" t="inlineStr">
        <is>
          <t>Automate monitoring where practical, define leading indicators, run periodic scenario tests and track residual risk after each major change.</t>
        </is>
      </c>
      <c r="S138" s="13" t="inlineStr">
        <is>
          <t>Sustain maturity for data processing agreements with vendors covering security, incident response, sub-processors and continuity: keep evidence current, monitor drift, benchmark externally and refresh risk tests after organizational, system or market changes.</t>
        </is>
      </c>
      <c r="T138" s="13" t="n">
        <v>3</v>
      </c>
      <c r="U138" s="13" t="n">
        <v>3</v>
      </c>
      <c r="V138" s="13" t="n">
        <v>2</v>
      </c>
      <c r="W138" s="13" t="n">
        <v>2</v>
      </c>
      <c r="X138" s="13" t="n">
        <v>1</v>
      </c>
      <c r="Y138" s="13" t="n">
        <v>1</v>
      </c>
      <c r="Z138" s="13" t="inlineStr">
        <is>
          <t>ISO 37301; ISO 31000; ISO 37001; ISO/IEC 27701; GDPR; contract management best practices</t>
        </is>
      </c>
      <c r="AA138" s="13" t="inlineStr">
        <is>
          <t>Policy/SOP; owner/RACI; system report; dashboard; contracts; test records; incident history; interview evidence related to data processing agreements with vendors covering security, incident response, sub-processors and continuity.</t>
        </is>
      </c>
      <c r="AB138" s="13" t="inlineStr">
        <is>
          <t>Regulatory/legal shock; Contractual exposure; Data breach</t>
        </is>
      </c>
      <c r="AC138" s="13" t="inlineStr">
        <is>
          <t>Legal / Compliance</t>
        </is>
      </c>
      <c r="AD138" s="13" t="inlineStr">
        <is>
          <t>Legal Risk!19</t>
        </is>
      </c>
      <c r="AE138">
        <f>IF($A138="","",IF(OR(ISNUMBER(SEARCH("cyber",$D138)),ISNUMBER(SEARCH("security",$D138)),ISNUMBER(SEARCH("safety",$D138)),ISNUMBER(SEARCH("liquidity",$D138)),ISNUMBER(SEARCH("cash",$D138)),ISNUMBER(SEARCH("continuity",$D138)),ISNUMBER(SEARCH("infrastructure",$D138)),ISNUMBER(SEARCH("outage",$D138))),"Fast",IF(OR(ISNUMBER(SEARCH("compliance",$D138)),ISNUMBER(SEARCH("regulat",$D138)),ISNUMBER(SEARCH("data",$D138)),ISNUMBER(SEARCH("talent",$D138)),ISNUMBER(SEARCH("knowledge",$D138)),ISNUMBER(SEARCH("portfolio",$D138)),ISNUMBER(SEARCH("quality",$D138))),"Slow","Medium")))</f>
        <v/>
      </c>
      <c r="AF138">
        <f>IF($A138="","",IFERROR(VLOOKUP($B138,'_CONFIG_Risk_Calibration'!$A$5:$H$21,2,FALSE),3))</f>
        <v/>
      </c>
      <c r="AG138">
        <f>IF($A138="","",IFERROR(VLOOKUP($B138,'_CONFIG_Risk_Calibration'!$A$5:$H$21,3,FALSE),0))</f>
        <v/>
      </c>
      <c r="AH138">
        <f>IF($A138="","",IFERROR(VLOOKUP($B138,'_CONFIG_Risk_Calibration'!$A$5:$H$21,4,FALSE),3))</f>
        <v/>
      </c>
      <c r="AI138">
        <f>IF($A138="","",IFERROR(VLOOKUP($B138,'_CONFIG_Risk_Calibration'!$A$5:$H$21,5,FALSE),3))</f>
        <v/>
      </c>
      <c r="AJ138">
        <f>IF($A138="","",IFERROR(VLOOKUP($B138,'_CONFIG_Risk_Calibration'!$A$5:$H$21,6,FALSE),"No"))</f>
        <v/>
      </c>
      <c r="AK138">
        <f>IF($A138="","",IFERROR(VLOOKUP($B138,'_CONFIG_Risk_Calibration'!$A$5:$H$21,7,FALSE),1))</f>
        <v/>
      </c>
      <c r="AL138">
        <f>IF($A138="","",IFERROR(VLOOKUP($B138,'_CONFIG_Risk_Calibration'!$A$5:$H$21,8,FALSE),""))</f>
        <v/>
      </c>
    </row>
    <row r="139" ht="84" customHeight="1" s="209">
      <c r="A139" s="13" t="inlineStr">
        <is>
          <t>LEGA-016</t>
        </is>
      </c>
      <c r="B139" s="13" t="inlineStr">
        <is>
          <t>Legal Risk</t>
        </is>
      </c>
      <c r="C139" s="13" t="inlineStr">
        <is>
          <t>Data and IP</t>
        </is>
      </c>
      <c r="D139" s="13" t="inlineStr">
        <is>
          <t>Legal, compliance and contractual exposure</t>
        </is>
      </c>
      <c r="E139" s="13" t="inlineStr">
        <is>
          <t>How mature is the organization in managing intellectual property ownership for employees, contractors, suppliers, software, designs, data and AI models, including ownership, evidence, metrics, fallback procedures and crisis stress testing?</t>
        </is>
      </c>
      <c r="F139" s="13" t="inlineStr">
        <is>
          <t>Immature capability for intellectual property ownership for employees, contractors, suppliers, software, designs, data and AI models may lead to contractual disputes, compliance breaches, regulatory penalties and delayed legal response during Regulatory/legal shock; Contractual exposure; Data breach.</t>
        </is>
      </c>
      <c r="G139" s="13" t="inlineStr">
        <is>
          <t>Low maturity, weak ownership, incomplete evidence, insufficient testing and poor integration with crisis-management routines for intellectual property ownership for employees, contractors, suppliers, software, designs, data and AI models.</t>
        </is>
      </c>
      <c r="H139" s="13" t="inlineStr">
        <is>
          <t>Severe risk: intellectual property ownership for employees, contractors, suppliers, software, designs, data and AI models is not reliably controlled. During Regulatory/legal shock; Contractual exposure; Data breach, the organization may face contractual disputes, compliance breaches, regulatory penalties and delayed legal response with limited visibility or accountability.</t>
        </is>
      </c>
      <c r="I139" s="13" t="inlineStr">
        <is>
          <t>High risk: intellectual property ownership for employees, contractors, suppliers, software, designs, data and AI models depends on informal practices or individual knowledge. Disruption may expose contractual disputes, compliance breaches, regulatory penalties and delayed legal response and slow recovery.</t>
        </is>
      </c>
      <c r="J139" s="13" t="inlineStr">
        <is>
          <t>Elevated risk: intellectual property ownership for employees, contractors, suppliers, software, designs, data and AI models is partially controlled, but coverage, evidence or testing is inconsistent. Crisis response may be fragmented.</t>
        </is>
      </c>
      <c r="K139" s="13" t="inlineStr">
        <is>
          <t>Moderate risk: intellectual property ownership for employees, contractors, suppliers, software, designs, data and AI models is documented and owned, but measurement, stress testing and integration with dependent processes need strengthening.</t>
        </is>
      </c>
      <c r="L139" s="13" t="inlineStr">
        <is>
          <t>Residual risk: intellectual property ownership for employees, contractors, suppliers, software, designs, data and AI models is measured and reviewed, but monitoring, automation or scenario testing should be improved to prevent maturity drift.</t>
        </is>
      </c>
      <c r="M139" s="13" t="inlineStr">
        <is>
          <t>Low residual risk: intellectual property ownership for employees, contractors, suppliers, software, designs, data and AI models is mature and crisis-tested. Maintain monitoring, evidence, ownership and periodic stress testing.</t>
        </is>
      </c>
      <c r="N139" s="13" t="inlineStr">
        <is>
          <t>Create an immediate risk owner, minimum control baseline and fallback procedure for intellectual property ownership for employees, contractors, suppliers, software, designs, data and AI models. Add it to the crisis risk register and collect first evidence.</t>
        </is>
      </c>
      <c r="O139" s="13" t="inlineStr">
        <is>
          <t>Document intellectual property ownership for employees, contractors, suppliers, software, designs, data and AI models, assign RACI, define minimum controls and KPIs, and validate coverage across key sites, teams or systems.</t>
        </is>
      </c>
      <c r="P139" s="13" t="inlineStr">
        <is>
          <t>Standardize intellectual property ownership for employees, contractors, suppliers, software, designs, data and AI models, close coverage gaps, train accountable roles and connect controls to the relevant crisis scenarios and continuity plans.</t>
        </is>
      </c>
      <c r="Q139" s="13" t="inlineStr">
        <is>
          <t>Measure and test intellectual property ownership for employees, contractors, suppliers, software, designs, data and AI models, run tabletop or operational stress tests, integrate it with dependent processes and update crisis playbooks.</t>
        </is>
      </c>
      <c r="R139" s="13" t="inlineStr">
        <is>
          <t>Automate monitoring where practical, define leading indicators, run periodic scenario tests and track residual risk after each major change.</t>
        </is>
      </c>
      <c r="S139" s="13" t="inlineStr">
        <is>
          <t>Sustain maturity for intellectual property ownership for employees, contractors, suppliers, software, designs, data and AI models: keep evidence current, monitor drift, benchmark externally and refresh risk tests after organizational, system or market changes.</t>
        </is>
      </c>
      <c r="T139" s="13" t="n">
        <v>3</v>
      </c>
      <c r="U139" s="13" t="n">
        <v>3</v>
      </c>
      <c r="V139" s="13" t="n">
        <v>2</v>
      </c>
      <c r="W139" s="13" t="n">
        <v>2</v>
      </c>
      <c r="X139" s="13" t="n">
        <v>1</v>
      </c>
      <c r="Y139" s="13" t="n">
        <v>1</v>
      </c>
      <c r="Z139" s="13" t="inlineStr">
        <is>
          <t>ISO 37301; ISO 31000; ISO 37001; ISO/IEC 27701; GDPR; contract management best practices</t>
        </is>
      </c>
      <c r="AA139" s="13" t="inlineStr">
        <is>
          <t>Policy/SOP; owner/RACI; system report; dashboard; contracts; test records; incident history; interview evidence related to intellectual property ownership for employees, contractors, suppliers, software, designs, data and AI models.</t>
        </is>
      </c>
      <c r="AB139" s="13" t="inlineStr">
        <is>
          <t>Regulatory/legal shock; Contractual exposure; Data breach</t>
        </is>
      </c>
      <c r="AC139" s="13" t="inlineStr">
        <is>
          <t>Legal / Compliance</t>
        </is>
      </c>
      <c r="AD139" s="13" t="inlineStr">
        <is>
          <t>Legal Risk!20</t>
        </is>
      </c>
      <c r="AE139">
        <f>IF($A139="","",IF(OR(ISNUMBER(SEARCH("cyber",$D139)),ISNUMBER(SEARCH("security",$D139)),ISNUMBER(SEARCH("safety",$D139)),ISNUMBER(SEARCH("liquidity",$D139)),ISNUMBER(SEARCH("cash",$D139)),ISNUMBER(SEARCH("continuity",$D139)),ISNUMBER(SEARCH("infrastructure",$D139)),ISNUMBER(SEARCH("outage",$D139))),"Fast",IF(OR(ISNUMBER(SEARCH("compliance",$D139)),ISNUMBER(SEARCH("regulat",$D139)),ISNUMBER(SEARCH("data",$D139)),ISNUMBER(SEARCH("talent",$D139)),ISNUMBER(SEARCH("knowledge",$D139)),ISNUMBER(SEARCH("portfolio",$D139)),ISNUMBER(SEARCH("quality",$D139))),"Slow","Medium")))</f>
        <v/>
      </c>
      <c r="AF139">
        <f>IF($A139="","",IFERROR(VLOOKUP($B139,'_CONFIG_Risk_Calibration'!$A$5:$H$21,2,FALSE),3))</f>
        <v/>
      </c>
      <c r="AG139">
        <f>IF($A139="","",IFERROR(VLOOKUP($B139,'_CONFIG_Risk_Calibration'!$A$5:$H$21,3,FALSE),0))</f>
        <v/>
      </c>
      <c r="AH139">
        <f>IF($A139="","",IFERROR(VLOOKUP($B139,'_CONFIG_Risk_Calibration'!$A$5:$H$21,4,FALSE),3))</f>
        <v/>
      </c>
      <c r="AI139">
        <f>IF($A139="","",IFERROR(VLOOKUP($B139,'_CONFIG_Risk_Calibration'!$A$5:$H$21,5,FALSE),3))</f>
        <v/>
      </c>
      <c r="AJ139">
        <f>IF($A139="","",IFERROR(VLOOKUP($B139,'_CONFIG_Risk_Calibration'!$A$5:$H$21,6,FALSE),"No"))</f>
        <v/>
      </c>
      <c r="AK139">
        <f>IF($A139="","",IFERROR(VLOOKUP($B139,'_CONFIG_Risk_Calibration'!$A$5:$H$21,7,FALSE),1))</f>
        <v/>
      </c>
      <c r="AL139">
        <f>IF($A139="","",IFERROR(VLOOKUP($B139,'_CONFIG_Risk_Calibration'!$A$5:$H$21,8,FALSE),""))</f>
        <v/>
      </c>
    </row>
    <row r="140" ht="72" customHeight="1" s="209">
      <c r="A140" s="13" t="inlineStr">
        <is>
          <t>LEGA-017</t>
        </is>
      </c>
      <c r="B140" s="13" t="inlineStr">
        <is>
          <t>Legal Risk</t>
        </is>
      </c>
      <c r="C140" s="13" t="inlineStr">
        <is>
          <t>Data and IP</t>
        </is>
      </c>
      <c r="D140" s="13" t="inlineStr">
        <is>
          <t>Legal, compliance and contractual exposure</t>
        </is>
      </c>
      <c r="E140" s="13" t="inlineStr">
        <is>
          <t>How mature is the organization in managing software license and open-source compliance for critical systems and products, including ownership, evidence, metrics, fallback procedures and crisis stress testing?</t>
        </is>
      </c>
      <c r="F140" s="13" t="inlineStr">
        <is>
          <t>Immature capability for software license and open-source compliance for critical systems and products may lead to contractual disputes, compliance breaches, regulatory penalties and delayed legal response during Regulatory/legal shock; Contractual exposure; Data breach.</t>
        </is>
      </c>
      <c r="G140" s="13" t="inlineStr">
        <is>
          <t>Low maturity, weak ownership, incomplete evidence, insufficient testing and poor integration with crisis-management routines for software license and open-source compliance for critical systems and products.</t>
        </is>
      </c>
      <c r="H140" s="13" t="inlineStr">
        <is>
          <t>Severe risk: software license and open-source compliance for critical systems and products is not reliably controlled. During Regulatory/legal shock; Contractual exposure; Data breach, the organization may face contractual disputes, compliance breaches, regulatory penalties and delayed legal response with limited visibility or accountability.</t>
        </is>
      </c>
      <c r="I140" s="13" t="inlineStr">
        <is>
          <t>High risk: software license and open-source compliance for critical systems and products depends on informal practices or individual knowledge. Disruption may expose contractual disputes, compliance breaches, regulatory penalties and delayed legal response and slow recovery.</t>
        </is>
      </c>
      <c r="J140" s="13" t="inlineStr">
        <is>
          <t>Elevated risk: software license and open-source compliance for critical systems and products is partially controlled, but coverage, evidence or testing is inconsistent. Crisis response may be fragmented.</t>
        </is>
      </c>
      <c r="K140" s="13" t="inlineStr">
        <is>
          <t>Moderate risk: software license and open-source compliance for critical systems and products is documented and owned, but measurement, stress testing and integration with dependent processes need strengthening.</t>
        </is>
      </c>
      <c r="L140" s="13" t="inlineStr">
        <is>
          <t>Residual risk: software license and open-source compliance for critical systems and products is measured and reviewed, but monitoring, automation or scenario testing should be improved to prevent maturity drift.</t>
        </is>
      </c>
      <c r="M140" s="13" t="inlineStr">
        <is>
          <t>Low residual risk: software license and open-source compliance for critical systems and products is mature and crisis-tested. Maintain monitoring, evidence, ownership and periodic stress testing.</t>
        </is>
      </c>
      <c r="N140" s="13" t="inlineStr">
        <is>
          <t>Create an immediate risk owner, minimum control baseline and fallback procedure for software license and open-source compliance for critical systems and products. Add it to the crisis risk register and collect first evidence.</t>
        </is>
      </c>
      <c r="O140" s="13" t="inlineStr">
        <is>
          <t>Document software license and open-source compliance for critical systems and products, assign RACI, define minimum controls and KPIs, and validate coverage across key sites, teams or systems.</t>
        </is>
      </c>
      <c r="P140" s="13" t="inlineStr">
        <is>
          <t>Standardize software license and open-source compliance for critical systems and products, close coverage gaps, train accountable roles and connect controls to the relevant crisis scenarios and continuity plans.</t>
        </is>
      </c>
      <c r="Q140" s="13" t="inlineStr">
        <is>
          <t>Measure and test software license and open-source compliance for critical systems and products, run tabletop or operational stress tests, integrate it with dependent processes and update crisis playbooks.</t>
        </is>
      </c>
      <c r="R140" s="13" t="inlineStr">
        <is>
          <t>Automate monitoring where practical, define leading indicators, run periodic scenario tests and track residual risk after each major change.</t>
        </is>
      </c>
      <c r="S140" s="13" t="inlineStr">
        <is>
          <t>Sustain maturity for software license and open-source compliance for critical systems and products: keep evidence current, monitor drift, benchmark externally and refresh risk tests after organizational, system or market changes.</t>
        </is>
      </c>
      <c r="T140" s="13" t="n">
        <v>3</v>
      </c>
      <c r="U140" s="13" t="n">
        <v>3</v>
      </c>
      <c r="V140" s="13" t="n">
        <v>2</v>
      </c>
      <c r="W140" s="13" t="n">
        <v>2</v>
      </c>
      <c r="X140" s="13" t="n">
        <v>1</v>
      </c>
      <c r="Y140" s="13" t="n">
        <v>1</v>
      </c>
      <c r="Z140" s="13" t="inlineStr">
        <is>
          <t>ISO 37301; ISO 31000; ISO 37001; ISO/IEC 27701; GDPR; contract management best practices</t>
        </is>
      </c>
      <c r="AA140" s="13" t="inlineStr">
        <is>
          <t>Policy/SOP; owner/RACI; system report; dashboard; contracts; test records; incident history; interview evidence related to software license and open-source compliance for critical systems and products.</t>
        </is>
      </c>
      <c r="AB140" s="13" t="inlineStr">
        <is>
          <t>Regulatory/legal shock; Contractual exposure; Data breach</t>
        </is>
      </c>
      <c r="AC140" s="13" t="inlineStr">
        <is>
          <t>Legal / Compliance</t>
        </is>
      </c>
      <c r="AD140" s="13" t="inlineStr">
        <is>
          <t>Legal Risk!21</t>
        </is>
      </c>
      <c r="AE140">
        <f>IF($A140="","",IF(OR(ISNUMBER(SEARCH("cyber",$D140)),ISNUMBER(SEARCH("security",$D140)),ISNUMBER(SEARCH("safety",$D140)),ISNUMBER(SEARCH("liquidity",$D140)),ISNUMBER(SEARCH("cash",$D140)),ISNUMBER(SEARCH("continuity",$D140)),ISNUMBER(SEARCH("infrastructure",$D140)),ISNUMBER(SEARCH("outage",$D140))),"Fast",IF(OR(ISNUMBER(SEARCH("compliance",$D140)),ISNUMBER(SEARCH("regulat",$D140)),ISNUMBER(SEARCH("data",$D140)),ISNUMBER(SEARCH("talent",$D140)),ISNUMBER(SEARCH("knowledge",$D140)),ISNUMBER(SEARCH("portfolio",$D140)),ISNUMBER(SEARCH("quality",$D140))),"Slow","Medium")))</f>
        <v/>
      </c>
      <c r="AF140">
        <f>IF($A140="","",IFERROR(VLOOKUP($B140,'_CONFIG_Risk_Calibration'!$A$5:$H$21,2,FALSE),3))</f>
        <v/>
      </c>
      <c r="AG140">
        <f>IF($A140="","",IFERROR(VLOOKUP($B140,'_CONFIG_Risk_Calibration'!$A$5:$H$21,3,FALSE),0))</f>
        <v/>
      </c>
      <c r="AH140">
        <f>IF($A140="","",IFERROR(VLOOKUP($B140,'_CONFIG_Risk_Calibration'!$A$5:$H$21,4,FALSE),3))</f>
        <v/>
      </c>
      <c r="AI140">
        <f>IF($A140="","",IFERROR(VLOOKUP($B140,'_CONFIG_Risk_Calibration'!$A$5:$H$21,5,FALSE),3))</f>
        <v/>
      </c>
      <c r="AJ140">
        <f>IF($A140="","",IFERROR(VLOOKUP($B140,'_CONFIG_Risk_Calibration'!$A$5:$H$21,6,FALSE),"No"))</f>
        <v/>
      </c>
      <c r="AK140">
        <f>IF($A140="","",IFERROR(VLOOKUP($B140,'_CONFIG_Risk_Calibration'!$A$5:$H$21,7,FALSE),1))</f>
        <v/>
      </c>
      <c r="AL140">
        <f>IF($A140="","",IFERROR(VLOOKUP($B140,'_CONFIG_Risk_Calibration'!$A$5:$H$21,8,FALSE),""))</f>
        <v/>
      </c>
    </row>
    <row r="141" ht="72" customHeight="1" s="209">
      <c r="A141" s="13" t="inlineStr">
        <is>
          <t>LEGA-018</t>
        </is>
      </c>
      <c r="B141" s="13" t="inlineStr">
        <is>
          <t>Legal Risk</t>
        </is>
      </c>
      <c r="C141" s="13" t="inlineStr">
        <is>
          <t>Data and IP</t>
        </is>
      </c>
      <c r="D141" s="13" t="inlineStr">
        <is>
          <t>Legal, compliance and contractual exposure</t>
        </is>
      </c>
      <c r="E141" s="13" t="inlineStr">
        <is>
          <t>How mature is the organization in managing records retention rules for legal, finance, HR, contracts, safety, customer and technical records, including ownership, evidence, metrics, fallback procedures and crisis stress testing?</t>
        </is>
      </c>
      <c r="F141" s="13" t="inlineStr">
        <is>
          <t>Immature capability for records retention rules for legal, finance, HR, contracts, safety, customer and technical records may lead to contractual disputes, compliance breaches, regulatory penalties and delayed legal response during Regulatory/legal shock; Contractual exposure; Data breach.</t>
        </is>
      </c>
      <c r="G141" s="13" t="inlineStr">
        <is>
          <t>Low maturity, weak ownership, incomplete evidence, insufficient testing and poor integration with crisis-management routines for records retention rules for legal, finance, HR, contracts, safety, customer and technical records.</t>
        </is>
      </c>
      <c r="H141" s="13" t="inlineStr">
        <is>
          <t>Severe risk: records retention rules for legal, finance, HR, contracts, safety, customer and technical records is not reliably controlled. During Regulatory/legal shock; Contractual exposure; Data breach, the organization may face contractual disputes, compliance breaches, regulatory penalties and delayed legal response with limited visibility or accountability.</t>
        </is>
      </c>
      <c r="I141" s="13" t="inlineStr">
        <is>
          <t>High risk: records retention rules for legal, finance, HR, contracts, safety, customer and technical records depends on informal practices or individual knowledge. Disruption may expose contractual disputes, compliance breaches, regulatory penalties and delayed legal response and slow recovery.</t>
        </is>
      </c>
      <c r="J141" s="13" t="inlineStr">
        <is>
          <t>Elevated risk: records retention rules for legal, finance, HR, contracts, safety, customer and technical records is partially controlled, but coverage, evidence or testing is inconsistent. Crisis response may be fragmented.</t>
        </is>
      </c>
      <c r="K141" s="13" t="inlineStr">
        <is>
          <t>Moderate risk: records retention rules for legal, finance, HR, contracts, safety, customer and technical records is documented and owned, but measurement, stress testing and integration with dependent processes need strengthening.</t>
        </is>
      </c>
      <c r="L141" s="13" t="inlineStr">
        <is>
          <t>Residual risk: records retention rules for legal, finance, HR, contracts, safety, customer and technical records is measured and reviewed, but monitoring, automation or scenario testing should be improved to prevent maturity drift.</t>
        </is>
      </c>
      <c r="M141" s="13" t="inlineStr">
        <is>
          <t>Low residual risk: records retention rules for legal, finance, HR, contracts, safety, customer and technical records is mature and crisis-tested. Maintain monitoring, evidence, ownership and periodic stress testing.</t>
        </is>
      </c>
      <c r="N141" s="13" t="inlineStr">
        <is>
          <t>Create an immediate risk owner, minimum control baseline and fallback procedure for records retention rules for legal, finance, HR, contracts, safety, customer and technical records. Add it to the crisis risk register and collect first evidence.</t>
        </is>
      </c>
      <c r="O141" s="13" t="inlineStr">
        <is>
          <t>Document records retention rules for legal, finance, HR, contracts, safety, customer and technical records, assign RACI, define minimum controls and KPIs, and validate coverage across key sites, teams or systems.</t>
        </is>
      </c>
      <c r="P141" s="13" t="inlineStr">
        <is>
          <t>Standardize records retention rules for legal, finance, HR, contracts, safety, customer and technical records, close coverage gaps, train accountable roles and connect controls to the relevant crisis scenarios and continuity plans.</t>
        </is>
      </c>
      <c r="Q141" s="13" t="inlineStr">
        <is>
          <t>Measure and test records retention rules for legal, finance, HR, contracts, safety, customer and technical records, run tabletop or operational stress tests, integrate it with dependent processes and update crisis playbooks.</t>
        </is>
      </c>
      <c r="R141" s="13" t="inlineStr">
        <is>
          <t>Automate monitoring where practical, define leading indicators, run periodic scenario tests and track residual risk after each major change.</t>
        </is>
      </c>
      <c r="S141" s="13" t="inlineStr">
        <is>
          <t>Sustain maturity for records retention rules for legal, finance, HR, contracts, safety, customer and technical records: keep evidence current, monitor drift, benchmark externally and refresh risk tests after organizational, system or market changes.</t>
        </is>
      </c>
      <c r="T141" s="13" t="n">
        <v>3</v>
      </c>
      <c r="U141" s="13" t="n">
        <v>3</v>
      </c>
      <c r="V141" s="13" t="n">
        <v>2</v>
      </c>
      <c r="W141" s="13" t="n">
        <v>2</v>
      </c>
      <c r="X141" s="13" t="n">
        <v>1</v>
      </c>
      <c r="Y141" s="13" t="n">
        <v>1</v>
      </c>
      <c r="Z141" s="13" t="inlineStr">
        <is>
          <t>ISO 37301; ISO 31000; ISO 37001; ISO/IEC 27701; GDPR; contract management best practices</t>
        </is>
      </c>
      <c r="AA141" s="13" t="inlineStr">
        <is>
          <t>Policy/SOP; owner/RACI; system report; dashboard; contracts; test records; incident history; interview evidence related to records retention rules for legal, finance, HR, contracts, safety, customer and technical records.</t>
        </is>
      </c>
      <c r="AB141" s="13" t="inlineStr">
        <is>
          <t>Regulatory/legal shock; Contractual exposure; Data breach</t>
        </is>
      </c>
      <c r="AC141" s="13" t="inlineStr">
        <is>
          <t>Legal / Compliance</t>
        </is>
      </c>
      <c r="AD141" s="13" t="inlineStr">
        <is>
          <t>Legal Risk!22</t>
        </is>
      </c>
      <c r="AE141">
        <f>IF($A141="","",IF(OR(ISNUMBER(SEARCH("cyber",$D141)),ISNUMBER(SEARCH("security",$D141)),ISNUMBER(SEARCH("safety",$D141)),ISNUMBER(SEARCH("liquidity",$D141)),ISNUMBER(SEARCH("cash",$D141)),ISNUMBER(SEARCH("continuity",$D141)),ISNUMBER(SEARCH("infrastructure",$D141)),ISNUMBER(SEARCH("outage",$D141))),"Fast",IF(OR(ISNUMBER(SEARCH("compliance",$D141)),ISNUMBER(SEARCH("regulat",$D141)),ISNUMBER(SEARCH("data",$D141)),ISNUMBER(SEARCH("talent",$D141)),ISNUMBER(SEARCH("knowledge",$D141)),ISNUMBER(SEARCH("portfolio",$D141)),ISNUMBER(SEARCH("quality",$D141))),"Slow","Medium")))</f>
        <v/>
      </c>
      <c r="AF141">
        <f>IF($A141="","",IFERROR(VLOOKUP($B141,'_CONFIG_Risk_Calibration'!$A$5:$H$21,2,FALSE),3))</f>
        <v/>
      </c>
      <c r="AG141">
        <f>IF($A141="","",IFERROR(VLOOKUP($B141,'_CONFIG_Risk_Calibration'!$A$5:$H$21,3,FALSE),0))</f>
        <v/>
      </c>
      <c r="AH141">
        <f>IF($A141="","",IFERROR(VLOOKUP($B141,'_CONFIG_Risk_Calibration'!$A$5:$H$21,4,FALSE),3))</f>
        <v/>
      </c>
      <c r="AI141">
        <f>IF($A141="","",IFERROR(VLOOKUP($B141,'_CONFIG_Risk_Calibration'!$A$5:$H$21,5,FALSE),3))</f>
        <v/>
      </c>
      <c r="AJ141">
        <f>IF($A141="","",IFERROR(VLOOKUP($B141,'_CONFIG_Risk_Calibration'!$A$5:$H$21,6,FALSE),"No"))</f>
        <v/>
      </c>
      <c r="AK141">
        <f>IF($A141="","",IFERROR(VLOOKUP($B141,'_CONFIG_Risk_Calibration'!$A$5:$H$21,7,FALSE),1))</f>
        <v/>
      </c>
      <c r="AL141">
        <f>IF($A141="","",IFERROR(VLOOKUP($B141,'_CONFIG_Risk_Calibration'!$A$5:$H$21,8,FALSE),""))</f>
        <v/>
      </c>
    </row>
    <row r="142" ht="72" customHeight="1" s="209">
      <c r="A142" s="13" t="inlineStr">
        <is>
          <t>LEGA-019</t>
        </is>
      </c>
      <c r="B142" s="13" t="inlineStr">
        <is>
          <t>Legal Risk</t>
        </is>
      </c>
      <c r="C142" s="13" t="inlineStr">
        <is>
          <t>Employment law</t>
        </is>
      </c>
      <c r="D142" s="13" t="inlineStr">
        <is>
          <t>Legal, compliance and contractual exposure</t>
        </is>
      </c>
      <c r="E142" s="13" t="inlineStr">
        <is>
          <t>How mature is the organization in managing legal options for relocation, evacuation, furlough, flexible work, terminations or hardship support by country, including ownership, evidence, metrics, fallback procedures and crisis stress testing?</t>
        </is>
      </c>
      <c r="F142" s="13" t="inlineStr">
        <is>
          <t>Immature capability for legal options for relocation, evacuation, furlough, flexible work, terminations or hardship support by country may lead to contractual disputes, compliance breaches, regulatory penalties and delayed legal response during Regulatory/legal shock; Contractual exposure; Data breach.</t>
        </is>
      </c>
      <c r="G142" s="13" t="inlineStr">
        <is>
          <t>Low maturity, weak ownership, incomplete evidence, insufficient testing and poor integration with crisis-management routines for legal options for relocation, evacuation, furlough, flexible work, terminations or hardship support by country.</t>
        </is>
      </c>
      <c r="H142" s="13" t="inlineStr">
        <is>
          <t>Severe risk: legal options for relocation, evacuation, furlough, flexible work, terminations or hardship support by country is not reliably controlled. During Regulatory/legal shock; Contractual exposure; Data breach, the organization may face contractual disputes, compliance breaches, regulatory penalties and delayed legal response with limited visibility or accountability.</t>
        </is>
      </c>
      <c r="I142" s="13" t="inlineStr">
        <is>
          <t>High risk: legal options for relocation, evacuation, furlough, flexible work, terminations or hardship support by country depends on informal practices or individual knowledge. Disruption may expose contractual disputes, compliance breaches, regulatory penalties and delayed legal response and slow recovery.</t>
        </is>
      </c>
      <c r="J142" s="13" t="inlineStr">
        <is>
          <t>Elevated risk: legal options for relocation, evacuation, furlough, flexible work, terminations or hardship support by country is partially controlled, but coverage, evidence or testing is inconsistent. Crisis response may be fragmented.</t>
        </is>
      </c>
      <c r="K142" s="13" t="inlineStr">
        <is>
          <t>Moderate risk: legal options for relocation, evacuation, furlough, flexible work, terminations or hardship support by country is documented and owned, but measurement, stress testing and integration with dependent processes need strengthening.</t>
        </is>
      </c>
      <c r="L142" s="13" t="inlineStr">
        <is>
          <t>Residual risk: legal options for relocation, evacuation, furlough, flexible work, terminations or hardship support by country is measured and reviewed, but monitoring, automation or scenario testing should be improved to prevent maturity drift.</t>
        </is>
      </c>
      <c r="M142" s="13" t="inlineStr">
        <is>
          <t>Low residual risk: legal options for relocation, evacuation, furlough, flexible work, terminations or hardship support by country is mature and crisis-tested. Maintain monitoring, evidence, ownership and periodic stress testing.</t>
        </is>
      </c>
      <c r="N142" s="13" t="inlineStr">
        <is>
          <t>Create an immediate risk owner, minimum control baseline and fallback procedure for legal options for relocation, evacuation, furlough, flexible work, terminations or hardship support by country. Add it to the crisis risk register and collect first evidence.</t>
        </is>
      </c>
      <c r="O142" s="13" t="inlineStr">
        <is>
          <t>Document legal options for relocation, evacuation, furlough, flexible work, terminations or hardship support by country, assign RACI, define minimum controls and KPIs, and validate coverage across key sites, teams or systems.</t>
        </is>
      </c>
      <c r="P142" s="13" t="inlineStr">
        <is>
          <t>Standardize legal options for relocation, evacuation, furlough, flexible work, terminations or hardship support by country, close coverage gaps, train accountable roles and connect controls to the relevant crisis scenarios and continuity plans.</t>
        </is>
      </c>
      <c r="Q142" s="13" t="inlineStr">
        <is>
          <t>Measure and test legal options for relocation, evacuation, furlough, flexible work, terminations or hardship support by country, run tabletop or operational stress tests, integrate it with dependent processes and update crisis playbooks.</t>
        </is>
      </c>
      <c r="R142" s="13" t="inlineStr">
        <is>
          <t>Automate monitoring where practical, define leading indicators, run periodic scenario tests and track residual risk after each major change.</t>
        </is>
      </c>
      <c r="S142" s="13" t="inlineStr">
        <is>
          <t>Sustain maturity for legal options for relocation, evacuation, furlough, flexible work, terminations or hardship support by country: keep evidence current, monitor drift, benchmark externally and refresh risk tests after organizational, system or market changes.</t>
        </is>
      </c>
      <c r="T142" s="13" t="n">
        <v>3</v>
      </c>
      <c r="U142" s="13" t="n">
        <v>3</v>
      </c>
      <c r="V142" s="13" t="n">
        <v>2</v>
      </c>
      <c r="W142" s="13" t="n">
        <v>2</v>
      </c>
      <c r="X142" s="13" t="n">
        <v>1</v>
      </c>
      <c r="Y142" s="13" t="n">
        <v>1</v>
      </c>
      <c r="Z142" s="13" t="inlineStr">
        <is>
          <t>ISO 37301; ISO 31000; ISO 37001; ISO/IEC 27701; GDPR; contract management best practices</t>
        </is>
      </c>
      <c r="AA142" s="13" t="inlineStr">
        <is>
          <t>Policy/SOP; owner/RACI; system report; dashboard; contracts; test records; incident history; interview evidence related to legal options for relocation, evacuation, furlough, flexible work, terminations or hardship support by country.</t>
        </is>
      </c>
      <c r="AB142" s="13" t="inlineStr">
        <is>
          <t>Regulatory/legal shock; Contractual exposure; Data breach</t>
        </is>
      </c>
      <c r="AC142" s="13" t="inlineStr">
        <is>
          <t>Legal / Compliance</t>
        </is>
      </c>
      <c r="AD142" s="13" t="inlineStr">
        <is>
          <t>Legal Risk!23</t>
        </is>
      </c>
      <c r="AE142">
        <f>IF($A142="","",IF(OR(ISNUMBER(SEARCH("cyber",$D142)),ISNUMBER(SEARCH("security",$D142)),ISNUMBER(SEARCH("safety",$D142)),ISNUMBER(SEARCH("liquidity",$D142)),ISNUMBER(SEARCH("cash",$D142)),ISNUMBER(SEARCH("continuity",$D142)),ISNUMBER(SEARCH("infrastructure",$D142)),ISNUMBER(SEARCH("outage",$D142))),"Fast",IF(OR(ISNUMBER(SEARCH("compliance",$D142)),ISNUMBER(SEARCH("regulat",$D142)),ISNUMBER(SEARCH("data",$D142)),ISNUMBER(SEARCH("talent",$D142)),ISNUMBER(SEARCH("knowledge",$D142)),ISNUMBER(SEARCH("portfolio",$D142)),ISNUMBER(SEARCH("quality",$D142))),"Slow","Medium")))</f>
        <v/>
      </c>
      <c r="AF142">
        <f>IF($A142="","",IFERROR(VLOOKUP($B142,'_CONFIG_Risk_Calibration'!$A$5:$H$21,2,FALSE),3))</f>
        <v/>
      </c>
      <c r="AG142">
        <f>IF($A142="","",IFERROR(VLOOKUP($B142,'_CONFIG_Risk_Calibration'!$A$5:$H$21,3,FALSE),0))</f>
        <v/>
      </c>
      <c r="AH142">
        <f>IF($A142="","",IFERROR(VLOOKUP($B142,'_CONFIG_Risk_Calibration'!$A$5:$H$21,4,FALSE),3))</f>
        <v/>
      </c>
      <c r="AI142">
        <f>IF($A142="","",IFERROR(VLOOKUP($B142,'_CONFIG_Risk_Calibration'!$A$5:$H$21,5,FALSE),3))</f>
        <v/>
      </c>
      <c r="AJ142">
        <f>IF($A142="","",IFERROR(VLOOKUP($B142,'_CONFIG_Risk_Calibration'!$A$5:$H$21,6,FALSE),"No"))</f>
        <v/>
      </c>
      <c r="AK142">
        <f>IF($A142="","",IFERROR(VLOOKUP($B142,'_CONFIG_Risk_Calibration'!$A$5:$H$21,7,FALSE),1))</f>
        <v/>
      </c>
      <c r="AL142">
        <f>IF($A142="","",IFERROR(VLOOKUP($B142,'_CONFIG_Risk_Calibration'!$A$5:$H$21,8,FALSE),""))</f>
        <v/>
      </c>
    </row>
    <row r="143" ht="72" customHeight="1" s="209">
      <c r="A143" s="13" t="inlineStr">
        <is>
          <t>LEGA-020</t>
        </is>
      </c>
      <c r="B143" s="13" t="inlineStr">
        <is>
          <t>Legal Risk</t>
        </is>
      </c>
      <c r="C143" s="13" t="inlineStr">
        <is>
          <t>Employment law</t>
        </is>
      </c>
      <c r="D143" s="13" t="inlineStr">
        <is>
          <t>Legal, compliance and contractual exposure</t>
        </is>
      </c>
      <c r="E143" s="13" t="inlineStr">
        <is>
          <t>How mature is the organization in managing labor relations, works council or union obligations during restructuring or crisis measures, including ownership, evidence, metrics, fallback procedures and crisis stress testing?</t>
        </is>
      </c>
      <c r="F143" s="13" t="inlineStr">
        <is>
          <t>Immature capability for labor relations, works council or union obligations during restructuring or crisis measures may lead to contractual disputes, compliance breaches, regulatory penalties and delayed legal response during Regulatory/legal shock; Contractual exposure; Data breach.</t>
        </is>
      </c>
      <c r="G143" s="13" t="inlineStr">
        <is>
          <t>Low maturity, weak ownership, incomplete evidence, insufficient testing and poor integration with crisis-management routines for labor relations, works council or union obligations during restructuring or crisis measures.</t>
        </is>
      </c>
      <c r="H143" s="13" t="inlineStr">
        <is>
          <t>Severe risk: labor relations, works council or union obligations during restructuring or crisis measures is not reliably controlled. During Regulatory/legal shock; Contractual exposure; Data breach, the organization may face contractual disputes, compliance breaches, regulatory penalties and delayed legal response with limited visibility or accountability.</t>
        </is>
      </c>
      <c r="I143" s="13" t="inlineStr">
        <is>
          <t>High risk: labor relations, works council or union obligations during restructuring or crisis measures depends on informal practices or individual knowledge. Disruption may expose contractual disputes, compliance breaches, regulatory penalties and delayed legal response and slow recovery.</t>
        </is>
      </c>
      <c r="J143" s="13" t="inlineStr">
        <is>
          <t>Elevated risk: labor relations, works council or union obligations during restructuring or crisis measures is partially controlled, but coverage, evidence or testing is inconsistent. Crisis response may be fragmented.</t>
        </is>
      </c>
      <c r="K143" s="13" t="inlineStr">
        <is>
          <t>Moderate risk: labor relations, works council or union obligations during restructuring or crisis measures is documented and owned, but measurement, stress testing and integration with dependent processes need strengthening.</t>
        </is>
      </c>
      <c r="L143" s="13" t="inlineStr">
        <is>
          <t>Residual risk: labor relations, works council or union obligations during restructuring or crisis measures is measured and reviewed, but monitoring, automation or scenario testing should be improved to prevent maturity drift.</t>
        </is>
      </c>
      <c r="M143" s="13" t="inlineStr">
        <is>
          <t>Low residual risk: labor relations, works council or union obligations during restructuring or crisis measures is mature and crisis-tested. Maintain monitoring, evidence, ownership and periodic stress testing.</t>
        </is>
      </c>
      <c r="N143" s="13" t="inlineStr">
        <is>
          <t>Create an immediate risk owner, minimum control baseline and fallback procedure for labor relations, works council or union obligations during restructuring or crisis measures. Add it to the crisis risk register and collect first evidence.</t>
        </is>
      </c>
      <c r="O143" s="13" t="inlineStr">
        <is>
          <t>Document labor relations, works council or union obligations during restructuring or crisis measures, assign RACI, define minimum controls and KPIs, and validate coverage across key sites, teams or systems.</t>
        </is>
      </c>
      <c r="P143" s="13" t="inlineStr">
        <is>
          <t>Standardize labor relations, works council or union obligations during restructuring or crisis measures, close coverage gaps, train accountable roles and connect controls to the relevant crisis scenarios and continuity plans.</t>
        </is>
      </c>
      <c r="Q143" s="13" t="inlineStr">
        <is>
          <t>Measure and test labor relations, works council or union obligations during restructuring or crisis measures, run tabletop or operational stress tests, integrate it with dependent processes and update crisis playbooks.</t>
        </is>
      </c>
      <c r="R143" s="13" t="inlineStr">
        <is>
          <t>Automate monitoring where practical, define leading indicators, run periodic scenario tests and track residual risk after each major change.</t>
        </is>
      </c>
      <c r="S143" s="13" t="inlineStr">
        <is>
          <t>Sustain maturity for labor relations, works council or union obligations during restructuring or crisis measures: keep evidence current, monitor drift, benchmark externally and refresh risk tests after organizational, system or market changes.</t>
        </is>
      </c>
      <c r="T143" s="13" t="n">
        <v>3</v>
      </c>
      <c r="U143" s="13" t="n">
        <v>3</v>
      </c>
      <c r="V143" s="13" t="n">
        <v>2</v>
      </c>
      <c r="W143" s="13" t="n">
        <v>2</v>
      </c>
      <c r="X143" s="13" t="n">
        <v>1</v>
      </c>
      <c r="Y143" s="13" t="n">
        <v>1</v>
      </c>
      <c r="Z143" s="13" t="inlineStr">
        <is>
          <t>ISO 37301; ISO 31000; ISO 37001; ISO/IEC 27701; GDPR; contract management best practices</t>
        </is>
      </c>
      <c r="AA143" s="13" t="inlineStr">
        <is>
          <t>Policy/SOP; owner/RACI; system report; dashboard; contracts; test records; incident history; interview evidence related to labor relations, works council or union obligations during restructuring or crisis measures.</t>
        </is>
      </c>
      <c r="AB143" s="13" t="inlineStr">
        <is>
          <t>Regulatory/legal shock; Contractual exposure; Data breach</t>
        </is>
      </c>
      <c r="AC143" s="13" t="inlineStr">
        <is>
          <t>Legal / Compliance</t>
        </is>
      </c>
      <c r="AD143" s="13" t="inlineStr">
        <is>
          <t>Legal Risk!24</t>
        </is>
      </c>
      <c r="AE143">
        <f>IF($A143="","",IF(OR(ISNUMBER(SEARCH("cyber",$D143)),ISNUMBER(SEARCH("security",$D143)),ISNUMBER(SEARCH("safety",$D143)),ISNUMBER(SEARCH("liquidity",$D143)),ISNUMBER(SEARCH("cash",$D143)),ISNUMBER(SEARCH("continuity",$D143)),ISNUMBER(SEARCH("infrastructure",$D143)),ISNUMBER(SEARCH("outage",$D143))),"Fast",IF(OR(ISNUMBER(SEARCH("compliance",$D143)),ISNUMBER(SEARCH("regulat",$D143)),ISNUMBER(SEARCH("data",$D143)),ISNUMBER(SEARCH("talent",$D143)),ISNUMBER(SEARCH("knowledge",$D143)),ISNUMBER(SEARCH("portfolio",$D143)),ISNUMBER(SEARCH("quality",$D143))),"Slow","Medium")))</f>
        <v/>
      </c>
      <c r="AF143">
        <f>IF($A143="","",IFERROR(VLOOKUP($B143,'_CONFIG_Risk_Calibration'!$A$5:$H$21,2,FALSE),3))</f>
        <v/>
      </c>
      <c r="AG143">
        <f>IF($A143="","",IFERROR(VLOOKUP($B143,'_CONFIG_Risk_Calibration'!$A$5:$H$21,3,FALSE),0))</f>
        <v/>
      </c>
      <c r="AH143">
        <f>IF($A143="","",IFERROR(VLOOKUP($B143,'_CONFIG_Risk_Calibration'!$A$5:$H$21,4,FALSE),3))</f>
        <v/>
      </c>
      <c r="AI143">
        <f>IF($A143="","",IFERROR(VLOOKUP($B143,'_CONFIG_Risk_Calibration'!$A$5:$H$21,5,FALSE),3))</f>
        <v/>
      </c>
      <c r="AJ143">
        <f>IF($A143="","",IFERROR(VLOOKUP($B143,'_CONFIG_Risk_Calibration'!$A$5:$H$21,6,FALSE),"No"))</f>
        <v/>
      </c>
      <c r="AK143">
        <f>IF($A143="","",IFERROR(VLOOKUP($B143,'_CONFIG_Risk_Calibration'!$A$5:$H$21,7,FALSE),1))</f>
        <v/>
      </c>
      <c r="AL143">
        <f>IF($A143="","",IFERROR(VLOOKUP($B143,'_CONFIG_Risk_Calibration'!$A$5:$H$21,8,FALSE),""))</f>
        <v/>
      </c>
    </row>
    <row r="144" ht="72" customHeight="1" s="209">
      <c r="A144" s="13" t="inlineStr">
        <is>
          <t>LEGA-021</t>
        </is>
      </c>
      <c r="B144" s="13" t="inlineStr">
        <is>
          <t>Legal Risk</t>
        </is>
      </c>
      <c r="C144" s="13" t="inlineStr">
        <is>
          <t>Compliance</t>
        </is>
      </c>
      <c r="D144" s="13" t="inlineStr">
        <is>
          <t>Legal exposure and dispute readiness</t>
        </is>
      </c>
      <c r="E144" s="13" t="inlineStr">
        <is>
          <t>How mature is the organization in managing litigation and dispute portfolio management with a dispute register, external counsel panel and budget control, including ownership, evidence, metrics, fallback procedures and crisis stress testing?</t>
        </is>
      </c>
      <c r="F144" s="13" t="inlineStr">
        <is>
          <t>Immature capability for litigation and dispute portfolio management with a dispute register, external counsel panel and budget control may lead to unmanaged dispute exposure, surprise legal costs and weak positions in crisis-driven conflicts during Regulatory/legal shock; Financial/liquidity crisis.</t>
        </is>
      </c>
      <c r="G144" s="13" t="inlineStr">
        <is>
          <t>Low maturity, weak ownership, incomplete evidence, insufficient testing and poor integration with crisis-management routines for litigation and dispute portfolio management with a dispute register, external counsel panel and budget control.</t>
        </is>
      </c>
      <c r="H144" s="13" t="inlineStr">
        <is>
          <t>Severe risk: litigation and dispute portfolio management with a dispute register, external counsel panel and budget control is not reliably controlled. During Regulatory/legal shock; Financial/liquidity crisis, the organization may face unmanaged dispute exposure, surprise legal costs and weak positions in crisis-driven conflicts with limited visibility or accountability.</t>
        </is>
      </c>
      <c r="I144" s="13" t="inlineStr">
        <is>
          <t>High risk: litigation and dispute portfolio management with a dispute register, external counsel panel and budget control depends on informal practices or individual knowledge. Disruption may expose unmanaged dispute exposure, surprise legal costs and weak positions in crisis-driven conflicts and slow recovery.</t>
        </is>
      </c>
      <c r="J144" s="13" t="inlineStr">
        <is>
          <t>Elevated risk: litigation and dispute portfolio management with a dispute register, external counsel panel and budget control is partially controlled, but coverage, evidence or testing is inconsistent. Crisis response may be fragmented.</t>
        </is>
      </c>
      <c r="K144" s="13" t="inlineStr">
        <is>
          <t>Moderate risk: litigation and dispute portfolio management with a dispute register, external counsel panel and budget control is documented and owned, but measurement, stress testing and integration with dependent processes need strengthening.</t>
        </is>
      </c>
      <c r="L144" s="13" t="inlineStr">
        <is>
          <t>Residual risk: litigation and dispute portfolio management with a dispute register, external counsel panel and budget control is measured and reviewed, but monitoring, automation or scenario testing should be improved to prevent maturity drift.</t>
        </is>
      </c>
      <c r="M144" s="13" t="inlineStr">
        <is>
          <t>Low residual risk: litigation and dispute portfolio management with a dispute register, external counsel panel and budget control is mature and crisis-tested. Maintain monitoring, evidence, ownership and periodic stress testing.</t>
        </is>
      </c>
      <c r="N144" s="13" t="inlineStr">
        <is>
          <t>Create an immediate risk owner, minimum control baseline and fallback procedure for litigation and dispute portfolio management with a dispute register, external counsel panel and budget control. Add it to the crisis risk register and collect first evidence.</t>
        </is>
      </c>
      <c r="O144" s="13" t="inlineStr">
        <is>
          <t>Document litigation and dispute portfolio management with a dispute register, external counsel panel and budget control, assign RACI, define minimum controls and KPIs, and validate coverage across key sites, teams or systems.</t>
        </is>
      </c>
      <c r="P144" s="13" t="inlineStr">
        <is>
          <t>Standardize litigation and dispute portfolio management with a dispute register, external counsel panel and budget control, close coverage gaps, train accountable roles and connect controls to the relevant crisis scenarios and continuity plans.</t>
        </is>
      </c>
      <c r="Q144" s="13" t="inlineStr">
        <is>
          <t>Measure and test litigation and dispute portfolio management with a dispute register, external counsel panel and budget control, run tabletop or operational stress tests, integrate it with dependent processes and update crisis playbooks.</t>
        </is>
      </c>
      <c r="R144" s="13" t="inlineStr">
        <is>
          <t>Automate monitoring where practical, define leading indicators, run periodic scenario tests and track residual risk after each major change.</t>
        </is>
      </c>
      <c r="S144" s="13" t="inlineStr">
        <is>
          <t>Sustain maturity for litigation and dispute portfolio management with a dispute register, external counsel panel and budget control: keep evidence current, monitor drift, benchmark externally and refresh risk tests after organizational, system or market changes.</t>
        </is>
      </c>
      <c r="T144" s="13" t="n">
        <v>2</v>
      </c>
      <c r="U144" s="13" t="n">
        <v>2</v>
      </c>
      <c r="V144" s="13" t="n">
        <v>2</v>
      </c>
      <c r="W144" s="13" t="n">
        <v>2</v>
      </c>
      <c r="X144" s="13" t="n">
        <v>1</v>
      </c>
      <c r="Y144" s="13" t="n">
        <v>1</v>
      </c>
      <c r="Z144" s="13" t="inlineStr">
        <is>
          <t>legal operations practices; ISO 31000</t>
        </is>
      </c>
      <c r="AA144" s="13" t="inlineStr">
        <is>
          <t>Policy/SOP; owner/RACI; system report; dashboard; contracts; test records; incident history; interview evidence related to litigation and dispute portfolio management with a dispute register, external counsel panel and budget control</t>
        </is>
      </c>
      <c r="AB144" s="13" t="inlineStr">
        <is>
          <t>Regulatory/legal shock; Financial/liquidity crisis</t>
        </is>
      </c>
      <c r="AC144" s="13" t="inlineStr">
        <is>
          <t>General Counsel / CFO</t>
        </is>
      </c>
      <c r="AD144" s="13" t="inlineStr">
        <is>
          <t>Legal Risk!25</t>
        </is>
      </c>
      <c r="AE144">
        <f>IF($A144="","",IF(OR(ISNUMBER(SEARCH("cyber",$D144)),ISNUMBER(SEARCH("security",$D144)),ISNUMBER(SEARCH("safety",$D144)),ISNUMBER(SEARCH("liquidity",$D144)),ISNUMBER(SEARCH("cash",$D144)),ISNUMBER(SEARCH("continuity",$D144)),ISNUMBER(SEARCH("infrastructure",$D144)),ISNUMBER(SEARCH("outage",$D144))),"Fast",IF(OR(ISNUMBER(SEARCH("compliance",$D144)),ISNUMBER(SEARCH("regulat",$D144)),ISNUMBER(SEARCH("data",$D144)),ISNUMBER(SEARCH("talent",$D144)),ISNUMBER(SEARCH("knowledge",$D144)),ISNUMBER(SEARCH("portfolio",$D144)),ISNUMBER(SEARCH("quality",$D144))),"Slow","Medium")))</f>
        <v/>
      </c>
      <c r="AF144">
        <f>IF($A144="","",IFERROR(VLOOKUP($B144,'_CONFIG_Risk_Calibration'!$A$5:$H$21,2,FALSE),3))</f>
        <v/>
      </c>
      <c r="AG144">
        <f>IF($A144="","",IFERROR(VLOOKUP($B144,'_CONFIG_Risk_Calibration'!$A$5:$H$21,3,FALSE),0))</f>
        <v/>
      </c>
      <c r="AH144">
        <f>IF($A144="","",IFERROR(VLOOKUP($B144,'_CONFIG_Risk_Calibration'!$A$5:$H$21,4,FALSE),3))</f>
        <v/>
      </c>
      <c r="AI144">
        <f>IF($A144="","",IFERROR(VLOOKUP($B144,'_CONFIG_Risk_Calibration'!$A$5:$H$21,5,FALSE),3))</f>
        <v/>
      </c>
      <c r="AJ144">
        <f>IF($A144="","",IFERROR(VLOOKUP($B144,'_CONFIG_Risk_Calibration'!$A$5:$H$21,6,FALSE),"No"))</f>
        <v/>
      </c>
      <c r="AK144">
        <f>IF($A144="","",IFERROR(VLOOKUP($B144,'_CONFIG_Risk_Calibration'!$A$5:$H$21,7,FALSE),1))</f>
        <v/>
      </c>
      <c r="AL144">
        <f>IF($A144="","",IFERROR(VLOOKUP($B144,'_CONFIG_Risk_Calibration'!$A$5:$H$21,8,FALSE),""))</f>
        <v/>
      </c>
    </row>
    <row r="145" ht="84" customHeight="1" s="209">
      <c r="A145" s="13" t="inlineStr">
        <is>
          <t>PHYS-001</t>
        </is>
      </c>
      <c r="B145" s="13" t="inlineStr">
        <is>
          <t>Physical Safety</t>
        </is>
      </c>
      <c r="C145" s="13" t="inlineStr">
        <is>
          <t>OH&amp;S governance</t>
        </is>
      </c>
      <c r="D145" s="13" t="inlineStr">
        <is>
          <t>Physical safety, security and facility resilience</t>
        </is>
      </c>
      <c r="E145" s="13" t="inlineStr">
        <is>
          <t>How mature is the organization in managing occupational health and safety management system with owners, objectives, audits and management review, including ownership, evidence, metrics, fallback procedures and crisis stress testing?</t>
        </is>
      </c>
      <c r="F145" s="13" t="inlineStr">
        <is>
          <t>Immature capability for occupational health and safety management system with owners, objectives, audits and management review may lead to injury, unsafe facilities, uncontrolled access, asset loss and failure to protect people during incidents during Safety incident; Physical site loss; War/security crisis; Natural disaster.</t>
        </is>
      </c>
      <c r="G145" s="13" t="inlineStr">
        <is>
          <t>Low maturity, weak ownership, incomplete evidence, insufficient testing and poor integration with crisis-management routines for occupational health and safety management system with owners, objectives, audits and management review.</t>
        </is>
      </c>
      <c r="H145" s="13" t="inlineStr">
        <is>
          <t>Severe risk: occupational health and safety management system with owners, objectives, audits and management review is not reliably controlled. During Safety incident; Physical site loss; War/security crisis; Natural disaster, the organization may face injury, unsafe facilities, uncontrolled access, asset loss and failure to protect people during incidents with limited visibility or accountability.</t>
        </is>
      </c>
      <c r="I145" s="13" t="inlineStr">
        <is>
          <t>High risk: occupational health and safety management system with owners, objectives, audits and management review depends on informal practices or individual knowledge. Disruption may expose injury, unsafe facilities, uncontrolled access, asset loss and failure to protect people during incidents and slow recovery.</t>
        </is>
      </c>
      <c r="J145" s="13" t="inlineStr">
        <is>
          <t>Elevated risk: occupational health and safety management system with owners, objectives, audits and management review is partially controlled, but coverage, evidence or testing is inconsistent. Crisis response may be fragmented.</t>
        </is>
      </c>
      <c r="K145" s="13" t="inlineStr">
        <is>
          <t>Moderate risk: occupational health and safety management system with owners, objectives, audits and management review is documented and owned, but measurement, stress testing and integration with dependent processes need strengthening.</t>
        </is>
      </c>
      <c r="L145" s="13" t="inlineStr">
        <is>
          <t>Residual risk: occupational health and safety management system with owners, objectives, audits and management review is measured and reviewed, but monitoring, automation or scenario testing should be improved to prevent maturity drift.</t>
        </is>
      </c>
      <c r="M145" s="13" t="inlineStr">
        <is>
          <t>Low residual risk: occupational health and safety management system with owners, objectives, audits and management review is mature and crisis-tested. Maintain monitoring, evidence, ownership and periodic stress testing.</t>
        </is>
      </c>
      <c r="N145" s="13" t="inlineStr">
        <is>
          <t>Create an immediate risk owner, minimum control baseline and fallback procedure for occupational health and safety management system with owners, objectives, audits and management review. Add it to the crisis risk register and collect first evidence.</t>
        </is>
      </c>
      <c r="O145" s="13" t="inlineStr">
        <is>
          <t>Document occupational health and safety management system with owners, objectives, audits and management review, assign RACI, define minimum controls and KPIs, and validate coverage across key sites, teams or systems.</t>
        </is>
      </c>
      <c r="P145" s="13" t="inlineStr">
        <is>
          <t>Standardize occupational health and safety management system with owners, objectives, audits and management review, close coverage gaps, train accountable roles and connect controls to the relevant crisis scenarios and continuity plans.</t>
        </is>
      </c>
      <c r="Q145" s="13" t="inlineStr">
        <is>
          <t>Measure and test occupational health and safety management system with owners, objectives, audits and management review, run tabletop or operational stress tests, integrate it with dependent processes and update crisis playbooks.</t>
        </is>
      </c>
      <c r="R145" s="13" t="inlineStr">
        <is>
          <t>Automate monitoring where practical, define leading indicators, run periodic scenario tests and track residual risk after each major change.</t>
        </is>
      </c>
      <c r="S145" s="13" t="inlineStr">
        <is>
          <t>Sustain maturity for occupational health and safety management system with owners, objectives, audits and management review: keep evidence current, monitor drift, benchmark externally and refresh risk tests after organizational, system or market changes.</t>
        </is>
      </c>
      <c r="T145" s="13" t="n">
        <v>4</v>
      </c>
      <c r="U145" s="13" t="n">
        <v>3</v>
      </c>
      <c r="V145" s="13" t="n">
        <v>3</v>
      </c>
      <c r="W145" s="13" t="n">
        <v>2</v>
      </c>
      <c r="X145" s="13" t="n">
        <v>1</v>
      </c>
      <c r="Y145" s="13" t="n">
        <v>1</v>
      </c>
      <c r="Z145" s="13" t="inlineStr">
        <is>
          <t>ISO 45001; ISO 22320; ISO 31030; ISO 18788; ISO 22301; NFPA; local OH&amp;S rules</t>
        </is>
      </c>
      <c r="AA145" s="13" t="inlineStr">
        <is>
          <t>Policy/SOP; owner/RACI; system report; dashboard; contracts; test records; incident history; interview evidence related to occupational health and safety management system with owners, objectives, audits and management review.</t>
        </is>
      </c>
      <c r="AB145" s="13" t="inlineStr">
        <is>
          <t>Safety incident; Physical site loss; War/security crisis; Natural disaster</t>
        </is>
      </c>
      <c r="AC145" s="13" t="inlineStr">
        <is>
          <t>Facilities / Security / HSE</t>
        </is>
      </c>
      <c r="AD145" s="13" t="inlineStr">
        <is>
          <t>Physical Safety!5</t>
        </is>
      </c>
      <c r="AE145">
        <f>IF($A145="","",IF(OR(ISNUMBER(SEARCH("cyber",$D145)),ISNUMBER(SEARCH("security",$D145)),ISNUMBER(SEARCH("safety",$D145)),ISNUMBER(SEARCH("liquidity",$D145)),ISNUMBER(SEARCH("cash",$D145)),ISNUMBER(SEARCH("continuity",$D145)),ISNUMBER(SEARCH("infrastructure",$D145)),ISNUMBER(SEARCH("outage",$D145))),"Fast",IF(OR(ISNUMBER(SEARCH("compliance",$D145)),ISNUMBER(SEARCH("regulat",$D145)),ISNUMBER(SEARCH("data",$D145)),ISNUMBER(SEARCH("talent",$D145)),ISNUMBER(SEARCH("knowledge",$D145)),ISNUMBER(SEARCH("portfolio",$D145)),ISNUMBER(SEARCH("quality",$D145))),"Slow","Medium")))</f>
        <v/>
      </c>
      <c r="AF145">
        <f>IF($A145="","",IFERROR(VLOOKUP($B145,'_CONFIG_Risk_Calibration'!$A$5:$H$21,2,FALSE),3))</f>
        <v/>
      </c>
      <c r="AG145">
        <f>IF($A145="","",IFERROR(VLOOKUP($B145,'_CONFIG_Risk_Calibration'!$A$5:$H$21,3,FALSE),0))</f>
        <v/>
      </c>
      <c r="AH145">
        <f>IF($A145="","",IFERROR(VLOOKUP($B145,'_CONFIG_Risk_Calibration'!$A$5:$H$21,4,FALSE),3))</f>
        <v/>
      </c>
      <c r="AI145">
        <f>IF($A145="","",IFERROR(VLOOKUP($B145,'_CONFIG_Risk_Calibration'!$A$5:$H$21,5,FALSE),3))</f>
        <v/>
      </c>
      <c r="AJ145">
        <f>IF($A145="","",IFERROR(VLOOKUP($B145,'_CONFIG_Risk_Calibration'!$A$5:$H$21,6,FALSE),"No"))</f>
        <v/>
      </c>
      <c r="AK145">
        <f>IF($A145="","",IFERROR(VLOOKUP($B145,'_CONFIG_Risk_Calibration'!$A$5:$H$21,7,FALSE),1))</f>
        <v/>
      </c>
      <c r="AL145">
        <f>IF($A145="","",IFERROR(VLOOKUP($B145,'_CONFIG_Risk_Calibration'!$A$5:$H$21,8,FALSE),""))</f>
        <v/>
      </c>
    </row>
    <row r="146" ht="84" customHeight="1" s="209">
      <c r="A146" s="13" t="inlineStr">
        <is>
          <t>PHYS-002</t>
        </is>
      </c>
      <c r="B146" s="13" t="inlineStr">
        <is>
          <t>Physical Safety</t>
        </is>
      </c>
      <c r="C146" s="13" t="inlineStr">
        <is>
          <t>OH&amp;S governance</t>
        </is>
      </c>
      <c r="D146" s="13" t="inlineStr">
        <is>
          <t>Physical safety, security and facility resilience</t>
        </is>
      </c>
      <c r="E146" s="13" t="inlineStr">
        <is>
          <t>How mature is the organization in managing site risk assessments for fire, structure, utilities, hazardous materials, crime, weather, war/security and access, including ownership, evidence, metrics, fallback procedures and crisis stress testing?</t>
        </is>
      </c>
      <c r="F146" s="13" t="inlineStr">
        <is>
          <t>Immature capability for site risk assessments for fire, structure, utilities, hazardous materials, crime, weather, war/security and access may lead to injury, unsafe facilities, uncontrolled access, asset loss and failure to protect people during incidents during Safety incident; Physical site loss; War/security crisis; Natural disaster.</t>
        </is>
      </c>
      <c r="G146" s="13" t="inlineStr">
        <is>
          <t>Low maturity, weak ownership, incomplete evidence, insufficient testing and poor integration with crisis-management routines for site risk assessments for fire, structure, utilities, hazardous materials, crime, weather, war/security and access.</t>
        </is>
      </c>
      <c r="H146" s="13" t="inlineStr">
        <is>
          <t>Severe risk: site risk assessments for fire, structure, utilities, hazardous materials, crime, weather, war/security and access is not reliably controlled. During Safety incident; Physical site loss; War/security crisis; Natural disaster, the organization may face injury, unsafe facilities, uncontrolled access, asset loss and failure to protect people during incidents with limited visibility or accountability.</t>
        </is>
      </c>
      <c r="I146" s="13" t="inlineStr">
        <is>
          <t>High risk: site risk assessments for fire, structure, utilities, hazardous materials, crime, weather, war/security and access depends on informal practices or individual knowledge. Disruption may expose injury, unsafe facilities, uncontrolled access, asset loss and failure to protect people during incidents and slow recovery.</t>
        </is>
      </c>
      <c r="J146" s="13" t="inlineStr">
        <is>
          <t>Elevated risk: site risk assessments for fire, structure, utilities, hazardous materials, crime, weather, war/security and access is partially controlled, but coverage, evidence or testing is inconsistent. Crisis response may be fragmented.</t>
        </is>
      </c>
      <c r="K146" s="13" t="inlineStr">
        <is>
          <t>Moderate risk: site risk assessments for fire, structure, utilities, hazardous materials, crime, weather, war/security and access is documented and owned, but measurement, stress testing and integration with dependent processes need strengthening.</t>
        </is>
      </c>
      <c r="L146" s="13" t="inlineStr">
        <is>
          <t>Residual risk: site risk assessments for fire, structure, utilities, hazardous materials, crime, weather, war/security and access is measured and reviewed, but monitoring, automation or scenario testing should be improved to prevent maturity drift.</t>
        </is>
      </c>
      <c r="M146" s="13" t="inlineStr">
        <is>
          <t>Low residual risk: site risk assessments for fire, structure, utilities, hazardous materials, crime, weather, war/security and access is mature and crisis-tested. Maintain monitoring, evidence, ownership and periodic stress testing.</t>
        </is>
      </c>
      <c r="N146" s="13" t="inlineStr">
        <is>
          <t>Create an immediate risk owner, minimum control baseline and fallback procedure for site risk assessments for fire, structure, utilities, hazardous materials, crime, weather, war/security and access. Add it to the crisis risk register and collect first evidence.</t>
        </is>
      </c>
      <c r="O146" s="13" t="inlineStr">
        <is>
          <t>Document site risk assessments for fire, structure, utilities, hazardous materials, crime, weather, war/security and access, assign RACI, define minimum controls and KPIs, and validate coverage across key sites, teams or systems.</t>
        </is>
      </c>
      <c r="P146" s="13" t="inlineStr">
        <is>
          <t>Standardize site risk assessments for fire, structure, utilities, hazardous materials, crime, weather, war/security and access, close coverage gaps, train accountable roles and connect controls to the relevant crisis scenarios and continuity plans.</t>
        </is>
      </c>
      <c r="Q146" s="13" t="inlineStr">
        <is>
          <t>Measure and test site risk assessments for fire, structure, utilities, hazardous materials, crime, weather, war/security and access, run tabletop or operational stress tests, integrate it with dependent processes and update crisis playbooks.</t>
        </is>
      </c>
      <c r="R146" s="13" t="inlineStr">
        <is>
          <t>Automate monitoring where practical, define leading indicators, run periodic scenario tests and track residual risk after each major change.</t>
        </is>
      </c>
      <c r="S146" s="13" t="inlineStr">
        <is>
          <t>Sustain maturity for site risk assessments for fire, structure, utilities, hazardous materials, crime, weather, war/security and access: keep evidence current, monitor drift, benchmark externally and refresh risk tests after organizational, system or market changes.</t>
        </is>
      </c>
      <c r="T146" s="13" t="n">
        <v>4</v>
      </c>
      <c r="U146" s="13" t="n">
        <v>3</v>
      </c>
      <c r="V146" s="13" t="n">
        <v>3</v>
      </c>
      <c r="W146" s="13" t="n">
        <v>2</v>
      </c>
      <c r="X146" s="13" t="n">
        <v>1</v>
      </c>
      <c r="Y146" s="13" t="n">
        <v>1</v>
      </c>
      <c r="Z146" s="13" t="inlineStr">
        <is>
          <t>ISO 45001; ISO 22320; ISO 31030; ISO 18788; ISO 22301; NFPA; local OH&amp;S rules</t>
        </is>
      </c>
      <c r="AA146" s="13" t="inlineStr">
        <is>
          <t>Policy/SOP; owner/RACI; system report; dashboard; contracts; test records; incident history; interview evidence related to site risk assessments for fire, structure, utilities, hazardous materials, crime, weather, war/security and access.</t>
        </is>
      </c>
      <c r="AB146" s="13" t="inlineStr">
        <is>
          <t>Safety incident; Physical site loss; War/security crisis; Natural disaster</t>
        </is>
      </c>
      <c r="AC146" s="13" t="inlineStr">
        <is>
          <t>Facilities / Security / HSE</t>
        </is>
      </c>
      <c r="AD146" s="13" t="inlineStr">
        <is>
          <t>Physical Safety!6</t>
        </is>
      </c>
      <c r="AE146">
        <f>IF($A146="","",IF(OR(ISNUMBER(SEARCH("cyber",$D146)),ISNUMBER(SEARCH("security",$D146)),ISNUMBER(SEARCH("safety",$D146)),ISNUMBER(SEARCH("liquidity",$D146)),ISNUMBER(SEARCH("cash",$D146)),ISNUMBER(SEARCH("continuity",$D146)),ISNUMBER(SEARCH("infrastructure",$D146)),ISNUMBER(SEARCH("outage",$D146))),"Fast",IF(OR(ISNUMBER(SEARCH("compliance",$D146)),ISNUMBER(SEARCH("regulat",$D146)),ISNUMBER(SEARCH("data",$D146)),ISNUMBER(SEARCH("talent",$D146)),ISNUMBER(SEARCH("knowledge",$D146)),ISNUMBER(SEARCH("portfolio",$D146)),ISNUMBER(SEARCH("quality",$D146))),"Slow","Medium")))</f>
        <v/>
      </c>
      <c r="AF146">
        <f>IF($A146="","",IFERROR(VLOOKUP($B146,'_CONFIG_Risk_Calibration'!$A$5:$H$21,2,FALSE),3))</f>
        <v/>
      </c>
      <c r="AG146">
        <f>IF($A146="","",IFERROR(VLOOKUP($B146,'_CONFIG_Risk_Calibration'!$A$5:$H$21,3,FALSE),0))</f>
        <v/>
      </c>
      <c r="AH146">
        <f>IF($A146="","",IFERROR(VLOOKUP($B146,'_CONFIG_Risk_Calibration'!$A$5:$H$21,4,FALSE),3))</f>
        <v/>
      </c>
      <c r="AI146">
        <f>IF($A146="","",IFERROR(VLOOKUP($B146,'_CONFIG_Risk_Calibration'!$A$5:$H$21,5,FALSE),3))</f>
        <v/>
      </c>
      <c r="AJ146">
        <f>IF($A146="","",IFERROR(VLOOKUP($B146,'_CONFIG_Risk_Calibration'!$A$5:$H$21,6,FALSE),"No"))</f>
        <v/>
      </c>
      <c r="AK146">
        <f>IF($A146="","",IFERROR(VLOOKUP($B146,'_CONFIG_Risk_Calibration'!$A$5:$H$21,7,FALSE),1))</f>
        <v/>
      </c>
      <c r="AL146">
        <f>IF($A146="","",IFERROR(VLOOKUP($B146,'_CONFIG_Risk_Calibration'!$A$5:$H$21,8,FALSE),""))</f>
        <v/>
      </c>
    </row>
    <row r="147" ht="72" customHeight="1" s="209">
      <c r="A147" s="13" t="inlineStr">
        <is>
          <t>PHYS-003</t>
        </is>
      </c>
      <c r="B147" s="13" t="inlineStr">
        <is>
          <t>Physical Safety</t>
        </is>
      </c>
      <c r="C147" s="13" t="inlineStr">
        <is>
          <t>OH&amp;S governance</t>
        </is>
      </c>
      <c r="D147" s="13" t="inlineStr">
        <is>
          <t>Physical safety, security and facility resilience</t>
        </is>
      </c>
      <c r="E147" s="13" t="inlineStr">
        <is>
          <t>How mature is the organization in managing job hazard analysis for roles, tasks, production activities and field work, including ownership, evidence, metrics, fallback procedures and crisis stress testing?</t>
        </is>
      </c>
      <c r="F147" s="13" t="inlineStr">
        <is>
          <t>Immature capability for job hazard analysis for roles, tasks, production activities and field work may lead to injury, unsafe facilities, uncontrolled access, asset loss and failure to protect people during incidents during Safety incident; Physical site loss; War/security crisis; Natural disaster.</t>
        </is>
      </c>
      <c r="G147" s="13" t="inlineStr">
        <is>
          <t>Low maturity, weak ownership, incomplete evidence, insufficient testing and poor integration with crisis-management routines for job hazard analysis for roles, tasks, production activities and field work.</t>
        </is>
      </c>
      <c r="H147" s="13" t="inlineStr">
        <is>
          <t>Severe risk: job hazard analysis for roles, tasks, production activities and field work is not reliably controlled. During Safety incident; Physical site loss; War/security crisis; Natural disaster, the organization may face injury, unsafe facilities, uncontrolled access, asset loss and failure to protect people during incidents with limited visibility or accountability.</t>
        </is>
      </c>
      <c r="I147" s="13" t="inlineStr">
        <is>
          <t>High risk: job hazard analysis for roles, tasks, production activities and field work depends on informal practices or individual knowledge. Disruption may expose injury, unsafe facilities, uncontrolled access, asset loss and failure to protect people during incidents and slow recovery.</t>
        </is>
      </c>
      <c r="J147" s="13" t="inlineStr">
        <is>
          <t>Elevated risk: job hazard analysis for roles, tasks, production activities and field work is partially controlled, but coverage, evidence or testing is inconsistent. Crisis response may be fragmented.</t>
        </is>
      </c>
      <c r="K147" s="13" t="inlineStr">
        <is>
          <t>Moderate risk: job hazard analysis for roles, tasks, production activities and field work is documented and owned, but measurement, stress testing and integration with dependent processes need strengthening.</t>
        </is>
      </c>
      <c r="L147" s="13" t="inlineStr">
        <is>
          <t>Residual risk: job hazard analysis for roles, tasks, production activities and field work is measured and reviewed, but monitoring, automation or scenario testing should be improved to prevent maturity drift.</t>
        </is>
      </c>
      <c r="M147" s="13" t="inlineStr">
        <is>
          <t>Low residual risk: job hazard analysis for roles, tasks, production activities and field work is mature and crisis-tested. Maintain monitoring, evidence, ownership and periodic stress testing.</t>
        </is>
      </c>
      <c r="N147" s="13" t="inlineStr">
        <is>
          <t>Create an immediate risk owner, minimum control baseline and fallback procedure for job hazard analysis for roles, tasks, production activities and field work. Add it to the crisis risk register and collect first evidence.</t>
        </is>
      </c>
      <c r="O147" s="13" t="inlineStr">
        <is>
          <t>Document job hazard analysis for roles, tasks, production activities and field work, assign RACI, define minimum controls and KPIs, and validate coverage across key sites, teams or systems.</t>
        </is>
      </c>
      <c r="P147" s="13" t="inlineStr">
        <is>
          <t>Standardize job hazard analysis for roles, tasks, production activities and field work, close coverage gaps, train accountable roles and connect controls to the relevant crisis scenarios and continuity plans.</t>
        </is>
      </c>
      <c r="Q147" s="13" t="inlineStr">
        <is>
          <t>Measure and test job hazard analysis for roles, tasks, production activities and field work, run tabletop or operational stress tests, integrate it with dependent processes and update crisis playbooks.</t>
        </is>
      </c>
      <c r="R147" s="13" t="inlineStr">
        <is>
          <t>Automate monitoring where practical, define leading indicators, run periodic scenario tests and track residual risk after each major change.</t>
        </is>
      </c>
      <c r="S147" s="13" t="inlineStr">
        <is>
          <t>Sustain maturity for job hazard analysis for roles, tasks, production activities and field work: keep evidence current, monitor drift, benchmark externally and refresh risk tests after organizational, system or market changes.</t>
        </is>
      </c>
      <c r="T147" s="13" t="n">
        <v>4</v>
      </c>
      <c r="U147" s="13" t="n">
        <v>3</v>
      </c>
      <c r="V147" s="13" t="n">
        <v>3</v>
      </c>
      <c r="W147" s="13" t="n">
        <v>2</v>
      </c>
      <c r="X147" s="13" t="n">
        <v>1</v>
      </c>
      <c r="Y147" s="13" t="n">
        <v>1</v>
      </c>
      <c r="Z147" s="13" t="inlineStr">
        <is>
          <t>ISO 45001; ISO 22320; ISO 31030; ISO 18788; ISO 22301; NFPA; local OH&amp;S rules</t>
        </is>
      </c>
      <c r="AA147" s="13" t="inlineStr">
        <is>
          <t>Policy/SOP; owner/RACI; system report; dashboard; contracts; test records; incident history; interview evidence related to job hazard analysis for roles, tasks, production activities and field work.</t>
        </is>
      </c>
      <c r="AB147" s="13" t="inlineStr">
        <is>
          <t>Safety incident; Physical site loss; War/security crisis; Natural disaster</t>
        </is>
      </c>
      <c r="AC147" s="13" t="inlineStr">
        <is>
          <t>Facilities / Security / HSE</t>
        </is>
      </c>
      <c r="AD147" s="13" t="inlineStr">
        <is>
          <t>Physical Safety!7</t>
        </is>
      </c>
      <c r="AE147">
        <f>IF($A147="","",IF(OR(ISNUMBER(SEARCH("cyber",$D147)),ISNUMBER(SEARCH("security",$D147)),ISNUMBER(SEARCH("safety",$D147)),ISNUMBER(SEARCH("liquidity",$D147)),ISNUMBER(SEARCH("cash",$D147)),ISNUMBER(SEARCH("continuity",$D147)),ISNUMBER(SEARCH("infrastructure",$D147)),ISNUMBER(SEARCH("outage",$D147))),"Fast",IF(OR(ISNUMBER(SEARCH("compliance",$D147)),ISNUMBER(SEARCH("regulat",$D147)),ISNUMBER(SEARCH("data",$D147)),ISNUMBER(SEARCH("talent",$D147)),ISNUMBER(SEARCH("knowledge",$D147)),ISNUMBER(SEARCH("portfolio",$D147)),ISNUMBER(SEARCH("quality",$D147))),"Slow","Medium")))</f>
        <v/>
      </c>
      <c r="AF147">
        <f>IF($A147="","",IFERROR(VLOOKUP($B147,'_CONFIG_Risk_Calibration'!$A$5:$H$21,2,FALSE),3))</f>
        <v/>
      </c>
      <c r="AG147">
        <f>IF($A147="","",IFERROR(VLOOKUP($B147,'_CONFIG_Risk_Calibration'!$A$5:$H$21,3,FALSE),0))</f>
        <v/>
      </c>
      <c r="AH147">
        <f>IF($A147="","",IFERROR(VLOOKUP($B147,'_CONFIG_Risk_Calibration'!$A$5:$H$21,4,FALSE),3))</f>
        <v/>
      </c>
      <c r="AI147">
        <f>IF($A147="","",IFERROR(VLOOKUP($B147,'_CONFIG_Risk_Calibration'!$A$5:$H$21,5,FALSE),3))</f>
        <v/>
      </c>
      <c r="AJ147">
        <f>IF($A147="","",IFERROR(VLOOKUP($B147,'_CONFIG_Risk_Calibration'!$A$5:$H$21,6,FALSE),"No"))</f>
        <v/>
      </c>
      <c r="AK147">
        <f>IF($A147="","",IFERROR(VLOOKUP($B147,'_CONFIG_Risk_Calibration'!$A$5:$H$21,7,FALSE),1))</f>
        <v/>
      </c>
      <c r="AL147">
        <f>IF($A147="","",IFERROR(VLOOKUP($B147,'_CONFIG_Risk_Calibration'!$A$5:$H$21,8,FALSE),""))</f>
        <v/>
      </c>
    </row>
    <row r="148" ht="84" customHeight="1" s="209">
      <c r="A148" s="13" t="inlineStr">
        <is>
          <t>PHYS-004</t>
        </is>
      </c>
      <c r="B148" s="13" t="inlineStr">
        <is>
          <t>Physical Safety</t>
        </is>
      </c>
      <c r="C148" s="13" t="inlineStr">
        <is>
          <t>OH&amp;S governance</t>
        </is>
      </c>
      <c r="D148" s="13" t="inlineStr">
        <is>
          <t>Physical safety, security and facility resilience</t>
        </is>
      </c>
      <c r="E148" s="13" t="inlineStr">
        <is>
          <t>How mature is the organization in managing contractor and visitor safety induction, permits-to-work, site rules and emergency procedures, including ownership, evidence, metrics, fallback procedures and crisis stress testing?</t>
        </is>
      </c>
      <c r="F148" s="13" t="inlineStr">
        <is>
          <t>Immature capability for contractor and visitor safety induction, permits-to-work, site rules and emergency procedures may lead to injury, unsafe facilities, uncontrolled access, asset loss and failure to protect people during incidents during Safety incident; Physical site loss; War/security crisis; Natural disaster.</t>
        </is>
      </c>
      <c r="G148" s="13" t="inlineStr">
        <is>
          <t>Low maturity, weak ownership, incomplete evidence, insufficient testing and poor integration with crisis-management routines for contractor and visitor safety induction, permits-to-work, site rules and emergency procedures.</t>
        </is>
      </c>
      <c r="H148" s="13" t="inlineStr">
        <is>
          <t>Severe risk: contractor and visitor safety induction, permits-to-work, site rules and emergency procedures is not reliably controlled. During Safety incident; Physical site loss; War/security crisis; Natural disaster, the organization may face injury, unsafe facilities, uncontrolled access, asset loss and failure to protect people during incidents with limited visibility or accountability.</t>
        </is>
      </c>
      <c r="I148" s="13" t="inlineStr">
        <is>
          <t>High risk: contractor and visitor safety induction, permits-to-work, site rules and emergency procedures depends on informal practices or individual knowledge. Disruption may expose injury, unsafe facilities, uncontrolled access, asset loss and failure to protect people during incidents and slow recovery.</t>
        </is>
      </c>
      <c r="J148" s="13" t="inlineStr">
        <is>
          <t>Elevated risk: contractor and visitor safety induction, permits-to-work, site rules and emergency procedures is partially controlled, but coverage, evidence or testing is inconsistent. Crisis response may be fragmented.</t>
        </is>
      </c>
      <c r="K148" s="13" t="inlineStr">
        <is>
          <t>Moderate risk: contractor and visitor safety induction, permits-to-work, site rules and emergency procedures is documented and owned, but measurement, stress testing and integration with dependent processes need strengthening.</t>
        </is>
      </c>
      <c r="L148" s="13" t="inlineStr">
        <is>
          <t>Residual risk: contractor and visitor safety induction, permits-to-work, site rules and emergency procedures is measured and reviewed, but monitoring, automation or scenario testing should be improved to prevent maturity drift.</t>
        </is>
      </c>
      <c r="M148" s="13" t="inlineStr">
        <is>
          <t>Low residual risk: contractor and visitor safety induction, permits-to-work, site rules and emergency procedures is mature and crisis-tested. Maintain monitoring, evidence, ownership and periodic stress testing.</t>
        </is>
      </c>
      <c r="N148" s="13" t="inlineStr">
        <is>
          <t>Create an immediate risk owner, minimum control baseline and fallback procedure for contractor and visitor safety induction, permits-to-work, site rules and emergency procedures. Add it to the crisis risk register and collect first evidence.</t>
        </is>
      </c>
      <c r="O148" s="13" t="inlineStr">
        <is>
          <t>Document contractor and visitor safety induction, permits-to-work, site rules and emergency procedures, assign RACI, define minimum controls and KPIs, and validate coverage across key sites, teams or systems.</t>
        </is>
      </c>
      <c r="P148" s="13" t="inlineStr">
        <is>
          <t>Standardize contractor and visitor safety induction, permits-to-work, site rules and emergency procedures, close coverage gaps, train accountable roles and connect controls to the relevant crisis scenarios and continuity plans.</t>
        </is>
      </c>
      <c r="Q148" s="13" t="inlineStr">
        <is>
          <t>Measure and test contractor and visitor safety induction, permits-to-work, site rules and emergency procedures, run tabletop or operational stress tests, integrate it with dependent processes and update crisis playbooks.</t>
        </is>
      </c>
      <c r="R148" s="13" t="inlineStr">
        <is>
          <t>Automate monitoring where practical, define leading indicators, run periodic scenario tests and track residual risk after each major change.</t>
        </is>
      </c>
      <c r="S148" s="13" t="inlineStr">
        <is>
          <t>Sustain maturity for contractor and visitor safety induction, permits-to-work, site rules and emergency procedures: keep evidence current, monitor drift, benchmark externally and refresh risk tests after organizational, system or market changes.</t>
        </is>
      </c>
      <c r="T148" s="13" t="n">
        <v>4</v>
      </c>
      <c r="U148" s="13" t="n">
        <v>3</v>
      </c>
      <c r="V148" s="13" t="n">
        <v>3</v>
      </c>
      <c r="W148" s="13" t="n">
        <v>2</v>
      </c>
      <c r="X148" s="13" t="n">
        <v>1</v>
      </c>
      <c r="Y148" s="13" t="n">
        <v>1</v>
      </c>
      <c r="Z148" s="13" t="inlineStr">
        <is>
          <t>ISO 45001; ISO 22320; ISO 31030; ISO 18788; ISO 22301; NFPA; local OH&amp;S rules</t>
        </is>
      </c>
      <c r="AA148" s="13" t="inlineStr">
        <is>
          <t>Policy/SOP; owner/RACI; system report; dashboard; contracts; test records; incident history; interview evidence related to contractor and visitor safety induction, permits-to-work, site rules and emergency procedures.</t>
        </is>
      </c>
      <c r="AB148" s="13" t="inlineStr">
        <is>
          <t>Safety incident; Physical site loss; War/security crisis; Natural disaster</t>
        </is>
      </c>
      <c r="AC148" s="13" t="inlineStr">
        <is>
          <t>Facilities / Security / HSE</t>
        </is>
      </c>
      <c r="AD148" s="13" t="inlineStr">
        <is>
          <t>Physical Safety!8</t>
        </is>
      </c>
      <c r="AE148">
        <f>IF($A148="","",IF(OR(ISNUMBER(SEARCH("cyber",$D148)),ISNUMBER(SEARCH("security",$D148)),ISNUMBER(SEARCH("safety",$D148)),ISNUMBER(SEARCH("liquidity",$D148)),ISNUMBER(SEARCH("cash",$D148)),ISNUMBER(SEARCH("continuity",$D148)),ISNUMBER(SEARCH("infrastructure",$D148)),ISNUMBER(SEARCH("outage",$D148))),"Fast",IF(OR(ISNUMBER(SEARCH("compliance",$D148)),ISNUMBER(SEARCH("regulat",$D148)),ISNUMBER(SEARCH("data",$D148)),ISNUMBER(SEARCH("talent",$D148)),ISNUMBER(SEARCH("knowledge",$D148)),ISNUMBER(SEARCH("portfolio",$D148)),ISNUMBER(SEARCH("quality",$D148))),"Slow","Medium")))</f>
        <v/>
      </c>
      <c r="AF148">
        <f>IF($A148="","",IFERROR(VLOOKUP($B148,'_CONFIG_Risk_Calibration'!$A$5:$H$21,2,FALSE),3))</f>
        <v/>
      </c>
      <c r="AG148">
        <f>IF($A148="","",IFERROR(VLOOKUP($B148,'_CONFIG_Risk_Calibration'!$A$5:$H$21,3,FALSE),0))</f>
        <v/>
      </c>
      <c r="AH148">
        <f>IF($A148="","",IFERROR(VLOOKUP($B148,'_CONFIG_Risk_Calibration'!$A$5:$H$21,4,FALSE),3))</f>
        <v/>
      </c>
      <c r="AI148">
        <f>IF($A148="","",IFERROR(VLOOKUP($B148,'_CONFIG_Risk_Calibration'!$A$5:$H$21,5,FALSE),3))</f>
        <v/>
      </c>
      <c r="AJ148">
        <f>IF($A148="","",IFERROR(VLOOKUP($B148,'_CONFIG_Risk_Calibration'!$A$5:$H$21,6,FALSE),"No"))</f>
        <v/>
      </c>
      <c r="AK148">
        <f>IF($A148="","",IFERROR(VLOOKUP($B148,'_CONFIG_Risk_Calibration'!$A$5:$H$21,7,FALSE),1))</f>
        <v/>
      </c>
      <c r="AL148">
        <f>IF($A148="","",IFERROR(VLOOKUP($B148,'_CONFIG_Risk_Calibration'!$A$5:$H$21,8,FALSE),""))</f>
        <v/>
      </c>
    </row>
    <row r="149" ht="72" customHeight="1" s="209">
      <c r="A149" s="13" t="inlineStr">
        <is>
          <t>PHYS-005</t>
        </is>
      </c>
      <c r="B149" s="13" t="inlineStr">
        <is>
          <t>Physical Safety</t>
        </is>
      </c>
      <c r="C149" s="13" t="inlineStr">
        <is>
          <t>OH&amp;S governance</t>
        </is>
      </c>
      <c r="D149" s="13" t="inlineStr">
        <is>
          <t>Physical safety, security and facility resilience</t>
        </is>
      </c>
      <c r="E149" s="13" t="inlineStr">
        <is>
          <t>How mature is the organization in managing near-miss and safety incident reporting, investigation and corrective action, including ownership, evidence, metrics, fallback procedures and crisis stress testing?</t>
        </is>
      </c>
      <c r="F149" s="13" t="inlineStr">
        <is>
          <t>Immature capability for near-miss and safety incident reporting, investigation and corrective action may lead to injury, unsafe facilities, uncontrolled access, asset loss and failure to protect people during incidents during Safety incident; Physical site loss; War/security crisis; Natural disaster.</t>
        </is>
      </c>
      <c r="G149" s="13" t="inlineStr">
        <is>
          <t>Low maturity, weak ownership, incomplete evidence, insufficient testing and poor integration with crisis-management routines for near-miss and safety incident reporting, investigation and corrective action.</t>
        </is>
      </c>
      <c r="H149" s="13" t="inlineStr">
        <is>
          <t>Severe risk: near-miss and safety incident reporting, investigation and corrective action is not reliably controlled. During Safety incident; Physical site loss; War/security crisis; Natural disaster, the organization may face injury, unsafe facilities, uncontrolled access, asset loss and failure to protect people during incidents with limited visibility or accountability.</t>
        </is>
      </c>
      <c r="I149" s="13" t="inlineStr">
        <is>
          <t>High risk: near-miss and safety incident reporting, investigation and corrective action depends on informal practices or individual knowledge. Disruption may expose injury, unsafe facilities, uncontrolled access, asset loss and failure to protect people during incidents and slow recovery.</t>
        </is>
      </c>
      <c r="J149" s="13" t="inlineStr">
        <is>
          <t>Elevated risk: near-miss and safety incident reporting, investigation and corrective action is partially controlled, but coverage, evidence or testing is inconsistent. Crisis response may be fragmented.</t>
        </is>
      </c>
      <c r="K149" s="13" t="inlineStr">
        <is>
          <t>Moderate risk: near-miss and safety incident reporting, investigation and corrective action is documented and owned, but measurement, stress testing and integration with dependent processes need strengthening.</t>
        </is>
      </c>
      <c r="L149" s="13" t="inlineStr">
        <is>
          <t>Residual risk: near-miss and safety incident reporting, investigation and corrective action is measured and reviewed, but monitoring, automation or scenario testing should be improved to prevent maturity drift.</t>
        </is>
      </c>
      <c r="M149" s="13" t="inlineStr">
        <is>
          <t>Low residual risk: near-miss and safety incident reporting, investigation and corrective action is mature and crisis-tested. Maintain monitoring, evidence, ownership and periodic stress testing.</t>
        </is>
      </c>
      <c r="N149" s="13" t="inlineStr">
        <is>
          <t>Create an immediate risk owner, minimum control baseline and fallback procedure for near-miss and safety incident reporting, investigation and corrective action. Add it to the crisis risk register and collect first evidence.</t>
        </is>
      </c>
      <c r="O149" s="13" t="inlineStr">
        <is>
          <t>Document near-miss and safety incident reporting, investigation and corrective action, assign RACI, define minimum controls and KPIs, and validate coverage across key sites, teams or systems.</t>
        </is>
      </c>
      <c r="P149" s="13" t="inlineStr">
        <is>
          <t>Standardize near-miss and safety incident reporting, investigation and corrective action, close coverage gaps, train accountable roles and connect controls to the relevant crisis scenarios and continuity plans.</t>
        </is>
      </c>
      <c r="Q149" s="13" t="inlineStr">
        <is>
          <t>Measure and test near-miss and safety incident reporting, investigation and corrective action, run tabletop or operational stress tests, integrate it with dependent processes and update crisis playbooks.</t>
        </is>
      </c>
      <c r="R149" s="13" t="inlineStr">
        <is>
          <t>Automate monitoring where practical, define leading indicators, run periodic scenario tests and track residual risk after each major change.</t>
        </is>
      </c>
      <c r="S149" s="13" t="inlineStr">
        <is>
          <t>Sustain maturity for near-miss and safety incident reporting, investigation and corrective action: keep evidence current, monitor drift, benchmark externally and refresh risk tests after organizational, system or market changes.</t>
        </is>
      </c>
      <c r="T149" s="13" t="n">
        <v>4</v>
      </c>
      <c r="U149" s="13" t="n">
        <v>3</v>
      </c>
      <c r="V149" s="13" t="n">
        <v>3</v>
      </c>
      <c r="W149" s="13" t="n">
        <v>2</v>
      </c>
      <c r="X149" s="13" t="n">
        <v>1</v>
      </c>
      <c r="Y149" s="13" t="n">
        <v>1</v>
      </c>
      <c r="Z149" s="13" t="inlineStr">
        <is>
          <t>ISO 45001; ISO 22320; ISO 31030; ISO 18788; ISO 22301; NFPA; local OH&amp;S rules</t>
        </is>
      </c>
      <c r="AA149" s="13" t="inlineStr">
        <is>
          <t>Policy/SOP; owner/RACI; system report; dashboard; contracts; test records; incident history; interview evidence related to near-miss and safety incident reporting, investigation and corrective action.</t>
        </is>
      </c>
      <c r="AB149" s="13" t="inlineStr">
        <is>
          <t>Safety incident; Physical site loss; War/security crisis; Natural disaster</t>
        </is>
      </c>
      <c r="AC149" s="13" t="inlineStr">
        <is>
          <t>Facilities / Security / HSE</t>
        </is>
      </c>
      <c r="AD149" s="13" t="inlineStr">
        <is>
          <t>Physical Safety!9</t>
        </is>
      </c>
      <c r="AE149">
        <f>IF($A149="","",IF(OR(ISNUMBER(SEARCH("cyber",$D149)),ISNUMBER(SEARCH("security",$D149)),ISNUMBER(SEARCH("safety",$D149)),ISNUMBER(SEARCH("liquidity",$D149)),ISNUMBER(SEARCH("cash",$D149)),ISNUMBER(SEARCH("continuity",$D149)),ISNUMBER(SEARCH("infrastructure",$D149)),ISNUMBER(SEARCH("outage",$D149))),"Fast",IF(OR(ISNUMBER(SEARCH("compliance",$D149)),ISNUMBER(SEARCH("regulat",$D149)),ISNUMBER(SEARCH("data",$D149)),ISNUMBER(SEARCH("talent",$D149)),ISNUMBER(SEARCH("knowledge",$D149)),ISNUMBER(SEARCH("portfolio",$D149)),ISNUMBER(SEARCH("quality",$D149))),"Slow","Medium")))</f>
        <v/>
      </c>
      <c r="AF149">
        <f>IF($A149="","",IFERROR(VLOOKUP($B149,'_CONFIG_Risk_Calibration'!$A$5:$H$21,2,FALSE),3))</f>
        <v/>
      </c>
      <c r="AG149">
        <f>IF($A149="","",IFERROR(VLOOKUP($B149,'_CONFIG_Risk_Calibration'!$A$5:$H$21,3,FALSE),0))</f>
        <v/>
      </c>
      <c r="AH149">
        <f>IF($A149="","",IFERROR(VLOOKUP($B149,'_CONFIG_Risk_Calibration'!$A$5:$H$21,4,FALSE),3))</f>
        <v/>
      </c>
      <c r="AI149">
        <f>IF($A149="","",IFERROR(VLOOKUP($B149,'_CONFIG_Risk_Calibration'!$A$5:$H$21,5,FALSE),3))</f>
        <v/>
      </c>
      <c r="AJ149">
        <f>IF($A149="","",IFERROR(VLOOKUP($B149,'_CONFIG_Risk_Calibration'!$A$5:$H$21,6,FALSE),"No"))</f>
        <v/>
      </c>
      <c r="AK149">
        <f>IF($A149="","",IFERROR(VLOOKUP($B149,'_CONFIG_Risk_Calibration'!$A$5:$H$21,7,FALSE),1))</f>
        <v/>
      </c>
      <c r="AL149">
        <f>IF($A149="","",IFERROR(VLOOKUP($B149,'_CONFIG_Risk_Calibration'!$A$5:$H$21,8,FALSE),""))</f>
        <v/>
      </c>
    </row>
    <row r="150" ht="72" customHeight="1" s="209">
      <c r="A150" s="13" t="inlineStr">
        <is>
          <t>PHYS-006</t>
        </is>
      </c>
      <c r="B150" s="13" t="inlineStr">
        <is>
          <t>Physical Safety</t>
        </is>
      </c>
      <c r="C150" s="13" t="inlineStr">
        <is>
          <t>OH&amp;S governance</t>
        </is>
      </c>
      <c r="D150" s="13" t="inlineStr">
        <is>
          <t>Physical safety, security and facility resilience</t>
        </is>
      </c>
      <c r="E150" s="13" t="inlineStr">
        <is>
          <t>How mature is the organization in managing serious incident escalation to executives, legal, insurers and regulators, including ownership, evidence, metrics, fallback procedures and crisis stress testing?</t>
        </is>
      </c>
      <c r="F150" s="13" t="inlineStr">
        <is>
          <t>Immature capability for serious incident escalation to executives, legal, insurers and regulators may lead to injury, unsafe facilities, uncontrolled access, asset loss and failure to protect people during incidents during Safety incident; Physical site loss; War/security crisis; Natural disaster.</t>
        </is>
      </c>
      <c r="G150" s="13" t="inlineStr">
        <is>
          <t>Low maturity, weak ownership, incomplete evidence, insufficient testing and poor integration with crisis-management routines for serious incident escalation to executives, legal, insurers and regulators.</t>
        </is>
      </c>
      <c r="H150" s="13" t="inlineStr">
        <is>
          <t>Severe risk: serious incident escalation to executives, legal, insurers and regulators is not reliably controlled. During Safety incident; Physical site loss; War/security crisis; Natural disaster, the organization may face injury, unsafe facilities, uncontrolled access, asset loss and failure to protect people during incidents with limited visibility or accountability.</t>
        </is>
      </c>
      <c r="I150" s="13" t="inlineStr">
        <is>
          <t>High risk: serious incident escalation to executives, legal, insurers and regulators depends on informal practices or individual knowledge. Disruption may expose injury, unsafe facilities, uncontrolled access, asset loss and failure to protect people during incidents and slow recovery.</t>
        </is>
      </c>
      <c r="J150" s="13" t="inlineStr">
        <is>
          <t>Elevated risk: serious incident escalation to executives, legal, insurers and regulators is partially controlled, but coverage, evidence or testing is inconsistent. Crisis response may be fragmented.</t>
        </is>
      </c>
      <c r="K150" s="13" t="inlineStr">
        <is>
          <t>Moderate risk: serious incident escalation to executives, legal, insurers and regulators is documented and owned, but measurement, stress testing and integration with dependent processes need strengthening.</t>
        </is>
      </c>
      <c r="L150" s="13" t="inlineStr">
        <is>
          <t>Residual risk: serious incident escalation to executives, legal, insurers and regulators is measured and reviewed, but monitoring, automation or scenario testing should be improved to prevent maturity drift.</t>
        </is>
      </c>
      <c r="M150" s="13" t="inlineStr">
        <is>
          <t>Low residual risk: serious incident escalation to executives, legal, insurers and regulators is mature and crisis-tested. Maintain monitoring, evidence, ownership and periodic stress testing.</t>
        </is>
      </c>
      <c r="N150" s="13" t="inlineStr">
        <is>
          <t>Create an immediate risk owner, minimum control baseline and fallback procedure for serious incident escalation to executives, legal, insurers and regulators. Add it to the crisis risk register and collect first evidence.</t>
        </is>
      </c>
      <c r="O150" s="13" t="inlineStr">
        <is>
          <t>Document serious incident escalation to executives, legal, insurers and regulators, assign RACI, define minimum controls and KPIs, and validate coverage across key sites, teams or systems.</t>
        </is>
      </c>
      <c r="P150" s="13" t="inlineStr">
        <is>
          <t>Standardize serious incident escalation to executives, legal, insurers and regulators, close coverage gaps, train accountable roles and connect controls to the relevant crisis scenarios and continuity plans.</t>
        </is>
      </c>
      <c r="Q150" s="13" t="inlineStr">
        <is>
          <t>Measure and test serious incident escalation to executives, legal, insurers and regulators, run tabletop or operational stress tests, integrate it with dependent processes and update crisis playbooks.</t>
        </is>
      </c>
      <c r="R150" s="13" t="inlineStr">
        <is>
          <t>Automate monitoring where practical, define leading indicators, run periodic scenario tests and track residual risk after each major change.</t>
        </is>
      </c>
      <c r="S150" s="13" t="inlineStr">
        <is>
          <t>Sustain maturity for serious incident escalation to executives, legal, insurers and regulators: keep evidence current, monitor drift, benchmark externally and refresh risk tests after organizational, system or market changes.</t>
        </is>
      </c>
      <c r="T150" s="13" t="n">
        <v>4</v>
      </c>
      <c r="U150" s="13" t="n">
        <v>3</v>
      </c>
      <c r="V150" s="13" t="n">
        <v>3</v>
      </c>
      <c r="W150" s="13" t="n">
        <v>2</v>
      </c>
      <c r="X150" s="13" t="n">
        <v>1</v>
      </c>
      <c r="Y150" s="13" t="n">
        <v>1</v>
      </c>
      <c r="Z150" s="13" t="inlineStr">
        <is>
          <t>ISO 45001; ISO 22320; ISO 31030; ISO 18788; ISO 22301; NFPA; local OH&amp;S rules</t>
        </is>
      </c>
      <c r="AA150" s="13" t="inlineStr">
        <is>
          <t>Policy/SOP; owner/RACI; system report; dashboard; contracts; test records; incident history; interview evidence related to serious incident escalation to executives, legal, insurers and regulators.</t>
        </is>
      </c>
      <c r="AB150" s="13" t="inlineStr">
        <is>
          <t>Safety incident; Physical site loss; War/security crisis; Natural disaster</t>
        </is>
      </c>
      <c r="AC150" s="13" t="inlineStr">
        <is>
          <t>Facilities / Security / HSE</t>
        </is>
      </c>
      <c r="AD150" s="13" t="inlineStr">
        <is>
          <t>Physical Safety!10</t>
        </is>
      </c>
      <c r="AE150">
        <f>IF($A150="","",IF(OR(ISNUMBER(SEARCH("cyber",$D150)),ISNUMBER(SEARCH("security",$D150)),ISNUMBER(SEARCH("safety",$D150)),ISNUMBER(SEARCH("liquidity",$D150)),ISNUMBER(SEARCH("cash",$D150)),ISNUMBER(SEARCH("continuity",$D150)),ISNUMBER(SEARCH("infrastructure",$D150)),ISNUMBER(SEARCH("outage",$D150))),"Fast",IF(OR(ISNUMBER(SEARCH("compliance",$D150)),ISNUMBER(SEARCH("regulat",$D150)),ISNUMBER(SEARCH("data",$D150)),ISNUMBER(SEARCH("talent",$D150)),ISNUMBER(SEARCH("knowledge",$D150)),ISNUMBER(SEARCH("portfolio",$D150)),ISNUMBER(SEARCH("quality",$D150))),"Slow","Medium")))</f>
        <v/>
      </c>
      <c r="AF150">
        <f>IF($A150="","",IFERROR(VLOOKUP($B150,'_CONFIG_Risk_Calibration'!$A$5:$H$21,2,FALSE),3))</f>
        <v/>
      </c>
      <c r="AG150">
        <f>IF($A150="","",IFERROR(VLOOKUP($B150,'_CONFIG_Risk_Calibration'!$A$5:$H$21,3,FALSE),0))</f>
        <v/>
      </c>
      <c r="AH150">
        <f>IF($A150="","",IFERROR(VLOOKUP($B150,'_CONFIG_Risk_Calibration'!$A$5:$H$21,4,FALSE),3))</f>
        <v/>
      </c>
      <c r="AI150">
        <f>IF($A150="","",IFERROR(VLOOKUP($B150,'_CONFIG_Risk_Calibration'!$A$5:$H$21,5,FALSE),3))</f>
        <v/>
      </c>
      <c r="AJ150">
        <f>IF($A150="","",IFERROR(VLOOKUP($B150,'_CONFIG_Risk_Calibration'!$A$5:$H$21,6,FALSE),"No"))</f>
        <v/>
      </c>
      <c r="AK150">
        <f>IF($A150="","",IFERROR(VLOOKUP($B150,'_CONFIG_Risk_Calibration'!$A$5:$H$21,7,FALSE),1))</f>
        <v/>
      </c>
      <c r="AL150">
        <f>IF($A150="","",IFERROR(VLOOKUP($B150,'_CONFIG_Risk_Calibration'!$A$5:$H$21,8,FALSE),""))</f>
        <v/>
      </c>
    </row>
    <row r="151" ht="84" customHeight="1" s="209">
      <c r="A151" s="13" t="inlineStr">
        <is>
          <t>PHYS-007</t>
        </is>
      </c>
      <c r="B151" s="13" t="inlineStr">
        <is>
          <t>Physical Safety</t>
        </is>
      </c>
      <c r="C151" s="13" t="inlineStr">
        <is>
          <t>Facilities and access</t>
        </is>
      </c>
      <c r="D151" s="13" t="inlineStr">
        <is>
          <t>Physical safety, security and facility resilience</t>
        </is>
      </c>
      <c r="E151" s="13" t="inlineStr">
        <is>
          <t>How mature is the organization in managing critical facility register with occupancy, business processes, utilities, safety risks and recovery priority, including ownership, evidence, metrics, fallback procedures and crisis stress testing?</t>
        </is>
      </c>
      <c r="F151" s="13" t="inlineStr">
        <is>
          <t>Immature capability for critical facility register with occupancy, business processes, utilities, safety risks and recovery priority may lead to injury, unsafe facilities, uncontrolled access, asset loss and failure to protect people during incidents during Safety incident; Physical site loss; War/security crisis; Natural disaster.</t>
        </is>
      </c>
      <c r="G151" s="13" t="inlineStr">
        <is>
          <t>Low maturity, weak ownership, incomplete evidence, insufficient testing and poor integration with crisis-management routines for critical facility register with occupancy, business processes, utilities, safety risks and recovery priority.</t>
        </is>
      </c>
      <c r="H151" s="13" t="inlineStr">
        <is>
          <t>Severe risk: critical facility register with occupancy, business processes, utilities, safety risks and recovery priority is not reliably controlled. During Safety incident; Physical site loss; War/security crisis; Natural disaster, the organization may face injury, unsafe facilities, uncontrolled access, asset loss and failure to protect people during incidents with limited visibility or accountability.</t>
        </is>
      </c>
      <c r="I151" s="13" t="inlineStr">
        <is>
          <t>High risk: critical facility register with occupancy, business processes, utilities, safety risks and recovery priority depends on informal practices or individual knowledge. Disruption may expose injury, unsafe facilities, uncontrolled access, asset loss and failure to protect people during incidents and slow recovery.</t>
        </is>
      </c>
      <c r="J151" s="13" t="inlineStr">
        <is>
          <t>Elevated risk: critical facility register with occupancy, business processes, utilities, safety risks and recovery priority is partially controlled, but coverage, evidence or testing is inconsistent. Crisis response may be fragmented.</t>
        </is>
      </c>
      <c r="K151" s="13" t="inlineStr">
        <is>
          <t>Moderate risk: critical facility register with occupancy, business processes, utilities, safety risks and recovery priority is documented and owned, but measurement, stress testing and integration with dependent processes need strengthening.</t>
        </is>
      </c>
      <c r="L151" s="13" t="inlineStr">
        <is>
          <t>Residual risk: critical facility register with occupancy, business processes, utilities, safety risks and recovery priority is measured and reviewed, but monitoring, automation or scenario testing should be improved to prevent maturity drift.</t>
        </is>
      </c>
      <c r="M151" s="13" t="inlineStr">
        <is>
          <t>Low residual risk: critical facility register with occupancy, business processes, utilities, safety risks and recovery priority is mature and crisis-tested. Maintain monitoring, evidence, ownership and periodic stress testing.</t>
        </is>
      </c>
      <c r="N151" s="13" t="inlineStr">
        <is>
          <t>Create an immediate risk owner, minimum control baseline and fallback procedure for critical facility register with occupancy, business processes, utilities, safety risks and recovery priority. Add it to the crisis risk register and collect first evidence.</t>
        </is>
      </c>
      <c r="O151" s="13" t="inlineStr">
        <is>
          <t>Document critical facility register with occupancy, business processes, utilities, safety risks and recovery priority, assign RACI, define minimum controls and KPIs, and validate coverage across key sites, teams or systems.</t>
        </is>
      </c>
      <c r="P151" s="13" t="inlineStr">
        <is>
          <t>Standardize critical facility register with occupancy, business processes, utilities, safety risks and recovery priority, close coverage gaps, train accountable roles and connect controls to the relevant crisis scenarios and continuity plans.</t>
        </is>
      </c>
      <c r="Q151" s="13" t="inlineStr">
        <is>
          <t>Measure and test critical facility register with occupancy, business processes, utilities, safety risks and recovery priority, run tabletop or operational stress tests, integrate it with dependent processes and update crisis playbooks.</t>
        </is>
      </c>
      <c r="R151" s="13" t="inlineStr">
        <is>
          <t>Automate monitoring where practical, define leading indicators, run periodic scenario tests and track residual risk after each major change.</t>
        </is>
      </c>
      <c r="S151" s="13" t="inlineStr">
        <is>
          <t>Sustain maturity for critical facility register with occupancy, business processes, utilities, safety risks and recovery priority: keep evidence current, monitor drift, benchmark externally and refresh risk tests after organizational, system or market changes.</t>
        </is>
      </c>
      <c r="T151" s="13" t="n">
        <v>4</v>
      </c>
      <c r="U151" s="13" t="n">
        <v>3</v>
      </c>
      <c r="V151" s="13" t="n">
        <v>3</v>
      </c>
      <c r="W151" s="13" t="n">
        <v>2</v>
      </c>
      <c r="X151" s="13" t="n">
        <v>1</v>
      </c>
      <c r="Y151" s="13" t="n">
        <v>1</v>
      </c>
      <c r="Z151" s="13" t="inlineStr">
        <is>
          <t>ISO 45001; ISO 22320; ISO 31030; ISO 18788; ISO 22301; NFPA; local OH&amp;S rules</t>
        </is>
      </c>
      <c r="AA151" s="13" t="inlineStr">
        <is>
          <t>Policy/SOP; owner/RACI; system report; dashboard; contracts; test records; incident history; interview evidence related to critical facility register with occupancy, business processes, utilities, safety risks and recovery priority.</t>
        </is>
      </c>
      <c r="AB151" s="13" t="inlineStr">
        <is>
          <t>Safety incident; Physical site loss; War/security crisis; Natural disaster</t>
        </is>
      </c>
      <c r="AC151" s="13" t="inlineStr">
        <is>
          <t>Facilities / Security / HSE</t>
        </is>
      </c>
      <c r="AD151" s="13" t="inlineStr">
        <is>
          <t>Physical Safety!11</t>
        </is>
      </c>
      <c r="AE151">
        <f>IF($A151="","",IF(OR(ISNUMBER(SEARCH("cyber",$D151)),ISNUMBER(SEARCH("security",$D151)),ISNUMBER(SEARCH("safety",$D151)),ISNUMBER(SEARCH("liquidity",$D151)),ISNUMBER(SEARCH("cash",$D151)),ISNUMBER(SEARCH("continuity",$D151)),ISNUMBER(SEARCH("infrastructure",$D151)),ISNUMBER(SEARCH("outage",$D151))),"Fast",IF(OR(ISNUMBER(SEARCH("compliance",$D151)),ISNUMBER(SEARCH("regulat",$D151)),ISNUMBER(SEARCH("data",$D151)),ISNUMBER(SEARCH("talent",$D151)),ISNUMBER(SEARCH("knowledge",$D151)),ISNUMBER(SEARCH("portfolio",$D151)),ISNUMBER(SEARCH("quality",$D151))),"Slow","Medium")))</f>
        <v/>
      </c>
      <c r="AF151">
        <f>IF($A151="","",IFERROR(VLOOKUP($B151,'_CONFIG_Risk_Calibration'!$A$5:$H$21,2,FALSE),3))</f>
        <v/>
      </c>
      <c r="AG151">
        <f>IF($A151="","",IFERROR(VLOOKUP($B151,'_CONFIG_Risk_Calibration'!$A$5:$H$21,3,FALSE),0))</f>
        <v/>
      </c>
      <c r="AH151">
        <f>IF($A151="","",IFERROR(VLOOKUP($B151,'_CONFIG_Risk_Calibration'!$A$5:$H$21,4,FALSE),3))</f>
        <v/>
      </c>
      <c r="AI151">
        <f>IF($A151="","",IFERROR(VLOOKUP($B151,'_CONFIG_Risk_Calibration'!$A$5:$H$21,5,FALSE),3))</f>
        <v/>
      </c>
      <c r="AJ151">
        <f>IF($A151="","",IFERROR(VLOOKUP($B151,'_CONFIG_Risk_Calibration'!$A$5:$H$21,6,FALSE),"No"))</f>
        <v/>
      </c>
      <c r="AK151">
        <f>IF($A151="","",IFERROR(VLOOKUP($B151,'_CONFIG_Risk_Calibration'!$A$5:$H$21,7,FALSE),1))</f>
        <v/>
      </c>
      <c r="AL151">
        <f>IF($A151="","",IFERROR(VLOOKUP($B151,'_CONFIG_Risk_Calibration'!$A$5:$H$21,8,FALSE),""))</f>
        <v/>
      </c>
    </row>
    <row r="152" ht="84" customHeight="1" s="209">
      <c r="A152" s="13" t="inlineStr">
        <is>
          <t>PHYS-008</t>
        </is>
      </c>
      <c r="B152" s="13" t="inlineStr">
        <is>
          <t>Physical Safety</t>
        </is>
      </c>
      <c r="C152" s="13" t="inlineStr">
        <is>
          <t>Facilities and access</t>
        </is>
      </c>
      <c r="D152" s="13" t="inlineStr">
        <is>
          <t>Physical safety, security and facility resilience</t>
        </is>
      </c>
      <c r="E152" s="13" t="inlineStr">
        <is>
          <t>How mature is the organization in managing building integrity, fire systems, emergency exits, shelters, alarms, lighting and backup power inspection, including ownership, evidence, metrics, fallback procedures and crisis stress testing?</t>
        </is>
      </c>
      <c r="F152" s="13" t="inlineStr">
        <is>
          <t>Immature capability for building integrity, fire systems, emergency exits, shelters, alarms, lighting and backup power inspection may lead to injury, unsafe facilities, uncontrolled access, asset loss and failure to protect people during incidents during Safety incident; Physical site loss; War/security crisis; Natural disaster.</t>
        </is>
      </c>
      <c r="G152" s="13" t="inlineStr">
        <is>
          <t>Low maturity, weak ownership, incomplete evidence, insufficient testing and poor integration with crisis-management routines for building integrity, fire systems, emergency exits, shelters, alarms, lighting and backup power inspection.</t>
        </is>
      </c>
      <c r="H152" s="13" t="inlineStr">
        <is>
          <t>Severe risk: building integrity, fire systems, emergency exits, shelters, alarms, lighting and backup power inspection is not reliably controlled. During Safety incident; Physical site loss; War/security crisis; Natural disaster, the organization may face injury, unsafe facilities, uncontrolled access, asset loss and failure to protect people during incidents with limited visibility or accountability.</t>
        </is>
      </c>
      <c r="I152" s="13" t="inlineStr">
        <is>
          <t>High risk: building integrity, fire systems, emergency exits, shelters, alarms, lighting and backup power inspection depends on informal practices or individual knowledge. Disruption may expose injury, unsafe facilities, uncontrolled access, asset loss and failure to protect people during incidents and slow recovery.</t>
        </is>
      </c>
      <c r="J152" s="13" t="inlineStr">
        <is>
          <t>Elevated risk: building integrity, fire systems, emergency exits, shelters, alarms, lighting and backup power inspection is partially controlled, but coverage, evidence or testing is inconsistent. Crisis response may be fragmented.</t>
        </is>
      </c>
      <c r="K152" s="13" t="inlineStr">
        <is>
          <t>Moderate risk: building integrity, fire systems, emergency exits, shelters, alarms, lighting and backup power inspection is documented and owned, but measurement, stress testing and integration with dependent processes need strengthening.</t>
        </is>
      </c>
      <c r="L152" s="13" t="inlineStr">
        <is>
          <t>Residual risk: building integrity, fire systems, emergency exits, shelters, alarms, lighting and backup power inspection is measured and reviewed, but monitoring, automation or scenario testing should be improved to prevent maturity drift.</t>
        </is>
      </c>
      <c r="M152" s="13" t="inlineStr">
        <is>
          <t>Low residual risk: building integrity, fire systems, emergency exits, shelters, alarms, lighting and backup power inspection is mature and crisis-tested. Maintain monitoring, evidence, ownership and periodic stress testing.</t>
        </is>
      </c>
      <c r="N152" s="13" t="inlineStr">
        <is>
          <t>Create an immediate risk owner, minimum control baseline and fallback procedure for building integrity, fire systems, emergency exits, shelters, alarms, lighting and backup power inspection. Add it to the crisis risk register and collect first evidence.</t>
        </is>
      </c>
      <c r="O152" s="13" t="inlineStr">
        <is>
          <t>Document building integrity, fire systems, emergency exits, shelters, alarms, lighting and backup power inspection, assign RACI, define minimum controls and KPIs, and validate coverage across key sites, teams or systems.</t>
        </is>
      </c>
      <c r="P152" s="13" t="inlineStr">
        <is>
          <t>Standardize building integrity, fire systems, emergency exits, shelters, alarms, lighting and backup power inspection, close coverage gaps, train accountable roles and connect controls to the relevant crisis scenarios and continuity plans.</t>
        </is>
      </c>
      <c r="Q152" s="13" t="inlineStr">
        <is>
          <t>Measure and test building integrity, fire systems, emergency exits, shelters, alarms, lighting and backup power inspection, run tabletop or operational stress tests, integrate it with dependent processes and update crisis playbooks.</t>
        </is>
      </c>
      <c r="R152" s="13" t="inlineStr">
        <is>
          <t>Automate monitoring where practical, define leading indicators, run periodic scenario tests and track residual risk after each major change.</t>
        </is>
      </c>
      <c r="S152" s="13" t="inlineStr">
        <is>
          <t>Sustain maturity for building integrity, fire systems, emergency exits, shelters, alarms, lighting and backup power inspection: keep evidence current, monitor drift, benchmark externally and refresh risk tests after organizational, system or market changes.</t>
        </is>
      </c>
      <c r="T152" s="13" t="n">
        <v>4</v>
      </c>
      <c r="U152" s="13" t="n">
        <v>3</v>
      </c>
      <c r="V152" s="13" t="n">
        <v>3</v>
      </c>
      <c r="W152" s="13" t="n">
        <v>2</v>
      </c>
      <c r="X152" s="13" t="n">
        <v>1</v>
      </c>
      <c r="Y152" s="13" t="n">
        <v>1</v>
      </c>
      <c r="Z152" s="13" t="inlineStr">
        <is>
          <t>ISO 45001; ISO 22320; ISO 31030; ISO 18788; ISO 22301; NFPA; local OH&amp;S rules</t>
        </is>
      </c>
      <c r="AA152" s="13" t="inlineStr">
        <is>
          <t>Policy/SOP; owner/RACI; system report; dashboard; contracts; test records; incident history; interview evidence related to building integrity, fire systems, emergency exits, shelters, alarms, lighting and backup power inspection.</t>
        </is>
      </c>
      <c r="AB152" s="13" t="inlineStr">
        <is>
          <t>Safety incident; Physical site loss; War/security crisis; Natural disaster</t>
        </is>
      </c>
      <c r="AC152" s="13" t="inlineStr">
        <is>
          <t>Facilities / Security / HSE</t>
        </is>
      </c>
      <c r="AD152" s="13" t="inlineStr">
        <is>
          <t>Physical Safety!12</t>
        </is>
      </c>
      <c r="AE152">
        <f>IF($A152="","",IF(OR(ISNUMBER(SEARCH("cyber",$D152)),ISNUMBER(SEARCH("security",$D152)),ISNUMBER(SEARCH("safety",$D152)),ISNUMBER(SEARCH("liquidity",$D152)),ISNUMBER(SEARCH("cash",$D152)),ISNUMBER(SEARCH("continuity",$D152)),ISNUMBER(SEARCH("infrastructure",$D152)),ISNUMBER(SEARCH("outage",$D152))),"Fast",IF(OR(ISNUMBER(SEARCH("compliance",$D152)),ISNUMBER(SEARCH("regulat",$D152)),ISNUMBER(SEARCH("data",$D152)),ISNUMBER(SEARCH("talent",$D152)),ISNUMBER(SEARCH("knowledge",$D152)),ISNUMBER(SEARCH("portfolio",$D152)),ISNUMBER(SEARCH("quality",$D152))),"Slow","Medium")))</f>
        <v/>
      </c>
      <c r="AF152">
        <f>IF($A152="","",IFERROR(VLOOKUP($B152,'_CONFIG_Risk_Calibration'!$A$5:$H$21,2,FALSE),3))</f>
        <v/>
      </c>
      <c r="AG152">
        <f>IF($A152="","",IFERROR(VLOOKUP($B152,'_CONFIG_Risk_Calibration'!$A$5:$H$21,3,FALSE),0))</f>
        <v/>
      </c>
      <c r="AH152">
        <f>IF($A152="","",IFERROR(VLOOKUP($B152,'_CONFIG_Risk_Calibration'!$A$5:$H$21,4,FALSE),3))</f>
        <v/>
      </c>
      <c r="AI152">
        <f>IF($A152="","",IFERROR(VLOOKUP($B152,'_CONFIG_Risk_Calibration'!$A$5:$H$21,5,FALSE),3))</f>
        <v/>
      </c>
      <c r="AJ152">
        <f>IF($A152="","",IFERROR(VLOOKUP($B152,'_CONFIG_Risk_Calibration'!$A$5:$H$21,6,FALSE),"No"))</f>
        <v/>
      </c>
      <c r="AK152">
        <f>IF($A152="","",IFERROR(VLOOKUP($B152,'_CONFIG_Risk_Calibration'!$A$5:$H$21,7,FALSE),1))</f>
        <v/>
      </c>
      <c r="AL152">
        <f>IF($A152="","",IFERROR(VLOOKUP($B152,'_CONFIG_Risk_Calibration'!$A$5:$H$21,8,FALSE),""))</f>
        <v/>
      </c>
    </row>
    <row r="153" ht="72" customHeight="1" s="209">
      <c r="A153" s="13" t="inlineStr">
        <is>
          <t>PHYS-009</t>
        </is>
      </c>
      <c r="B153" s="13" t="inlineStr">
        <is>
          <t>Physical Safety</t>
        </is>
      </c>
      <c r="C153" s="13" t="inlineStr">
        <is>
          <t>Facilities and access</t>
        </is>
      </c>
      <c r="D153" s="13" t="inlineStr">
        <is>
          <t>Physical safety, security and facility resilience</t>
        </is>
      </c>
      <c r="E153" s="13" t="inlineStr">
        <is>
          <t>How mature is the organization in managing physical access control linked to HR onboarding, offboarding and periodic access review, including ownership, evidence, metrics, fallback procedures and crisis stress testing?</t>
        </is>
      </c>
      <c r="F153" s="13" t="inlineStr">
        <is>
          <t>Immature capability for physical access control linked to HR onboarding, offboarding and periodic access review may lead to injury, unsafe facilities, uncontrolled access, asset loss and failure to protect people during incidents during Safety incident; Physical site loss; War/security crisis; Natural disaster.</t>
        </is>
      </c>
      <c r="G153" s="13" t="inlineStr">
        <is>
          <t>Low maturity, weak ownership, incomplete evidence, insufficient testing and poor integration with crisis-management routines for physical access control linked to HR onboarding, offboarding and periodic access review.</t>
        </is>
      </c>
      <c r="H153" s="13" t="inlineStr">
        <is>
          <t>Severe risk: physical access control linked to HR onboarding, offboarding and periodic access review is not reliably controlled. During Safety incident; Physical site loss; War/security crisis; Natural disaster, the organization may face injury, unsafe facilities, uncontrolled access, asset loss and failure to protect people during incidents with limited visibility or accountability.</t>
        </is>
      </c>
      <c r="I153" s="13" t="inlineStr">
        <is>
          <t>High risk: physical access control linked to HR onboarding, offboarding and periodic access review depends on informal practices or individual knowledge. Disruption may expose injury, unsafe facilities, uncontrolled access, asset loss and failure to protect people during incidents and slow recovery.</t>
        </is>
      </c>
      <c r="J153" s="13" t="inlineStr">
        <is>
          <t>Elevated risk: physical access control linked to HR onboarding, offboarding and periodic access review is partially controlled, but coverage, evidence or testing is inconsistent. Crisis response may be fragmented.</t>
        </is>
      </c>
      <c r="K153" s="13" t="inlineStr">
        <is>
          <t>Moderate risk: physical access control linked to HR onboarding, offboarding and periodic access review is documented and owned, but measurement, stress testing and integration with dependent processes need strengthening.</t>
        </is>
      </c>
      <c r="L153" s="13" t="inlineStr">
        <is>
          <t>Residual risk: physical access control linked to HR onboarding, offboarding and periodic access review is measured and reviewed, but monitoring, automation or scenario testing should be improved to prevent maturity drift.</t>
        </is>
      </c>
      <c r="M153" s="13" t="inlineStr">
        <is>
          <t>Low residual risk: physical access control linked to HR onboarding, offboarding and periodic access review is mature and crisis-tested. Maintain monitoring, evidence, ownership and periodic stress testing.</t>
        </is>
      </c>
      <c r="N153" s="13" t="inlineStr">
        <is>
          <t>Create an immediate risk owner, minimum control baseline and fallback procedure for physical access control linked to HR onboarding, offboarding and periodic access review. Add it to the crisis risk register and collect first evidence.</t>
        </is>
      </c>
      <c r="O153" s="13" t="inlineStr">
        <is>
          <t>Document physical access control linked to HR onboarding, offboarding and periodic access review, assign RACI, define minimum controls and KPIs, and validate coverage across key sites, teams or systems.</t>
        </is>
      </c>
      <c r="P153" s="13" t="inlineStr">
        <is>
          <t>Standardize physical access control linked to HR onboarding, offboarding and periodic access review, close coverage gaps, train accountable roles and connect controls to the relevant crisis scenarios and continuity plans.</t>
        </is>
      </c>
      <c r="Q153" s="13" t="inlineStr">
        <is>
          <t>Measure and test physical access control linked to HR onboarding, offboarding and periodic access review, run tabletop or operational stress tests, integrate it with dependent processes and update crisis playbooks.</t>
        </is>
      </c>
      <c r="R153" s="13" t="inlineStr">
        <is>
          <t>Automate monitoring where practical, define leading indicators, run periodic scenario tests and track residual risk after each major change.</t>
        </is>
      </c>
      <c r="S153" s="13" t="inlineStr">
        <is>
          <t>Sustain maturity for physical access control linked to HR onboarding, offboarding and periodic access review: keep evidence current, monitor drift, benchmark externally and refresh risk tests after organizational, system or market changes.</t>
        </is>
      </c>
      <c r="T153" s="13" t="n">
        <v>4</v>
      </c>
      <c r="U153" s="13" t="n">
        <v>3</v>
      </c>
      <c r="V153" s="13" t="n">
        <v>3</v>
      </c>
      <c r="W153" s="13" t="n">
        <v>2</v>
      </c>
      <c r="X153" s="13" t="n">
        <v>1</v>
      </c>
      <c r="Y153" s="13" t="n">
        <v>1</v>
      </c>
      <c r="Z153" s="13" t="inlineStr">
        <is>
          <t>ISO 45001; ISO 22320; ISO 31030; ISO 18788; ISO 22301; NFPA; local OH&amp;S rules</t>
        </is>
      </c>
      <c r="AA153" s="13" t="inlineStr">
        <is>
          <t>Policy/SOP; owner/RACI; system report; dashboard; contracts; test records; incident history; interview evidence related to physical access control linked to HR onboarding, offboarding and periodic access review.</t>
        </is>
      </c>
      <c r="AB153" s="13" t="inlineStr">
        <is>
          <t>Safety incident; Physical site loss; War/security crisis; Natural disaster</t>
        </is>
      </c>
      <c r="AC153" s="13" t="inlineStr">
        <is>
          <t>Facilities / Security / HSE</t>
        </is>
      </c>
      <c r="AD153" s="13" t="inlineStr">
        <is>
          <t>Physical Safety!13</t>
        </is>
      </c>
      <c r="AE153">
        <f>IF($A153="","",IF(OR(ISNUMBER(SEARCH("cyber",$D153)),ISNUMBER(SEARCH("security",$D153)),ISNUMBER(SEARCH("safety",$D153)),ISNUMBER(SEARCH("liquidity",$D153)),ISNUMBER(SEARCH("cash",$D153)),ISNUMBER(SEARCH("continuity",$D153)),ISNUMBER(SEARCH("infrastructure",$D153)),ISNUMBER(SEARCH("outage",$D153))),"Fast",IF(OR(ISNUMBER(SEARCH("compliance",$D153)),ISNUMBER(SEARCH("regulat",$D153)),ISNUMBER(SEARCH("data",$D153)),ISNUMBER(SEARCH("talent",$D153)),ISNUMBER(SEARCH("knowledge",$D153)),ISNUMBER(SEARCH("portfolio",$D153)),ISNUMBER(SEARCH("quality",$D153))),"Slow","Medium")))</f>
        <v/>
      </c>
      <c r="AF153">
        <f>IF($A153="","",IFERROR(VLOOKUP($B153,'_CONFIG_Risk_Calibration'!$A$5:$H$21,2,FALSE),3))</f>
        <v/>
      </c>
      <c r="AG153">
        <f>IF($A153="","",IFERROR(VLOOKUP($B153,'_CONFIG_Risk_Calibration'!$A$5:$H$21,3,FALSE),0))</f>
        <v/>
      </c>
      <c r="AH153">
        <f>IF($A153="","",IFERROR(VLOOKUP($B153,'_CONFIG_Risk_Calibration'!$A$5:$H$21,4,FALSE),3))</f>
        <v/>
      </c>
      <c r="AI153">
        <f>IF($A153="","",IFERROR(VLOOKUP($B153,'_CONFIG_Risk_Calibration'!$A$5:$H$21,5,FALSE),3))</f>
        <v/>
      </c>
      <c r="AJ153">
        <f>IF($A153="","",IFERROR(VLOOKUP($B153,'_CONFIG_Risk_Calibration'!$A$5:$H$21,6,FALSE),"No"))</f>
        <v/>
      </c>
      <c r="AK153">
        <f>IF($A153="","",IFERROR(VLOOKUP($B153,'_CONFIG_Risk_Calibration'!$A$5:$H$21,7,FALSE),1))</f>
        <v/>
      </c>
      <c r="AL153">
        <f>IF($A153="","",IFERROR(VLOOKUP($B153,'_CONFIG_Risk_Calibration'!$A$5:$H$21,8,FALSE),""))</f>
        <v/>
      </c>
    </row>
    <row r="154" ht="84" customHeight="1" s="209">
      <c r="A154" s="13" t="inlineStr">
        <is>
          <t>PHYS-010</t>
        </is>
      </c>
      <c r="B154" s="13" t="inlineStr">
        <is>
          <t>Physical Safety</t>
        </is>
      </c>
      <c r="C154" s="13" t="inlineStr">
        <is>
          <t>Facilities and access</t>
        </is>
      </c>
      <c r="D154" s="13" t="inlineStr">
        <is>
          <t>Physical safety, security and facility resilience</t>
        </is>
      </c>
      <c r="E154" s="13" t="inlineStr">
        <is>
          <t>How mature is the organization in managing visitor management covering identity checks, escorting, sensitive areas and evacuation accountability, including ownership, evidence, metrics, fallback procedures and crisis stress testing?</t>
        </is>
      </c>
      <c r="F154" s="13" t="inlineStr">
        <is>
          <t>Immature capability for visitor management covering identity checks, escorting, sensitive areas and evacuation accountability may lead to injury, unsafe facilities, uncontrolled access, asset loss and failure to protect people during incidents during Safety incident; Physical site loss; War/security crisis; Natural disaster.</t>
        </is>
      </c>
      <c r="G154" s="13" t="inlineStr">
        <is>
          <t>Low maturity, weak ownership, incomplete evidence, insufficient testing and poor integration with crisis-management routines for visitor management covering identity checks, escorting, sensitive areas and evacuation accountability.</t>
        </is>
      </c>
      <c r="H154" s="13" t="inlineStr">
        <is>
          <t>Severe risk: visitor management covering identity checks, escorting, sensitive areas and evacuation accountability is not reliably controlled. During Safety incident; Physical site loss; War/security crisis; Natural disaster, the organization may face injury, unsafe facilities, uncontrolled access, asset loss and failure to protect people during incidents with limited visibility or accountability.</t>
        </is>
      </c>
      <c r="I154" s="13" t="inlineStr">
        <is>
          <t>High risk: visitor management covering identity checks, escorting, sensitive areas and evacuation accountability depends on informal practices or individual knowledge. Disruption may expose injury, unsafe facilities, uncontrolled access, asset loss and failure to protect people during incidents and slow recovery.</t>
        </is>
      </c>
      <c r="J154" s="13" t="inlineStr">
        <is>
          <t>Elevated risk: visitor management covering identity checks, escorting, sensitive areas and evacuation accountability is partially controlled, but coverage, evidence or testing is inconsistent. Crisis response may be fragmented.</t>
        </is>
      </c>
      <c r="K154" s="13" t="inlineStr">
        <is>
          <t>Moderate risk: visitor management covering identity checks, escorting, sensitive areas and evacuation accountability is documented and owned, but measurement, stress testing and integration with dependent processes need strengthening.</t>
        </is>
      </c>
      <c r="L154" s="13" t="inlineStr">
        <is>
          <t>Residual risk: visitor management covering identity checks, escorting, sensitive areas and evacuation accountability is measured and reviewed, but monitoring, automation or scenario testing should be improved to prevent maturity drift.</t>
        </is>
      </c>
      <c r="M154" s="13" t="inlineStr">
        <is>
          <t>Low residual risk: visitor management covering identity checks, escorting, sensitive areas and evacuation accountability is mature and crisis-tested. Maintain monitoring, evidence, ownership and periodic stress testing.</t>
        </is>
      </c>
      <c r="N154" s="13" t="inlineStr">
        <is>
          <t>Create an immediate risk owner, minimum control baseline and fallback procedure for visitor management covering identity checks, escorting, sensitive areas and evacuation accountability. Add it to the crisis risk register and collect first evidence.</t>
        </is>
      </c>
      <c r="O154" s="13" t="inlineStr">
        <is>
          <t>Document visitor management covering identity checks, escorting, sensitive areas and evacuation accountability, assign RACI, define minimum controls and KPIs, and validate coverage across key sites, teams or systems.</t>
        </is>
      </c>
      <c r="P154" s="13" t="inlineStr">
        <is>
          <t>Standardize visitor management covering identity checks, escorting, sensitive areas and evacuation accountability, close coverage gaps, train accountable roles and connect controls to the relevant crisis scenarios and continuity plans.</t>
        </is>
      </c>
      <c r="Q154" s="13" t="inlineStr">
        <is>
          <t>Measure and test visitor management covering identity checks, escorting, sensitive areas and evacuation accountability, run tabletop or operational stress tests, integrate it with dependent processes and update crisis playbooks.</t>
        </is>
      </c>
      <c r="R154" s="13" t="inlineStr">
        <is>
          <t>Automate monitoring where practical, define leading indicators, run periodic scenario tests and track residual risk after each major change.</t>
        </is>
      </c>
      <c r="S154" s="13" t="inlineStr">
        <is>
          <t>Sustain maturity for visitor management covering identity checks, escorting, sensitive areas and evacuation accountability: keep evidence current, monitor drift, benchmark externally and refresh risk tests after organizational, system or market changes.</t>
        </is>
      </c>
      <c r="T154" s="13" t="n">
        <v>4</v>
      </c>
      <c r="U154" s="13" t="n">
        <v>3</v>
      </c>
      <c r="V154" s="13" t="n">
        <v>3</v>
      </c>
      <c r="W154" s="13" t="n">
        <v>2</v>
      </c>
      <c r="X154" s="13" t="n">
        <v>1</v>
      </c>
      <c r="Y154" s="13" t="n">
        <v>1</v>
      </c>
      <c r="Z154" s="13" t="inlineStr">
        <is>
          <t>ISO 45001; ISO 22320; ISO 31030; ISO 18788; ISO 22301; NFPA; local OH&amp;S rules</t>
        </is>
      </c>
      <c r="AA154" s="13" t="inlineStr">
        <is>
          <t>Policy/SOP; owner/RACI; system report; dashboard; contracts; test records; incident history; interview evidence related to visitor management covering identity checks, escorting, sensitive areas and evacuation accountability.</t>
        </is>
      </c>
      <c r="AB154" s="13" t="inlineStr">
        <is>
          <t>Safety incident; Physical site loss; War/security crisis; Natural disaster</t>
        </is>
      </c>
      <c r="AC154" s="13" t="inlineStr">
        <is>
          <t>Facilities / Security / HSE</t>
        </is>
      </c>
      <c r="AD154" s="13" t="inlineStr">
        <is>
          <t>Physical Safety!14</t>
        </is>
      </c>
      <c r="AE154">
        <f>IF($A154="","",IF(OR(ISNUMBER(SEARCH("cyber",$D154)),ISNUMBER(SEARCH("security",$D154)),ISNUMBER(SEARCH("safety",$D154)),ISNUMBER(SEARCH("liquidity",$D154)),ISNUMBER(SEARCH("cash",$D154)),ISNUMBER(SEARCH("continuity",$D154)),ISNUMBER(SEARCH("infrastructure",$D154)),ISNUMBER(SEARCH("outage",$D154))),"Fast",IF(OR(ISNUMBER(SEARCH("compliance",$D154)),ISNUMBER(SEARCH("regulat",$D154)),ISNUMBER(SEARCH("data",$D154)),ISNUMBER(SEARCH("talent",$D154)),ISNUMBER(SEARCH("knowledge",$D154)),ISNUMBER(SEARCH("portfolio",$D154)),ISNUMBER(SEARCH("quality",$D154))),"Slow","Medium")))</f>
        <v/>
      </c>
      <c r="AF154">
        <f>IF($A154="","",IFERROR(VLOOKUP($B154,'_CONFIG_Risk_Calibration'!$A$5:$H$21,2,FALSE),3))</f>
        <v/>
      </c>
      <c r="AG154">
        <f>IF($A154="","",IFERROR(VLOOKUP($B154,'_CONFIG_Risk_Calibration'!$A$5:$H$21,3,FALSE),0))</f>
        <v/>
      </c>
      <c r="AH154">
        <f>IF($A154="","",IFERROR(VLOOKUP($B154,'_CONFIG_Risk_Calibration'!$A$5:$H$21,4,FALSE),3))</f>
        <v/>
      </c>
      <c r="AI154">
        <f>IF($A154="","",IFERROR(VLOOKUP($B154,'_CONFIG_Risk_Calibration'!$A$5:$H$21,5,FALSE),3))</f>
        <v/>
      </c>
      <c r="AJ154">
        <f>IF($A154="","",IFERROR(VLOOKUP($B154,'_CONFIG_Risk_Calibration'!$A$5:$H$21,6,FALSE),"No"))</f>
        <v/>
      </c>
      <c r="AK154">
        <f>IF($A154="","",IFERROR(VLOOKUP($B154,'_CONFIG_Risk_Calibration'!$A$5:$H$21,7,FALSE),1))</f>
        <v/>
      </c>
      <c r="AL154">
        <f>IF($A154="","",IFERROR(VLOOKUP($B154,'_CONFIG_Risk_Calibration'!$A$5:$H$21,8,FALSE),""))</f>
        <v/>
      </c>
    </row>
    <row r="155" ht="72" customHeight="1" s="209">
      <c r="A155" s="13" t="inlineStr">
        <is>
          <t>PHYS-011</t>
        </is>
      </c>
      <c r="B155" s="13" t="inlineStr">
        <is>
          <t>Physical Safety</t>
        </is>
      </c>
      <c r="C155" s="13" t="inlineStr">
        <is>
          <t>Facilities and access</t>
        </is>
      </c>
      <c r="D155" s="13" t="inlineStr">
        <is>
          <t>Physical safety, security and facility resilience</t>
        </is>
      </c>
      <c r="E155" s="13" t="inlineStr">
        <is>
          <t>How mature is the organization in managing security guarding, CCTV, alarm monitoring and response procedures, including ownership, evidence, metrics, fallback procedures and crisis stress testing?</t>
        </is>
      </c>
      <c r="F155" s="13" t="inlineStr">
        <is>
          <t>Immature capability for security guarding, CCTV, alarm monitoring and response procedures may lead to injury, unsafe facilities, uncontrolled access, asset loss and failure to protect people during incidents during Safety incident; Physical site loss; War/security crisis; Natural disaster.</t>
        </is>
      </c>
      <c r="G155" s="13" t="inlineStr">
        <is>
          <t>Low maturity, weak ownership, incomplete evidence, insufficient testing and poor integration with crisis-management routines for security guarding, CCTV, alarm monitoring and response procedures.</t>
        </is>
      </c>
      <c r="H155" s="13" t="inlineStr">
        <is>
          <t>Severe risk: security guarding, CCTV, alarm monitoring and response procedures is not reliably controlled. During Safety incident; Physical site loss; War/security crisis; Natural disaster, the organization may face injury, unsafe facilities, uncontrolled access, asset loss and failure to protect people during incidents with limited visibility or accountability.</t>
        </is>
      </c>
      <c r="I155" s="13" t="inlineStr">
        <is>
          <t>High risk: security guarding, CCTV, alarm monitoring and response procedures depends on informal practices or individual knowledge. Disruption may expose injury, unsafe facilities, uncontrolled access, asset loss and failure to protect people during incidents and slow recovery.</t>
        </is>
      </c>
      <c r="J155" s="13" t="inlineStr">
        <is>
          <t>Elevated risk: security guarding, CCTV, alarm monitoring and response procedures is partially controlled, but coverage, evidence or testing is inconsistent. Crisis response may be fragmented.</t>
        </is>
      </c>
      <c r="K155" s="13" t="inlineStr">
        <is>
          <t>Moderate risk: security guarding, CCTV, alarm monitoring and response procedures is documented and owned, but measurement, stress testing and integration with dependent processes need strengthening.</t>
        </is>
      </c>
      <c r="L155" s="13" t="inlineStr">
        <is>
          <t>Residual risk: security guarding, CCTV, alarm monitoring and response procedures is measured and reviewed, but monitoring, automation or scenario testing should be improved to prevent maturity drift.</t>
        </is>
      </c>
      <c r="M155" s="13" t="inlineStr">
        <is>
          <t>Low residual risk: security guarding, CCTV, alarm monitoring and response procedures is mature and crisis-tested. Maintain monitoring, evidence, ownership and periodic stress testing.</t>
        </is>
      </c>
      <c r="N155" s="13" t="inlineStr">
        <is>
          <t>Create an immediate risk owner, minimum control baseline and fallback procedure for security guarding, CCTV, alarm monitoring and response procedures. Add it to the crisis risk register and collect first evidence.</t>
        </is>
      </c>
      <c r="O155" s="13" t="inlineStr">
        <is>
          <t>Document security guarding, CCTV, alarm monitoring and response procedures, assign RACI, define minimum controls and KPIs, and validate coverage across key sites, teams or systems.</t>
        </is>
      </c>
      <c r="P155" s="13" t="inlineStr">
        <is>
          <t>Standardize security guarding, CCTV, alarm monitoring and response procedures, close coverage gaps, train accountable roles and connect controls to the relevant crisis scenarios and continuity plans.</t>
        </is>
      </c>
      <c r="Q155" s="13" t="inlineStr">
        <is>
          <t>Measure and test security guarding, CCTV, alarm monitoring and response procedures, run tabletop or operational stress tests, integrate it with dependent processes and update crisis playbooks.</t>
        </is>
      </c>
      <c r="R155" s="13" t="inlineStr">
        <is>
          <t>Automate monitoring where practical, define leading indicators, run periodic scenario tests and track residual risk after each major change.</t>
        </is>
      </c>
      <c r="S155" s="13" t="inlineStr">
        <is>
          <t>Sustain maturity for security guarding, CCTV, alarm monitoring and response procedures: keep evidence current, monitor drift, benchmark externally and refresh risk tests after organizational, system or market changes.</t>
        </is>
      </c>
      <c r="T155" s="13" t="n">
        <v>4</v>
      </c>
      <c r="U155" s="13" t="n">
        <v>3</v>
      </c>
      <c r="V155" s="13" t="n">
        <v>3</v>
      </c>
      <c r="W155" s="13" t="n">
        <v>2</v>
      </c>
      <c r="X155" s="13" t="n">
        <v>1</v>
      </c>
      <c r="Y155" s="13" t="n">
        <v>1</v>
      </c>
      <c r="Z155" s="13" t="inlineStr">
        <is>
          <t>ISO 45001; ISO 22320; ISO 31030; ISO 18788; ISO 22301; NFPA; local OH&amp;S rules</t>
        </is>
      </c>
      <c r="AA155" s="13" t="inlineStr">
        <is>
          <t>Policy/SOP; owner/RACI; system report; dashboard; contracts; test records; incident history; interview evidence related to security guarding, CCTV, alarm monitoring and response procedures.</t>
        </is>
      </c>
      <c r="AB155" s="13" t="inlineStr">
        <is>
          <t>Safety incident; Physical site loss; War/security crisis; Natural disaster</t>
        </is>
      </c>
      <c r="AC155" s="13" t="inlineStr">
        <is>
          <t>Facilities / Security / HSE</t>
        </is>
      </c>
      <c r="AD155" s="13" t="inlineStr">
        <is>
          <t>Physical Safety!15</t>
        </is>
      </c>
      <c r="AE155">
        <f>IF($A155="","",IF(OR(ISNUMBER(SEARCH("cyber",$D155)),ISNUMBER(SEARCH("security",$D155)),ISNUMBER(SEARCH("safety",$D155)),ISNUMBER(SEARCH("liquidity",$D155)),ISNUMBER(SEARCH("cash",$D155)),ISNUMBER(SEARCH("continuity",$D155)),ISNUMBER(SEARCH("infrastructure",$D155)),ISNUMBER(SEARCH("outage",$D155))),"Fast",IF(OR(ISNUMBER(SEARCH("compliance",$D155)),ISNUMBER(SEARCH("regulat",$D155)),ISNUMBER(SEARCH("data",$D155)),ISNUMBER(SEARCH("talent",$D155)),ISNUMBER(SEARCH("knowledge",$D155)),ISNUMBER(SEARCH("portfolio",$D155)),ISNUMBER(SEARCH("quality",$D155))),"Slow","Medium")))</f>
        <v/>
      </c>
      <c r="AF155">
        <f>IF($A155="","",IFERROR(VLOOKUP($B155,'_CONFIG_Risk_Calibration'!$A$5:$H$21,2,FALSE),3))</f>
        <v/>
      </c>
      <c r="AG155">
        <f>IF($A155="","",IFERROR(VLOOKUP($B155,'_CONFIG_Risk_Calibration'!$A$5:$H$21,3,FALSE),0))</f>
        <v/>
      </c>
      <c r="AH155">
        <f>IF($A155="","",IFERROR(VLOOKUP($B155,'_CONFIG_Risk_Calibration'!$A$5:$H$21,4,FALSE),3))</f>
        <v/>
      </c>
      <c r="AI155">
        <f>IF($A155="","",IFERROR(VLOOKUP($B155,'_CONFIG_Risk_Calibration'!$A$5:$H$21,5,FALSE),3))</f>
        <v/>
      </c>
      <c r="AJ155">
        <f>IF($A155="","",IFERROR(VLOOKUP($B155,'_CONFIG_Risk_Calibration'!$A$5:$H$21,6,FALSE),"No"))</f>
        <v/>
      </c>
      <c r="AK155">
        <f>IF($A155="","",IFERROR(VLOOKUP($B155,'_CONFIG_Risk_Calibration'!$A$5:$H$21,7,FALSE),1))</f>
        <v/>
      </c>
      <c r="AL155">
        <f>IF($A155="","",IFERROR(VLOOKUP($B155,'_CONFIG_Risk_Calibration'!$A$5:$H$21,8,FALSE),""))</f>
        <v/>
      </c>
    </row>
    <row r="156" ht="84" customHeight="1" s="209">
      <c r="A156" s="13" t="inlineStr">
        <is>
          <t>PHYS-012</t>
        </is>
      </c>
      <c r="B156" s="13" t="inlineStr">
        <is>
          <t>Physical Safety</t>
        </is>
      </c>
      <c r="C156" s="13" t="inlineStr">
        <is>
          <t>Facilities and access</t>
        </is>
      </c>
      <c r="D156" s="13" t="inlineStr">
        <is>
          <t>Physical safety, security and facility resilience</t>
        </is>
      </c>
      <c r="E156" s="13" t="inlineStr">
        <is>
          <t>How mature is the organization in managing physical asset protection against theft, sabotage, environmental damage and unauthorized access, including ownership, evidence, metrics, fallback procedures and crisis stress testing?</t>
        </is>
      </c>
      <c r="F156" s="13" t="inlineStr">
        <is>
          <t>Immature capability for physical asset protection against theft, sabotage, environmental damage and unauthorized access may lead to injury, unsafe facilities, uncontrolled access, asset loss and failure to protect people during incidents during Safety incident; Physical site loss; War/security crisis; Natural disaster.</t>
        </is>
      </c>
      <c r="G156" s="13" t="inlineStr">
        <is>
          <t>Low maturity, weak ownership, incomplete evidence, insufficient testing and poor integration with crisis-management routines for physical asset protection against theft, sabotage, environmental damage and unauthorized access.</t>
        </is>
      </c>
      <c r="H156" s="13" t="inlineStr">
        <is>
          <t>Severe risk: physical asset protection against theft, sabotage, environmental damage and unauthorized access is not reliably controlled. During Safety incident; Physical site loss; War/security crisis; Natural disaster, the organization may face injury, unsafe facilities, uncontrolled access, asset loss and failure to protect people during incidents with limited visibility or accountability.</t>
        </is>
      </c>
      <c r="I156" s="13" t="inlineStr">
        <is>
          <t>High risk: physical asset protection against theft, sabotage, environmental damage and unauthorized access depends on informal practices or individual knowledge. Disruption may expose injury, unsafe facilities, uncontrolled access, asset loss and failure to protect people during incidents and slow recovery.</t>
        </is>
      </c>
      <c r="J156" s="13" t="inlineStr">
        <is>
          <t>Elevated risk: physical asset protection against theft, sabotage, environmental damage and unauthorized access is partially controlled, but coverage, evidence or testing is inconsistent. Crisis response may be fragmented.</t>
        </is>
      </c>
      <c r="K156" s="13" t="inlineStr">
        <is>
          <t>Moderate risk: physical asset protection against theft, sabotage, environmental damage and unauthorized access is documented and owned, but measurement, stress testing and integration with dependent processes need strengthening.</t>
        </is>
      </c>
      <c r="L156" s="13" t="inlineStr">
        <is>
          <t>Residual risk: physical asset protection against theft, sabotage, environmental damage and unauthorized access is measured and reviewed, but monitoring, automation or scenario testing should be improved to prevent maturity drift.</t>
        </is>
      </c>
      <c r="M156" s="13" t="inlineStr">
        <is>
          <t>Low residual risk: physical asset protection against theft, sabotage, environmental damage and unauthorized access is mature and crisis-tested. Maintain monitoring, evidence, ownership and periodic stress testing.</t>
        </is>
      </c>
      <c r="N156" s="13" t="inlineStr">
        <is>
          <t>Create an immediate risk owner, minimum control baseline and fallback procedure for physical asset protection against theft, sabotage, environmental damage and unauthorized access. Add it to the crisis risk register and collect first evidence.</t>
        </is>
      </c>
      <c r="O156" s="13" t="inlineStr">
        <is>
          <t>Document physical asset protection against theft, sabotage, environmental damage and unauthorized access, assign RACI, define minimum controls and KPIs, and validate coverage across key sites, teams or systems.</t>
        </is>
      </c>
      <c r="P156" s="13" t="inlineStr">
        <is>
          <t>Standardize physical asset protection against theft, sabotage, environmental damage and unauthorized access, close coverage gaps, train accountable roles and connect controls to the relevant crisis scenarios and continuity plans.</t>
        </is>
      </c>
      <c r="Q156" s="13" t="inlineStr">
        <is>
          <t>Measure and test physical asset protection against theft, sabotage, environmental damage and unauthorized access, run tabletop or operational stress tests, integrate it with dependent processes and update crisis playbooks.</t>
        </is>
      </c>
      <c r="R156" s="13" t="inlineStr">
        <is>
          <t>Automate monitoring where practical, define leading indicators, run periodic scenario tests and track residual risk after each major change.</t>
        </is>
      </c>
      <c r="S156" s="13" t="inlineStr">
        <is>
          <t>Sustain maturity for physical asset protection against theft, sabotage, environmental damage and unauthorized access: keep evidence current, monitor drift, benchmark externally and refresh risk tests after organizational, system or market changes.</t>
        </is>
      </c>
      <c r="T156" s="13" t="n">
        <v>4</v>
      </c>
      <c r="U156" s="13" t="n">
        <v>3</v>
      </c>
      <c r="V156" s="13" t="n">
        <v>3</v>
      </c>
      <c r="W156" s="13" t="n">
        <v>2</v>
      </c>
      <c r="X156" s="13" t="n">
        <v>1</v>
      </c>
      <c r="Y156" s="13" t="n">
        <v>1</v>
      </c>
      <c r="Z156" s="13" t="inlineStr">
        <is>
          <t>ISO 45001; ISO 22320; ISO 31030; ISO 18788; ISO 22301; NFPA; local OH&amp;S rules</t>
        </is>
      </c>
      <c r="AA156" s="13" t="inlineStr">
        <is>
          <t>Policy/SOP; owner/RACI; system report; dashboard; contracts; test records; incident history; interview evidence related to physical asset protection against theft, sabotage, environmental damage and unauthorized access.</t>
        </is>
      </c>
      <c r="AB156" s="13" t="inlineStr">
        <is>
          <t>Safety incident; Physical site loss; War/security crisis; Natural disaster</t>
        </is>
      </c>
      <c r="AC156" s="13" t="inlineStr">
        <is>
          <t>Facilities / Security / HSE</t>
        </is>
      </c>
      <c r="AD156" s="13" t="inlineStr">
        <is>
          <t>Physical Safety!16</t>
        </is>
      </c>
      <c r="AE156">
        <f>IF($A156="","",IF(OR(ISNUMBER(SEARCH("cyber",$D156)),ISNUMBER(SEARCH("security",$D156)),ISNUMBER(SEARCH("safety",$D156)),ISNUMBER(SEARCH("liquidity",$D156)),ISNUMBER(SEARCH("cash",$D156)),ISNUMBER(SEARCH("continuity",$D156)),ISNUMBER(SEARCH("infrastructure",$D156)),ISNUMBER(SEARCH("outage",$D156))),"Fast",IF(OR(ISNUMBER(SEARCH("compliance",$D156)),ISNUMBER(SEARCH("regulat",$D156)),ISNUMBER(SEARCH("data",$D156)),ISNUMBER(SEARCH("talent",$D156)),ISNUMBER(SEARCH("knowledge",$D156)),ISNUMBER(SEARCH("portfolio",$D156)),ISNUMBER(SEARCH("quality",$D156))),"Slow","Medium")))</f>
        <v/>
      </c>
      <c r="AF156">
        <f>IF($A156="","",IFERROR(VLOOKUP($B156,'_CONFIG_Risk_Calibration'!$A$5:$H$21,2,FALSE),3))</f>
        <v/>
      </c>
      <c r="AG156">
        <f>IF($A156="","",IFERROR(VLOOKUP($B156,'_CONFIG_Risk_Calibration'!$A$5:$H$21,3,FALSE),0))</f>
        <v/>
      </c>
      <c r="AH156">
        <f>IF($A156="","",IFERROR(VLOOKUP($B156,'_CONFIG_Risk_Calibration'!$A$5:$H$21,4,FALSE),3))</f>
        <v/>
      </c>
      <c r="AI156">
        <f>IF($A156="","",IFERROR(VLOOKUP($B156,'_CONFIG_Risk_Calibration'!$A$5:$H$21,5,FALSE),3))</f>
        <v/>
      </c>
      <c r="AJ156">
        <f>IF($A156="","",IFERROR(VLOOKUP($B156,'_CONFIG_Risk_Calibration'!$A$5:$H$21,6,FALSE),"No"))</f>
        <v/>
      </c>
      <c r="AK156">
        <f>IF($A156="","",IFERROR(VLOOKUP($B156,'_CONFIG_Risk_Calibration'!$A$5:$H$21,7,FALSE),1))</f>
        <v/>
      </c>
      <c r="AL156">
        <f>IF($A156="","",IFERROR(VLOOKUP($B156,'_CONFIG_Risk_Calibration'!$A$5:$H$21,8,FALSE),""))</f>
        <v/>
      </c>
    </row>
    <row r="157" ht="84" customHeight="1" s="209">
      <c r="A157" s="13" t="inlineStr">
        <is>
          <t>PHYS-013</t>
        </is>
      </c>
      <c r="B157" s="13" t="inlineStr">
        <is>
          <t>Physical Safety</t>
        </is>
      </c>
      <c r="C157" s="13" t="inlineStr">
        <is>
          <t>Emergency response</t>
        </is>
      </c>
      <c r="D157" s="13" t="inlineStr">
        <is>
          <t>Physical safety, security and facility resilience</t>
        </is>
      </c>
      <c r="E157" s="13" t="inlineStr">
        <is>
          <t>How mature is the organization in managing emergency response plans for fire, medical emergency, violence, bomb threat, shelling, evacuation, shelter-in-place and utility failure, including ownership, evidence, metrics, fallback procedures and crisis stress testing?</t>
        </is>
      </c>
      <c r="F157" s="13" t="inlineStr">
        <is>
          <t>Immature capability for emergency response plans for fire, medical emergency, violence, bomb threat, shelling, evacuation, shelter-in-place and utility failure may lead to injury, unsafe facilities, uncontrolled access, asset loss and failure to protect people during incidents during Safety incident; Physical site loss; War/security crisis; Natural disaster.</t>
        </is>
      </c>
      <c r="G157" s="13" t="inlineStr">
        <is>
          <t>Low maturity, weak ownership, incomplete evidence, insufficient testing and poor integration with crisis-management routines for emergency response plans for fire, medical emergency, violence, bomb threat, shelling, evacuation, shelter-in-place and utility failure.</t>
        </is>
      </c>
      <c r="H157" s="13" t="inlineStr">
        <is>
          <t>Severe risk: emergency response plans for fire, medical emergency, violence, bomb threat, shelling, evacuation, shelter-in-place and utility failure is not reliably controlled. During Safety incident; Physical site loss; War/security crisis; Natural disaster, the organization may face injury, unsafe facilities, uncontrolled access, asset loss and failure to protect people during incidents with limited visibility or accountability.</t>
        </is>
      </c>
      <c r="I157" s="13" t="inlineStr">
        <is>
          <t>High risk: emergency response plans for fire, medical emergency, violence, bomb threat, shelling, evacuation, shelter-in-place and utility failure depends on informal practices or individual knowledge. Disruption may expose injury, unsafe facilities, uncontrolled access, asset loss and failure to protect people during incidents and slow recovery.</t>
        </is>
      </c>
      <c r="J157" s="13" t="inlineStr">
        <is>
          <t>Elevated risk: emergency response plans for fire, medical emergency, violence, bomb threat, shelling, evacuation, shelter-in-place and utility failure is partially controlled, but coverage, evidence or testing is inconsistent. Crisis response may be fragmented.</t>
        </is>
      </c>
      <c r="K157" s="13" t="inlineStr">
        <is>
          <t>Moderate risk: emergency response plans for fire, medical emergency, violence, bomb threat, shelling, evacuation, shelter-in-place and utility failure is documented and owned, but measurement, stress testing and integration with dependent processes need strengthening.</t>
        </is>
      </c>
      <c r="L157" s="13" t="inlineStr">
        <is>
          <t>Residual risk: emergency response plans for fire, medical emergency, violence, bomb threat, shelling, evacuation, shelter-in-place and utility failure is measured and reviewed, but monitoring, automation or scenario testing should be improved to prevent maturity drift.</t>
        </is>
      </c>
      <c r="M157" s="13" t="inlineStr">
        <is>
          <t>Low residual risk: emergency response plans for fire, medical emergency, violence, bomb threat, shelling, evacuation, shelter-in-place and utility failure is mature and crisis-tested. Maintain monitoring, evidence, ownership and periodic stress testing.</t>
        </is>
      </c>
      <c r="N157" s="13" t="inlineStr">
        <is>
          <t>Create an immediate risk owner, minimum control baseline and fallback procedure for emergency response plans for fire, medical emergency, violence, bomb threat, shelling, evacuation, shelter-in-place and utility failure. Add it to the crisis risk register and collect first evidence.</t>
        </is>
      </c>
      <c r="O157" s="13" t="inlineStr">
        <is>
          <t>Document emergency response plans for fire, medical emergency, violence, bomb threat, shelling, evacuation, shelter-in-place and utility failure, assign RACI, define minimum controls and KPIs, and validate coverage across key sites, teams or systems.</t>
        </is>
      </c>
      <c r="P157" s="13" t="inlineStr">
        <is>
          <t>Standardize emergency response plans for fire, medical emergency, violence, bomb threat, shelling, evacuation, shelter-in-place and utility failure, close coverage gaps, train accountable roles and connect controls to the relevant crisis scenarios and continuity plans.</t>
        </is>
      </c>
      <c r="Q157" s="13" t="inlineStr">
        <is>
          <t>Measure and test emergency response plans for fire, medical emergency, violence, bomb threat, shelling, evacuation, shelter-in-place and utility failure, run tabletop or operational stress tests, integrate it with dependent processes and update crisis playbooks.</t>
        </is>
      </c>
      <c r="R157" s="13" t="inlineStr">
        <is>
          <t>Automate monitoring where practical, define leading indicators, run periodic scenario tests and track residual risk after each major change.</t>
        </is>
      </c>
      <c r="S157" s="13" t="inlineStr">
        <is>
          <t>Sustain maturity for emergency response plans for fire, medical emergency, violence, bomb threat, shelling, evacuation, shelter-in-place and utility failure: keep evidence current, monitor drift, benchmark externally and refresh risk tests after organizational, system or market changes.</t>
        </is>
      </c>
      <c r="T157" s="13" t="n">
        <v>4</v>
      </c>
      <c r="U157" s="13" t="n">
        <v>3</v>
      </c>
      <c r="V157" s="13" t="n">
        <v>3</v>
      </c>
      <c r="W157" s="13" t="n">
        <v>2</v>
      </c>
      <c r="X157" s="13" t="n">
        <v>1</v>
      </c>
      <c r="Y157" s="13" t="n">
        <v>1</v>
      </c>
      <c r="Z157" s="13" t="inlineStr">
        <is>
          <t>ISO 45001; ISO 22320; ISO 31030; ISO 18788; ISO 22301; NFPA; local OH&amp;S rules</t>
        </is>
      </c>
      <c r="AA157" s="13" t="inlineStr">
        <is>
          <t>Policy/SOP; owner/RACI; system report; dashboard; contracts; test records; incident history; interview evidence related to emergency response plans for fire, medical emergency, violence, bomb threat, shelling, evacuation, shelter-in-place and utility failure.</t>
        </is>
      </c>
      <c r="AB157" s="13" t="inlineStr">
        <is>
          <t>Safety incident; Physical site loss; War/security crisis; Natural disaster</t>
        </is>
      </c>
      <c r="AC157" s="13" t="inlineStr">
        <is>
          <t>Facilities / Security / HSE</t>
        </is>
      </c>
      <c r="AD157" s="13" t="inlineStr">
        <is>
          <t>Physical Safety!17</t>
        </is>
      </c>
      <c r="AE157">
        <f>IF($A157="","",IF(OR(ISNUMBER(SEARCH("cyber",$D157)),ISNUMBER(SEARCH("security",$D157)),ISNUMBER(SEARCH("safety",$D157)),ISNUMBER(SEARCH("liquidity",$D157)),ISNUMBER(SEARCH("cash",$D157)),ISNUMBER(SEARCH("continuity",$D157)),ISNUMBER(SEARCH("infrastructure",$D157)),ISNUMBER(SEARCH("outage",$D157))),"Fast",IF(OR(ISNUMBER(SEARCH("compliance",$D157)),ISNUMBER(SEARCH("regulat",$D157)),ISNUMBER(SEARCH("data",$D157)),ISNUMBER(SEARCH("talent",$D157)),ISNUMBER(SEARCH("knowledge",$D157)),ISNUMBER(SEARCH("portfolio",$D157)),ISNUMBER(SEARCH("quality",$D157))),"Slow","Medium")))</f>
        <v/>
      </c>
      <c r="AF157">
        <f>IF($A157="","",IFERROR(VLOOKUP($B157,'_CONFIG_Risk_Calibration'!$A$5:$H$21,2,FALSE),3))</f>
        <v/>
      </c>
      <c r="AG157">
        <f>IF($A157="","",IFERROR(VLOOKUP($B157,'_CONFIG_Risk_Calibration'!$A$5:$H$21,3,FALSE),0))</f>
        <v/>
      </c>
      <c r="AH157">
        <f>IF($A157="","",IFERROR(VLOOKUP($B157,'_CONFIG_Risk_Calibration'!$A$5:$H$21,4,FALSE),3))</f>
        <v/>
      </c>
      <c r="AI157">
        <f>IF($A157="","",IFERROR(VLOOKUP($B157,'_CONFIG_Risk_Calibration'!$A$5:$H$21,5,FALSE),3))</f>
        <v/>
      </c>
      <c r="AJ157">
        <f>IF($A157="","",IFERROR(VLOOKUP($B157,'_CONFIG_Risk_Calibration'!$A$5:$H$21,6,FALSE),"No"))</f>
        <v/>
      </c>
      <c r="AK157">
        <f>IF($A157="","",IFERROR(VLOOKUP($B157,'_CONFIG_Risk_Calibration'!$A$5:$H$21,7,FALSE),1))</f>
        <v/>
      </c>
      <c r="AL157">
        <f>IF($A157="","",IFERROR(VLOOKUP($B157,'_CONFIG_Risk_Calibration'!$A$5:$H$21,8,FALSE),""))</f>
        <v/>
      </c>
    </row>
    <row r="158" ht="72" customHeight="1" s="209">
      <c r="A158" s="13" t="inlineStr">
        <is>
          <t>PHYS-014</t>
        </is>
      </c>
      <c r="B158" s="13" t="inlineStr">
        <is>
          <t>Physical Safety</t>
        </is>
      </c>
      <c r="C158" s="13" t="inlineStr">
        <is>
          <t>Emergency response</t>
        </is>
      </c>
      <c r="D158" s="13" t="inlineStr">
        <is>
          <t>Physical safety, security and facility resilience</t>
        </is>
      </c>
      <c r="E158" s="13" t="inlineStr">
        <is>
          <t>How mature is the organization in managing evacuation and shelter drills with attendance, outcomes and corrective actions, including ownership, evidence, metrics, fallback procedures and crisis stress testing?</t>
        </is>
      </c>
      <c r="F158" s="13" t="inlineStr">
        <is>
          <t>Immature capability for evacuation and shelter drills with attendance, outcomes and corrective actions may lead to injury, unsafe facilities, uncontrolled access, asset loss and failure to protect people during incidents during Safety incident; Physical site loss; War/security crisis; Natural disaster.</t>
        </is>
      </c>
      <c r="G158" s="13" t="inlineStr">
        <is>
          <t>Low maturity, weak ownership, incomplete evidence, insufficient testing and poor integration with crisis-management routines for evacuation and shelter drills with attendance, outcomes and corrective actions.</t>
        </is>
      </c>
      <c r="H158" s="13" t="inlineStr">
        <is>
          <t>Severe risk: evacuation and shelter drills with attendance, outcomes and corrective actions is not reliably controlled. During Safety incident; Physical site loss; War/security crisis; Natural disaster, the organization may face injury, unsafe facilities, uncontrolled access, asset loss and failure to protect people during incidents with limited visibility or accountability.</t>
        </is>
      </c>
      <c r="I158" s="13" t="inlineStr">
        <is>
          <t>High risk: evacuation and shelter drills with attendance, outcomes and corrective actions depends on informal practices or individual knowledge. Disruption may expose injury, unsafe facilities, uncontrolled access, asset loss and failure to protect people during incidents and slow recovery.</t>
        </is>
      </c>
      <c r="J158" s="13" t="inlineStr">
        <is>
          <t>Elevated risk: evacuation and shelter drills with attendance, outcomes and corrective actions is partially controlled, but coverage, evidence or testing is inconsistent. Crisis response may be fragmented.</t>
        </is>
      </c>
      <c r="K158" s="13" t="inlineStr">
        <is>
          <t>Moderate risk: evacuation and shelter drills with attendance, outcomes and corrective actions is documented and owned, but measurement, stress testing and integration with dependent processes need strengthening.</t>
        </is>
      </c>
      <c r="L158" s="13" t="inlineStr">
        <is>
          <t>Residual risk: evacuation and shelter drills with attendance, outcomes and corrective actions is measured and reviewed, but monitoring, automation or scenario testing should be improved to prevent maturity drift.</t>
        </is>
      </c>
      <c r="M158" s="13" t="inlineStr">
        <is>
          <t>Low residual risk: evacuation and shelter drills with attendance, outcomes and corrective actions is mature and crisis-tested. Maintain monitoring, evidence, ownership and periodic stress testing.</t>
        </is>
      </c>
      <c r="N158" s="13" t="inlineStr">
        <is>
          <t>Create an immediate risk owner, minimum control baseline and fallback procedure for evacuation and shelter drills with attendance, outcomes and corrective actions. Add it to the crisis risk register and collect first evidence.</t>
        </is>
      </c>
      <c r="O158" s="13" t="inlineStr">
        <is>
          <t>Document evacuation and shelter drills with attendance, outcomes and corrective actions, assign RACI, define minimum controls and KPIs, and validate coverage across key sites, teams or systems.</t>
        </is>
      </c>
      <c r="P158" s="13" t="inlineStr">
        <is>
          <t>Standardize evacuation and shelter drills with attendance, outcomes and corrective actions, close coverage gaps, train accountable roles and connect controls to the relevant crisis scenarios and continuity plans.</t>
        </is>
      </c>
      <c r="Q158" s="13" t="inlineStr">
        <is>
          <t>Measure and test evacuation and shelter drills with attendance, outcomes and corrective actions, run tabletop or operational stress tests, integrate it with dependent processes and update crisis playbooks.</t>
        </is>
      </c>
      <c r="R158" s="13" t="inlineStr">
        <is>
          <t>Automate monitoring where practical, define leading indicators, run periodic scenario tests and track residual risk after each major change.</t>
        </is>
      </c>
      <c r="S158" s="13" t="inlineStr">
        <is>
          <t>Sustain maturity for evacuation and shelter drills with attendance, outcomes and corrective actions: keep evidence current, monitor drift, benchmark externally and refresh risk tests after organizational, system or market changes.</t>
        </is>
      </c>
      <c r="T158" s="13" t="n">
        <v>4</v>
      </c>
      <c r="U158" s="13" t="n">
        <v>3</v>
      </c>
      <c r="V158" s="13" t="n">
        <v>3</v>
      </c>
      <c r="W158" s="13" t="n">
        <v>2</v>
      </c>
      <c r="X158" s="13" t="n">
        <v>1</v>
      </c>
      <c r="Y158" s="13" t="n">
        <v>1</v>
      </c>
      <c r="Z158" s="13" t="inlineStr">
        <is>
          <t>ISO 45001; ISO 22320; ISO 31030; ISO 18788; ISO 22301; NFPA; local OH&amp;S rules</t>
        </is>
      </c>
      <c r="AA158" s="13" t="inlineStr">
        <is>
          <t>Policy/SOP; owner/RACI; system report; dashboard; contracts; test records; incident history; interview evidence related to evacuation and shelter drills with attendance, outcomes and corrective actions.</t>
        </is>
      </c>
      <c r="AB158" s="13" t="inlineStr">
        <is>
          <t>Safety incident; Physical site loss; War/security crisis; Natural disaster</t>
        </is>
      </c>
      <c r="AC158" s="13" t="inlineStr">
        <is>
          <t>Facilities / Security / HSE</t>
        </is>
      </c>
      <c r="AD158" s="13" t="inlineStr">
        <is>
          <t>Physical Safety!18</t>
        </is>
      </c>
      <c r="AE158">
        <f>IF($A158="","",IF(OR(ISNUMBER(SEARCH("cyber",$D158)),ISNUMBER(SEARCH("security",$D158)),ISNUMBER(SEARCH("safety",$D158)),ISNUMBER(SEARCH("liquidity",$D158)),ISNUMBER(SEARCH("cash",$D158)),ISNUMBER(SEARCH("continuity",$D158)),ISNUMBER(SEARCH("infrastructure",$D158)),ISNUMBER(SEARCH("outage",$D158))),"Fast",IF(OR(ISNUMBER(SEARCH("compliance",$D158)),ISNUMBER(SEARCH("regulat",$D158)),ISNUMBER(SEARCH("data",$D158)),ISNUMBER(SEARCH("talent",$D158)),ISNUMBER(SEARCH("knowledge",$D158)),ISNUMBER(SEARCH("portfolio",$D158)),ISNUMBER(SEARCH("quality",$D158))),"Slow","Medium")))</f>
        <v/>
      </c>
      <c r="AF158">
        <f>IF($A158="","",IFERROR(VLOOKUP($B158,'_CONFIG_Risk_Calibration'!$A$5:$H$21,2,FALSE),3))</f>
        <v/>
      </c>
      <c r="AG158">
        <f>IF($A158="","",IFERROR(VLOOKUP($B158,'_CONFIG_Risk_Calibration'!$A$5:$H$21,3,FALSE),0))</f>
        <v/>
      </c>
      <c r="AH158">
        <f>IF($A158="","",IFERROR(VLOOKUP($B158,'_CONFIG_Risk_Calibration'!$A$5:$H$21,4,FALSE),3))</f>
        <v/>
      </c>
      <c r="AI158">
        <f>IF($A158="","",IFERROR(VLOOKUP($B158,'_CONFIG_Risk_Calibration'!$A$5:$H$21,5,FALSE),3))</f>
        <v/>
      </c>
      <c r="AJ158">
        <f>IF($A158="","",IFERROR(VLOOKUP($B158,'_CONFIG_Risk_Calibration'!$A$5:$H$21,6,FALSE),"No"))</f>
        <v/>
      </c>
      <c r="AK158">
        <f>IF($A158="","",IFERROR(VLOOKUP($B158,'_CONFIG_Risk_Calibration'!$A$5:$H$21,7,FALSE),1))</f>
        <v/>
      </c>
      <c r="AL158">
        <f>IF($A158="","",IFERROR(VLOOKUP($B158,'_CONFIG_Risk_Calibration'!$A$5:$H$21,8,FALSE),""))</f>
        <v/>
      </c>
    </row>
    <row r="159" ht="72" customHeight="1" s="209">
      <c r="A159" s="13" t="inlineStr">
        <is>
          <t>PHYS-015</t>
        </is>
      </c>
      <c r="B159" s="13" t="inlineStr">
        <is>
          <t>Physical Safety</t>
        </is>
      </c>
      <c r="C159" s="13" t="inlineStr">
        <is>
          <t>Emergency response</t>
        </is>
      </c>
      <c r="D159" s="13" t="inlineStr">
        <is>
          <t>Physical safety, security and facility resilience</t>
        </is>
      </c>
      <c r="E159" s="13" t="inlineStr">
        <is>
          <t>How mature is the organization in managing first aid readiness with trained responders, AEDs, medical contacts and first aid supplies, including ownership, evidence, metrics, fallback procedures and crisis stress testing?</t>
        </is>
      </c>
      <c r="F159" s="13" t="inlineStr">
        <is>
          <t>Immature capability for first aid readiness with trained responders, AEDs, medical contacts and first aid supplies may lead to injury, unsafe facilities, uncontrolled access, asset loss and failure to protect people during incidents during Safety incident; Physical site loss; War/security crisis; Natural disaster.</t>
        </is>
      </c>
      <c r="G159" s="13" t="inlineStr">
        <is>
          <t>Low maturity, weak ownership, incomplete evidence, insufficient testing and poor integration with crisis-management routines for first aid readiness with trained responders, AEDs, medical contacts and first aid supplies.</t>
        </is>
      </c>
      <c r="H159" s="13" t="inlineStr">
        <is>
          <t>Severe risk: first aid readiness with trained responders, AEDs, medical contacts and first aid supplies is not reliably controlled. During Safety incident; Physical site loss; War/security crisis; Natural disaster, the organization may face injury, unsafe facilities, uncontrolled access, asset loss and failure to protect people during incidents with limited visibility or accountability.</t>
        </is>
      </c>
      <c r="I159" s="13" t="inlineStr">
        <is>
          <t>High risk: first aid readiness with trained responders, AEDs, medical contacts and first aid supplies depends on informal practices or individual knowledge. Disruption may expose injury, unsafe facilities, uncontrolled access, asset loss and failure to protect people during incidents and slow recovery.</t>
        </is>
      </c>
      <c r="J159" s="13" t="inlineStr">
        <is>
          <t>Elevated risk: first aid readiness with trained responders, AEDs, medical contacts and first aid supplies is partially controlled, but coverage, evidence or testing is inconsistent. Crisis response may be fragmented.</t>
        </is>
      </c>
      <c r="K159" s="13" t="inlineStr">
        <is>
          <t>Moderate risk: first aid readiness with trained responders, AEDs, medical contacts and first aid supplies is documented and owned, but measurement, stress testing and integration with dependent processes need strengthening.</t>
        </is>
      </c>
      <c r="L159" s="13" t="inlineStr">
        <is>
          <t>Residual risk: first aid readiness with trained responders, AEDs, medical contacts and first aid supplies is measured and reviewed, but monitoring, automation or scenario testing should be improved to prevent maturity drift.</t>
        </is>
      </c>
      <c r="M159" s="13" t="inlineStr">
        <is>
          <t>Low residual risk: first aid readiness with trained responders, AEDs, medical contacts and first aid supplies is mature and crisis-tested. Maintain monitoring, evidence, ownership and periodic stress testing.</t>
        </is>
      </c>
      <c r="N159" s="13" t="inlineStr">
        <is>
          <t>Create an immediate risk owner, minimum control baseline and fallback procedure for first aid readiness with trained responders, AEDs, medical contacts and first aid supplies. Add it to the crisis risk register and collect first evidence.</t>
        </is>
      </c>
      <c r="O159" s="13" t="inlineStr">
        <is>
          <t>Document first aid readiness with trained responders, AEDs, medical contacts and first aid supplies, assign RACI, define minimum controls and KPIs, and validate coverage across key sites, teams or systems.</t>
        </is>
      </c>
      <c r="P159" s="13" t="inlineStr">
        <is>
          <t>Standardize first aid readiness with trained responders, AEDs, medical contacts and first aid supplies, close coverage gaps, train accountable roles and connect controls to the relevant crisis scenarios and continuity plans.</t>
        </is>
      </c>
      <c r="Q159" s="13" t="inlineStr">
        <is>
          <t>Measure and test first aid readiness with trained responders, AEDs, medical contacts and first aid supplies, run tabletop or operational stress tests, integrate it with dependent processes and update crisis playbooks.</t>
        </is>
      </c>
      <c r="R159" s="13" t="inlineStr">
        <is>
          <t>Automate monitoring where practical, define leading indicators, run periodic scenario tests and track residual risk after each major change.</t>
        </is>
      </c>
      <c r="S159" s="13" t="inlineStr">
        <is>
          <t>Sustain maturity for first aid readiness with trained responders, AEDs, medical contacts and first aid supplies: keep evidence current, monitor drift, benchmark externally and refresh risk tests after organizational, system or market changes.</t>
        </is>
      </c>
      <c r="T159" s="13" t="n">
        <v>4</v>
      </c>
      <c r="U159" s="13" t="n">
        <v>3</v>
      </c>
      <c r="V159" s="13" t="n">
        <v>3</v>
      </c>
      <c r="W159" s="13" t="n">
        <v>2</v>
      </c>
      <c r="X159" s="13" t="n">
        <v>1</v>
      </c>
      <c r="Y159" s="13" t="n">
        <v>1</v>
      </c>
      <c r="Z159" s="13" t="inlineStr">
        <is>
          <t>ISO 45001; ISO 22320; ISO 31030; ISO 18788; ISO 22301; NFPA; local OH&amp;S rules</t>
        </is>
      </c>
      <c r="AA159" s="13" t="inlineStr">
        <is>
          <t>Policy/SOP; owner/RACI; system report; dashboard; contracts; test records; incident history; interview evidence related to first aid readiness with trained responders, AEDs, medical contacts and first aid supplies.</t>
        </is>
      </c>
      <c r="AB159" s="13" t="inlineStr">
        <is>
          <t>Safety incident; Physical site loss; War/security crisis; Natural disaster</t>
        </is>
      </c>
      <c r="AC159" s="13" t="inlineStr">
        <is>
          <t>Facilities / Security / HSE</t>
        </is>
      </c>
      <c r="AD159" s="13" t="inlineStr">
        <is>
          <t>Physical Safety!19</t>
        </is>
      </c>
      <c r="AE159">
        <f>IF($A159="","",IF(OR(ISNUMBER(SEARCH("cyber",$D159)),ISNUMBER(SEARCH("security",$D159)),ISNUMBER(SEARCH("safety",$D159)),ISNUMBER(SEARCH("liquidity",$D159)),ISNUMBER(SEARCH("cash",$D159)),ISNUMBER(SEARCH("continuity",$D159)),ISNUMBER(SEARCH("infrastructure",$D159)),ISNUMBER(SEARCH("outage",$D159))),"Fast",IF(OR(ISNUMBER(SEARCH("compliance",$D159)),ISNUMBER(SEARCH("regulat",$D159)),ISNUMBER(SEARCH("data",$D159)),ISNUMBER(SEARCH("talent",$D159)),ISNUMBER(SEARCH("knowledge",$D159)),ISNUMBER(SEARCH("portfolio",$D159)),ISNUMBER(SEARCH("quality",$D159))),"Slow","Medium")))</f>
        <v/>
      </c>
      <c r="AF159">
        <f>IF($A159="","",IFERROR(VLOOKUP($B159,'_CONFIG_Risk_Calibration'!$A$5:$H$21,2,FALSE),3))</f>
        <v/>
      </c>
      <c r="AG159">
        <f>IF($A159="","",IFERROR(VLOOKUP($B159,'_CONFIG_Risk_Calibration'!$A$5:$H$21,3,FALSE),0))</f>
        <v/>
      </c>
      <c r="AH159">
        <f>IF($A159="","",IFERROR(VLOOKUP($B159,'_CONFIG_Risk_Calibration'!$A$5:$H$21,4,FALSE),3))</f>
        <v/>
      </c>
      <c r="AI159">
        <f>IF($A159="","",IFERROR(VLOOKUP($B159,'_CONFIG_Risk_Calibration'!$A$5:$H$21,5,FALSE),3))</f>
        <v/>
      </c>
      <c r="AJ159">
        <f>IF($A159="","",IFERROR(VLOOKUP($B159,'_CONFIG_Risk_Calibration'!$A$5:$H$21,6,FALSE),"No"))</f>
        <v/>
      </c>
      <c r="AK159">
        <f>IF($A159="","",IFERROR(VLOOKUP($B159,'_CONFIG_Risk_Calibration'!$A$5:$H$21,7,FALSE),1))</f>
        <v/>
      </c>
      <c r="AL159">
        <f>IF($A159="","",IFERROR(VLOOKUP($B159,'_CONFIG_Risk_Calibration'!$A$5:$H$21,8,FALSE),""))</f>
        <v/>
      </c>
    </row>
    <row r="160" ht="72" customHeight="1" s="209">
      <c r="A160" s="13" t="inlineStr">
        <is>
          <t>PHYS-016</t>
        </is>
      </c>
      <c r="B160" s="13" t="inlineStr">
        <is>
          <t>Physical Safety</t>
        </is>
      </c>
      <c r="C160" s="13" t="inlineStr">
        <is>
          <t>Emergency response</t>
        </is>
      </c>
      <c r="D160" s="13" t="inlineStr">
        <is>
          <t>Physical safety, security and facility resilience</t>
        </is>
      </c>
      <c r="E160" s="13" t="inlineStr">
        <is>
          <t>How mature is the organization in managing mass notification to employees, visitors and contractors during site emergencies, including ownership, evidence, metrics, fallback procedures and crisis stress testing?</t>
        </is>
      </c>
      <c r="F160" s="13" t="inlineStr">
        <is>
          <t>Immature capability for mass notification to employees, visitors and contractors during site emergencies may lead to injury, unsafe facilities, uncontrolled access, asset loss and failure to protect people during incidents during Safety incident; Physical site loss; War/security crisis; Natural disaster.</t>
        </is>
      </c>
      <c r="G160" s="13" t="inlineStr">
        <is>
          <t>Low maturity, weak ownership, incomplete evidence, insufficient testing and poor integration with crisis-management routines for mass notification to employees, visitors and contractors during site emergencies.</t>
        </is>
      </c>
      <c r="H160" s="13" t="inlineStr">
        <is>
          <t>Severe risk: mass notification to employees, visitors and contractors during site emergencies is not reliably controlled. During Safety incident; Physical site loss; War/security crisis; Natural disaster, the organization may face injury, unsafe facilities, uncontrolled access, asset loss and failure to protect people during incidents with limited visibility or accountability.</t>
        </is>
      </c>
      <c r="I160" s="13" t="inlineStr">
        <is>
          <t>High risk: mass notification to employees, visitors and contractors during site emergencies depends on informal practices or individual knowledge. Disruption may expose injury, unsafe facilities, uncontrolled access, asset loss and failure to protect people during incidents and slow recovery.</t>
        </is>
      </c>
      <c r="J160" s="13" t="inlineStr">
        <is>
          <t>Elevated risk: mass notification to employees, visitors and contractors during site emergencies is partially controlled, but coverage, evidence or testing is inconsistent. Crisis response may be fragmented.</t>
        </is>
      </c>
      <c r="K160" s="13" t="inlineStr">
        <is>
          <t>Moderate risk: mass notification to employees, visitors and contractors during site emergencies is documented and owned, but measurement, stress testing and integration with dependent processes need strengthening.</t>
        </is>
      </c>
      <c r="L160" s="13" t="inlineStr">
        <is>
          <t>Residual risk: mass notification to employees, visitors and contractors during site emergencies is measured and reviewed, but monitoring, automation or scenario testing should be improved to prevent maturity drift.</t>
        </is>
      </c>
      <c r="M160" s="13" t="inlineStr">
        <is>
          <t>Low residual risk: mass notification to employees, visitors and contractors during site emergencies is mature and crisis-tested. Maintain monitoring, evidence, ownership and periodic stress testing.</t>
        </is>
      </c>
      <c r="N160" s="13" t="inlineStr">
        <is>
          <t>Create an immediate risk owner, minimum control baseline and fallback procedure for mass notification to employees, visitors and contractors during site emergencies. Add it to the crisis risk register and collect first evidence.</t>
        </is>
      </c>
      <c r="O160" s="13" t="inlineStr">
        <is>
          <t>Document mass notification to employees, visitors and contractors during site emergencies, assign RACI, define minimum controls and KPIs, and validate coverage across key sites, teams or systems.</t>
        </is>
      </c>
      <c r="P160" s="13" t="inlineStr">
        <is>
          <t>Standardize mass notification to employees, visitors and contractors during site emergencies, close coverage gaps, train accountable roles and connect controls to the relevant crisis scenarios and continuity plans.</t>
        </is>
      </c>
      <c r="Q160" s="13" t="inlineStr">
        <is>
          <t>Measure and test mass notification to employees, visitors and contractors during site emergencies, run tabletop or operational stress tests, integrate it with dependent processes and update crisis playbooks.</t>
        </is>
      </c>
      <c r="R160" s="13" t="inlineStr">
        <is>
          <t>Automate monitoring where practical, define leading indicators, run periodic scenario tests and track residual risk after each major change.</t>
        </is>
      </c>
      <c r="S160" s="13" t="inlineStr">
        <is>
          <t>Sustain maturity for mass notification to employees, visitors and contractors during site emergencies: keep evidence current, monitor drift, benchmark externally and refresh risk tests after organizational, system or market changes.</t>
        </is>
      </c>
      <c r="T160" s="13" t="n">
        <v>4</v>
      </c>
      <c r="U160" s="13" t="n">
        <v>3</v>
      </c>
      <c r="V160" s="13" t="n">
        <v>3</v>
      </c>
      <c r="W160" s="13" t="n">
        <v>2</v>
      </c>
      <c r="X160" s="13" t="n">
        <v>1</v>
      </c>
      <c r="Y160" s="13" t="n">
        <v>1</v>
      </c>
      <c r="Z160" s="13" t="inlineStr">
        <is>
          <t>ISO 45001; ISO 22320; ISO 31030; ISO 18788; ISO 22301; NFPA; local OH&amp;S rules</t>
        </is>
      </c>
      <c r="AA160" s="13" t="inlineStr">
        <is>
          <t>Policy/SOP; owner/RACI; system report; dashboard; contracts; test records; incident history; interview evidence related to mass notification to employees, visitors and contractors during site emergencies.</t>
        </is>
      </c>
      <c r="AB160" s="13" t="inlineStr">
        <is>
          <t>Safety incident; Physical site loss; War/security crisis; Natural disaster</t>
        </is>
      </c>
      <c r="AC160" s="13" t="inlineStr">
        <is>
          <t>Facilities / Security / HSE</t>
        </is>
      </c>
      <c r="AD160" s="13" t="inlineStr">
        <is>
          <t>Physical Safety!20</t>
        </is>
      </c>
      <c r="AE160">
        <f>IF($A160="","",IF(OR(ISNUMBER(SEARCH("cyber",$D160)),ISNUMBER(SEARCH("security",$D160)),ISNUMBER(SEARCH("safety",$D160)),ISNUMBER(SEARCH("liquidity",$D160)),ISNUMBER(SEARCH("cash",$D160)),ISNUMBER(SEARCH("continuity",$D160)),ISNUMBER(SEARCH("infrastructure",$D160)),ISNUMBER(SEARCH("outage",$D160))),"Fast",IF(OR(ISNUMBER(SEARCH("compliance",$D160)),ISNUMBER(SEARCH("regulat",$D160)),ISNUMBER(SEARCH("data",$D160)),ISNUMBER(SEARCH("talent",$D160)),ISNUMBER(SEARCH("knowledge",$D160)),ISNUMBER(SEARCH("portfolio",$D160)),ISNUMBER(SEARCH("quality",$D160))),"Slow","Medium")))</f>
        <v/>
      </c>
      <c r="AF160">
        <f>IF($A160="","",IFERROR(VLOOKUP($B160,'_CONFIG_Risk_Calibration'!$A$5:$H$21,2,FALSE),3))</f>
        <v/>
      </c>
      <c r="AG160">
        <f>IF($A160="","",IFERROR(VLOOKUP($B160,'_CONFIG_Risk_Calibration'!$A$5:$H$21,3,FALSE),0))</f>
        <v/>
      </c>
      <c r="AH160">
        <f>IF($A160="","",IFERROR(VLOOKUP($B160,'_CONFIG_Risk_Calibration'!$A$5:$H$21,4,FALSE),3))</f>
        <v/>
      </c>
      <c r="AI160">
        <f>IF($A160="","",IFERROR(VLOOKUP($B160,'_CONFIG_Risk_Calibration'!$A$5:$H$21,5,FALSE),3))</f>
        <v/>
      </c>
      <c r="AJ160">
        <f>IF($A160="","",IFERROR(VLOOKUP($B160,'_CONFIG_Risk_Calibration'!$A$5:$H$21,6,FALSE),"No"))</f>
        <v/>
      </c>
      <c r="AK160">
        <f>IF($A160="","",IFERROR(VLOOKUP($B160,'_CONFIG_Risk_Calibration'!$A$5:$H$21,7,FALSE),1))</f>
        <v/>
      </c>
      <c r="AL160">
        <f>IF($A160="","",IFERROR(VLOOKUP($B160,'_CONFIG_Risk_Calibration'!$A$5:$H$21,8,FALSE),""))</f>
        <v/>
      </c>
    </row>
    <row r="161" ht="72" customHeight="1" s="209">
      <c r="A161" s="13" t="inlineStr">
        <is>
          <t>PHYS-017</t>
        </is>
      </c>
      <c r="B161" s="13" t="inlineStr">
        <is>
          <t>Physical Safety</t>
        </is>
      </c>
      <c r="C161" s="13" t="inlineStr">
        <is>
          <t>Emergency response</t>
        </is>
      </c>
      <c r="D161" s="13" t="inlineStr">
        <is>
          <t>Physical safety, security and facility resilience</t>
        </is>
      </c>
      <c r="E161" s="13" t="inlineStr">
        <is>
          <t>How mature is the organization in managing employee and visitor accountability after evacuation or sheltering, including ownership, evidence, metrics, fallback procedures and crisis stress testing?</t>
        </is>
      </c>
      <c r="F161" s="13" t="inlineStr">
        <is>
          <t>Immature capability for employee and visitor accountability after evacuation or sheltering may lead to injury, unsafe facilities, uncontrolled access, asset loss and failure to protect people during incidents during Safety incident; Physical site loss; War/security crisis; Natural disaster.</t>
        </is>
      </c>
      <c r="G161" s="13" t="inlineStr">
        <is>
          <t>Low maturity, weak ownership, incomplete evidence, insufficient testing and poor integration with crisis-management routines for employee and visitor accountability after evacuation or sheltering.</t>
        </is>
      </c>
      <c r="H161" s="13" t="inlineStr">
        <is>
          <t>Severe risk: employee and visitor accountability after evacuation or sheltering is not reliably controlled. During Safety incident; Physical site loss; War/security crisis; Natural disaster, the organization may face injury, unsafe facilities, uncontrolled access, asset loss and failure to protect people during incidents with limited visibility or accountability.</t>
        </is>
      </c>
      <c r="I161" s="13" t="inlineStr">
        <is>
          <t>High risk: employee and visitor accountability after evacuation or sheltering depends on informal practices or individual knowledge. Disruption may expose injury, unsafe facilities, uncontrolled access, asset loss and failure to protect people during incidents and slow recovery.</t>
        </is>
      </c>
      <c r="J161" s="13" t="inlineStr">
        <is>
          <t>Elevated risk: employee and visitor accountability after evacuation or sheltering is partially controlled, but coverage, evidence or testing is inconsistent. Crisis response may be fragmented.</t>
        </is>
      </c>
      <c r="K161" s="13" t="inlineStr">
        <is>
          <t>Moderate risk: employee and visitor accountability after evacuation or sheltering is documented and owned, but measurement, stress testing and integration with dependent processes need strengthening.</t>
        </is>
      </c>
      <c r="L161" s="13" t="inlineStr">
        <is>
          <t>Residual risk: employee and visitor accountability after evacuation or sheltering is measured and reviewed, but monitoring, automation or scenario testing should be improved to prevent maturity drift.</t>
        </is>
      </c>
      <c r="M161" s="13" t="inlineStr">
        <is>
          <t>Low residual risk: employee and visitor accountability after evacuation or sheltering is mature and crisis-tested. Maintain monitoring, evidence, ownership and periodic stress testing.</t>
        </is>
      </c>
      <c r="N161" s="13" t="inlineStr">
        <is>
          <t>Create an immediate risk owner, minimum control baseline and fallback procedure for employee and visitor accountability after evacuation or sheltering. Add it to the crisis risk register and collect first evidence.</t>
        </is>
      </c>
      <c r="O161" s="13" t="inlineStr">
        <is>
          <t>Document employee and visitor accountability after evacuation or sheltering, assign RACI, define minimum controls and KPIs, and validate coverage across key sites, teams or systems.</t>
        </is>
      </c>
      <c r="P161" s="13" t="inlineStr">
        <is>
          <t>Standardize employee and visitor accountability after evacuation or sheltering, close coverage gaps, train accountable roles and connect controls to the relevant crisis scenarios and continuity plans.</t>
        </is>
      </c>
      <c r="Q161" s="13" t="inlineStr">
        <is>
          <t>Measure and test employee and visitor accountability after evacuation or sheltering, run tabletop or operational stress tests, integrate it with dependent processes and update crisis playbooks.</t>
        </is>
      </c>
      <c r="R161" s="13" t="inlineStr">
        <is>
          <t>Automate monitoring where practical, define leading indicators, run periodic scenario tests and track residual risk after each major change.</t>
        </is>
      </c>
      <c r="S161" s="13" t="inlineStr">
        <is>
          <t>Sustain maturity for employee and visitor accountability after evacuation or sheltering: keep evidence current, monitor drift, benchmark externally and refresh risk tests after organizational, system or market changes.</t>
        </is>
      </c>
      <c r="T161" s="13" t="n">
        <v>4</v>
      </c>
      <c r="U161" s="13" t="n">
        <v>3</v>
      </c>
      <c r="V161" s="13" t="n">
        <v>3</v>
      </c>
      <c r="W161" s="13" t="n">
        <v>2</v>
      </c>
      <c r="X161" s="13" t="n">
        <v>1</v>
      </c>
      <c r="Y161" s="13" t="n">
        <v>1</v>
      </c>
      <c r="Z161" s="13" t="inlineStr">
        <is>
          <t>ISO 45001; ISO 22320; ISO 31030; ISO 18788; ISO 22301; NFPA; local OH&amp;S rules</t>
        </is>
      </c>
      <c r="AA161" s="13" t="inlineStr">
        <is>
          <t>Policy/SOP; owner/RACI; system report; dashboard; contracts; test records; incident history; interview evidence related to employee and visitor accountability after evacuation or sheltering.</t>
        </is>
      </c>
      <c r="AB161" s="13" t="inlineStr">
        <is>
          <t>Safety incident; Physical site loss; War/security crisis; Natural disaster</t>
        </is>
      </c>
      <c r="AC161" s="13" t="inlineStr">
        <is>
          <t>Facilities / Security / HSE</t>
        </is>
      </c>
      <c r="AD161" s="13" t="inlineStr">
        <is>
          <t>Physical Safety!21</t>
        </is>
      </c>
      <c r="AE161">
        <f>IF($A161="","",IF(OR(ISNUMBER(SEARCH("cyber",$D161)),ISNUMBER(SEARCH("security",$D161)),ISNUMBER(SEARCH("safety",$D161)),ISNUMBER(SEARCH("liquidity",$D161)),ISNUMBER(SEARCH("cash",$D161)),ISNUMBER(SEARCH("continuity",$D161)),ISNUMBER(SEARCH("infrastructure",$D161)),ISNUMBER(SEARCH("outage",$D161))),"Fast",IF(OR(ISNUMBER(SEARCH("compliance",$D161)),ISNUMBER(SEARCH("regulat",$D161)),ISNUMBER(SEARCH("data",$D161)),ISNUMBER(SEARCH("talent",$D161)),ISNUMBER(SEARCH("knowledge",$D161)),ISNUMBER(SEARCH("portfolio",$D161)),ISNUMBER(SEARCH("quality",$D161))),"Slow","Medium")))</f>
        <v/>
      </c>
      <c r="AF161">
        <f>IF($A161="","",IFERROR(VLOOKUP($B161,'_CONFIG_Risk_Calibration'!$A$5:$H$21,2,FALSE),3))</f>
        <v/>
      </c>
      <c r="AG161">
        <f>IF($A161="","",IFERROR(VLOOKUP($B161,'_CONFIG_Risk_Calibration'!$A$5:$H$21,3,FALSE),0))</f>
        <v/>
      </c>
      <c r="AH161">
        <f>IF($A161="","",IFERROR(VLOOKUP($B161,'_CONFIG_Risk_Calibration'!$A$5:$H$21,4,FALSE),3))</f>
        <v/>
      </c>
      <c r="AI161">
        <f>IF($A161="","",IFERROR(VLOOKUP($B161,'_CONFIG_Risk_Calibration'!$A$5:$H$21,5,FALSE),3))</f>
        <v/>
      </c>
      <c r="AJ161">
        <f>IF($A161="","",IFERROR(VLOOKUP($B161,'_CONFIG_Risk_Calibration'!$A$5:$H$21,6,FALSE),"No"))</f>
        <v/>
      </c>
      <c r="AK161">
        <f>IF($A161="","",IFERROR(VLOOKUP($B161,'_CONFIG_Risk_Calibration'!$A$5:$H$21,7,FALSE),1))</f>
        <v/>
      </c>
      <c r="AL161">
        <f>IF($A161="","",IFERROR(VLOOKUP($B161,'_CONFIG_Risk_Calibration'!$A$5:$H$21,8,FALSE),""))</f>
        <v/>
      </c>
    </row>
    <row r="162" ht="84" customHeight="1" s="209">
      <c r="A162" s="13" t="inlineStr">
        <is>
          <t>PHYS-018</t>
        </is>
      </c>
      <c r="B162" s="13" t="inlineStr">
        <is>
          <t>Physical Safety</t>
        </is>
      </c>
      <c r="C162" s="13" t="inlineStr">
        <is>
          <t>Emergency response</t>
        </is>
      </c>
      <c r="D162" s="13" t="inlineStr">
        <is>
          <t>Physical safety, security and facility resilience</t>
        </is>
      </c>
      <c r="E162" s="13" t="inlineStr">
        <is>
          <t>How mature is the organization in managing emergency supplies such as water, batteries, power banks, fuel, PPE, radios and flashlights, including ownership, evidence, metrics, fallback procedures and crisis stress testing?</t>
        </is>
      </c>
      <c r="F162" s="13" t="inlineStr">
        <is>
          <t>Immature capability for emergency supplies such as water, batteries, power banks, fuel, PPE, radios and flashlights may lead to injury, unsafe facilities, uncontrolled access, asset loss and failure to protect people during incidents during Safety incident; Physical site loss; War/security crisis; Natural disaster.</t>
        </is>
      </c>
      <c r="G162" s="13" t="inlineStr">
        <is>
          <t>Low maturity, weak ownership, incomplete evidence, insufficient testing and poor integration with crisis-management routines for emergency supplies such as water, batteries, power banks, fuel, PPE, radios and flashlights.</t>
        </is>
      </c>
      <c r="H162" s="13" t="inlineStr">
        <is>
          <t>Severe risk: emergency supplies such as water, batteries, power banks, fuel, PPE, radios and flashlights is not reliably controlled. During Safety incident; Physical site loss; War/security crisis; Natural disaster, the organization may face injury, unsafe facilities, uncontrolled access, asset loss and failure to protect people during incidents with limited visibility or accountability.</t>
        </is>
      </c>
      <c r="I162" s="13" t="inlineStr">
        <is>
          <t>High risk: emergency supplies such as water, batteries, power banks, fuel, PPE, radios and flashlights depends on informal practices or individual knowledge. Disruption may expose injury, unsafe facilities, uncontrolled access, asset loss and failure to protect people during incidents and slow recovery.</t>
        </is>
      </c>
      <c r="J162" s="13" t="inlineStr">
        <is>
          <t>Elevated risk: emergency supplies such as water, batteries, power banks, fuel, PPE, radios and flashlights is partially controlled, but coverage, evidence or testing is inconsistent. Crisis response may be fragmented.</t>
        </is>
      </c>
      <c r="K162" s="13" t="inlineStr">
        <is>
          <t>Moderate risk: emergency supplies such as water, batteries, power banks, fuel, PPE, radios and flashlights is documented and owned, but measurement, stress testing and integration with dependent processes need strengthening.</t>
        </is>
      </c>
      <c r="L162" s="13" t="inlineStr">
        <is>
          <t>Residual risk: emergency supplies such as water, batteries, power banks, fuel, PPE, radios and flashlights is measured and reviewed, but monitoring, automation or scenario testing should be improved to prevent maturity drift.</t>
        </is>
      </c>
      <c r="M162" s="13" t="inlineStr">
        <is>
          <t>Low residual risk: emergency supplies such as water, batteries, power banks, fuel, PPE, radios and flashlights is mature and crisis-tested. Maintain monitoring, evidence, ownership and periodic stress testing.</t>
        </is>
      </c>
      <c r="N162" s="13" t="inlineStr">
        <is>
          <t>Create an immediate risk owner, minimum control baseline and fallback procedure for emergency supplies such as water, batteries, power banks, fuel, PPE, radios and flashlights. Add it to the crisis risk register and collect first evidence.</t>
        </is>
      </c>
      <c r="O162" s="13" t="inlineStr">
        <is>
          <t>Document emergency supplies such as water, batteries, power banks, fuel, PPE, radios and flashlights, assign RACI, define minimum controls and KPIs, and validate coverage across key sites, teams or systems.</t>
        </is>
      </c>
      <c r="P162" s="13" t="inlineStr">
        <is>
          <t>Standardize emergency supplies such as water, batteries, power banks, fuel, PPE, radios and flashlights, close coverage gaps, train accountable roles and connect controls to the relevant crisis scenarios and continuity plans.</t>
        </is>
      </c>
      <c r="Q162" s="13" t="inlineStr">
        <is>
          <t>Measure and test emergency supplies such as water, batteries, power banks, fuel, PPE, radios and flashlights, run tabletop or operational stress tests, integrate it with dependent processes and update crisis playbooks.</t>
        </is>
      </c>
      <c r="R162" s="13" t="inlineStr">
        <is>
          <t>Automate monitoring where practical, define leading indicators, run periodic scenario tests and track residual risk after each major change.</t>
        </is>
      </c>
      <c r="S162" s="13" t="inlineStr">
        <is>
          <t>Sustain maturity for emergency supplies such as water, batteries, power banks, fuel, PPE, radios and flashlights: keep evidence current, monitor drift, benchmark externally and refresh risk tests after organizational, system or market changes.</t>
        </is>
      </c>
      <c r="T162" s="13" t="n">
        <v>4</v>
      </c>
      <c r="U162" s="13" t="n">
        <v>3</v>
      </c>
      <c r="V162" s="13" t="n">
        <v>3</v>
      </c>
      <c r="W162" s="13" t="n">
        <v>2</v>
      </c>
      <c r="X162" s="13" t="n">
        <v>1</v>
      </c>
      <c r="Y162" s="13" t="n">
        <v>1</v>
      </c>
      <c r="Z162" s="13" t="inlineStr">
        <is>
          <t>ISO 45001; ISO 22320; ISO 31030; ISO 18788; ISO 22301; NFPA; local OH&amp;S rules</t>
        </is>
      </c>
      <c r="AA162" s="13" t="inlineStr">
        <is>
          <t>Policy/SOP; owner/RACI; system report; dashboard; contracts; test records; incident history; interview evidence related to emergency supplies such as water, batteries, power banks, fuel, PPE, radios and flashlights.</t>
        </is>
      </c>
      <c r="AB162" s="13" t="inlineStr">
        <is>
          <t>Safety incident; Physical site loss; War/security crisis; Natural disaster</t>
        </is>
      </c>
      <c r="AC162" s="13" t="inlineStr">
        <is>
          <t>Facilities / Security / HSE</t>
        </is>
      </c>
      <c r="AD162" s="13" t="inlineStr">
        <is>
          <t>Physical Safety!22</t>
        </is>
      </c>
      <c r="AE162">
        <f>IF($A162="","",IF(OR(ISNUMBER(SEARCH("cyber",$D162)),ISNUMBER(SEARCH("security",$D162)),ISNUMBER(SEARCH("safety",$D162)),ISNUMBER(SEARCH("liquidity",$D162)),ISNUMBER(SEARCH("cash",$D162)),ISNUMBER(SEARCH("continuity",$D162)),ISNUMBER(SEARCH("infrastructure",$D162)),ISNUMBER(SEARCH("outage",$D162))),"Fast",IF(OR(ISNUMBER(SEARCH("compliance",$D162)),ISNUMBER(SEARCH("regulat",$D162)),ISNUMBER(SEARCH("data",$D162)),ISNUMBER(SEARCH("talent",$D162)),ISNUMBER(SEARCH("knowledge",$D162)),ISNUMBER(SEARCH("portfolio",$D162)),ISNUMBER(SEARCH("quality",$D162))),"Slow","Medium")))</f>
        <v/>
      </c>
      <c r="AF162">
        <f>IF($A162="","",IFERROR(VLOOKUP($B162,'_CONFIG_Risk_Calibration'!$A$5:$H$21,2,FALSE),3))</f>
        <v/>
      </c>
      <c r="AG162">
        <f>IF($A162="","",IFERROR(VLOOKUP($B162,'_CONFIG_Risk_Calibration'!$A$5:$H$21,3,FALSE),0))</f>
        <v/>
      </c>
      <c r="AH162">
        <f>IF($A162="","",IFERROR(VLOOKUP($B162,'_CONFIG_Risk_Calibration'!$A$5:$H$21,4,FALSE),3))</f>
        <v/>
      </c>
      <c r="AI162">
        <f>IF($A162="","",IFERROR(VLOOKUP($B162,'_CONFIG_Risk_Calibration'!$A$5:$H$21,5,FALSE),3))</f>
        <v/>
      </c>
      <c r="AJ162">
        <f>IF($A162="","",IFERROR(VLOOKUP($B162,'_CONFIG_Risk_Calibration'!$A$5:$H$21,6,FALSE),"No"))</f>
        <v/>
      </c>
      <c r="AK162">
        <f>IF($A162="","",IFERROR(VLOOKUP($B162,'_CONFIG_Risk_Calibration'!$A$5:$H$21,7,FALSE),1))</f>
        <v/>
      </c>
      <c r="AL162">
        <f>IF($A162="","",IFERROR(VLOOKUP($B162,'_CONFIG_Risk_Calibration'!$A$5:$H$21,8,FALSE),""))</f>
        <v/>
      </c>
    </row>
    <row r="163" ht="84" customHeight="1" s="209">
      <c r="A163" s="13" t="inlineStr">
        <is>
          <t>PHYS-019</t>
        </is>
      </c>
      <c r="B163" s="13" t="inlineStr">
        <is>
          <t>Physical Safety</t>
        </is>
      </c>
      <c r="C163" s="13" t="inlineStr">
        <is>
          <t>Security and travel</t>
        </is>
      </c>
      <c r="D163" s="13" t="inlineStr">
        <is>
          <t>Physical safety, security and facility resilience</t>
        </is>
      </c>
      <c r="E163" s="13" t="inlineStr">
        <is>
          <t>How mature is the organization in managing air raid, shelling, curfew, checkpoints, movement restriction and shelter procedures for high-risk geographies, including ownership, evidence, metrics, fallback procedures and crisis stress testing?</t>
        </is>
      </c>
      <c r="F163" s="13" t="inlineStr">
        <is>
          <t>Immature capability for air raid, shelling, curfew, checkpoints, movement restriction and shelter procedures for high-risk geographies may lead to injury, unsafe facilities, uncontrolled access, asset loss and failure to protect people during incidents during Safety incident; Physical site loss; War/security crisis; Natural disaster.</t>
        </is>
      </c>
      <c r="G163" s="13" t="inlineStr">
        <is>
          <t>Low maturity, weak ownership, incomplete evidence, insufficient testing and poor integration with crisis-management routines for air raid, shelling, curfew, checkpoints, movement restriction and shelter procedures for high-risk geographies.</t>
        </is>
      </c>
      <c r="H163" s="13" t="inlineStr">
        <is>
          <t>Severe risk: air raid, shelling, curfew, checkpoints, movement restriction and shelter procedures for high-risk geographies is not reliably controlled. During Safety incident; Physical site loss; War/security crisis; Natural disaster, the organization may face injury, unsafe facilities, uncontrolled access, asset loss and failure to protect people during incidents with limited visibility or accountability.</t>
        </is>
      </c>
      <c r="I163" s="13" t="inlineStr">
        <is>
          <t>High risk: air raid, shelling, curfew, checkpoints, movement restriction and shelter procedures for high-risk geographies depends on informal practices or individual knowledge. Disruption may expose injury, unsafe facilities, uncontrolled access, asset loss and failure to protect people during incidents and slow recovery.</t>
        </is>
      </c>
      <c r="J163" s="13" t="inlineStr">
        <is>
          <t>Elevated risk: air raid, shelling, curfew, checkpoints, movement restriction and shelter procedures for high-risk geographies is partially controlled, but coverage, evidence or testing is inconsistent. Crisis response may be fragmented.</t>
        </is>
      </c>
      <c r="K163" s="13" t="inlineStr">
        <is>
          <t>Moderate risk: air raid, shelling, curfew, checkpoints, movement restriction and shelter procedures for high-risk geographies is documented and owned, but measurement, stress testing and integration with dependent processes need strengthening.</t>
        </is>
      </c>
      <c r="L163" s="13" t="inlineStr">
        <is>
          <t>Residual risk: air raid, shelling, curfew, checkpoints, movement restriction and shelter procedures for high-risk geographies is measured and reviewed, but monitoring, automation or scenario testing should be improved to prevent maturity drift.</t>
        </is>
      </c>
      <c r="M163" s="13" t="inlineStr">
        <is>
          <t>Low residual risk: air raid, shelling, curfew, checkpoints, movement restriction and shelter procedures for high-risk geographies is mature and crisis-tested. Maintain monitoring, evidence, ownership and periodic stress testing.</t>
        </is>
      </c>
      <c r="N163" s="13" t="inlineStr">
        <is>
          <t>Create an immediate risk owner, minimum control baseline and fallback procedure for air raid, shelling, curfew, checkpoints, movement restriction and shelter procedures for high-risk geographies. Add it to the crisis risk register and collect first evidence.</t>
        </is>
      </c>
      <c r="O163" s="13" t="inlineStr">
        <is>
          <t>Document air raid, shelling, curfew, checkpoints, movement restriction and shelter procedures for high-risk geographies, assign RACI, define minimum controls and KPIs, and validate coverage across key sites, teams or systems.</t>
        </is>
      </c>
      <c r="P163" s="13" t="inlineStr">
        <is>
          <t>Standardize air raid, shelling, curfew, checkpoints, movement restriction and shelter procedures for high-risk geographies, close coverage gaps, train accountable roles and connect controls to the relevant crisis scenarios and continuity plans.</t>
        </is>
      </c>
      <c r="Q163" s="13" t="inlineStr">
        <is>
          <t>Measure and test air raid, shelling, curfew, checkpoints, movement restriction and shelter procedures for high-risk geographies, run tabletop or operational stress tests, integrate it with dependent processes and update crisis playbooks.</t>
        </is>
      </c>
      <c r="R163" s="13" t="inlineStr">
        <is>
          <t>Automate monitoring where practical, define leading indicators, run periodic scenario tests and track residual risk after each major change.</t>
        </is>
      </c>
      <c r="S163" s="13" t="inlineStr">
        <is>
          <t>Sustain maturity for air raid, shelling, curfew, checkpoints, movement restriction and shelter procedures for high-risk geographies: keep evidence current, monitor drift, benchmark externally and refresh risk tests after organizational, system or market changes.</t>
        </is>
      </c>
      <c r="T163" s="13" t="n">
        <v>4</v>
      </c>
      <c r="U163" s="13" t="n">
        <v>3</v>
      </c>
      <c r="V163" s="13" t="n">
        <v>3</v>
      </c>
      <c r="W163" s="13" t="n">
        <v>2</v>
      </c>
      <c r="X163" s="13" t="n">
        <v>1</v>
      </c>
      <c r="Y163" s="13" t="n">
        <v>1</v>
      </c>
      <c r="Z163" s="13" t="inlineStr">
        <is>
          <t>ISO 45001; ISO 22320; ISO 31030; ISO 18788; ISO 22301; NFPA; local OH&amp;S rules</t>
        </is>
      </c>
      <c r="AA163" s="13" t="inlineStr">
        <is>
          <t>Policy/SOP; owner/RACI; system report; dashboard; contracts; test records; incident history; interview evidence related to air raid, shelling, curfew, checkpoints, movement restriction and shelter procedures for high-risk geographies.</t>
        </is>
      </c>
      <c r="AB163" s="13" t="inlineStr">
        <is>
          <t>Safety incident; Physical site loss; War/security crisis; Natural disaster</t>
        </is>
      </c>
      <c r="AC163" s="13" t="inlineStr">
        <is>
          <t>Facilities / Security / HSE</t>
        </is>
      </c>
      <c r="AD163" s="13" t="inlineStr">
        <is>
          <t>Physical Safety!23</t>
        </is>
      </c>
      <c r="AE163">
        <f>IF($A163="","",IF(OR(ISNUMBER(SEARCH("cyber",$D163)),ISNUMBER(SEARCH("security",$D163)),ISNUMBER(SEARCH("safety",$D163)),ISNUMBER(SEARCH("liquidity",$D163)),ISNUMBER(SEARCH("cash",$D163)),ISNUMBER(SEARCH("continuity",$D163)),ISNUMBER(SEARCH("infrastructure",$D163)),ISNUMBER(SEARCH("outage",$D163))),"Fast",IF(OR(ISNUMBER(SEARCH("compliance",$D163)),ISNUMBER(SEARCH("regulat",$D163)),ISNUMBER(SEARCH("data",$D163)),ISNUMBER(SEARCH("talent",$D163)),ISNUMBER(SEARCH("knowledge",$D163)),ISNUMBER(SEARCH("portfolio",$D163)),ISNUMBER(SEARCH("quality",$D163))),"Slow","Medium")))</f>
        <v/>
      </c>
      <c r="AF163">
        <f>IF($A163="","",IFERROR(VLOOKUP($B163,'_CONFIG_Risk_Calibration'!$A$5:$H$21,2,FALSE),3))</f>
        <v/>
      </c>
      <c r="AG163">
        <f>IF($A163="","",IFERROR(VLOOKUP($B163,'_CONFIG_Risk_Calibration'!$A$5:$H$21,3,FALSE),0))</f>
        <v/>
      </c>
      <c r="AH163">
        <f>IF($A163="","",IFERROR(VLOOKUP($B163,'_CONFIG_Risk_Calibration'!$A$5:$H$21,4,FALSE),3))</f>
        <v/>
      </c>
      <c r="AI163">
        <f>IF($A163="","",IFERROR(VLOOKUP($B163,'_CONFIG_Risk_Calibration'!$A$5:$H$21,5,FALSE),3))</f>
        <v/>
      </c>
      <c r="AJ163">
        <f>IF($A163="","",IFERROR(VLOOKUP($B163,'_CONFIG_Risk_Calibration'!$A$5:$H$21,6,FALSE),"No"))</f>
        <v/>
      </c>
      <c r="AK163">
        <f>IF($A163="","",IFERROR(VLOOKUP($B163,'_CONFIG_Risk_Calibration'!$A$5:$H$21,7,FALSE),1))</f>
        <v/>
      </c>
      <c r="AL163">
        <f>IF($A163="","",IFERROR(VLOOKUP($B163,'_CONFIG_Risk_Calibration'!$A$5:$H$21,8,FALSE),""))</f>
        <v/>
      </c>
    </row>
    <row r="164" ht="72" customHeight="1" s="209">
      <c r="A164" s="13" t="inlineStr">
        <is>
          <t>PHYS-020</t>
        </is>
      </c>
      <c r="B164" s="13" t="inlineStr">
        <is>
          <t>Physical Safety</t>
        </is>
      </c>
      <c r="C164" s="13" t="inlineStr">
        <is>
          <t>Security and travel</t>
        </is>
      </c>
      <c r="D164" s="13" t="inlineStr">
        <is>
          <t>Physical safety, security and facility resilience</t>
        </is>
      </c>
      <c r="E164" s="13" t="inlineStr">
        <is>
          <t>How mature is the organization in managing relocation and evacuation options for employees and critical teams, including ownership, evidence, metrics, fallback procedures and crisis stress testing?</t>
        </is>
      </c>
      <c r="F164" s="13" t="inlineStr">
        <is>
          <t>Immature capability for relocation and evacuation options for employees and critical teams may lead to injury, unsafe facilities, uncontrolled access, asset loss and failure to protect people during incidents during Safety incident; Physical site loss; War/security crisis; Natural disaster.</t>
        </is>
      </c>
      <c r="G164" s="13" t="inlineStr">
        <is>
          <t>Low maturity, weak ownership, incomplete evidence, insufficient testing and poor integration with crisis-management routines for relocation and evacuation options for employees and critical teams.</t>
        </is>
      </c>
      <c r="H164" s="13" t="inlineStr">
        <is>
          <t>Severe risk: relocation and evacuation options for employees and critical teams is not reliably controlled. During Safety incident; Physical site loss; War/security crisis; Natural disaster, the organization may face injury, unsafe facilities, uncontrolled access, asset loss and failure to protect people during incidents with limited visibility or accountability.</t>
        </is>
      </c>
      <c r="I164" s="13" t="inlineStr">
        <is>
          <t>High risk: relocation and evacuation options for employees and critical teams depends on informal practices or individual knowledge. Disruption may expose injury, unsafe facilities, uncontrolled access, asset loss and failure to protect people during incidents and slow recovery.</t>
        </is>
      </c>
      <c r="J164" s="13" t="inlineStr">
        <is>
          <t>Elevated risk: relocation and evacuation options for employees and critical teams is partially controlled, but coverage, evidence or testing is inconsistent. Crisis response may be fragmented.</t>
        </is>
      </c>
      <c r="K164" s="13" t="inlineStr">
        <is>
          <t>Moderate risk: relocation and evacuation options for employees and critical teams is documented and owned, but measurement, stress testing and integration with dependent processes need strengthening.</t>
        </is>
      </c>
      <c r="L164" s="13" t="inlineStr">
        <is>
          <t>Residual risk: relocation and evacuation options for employees and critical teams is measured and reviewed, but monitoring, automation or scenario testing should be improved to prevent maturity drift.</t>
        </is>
      </c>
      <c r="M164" s="13" t="inlineStr">
        <is>
          <t>Low residual risk: relocation and evacuation options for employees and critical teams is mature and crisis-tested. Maintain monitoring, evidence, ownership and periodic stress testing.</t>
        </is>
      </c>
      <c r="N164" s="13" t="inlineStr">
        <is>
          <t>Create an immediate risk owner, minimum control baseline and fallback procedure for relocation and evacuation options for employees and critical teams. Add it to the crisis risk register and collect first evidence.</t>
        </is>
      </c>
      <c r="O164" s="13" t="inlineStr">
        <is>
          <t>Document relocation and evacuation options for employees and critical teams, assign RACI, define minimum controls and KPIs, and validate coverage across key sites, teams or systems.</t>
        </is>
      </c>
      <c r="P164" s="13" t="inlineStr">
        <is>
          <t>Standardize relocation and evacuation options for employees and critical teams, close coverage gaps, train accountable roles and connect controls to the relevant crisis scenarios and continuity plans.</t>
        </is>
      </c>
      <c r="Q164" s="13" t="inlineStr">
        <is>
          <t>Measure and test relocation and evacuation options for employees and critical teams, run tabletop or operational stress tests, integrate it with dependent processes and update crisis playbooks.</t>
        </is>
      </c>
      <c r="R164" s="13" t="inlineStr">
        <is>
          <t>Automate monitoring where practical, define leading indicators, run periodic scenario tests and track residual risk after each major change.</t>
        </is>
      </c>
      <c r="S164" s="13" t="inlineStr">
        <is>
          <t>Sustain maturity for relocation and evacuation options for employees and critical teams: keep evidence current, monitor drift, benchmark externally and refresh risk tests after organizational, system or market changes.</t>
        </is>
      </c>
      <c r="T164" s="13" t="n">
        <v>4</v>
      </c>
      <c r="U164" s="13" t="n">
        <v>3</v>
      </c>
      <c r="V164" s="13" t="n">
        <v>3</v>
      </c>
      <c r="W164" s="13" t="n">
        <v>2</v>
      </c>
      <c r="X164" s="13" t="n">
        <v>1</v>
      </c>
      <c r="Y164" s="13" t="n">
        <v>1</v>
      </c>
      <c r="Z164" s="13" t="inlineStr">
        <is>
          <t>ISO 45001; ISO 22320; ISO 31030; ISO 18788; ISO 22301; NFPA; local OH&amp;S rules</t>
        </is>
      </c>
      <c r="AA164" s="13" t="inlineStr">
        <is>
          <t>Policy/SOP; owner/RACI; system report; dashboard; contracts; test records; incident history; interview evidence related to relocation and evacuation options for employees and critical teams.</t>
        </is>
      </c>
      <c r="AB164" s="13" t="inlineStr">
        <is>
          <t>Safety incident; Physical site loss; War/security crisis; Natural disaster</t>
        </is>
      </c>
      <c r="AC164" s="13" t="inlineStr">
        <is>
          <t>Facilities / Security / HSE</t>
        </is>
      </c>
      <c r="AD164" s="13" t="inlineStr">
        <is>
          <t>Physical Safety!24</t>
        </is>
      </c>
      <c r="AE164">
        <f>IF($A164="","",IF(OR(ISNUMBER(SEARCH("cyber",$D164)),ISNUMBER(SEARCH("security",$D164)),ISNUMBER(SEARCH("safety",$D164)),ISNUMBER(SEARCH("liquidity",$D164)),ISNUMBER(SEARCH("cash",$D164)),ISNUMBER(SEARCH("continuity",$D164)),ISNUMBER(SEARCH("infrastructure",$D164)),ISNUMBER(SEARCH("outage",$D164))),"Fast",IF(OR(ISNUMBER(SEARCH("compliance",$D164)),ISNUMBER(SEARCH("regulat",$D164)),ISNUMBER(SEARCH("data",$D164)),ISNUMBER(SEARCH("talent",$D164)),ISNUMBER(SEARCH("knowledge",$D164)),ISNUMBER(SEARCH("portfolio",$D164)),ISNUMBER(SEARCH("quality",$D164))),"Slow","Medium")))</f>
        <v/>
      </c>
      <c r="AF164">
        <f>IF($A164="","",IFERROR(VLOOKUP($B164,'_CONFIG_Risk_Calibration'!$A$5:$H$21,2,FALSE),3))</f>
        <v/>
      </c>
      <c r="AG164">
        <f>IF($A164="","",IFERROR(VLOOKUP($B164,'_CONFIG_Risk_Calibration'!$A$5:$H$21,3,FALSE),0))</f>
        <v/>
      </c>
      <c r="AH164">
        <f>IF($A164="","",IFERROR(VLOOKUP($B164,'_CONFIG_Risk_Calibration'!$A$5:$H$21,4,FALSE),3))</f>
        <v/>
      </c>
      <c r="AI164">
        <f>IF($A164="","",IFERROR(VLOOKUP($B164,'_CONFIG_Risk_Calibration'!$A$5:$H$21,5,FALSE),3))</f>
        <v/>
      </c>
      <c r="AJ164">
        <f>IF($A164="","",IFERROR(VLOOKUP($B164,'_CONFIG_Risk_Calibration'!$A$5:$H$21,6,FALSE),"No"))</f>
        <v/>
      </c>
      <c r="AK164">
        <f>IF($A164="","",IFERROR(VLOOKUP($B164,'_CONFIG_Risk_Calibration'!$A$5:$H$21,7,FALSE),1))</f>
        <v/>
      </c>
      <c r="AL164">
        <f>IF($A164="","",IFERROR(VLOOKUP($B164,'_CONFIG_Risk_Calibration'!$A$5:$H$21,8,FALSE),""))</f>
        <v/>
      </c>
    </row>
    <row r="165" ht="84" customHeight="1" s="209">
      <c r="A165" s="13" t="inlineStr">
        <is>
          <t>PHYS-021</t>
        </is>
      </c>
      <c r="B165" s="13" t="inlineStr">
        <is>
          <t>Physical Safety</t>
        </is>
      </c>
      <c r="C165" s="13" t="inlineStr">
        <is>
          <t>Security and travel</t>
        </is>
      </c>
      <c r="D165" s="13" t="inlineStr">
        <is>
          <t>Physical safety, security and facility resilience</t>
        </is>
      </c>
      <c r="E165" s="13" t="inlineStr">
        <is>
          <t>How mature is the organization in managing travel risk assessment by destination, route, purpose, employee profile and emergency support, including ownership, evidence, metrics, fallback procedures and crisis stress testing?</t>
        </is>
      </c>
      <c r="F165" s="13" t="inlineStr">
        <is>
          <t>Immature capability for travel risk assessment by destination, route, purpose, employee profile and emergency support may lead to injury, unsafe facilities, uncontrolled access, asset loss and failure to protect people during incidents during Safety incident; Physical site loss; War/security crisis; Natural disaster.</t>
        </is>
      </c>
      <c r="G165" s="13" t="inlineStr">
        <is>
          <t>Low maturity, weak ownership, incomplete evidence, insufficient testing and poor integration with crisis-management routines for travel risk assessment by destination, route, purpose, employee profile and emergency support.</t>
        </is>
      </c>
      <c r="H165" s="13" t="inlineStr">
        <is>
          <t>Severe risk: travel risk assessment by destination, route, purpose, employee profile and emergency support is not reliably controlled. During Safety incident; Physical site loss; War/security crisis; Natural disaster, the organization may face injury, unsafe facilities, uncontrolled access, asset loss and failure to protect people during incidents with limited visibility or accountability.</t>
        </is>
      </c>
      <c r="I165" s="13" t="inlineStr">
        <is>
          <t>High risk: travel risk assessment by destination, route, purpose, employee profile and emergency support depends on informal practices or individual knowledge. Disruption may expose injury, unsafe facilities, uncontrolled access, asset loss and failure to protect people during incidents and slow recovery.</t>
        </is>
      </c>
      <c r="J165" s="13" t="inlineStr">
        <is>
          <t>Elevated risk: travel risk assessment by destination, route, purpose, employee profile and emergency support is partially controlled, but coverage, evidence or testing is inconsistent. Crisis response may be fragmented.</t>
        </is>
      </c>
      <c r="K165" s="13" t="inlineStr">
        <is>
          <t>Moderate risk: travel risk assessment by destination, route, purpose, employee profile and emergency support is documented and owned, but measurement, stress testing and integration with dependent processes need strengthening.</t>
        </is>
      </c>
      <c r="L165" s="13" t="inlineStr">
        <is>
          <t>Residual risk: travel risk assessment by destination, route, purpose, employee profile and emergency support is measured and reviewed, but monitoring, automation or scenario testing should be improved to prevent maturity drift.</t>
        </is>
      </c>
      <c r="M165" s="13" t="inlineStr">
        <is>
          <t>Low residual risk: travel risk assessment by destination, route, purpose, employee profile and emergency support is mature and crisis-tested. Maintain monitoring, evidence, ownership and periodic stress testing.</t>
        </is>
      </c>
      <c r="N165" s="13" t="inlineStr">
        <is>
          <t>Create an immediate risk owner, minimum control baseline and fallback procedure for travel risk assessment by destination, route, purpose, employee profile and emergency support. Add it to the crisis risk register and collect first evidence.</t>
        </is>
      </c>
      <c r="O165" s="13" t="inlineStr">
        <is>
          <t>Document travel risk assessment by destination, route, purpose, employee profile and emergency support, assign RACI, define minimum controls and KPIs, and validate coverage across key sites, teams or systems.</t>
        </is>
      </c>
      <c r="P165" s="13" t="inlineStr">
        <is>
          <t>Standardize travel risk assessment by destination, route, purpose, employee profile and emergency support, close coverage gaps, train accountable roles and connect controls to the relevant crisis scenarios and continuity plans.</t>
        </is>
      </c>
      <c r="Q165" s="13" t="inlineStr">
        <is>
          <t>Measure and test travel risk assessment by destination, route, purpose, employee profile and emergency support, run tabletop or operational stress tests, integrate it with dependent processes and update crisis playbooks.</t>
        </is>
      </c>
      <c r="R165" s="13" t="inlineStr">
        <is>
          <t>Automate monitoring where practical, define leading indicators, run periodic scenario tests and track residual risk after each major change.</t>
        </is>
      </c>
      <c r="S165" s="13" t="inlineStr">
        <is>
          <t>Sustain maturity for travel risk assessment by destination, route, purpose, employee profile and emergency support: keep evidence current, monitor drift, benchmark externally and refresh risk tests after organizational, system or market changes.</t>
        </is>
      </c>
      <c r="T165" s="13" t="n">
        <v>4</v>
      </c>
      <c r="U165" s="13" t="n">
        <v>3</v>
      </c>
      <c r="V165" s="13" t="n">
        <v>3</v>
      </c>
      <c r="W165" s="13" t="n">
        <v>2</v>
      </c>
      <c r="X165" s="13" t="n">
        <v>1</v>
      </c>
      <c r="Y165" s="13" t="n">
        <v>1</v>
      </c>
      <c r="Z165" s="13" t="inlineStr">
        <is>
          <t>ISO 45001; ISO 22320; ISO 31030; ISO 18788; ISO 22301; NFPA; local OH&amp;S rules</t>
        </is>
      </c>
      <c r="AA165" s="13" t="inlineStr">
        <is>
          <t>Policy/SOP; owner/RACI; system report; dashboard; contracts; test records; incident history; interview evidence related to travel risk assessment by destination, route, purpose, employee profile and emergency support.</t>
        </is>
      </c>
      <c r="AB165" s="13" t="inlineStr">
        <is>
          <t>Safety incident; Physical site loss; War/security crisis; Natural disaster</t>
        </is>
      </c>
      <c r="AC165" s="13" t="inlineStr">
        <is>
          <t>Facilities / Security / HSE</t>
        </is>
      </c>
      <c r="AD165" s="13" t="inlineStr">
        <is>
          <t>Physical Safety!25</t>
        </is>
      </c>
      <c r="AE165">
        <f>IF($A165="","",IF(OR(ISNUMBER(SEARCH("cyber",$D165)),ISNUMBER(SEARCH("security",$D165)),ISNUMBER(SEARCH("safety",$D165)),ISNUMBER(SEARCH("liquidity",$D165)),ISNUMBER(SEARCH("cash",$D165)),ISNUMBER(SEARCH("continuity",$D165)),ISNUMBER(SEARCH("infrastructure",$D165)),ISNUMBER(SEARCH("outage",$D165))),"Fast",IF(OR(ISNUMBER(SEARCH("compliance",$D165)),ISNUMBER(SEARCH("regulat",$D165)),ISNUMBER(SEARCH("data",$D165)),ISNUMBER(SEARCH("talent",$D165)),ISNUMBER(SEARCH("knowledge",$D165)),ISNUMBER(SEARCH("portfolio",$D165)),ISNUMBER(SEARCH("quality",$D165))),"Slow","Medium")))</f>
        <v/>
      </c>
      <c r="AF165">
        <f>IF($A165="","",IFERROR(VLOOKUP($B165,'_CONFIG_Risk_Calibration'!$A$5:$H$21,2,FALSE),3))</f>
        <v/>
      </c>
      <c r="AG165">
        <f>IF($A165="","",IFERROR(VLOOKUP($B165,'_CONFIG_Risk_Calibration'!$A$5:$H$21,3,FALSE),0))</f>
        <v/>
      </c>
      <c r="AH165">
        <f>IF($A165="","",IFERROR(VLOOKUP($B165,'_CONFIG_Risk_Calibration'!$A$5:$H$21,4,FALSE),3))</f>
        <v/>
      </c>
      <c r="AI165">
        <f>IF($A165="","",IFERROR(VLOOKUP($B165,'_CONFIG_Risk_Calibration'!$A$5:$H$21,5,FALSE),3))</f>
        <v/>
      </c>
      <c r="AJ165">
        <f>IF($A165="","",IFERROR(VLOOKUP($B165,'_CONFIG_Risk_Calibration'!$A$5:$H$21,6,FALSE),"No"))</f>
        <v/>
      </c>
      <c r="AK165">
        <f>IF($A165="","",IFERROR(VLOOKUP($B165,'_CONFIG_Risk_Calibration'!$A$5:$H$21,7,FALSE),1))</f>
        <v/>
      </c>
      <c r="AL165">
        <f>IF($A165="","",IFERROR(VLOOKUP($B165,'_CONFIG_Risk_Calibration'!$A$5:$H$21,8,FALSE),""))</f>
        <v/>
      </c>
    </row>
    <row r="166" ht="72" customHeight="1" s="209">
      <c r="A166" s="13" t="inlineStr">
        <is>
          <t>PHYS-022</t>
        </is>
      </c>
      <c r="B166" s="13" t="inlineStr">
        <is>
          <t>Physical Safety</t>
        </is>
      </c>
      <c r="C166" s="13" t="inlineStr">
        <is>
          <t>Security and travel</t>
        </is>
      </c>
      <c r="D166" s="13" t="inlineStr">
        <is>
          <t>Physical safety, security and facility resilience</t>
        </is>
      </c>
      <c r="E166" s="13" t="inlineStr">
        <is>
          <t>How mature is the organization in managing local threat monitoring for critical sites and geographies, including ownership, evidence, metrics, fallback procedures and crisis stress testing?</t>
        </is>
      </c>
      <c r="F166" s="13" t="inlineStr">
        <is>
          <t>Immature capability for local threat monitoring for critical sites and geographies may lead to injury, unsafe facilities, uncontrolled access, asset loss and failure to protect people during incidents during Safety incident; Physical site loss; War/security crisis; Natural disaster.</t>
        </is>
      </c>
      <c r="G166" s="13" t="inlineStr">
        <is>
          <t>Low maturity, weak ownership, incomplete evidence, insufficient testing and poor integration with crisis-management routines for local threat monitoring for critical sites and geographies.</t>
        </is>
      </c>
      <c r="H166" s="13" t="inlineStr">
        <is>
          <t>Severe risk: local threat monitoring for critical sites and geographies is not reliably controlled. During Safety incident; Physical site loss; War/security crisis; Natural disaster, the organization may face injury, unsafe facilities, uncontrolled access, asset loss and failure to protect people during incidents with limited visibility or accountability.</t>
        </is>
      </c>
      <c r="I166" s="13" t="inlineStr">
        <is>
          <t>High risk: local threat monitoring for critical sites and geographies depends on informal practices or individual knowledge. Disruption may expose injury, unsafe facilities, uncontrolled access, asset loss and failure to protect people during incidents and slow recovery.</t>
        </is>
      </c>
      <c r="J166" s="13" t="inlineStr">
        <is>
          <t>Elevated risk: local threat monitoring for critical sites and geographies is partially controlled, but coverage, evidence or testing is inconsistent. Crisis response may be fragmented.</t>
        </is>
      </c>
      <c r="K166" s="13" t="inlineStr">
        <is>
          <t>Moderate risk: local threat monitoring for critical sites and geographies is documented and owned, but measurement, stress testing and integration with dependent processes need strengthening.</t>
        </is>
      </c>
      <c r="L166" s="13" t="inlineStr">
        <is>
          <t>Residual risk: local threat monitoring for critical sites and geographies is measured and reviewed, but monitoring, automation or scenario testing should be improved to prevent maturity drift.</t>
        </is>
      </c>
      <c r="M166" s="13" t="inlineStr">
        <is>
          <t>Low residual risk: local threat monitoring for critical sites and geographies is mature and crisis-tested. Maintain monitoring, evidence, ownership and periodic stress testing.</t>
        </is>
      </c>
      <c r="N166" s="13" t="inlineStr">
        <is>
          <t>Create an immediate risk owner, minimum control baseline and fallback procedure for local threat monitoring for critical sites and geographies. Add it to the crisis risk register and collect first evidence.</t>
        </is>
      </c>
      <c r="O166" s="13" t="inlineStr">
        <is>
          <t>Document local threat monitoring for critical sites and geographies, assign RACI, define minimum controls and KPIs, and validate coverage across key sites, teams or systems.</t>
        </is>
      </c>
      <c r="P166" s="13" t="inlineStr">
        <is>
          <t>Standardize local threat monitoring for critical sites and geographies, close coverage gaps, train accountable roles and connect controls to the relevant crisis scenarios and continuity plans.</t>
        </is>
      </c>
      <c r="Q166" s="13" t="inlineStr">
        <is>
          <t>Measure and test local threat monitoring for critical sites and geographies, run tabletop or operational stress tests, integrate it with dependent processes and update crisis playbooks.</t>
        </is>
      </c>
      <c r="R166" s="13" t="inlineStr">
        <is>
          <t>Automate monitoring where practical, define leading indicators, run periodic scenario tests and track residual risk after each major change.</t>
        </is>
      </c>
      <c r="S166" s="13" t="inlineStr">
        <is>
          <t>Sustain maturity for local threat monitoring for critical sites and geographies: keep evidence current, monitor drift, benchmark externally and refresh risk tests after organizational, system or market changes.</t>
        </is>
      </c>
      <c r="T166" s="13" t="n">
        <v>4</v>
      </c>
      <c r="U166" s="13" t="n">
        <v>3</v>
      </c>
      <c r="V166" s="13" t="n">
        <v>3</v>
      </c>
      <c r="W166" s="13" t="n">
        <v>2</v>
      </c>
      <c r="X166" s="13" t="n">
        <v>1</v>
      </c>
      <c r="Y166" s="13" t="n">
        <v>1</v>
      </c>
      <c r="Z166" s="13" t="inlineStr">
        <is>
          <t>ISO 45001; ISO 22320; ISO 31030; ISO 18788; ISO 22301; NFPA; local OH&amp;S rules</t>
        </is>
      </c>
      <c r="AA166" s="13" t="inlineStr">
        <is>
          <t>Policy/SOP; owner/RACI; system report; dashboard; contracts; test records; incident history; interview evidence related to local threat monitoring for critical sites and geographies.</t>
        </is>
      </c>
      <c r="AB166" s="13" t="inlineStr">
        <is>
          <t>Safety incident; Physical site loss; War/security crisis; Natural disaster</t>
        </is>
      </c>
      <c r="AC166" s="13" t="inlineStr">
        <is>
          <t>Facilities / Security / HSE</t>
        </is>
      </c>
      <c r="AD166" s="13" t="inlineStr">
        <is>
          <t>Physical Safety!26</t>
        </is>
      </c>
      <c r="AE166">
        <f>IF($A166="","",IF(OR(ISNUMBER(SEARCH("cyber",$D166)),ISNUMBER(SEARCH("security",$D166)),ISNUMBER(SEARCH("safety",$D166)),ISNUMBER(SEARCH("liquidity",$D166)),ISNUMBER(SEARCH("cash",$D166)),ISNUMBER(SEARCH("continuity",$D166)),ISNUMBER(SEARCH("infrastructure",$D166)),ISNUMBER(SEARCH("outage",$D166))),"Fast",IF(OR(ISNUMBER(SEARCH("compliance",$D166)),ISNUMBER(SEARCH("regulat",$D166)),ISNUMBER(SEARCH("data",$D166)),ISNUMBER(SEARCH("talent",$D166)),ISNUMBER(SEARCH("knowledge",$D166)),ISNUMBER(SEARCH("portfolio",$D166)),ISNUMBER(SEARCH("quality",$D166))),"Slow","Medium")))</f>
        <v/>
      </c>
      <c r="AF166">
        <f>IF($A166="","",IFERROR(VLOOKUP($B166,'_CONFIG_Risk_Calibration'!$A$5:$H$21,2,FALSE),3))</f>
        <v/>
      </c>
      <c r="AG166">
        <f>IF($A166="","",IFERROR(VLOOKUP($B166,'_CONFIG_Risk_Calibration'!$A$5:$H$21,3,FALSE),0))</f>
        <v/>
      </c>
      <c r="AH166">
        <f>IF($A166="","",IFERROR(VLOOKUP($B166,'_CONFIG_Risk_Calibration'!$A$5:$H$21,4,FALSE),3))</f>
        <v/>
      </c>
      <c r="AI166">
        <f>IF($A166="","",IFERROR(VLOOKUP($B166,'_CONFIG_Risk_Calibration'!$A$5:$H$21,5,FALSE),3))</f>
        <v/>
      </c>
      <c r="AJ166">
        <f>IF($A166="","",IFERROR(VLOOKUP($B166,'_CONFIG_Risk_Calibration'!$A$5:$H$21,6,FALSE),"No"))</f>
        <v/>
      </c>
      <c r="AK166">
        <f>IF($A166="","",IFERROR(VLOOKUP($B166,'_CONFIG_Risk_Calibration'!$A$5:$H$21,7,FALSE),1))</f>
        <v/>
      </c>
      <c r="AL166">
        <f>IF($A166="","",IFERROR(VLOOKUP($B166,'_CONFIG_Risk_Calibration'!$A$5:$H$21,8,FALSE),""))</f>
        <v/>
      </c>
    </row>
    <row r="167" ht="72" customHeight="1" s="209">
      <c r="A167" s="13" t="inlineStr">
        <is>
          <t>PHYS-023</t>
        </is>
      </c>
      <c r="B167" s="13" t="inlineStr">
        <is>
          <t>Physical Safety</t>
        </is>
      </c>
      <c r="C167" s="13" t="inlineStr">
        <is>
          <t>Security and travel</t>
        </is>
      </c>
      <c r="D167" s="13" t="inlineStr">
        <is>
          <t>Physical safety, security and facility resilience</t>
        </is>
      </c>
      <c r="E167" s="13" t="inlineStr">
        <is>
          <t>How mature is the organization in managing coordination with fire, police, medical, local administration and utility providers, including ownership, evidence, metrics, fallback procedures and crisis stress testing?</t>
        </is>
      </c>
      <c r="F167" s="13" t="inlineStr">
        <is>
          <t>Immature capability for coordination with fire, police, medical, local administration and utility providers may lead to injury, unsafe facilities, uncontrolled access, asset loss and failure to protect people during incidents during Safety incident; Physical site loss; War/security crisis; Natural disaster.</t>
        </is>
      </c>
      <c r="G167" s="13" t="inlineStr">
        <is>
          <t>Low maturity, weak ownership, incomplete evidence, insufficient testing and poor integration with crisis-management routines for coordination with fire, police, medical, local administration and utility providers.</t>
        </is>
      </c>
      <c r="H167" s="13" t="inlineStr">
        <is>
          <t>Severe risk: coordination with fire, police, medical, local administration and utility providers is not reliably controlled. During Safety incident; Physical site loss; War/security crisis; Natural disaster, the organization may face injury, unsafe facilities, uncontrolled access, asset loss and failure to protect people during incidents with limited visibility or accountability.</t>
        </is>
      </c>
      <c r="I167" s="13" t="inlineStr">
        <is>
          <t>High risk: coordination with fire, police, medical, local administration and utility providers depends on informal practices or individual knowledge. Disruption may expose injury, unsafe facilities, uncontrolled access, asset loss and failure to protect people during incidents and slow recovery.</t>
        </is>
      </c>
      <c r="J167" s="13" t="inlineStr">
        <is>
          <t>Elevated risk: coordination with fire, police, medical, local administration and utility providers is partially controlled, but coverage, evidence or testing is inconsistent. Crisis response may be fragmented.</t>
        </is>
      </c>
      <c r="K167" s="13" t="inlineStr">
        <is>
          <t>Moderate risk: coordination with fire, police, medical, local administration and utility providers is documented and owned, but measurement, stress testing and integration with dependent processes need strengthening.</t>
        </is>
      </c>
      <c r="L167" s="13" t="inlineStr">
        <is>
          <t>Residual risk: coordination with fire, police, medical, local administration and utility providers is measured and reviewed, but monitoring, automation or scenario testing should be improved to prevent maturity drift.</t>
        </is>
      </c>
      <c r="M167" s="13" t="inlineStr">
        <is>
          <t>Low residual risk: coordination with fire, police, medical, local administration and utility providers is mature and crisis-tested. Maintain monitoring, evidence, ownership and periodic stress testing.</t>
        </is>
      </c>
      <c r="N167" s="13" t="inlineStr">
        <is>
          <t>Create an immediate risk owner, minimum control baseline and fallback procedure for coordination with fire, police, medical, local administration and utility providers. Add it to the crisis risk register and collect first evidence.</t>
        </is>
      </c>
      <c r="O167" s="13" t="inlineStr">
        <is>
          <t>Document coordination with fire, police, medical, local administration and utility providers, assign RACI, define minimum controls and KPIs, and validate coverage across key sites, teams or systems.</t>
        </is>
      </c>
      <c r="P167" s="13" t="inlineStr">
        <is>
          <t>Standardize coordination with fire, police, medical, local administration and utility providers, close coverage gaps, train accountable roles and connect controls to the relevant crisis scenarios and continuity plans.</t>
        </is>
      </c>
      <c r="Q167" s="13" t="inlineStr">
        <is>
          <t>Measure and test coordination with fire, police, medical, local administration and utility providers, run tabletop or operational stress tests, integrate it with dependent processes and update crisis playbooks.</t>
        </is>
      </c>
      <c r="R167" s="13" t="inlineStr">
        <is>
          <t>Automate monitoring where practical, define leading indicators, run periodic scenario tests and track residual risk after each major change.</t>
        </is>
      </c>
      <c r="S167" s="13" t="inlineStr">
        <is>
          <t>Sustain maturity for coordination with fire, police, medical, local administration and utility providers: keep evidence current, monitor drift, benchmark externally and refresh risk tests after organizational, system or market changes.</t>
        </is>
      </c>
      <c r="T167" s="13" t="n">
        <v>4</v>
      </c>
      <c r="U167" s="13" t="n">
        <v>3</v>
      </c>
      <c r="V167" s="13" t="n">
        <v>3</v>
      </c>
      <c r="W167" s="13" t="n">
        <v>2</v>
      </c>
      <c r="X167" s="13" t="n">
        <v>1</v>
      </c>
      <c r="Y167" s="13" t="n">
        <v>1</v>
      </c>
      <c r="Z167" s="13" t="inlineStr">
        <is>
          <t>ISO 45001; ISO 22320; ISO 31030; ISO 18788; ISO 22301; NFPA; local OH&amp;S rules</t>
        </is>
      </c>
      <c r="AA167" s="13" t="inlineStr">
        <is>
          <t>Policy/SOP; owner/RACI; system report; dashboard; contracts; test records; incident history; interview evidence related to coordination with fire, police, medical, local administration and utility providers.</t>
        </is>
      </c>
      <c r="AB167" s="13" t="inlineStr">
        <is>
          <t>Safety incident; Physical site loss; War/security crisis; Natural disaster</t>
        </is>
      </c>
      <c r="AC167" s="13" t="inlineStr">
        <is>
          <t>Facilities / Security / HSE</t>
        </is>
      </c>
      <c r="AD167" s="13" t="inlineStr">
        <is>
          <t>Physical Safety!27</t>
        </is>
      </c>
      <c r="AE167">
        <f>IF($A167="","",IF(OR(ISNUMBER(SEARCH("cyber",$D167)),ISNUMBER(SEARCH("security",$D167)),ISNUMBER(SEARCH("safety",$D167)),ISNUMBER(SEARCH("liquidity",$D167)),ISNUMBER(SEARCH("cash",$D167)),ISNUMBER(SEARCH("continuity",$D167)),ISNUMBER(SEARCH("infrastructure",$D167)),ISNUMBER(SEARCH("outage",$D167))),"Fast",IF(OR(ISNUMBER(SEARCH("compliance",$D167)),ISNUMBER(SEARCH("regulat",$D167)),ISNUMBER(SEARCH("data",$D167)),ISNUMBER(SEARCH("talent",$D167)),ISNUMBER(SEARCH("knowledge",$D167)),ISNUMBER(SEARCH("portfolio",$D167)),ISNUMBER(SEARCH("quality",$D167))),"Slow","Medium")))</f>
        <v/>
      </c>
      <c r="AF167">
        <f>IF($A167="","",IFERROR(VLOOKUP($B167,'_CONFIG_Risk_Calibration'!$A$5:$H$21,2,FALSE),3))</f>
        <v/>
      </c>
      <c r="AG167">
        <f>IF($A167="","",IFERROR(VLOOKUP($B167,'_CONFIG_Risk_Calibration'!$A$5:$H$21,3,FALSE),0))</f>
        <v/>
      </c>
      <c r="AH167">
        <f>IF($A167="","",IFERROR(VLOOKUP($B167,'_CONFIG_Risk_Calibration'!$A$5:$H$21,4,FALSE),3))</f>
        <v/>
      </c>
      <c r="AI167">
        <f>IF($A167="","",IFERROR(VLOOKUP($B167,'_CONFIG_Risk_Calibration'!$A$5:$H$21,5,FALSE),3))</f>
        <v/>
      </c>
      <c r="AJ167">
        <f>IF($A167="","",IFERROR(VLOOKUP($B167,'_CONFIG_Risk_Calibration'!$A$5:$H$21,6,FALSE),"No"))</f>
        <v/>
      </c>
      <c r="AK167">
        <f>IF($A167="","",IFERROR(VLOOKUP($B167,'_CONFIG_Risk_Calibration'!$A$5:$H$21,7,FALSE),1))</f>
        <v/>
      </c>
      <c r="AL167">
        <f>IF($A167="","",IFERROR(VLOOKUP($B167,'_CONFIG_Risk_Calibration'!$A$5:$H$21,8,FALSE),""))</f>
        <v/>
      </c>
    </row>
    <row r="168" ht="72" customHeight="1" s="209">
      <c r="A168" s="13" t="inlineStr">
        <is>
          <t>PHYS-024</t>
        </is>
      </c>
      <c r="B168" s="13" t="inlineStr">
        <is>
          <t>Physical Safety</t>
        </is>
      </c>
      <c r="C168" s="13" t="inlineStr">
        <is>
          <t>Utilities and resilience</t>
        </is>
      </c>
      <c r="D168" s="13" t="inlineStr">
        <is>
          <t>Physical safety, security and facility resilience</t>
        </is>
      </c>
      <c r="E168" s="13" t="inlineStr">
        <is>
          <t>How mature is the organization in managing backup power for critical sites with capacity, maintenance, fuel and test records, including ownership, evidence, metrics, fallback procedures and crisis stress testing?</t>
        </is>
      </c>
      <c r="F168" s="13" t="inlineStr">
        <is>
          <t>Immature capability for backup power for critical sites with capacity, maintenance, fuel and test records may lead to injury, unsafe facilities, uncontrolled access, asset loss and failure to protect people during incidents during Safety incident; Physical site loss; War/security crisis; Natural disaster.</t>
        </is>
      </c>
      <c r="G168" s="13" t="inlineStr">
        <is>
          <t>Low maturity, weak ownership, incomplete evidence, insufficient testing and poor integration with crisis-management routines for backup power for critical sites with capacity, maintenance, fuel and test records.</t>
        </is>
      </c>
      <c r="H168" s="13" t="inlineStr">
        <is>
          <t>Severe risk: backup power for critical sites with capacity, maintenance, fuel and test records is not reliably controlled. During Safety incident; Physical site loss; War/security crisis; Natural disaster, the organization may face injury, unsafe facilities, uncontrolled access, asset loss and failure to protect people during incidents with limited visibility or accountability.</t>
        </is>
      </c>
      <c r="I168" s="13" t="inlineStr">
        <is>
          <t>High risk: backup power for critical sites with capacity, maintenance, fuel and test records depends on informal practices or individual knowledge. Disruption may expose injury, unsafe facilities, uncontrolled access, asset loss and failure to protect people during incidents and slow recovery.</t>
        </is>
      </c>
      <c r="J168" s="13" t="inlineStr">
        <is>
          <t>Elevated risk: backup power for critical sites with capacity, maintenance, fuel and test records is partially controlled, but coverage, evidence or testing is inconsistent. Crisis response may be fragmented.</t>
        </is>
      </c>
      <c r="K168" s="13" t="inlineStr">
        <is>
          <t>Moderate risk: backup power for critical sites with capacity, maintenance, fuel and test records is documented and owned, but measurement, stress testing and integration with dependent processes need strengthening.</t>
        </is>
      </c>
      <c r="L168" s="13" t="inlineStr">
        <is>
          <t>Residual risk: backup power for critical sites with capacity, maintenance, fuel and test records is measured and reviewed, but monitoring, automation or scenario testing should be improved to prevent maturity drift.</t>
        </is>
      </c>
      <c r="M168" s="13" t="inlineStr">
        <is>
          <t>Low residual risk: backup power for critical sites with capacity, maintenance, fuel and test records is mature and crisis-tested. Maintain monitoring, evidence, ownership and periodic stress testing.</t>
        </is>
      </c>
      <c r="N168" s="13" t="inlineStr">
        <is>
          <t>Create an immediate risk owner, minimum control baseline and fallback procedure for backup power for critical sites with capacity, maintenance, fuel and test records. Add it to the crisis risk register and collect first evidence.</t>
        </is>
      </c>
      <c r="O168" s="13" t="inlineStr">
        <is>
          <t>Document backup power for critical sites with capacity, maintenance, fuel and test records, assign RACI, define minimum controls and KPIs, and validate coverage across key sites, teams or systems.</t>
        </is>
      </c>
      <c r="P168" s="13" t="inlineStr">
        <is>
          <t>Standardize backup power for critical sites with capacity, maintenance, fuel and test records, close coverage gaps, train accountable roles and connect controls to the relevant crisis scenarios and continuity plans.</t>
        </is>
      </c>
      <c r="Q168" s="13" t="inlineStr">
        <is>
          <t>Measure and test backup power for critical sites with capacity, maintenance, fuel and test records, run tabletop or operational stress tests, integrate it with dependent processes and update crisis playbooks.</t>
        </is>
      </c>
      <c r="R168" s="13" t="inlineStr">
        <is>
          <t>Automate monitoring where practical, define leading indicators, run periodic scenario tests and track residual risk after each major change.</t>
        </is>
      </c>
      <c r="S168" s="13" t="inlineStr">
        <is>
          <t>Sustain maturity for backup power for critical sites with capacity, maintenance, fuel and test records: keep evidence current, monitor drift, benchmark externally and refresh risk tests after organizational, system or market changes.</t>
        </is>
      </c>
      <c r="T168" s="13" t="n">
        <v>4</v>
      </c>
      <c r="U168" s="13" t="n">
        <v>3</v>
      </c>
      <c r="V168" s="13" t="n">
        <v>3</v>
      </c>
      <c r="W168" s="13" t="n">
        <v>2</v>
      </c>
      <c r="X168" s="13" t="n">
        <v>1</v>
      </c>
      <c r="Y168" s="13" t="n">
        <v>1</v>
      </c>
      <c r="Z168" s="13" t="inlineStr">
        <is>
          <t>ISO 45001; ISO 22320; ISO 31030; ISO 18788; ISO 22301; NFPA; local OH&amp;S rules</t>
        </is>
      </c>
      <c r="AA168" s="13" t="inlineStr">
        <is>
          <t>Policy/SOP; owner/RACI; system report; dashboard; contracts; test records; incident history; interview evidence related to backup power for critical sites with capacity, maintenance, fuel and test records.</t>
        </is>
      </c>
      <c r="AB168" s="13" t="inlineStr">
        <is>
          <t>Safety incident; Physical site loss; War/security crisis; Natural disaster</t>
        </is>
      </c>
      <c r="AC168" s="13" t="inlineStr">
        <is>
          <t>Facilities / Security / HSE</t>
        </is>
      </c>
      <c r="AD168" s="13" t="inlineStr">
        <is>
          <t>Physical Safety!28</t>
        </is>
      </c>
      <c r="AE168">
        <f>IF($A168="","",IF(OR(ISNUMBER(SEARCH("cyber",$D168)),ISNUMBER(SEARCH("security",$D168)),ISNUMBER(SEARCH("safety",$D168)),ISNUMBER(SEARCH("liquidity",$D168)),ISNUMBER(SEARCH("cash",$D168)),ISNUMBER(SEARCH("continuity",$D168)),ISNUMBER(SEARCH("infrastructure",$D168)),ISNUMBER(SEARCH("outage",$D168))),"Fast",IF(OR(ISNUMBER(SEARCH("compliance",$D168)),ISNUMBER(SEARCH("regulat",$D168)),ISNUMBER(SEARCH("data",$D168)),ISNUMBER(SEARCH("talent",$D168)),ISNUMBER(SEARCH("knowledge",$D168)),ISNUMBER(SEARCH("portfolio",$D168)),ISNUMBER(SEARCH("quality",$D168))),"Slow","Medium")))</f>
        <v/>
      </c>
      <c r="AF168">
        <f>IF($A168="","",IFERROR(VLOOKUP($B168,'_CONFIG_Risk_Calibration'!$A$5:$H$21,2,FALSE),3))</f>
        <v/>
      </c>
      <c r="AG168">
        <f>IF($A168="","",IFERROR(VLOOKUP($B168,'_CONFIG_Risk_Calibration'!$A$5:$H$21,3,FALSE),0))</f>
        <v/>
      </c>
      <c r="AH168">
        <f>IF($A168="","",IFERROR(VLOOKUP($B168,'_CONFIG_Risk_Calibration'!$A$5:$H$21,4,FALSE),3))</f>
        <v/>
      </c>
      <c r="AI168">
        <f>IF($A168="","",IFERROR(VLOOKUP($B168,'_CONFIG_Risk_Calibration'!$A$5:$H$21,5,FALSE),3))</f>
        <v/>
      </c>
      <c r="AJ168">
        <f>IF($A168="","",IFERROR(VLOOKUP($B168,'_CONFIG_Risk_Calibration'!$A$5:$H$21,6,FALSE),"No"))</f>
        <v/>
      </c>
      <c r="AK168">
        <f>IF($A168="","",IFERROR(VLOOKUP($B168,'_CONFIG_Risk_Calibration'!$A$5:$H$21,7,FALSE),1))</f>
        <v/>
      </c>
      <c r="AL168">
        <f>IF($A168="","",IFERROR(VLOOKUP($B168,'_CONFIG_Risk_Calibration'!$A$5:$H$21,8,FALSE),""))</f>
        <v/>
      </c>
    </row>
    <row r="169" ht="72" customHeight="1" s="209">
      <c r="A169" s="13" t="inlineStr">
        <is>
          <t>PHYS-025</t>
        </is>
      </c>
      <c r="B169" s="13" t="inlineStr">
        <is>
          <t>Physical Safety</t>
        </is>
      </c>
      <c r="C169" s="13" t="inlineStr">
        <is>
          <t>Utilities and resilience</t>
        </is>
      </c>
      <c r="D169" s="13" t="inlineStr">
        <is>
          <t>Physical safety, security and facility resilience</t>
        </is>
      </c>
      <c r="E169" s="13" t="inlineStr">
        <is>
          <t>How mature is the organization in managing water, sanitation, HVAC and environmental controls in facility continuity plans, including ownership, evidence, metrics, fallback procedures and crisis stress testing?</t>
        </is>
      </c>
      <c r="F169" s="13" t="inlineStr">
        <is>
          <t>Immature capability for water, sanitation, HVAC and environmental controls in facility continuity plans may lead to injury, unsafe facilities, uncontrolled access, asset loss and failure to protect people during incidents during Safety incident; Physical site loss; War/security crisis; Natural disaster.</t>
        </is>
      </c>
      <c r="G169" s="13" t="inlineStr">
        <is>
          <t>Low maturity, weak ownership, incomplete evidence, insufficient testing and poor integration with crisis-management routines for water, sanitation, HVAC and environmental controls in facility continuity plans.</t>
        </is>
      </c>
      <c r="H169" s="13" t="inlineStr">
        <is>
          <t>Severe risk: water, sanitation, HVAC and environmental controls in facility continuity plans is not reliably controlled. During Safety incident; Physical site loss; War/security crisis; Natural disaster, the organization may face injury, unsafe facilities, uncontrolled access, asset loss and failure to protect people during incidents with limited visibility or accountability.</t>
        </is>
      </c>
      <c r="I169" s="13" t="inlineStr">
        <is>
          <t>High risk: water, sanitation, HVAC and environmental controls in facility continuity plans depends on informal practices or individual knowledge. Disruption may expose injury, unsafe facilities, uncontrolled access, asset loss and failure to protect people during incidents and slow recovery.</t>
        </is>
      </c>
      <c r="J169" s="13" t="inlineStr">
        <is>
          <t>Elevated risk: water, sanitation, HVAC and environmental controls in facility continuity plans is partially controlled, but coverage, evidence or testing is inconsistent. Crisis response may be fragmented.</t>
        </is>
      </c>
      <c r="K169" s="13" t="inlineStr">
        <is>
          <t>Moderate risk: water, sanitation, HVAC and environmental controls in facility continuity plans is documented and owned, but measurement, stress testing and integration with dependent processes need strengthening.</t>
        </is>
      </c>
      <c r="L169" s="13" t="inlineStr">
        <is>
          <t>Residual risk: water, sanitation, HVAC and environmental controls in facility continuity plans is measured and reviewed, but monitoring, automation or scenario testing should be improved to prevent maturity drift.</t>
        </is>
      </c>
      <c r="M169" s="13" t="inlineStr">
        <is>
          <t>Low residual risk: water, sanitation, HVAC and environmental controls in facility continuity plans is mature and crisis-tested. Maintain monitoring, evidence, ownership and periodic stress testing.</t>
        </is>
      </c>
      <c r="N169" s="13" t="inlineStr">
        <is>
          <t>Create an immediate risk owner, minimum control baseline and fallback procedure for water, sanitation, HVAC and environmental controls in facility continuity plans. Add it to the crisis risk register and collect first evidence.</t>
        </is>
      </c>
      <c r="O169" s="13" t="inlineStr">
        <is>
          <t>Document water, sanitation, HVAC and environmental controls in facility continuity plans, assign RACI, define minimum controls and KPIs, and validate coverage across key sites, teams or systems.</t>
        </is>
      </c>
      <c r="P169" s="13" t="inlineStr">
        <is>
          <t>Standardize water, sanitation, HVAC and environmental controls in facility continuity plans, close coverage gaps, train accountable roles and connect controls to the relevant crisis scenarios and continuity plans.</t>
        </is>
      </c>
      <c r="Q169" s="13" t="inlineStr">
        <is>
          <t>Measure and test water, sanitation, HVAC and environmental controls in facility continuity plans, run tabletop or operational stress tests, integrate it with dependent processes and update crisis playbooks.</t>
        </is>
      </c>
      <c r="R169" s="13" t="inlineStr">
        <is>
          <t>Automate monitoring where practical, define leading indicators, run periodic scenario tests and track residual risk after each major change.</t>
        </is>
      </c>
      <c r="S169" s="13" t="inlineStr">
        <is>
          <t>Sustain maturity for water, sanitation, HVAC and environmental controls in facility continuity plans: keep evidence current, monitor drift, benchmark externally and refresh risk tests after organizational, system or market changes.</t>
        </is>
      </c>
      <c r="T169" s="13" t="n">
        <v>4</v>
      </c>
      <c r="U169" s="13" t="n">
        <v>3</v>
      </c>
      <c r="V169" s="13" t="n">
        <v>3</v>
      </c>
      <c r="W169" s="13" t="n">
        <v>2</v>
      </c>
      <c r="X169" s="13" t="n">
        <v>1</v>
      </c>
      <c r="Y169" s="13" t="n">
        <v>1</v>
      </c>
      <c r="Z169" s="13" t="inlineStr">
        <is>
          <t>ISO 45001; ISO 22320; ISO 31030; ISO 18788; ISO 22301; NFPA; local OH&amp;S rules</t>
        </is>
      </c>
      <c r="AA169" s="13" t="inlineStr">
        <is>
          <t>Policy/SOP; owner/RACI; system report; dashboard; contracts; test records; incident history; interview evidence related to water, sanitation, HVAC and environmental controls in facility continuity plans.</t>
        </is>
      </c>
      <c r="AB169" s="13" t="inlineStr">
        <is>
          <t>Safety incident; Physical site loss; War/security crisis; Natural disaster</t>
        </is>
      </c>
      <c r="AC169" s="13" t="inlineStr">
        <is>
          <t>Facilities / Security / HSE</t>
        </is>
      </c>
      <c r="AD169" s="13" t="inlineStr">
        <is>
          <t>Physical Safety!29</t>
        </is>
      </c>
      <c r="AE169">
        <f>IF($A169="","",IF(OR(ISNUMBER(SEARCH("cyber",$D169)),ISNUMBER(SEARCH("security",$D169)),ISNUMBER(SEARCH("safety",$D169)),ISNUMBER(SEARCH("liquidity",$D169)),ISNUMBER(SEARCH("cash",$D169)),ISNUMBER(SEARCH("continuity",$D169)),ISNUMBER(SEARCH("infrastructure",$D169)),ISNUMBER(SEARCH("outage",$D169))),"Fast",IF(OR(ISNUMBER(SEARCH("compliance",$D169)),ISNUMBER(SEARCH("regulat",$D169)),ISNUMBER(SEARCH("data",$D169)),ISNUMBER(SEARCH("talent",$D169)),ISNUMBER(SEARCH("knowledge",$D169)),ISNUMBER(SEARCH("portfolio",$D169)),ISNUMBER(SEARCH("quality",$D169))),"Slow","Medium")))</f>
        <v/>
      </c>
      <c r="AF169">
        <f>IF($A169="","",IFERROR(VLOOKUP($B169,'_CONFIG_Risk_Calibration'!$A$5:$H$21,2,FALSE),3))</f>
        <v/>
      </c>
      <c r="AG169">
        <f>IF($A169="","",IFERROR(VLOOKUP($B169,'_CONFIG_Risk_Calibration'!$A$5:$H$21,3,FALSE),0))</f>
        <v/>
      </c>
      <c r="AH169">
        <f>IF($A169="","",IFERROR(VLOOKUP($B169,'_CONFIG_Risk_Calibration'!$A$5:$H$21,4,FALSE),3))</f>
        <v/>
      </c>
      <c r="AI169">
        <f>IF($A169="","",IFERROR(VLOOKUP($B169,'_CONFIG_Risk_Calibration'!$A$5:$H$21,5,FALSE),3))</f>
        <v/>
      </c>
      <c r="AJ169">
        <f>IF($A169="","",IFERROR(VLOOKUP($B169,'_CONFIG_Risk_Calibration'!$A$5:$H$21,6,FALSE),"No"))</f>
        <v/>
      </c>
      <c r="AK169">
        <f>IF($A169="","",IFERROR(VLOOKUP($B169,'_CONFIG_Risk_Calibration'!$A$5:$H$21,7,FALSE),1))</f>
        <v/>
      </c>
      <c r="AL169">
        <f>IF($A169="","",IFERROR(VLOOKUP($B169,'_CONFIG_Risk_Calibration'!$A$5:$H$21,8,FALSE),""))</f>
        <v/>
      </c>
    </row>
    <row r="170" ht="72" customHeight="1" s="209">
      <c r="A170" s="13" t="inlineStr">
        <is>
          <t>PHYS-026</t>
        </is>
      </c>
      <c r="B170" s="13" t="inlineStr">
        <is>
          <t>Physical Safety</t>
        </is>
      </c>
      <c r="C170" s="13" t="inlineStr">
        <is>
          <t>Utilities and resilience</t>
        </is>
      </c>
      <c r="D170" s="13" t="inlineStr">
        <is>
          <t>Physical safety, security and facility resilience</t>
        </is>
      </c>
      <c r="E170" s="13" t="inlineStr">
        <is>
          <t>How mature is the organization in managing backup internet and telecom connectivity at critical sites, including ownership, evidence, metrics, fallback procedures and crisis stress testing?</t>
        </is>
      </c>
      <c r="F170" s="13" t="inlineStr">
        <is>
          <t>Immature capability for backup internet and telecom connectivity at critical sites may lead to injury, unsafe facilities, uncontrolled access, asset loss and failure to protect people during incidents during Safety incident; Physical site loss; War/security crisis; Natural disaster.</t>
        </is>
      </c>
      <c r="G170" s="13" t="inlineStr">
        <is>
          <t>Low maturity, weak ownership, incomplete evidence, insufficient testing and poor integration with crisis-management routines for backup internet and telecom connectivity at critical sites.</t>
        </is>
      </c>
      <c r="H170" s="13" t="inlineStr">
        <is>
          <t>Severe risk: backup internet and telecom connectivity at critical sites is not reliably controlled. During Safety incident; Physical site loss; War/security crisis; Natural disaster, the organization may face injury, unsafe facilities, uncontrolled access, asset loss and failure to protect people during incidents with limited visibility or accountability.</t>
        </is>
      </c>
      <c r="I170" s="13" t="inlineStr">
        <is>
          <t>High risk: backup internet and telecom connectivity at critical sites depends on informal practices or individual knowledge. Disruption may expose injury, unsafe facilities, uncontrolled access, asset loss and failure to protect people during incidents and slow recovery.</t>
        </is>
      </c>
      <c r="J170" s="13" t="inlineStr">
        <is>
          <t>Elevated risk: backup internet and telecom connectivity at critical sites is partially controlled, but coverage, evidence or testing is inconsistent. Crisis response may be fragmented.</t>
        </is>
      </c>
      <c r="K170" s="13" t="inlineStr">
        <is>
          <t>Moderate risk: backup internet and telecom connectivity at critical sites is documented and owned, but measurement, stress testing and integration with dependent processes need strengthening.</t>
        </is>
      </c>
      <c r="L170" s="13" t="inlineStr">
        <is>
          <t>Residual risk: backup internet and telecom connectivity at critical sites is measured and reviewed, but monitoring, automation or scenario testing should be improved to prevent maturity drift.</t>
        </is>
      </c>
      <c r="M170" s="13" t="inlineStr">
        <is>
          <t>Low residual risk: backup internet and telecom connectivity at critical sites is mature and crisis-tested. Maintain monitoring, evidence, ownership and periodic stress testing.</t>
        </is>
      </c>
      <c r="N170" s="13" t="inlineStr">
        <is>
          <t>Create an immediate risk owner, minimum control baseline and fallback procedure for backup internet and telecom connectivity at critical sites. Add it to the crisis risk register and collect first evidence.</t>
        </is>
      </c>
      <c r="O170" s="13" t="inlineStr">
        <is>
          <t>Document backup internet and telecom connectivity at critical sites, assign RACI, define minimum controls and KPIs, and validate coverage across key sites, teams or systems.</t>
        </is>
      </c>
      <c r="P170" s="13" t="inlineStr">
        <is>
          <t>Standardize backup internet and telecom connectivity at critical sites, close coverage gaps, train accountable roles and connect controls to the relevant crisis scenarios and continuity plans.</t>
        </is>
      </c>
      <c r="Q170" s="13" t="inlineStr">
        <is>
          <t>Measure and test backup internet and telecom connectivity at critical sites, run tabletop or operational stress tests, integrate it with dependent processes and update crisis playbooks.</t>
        </is>
      </c>
      <c r="R170" s="13" t="inlineStr">
        <is>
          <t>Automate monitoring where practical, define leading indicators, run periodic scenario tests and track residual risk after each major change.</t>
        </is>
      </c>
      <c r="S170" s="13" t="inlineStr">
        <is>
          <t>Sustain maturity for backup internet and telecom connectivity at critical sites: keep evidence current, monitor drift, benchmark externally and refresh risk tests after organizational, system or market changes.</t>
        </is>
      </c>
      <c r="T170" s="13" t="n">
        <v>4</v>
      </c>
      <c r="U170" s="13" t="n">
        <v>3</v>
      </c>
      <c r="V170" s="13" t="n">
        <v>3</v>
      </c>
      <c r="W170" s="13" t="n">
        <v>2</v>
      </c>
      <c r="X170" s="13" t="n">
        <v>1</v>
      </c>
      <c r="Y170" s="13" t="n">
        <v>1</v>
      </c>
      <c r="Z170" s="13" t="inlineStr">
        <is>
          <t>ISO 45001; ISO 22320; ISO 31030; ISO 18788; ISO 22301; NFPA; local OH&amp;S rules</t>
        </is>
      </c>
      <c r="AA170" s="13" t="inlineStr">
        <is>
          <t>Policy/SOP; owner/RACI; system report; dashboard; contracts; test records; incident history; interview evidence related to backup internet and telecom connectivity at critical sites.</t>
        </is>
      </c>
      <c r="AB170" s="13" t="inlineStr">
        <is>
          <t>Safety incident; Physical site loss; War/security crisis; Natural disaster</t>
        </is>
      </c>
      <c r="AC170" s="13" t="inlineStr">
        <is>
          <t>Facilities / Security / HSE</t>
        </is>
      </c>
      <c r="AD170" s="13" t="inlineStr">
        <is>
          <t>Physical Safety!30</t>
        </is>
      </c>
      <c r="AE170">
        <f>IF($A170="","",IF(OR(ISNUMBER(SEARCH("cyber",$D170)),ISNUMBER(SEARCH("security",$D170)),ISNUMBER(SEARCH("safety",$D170)),ISNUMBER(SEARCH("liquidity",$D170)),ISNUMBER(SEARCH("cash",$D170)),ISNUMBER(SEARCH("continuity",$D170)),ISNUMBER(SEARCH("infrastructure",$D170)),ISNUMBER(SEARCH("outage",$D170))),"Fast",IF(OR(ISNUMBER(SEARCH("compliance",$D170)),ISNUMBER(SEARCH("regulat",$D170)),ISNUMBER(SEARCH("data",$D170)),ISNUMBER(SEARCH("talent",$D170)),ISNUMBER(SEARCH("knowledge",$D170)),ISNUMBER(SEARCH("portfolio",$D170)),ISNUMBER(SEARCH("quality",$D170))),"Slow","Medium")))</f>
        <v/>
      </c>
      <c r="AF170">
        <f>IF($A170="","",IFERROR(VLOOKUP($B170,'_CONFIG_Risk_Calibration'!$A$5:$H$21,2,FALSE),3))</f>
        <v/>
      </c>
      <c r="AG170">
        <f>IF($A170="","",IFERROR(VLOOKUP($B170,'_CONFIG_Risk_Calibration'!$A$5:$H$21,3,FALSE),0))</f>
        <v/>
      </c>
      <c r="AH170">
        <f>IF($A170="","",IFERROR(VLOOKUP($B170,'_CONFIG_Risk_Calibration'!$A$5:$H$21,4,FALSE),3))</f>
        <v/>
      </c>
      <c r="AI170">
        <f>IF($A170="","",IFERROR(VLOOKUP($B170,'_CONFIG_Risk_Calibration'!$A$5:$H$21,5,FALSE),3))</f>
        <v/>
      </c>
      <c r="AJ170">
        <f>IF($A170="","",IFERROR(VLOOKUP($B170,'_CONFIG_Risk_Calibration'!$A$5:$H$21,6,FALSE),"No"))</f>
        <v/>
      </c>
      <c r="AK170">
        <f>IF($A170="","",IFERROR(VLOOKUP($B170,'_CONFIG_Risk_Calibration'!$A$5:$H$21,7,FALSE),1))</f>
        <v/>
      </c>
      <c r="AL170">
        <f>IF($A170="","",IFERROR(VLOOKUP($B170,'_CONFIG_Risk_Calibration'!$A$5:$H$21,8,FALSE),""))</f>
        <v/>
      </c>
    </row>
    <row r="171" ht="72" customHeight="1" s="209">
      <c r="A171" s="13" t="inlineStr">
        <is>
          <t>PHYS-027</t>
        </is>
      </c>
      <c r="B171" s="13" t="inlineStr">
        <is>
          <t>Physical Safety</t>
        </is>
      </c>
      <c r="C171" s="13" t="inlineStr">
        <is>
          <t>Utilities and resilience</t>
        </is>
      </c>
      <c r="D171" s="13" t="inlineStr">
        <is>
          <t>Physical safety, security and facility resilience</t>
        </is>
      </c>
      <c r="E171" s="13" t="inlineStr">
        <is>
          <t>How mature is the organization in managing preventive maintenance for safety-critical facility systems, including ownership, evidence, metrics, fallback procedures and crisis stress testing?</t>
        </is>
      </c>
      <c r="F171" s="13" t="inlineStr">
        <is>
          <t>Immature capability for preventive maintenance for safety-critical facility systems may lead to injury, unsafe facilities, uncontrolled access, asset loss and failure to protect people during incidents during Safety incident; Physical site loss; War/security crisis; Natural disaster.</t>
        </is>
      </c>
      <c r="G171" s="13" t="inlineStr">
        <is>
          <t>Low maturity, weak ownership, incomplete evidence, insufficient testing and poor integration with crisis-management routines for preventive maintenance for safety-critical facility systems.</t>
        </is>
      </c>
      <c r="H171" s="13" t="inlineStr">
        <is>
          <t>Severe risk: preventive maintenance for safety-critical facility systems is not reliably controlled. During Safety incident; Physical site loss; War/security crisis; Natural disaster, the organization may face injury, unsafe facilities, uncontrolled access, asset loss and failure to protect people during incidents with limited visibility or accountability.</t>
        </is>
      </c>
      <c r="I171" s="13" t="inlineStr">
        <is>
          <t>High risk: preventive maintenance for safety-critical facility systems depends on informal practices or individual knowledge. Disruption may expose injury, unsafe facilities, uncontrolled access, asset loss and failure to protect people during incidents and slow recovery.</t>
        </is>
      </c>
      <c r="J171" s="13" t="inlineStr">
        <is>
          <t>Elevated risk: preventive maintenance for safety-critical facility systems is partially controlled, but coverage, evidence or testing is inconsistent. Crisis response may be fragmented.</t>
        </is>
      </c>
      <c r="K171" s="13" t="inlineStr">
        <is>
          <t>Moderate risk: preventive maintenance for safety-critical facility systems is documented and owned, but measurement, stress testing and integration with dependent processes need strengthening.</t>
        </is>
      </c>
      <c r="L171" s="13" t="inlineStr">
        <is>
          <t>Residual risk: preventive maintenance for safety-critical facility systems is measured and reviewed, but monitoring, automation or scenario testing should be improved to prevent maturity drift.</t>
        </is>
      </c>
      <c r="M171" s="13" t="inlineStr">
        <is>
          <t>Low residual risk: preventive maintenance for safety-critical facility systems is mature and crisis-tested. Maintain monitoring, evidence, ownership and periodic stress testing.</t>
        </is>
      </c>
      <c r="N171" s="13" t="inlineStr">
        <is>
          <t>Create an immediate risk owner, minimum control baseline and fallback procedure for preventive maintenance for safety-critical facility systems. Add it to the crisis risk register and collect first evidence.</t>
        </is>
      </c>
      <c r="O171" s="13" t="inlineStr">
        <is>
          <t>Document preventive maintenance for safety-critical facility systems, assign RACI, define minimum controls and KPIs, and validate coverage across key sites, teams or systems.</t>
        </is>
      </c>
      <c r="P171" s="13" t="inlineStr">
        <is>
          <t>Standardize preventive maintenance for safety-critical facility systems, close coverage gaps, train accountable roles and connect controls to the relevant crisis scenarios and continuity plans.</t>
        </is>
      </c>
      <c r="Q171" s="13" t="inlineStr">
        <is>
          <t>Measure and test preventive maintenance for safety-critical facility systems, run tabletop or operational stress tests, integrate it with dependent processes and update crisis playbooks.</t>
        </is>
      </c>
      <c r="R171" s="13" t="inlineStr">
        <is>
          <t>Automate monitoring where practical, define leading indicators, run periodic scenario tests and track residual risk after each major change.</t>
        </is>
      </c>
      <c r="S171" s="13" t="inlineStr">
        <is>
          <t>Sustain maturity for preventive maintenance for safety-critical facility systems: keep evidence current, monitor drift, benchmark externally and refresh risk tests after organizational, system or market changes.</t>
        </is>
      </c>
      <c r="T171" s="13" t="n">
        <v>4</v>
      </c>
      <c r="U171" s="13" t="n">
        <v>3</v>
      </c>
      <c r="V171" s="13" t="n">
        <v>3</v>
      </c>
      <c r="W171" s="13" t="n">
        <v>2</v>
      </c>
      <c r="X171" s="13" t="n">
        <v>1</v>
      </c>
      <c r="Y171" s="13" t="n">
        <v>1</v>
      </c>
      <c r="Z171" s="13" t="inlineStr">
        <is>
          <t>ISO 45001; ISO 22320; ISO 31030; ISO 18788; ISO 22301; NFPA; local OH&amp;S rules</t>
        </is>
      </c>
      <c r="AA171" s="13" t="inlineStr">
        <is>
          <t>Policy/SOP; owner/RACI; system report; dashboard; contracts; test records; incident history; interview evidence related to preventive maintenance for safety-critical facility systems.</t>
        </is>
      </c>
      <c r="AB171" s="13" t="inlineStr">
        <is>
          <t>Safety incident; Physical site loss; War/security crisis; Natural disaster</t>
        </is>
      </c>
      <c r="AC171" s="13" t="inlineStr">
        <is>
          <t>Facilities / Security / HSE</t>
        </is>
      </c>
      <c r="AD171" s="13" t="inlineStr">
        <is>
          <t>Physical Safety!31</t>
        </is>
      </c>
      <c r="AE171">
        <f>IF($A171="","",IF(OR(ISNUMBER(SEARCH("cyber",$D171)),ISNUMBER(SEARCH("security",$D171)),ISNUMBER(SEARCH("safety",$D171)),ISNUMBER(SEARCH("liquidity",$D171)),ISNUMBER(SEARCH("cash",$D171)),ISNUMBER(SEARCH("continuity",$D171)),ISNUMBER(SEARCH("infrastructure",$D171)),ISNUMBER(SEARCH("outage",$D171))),"Fast",IF(OR(ISNUMBER(SEARCH("compliance",$D171)),ISNUMBER(SEARCH("regulat",$D171)),ISNUMBER(SEARCH("data",$D171)),ISNUMBER(SEARCH("talent",$D171)),ISNUMBER(SEARCH("knowledge",$D171)),ISNUMBER(SEARCH("portfolio",$D171)),ISNUMBER(SEARCH("quality",$D171))),"Slow","Medium")))</f>
        <v/>
      </c>
      <c r="AF171">
        <f>IF($A171="","",IFERROR(VLOOKUP($B171,'_CONFIG_Risk_Calibration'!$A$5:$H$21,2,FALSE),3))</f>
        <v/>
      </c>
      <c r="AG171">
        <f>IF($A171="","",IFERROR(VLOOKUP($B171,'_CONFIG_Risk_Calibration'!$A$5:$H$21,3,FALSE),0))</f>
        <v/>
      </c>
      <c r="AH171">
        <f>IF($A171="","",IFERROR(VLOOKUP($B171,'_CONFIG_Risk_Calibration'!$A$5:$H$21,4,FALSE),3))</f>
        <v/>
      </c>
      <c r="AI171">
        <f>IF($A171="","",IFERROR(VLOOKUP($B171,'_CONFIG_Risk_Calibration'!$A$5:$H$21,5,FALSE),3))</f>
        <v/>
      </c>
      <c r="AJ171">
        <f>IF($A171="","",IFERROR(VLOOKUP($B171,'_CONFIG_Risk_Calibration'!$A$5:$H$21,6,FALSE),"No"))</f>
        <v/>
      </c>
      <c r="AK171">
        <f>IF($A171="","",IFERROR(VLOOKUP($B171,'_CONFIG_Risk_Calibration'!$A$5:$H$21,7,FALSE),1))</f>
        <v/>
      </c>
      <c r="AL171">
        <f>IF($A171="","",IFERROR(VLOOKUP($B171,'_CONFIG_Risk_Calibration'!$A$5:$H$21,8,FALSE),""))</f>
        <v/>
      </c>
    </row>
    <row r="172" ht="84" customHeight="1" s="209">
      <c r="A172" s="13" t="inlineStr">
        <is>
          <t>PHYS-028</t>
        </is>
      </c>
      <c r="B172" s="13" t="inlineStr">
        <is>
          <t>Physical Safety</t>
        </is>
      </c>
      <c r="C172" s="13" t="inlineStr">
        <is>
          <t>Utilities and resilience</t>
        </is>
      </c>
      <c r="D172" s="13" t="inlineStr">
        <is>
          <t>Physical safety, security and facility resilience</t>
        </is>
      </c>
      <c r="E172" s="13" t="inlineStr">
        <is>
          <t>How mature is the organization in managing alternative worksites, temporary facilities, coworking spaces or remote-work options if a site is lost, including ownership, evidence, metrics, fallback procedures and crisis stress testing?</t>
        </is>
      </c>
      <c r="F172" s="13" t="inlineStr">
        <is>
          <t>Immature capability for alternative worksites, temporary facilities, coworking spaces or remote-work options if a site is lost may lead to injury, unsafe facilities, uncontrolled access, asset loss and failure to protect people during incidents during Safety incident; Physical site loss; War/security crisis; Natural disaster.</t>
        </is>
      </c>
      <c r="G172" s="13" t="inlineStr">
        <is>
          <t>Low maturity, weak ownership, incomplete evidence, insufficient testing and poor integration with crisis-management routines for alternative worksites, temporary facilities, coworking spaces or remote-work options if a site is lost.</t>
        </is>
      </c>
      <c r="H172" s="13" t="inlineStr">
        <is>
          <t>Severe risk: alternative worksites, temporary facilities, coworking spaces or remote-work options if a site is lost is not reliably controlled. During Safety incident; Physical site loss; War/security crisis; Natural disaster, the organization may face injury, unsafe facilities, uncontrolled access, asset loss and failure to protect people during incidents with limited visibility or accountability.</t>
        </is>
      </c>
      <c r="I172" s="13" t="inlineStr">
        <is>
          <t>High risk: alternative worksites, temporary facilities, coworking spaces or remote-work options if a site is lost depends on informal practices or individual knowledge. Disruption may expose injury, unsafe facilities, uncontrolled access, asset loss and failure to protect people during incidents and slow recovery.</t>
        </is>
      </c>
      <c r="J172" s="13" t="inlineStr">
        <is>
          <t>Elevated risk: alternative worksites, temporary facilities, coworking spaces or remote-work options if a site is lost is partially controlled, but coverage, evidence or testing is inconsistent. Crisis response may be fragmented.</t>
        </is>
      </c>
      <c r="K172" s="13" t="inlineStr">
        <is>
          <t>Moderate risk: alternative worksites, temporary facilities, coworking spaces or remote-work options if a site is lost is documented and owned, but measurement, stress testing and integration with dependent processes need strengthening.</t>
        </is>
      </c>
      <c r="L172" s="13" t="inlineStr">
        <is>
          <t>Residual risk: alternative worksites, temporary facilities, coworking spaces or remote-work options if a site is lost is measured and reviewed, but monitoring, automation or scenario testing should be improved to prevent maturity drift.</t>
        </is>
      </c>
      <c r="M172" s="13" t="inlineStr">
        <is>
          <t>Low residual risk: alternative worksites, temporary facilities, coworking spaces or remote-work options if a site is lost is mature and crisis-tested. Maintain monitoring, evidence, ownership and periodic stress testing.</t>
        </is>
      </c>
      <c r="N172" s="13" t="inlineStr">
        <is>
          <t>Create an immediate risk owner, minimum control baseline and fallback procedure for alternative worksites, temporary facilities, coworking spaces or remote-work options if a site is lost. Add it to the crisis risk register and collect first evidence.</t>
        </is>
      </c>
      <c r="O172" s="13" t="inlineStr">
        <is>
          <t>Document alternative worksites, temporary facilities, coworking spaces or remote-work options if a site is lost, assign RACI, define minimum controls and KPIs, and validate coverage across key sites, teams or systems.</t>
        </is>
      </c>
      <c r="P172" s="13" t="inlineStr">
        <is>
          <t>Standardize alternative worksites, temporary facilities, coworking spaces or remote-work options if a site is lost, close coverage gaps, train accountable roles and connect controls to the relevant crisis scenarios and continuity plans.</t>
        </is>
      </c>
      <c r="Q172" s="13" t="inlineStr">
        <is>
          <t>Measure and test alternative worksites, temporary facilities, coworking spaces or remote-work options if a site is lost, run tabletop or operational stress tests, integrate it with dependent processes and update crisis playbooks.</t>
        </is>
      </c>
      <c r="R172" s="13" t="inlineStr">
        <is>
          <t>Automate monitoring where practical, define leading indicators, run periodic scenario tests and track residual risk after each major change.</t>
        </is>
      </c>
      <c r="S172" s="13" t="inlineStr">
        <is>
          <t>Sustain maturity for alternative worksites, temporary facilities, coworking spaces or remote-work options if a site is lost: keep evidence current, monitor drift, benchmark externally and refresh risk tests after organizational, system or market changes.</t>
        </is>
      </c>
      <c r="T172" s="13" t="n">
        <v>4</v>
      </c>
      <c r="U172" s="13" t="n">
        <v>3</v>
      </c>
      <c r="V172" s="13" t="n">
        <v>3</v>
      </c>
      <c r="W172" s="13" t="n">
        <v>2</v>
      </c>
      <c r="X172" s="13" t="n">
        <v>1</v>
      </c>
      <c r="Y172" s="13" t="n">
        <v>1</v>
      </c>
      <c r="Z172" s="13" t="inlineStr">
        <is>
          <t>ISO 45001; ISO 22320; ISO 31030; ISO 18788; ISO 22301; NFPA; local OH&amp;S rules</t>
        </is>
      </c>
      <c r="AA172" s="13" t="inlineStr">
        <is>
          <t>Policy/SOP; owner/RACI; system report; dashboard; contracts; test records; incident history; interview evidence related to alternative worksites, temporary facilities, coworking spaces or remote-work options if a site is lost.</t>
        </is>
      </c>
      <c r="AB172" s="13" t="inlineStr">
        <is>
          <t>Safety incident; Physical site loss; War/security crisis; Natural disaster</t>
        </is>
      </c>
      <c r="AC172" s="13" t="inlineStr">
        <is>
          <t>Facilities / Security / HSE</t>
        </is>
      </c>
      <c r="AD172" s="13" t="inlineStr">
        <is>
          <t>Physical Safety!32</t>
        </is>
      </c>
      <c r="AE172">
        <f>IF($A172="","",IF(OR(ISNUMBER(SEARCH("cyber",$D172)),ISNUMBER(SEARCH("security",$D172)),ISNUMBER(SEARCH("safety",$D172)),ISNUMBER(SEARCH("liquidity",$D172)),ISNUMBER(SEARCH("cash",$D172)),ISNUMBER(SEARCH("continuity",$D172)),ISNUMBER(SEARCH("infrastructure",$D172)),ISNUMBER(SEARCH("outage",$D172))),"Fast",IF(OR(ISNUMBER(SEARCH("compliance",$D172)),ISNUMBER(SEARCH("regulat",$D172)),ISNUMBER(SEARCH("data",$D172)),ISNUMBER(SEARCH("talent",$D172)),ISNUMBER(SEARCH("knowledge",$D172)),ISNUMBER(SEARCH("portfolio",$D172)),ISNUMBER(SEARCH("quality",$D172))),"Slow","Medium")))</f>
        <v/>
      </c>
      <c r="AF172">
        <f>IF($A172="","",IFERROR(VLOOKUP($B172,'_CONFIG_Risk_Calibration'!$A$5:$H$21,2,FALSE),3))</f>
        <v/>
      </c>
      <c r="AG172">
        <f>IF($A172="","",IFERROR(VLOOKUP($B172,'_CONFIG_Risk_Calibration'!$A$5:$H$21,3,FALSE),0))</f>
        <v/>
      </c>
      <c r="AH172">
        <f>IF($A172="","",IFERROR(VLOOKUP($B172,'_CONFIG_Risk_Calibration'!$A$5:$H$21,4,FALSE),3))</f>
        <v/>
      </c>
      <c r="AI172">
        <f>IF($A172="","",IFERROR(VLOOKUP($B172,'_CONFIG_Risk_Calibration'!$A$5:$H$21,5,FALSE),3))</f>
        <v/>
      </c>
      <c r="AJ172">
        <f>IF($A172="","",IFERROR(VLOOKUP($B172,'_CONFIG_Risk_Calibration'!$A$5:$H$21,6,FALSE),"No"))</f>
        <v/>
      </c>
      <c r="AK172">
        <f>IF($A172="","",IFERROR(VLOOKUP($B172,'_CONFIG_Risk_Calibration'!$A$5:$H$21,7,FALSE),1))</f>
        <v/>
      </c>
      <c r="AL172">
        <f>IF($A172="","",IFERROR(VLOOKUP($B172,'_CONFIG_Risk_Calibration'!$A$5:$H$21,8,FALSE),""))</f>
        <v/>
      </c>
    </row>
    <row r="173" ht="84" customHeight="1" s="209">
      <c r="A173" s="13" t="inlineStr">
        <is>
          <t>PHYS-029</t>
        </is>
      </c>
      <c r="B173" s="13" t="inlineStr">
        <is>
          <t>Physical Safety</t>
        </is>
      </c>
      <c r="C173" s="13" t="inlineStr">
        <is>
          <t>Asset management</t>
        </is>
      </c>
      <c r="D173" s="13" t="inlineStr">
        <is>
          <t>Physical asset and facility resilience</t>
        </is>
      </c>
      <c r="E173" s="13" t="inlineStr">
        <is>
          <t>How mature is the organization in managing enterprise asset register covering ownership, location, condition, replacement value and insurance linkage, including ownership, evidence, metrics, fallback procedures and crisis stress testing?</t>
        </is>
      </c>
      <c r="F173" s="13" t="inlineStr">
        <is>
          <t>Immature capability for enterprise asset register covering ownership, location, condition, replacement value and insurance linkage may lead to unknown asset exposure, slow insurance claims and uninformed recovery investment decisions during Physical site loss; Natural disaster; War/security crisis.</t>
        </is>
      </c>
      <c r="G173" s="13" t="inlineStr">
        <is>
          <t>Low maturity, weak ownership, incomplete evidence, insufficient testing and poor integration with crisis-management routines for enterprise asset register covering ownership, location, condition, replacement value and insurance linkage.</t>
        </is>
      </c>
      <c r="H173" s="13" t="inlineStr">
        <is>
          <t>Severe risk: enterprise asset register covering ownership, location, condition, replacement value and insurance linkage is not reliably controlled. During Physical site loss; Natural disaster; War/security crisis, the organization may face unknown asset exposure, slow insurance claims and uninformed recovery investment decisions with limited visibility or accountability.</t>
        </is>
      </c>
      <c r="I173" s="13" t="inlineStr">
        <is>
          <t>High risk: enterprise asset register covering ownership, location, condition, replacement value and insurance linkage depends on informal practices or individual knowledge. Disruption may expose unknown asset exposure, slow insurance claims and uninformed recovery investment decisions and slow recovery.</t>
        </is>
      </c>
      <c r="J173" s="13" t="inlineStr">
        <is>
          <t>Elevated risk: enterprise asset register covering ownership, location, condition, replacement value and insurance linkage is partially controlled, but coverage, evidence or testing is inconsistent. Crisis response may be fragmented.</t>
        </is>
      </c>
      <c r="K173" s="13" t="inlineStr">
        <is>
          <t>Moderate risk: enterprise asset register covering ownership, location, condition, replacement value and insurance linkage is documented and owned, but measurement, stress testing and integration with dependent processes need strengthening.</t>
        </is>
      </c>
      <c r="L173" s="13" t="inlineStr">
        <is>
          <t>Residual risk: enterprise asset register covering ownership, location, condition, replacement value and insurance linkage is measured and reviewed, but monitoring, automation or scenario testing should be improved to prevent maturity drift.</t>
        </is>
      </c>
      <c r="M173" s="13" t="inlineStr">
        <is>
          <t>Low residual risk: enterprise asset register covering ownership, location, condition, replacement value and insurance linkage is mature and crisis-tested. Maintain monitoring, evidence, ownership and periodic stress testing.</t>
        </is>
      </c>
      <c r="N173" s="13" t="inlineStr">
        <is>
          <t>Create an immediate risk owner, minimum control baseline and fallback procedure for enterprise asset register covering ownership, location, condition, replacement value and insurance linkage. Add it to the crisis risk register and collect first evidence.</t>
        </is>
      </c>
      <c r="O173" s="13" t="inlineStr">
        <is>
          <t>Document enterprise asset register covering ownership, location, condition, replacement value and insurance linkage, assign RACI, define minimum controls and KPIs, and validate coverage across key sites, teams or systems.</t>
        </is>
      </c>
      <c r="P173" s="13" t="inlineStr">
        <is>
          <t>Standardize enterprise asset register covering ownership, location, condition, replacement value and insurance linkage, close coverage gaps, train accountable roles and connect controls to the relevant crisis scenarios and continuity plans.</t>
        </is>
      </c>
      <c r="Q173" s="13" t="inlineStr">
        <is>
          <t>Measure and test enterprise asset register covering ownership, location, condition, replacement value and insurance linkage, run tabletop or operational stress tests, integrate it with dependent processes and update crisis playbooks.</t>
        </is>
      </c>
      <c r="R173" s="13" t="inlineStr">
        <is>
          <t>Automate monitoring where practical, define leading indicators, run periodic scenario tests and track residual risk after each major change.</t>
        </is>
      </c>
      <c r="S173" s="13" t="inlineStr">
        <is>
          <t>Sustain maturity for enterprise asset register covering ownership, location, condition, replacement value and insurance linkage: keep evidence current, monitor drift, benchmark externally and refresh risk tests after organizational, system or market changes.</t>
        </is>
      </c>
      <c r="T173" s="13" t="n">
        <v>3</v>
      </c>
      <c r="U173" s="13" t="n">
        <v>3</v>
      </c>
      <c r="V173" s="13" t="n">
        <v>2</v>
      </c>
      <c r="W173" s="13" t="n">
        <v>2</v>
      </c>
      <c r="X173" s="13" t="n">
        <v>1</v>
      </c>
      <c r="Y173" s="13" t="n">
        <v>1</v>
      </c>
      <c r="Z173" s="13" t="inlineStr">
        <is>
          <t>APQC PCF 10.2; ISO 55000; ISO 22301</t>
        </is>
      </c>
      <c r="AA173" s="13" t="inlineStr">
        <is>
          <t>Policy/SOP; owner/RACI; system report; dashboard; contracts; test records; incident history; interview evidence related to enterprise asset register covering ownership, location, condition, replacement value and insurance linkage</t>
        </is>
      </c>
      <c r="AB173" s="13" t="inlineStr">
        <is>
          <t>Physical site loss; Natural disaster; War/security crisis</t>
        </is>
      </c>
      <c r="AC173" s="13" t="inlineStr">
        <is>
          <t>COO / Facilities</t>
        </is>
      </c>
      <c r="AD173" s="13" t="inlineStr">
        <is>
          <t>Physical Safety!33</t>
        </is>
      </c>
      <c r="AE173">
        <f>IF($A173="","",IF(OR(ISNUMBER(SEARCH("cyber",$D173)),ISNUMBER(SEARCH("security",$D173)),ISNUMBER(SEARCH("safety",$D173)),ISNUMBER(SEARCH("liquidity",$D173)),ISNUMBER(SEARCH("cash",$D173)),ISNUMBER(SEARCH("continuity",$D173)),ISNUMBER(SEARCH("infrastructure",$D173)),ISNUMBER(SEARCH("outage",$D173))),"Fast",IF(OR(ISNUMBER(SEARCH("compliance",$D173)),ISNUMBER(SEARCH("regulat",$D173)),ISNUMBER(SEARCH("data",$D173)),ISNUMBER(SEARCH("talent",$D173)),ISNUMBER(SEARCH("knowledge",$D173)),ISNUMBER(SEARCH("portfolio",$D173)),ISNUMBER(SEARCH("quality",$D173))),"Slow","Medium")))</f>
        <v/>
      </c>
      <c r="AF173">
        <f>IF($A173="","",IFERROR(VLOOKUP($B173,'_CONFIG_Risk_Calibration'!$A$5:$H$21,2,FALSE),3))</f>
        <v/>
      </c>
      <c r="AG173">
        <f>IF($A173="","",IFERROR(VLOOKUP($B173,'_CONFIG_Risk_Calibration'!$A$5:$H$21,3,FALSE),0))</f>
        <v/>
      </c>
      <c r="AH173">
        <f>IF($A173="","",IFERROR(VLOOKUP($B173,'_CONFIG_Risk_Calibration'!$A$5:$H$21,4,FALSE),3))</f>
        <v/>
      </c>
      <c r="AI173">
        <f>IF($A173="","",IFERROR(VLOOKUP($B173,'_CONFIG_Risk_Calibration'!$A$5:$H$21,5,FALSE),3))</f>
        <v/>
      </c>
      <c r="AJ173">
        <f>IF($A173="","",IFERROR(VLOOKUP($B173,'_CONFIG_Risk_Calibration'!$A$5:$H$21,6,FALSE),"No"))</f>
        <v/>
      </c>
      <c r="AK173">
        <f>IF($A173="","",IFERROR(VLOOKUP($B173,'_CONFIG_Risk_Calibration'!$A$5:$H$21,7,FALSE),1))</f>
        <v/>
      </c>
      <c r="AL173">
        <f>IF($A173="","",IFERROR(VLOOKUP($B173,'_CONFIG_Risk_Calibration'!$A$5:$H$21,8,FALSE),""))</f>
        <v/>
      </c>
    </row>
    <row r="174" ht="84" customHeight="1" s="209">
      <c r="A174" s="13" t="inlineStr">
        <is>
          <t>PHYS-030</t>
        </is>
      </c>
      <c r="B174" s="13" t="inlineStr">
        <is>
          <t>Physical Safety</t>
        </is>
      </c>
      <c r="C174" s="13" t="inlineStr">
        <is>
          <t>Asset management</t>
        </is>
      </c>
      <c r="D174" s="13" t="inlineStr">
        <is>
          <t>Physical asset and facility resilience</t>
        </is>
      </c>
      <c r="E174" s="13" t="inlineStr">
        <is>
          <t>How mature is the organization in managing asset lifecycle planning for acquisition, maintenance, renewal and disposal of critical equipment and facilities, including ownership, evidence, metrics, fallback procedures and crisis stress testing?</t>
        </is>
      </c>
      <c r="F174" s="13" t="inlineStr">
        <is>
          <t>Immature capability for asset lifecycle planning for acquisition, maintenance, renewal and disposal of critical equipment and facilities may lead to aging critical assets, unplanned failures and capex surprises under cash constraints during Physical site loss; Energy/utilities outage; Financial/liquidity crisis.</t>
        </is>
      </c>
      <c r="G174" s="13" t="inlineStr">
        <is>
          <t>Low maturity, weak ownership, incomplete evidence, insufficient testing and poor integration with crisis-management routines for asset lifecycle planning for acquisition, maintenance, renewal and disposal of critical equipment and facilities.</t>
        </is>
      </c>
      <c r="H174" s="13" t="inlineStr">
        <is>
          <t>Severe risk: asset lifecycle planning for acquisition, maintenance, renewal and disposal of critical equipment and facilities is not reliably controlled. During Physical site loss; Energy/utilities outage; Financial/liquidity crisis, the organization may face aging critical assets, unplanned failures and capex surprises under cash constraints with limited visibility or accountability.</t>
        </is>
      </c>
      <c r="I174" s="13" t="inlineStr">
        <is>
          <t>High risk: asset lifecycle planning for acquisition, maintenance, renewal and disposal of critical equipment and facilities depends on informal practices or individual knowledge. Disruption may expose aging critical assets, unplanned failures and capex surprises under cash constraints and slow recovery.</t>
        </is>
      </c>
      <c r="J174" s="13" t="inlineStr">
        <is>
          <t>Elevated risk: asset lifecycle planning for acquisition, maintenance, renewal and disposal of critical equipment and facilities is partially controlled, but coverage, evidence or testing is inconsistent. Crisis response may be fragmented.</t>
        </is>
      </c>
      <c r="K174" s="13" t="inlineStr">
        <is>
          <t>Moderate risk: asset lifecycle planning for acquisition, maintenance, renewal and disposal of critical equipment and facilities is documented and owned, but measurement, stress testing and integration with dependent processes need strengthening.</t>
        </is>
      </c>
      <c r="L174" s="13" t="inlineStr">
        <is>
          <t>Residual risk: asset lifecycle planning for acquisition, maintenance, renewal and disposal of critical equipment and facilities is measured and reviewed, but monitoring, automation or scenario testing should be improved to prevent maturity drift.</t>
        </is>
      </c>
      <c r="M174" s="13" t="inlineStr">
        <is>
          <t>Low residual risk: asset lifecycle planning for acquisition, maintenance, renewal and disposal of critical equipment and facilities is mature and crisis-tested. Maintain monitoring, evidence, ownership and periodic stress testing.</t>
        </is>
      </c>
      <c r="N174" s="13" t="inlineStr">
        <is>
          <t>Create an immediate risk owner, minimum control baseline and fallback procedure for asset lifecycle planning for acquisition, maintenance, renewal and disposal of critical equipment and facilities. Add it to the crisis risk register and collect first evidence.</t>
        </is>
      </c>
      <c r="O174" s="13" t="inlineStr">
        <is>
          <t>Document asset lifecycle planning for acquisition, maintenance, renewal and disposal of critical equipment and facilities, assign RACI, define minimum controls and KPIs, and validate coverage across key sites, teams or systems.</t>
        </is>
      </c>
      <c r="P174" s="13" t="inlineStr">
        <is>
          <t>Standardize asset lifecycle planning for acquisition, maintenance, renewal and disposal of critical equipment and facilities, close coverage gaps, train accountable roles and connect controls to the relevant crisis scenarios and continuity plans.</t>
        </is>
      </c>
      <c r="Q174" s="13" t="inlineStr">
        <is>
          <t>Measure and test asset lifecycle planning for acquisition, maintenance, renewal and disposal of critical equipment and facilities, run tabletop or operational stress tests, integrate it with dependent processes and update crisis playbooks.</t>
        </is>
      </c>
      <c r="R174" s="13" t="inlineStr">
        <is>
          <t>Automate monitoring where practical, define leading indicators, run periodic scenario tests and track residual risk after each major change.</t>
        </is>
      </c>
      <c r="S174" s="13" t="inlineStr">
        <is>
          <t>Sustain maturity for asset lifecycle planning for acquisition, maintenance, renewal and disposal of critical equipment and facilities: keep evidence current, monitor drift, benchmark externally and refresh risk tests after organizational, system or market changes.</t>
        </is>
      </c>
      <c r="T174" s="13" t="n">
        <v>3</v>
      </c>
      <c r="U174" s="13" t="n">
        <v>3</v>
      </c>
      <c r="V174" s="13" t="n">
        <v>2</v>
      </c>
      <c r="W174" s="13" t="n">
        <v>2</v>
      </c>
      <c r="X174" s="13" t="n">
        <v>2</v>
      </c>
      <c r="Y174" s="13" t="n">
        <v>1</v>
      </c>
      <c r="Z174" s="13" t="inlineStr">
        <is>
          <t>APQC PCF 10.3; ISO 55000; TPM</t>
        </is>
      </c>
      <c r="AA174" s="13" t="inlineStr">
        <is>
          <t>Policy/SOP; owner/RACI; system report; dashboard; contracts; test records; incident history; interview evidence related to asset lifecycle planning for acquisition, maintenance, renewal and disposal of critical equipment and facilities</t>
        </is>
      </c>
      <c r="AB174" s="13" t="inlineStr">
        <is>
          <t>Physical site loss; Energy/utilities outage; Financial/liquidity crisis</t>
        </is>
      </c>
      <c r="AC174" s="13" t="inlineStr">
        <is>
          <t>COO / Facilities</t>
        </is>
      </c>
      <c r="AD174" s="13" t="inlineStr">
        <is>
          <t>Physical Safety!34</t>
        </is>
      </c>
      <c r="AE174">
        <f>IF($A174="","",IF(OR(ISNUMBER(SEARCH("cyber",$D174)),ISNUMBER(SEARCH("security",$D174)),ISNUMBER(SEARCH("safety",$D174)),ISNUMBER(SEARCH("liquidity",$D174)),ISNUMBER(SEARCH("cash",$D174)),ISNUMBER(SEARCH("continuity",$D174)),ISNUMBER(SEARCH("infrastructure",$D174)),ISNUMBER(SEARCH("outage",$D174))),"Fast",IF(OR(ISNUMBER(SEARCH("compliance",$D174)),ISNUMBER(SEARCH("regulat",$D174)),ISNUMBER(SEARCH("data",$D174)),ISNUMBER(SEARCH("talent",$D174)),ISNUMBER(SEARCH("knowledge",$D174)),ISNUMBER(SEARCH("portfolio",$D174)),ISNUMBER(SEARCH("quality",$D174))),"Slow","Medium")))</f>
        <v/>
      </c>
      <c r="AF174">
        <f>IF($A174="","",IFERROR(VLOOKUP($B174,'_CONFIG_Risk_Calibration'!$A$5:$H$21,2,FALSE),3))</f>
        <v/>
      </c>
      <c r="AG174">
        <f>IF($A174="","",IFERROR(VLOOKUP($B174,'_CONFIG_Risk_Calibration'!$A$5:$H$21,3,FALSE),0))</f>
        <v/>
      </c>
      <c r="AH174">
        <f>IF($A174="","",IFERROR(VLOOKUP($B174,'_CONFIG_Risk_Calibration'!$A$5:$H$21,4,FALSE),3))</f>
        <v/>
      </c>
      <c r="AI174">
        <f>IF($A174="","",IFERROR(VLOOKUP($B174,'_CONFIG_Risk_Calibration'!$A$5:$H$21,5,FALSE),3))</f>
        <v/>
      </c>
      <c r="AJ174">
        <f>IF($A174="","",IFERROR(VLOOKUP($B174,'_CONFIG_Risk_Calibration'!$A$5:$H$21,6,FALSE),"No"))</f>
        <v/>
      </c>
      <c r="AK174">
        <f>IF($A174="","",IFERROR(VLOOKUP($B174,'_CONFIG_Risk_Calibration'!$A$5:$H$21,7,FALSE),1))</f>
        <v/>
      </c>
      <c r="AL174">
        <f>IF($A174="","",IFERROR(VLOOKUP($B174,'_CONFIG_Risk_Calibration'!$A$5:$H$21,8,FALSE),""))</f>
        <v/>
      </c>
    </row>
    <row r="175" ht="72" customHeight="1" s="209">
      <c r="A175" s="13" t="inlineStr">
        <is>
          <t>PHYS-031</t>
        </is>
      </c>
      <c r="B175" s="13" t="inlineStr">
        <is>
          <t>Physical Safety</t>
        </is>
      </c>
      <c r="C175" s="13" t="inlineStr">
        <is>
          <t>Asset management</t>
        </is>
      </c>
      <c r="D175" s="13" t="inlineStr">
        <is>
          <t>Physical asset and facility resilience</t>
        </is>
      </c>
      <c r="E175" s="13" t="inlineStr">
        <is>
          <t>How mature is the organization in managing property and lease portfolio management with obligations, expiry dates, exit options and flexibility, including ownership, evidence, metrics, fallback procedures and crisis stress testing?</t>
        </is>
      </c>
      <c r="F175" s="13" t="inlineStr">
        <is>
          <t>Immature capability for property and lease portfolio management with obligations, expiry dates, exit options and flexibility may lead to rigid site costs, missed exit windows and contractual exposure when the footprint must change fast during Physical site loss; Financial/liquidity crisis; War/security crisis.</t>
        </is>
      </c>
      <c r="G175" s="13" t="inlineStr">
        <is>
          <t>Low maturity, weak ownership, incomplete evidence, insufficient testing and poor integration with crisis-management routines for property and lease portfolio management with obligations, expiry dates, exit options and flexibility.</t>
        </is>
      </c>
      <c r="H175" s="13" t="inlineStr">
        <is>
          <t>Severe risk: property and lease portfolio management with obligations, expiry dates, exit options and flexibility is not reliably controlled. During Physical site loss; Financial/liquidity crisis; War/security crisis, the organization may face rigid site costs, missed exit windows and contractual exposure when the footprint must change fast with limited visibility or accountability.</t>
        </is>
      </c>
      <c r="I175" s="13" t="inlineStr">
        <is>
          <t>High risk: property and lease portfolio management with obligations, expiry dates, exit options and flexibility depends on informal practices or individual knowledge. Disruption may expose rigid site costs, missed exit windows and contractual exposure when the footprint must change fast and slow recovery.</t>
        </is>
      </c>
      <c r="J175" s="13" t="inlineStr">
        <is>
          <t>Elevated risk: property and lease portfolio management with obligations, expiry dates, exit options and flexibility is partially controlled, but coverage, evidence or testing is inconsistent. Crisis response may be fragmented.</t>
        </is>
      </c>
      <c r="K175" s="13" t="inlineStr">
        <is>
          <t>Moderate risk: property and lease portfolio management with obligations, expiry dates, exit options and flexibility is documented and owned, but measurement, stress testing and integration with dependent processes need strengthening.</t>
        </is>
      </c>
      <c r="L175" s="13" t="inlineStr">
        <is>
          <t>Residual risk: property and lease portfolio management with obligations, expiry dates, exit options and flexibility is measured and reviewed, but monitoring, automation or scenario testing should be improved to prevent maturity drift.</t>
        </is>
      </c>
      <c r="M175" s="13" t="inlineStr">
        <is>
          <t>Low residual risk: property and lease portfolio management with obligations, expiry dates, exit options and flexibility is mature and crisis-tested. Maintain monitoring, evidence, ownership and periodic stress testing.</t>
        </is>
      </c>
      <c r="N175" s="13" t="inlineStr">
        <is>
          <t>Create an immediate risk owner, minimum control baseline and fallback procedure for property and lease portfolio management with obligations, expiry dates, exit options and flexibility. Add it to the crisis risk register and collect first evidence.</t>
        </is>
      </c>
      <c r="O175" s="13" t="inlineStr">
        <is>
          <t>Document property and lease portfolio management with obligations, expiry dates, exit options and flexibility, assign RACI, define minimum controls and KPIs, and validate coverage across key sites, teams or systems.</t>
        </is>
      </c>
      <c r="P175" s="13" t="inlineStr">
        <is>
          <t>Standardize property and lease portfolio management with obligations, expiry dates, exit options and flexibility, close coverage gaps, train accountable roles and connect controls to the relevant crisis scenarios and continuity plans.</t>
        </is>
      </c>
      <c r="Q175" s="13" t="inlineStr">
        <is>
          <t>Measure and test property and lease portfolio management with obligations, expiry dates, exit options and flexibility, run tabletop or operational stress tests, integrate it with dependent processes and update crisis playbooks.</t>
        </is>
      </c>
      <c r="R175" s="13" t="inlineStr">
        <is>
          <t>Automate monitoring where practical, define leading indicators, run periodic scenario tests and track residual risk after each major change.</t>
        </is>
      </c>
      <c r="S175" s="13" t="inlineStr">
        <is>
          <t>Sustain maturity for property and lease portfolio management with obligations, expiry dates, exit options and flexibility: keep evidence current, monitor drift, benchmark externally and refresh risk tests after organizational, system or market changes.</t>
        </is>
      </c>
      <c r="T175" s="13" t="n">
        <v>2</v>
      </c>
      <c r="U175" s="13" t="n">
        <v>2</v>
      </c>
      <c r="V175" s="13" t="n">
        <v>2</v>
      </c>
      <c r="W175" s="13" t="n">
        <v>2</v>
      </c>
      <c r="X175" s="13" t="n">
        <v>1</v>
      </c>
      <c r="Y175" s="13" t="n">
        <v>1</v>
      </c>
      <c r="Z175" s="13" t="inlineStr">
        <is>
          <t>APQC PCF 10.1; IFRS 16; ISO 22301</t>
        </is>
      </c>
      <c r="AA175" s="13" t="inlineStr">
        <is>
          <t>Policy/SOP; owner/RACI; system report; dashboard; contracts; test records; incident history; interview evidence related to property and lease portfolio management with obligations, expiry dates, exit options and flexibility</t>
        </is>
      </c>
      <c r="AB175" s="13" t="inlineStr">
        <is>
          <t>Physical site loss; Financial/liquidity crisis; War/security crisis</t>
        </is>
      </c>
      <c r="AC175" s="13" t="inlineStr">
        <is>
          <t>CFO / Facilities</t>
        </is>
      </c>
      <c r="AD175" s="13" t="inlineStr">
        <is>
          <t>Physical Safety!35</t>
        </is>
      </c>
      <c r="AE175">
        <f>IF($A175="","",IF(OR(ISNUMBER(SEARCH("cyber",$D175)),ISNUMBER(SEARCH("security",$D175)),ISNUMBER(SEARCH("safety",$D175)),ISNUMBER(SEARCH("liquidity",$D175)),ISNUMBER(SEARCH("cash",$D175)),ISNUMBER(SEARCH("continuity",$D175)),ISNUMBER(SEARCH("infrastructure",$D175)),ISNUMBER(SEARCH("outage",$D175))),"Fast",IF(OR(ISNUMBER(SEARCH("compliance",$D175)),ISNUMBER(SEARCH("regulat",$D175)),ISNUMBER(SEARCH("data",$D175)),ISNUMBER(SEARCH("talent",$D175)),ISNUMBER(SEARCH("knowledge",$D175)),ISNUMBER(SEARCH("portfolio",$D175)),ISNUMBER(SEARCH("quality",$D175))),"Slow","Medium")))</f>
        <v/>
      </c>
      <c r="AF175">
        <f>IF($A175="","",IFERROR(VLOOKUP($B175,'_CONFIG_Risk_Calibration'!$A$5:$H$21,2,FALSE),3))</f>
        <v/>
      </c>
      <c r="AG175">
        <f>IF($A175="","",IFERROR(VLOOKUP($B175,'_CONFIG_Risk_Calibration'!$A$5:$H$21,3,FALSE),0))</f>
        <v/>
      </c>
      <c r="AH175">
        <f>IF($A175="","",IFERROR(VLOOKUP($B175,'_CONFIG_Risk_Calibration'!$A$5:$H$21,4,FALSE),3))</f>
        <v/>
      </c>
      <c r="AI175">
        <f>IF($A175="","",IFERROR(VLOOKUP($B175,'_CONFIG_Risk_Calibration'!$A$5:$H$21,5,FALSE),3))</f>
        <v/>
      </c>
      <c r="AJ175">
        <f>IF($A175="","",IFERROR(VLOOKUP($B175,'_CONFIG_Risk_Calibration'!$A$5:$H$21,6,FALSE),"No"))</f>
        <v/>
      </c>
      <c r="AK175">
        <f>IF($A175="","",IFERROR(VLOOKUP($B175,'_CONFIG_Risk_Calibration'!$A$5:$H$21,7,FALSE),1))</f>
        <v/>
      </c>
      <c r="AL175">
        <f>IF($A175="","",IFERROR(VLOOKUP($B175,'_CONFIG_Risk_Calibration'!$A$5:$H$21,8,FALSE),""))</f>
        <v/>
      </c>
    </row>
    <row r="176" ht="72" customHeight="1" s="209">
      <c r="A176" s="13" t="inlineStr">
        <is>
          <t>DELI-001</t>
        </is>
      </c>
      <c r="B176" s="13" t="inlineStr">
        <is>
          <t>Delivery Ops</t>
        </is>
      </c>
      <c r="C176" s="13" t="inlineStr">
        <is>
          <t>Delivery governance</t>
        </is>
      </c>
      <c r="D176" s="13" t="inlineStr">
        <is>
          <t>Delivery, service continuity and operational execution</t>
        </is>
      </c>
      <c r="E176" s="13" t="inlineStr">
        <is>
          <t>How mature is the organization in managing documented delivery operating model across functions, teams, sites, vendors and customer interfaces, including ownership, evidence, metrics, fallback procedures and crisis stress testing?</t>
        </is>
      </c>
      <c r="F176" s="13" t="inlineStr">
        <is>
          <t>Immature capability for documented delivery operating model across functions, teams, sites, vendors and customer interfaces may lead to missed commitments, SLA breaches, service interruption and weak customer recovery during Delivery disruption; Customer impact; Workforce disruption.</t>
        </is>
      </c>
      <c r="G176" s="13" t="inlineStr">
        <is>
          <t>Low maturity, weak ownership, incomplete evidence, insufficient testing and poor integration with crisis-management routines for documented delivery operating model across functions, teams, sites, vendors and customer interfaces.</t>
        </is>
      </c>
      <c r="H176" s="13" t="inlineStr">
        <is>
          <t>Severe risk: documented delivery operating model across functions, teams, sites, vendors and customer interfaces is not reliably controlled. During Delivery disruption; Customer impact; Workforce disruption, the organization may face missed commitments, SLA breaches, service interruption and weak customer recovery with limited visibility or accountability.</t>
        </is>
      </c>
      <c r="I176" s="13" t="inlineStr">
        <is>
          <t>High risk: documented delivery operating model across functions, teams, sites, vendors and customer interfaces depends on informal practices or individual knowledge. Disruption may expose missed commitments, SLA breaches, service interruption and weak customer recovery and slow recovery.</t>
        </is>
      </c>
      <c r="J176" s="13" t="inlineStr">
        <is>
          <t>Elevated risk: documented delivery operating model across functions, teams, sites, vendors and customer interfaces is partially controlled, but coverage, evidence or testing is inconsistent. Crisis response may be fragmented.</t>
        </is>
      </c>
      <c r="K176" s="13" t="inlineStr">
        <is>
          <t>Moderate risk: documented delivery operating model across functions, teams, sites, vendors and customer interfaces is documented and owned, but measurement, stress testing and integration with dependent processes need strengthening.</t>
        </is>
      </c>
      <c r="L176" s="13" t="inlineStr">
        <is>
          <t>Residual risk: documented delivery operating model across functions, teams, sites, vendors and customer interfaces is measured and reviewed, but monitoring, automation or scenario testing should be improved to prevent maturity drift.</t>
        </is>
      </c>
      <c r="M176" s="13" t="inlineStr">
        <is>
          <t>Low residual risk: documented delivery operating model across functions, teams, sites, vendors and customer interfaces is mature and crisis-tested. Maintain monitoring, evidence, ownership and periodic stress testing.</t>
        </is>
      </c>
      <c r="N176" s="13" t="inlineStr">
        <is>
          <t>Create an immediate risk owner, minimum control baseline and fallback procedure for documented delivery operating model across functions, teams, sites, vendors and customer interfaces. Add it to the crisis risk register and collect first evidence.</t>
        </is>
      </c>
      <c r="O176" s="13" t="inlineStr">
        <is>
          <t>Document documented delivery operating model across functions, teams, sites, vendors and customer interfaces, assign RACI, define minimum controls and KPIs, and validate coverage across key sites, teams or systems.</t>
        </is>
      </c>
      <c r="P176" s="13" t="inlineStr">
        <is>
          <t>Standardize documented delivery operating model across functions, teams, sites, vendors and customer interfaces, close coverage gaps, train accountable roles and connect controls to the relevant crisis scenarios and continuity plans.</t>
        </is>
      </c>
      <c r="Q176" s="13" t="inlineStr">
        <is>
          <t>Measure and test documented delivery operating model across functions, teams, sites, vendors and customer interfaces, run tabletop or operational stress tests, integrate it with dependent processes and update crisis playbooks.</t>
        </is>
      </c>
      <c r="R176" s="13" t="inlineStr">
        <is>
          <t>Automate monitoring where practical, define leading indicators, run periodic scenario tests and track residual risk after each major change.</t>
        </is>
      </c>
      <c r="S176" s="13" t="inlineStr">
        <is>
          <t>Sustain maturity for documented delivery operating model across functions, teams, sites, vendors and customer interfaces: keep evidence current, monitor drift, benchmark externally and refresh risk tests after organizational, system or market changes.</t>
        </is>
      </c>
      <c r="T176" s="13" t="n">
        <v>3</v>
      </c>
      <c r="U176" s="13" t="n">
        <v>3</v>
      </c>
      <c r="V176" s="13" t="n">
        <v>2</v>
      </c>
      <c r="W176" s="13" t="n">
        <v>2</v>
      </c>
      <c r="X176" s="13" t="n">
        <v>1</v>
      </c>
      <c r="Y176" s="13" t="n">
        <v>1</v>
      </c>
      <c r="Z176" s="13" t="inlineStr">
        <is>
          <t>ISO 9001; ISO 22301; ITIL 4; Lean; Six Sigma; APQC; service management best practices</t>
        </is>
      </c>
      <c r="AA176" s="13" t="inlineStr">
        <is>
          <t>Policy/SOP; owner/RACI; system report; dashboard; contracts; test records; incident history; interview evidence related to documented delivery operating model across functions, teams, sites, vendors and customer interfaces.</t>
        </is>
      </c>
      <c r="AB176" s="13" t="inlineStr">
        <is>
          <t>Delivery disruption; Customer impact; Workforce disruption</t>
        </is>
      </c>
      <c r="AC176" s="13" t="inlineStr">
        <is>
          <t>COO / Delivery</t>
        </is>
      </c>
      <c r="AD176" s="13" t="inlineStr">
        <is>
          <t>Delivery Ops!5</t>
        </is>
      </c>
      <c r="AE176">
        <f>IF($A176="","",IF(OR(ISNUMBER(SEARCH("cyber",$D176)),ISNUMBER(SEARCH("security",$D176)),ISNUMBER(SEARCH("safety",$D176)),ISNUMBER(SEARCH("liquidity",$D176)),ISNUMBER(SEARCH("cash",$D176)),ISNUMBER(SEARCH("continuity",$D176)),ISNUMBER(SEARCH("infrastructure",$D176)),ISNUMBER(SEARCH("outage",$D176))),"Fast",IF(OR(ISNUMBER(SEARCH("compliance",$D176)),ISNUMBER(SEARCH("regulat",$D176)),ISNUMBER(SEARCH("data",$D176)),ISNUMBER(SEARCH("talent",$D176)),ISNUMBER(SEARCH("knowledge",$D176)),ISNUMBER(SEARCH("portfolio",$D176)),ISNUMBER(SEARCH("quality",$D176))),"Slow","Medium")))</f>
        <v/>
      </c>
      <c r="AF176">
        <f>IF($A176="","",IFERROR(VLOOKUP($B176,'_CONFIG_Risk_Calibration'!$A$5:$H$21,2,FALSE),3))</f>
        <v/>
      </c>
      <c r="AG176">
        <f>IF($A176="","",IFERROR(VLOOKUP($B176,'_CONFIG_Risk_Calibration'!$A$5:$H$21,3,FALSE),0))</f>
        <v/>
      </c>
      <c r="AH176">
        <f>IF($A176="","",IFERROR(VLOOKUP($B176,'_CONFIG_Risk_Calibration'!$A$5:$H$21,4,FALSE),3))</f>
        <v/>
      </c>
      <c r="AI176">
        <f>IF($A176="","",IFERROR(VLOOKUP($B176,'_CONFIG_Risk_Calibration'!$A$5:$H$21,5,FALSE),3))</f>
        <v/>
      </c>
      <c r="AJ176">
        <f>IF($A176="","",IFERROR(VLOOKUP($B176,'_CONFIG_Risk_Calibration'!$A$5:$H$21,6,FALSE),"No"))</f>
        <v/>
      </c>
      <c r="AK176">
        <f>IF($A176="","",IFERROR(VLOOKUP($B176,'_CONFIG_Risk_Calibration'!$A$5:$H$21,7,FALSE),1))</f>
        <v/>
      </c>
      <c r="AL176">
        <f>IF($A176="","",IFERROR(VLOOKUP($B176,'_CONFIG_Risk_Calibration'!$A$5:$H$21,8,FALSE),""))</f>
        <v/>
      </c>
    </row>
    <row r="177" ht="72" customHeight="1" s="209">
      <c r="A177" s="13" t="inlineStr">
        <is>
          <t>DELI-002</t>
        </is>
      </c>
      <c r="B177" s="13" t="inlineStr">
        <is>
          <t>Delivery Ops</t>
        </is>
      </c>
      <c r="C177" s="13" t="inlineStr">
        <is>
          <t>Delivery governance</t>
        </is>
      </c>
      <c r="D177" s="13" t="inlineStr">
        <is>
          <t>Delivery, service continuity and operational execution</t>
        </is>
      </c>
      <c r="E177" s="13" t="inlineStr">
        <is>
          <t>How mature is the organization in managing critical delivery processes ranked by customer, revenue, safety and contractual impact, including ownership, evidence, metrics, fallback procedures and crisis stress testing?</t>
        </is>
      </c>
      <c r="F177" s="13" t="inlineStr">
        <is>
          <t>Immature capability for critical delivery processes ranked by customer, revenue, safety and contractual impact may lead to missed commitments, SLA breaches, service interruption and weak customer recovery during Delivery disruption; Customer impact; Workforce disruption.</t>
        </is>
      </c>
      <c r="G177" s="13" t="inlineStr">
        <is>
          <t>Low maturity, weak ownership, incomplete evidence, insufficient testing and poor integration with crisis-management routines for critical delivery processes ranked by customer, revenue, safety and contractual impact.</t>
        </is>
      </c>
      <c r="H177" s="13" t="inlineStr">
        <is>
          <t>Severe risk: critical delivery processes ranked by customer, revenue, safety and contractual impact is not reliably controlled. During Delivery disruption; Customer impact; Workforce disruption, the organization may face missed commitments, SLA breaches, service interruption and weak customer recovery with limited visibility or accountability.</t>
        </is>
      </c>
      <c r="I177" s="13" t="inlineStr">
        <is>
          <t>High risk: critical delivery processes ranked by customer, revenue, safety and contractual impact depends on informal practices or individual knowledge. Disruption may expose missed commitments, SLA breaches, service interruption and weak customer recovery and slow recovery.</t>
        </is>
      </c>
      <c r="J177" s="13" t="inlineStr">
        <is>
          <t>Elevated risk: critical delivery processes ranked by customer, revenue, safety and contractual impact is partially controlled, but coverage, evidence or testing is inconsistent. Crisis response may be fragmented.</t>
        </is>
      </c>
      <c r="K177" s="13" t="inlineStr">
        <is>
          <t>Moderate risk: critical delivery processes ranked by customer, revenue, safety and contractual impact is documented and owned, but measurement, stress testing and integration with dependent processes need strengthening.</t>
        </is>
      </c>
      <c r="L177" s="13" t="inlineStr">
        <is>
          <t>Residual risk: critical delivery processes ranked by customer, revenue, safety and contractual impact is measured and reviewed, but monitoring, automation or scenario testing should be improved to prevent maturity drift.</t>
        </is>
      </c>
      <c r="M177" s="13" t="inlineStr">
        <is>
          <t>Low residual risk: critical delivery processes ranked by customer, revenue, safety and contractual impact is mature and crisis-tested. Maintain monitoring, evidence, ownership and periodic stress testing.</t>
        </is>
      </c>
      <c r="N177" s="13" t="inlineStr">
        <is>
          <t>Create an immediate risk owner, minimum control baseline and fallback procedure for critical delivery processes ranked by customer, revenue, safety and contractual impact. Add it to the crisis risk register and collect first evidence.</t>
        </is>
      </c>
      <c r="O177" s="13" t="inlineStr">
        <is>
          <t>Document critical delivery processes ranked by customer, revenue, safety and contractual impact, assign RACI, define minimum controls and KPIs, and validate coverage across key sites, teams or systems.</t>
        </is>
      </c>
      <c r="P177" s="13" t="inlineStr">
        <is>
          <t>Standardize critical delivery processes ranked by customer, revenue, safety and contractual impact, close coverage gaps, train accountable roles and connect controls to the relevant crisis scenarios and continuity plans.</t>
        </is>
      </c>
      <c r="Q177" s="13" t="inlineStr">
        <is>
          <t>Measure and test critical delivery processes ranked by customer, revenue, safety and contractual impact, run tabletop or operational stress tests, integrate it with dependent processes and update crisis playbooks.</t>
        </is>
      </c>
      <c r="R177" s="13" t="inlineStr">
        <is>
          <t>Automate monitoring where practical, define leading indicators, run periodic scenario tests and track residual risk after each major change.</t>
        </is>
      </c>
      <c r="S177" s="13" t="inlineStr">
        <is>
          <t>Sustain maturity for critical delivery processes ranked by customer, revenue, safety and contractual impact: keep evidence current, monitor drift, benchmark externally and refresh risk tests after organizational, system or market changes.</t>
        </is>
      </c>
      <c r="T177" s="13" t="n">
        <v>3</v>
      </c>
      <c r="U177" s="13" t="n">
        <v>3</v>
      </c>
      <c r="V177" s="13" t="n">
        <v>2</v>
      </c>
      <c r="W177" s="13" t="n">
        <v>2</v>
      </c>
      <c r="X177" s="13" t="n">
        <v>1</v>
      </c>
      <c r="Y177" s="13" t="n">
        <v>1</v>
      </c>
      <c r="Z177" s="13" t="inlineStr">
        <is>
          <t>ISO 9001; ISO 22301; ITIL 4; Lean; Six Sigma; APQC; service management best practices</t>
        </is>
      </c>
      <c r="AA177" s="13" t="inlineStr">
        <is>
          <t>Policy/SOP; owner/RACI; system report; dashboard; contracts; test records; incident history; interview evidence related to critical delivery processes ranked by customer, revenue, safety and contractual impact.</t>
        </is>
      </c>
      <c r="AB177" s="13" t="inlineStr">
        <is>
          <t>Delivery disruption; Customer impact; Workforce disruption</t>
        </is>
      </c>
      <c r="AC177" s="13" t="inlineStr">
        <is>
          <t>COO / Delivery</t>
        </is>
      </c>
      <c r="AD177" s="13" t="inlineStr">
        <is>
          <t>Delivery Ops!6</t>
        </is>
      </c>
      <c r="AE177">
        <f>IF($A177="","",IF(OR(ISNUMBER(SEARCH("cyber",$D177)),ISNUMBER(SEARCH("security",$D177)),ISNUMBER(SEARCH("safety",$D177)),ISNUMBER(SEARCH("liquidity",$D177)),ISNUMBER(SEARCH("cash",$D177)),ISNUMBER(SEARCH("continuity",$D177)),ISNUMBER(SEARCH("infrastructure",$D177)),ISNUMBER(SEARCH("outage",$D177))),"Fast",IF(OR(ISNUMBER(SEARCH("compliance",$D177)),ISNUMBER(SEARCH("regulat",$D177)),ISNUMBER(SEARCH("data",$D177)),ISNUMBER(SEARCH("talent",$D177)),ISNUMBER(SEARCH("knowledge",$D177)),ISNUMBER(SEARCH("portfolio",$D177)),ISNUMBER(SEARCH("quality",$D177))),"Slow","Medium")))</f>
        <v/>
      </c>
      <c r="AF177">
        <f>IF($A177="","",IFERROR(VLOOKUP($B177,'_CONFIG_Risk_Calibration'!$A$5:$H$21,2,FALSE),3))</f>
        <v/>
      </c>
      <c r="AG177">
        <f>IF($A177="","",IFERROR(VLOOKUP($B177,'_CONFIG_Risk_Calibration'!$A$5:$H$21,3,FALSE),0))</f>
        <v/>
      </c>
      <c r="AH177">
        <f>IF($A177="","",IFERROR(VLOOKUP($B177,'_CONFIG_Risk_Calibration'!$A$5:$H$21,4,FALSE),3))</f>
        <v/>
      </c>
      <c r="AI177">
        <f>IF($A177="","",IFERROR(VLOOKUP($B177,'_CONFIG_Risk_Calibration'!$A$5:$H$21,5,FALSE),3))</f>
        <v/>
      </c>
      <c r="AJ177">
        <f>IF($A177="","",IFERROR(VLOOKUP($B177,'_CONFIG_Risk_Calibration'!$A$5:$H$21,6,FALSE),"No"))</f>
        <v/>
      </c>
      <c r="AK177">
        <f>IF($A177="","",IFERROR(VLOOKUP($B177,'_CONFIG_Risk_Calibration'!$A$5:$H$21,7,FALSE),1))</f>
        <v/>
      </c>
      <c r="AL177">
        <f>IF($A177="","",IFERROR(VLOOKUP($B177,'_CONFIG_Risk_Calibration'!$A$5:$H$21,8,FALSE),""))</f>
        <v/>
      </c>
    </row>
    <row r="178" ht="72" customHeight="1" s="209">
      <c r="A178" s="13" t="inlineStr">
        <is>
          <t>DELI-003</t>
        </is>
      </c>
      <c r="B178" s="13" t="inlineStr">
        <is>
          <t>Delivery Ops</t>
        </is>
      </c>
      <c r="C178" s="13" t="inlineStr">
        <is>
          <t>Delivery governance</t>
        </is>
      </c>
      <c r="D178" s="13" t="inlineStr">
        <is>
          <t>Delivery, service continuity and operational execution</t>
        </is>
      </c>
      <c r="E178" s="13" t="inlineStr">
        <is>
          <t>How mature is the organization in managing SLA and OLA management with owners, escalation rules and customer communication, including ownership, evidence, metrics, fallback procedures and crisis stress testing?</t>
        </is>
      </c>
      <c r="F178" s="13" t="inlineStr">
        <is>
          <t>Immature capability for SLA and OLA management with owners, escalation rules and customer communication may lead to missed commitments, SLA breaches, service interruption and weak customer recovery during Delivery disruption; Customer impact; Workforce disruption.</t>
        </is>
      </c>
      <c r="G178" s="13" t="inlineStr">
        <is>
          <t>Low maturity, weak ownership, incomplete evidence, insufficient testing and poor integration with crisis-management routines for SLA and OLA management with owners, escalation rules and customer communication.</t>
        </is>
      </c>
      <c r="H178" s="13" t="inlineStr">
        <is>
          <t>Severe risk: SLA and OLA management with owners, escalation rules and customer communication is not reliably controlled. During Delivery disruption; Customer impact; Workforce disruption, the organization may face missed commitments, SLA breaches, service interruption and weak customer recovery with limited visibility or accountability.</t>
        </is>
      </c>
      <c r="I178" s="13" t="inlineStr">
        <is>
          <t>High risk: SLA and OLA management with owners, escalation rules and customer communication depends on informal practices or individual knowledge. Disruption may expose missed commitments, SLA breaches, service interruption and weak customer recovery and slow recovery.</t>
        </is>
      </c>
      <c r="J178" s="13" t="inlineStr">
        <is>
          <t>Elevated risk: SLA and OLA management with owners, escalation rules and customer communication is partially controlled, but coverage, evidence or testing is inconsistent. Crisis response may be fragmented.</t>
        </is>
      </c>
      <c r="K178" s="13" t="inlineStr">
        <is>
          <t>Moderate risk: SLA and OLA management with owners, escalation rules and customer communication is documented and owned, but measurement, stress testing and integration with dependent processes need strengthening.</t>
        </is>
      </c>
      <c r="L178" s="13" t="inlineStr">
        <is>
          <t>Residual risk: SLA and OLA management with owners, escalation rules and customer communication is measured and reviewed, but monitoring, automation or scenario testing should be improved to prevent maturity drift.</t>
        </is>
      </c>
      <c r="M178" s="13" t="inlineStr">
        <is>
          <t>Low residual risk: SLA and OLA management with owners, escalation rules and customer communication is mature and crisis-tested. Maintain monitoring, evidence, ownership and periodic stress testing.</t>
        </is>
      </c>
      <c r="N178" s="13" t="inlineStr">
        <is>
          <t>Create an immediate risk owner, minimum control baseline and fallback procedure for SLA and OLA management with owners, escalation rules and customer communication. Add it to the crisis risk register and collect first evidence.</t>
        </is>
      </c>
      <c r="O178" s="13" t="inlineStr">
        <is>
          <t>Document SLA and OLA management with owners, escalation rules and customer communication, assign RACI, define minimum controls and KPIs, and validate coverage across key sites, teams or systems.</t>
        </is>
      </c>
      <c r="P178" s="13" t="inlineStr">
        <is>
          <t>Standardize SLA and OLA management with owners, escalation rules and customer communication, close coverage gaps, train accountable roles and connect controls to the relevant crisis scenarios and continuity plans.</t>
        </is>
      </c>
      <c r="Q178" s="13" t="inlineStr">
        <is>
          <t>Measure and test SLA and OLA management with owners, escalation rules and customer communication, run tabletop or operational stress tests, integrate it with dependent processes and update crisis playbooks.</t>
        </is>
      </c>
      <c r="R178" s="13" t="inlineStr">
        <is>
          <t>Automate monitoring where practical, define leading indicators, run periodic scenario tests and track residual risk after each major change.</t>
        </is>
      </c>
      <c r="S178" s="13" t="inlineStr">
        <is>
          <t>Sustain maturity for SLA and OLA management with owners, escalation rules and customer communication: keep evidence current, monitor drift, benchmark externally and refresh risk tests after organizational, system or market changes.</t>
        </is>
      </c>
      <c r="T178" s="13" t="n">
        <v>3</v>
      </c>
      <c r="U178" s="13" t="n">
        <v>3</v>
      </c>
      <c r="V178" s="13" t="n">
        <v>2</v>
      </c>
      <c r="W178" s="13" t="n">
        <v>2</v>
      </c>
      <c r="X178" s="13" t="n">
        <v>1</v>
      </c>
      <c r="Y178" s="13" t="n">
        <v>1</v>
      </c>
      <c r="Z178" s="13" t="inlineStr">
        <is>
          <t>ISO 9001; ISO 22301; ITIL 4; Lean; Six Sigma; APQC; service management best practices</t>
        </is>
      </c>
      <c r="AA178" s="13" t="inlineStr">
        <is>
          <t>Policy/SOP; owner/RACI; system report; dashboard; contracts; test records; incident history; interview evidence related to SLA and OLA management with owners, escalation rules and customer communication.</t>
        </is>
      </c>
      <c r="AB178" s="13" t="inlineStr">
        <is>
          <t>Delivery disruption; Customer impact; Workforce disruption</t>
        </is>
      </c>
      <c r="AC178" s="13" t="inlineStr">
        <is>
          <t>COO / Delivery</t>
        </is>
      </c>
      <c r="AD178" s="13" t="inlineStr">
        <is>
          <t>Delivery Ops!7</t>
        </is>
      </c>
      <c r="AE178">
        <f>IF($A178="","",IF(OR(ISNUMBER(SEARCH("cyber",$D178)),ISNUMBER(SEARCH("security",$D178)),ISNUMBER(SEARCH("safety",$D178)),ISNUMBER(SEARCH("liquidity",$D178)),ISNUMBER(SEARCH("cash",$D178)),ISNUMBER(SEARCH("continuity",$D178)),ISNUMBER(SEARCH("infrastructure",$D178)),ISNUMBER(SEARCH("outage",$D178))),"Fast",IF(OR(ISNUMBER(SEARCH("compliance",$D178)),ISNUMBER(SEARCH("regulat",$D178)),ISNUMBER(SEARCH("data",$D178)),ISNUMBER(SEARCH("talent",$D178)),ISNUMBER(SEARCH("knowledge",$D178)),ISNUMBER(SEARCH("portfolio",$D178)),ISNUMBER(SEARCH("quality",$D178))),"Slow","Medium")))</f>
        <v/>
      </c>
      <c r="AF178">
        <f>IF($A178="","",IFERROR(VLOOKUP($B178,'_CONFIG_Risk_Calibration'!$A$5:$H$21,2,FALSE),3))</f>
        <v/>
      </c>
      <c r="AG178">
        <f>IF($A178="","",IFERROR(VLOOKUP($B178,'_CONFIG_Risk_Calibration'!$A$5:$H$21,3,FALSE),0))</f>
        <v/>
      </c>
      <c r="AH178">
        <f>IF($A178="","",IFERROR(VLOOKUP($B178,'_CONFIG_Risk_Calibration'!$A$5:$H$21,4,FALSE),3))</f>
        <v/>
      </c>
      <c r="AI178">
        <f>IF($A178="","",IFERROR(VLOOKUP($B178,'_CONFIG_Risk_Calibration'!$A$5:$H$21,5,FALSE),3))</f>
        <v/>
      </c>
      <c r="AJ178">
        <f>IF($A178="","",IFERROR(VLOOKUP($B178,'_CONFIG_Risk_Calibration'!$A$5:$H$21,6,FALSE),"No"))</f>
        <v/>
      </c>
      <c r="AK178">
        <f>IF($A178="","",IFERROR(VLOOKUP($B178,'_CONFIG_Risk_Calibration'!$A$5:$H$21,7,FALSE),1))</f>
        <v/>
      </c>
      <c r="AL178">
        <f>IF($A178="","",IFERROR(VLOOKUP($B178,'_CONFIG_Risk_Calibration'!$A$5:$H$21,8,FALSE),""))</f>
        <v/>
      </c>
    </row>
    <row r="179" ht="72" customHeight="1" s="209">
      <c r="A179" s="13" t="inlineStr">
        <is>
          <t>DELI-004</t>
        </is>
      </c>
      <c r="B179" s="13" t="inlineStr">
        <is>
          <t>Delivery Ops</t>
        </is>
      </c>
      <c r="C179" s="13" t="inlineStr">
        <is>
          <t>Delivery governance</t>
        </is>
      </c>
      <c r="D179" s="13" t="inlineStr">
        <is>
          <t>Delivery, service continuity and operational execution</t>
        </is>
      </c>
      <c r="E179" s="13" t="inlineStr">
        <is>
          <t>How mature is the organization in managing operational incident link to delivery impact, customer communication and corrective action, including ownership, evidence, metrics, fallback procedures and crisis stress testing?</t>
        </is>
      </c>
      <c r="F179" s="13" t="inlineStr">
        <is>
          <t>Immature capability for operational incident link to delivery impact, customer communication and corrective action may lead to missed commitments, SLA breaches, service interruption and weak customer recovery during Delivery disruption; Customer impact; Workforce disruption.</t>
        </is>
      </c>
      <c r="G179" s="13" t="inlineStr">
        <is>
          <t>Low maturity, weak ownership, incomplete evidence, insufficient testing and poor integration with crisis-management routines for operational incident link to delivery impact, customer communication and corrective action.</t>
        </is>
      </c>
      <c r="H179" s="13" t="inlineStr">
        <is>
          <t>Severe risk: operational incident link to delivery impact, customer communication and corrective action is not reliably controlled. During Delivery disruption; Customer impact; Workforce disruption, the organization may face missed commitments, SLA breaches, service interruption and weak customer recovery with limited visibility or accountability.</t>
        </is>
      </c>
      <c r="I179" s="13" t="inlineStr">
        <is>
          <t>High risk: operational incident link to delivery impact, customer communication and corrective action depends on informal practices or individual knowledge. Disruption may expose missed commitments, SLA breaches, service interruption and weak customer recovery and slow recovery.</t>
        </is>
      </c>
      <c r="J179" s="13" t="inlineStr">
        <is>
          <t>Elevated risk: operational incident link to delivery impact, customer communication and corrective action is partially controlled, but coverage, evidence or testing is inconsistent. Crisis response may be fragmented.</t>
        </is>
      </c>
      <c r="K179" s="13" t="inlineStr">
        <is>
          <t>Moderate risk: operational incident link to delivery impact, customer communication and corrective action is documented and owned, but measurement, stress testing and integration with dependent processes need strengthening.</t>
        </is>
      </c>
      <c r="L179" s="13" t="inlineStr">
        <is>
          <t>Residual risk: operational incident link to delivery impact, customer communication and corrective action is measured and reviewed, but monitoring, automation or scenario testing should be improved to prevent maturity drift.</t>
        </is>
      </c>
      <c r="M179" s="13" t="inlineStr">
        <is>
          <t>Low residual risk: operational incident link to delivery impact, customer communication and corrective action is mature and crisis-tested. Maintain monitoring, evidence, ownership and periodic stress testing.</t>
        </is>
      </c>
      <c r="N179" s="13" t="inlineStr">
        <is>
          <t>Create an immediate risk owner, minimum control baseline and fallback procedure for operational incident link to delivery impact, customer communication and corrective action. Add it to the crisis risk register and collect first evidence.</t>
        </is>
      </c>
      <c r="O179" s="13" t="inlineStr">
        <is>
          <t>Document operational incident link to delivery impact, customer communication and corrective action, assign RACI, define minimum controls and KPIs, and validate coverage across key sites, teams or systems.</t>
        </is>
      </c>
      <c r="P179" s="13" t="inlineStr">
        <is>
          <t>Standardize operational incident link to delivery impact, customer communication and corrective action, close coverage gaps, train accountable roles and connect controls to the relevant crisis scenarios and continuity plans.</t>
        </is>
      </c>
      <c r="Q179" s="13" t="inlineStr">
        <is>
          <t>Measure and test operational incident link to delivery impact, customer communication and corrective action, run tabletop or operational stress tests, integrate it with dependent processes and update crisis playbooks.</t>
        </is>
      </c>
      <c r="R179" s="13" t="inlineStr">
        <is>
          <t>Automate monitoring where practical, define leading indicators, run periodic scenario tests and track residual risk after each major change.</t>
        </is>
      </c>
      <c r="S179" s="13" t="inlineStr">
        <is>
          <t>Sustain maturity for operational incident link to delivery impact, customer communication and corrective action: keep evidence current, monitor drift, benchmark externally and refresh risk tests after organizational, system or market changes.</t>
        </is>
      </c>
      <c r="T179" s="13" t="n">
        <v>3</v>
      </c>
      <c r="U179" s="13" t="n">
        <v>3</v>
      </c>
      <c r="V179" s="13" t="n">
        <v>2</v>
      </c>
      <c r="W179" s="13" t="n">
        <v>2</v>
      </c>
      <c r="X179" s="13" t="n">
        <v>1</v>
      </c>
      <c r="Y179" s="13" t="n">
        <v>1</v>
      </c>
      <c r="Z179" s="13" t="inlineStr">
        <is>
          <t>ISO 9001; ISO 22301; ITIL 4; Lean; Six Sigma; APQC; service management best practices</t>
        </is>
      </c>
      <c r="AA179" s="13" t="inlineStr">
        <is>
          <t>Policy/SOP; owner/RACI; system report; dashboard; contracts; test records; incident history; interview evidence related to operational incident link to delivery impact, customer communication and corrective action.</t>
        </is>
      </c>
      <c r="AB179" s="13" t="inlineStr">
        <is>
          <t>Delivery disruption; Customer impact; Workforce disruption</t>
        </is>
      </c>
      <c r="AC179" s="13" t="inlineStr">
        <is>
          <t>COO / Delivery</t>
        </is>
      </c>
      <c r="AD179" s="13" t="inlineStr">
        <is>
          <t>Delivery Ops!8</t>
        </is>
      </c>
      <c r="AE179">
        <f>IF($A179="","",IF(OR(ISNUMBER(SEARCH("cyber",$D179)),ISNUMBER(SEARCH("security",$D179)),ISNUMBER(SEARCH("safety",$D179)),ISNUMBER(SEARCH("liquidity",$D179)),ISNUMBER(SEARCH("cash",$D179)),ISNUMBER(SEARCH("continuity",$D179)),ISNUMBER(SEARCH("infrastructure",$D179)),ISNUMBER(SEARCH("outage",$D179))),"Fast",IF(OR(ISNUMBER(SEARCH("compliance",$D179)),ISNUMBER(SEARCH("regulat",$D179)),ISNUMBER(SEARCH("data",$D179)),ISNUMBER(SEARCH("talent",$D179)),ISNUMBER(SEARCH("knowledge",$D179)),ISNUMBER(SEARCH("portfolio",$D179)),ISNUMBER(SEARCH("quality",$D179))),"Slow","Medium")))</f>
        <v/>
      </c>
      <c r="AF179">
        <f>IF($A179="","",IFERROR(VLOOKUP($B179,'_CONFIG_Risk_Calibration'!$A$5:$H$21,2,FALSE),3))</f>
        <v/>
      </c>
      <c r="AG179">
        <f>IF($A179="","",IFERROR(VLOOKUP($B179,'_CONFIG_Risk_Calibration'!$A$5:$H$21,3,FALSE),0))</f>
        <v/>
      </c>
      <c r="AH179">
        <f>IF($A179="","",IFERROR(VLOOKUP($B179,'_CONFIG_Risk_Calibration'!$A$5:$H$21,4,FALSE),3))</f>
        <v/>
      </c>
      <c r="AI179">
        <f>IF($A179="","",IFERROR(VLOOKUP($B179,'_CONFIG_Risk_Calibration'!$A$5:$H$21,5,FALSE),3))</f>
        <v/>
      </c>
      <c r="AJ179">
        <f>IF($A179="","",IFERROR(VLOOKUP($B179,'_CONFIG_Risk_Calibration'!$A$5:$H$21,6,FALSE),"No"))</f>
        <v/>
      </c>
      <c r="AK179">
        <f>IF($A179="","",IFERROR(VLOOKUP($B179,'_CONFIG_Risk_Calibration'!$A$5:$H$21,7,FALSE),1))</f>
        <v/>
      </c>
      <c r="AL179">
        <f>IF($A179="","",IFERROR(VLOOKUP($B179,'_CONFIG_Risk_Calibration'!$A$5:$H$21,8,FALSE),""))</f>
        <v/>
      </c>
    </row>
    <row r="180" ht="72" customHeight="1" s="209">
      <c r="A180" s="13" t="inlineStr">
        <is>
          <t>DELI-005</t>
        </is>
      </c>
      <c r="B180" s="13" t="inlineStr">
        <is>
          <t>Delivery Ops</t>
        </is>
      </c>
      <c r="C180" s="13" t="inlineStr">
        <is>
          <t>Delivery governance</t>
        </is>
      </c>
      <c r="D180" s="13" t="inlineStr">
        <is>
          <t>Delivery, service continuity and operational execution</t>
        </is>
      </c>
      <c r="E180" s="13" t="inlineStr">
        <is>
          <t>How mature is the organization in managing customer prioritization rules during capacity constraints, including ownership, evidence, metrics, fallback procedures and crisis stress testing?</t>
        </is>
      </c>
      <c r="F180" s="13" t="inlineStr">
        <is>
          <t>Immature capability for customer prioritization rules during capacity constraints may lead to missed commitments, SLA breaches, service interruption and weak customer recovery during Delivery disruption; Customer impact; Workforce disruption.</t>
        </is>
      </c>
      <c r="G180" s="13" t="inlineStr">
        <is>
          <t>Low maturity, weak ownership, incomplete evidence, insufficient testing and poor integration with crisis-management routines for customer prioritization rules during capacity constraints.</t>
        </is>
      </c>
      <c r="H180" s="13" t="inlineStr">
        <is>
          <t>Severe risk: customer prioritization rules during capacity constraints is not reliably controlled. During Delivery disruption; Customer impact; Workforce disruption, the organization may face missed commitments, SLA breaches, service interruption and weak customer recovery with limited visibility or accountability.</t>
        </is>
      </c>
      <c r="I180" s="13" t="inlineStr">
        <is>
          <t>High risk: customer prioritization rules during capacity constraints depends on informal practices or individual knowledge. Disruption may expose missed commitments, SLA breaches, service interruption and weak customer recovery and slow recovery.</t>
        </is>
      </c>
      <c r="J180" s="13" t="inlineStr">
        <is>
          <t>Elevated risk: customer prioritization rules during capacity constraints is partially controlled, but coverage, evidence or testing is inconsistent. Crisis response may be fragmented.</t>
        </is>
      </c>
      <c r="K180" s="13" t="inlineStr">
        <is>
          <t>Moderate risk: customer prioritization rules during capacity constraints is documented and owned, but measurement, stress testing and integration with dependent processes need strengthening.</t>
        </is>
      </c>
      <c r="L180" s="13" t="inlineStr">
        <is>
          <t>Residual risk: customer prioritization rules during capacity constraints is measured and reviewed, but monitoring, automation or scenario testing should be improved to prevent maturity drift.</t>
        </is>
      </c>
      <c r="M180" s="13" t="inlineStr">
        <is>
          <t>Low residual risk: customer prioritization rules during capacity constraints is mature and crisis-tested. Maintain monitoring, evidence, ownership and periodic stress testing.</t>
        </is>
      </c>
      <c r="N180" s="13" t="inlineStr">
        <is>
          <t>Create an immediate risk owner, minimum control baseline and fallback procedure for customer prioritization rules during capacity constraints. Add it to the crisis risk register and collect first evidence.</t>
        </is>
      </c>
      <c r="O180" s="13" t="inlineStr">
        <is>
          <t>Document customer prioritization rules during capacity constraints, assign RACI, define minimum controls and KPIs, and validate coverage across key sites, teams or systems.</t>
        </is>
      </c>
      <c r="P180" s="13" t="inlineStr">
        <is>
          <t>Standardize customer prioritization rules during capacity constraints, close coverage gaps, train accountable roles and connect controls to the relevant crisis scenarios and continuity plans.</t>
        </is>
      </c>
      <c r="Q180" s="13" t="inlineStr">
        <is>
          <t>Measure and test customer prioritization rules during capacity constraints, run tabletop or operational stress tests, integrate it with dependent processes and update crisis playbooks.</t>
        </is>
      </c>
      <c r="R180" s="13" t="inlineStr">
        <is>
          <t>Automate monitoring where practical, define leading indicators, run periodic scenario tests and track residual risk after each major change.</t>
        </is>
      </c>
      <c r="S180" s="13" t="inlineStr">
        <is>
          <t>Sustain maturity for customer prioritization rules during capacity constraints: keep evidence current, monitor drift, benchmark externally and refresh risk tests after organizational, system or market changes.</t>
        </is>
      </c>
      <c r="T180" s="13" t="n">
        <v>3</v>
      </c>
      <c r="U180" s="13" t="n">
        <v>3</v>
      </c>
      <c r="V180" s="13" t="n">
        <v>2</v>
      </c>
      <c r="W180" s="13" t="n">
        <v>2</v>
      </c>
      <c r="X180" s="13" t="n">
        <v>1</v>
      </c>
      <c r="Y180" s="13" t="n">
        <v>1</v>
      </c>
      <c r="Z180" s="13" t="inlineStr">
        <is>
          <t>ISO 9001; ISO 22301; ITIL 4; Lean; Six Sigma; APQC; service management best practices</t>
        </is>
      </c>
      <c r="AA180" s="13" t="inlineStr">
        <is>
          <t>Policy/SOP; owner/RACI; system report; dashboard; contracts; test records; incident history; interview evidence related to customer prioritization rules during capacity constraints.</t>
        </is>
      </c>
      <c r="AB180" s="13" t="inlineStr">
        <is>
          <t>Delivery disruption; Customer impact; Workforce disruption</t>
        </is>
      </c>
      <c r="AC180" s="13" t="inlineStr">
        <is>
          <t>COO / Delivery</t>
        </is>
      </c>
      <c r="AD180" s="13" t="inlineStr">
        <is>
          <t>Delivery Ops!9</t>
        </is>
      </c>
      <c r="AE180">
        <f>IF($A180="","",IF(OR(ISNUMBER(SEARCH("cyber",$D180)),ISNUMBER(SEARCH("security",$D180)),ISNUMBER(SEARCH("safety",$D180)),ISNUMBER(SEARCH("liquidity",$D180)),ISNUMBER(SEARCH("cash",$D180)),ISNUMBER(SEARCH("continuity",$D180)),ISNUMBER(SEARCH("infrastructure",$D180)),ISNUMBER(SEARCH("outage",$D180))),"Fast",IF(OR(ISNUMBER(SEARCH("compliance",$D180)),ISNUMBER(SEARCH("regulat",$D180)),ISNUMBER(SEARCH("data",$D180)),ISNUMBER(SEARCH("talent",$D180)),ISNUMBER(SEARCH("knowledge",$D180)),ISNUMBER(SEARCH("portfolio",$D180)),ISNUMBER(SEARCH("quality",$D180))),"Slow","Medium")))</f>
        <v/>
      </c>
      <c r="AF180">
        <f>IF($A180="","",IFERROR(VLOOKUP($B180,'_CONFIG_Risk_Calibration'!$A$5:$H$21,2,FALSE),3))</f>
        <v/>
      </c>
      <c r="AG180">
        <f>IF($A180="","",IFERROR(VLOOKUP($B180,'_CONFIG_Risk_Calibration'!$A$5:$H$21,3,FALSE),0))</f>
        <v/>
      </c>
      <c r="AH180">
        <f>IF($A180="","",IFERROR(VLOOKUP($B180,'_CONFIG_Risk_Calibration'!$A$5:$H$21,4,FALSE),3))</f>
        <v/>
      </c>
      <c r="AI180">
        <f>IF($A180="","",IFERROR(VLOOKUP($B180,'_CONFIG_Risk_Calibration'!$A$5:$H$21,5,FALSE),3))</f>
        <v/>
      </c>
      <c r="AJ180">
        <f>IF($A180="","",IFERROR(VLOOKUP($B180,'_CONFIG_Risk_Calibration'!$A$5:$H$21,6,FALSE),"No"))</f>
        <v/>
      </c>
      <c r="AK180">
        <f>IF($A180="","",IFERROR(VLOOKUP($B180,'_CONFIG_Risk_Calibration'!$A$5:$H$21,7,FALSE),1))</f>
        <v/>
      </c>
      <c r="AL180">
        <f>IF($A180="","",IFERROR(VLOOKUP($B180,'_CONFIG_Risk_Calibration'!$A$5:$H$21,8,FALSE),""))</f>
        <v/>
      </c>
    </row>
    <row r="181" ht="72" customHeight="1" s="209">
      <c r="A181" s="13" t="inlineStr">
        <is>
          <t>DELI-006</t>
        </is>
      </c>
      <c r="B181" s="13" t="inlineStr">
        <is>
          <t>Delivery Ops</t>
        </is>
      </c>
      <c r="C181" s="13" t="inlineStr">
        <is>
          <t>Delivery governance</t>
        </is>
      </c>
      <c r="D181" s="13" t="inlineStr">
        <is>
          <t>Delivery, service continuity and operational execution</t>
        </is>
      </c>
      <c r="E181" s="13" t="inlineStr">
        <is>
          <t>How mature is the organization in managing delivery transparency to customers during delays, incidents or disruption, including ownership, evidence, metrics, fallback procedures and crisis stress testing?</t>
        </is>
      </c>
      <c r="F181" s="13" t="inlineStr">
        <is>
          <t>Immature capability for delivery transparency to customers during delays, incidents or disruption may lead to missed commitments, SLA breaches, service interruption and weak customer recovery during Delivery disruption; Customer impact; Workforce disruption.</t>
        </is>
      </c>
      <c r="G181" s="13" t="inlineStr">
        <is>
          <t>Low maturity, weak ownership, incomplete evidence, insufficient testing and poor integration with crisis-management routines for delivery transparency to customers during delays, incidents or disruption.</t>
        </is>
      </c>
      <c r="H181" s="13" t="inlineStr">
        <is>
          <t>Severe risk: delivery transparency to customers during delays, incidents or disruption is not reliably controlled. During Delivery disruption; Customer impact; Workforce disruption, the organization may face missed commitments, SLA breaches, service interruption and weak customer recovery with limited visibility or accountability.</t>
        </is>
      </c>
      <c r="I181" s="13" t="inlineStr">
        <is>
          <t>High risk: delivery transparency to customers during delays, incidents or disruption depends on informal practices or individual knowledge. Disruption may expose missed commitments, SLA breaches, service interruption and weak customer recovery and slow recovery.</t>
        </is>
      </c>
      <c r="J181" s="13" t="inlineStr">
        <is>
          <t>Elevated risk: delivery transparency to customers during delays, incidents or disruption is partially controlled, but coverage, evidence or testing is inconsistent. Crisis response may be fragmented.</t>
        </is>
      </c>
      <c r="K181" s="13" t="inlineStr">
        <is>
          <t>Moderate risk: delivery transparency to customers during delays, incidents or disruption is documented and owned, but measurement, stress testing and integration with dependent processes need strengthening.</t>
        </is>
      </c>
      <c r="L181" s="13" t="inlineStr">
        <is>
          <t>Residual risk: delivery transparency to customers during delays, incidents or disruption is measured and reviewed, but monitoring, automation or scenario testing should be improved to prevent maturity drift.</t>
        </is>
      </c>
      <c r="M181" s="13" t="inlineStr">
        <is>
          <t>Low residual risk: delivery transparency to customers during delays, incidents or disruption is mature and crisis-tested. Maintain monitoring, evidence, ownership and periodic stress testing.</t>
        </is>
      </c>
      <c r="N181" s="13" t="inlineStr">
        <is>
          <t>Create an immediate risk owner, minimum control baseline and fallback procedure for delivery transparency to customers during delays, incidents or disruption. Add it to the crisis risk register and collect first evidence.</t>
        </is>
      </c>
      <c r="O181" s="13" t="inlineStr">
        <is>
          <t>Document delivery transparency to customers during delays, incidents or disruption, assign RACI, define minimum controls and KPIs, and validate coverage across key sites, teams or systems.</t>
        </is>
      </c>
      <c r="P181" s="13" t="inlineStr">
        <is>
          <t>Standardize delivery transparency to customers during delays, incidents or disruption, close coverage gaps, train accountable roles and connect controls to the relevant crisis scenarios and continuity plans.</t>
        </is>
      </c>
      <c r="Q181" s="13" t="inlineStr">
        <is>
          <t>Measure and test delivery transparency to customers during delays, incidents or disruption, run tabletop or operational stress tests, integrate it with dependent processes and update crisis playbooks.</t>
        </is>
      </c>
      <c r="R181" s="13" t="inlineStr">
        <is>
          <t>Automate monitoring where practical, define leading indicators, run periodic scenario tests and track residual risk after each major change.</t>
        </is>
      </c>
      <c r="S181" s="13" t="inlineStr">
        <is>
          <t>Sustain maturity for delivery transparency to customers during delays, incidents or disruption: keep evidence current, monitor drift, benchmark externally and refresh risk tests after organizational, system or market changes.</t>
        </is>
      </c>
      <c r="T181" s="13" t="n">
        <v>3</v>
      </c>
      <c r="U181" s="13" t="n">
        <v>3</v>
      </c>
      <c r="V181" s="13" t="n">
        <v>2</v>
      </c>
      <c r="W181" s="13" t="n">
        <v>2</v>
      </c>
      <c r="X181" s="13" t="n">
        <v>1</v>
      </c>
      <c r="Y181" s="13" t="n">
        <v>1</v>
      </c>
      <c r="Z181" s="13" t="inlineStr">
        <is>
          <t>ISO 9001; ISO 22301; ITIL 4; Lean; Six Sigma; APQC; service management best practices</t>
        </is>
      </c>
      <c r="AA181" s="13" t="inlineStr">
        <is>
          <t>Policy/SOP; owner/RACI; system report; dashboard; contracts; test records; incident history; interview evidence related to delivery transparency to customers during delays, incidents or disruption.</t>
        </is>
      </c>
      <c r="AB181" s="13" t="inlineStr">
        <is>
          <t>Delivery disruption; Customer impact; Workforce disruption</t>
        </is>
      </c>
      <c r="AC181" s="13" t="inlineStr">
        <is>
          <t>COO / Delivery</t>
        </is>
      </c>
      <c r="AD181" s="13" t="inlineStr">
        <is>
          <t>Delivery Ops!10</t>
        </is>
      </c>
      <c r="AE181">
        <f>IF($A181="","",IF(OR(ISNUMBER(SEARCH("cyber",$D181)),ISNUMBER(SEARCH("security",$D181)),ISNUMBER(SEARCH("safety",$D181)),ISNUMBER(SEARCH("liquidity",$D181)),ISNUMBER(SEARCH("cash",$D181)),ISNUMBER(SEARCH("continuity",$D181)),ISNUMBER(SEARCH("infrastructure",$D181)),ISNUMBER(SEARCH("outage",$D181))),"Fast",IF(OR(ISNUMBER(SEARCH("compliance",$D181)),ISNUMBER(SEARCH("regulat",$D181)),ISNUMBER(SEARCH("data",$D181)),ISNUMBER(SEARCH("talent",$D181)),ISNUMBER(SEARCH("knowledge",$D181)),ISNUMBER(SEARCH("portfolio",$D181)),ISNUMBER(SEARCH("quality",$D181))),"Slow","Medium")))</f>
        <v/>
      </c>
      <c r="AF181">
        <f>IF($A181="","",IFERROR(VLOOKUP($B181,'_CONFIG_Risk_Calibration'!$A$5:$H$21,2,FALSE),3))</f>
        <v/>
      </c>
      <c r="AG181">
        <f>IF($A181="","",IFERROR(VLOOKUP($B181,'_CONFIG_Risk_Calibration'!$A$5:$H$21,3,FALSE),0))</f>
        <v/>
      </c>
      <c r="AH181">
        <f>IF($A181="","",IFERROR(VLOOKUP($B181,'_CONFIG_Risk_Calibration'!$A$5:$H$21,4,FALSE),3))</f>
        <v/>
      </c>
      <c r="AI181">
        <f>IF($A181="","",IFERROR(VLOOKUP($B181,'_CONFIG_Risk_Calibration'!$A$5:$H$21,5,FALSE),3))</f>
        <v/>
      </c>
      <c r="AJ181">
        <f>IF($A181="","",IFERROR(VLOOKUP($B181,'_CONFIG_Risk_Calibration'!$A$5:$H$21,6,FALSE),"No"))</f>
        <v/>
      </c>
      <c r="AK181">
        <f>IF($A181="","",IFERROR(VLOOKUP($B181,'_CONFIG_Risk_Calibration'!$A$5:$H$21,7,FALSE),1))</f>
        <v/>
      </c>
      <c r="AL181">
        <f>IF($A181="","",IFERROR(VLOOKUP($B181,'_CONFIG_Risk_Calibration'!$A$5:$H$21,8,FALSE),""))</f>
        <v/>
      </c>
    </row>
    <row r="182" ht="72" customHeight="1" s="209">
      <c r="A182" s="13" t="inlineStr">
        <is>
          <t>DELI-007</t>
        </is>
      </c>
      <c r="B182" s="13" t="inlineStr">
        <is>
          <t>Delivery Ops</t>
        </is>
      </c>
      <c r="C182" s="13" t="inlineStr">
        <is>
          <t>Capacity and continuity</t>
        </is>
      </c>
      <c r="D182" s="13" t="inlineStr">
        <is>
          <t>Delivery, service continuity and operational execution</t>
        </is>
      </c>
      <c r="E182" s="13" t="inlineStr">
        <is>
          <t>How mature is the organization in managing capacity planning for people, equipment, production lines, cloud resources, warehouses and suppliers, including ownership, evidence, metrics, fallback procedures and crisis stress testing?</t>
        </is>
      </c>
      <c r="F182" s="13" t="inlineStr">
        <is>
          <t>Immature capability for capacity planning for people, equipment, production lines, cloud resources, warehouses and suppliers may lead to missed commitments, SLA breaches, service interruption and weak customer recovery during Delivery disruption; Customer impact; Workforce disruption.</t>
        </is>
      </c>
      <c r="G182" s="13" t="inlineStr">
        <is>
          <t>Low maturity, weak ownership, incomplete evidence, insufficient testing and poor integration with crisis-management routines for capacity planning for people, equipment, production lines, cloud resources, warehouses and suppliers.</t>
        </is>
      </c>
      <c r="H182" s="13" t="inlineStr">
        <is>
          <t>Severe risk: capacity planning for people, equipment, production lines, cloud resources, warehouses and suppliers is not reliably controlled. During Delivery disruption; Customer impact; Workforce disruption, the organization may face missed commitments, SLA breaches, service interruption and weak customer recovery with limited visibility or accountability.</t>
        </is>
      </c>
      <c r="I182" s="13" t="inlineStr">
        <is>
          <t>High risk: capacity planning for people, equipment, production lines, cloud resources, warehouses and suppliers depends on informal practices or individual knowledge. Disruption may expose missed commitments, SLA breaches, service interruption and weak customer recovery and slow recovery.</t>
        </is>
      </c>
      <c r="J182" s="13" t="inlineStr">
        <is>
          <t>Elevated risk: capacity planning for people, equipment, production lines, cloud resources, warehouses and suppliers is partially controlled, but coverage, evidence or testing is inconsistent. Crisis response may be fragmented.</t>
        </is>
      </c>
      <c r="K182" s="13" t="inlineStr">
        <is>
          <t>Moderate risk: capacity planning for people, equipment, production lines, cloud resources, warehouses and suppliers is documented and owned, but measurement, stress testing and integration with dependent processes need strengthening.</t>
        </is>
      </c>
      <c r="L182" s="13" t="inlineStr">
        <is>
          <t>Residual risk: capacity planning for people, equipment, production lines, cloud resources, warehouses and suppliers is measured and reviewed, but monitoring, automation or scenario testing should be improved to prevent maturity drift.</t>
        </is>
      </c>
      <c r="M182" s="13" t="inlineStr">
        <is>
          <t>Low residual risk: capacity planning for people, equipment, production lines, cloud resources, warehouses and suppliers is mature and crisis-tested. Maintain monitoring, evidence, ownership and periodic stress testing.</t>
        </is>
      </c>
      <c r="N182" s="13" t="inlineStr">
        <is>
          <t>Create an immediate risk owner, minimum control baseline and fallback procedure for capacity planning for people, equipment, production lines, cloud resources, warehouses and suppliers. Add it to the crisis risk register and collect first evidence.</t>
        </is>
      </c>
      <c r="O182" s="13" t="inlineStr">
        <is>
          <t>Document capacity planning for people, equipment, production lines, cloud resources, warehouses and suppliers, assign RACI, define minimum controls and KPIs, and validate coverage across key sites, teams or systems.</t>
        </is>
      </c>
      <c r="P182" s="13" t="inlineStr">
        <is>
          <t>Standardize capacity planning for people, equipment, production lines, cloud resources, warehouses and suppliers, close coverage gaps, train accountable roles and connect controls to the relevant crisis scenarios and continuity plans.</t>
        </is>
      </c>
      <c r="Q182" s="13" t="inlineStr">
        <is>
          <t>Measure and test capacity planning for people, equipment, production lines, cloud resources, warehouses and suppliers, run tabletop or operational stress tests, integrate it with dependent processes and update crisis playbooks.</t>
        </is>
      </c>
      <c r="R182" s="13" t="inlineStr">
        <is>
          <t>Automate monitoring where practical, define leading indicators, run periodic scenario tests and track residual risk after each major change.</t>
        </is>
      </c>
      <c r="S182" s="13" t="inlineStr">
        <is>
          <t>Sustain maturity for capacity planning for people, equipment, production lines, cloud resources, warehouses and suppliers: keep evidence current, monitor drift, benchmark externally and refresh risk tests after organizational, system or market changes.</t>
        </is>
      </c>
      <c r="T182" s="13" t="n">
        <v>3</v>
      </c>
      <c r="U182" s="13" t="n">
        <v>3</v>
      </c>
      <c r="V182" s="13" t="n">
        <v>2</v>
      </c>
      <c r="W182" s="13" t="n">
        <v>2</v>
      </c>
      <c r="X182" s="13" t="n">
        <v>1</v>
      </c>
      <c r="Y182" s="13" t="n">
        <v>1</v>
      </c>
      <c r="Z182" s="13" t="inlineStr">
        <is>
          <t>ISO 9001; ISO 22301; ITIL 4; Lean; Six Sigma; APQC; service management best practices</t>
        </is>
      </c>
      <c r="AA182" s="13" t="inlineStr">
        <is>
          <t>Policy/SOP; owner/RACI; system report; dashboard; contracts; test records; incident history; interview evidence related to capacity planning for people, equipment, production lines, cloud resources, warehouses and suppliers.</t>
        </is>
      </c>
      <c r="AB182" s="13" t="inlineStr">
        <is>
          <t>Delivery disruption; Customer impact; Workforce disruption</t>
        </is>
      </c>
      <c r="AC182" s="13" t="inlineStr">
        <is>
          <t>COO / Delivery</t>
        </is>
      </c>
      <c r="AD182" s="13" t="inlineStr">
        <is>
          <t>Delivery Ops!11</t>
        </is>
      </c>
      <c r="AE182">
        <f>IF($A182="","",IF(OR(ISNUMBER(SEARCH("cyber",$D182)),ISNUMBER(SEARCH("security",$D182)),ISNUMBER(SEARCH("safety",$D182)),ISNUMBER(SEARCH("liquidity",$D182)),ISNUMBER(SEARCH("cash",$D182)),ISNUMBER(SEARCH("continuity",$D182)),ISNUMBER(SEARCH("infrastructure",$D182)),ISNUMBER(SEARCH("outage",$D182))),"Fast",IF(OR(ISNUMBER(SEARCH("compliance",$D182)),ISNUMBER(SEARCH("regulat",$D182)),ISNUMBER(SEARCH("data",$D182)),ISNUMBER(SEARCH("talent",$D182)),ISNUMBER(SEARCH("knowledge",$D182)),ISNUMBER(SEARCH("portfolio",$D182)),ISNUMBER(SEARCH("quality",$D182))),"Slow","Medium")))</f>
        <v/>
      </c>
      <c r="AF182">
        <f>IF($A182="","",IFERROR(VLOOKUP($B182,'_CONFIG_Risk_Calibration'!$A$5:$H$21,2,FALSE),3))</f>
        <v/>
      </c>
      <c r="AG182">
        <f>IF($A182="","",IFERROR(VLOOKUP($B182,'_CONFIG_Risk_Calibration'!$A$5:$H$21,3,FALSE),0))</f>
        <v/>
      </c>
      <c r="AH182">
        <f>IF($A182="","",IFERROR(VLOOKUP($B182,'_CONFIG_Risk_Calibration'!$A$5:$H$21,4,FALSE),3))</f>
        <v/>
      </c>
      <c r="AI182">
        <f>IF($A182="","",IFERROR(VLOOKUP($B182,'_CONFIG_Risk_Calibration'!$A$5:$H$21,5,FALSE),3))</f>
        <v/>
      </c>
      <c r="AJ182">
        <f>IF($A182="","",IFERROR(VLOOKUP($B182,'_CONFIG_Risk_Calibration'!$A$5:$H$21,6,FALSE),"No"))</f>
        <v/>
      </c>
      <c r="AK182">
        <f>IF($A182="","",IFERROR(VLOOKUP($B182,'_CONFIG_Risk_Calibration'!$A$5:$H$21,7,FALSE),1))</f>
        <v/>
      </c>
      <c r="AL182">
        <f>IF($A182="","",IFERROR(VLOOKUP($B182,'_CONFIG_Risk_Calibration'!$A$5:$H$21,8,FALSE),""))</f>
        <v/>
      </c>
    </row>
    <row r="183" ht="72" customHeight="1" s="209">
      <c r="A183" s="13" t="inlineStr">
        <is>
          <t>DELI-008</t>
        </is>
      </c>
      <c r="B183" s="13" t="inlineStr">
        <is>
          <t>Delivery Ops</t>
        </is>
      </c>
      <c r="C183" s="13" t="inlineStr">
        <is>
          <t>Capacity and continuity</t>
        </is>
      </c>
      <c r="D183" s="13" t="inlineStr">
        <is>
          <t>Delivery, service continuity and operational execution</t>
        </is>
      </c>
      <c r="E183" s="13" t="inlineStr">
        <is>
          <t>How mature is the organization in managing surge capacity for demand spikes, backlog recovery and emergency orders, including ownership, evidence, metrics, fallback procedures and crisis stress testing?</t>
        </is>
      </c>
      <c r="F183" s="13" t="inlineStr">
        <is>
          <t>Immature capability for surge capacity for demand spikes, backlog recovery and emergency orders may lead to missed commitments, SLA breaches, service interruption and weak customer recovery during Delivery disruption; Customer impact; Workforce disruption.</t>
        </is>
      </c>
      <c r="G183" s="13" t="inlineStr">
        <is>
          <t>Low maturity, weak ownership, incomplete evidence, insufficient testing and poor integration with crisis-management routines for surge capacity for demand spikes, backlog recovery and emergency orders.</t>
        </is>
      </c>
      <c r="H183" s="13" t="inlineStr">
        <is>
          <t>Severe risk: surge capacity for demand spikes, backlog recovery and emergency orders is not reliably controlled. During Delivery disruption; Customer impact; Workforce disruption, the organization may face missed commitments, SLA breaches, service interruption and weak customer recovery with limited visibility or accountability.</t>
        </is>
      </c>
      <c r="I183" s="13" t="inlineStr">
        <is>
          <t>High risk: surge capacity for demand spikes, backlog recovery and emergency orders depends on informal practices or individual knowledge. Disruption may expose missed commitments, SLA breaches, service interruption and weak customer recovery and slow recovery.</t>
        </is>
      </c>
      <c r="J183" s="13" t="inlineStr">
        <is>
          <t>Elevated risk: surge capacity for demand spikes, backlog recovery and emergency orders is partially controlled, but coverage, evidence or testing is inconsistent. Crisis response may be fragmented.</t>
        </is>
      </c>
      <c r="K183" s="13" t="inlineStr">
        <is>
          <t>Moderate risk: surge capacity for demand spikes, backlog recovery and emergency orders is documented and owned, but measurement, stress testing and integration with dependent processes need strengthening.</t>
        </is>
      </c>
      <c r="L183" s="13" t="inlineStr">
        <is>
          <t>Residual risk: surge capacity for demand spikes, backlog recovery and emergency orders is measured and reviewed, but monitoring, automation or scenario testing should be improved to prevent maturity drift.</t>
        </is>
      </c>
      <c r="M183" s="13" t="inlineStr">
        <is>
          <t>Low residual risk: surge capacity for demand spikes, backlog recovery and emergency orders is mature and crisis-tested. Maintain monitoring, evidence, ownership and periodic stress testing.</t>
        </is>
      </c>
      <c r="N183" s="13" t="inlineStr">
        <is>
          <t>Create an immediate risk owner, minimum control baseline and fallback procedure for surge capacity for demand spikes, backlog recovery and emergency orders. Add it to the crisis risk register and collect first evidence.</t>
        </is>
      </c>
      <c r="O183" s="13" t="inlineStr">
        <is>
          <t>Document surge capacity for demand spikes, backlog recovery and emergency orders, assign RACI, define minimum controls and KPIs, and validate coverage across key sites, teams or systems.</t>
        </is>
      </c>
      <c r="P183" s="13" t="inlineStr">
        <is>
          <t>Standardize surge capacity for demand spikes, backlog recovery and emergency orders, close coverage gaps, train accountable roles and connect controls to the relevant crisis scenarios and continuity plans.</t>
        </is>
      </c>
      <c r="Q183" s="13" t="inlineStr">
        <is>
          <t>Measure and test surge capacity for demand spikes, backlog recovery and emergency orders, run tabletop or operational stress tests, integrate it with dependent processes and update crisis playbooks.</t>
        </is>
      </c>
      <c r="R183" s="13" t="inlineStr">
        <is>
          <t>Automate monitoring where practical, define leading indicators, run periodic scenario tests and track residual risk after each major change.</t>
        </is>
      </c>
      <c r="S183" s="13" t="inlineStr">
        <is>
          <t>Sustain maturity for surge capacity for demand spikes, backlog recovery and emergency orders: keep evidence current, monitor drift, benchmark externally and refresh risk tests after organizational, system or market changes.</t>
        </is>
      </c>
      <c r="T183" s="13" t="n">
        <v>3</v>
      </c>
      <c r="U183" s="13" t="n">
        <v>3</v>
      </c>
      <c r="V183" s="13" t="n">
        <v>2</v>
      </c>
      <c r="W183" s="13" t="n">
        <v>2</v>
      </c>
      <c r="X183" s="13" t="n">
        <v>1</v>
      </c>
      <c r="Y183" s="13" t="n">
        <v>1</v>
      </c>
      <c r="Z183" s="13" t="inlineStr">
        <is>
          <t>ISO 9001; ISO 22301; ITIL 4; Lean; Six Sigma; APQC; service management best practices</t>
        </is>
      </c>
      <c r="AA183" s="13" t="inlineStr">
        <is>
          <t>Policy/SOP; owner/RACI; system report; dashboard; contracts; test records; incident history; interview evidence related to surge capacity for demand spikes, backlog recovery and emergency orders.</t>
        </is>
      </c>
      <c r="AB183" s="13" t="inlineStr">
        <is>
          <t>Delivery disruption; Customer impact; Workforce disruption</t>
        </is>
      </c>
      <c r="AC183" s="13" t="inlineStr">
        <is>
          <t>COO / Delivery</t>
        </is>
      </c>
      <c r="AD183" s="13" t="inlineStr">
        <is>
          <t>Delivery Ops!12</t>
        </is>
      </c>
      <c r="AE183">
        <f>IF($A183="","",IF(OR(ISNUMBER(SEARCH("cyber",$D183)),ISNUMBER(SEARCH("security",$D183)),ISNUMBER(SEARCH("safety",$D183)),ISNUMBER(SEARCH("liquidity",$D183)),ISNUMBER(SEARCH("cash",$D183)),ISNUMBER(SEARCH("continuity",$D183)),ISNUMBER(SEARCH("infrastructure",$D183)),ISNUMBER(SEARCH("outage",$D183))),"Fast",IF(OR(ISNUMBER(SEARCH("compliance",$D183)),ISNUMBER(SEARCH("regulat",$D183)),ISNUMBER(SEARCH("data",$D183)),ISNUMBER(SEARCH("talent",$D183)),ISNUMBER(SEARCH("knowledge",$D183)),ISNUMBER(SEARCH("portfolio",$D183)),ISNUMBER(SEARCH("quality",$D183))),"Slow","Medium")))</f>
        <v/>
      </c>
      <c r="AF183">
        <f>IF($A183="","",IFERROR(VLOOKUP($B183,'_CONFIG_Risk_Calibration'!$A$5:$H$21,2,FALSE),3))</f>
        <v/>
      </c>
      <c r="AG183">
        <f>IF($A183="","",IFERROR(VLOOKUP($B183,'_CONFIG_Risk_Calibration'!$A$5:$H$21,3,FALSE),0))</f>
        <v/>
      </c>
      <c r="AH183">
        <f>IF($A183="","",IFERROR(VLOOKUP($B183,'_CONFIG_Risk_Calibration'!$A$5:$H$21,4,FALSE),3))</f>
        <v/>
      </c>
      <c r="AI183">
        <f>IF($A183="","",IFERROR(VLOOKUP($B183,'_CONFIG_Risk_Calibration'!$A$5:$H$21,5,FALSE),3))</f>
        <v/>
      </c>
      <c r="AJ183">
        <f>IF($A183="","",IFERROR(VLOOKUP($B183,'_CONFIG_Risk_Calibration'!$A$5:$H$21,6,FALSE),"No"))</f>
        <v/>
      </c>
      <c r="AK183">
        <f>IF($A183="","",IFERROR(VLOOKUP($B183,'_CONFIG_Risk_Calibration'!$A$5:$H$21,7,FALSE),1))</f>
        <v/>
      </c>
      <c r="AL183">
        <f>IF($A183="","",IFERROR(VLOOKUP($B183,'_CONFIG_Risk_Calibration'!$A$5:$H$21,8,FALSE),""))</f>
        <v/>
      </c>
    </row>
    <row r="184" ht="72" customHeight="1" s="209">
      <c r="A184" s="13" t="inlineStr">
        <is>
          <t>DELI-009</t>
        </is>
      </c>
      <c r="B184" s="13" t="inlineStr">
        <is>
          <t>Delivery Ops</t>
        </is>
      </c>
      <c r="C184" s="13" t="inlineStr">
        <is>
          <t>Capacity and continuity</t>
        </is>
      </c>
      <c r="D184" s="13" t="inlineStr">
        <is>
          <t>Delivery, service continuity and operational execution</t>
        </is>
      </c>
      <c r="E184" s="13" t="inlineStr">
        <is>
          <t>How mature is the organization in managing minimum viable operating model for severe constraints, including ownership, evidence, metrics, fallback procedures and crisis stress testing?</t>
        </is>
      </c>
      <c r="F184" s="13" t="inlineStr">
        <is>
          <t>Immature capability for minimum viable operating model for severe constraints may lead to missed commitments, SLA breaches, service interruption and weak customer recovery during Delivery disruption; Customer impact; Workforce disruption.</t>
        </is>
      </c>
      <c r="G184" s="13" t="inlineStr">
        <is>
          <t>Low maturity, weak ownership, incomplete evidence, insufficient testing and poor integration with crisis-management routines for minimum viable operating model for severe constraints.</t>
        </is>
      </c>
      <c r="H184" s="13" t="inlineStr">
        <is>
          <t>Severe risk: minimum viable operating model for severe constraints is not reliably controlled. During Delivery disruption; Customer impact; Workforce disruption, the organization may face missed commitments, SLA breaches, service interruption and weak customer recovery with limited visibility or accountability.</t>
        </is>
      </c>
      <c r="I184" s="13" t="inlineStr">
        <is>
          <t>High risk: minimum viable operating model for severe constraints depends on informal practices or individual knowledge. Disruption may expose missed commitments, SLA breaches, service interruption and weak customer recovery and slow recovery.</t>
        </is>
      </c>
      <c r="J184" s="13" t="inlineStr">
        <is>
          <t>Elevated risk: minimum viable operating model for severe constraints is partially controlled, but coverage, evidence or testing is inconsistent. Crisis response may be fragmented.</t>
        </is>
      </c>
      <c r="K184" s="13" t="inlineStr">
        <is>
          <t>Moderate risk: minimum viable operating model for severe constraints is documented and owned, but measurement, stress testing and integration with dependent processes need strengthening.</t>
        </is>
      </c>
      <c r="L184" s="13" t="inlineStr">
        <is>
          <t>Residual risk: minimum viable operating model for severe constraints is measured and reviewed, but monitoring, automation or scenario testing should be improved to prevent maturity drift.</t>
        </is>
      </c>
      <c r="M184" s="13" t="inlineStr">
        <is>
          <t>Low residual risk: minimum viable operating model for severe constraints is mature and crisis-tested. Maintain monitoring, evidence, ownership and periodic stress testing.</t>
        </is>
      </c>
      <c r="N184" s="13" t="inlineStr">
        <is>
          <t>Create an immediate risk owner, minimum control baseline and fallback procedure for minimum viable operating model for severe constraints. Add it to the crisis risk register and collect first evidence.</t>
        </is>
      </c>
      <c r="O184" s="13" t="inlineStr">
        <is>
          <t>Document minimum viable operating model for severe constraints, assign RACI, define minimum controls and KPIs, and validate coverage across key sites, teams or systems.</t>
        </is>
      </c>
      <c r="P184" s="13" t="inlineStr">
        <is>
          <t>Standardize minimum viable operating model for severe constraints, close coverage gaps, train accountable roles and connect controls to the relevant crisis scenarios and continuity plans.</t>
        </is>
      </c>
      <c r="Q184" s="13" t="inlineStr">
        <is>
          <t>Measure and test minimum viable operating model for severe constraints, run tabletop or operational stress tests, integrate it with dependent processes and update crisis playbooks.</t>
        </is>
      </c>
      <c r="R184" s="13" t="inlineStr">
        <is>
          <t>Automate monitoring where practical, define leading indicators, run periodic scenario tests and track residual risk after each major change.</t>
        </is>
      </c>
      <c r="S184" s="13" t="inlineStr">
        <is>
          <t>Sustain maturity for minimum viable operating model for severe constraints: keep evidence current, monitor drift, benchmark externally and refresh risk tests after organizational, system or market changes.</t>
        </is>
      </c>
      <c r="T184" s="13" t="n">
        <v>3</v>
      </c>
      <c r="U184" s="13" t="n">
        <v>3</v>
      </c>
      <c r="V184" s="13" t="n">
        <v>2</v>
      </c>
      <c r="W184" s="13" t="n">
        <v>2</v>
      </c>
      <c r="X184" s="13" t="n">
        <v>1</v>
      </c>
      <c r="Y184" s="13" t="n">
        <v>1</v>
      </c>
      <c r="Z184" s="13" t="inlineStr">
        <is>
          <t>ISO 9001; ISO 22301; ITIL 4; Lean; Six Sigma; APQC; service management best practices</t>
        </is>
      </c>
      <c r="AA184" s="13" t="inlineStr">
        <is>
          <t>Policy/SOP; owner/RACI; system report; dashboard; contracts; test records; incident history; interview evidence related to minimum viable operating model for severe constraints.</t>
        </is>
      </c>
      <c r="AB184" s="13" t="inlineStr">
        <is>
          <t>Delivery disruption; Customer impact; Workforce disruption</t>
        </is>
      </c>
      <c r="AC184" s="13" t="inlineStr">
        <is>
          <t>COO / Delivery</t>
        </is>
      </c>
      <c r="AD184" s="13" t="inlineStr">
        <is>
          <t>Delivery Ops!13</t>
        </is>
      </c>
      <c r="AE184">
        <f>IF($A184="","",IF(OR(ISNUMBER(SEARCH("cyber",$D184)),ISNUMBER(SEARCH("security",$D184)),ISNUMBER(SEARCH("safety",$D184)),ISNUMBER(SEARCH("liquidity",$D184)),ISNUMBER(SEARCH("cash",$D184)),ISNUMBER(SEARCH("continuity",$D184)),ISNUMBER(SEARCH("infrastructure",$D184)),ISNUMBER(SEARCH("outage",$D184))),"Fast",IF(OR(ISNUMBER(SEARCH("compliance",$D184)),ISNUMBER(SEARCH("regulat",$D184)),ISNUMBER(SEARCH("data",$D184)),ISNUMBER(SEARCH("talent",$D184)),ISNUMBER(SEARCH("knowledge",$D184)),ISNUMBER(SEARCH("portfolio",$D184)),ISNUMBER(SEARCH("quality",$D184))),"Slow","Medium")))</f>
        <v/>
      </c>
      <c r="AF184">
        <f>IF($A184="","",IFERROR(VLOOKUP($B184,'_CONFIG_Risk_Calibration'!$A$5:$H$21,2,FALSE),3))</f>
        <v/>
      </c>
      <c r="AG184">
        <f>IF($A184="","",IFERROR(VLOOKUP($B184,'_CONFIG_Risk_Calibration'!$A$5:$H$21,3,FALSE),0))</f>
        <v/>
      </c>
      <c r="AH184">
        <f>IF($A184="","",IFERROR(VLOOKUP($B184,'_CONFIG_Risk_Calibration'!$A$5:$H$21,4,FALSE),3))</f>
        <v/>
      </c>
      <c r="AI184">
        <f>IF($A184="","",IFERROR(VLOOKUP($B184,'_CONFIG_Risk_Calibration'!$A$5:$H$21,5,FALSE),3))</f>
        <v/>
      </c>
      <c r="AJ184">
        <f>IF($A184="","",IFERROR(VLOOKUP($B184,'_CONFIG_Risk_Calibration'!$A$5:$H$21,6,FALSE),"No"))</f>
        <v/>
      </c>
      <c r="AK184">
        <f>IF($A184="","",IFERROR(VLOOKUP($B184,'_CONFIG_Risk_Calibration'!$A$5:$H$21,7,FALSE),1))</f>
        <v/>
      </c>
      <c r="AL184">
        <f>IF($A184="","",IFERROR(VLOOKUP($B184,'_CONFIG_Risk_Calibration'!$A$5:$H$21,8,FALSE),""))</f>
        <v/>
      </c>
    </row>
    <row r="185" ht="72" customHeight="1" s="209">
      <c r="A185" s="13" t="inlineStr">
        <is>
          <t>DELI-010</t>
        </is>
      </c>
      <c r="B185" s="13" t="inlineStr">
        <is>
          <t>Delivery Ops</t>
        </is>
      </c>
      <c r="C185" s="13" t="inlineStr">
        <is>
          <t>Capacity and continuity</t>
        </is>
      </c>
      <c r="D185" s="13" t="inlineStr">
        <is>
          <t>Delivery, service continuity and operational execution</t>
        </is>
      </c>
      <c r="E185" s="13" t="inlineStr">
        <is>
          <t>How mature is the organization in managing cross-site or cross-team work transfer if one location or team fails, including ownership, evidence, metrics, fallback procedures and crisis stress testing?</t>
        </is>
      </c>
      <c r="F185" s="13" t="inlineStr">
        <is>
          <t>Immature capability for cross-site or cross-team work transfer if one location or team fails may lead to missed commitments, SLA breaches, service interruption and weak customer recovery during Delivery disruption; Customer impact; Workforce disruption.</t>
        </is>
      </c>
      <c r="G185" s="13" t="inlineStr">
        <is>
          <t>Low maturity, weak ownership, incomplete evidence, insufficient testing and poor integration with crisis-management routines for cross-site or cross-team work transfer if one location or team fails.</t>
        </is>
      </c>
      <c r="H185" s="13" t="inlineStr">
        <is>
          <t>Severe risk: cross-site or cross-team work transfer if one location or team fails is not reliably controlled. During Delivery disruption; Customer impact; Workforce disruption, the organization may face missed commitments, SLA breaches, service interruption and weak customer recovery with limited visibility or accountability.</t>
        </is>
      </c>
      <c r="I185" s="13" t="inlineStr">
        <is>
          <t>High risk: cross-site or cross-team work transfer if one location or team fails depends on informal practices or individual knowledge. Disruption may expose missed commitments, SLA breaches, service interruption and weak customer recovery and slow recovery.</t>
        </is>
      </c>
      <c r="J185" s="13" t="inlineStr">
        <is>
          <t>Elevated risk: cross-site or cross-team work transfer if one location or team fails is partially controlled, but coverage, evidence or testing is inconsistent. Crisis response may be fragmented.</t>
        </is>
      </c>
      <c r="K185" s="13" t="inlineStr">
        <is>
          <t>Moderate risk: cross-site or cross-team work transfer if one location or team fails is documented and owned, but measurement, stress testing and integration with dependent processes need strengthening.</t>
        </is>
      </c>
      <c r="L185" s="13" t="inlineStr">
        <is>
          <t>Residual risk: cross-site or cross-team work transfer if one location or team fails is measured and reviewed, but monitoring, automation or scenario testing should be improved to prevent maturity drift.</t>
        </is>
      </c>
      <c r="M185" s="13" t="inlineStr">
        <is>
          <t>Low residual risk: cross-site or cross-team work transfer if one location or team fails is mature and crisis-tested. Maintain monitoring, evidence, ownership and periodic stress testing.</t>
        </is>
      </c>
      <c r="N185" s="13" t="inlineStr">
        <is>
          <t>Create an immediate risk owner, minimum control baseline and fallback procedure for cross-site or cross-team work transfer if one location or team fails. Add it to the crisis risk register and collect first evidence.</t>
        </is>
      </c>
      <c r="O185" s="13" t="inlineStr">
        <is>
          <t>Document cross-site or cross-team work transfer if one location or team fails, assign RACI, define minimum controls and KPIs, and validate coverage across key sites, teams or systems.</t>
        </is>
      </c>
      <c r="P185" s="13" t="inlineStr">
        <is>
          <t>Standardize cross-site or cross-team work transfer if one location or team fails, close coverage gaps, train accountable roles and connect controls to the relevant crisis scenarios and continuity plans.</t>
        </is>
      </c>
      <c r="Q185" s="13" t="inlineStr">
        <is>
          <t>Measure and test cross-site or cross-team work transfer if one location or team fails, run tabletop or operational stress tests, integrate it with dependent processes and update crisis playbooks.</t>
        </is>
      </c>
      <c r="R185" s="13" t="inlineStr">
        <is>
          <t>Automate monitoring where practical, define leading indicators, run periodic scenario tests and track residual risk after each major change.</t>
        </is>
      </c>
      <c r="S185" s="13" t="inlineStr">
        <is>
          <t>Sustain maturity for cross-site or cross-team work transfer if one location or team fails: keep evidence current, monitor drift, benchmark externally and refresh risk tests after organizational, system or market changes.</t>
        </is>
      </c>
      <c r="T185" s="13" t="n">
        <v>3</v>
      </c>
      <c r="U185" s="13" t="n">
        <v>3</v>
      </c>
      <c r="V185" s="13" t="n">
        <v>2</v>
      </c>
      <c r="W185" s="13" t="n">
        <v>2</v>
      </c>
      <c r="X185" s="13" t="n">
        <v>1</v>
      </c>
      <c r="Y185" s="13" t="n">
        <v>1</v>
      </c>
      <c r="Z185" s="13" t="inlineStr">
        <is>
          <t>ISO 9001; ISO 22301; ITIL 4; Lean; Six Sigma; APQC; service management best practices</t>
        </is>
      </c>
      <c r="AA185" s="13" t="inlineStr">
        <is>
          <t>Policy/SOP; owner/RACI; system report; dashboard; contracts; test records; incident history; interview evidence related to cross-site or cross-team work transfer if one location or team fails.</t>
        </is>
      </c>
      <c r="AB185" s="13" t="inlineStr">
        <is>
          <t>Delivery disruption; Customer impact; Workforce disruption</t>
        </is>
      </c>
      <c r="AC185" s="13" t="inlineStr">
        <is>
          <t>COO / Delivery</t>
        </is>
      </c>
      <c r="AD185" s="13" t="inlineStr">
        <is>
          <t>Delivery Ops!14</t>
        </is>
      </c>
      <c r="AE185">
        <f>IF($A185="","",IF(OR(ISNUMBER(SEARCH("cyber",$D185)),ISNUMBER(SEARCH("security",$D185)),ISNUMBER(SEARCH("safety",$D185)),ISNUMBER(SEARCH("liquidity",$D185)),ISNUMBER(SEARCH("cash",$D185)),ISNUMBER(SEARCH("continuity",$D185)),ISNUMBER(SEARCH("infrastructure",$D185)),ISNUMBER(SEARCH("outage",$D185))),"Fast",IF(OR(ISNUMBER(SEARCH("compliance",$D185)),ISNUMBER(SEARCH("regulat",$D185)),ISNUMBER(SEARCH("data",$D185)),ISNUMBER(SEARCH("talent",$D185)),ISNUMBER(SEARCH("knowledge",$D185)),ISNUMBER(SEARCH("portfolio",$D185)),ISNUMBER(SEARCH("quality",$D185))),"Slow","Medium")))</f>
        <v/>
      </c>
      <c r="AF185">
        <f>IF($A185="","",IFERROR(VLOOKUP($B185,'_CONFIG_Risk_Calibration'!$A$5:$H$21,2,FALSE),3))</f>
        <v/>
      </c>
      <c r="AG185">
        <f>IF($A185="","",IFERROR(VLOOKUP($B185,'_CONFIG_Risk_Calibration'!$A$5:$H$21,3,FALSE),0))</f>
        <v/>
      </c>
      <c r="AH185">
        <f>IF($A185="","",IFERROR(VLOOKUP($B185,'_CONFIG_Risk_Calibration'!$A$5:$H$21,4,FALSE),3))</f>
        <v/>
      </c>
      <c r="AI185">
        <f>IF($A185="","",IFERROR(VLOOKUP($B185,'_CONFIG_Risk_Calibration'!$A$5:$H$21,5,FALSE),3))</f>
        <v/>
      </c>
      <c r="AJ185">
        <f>IF($A185="","",IFERROR(VLOOKUP($B185,'_CONFIG_Risk_Calibration'!$A$5:$H$21,6,FALSE),"No"))</f>
        <v/>
      </c>
      <c r="AK185">
        <f>IF($A185="","",IFERROR(VLOOKUP($B185,'_CONFIG_Risk_Calibration'!$A$5:$H$21,7,FALSE),1))</f>
        <v/>
      </c>
      <c r="AL185">
        <f>IF($A185="","",IFERROR(VLOOKUP($B185,'_CONFIG_Risk_Calibration'!$A$5:$H$21,8,FALSE),""))</f>
        <v/>
      </c>
    </row>
    <row r="186" ht="72" customHeight="1" s="209">
      <c r="A186" s="13" t="inlineStr">
        <is>
          <t>DELI-011</t>
        </is>
      </c>
      <c r="B186" s="13" t="inlineStr">
        <is>
          <t>Delivery Ops</t>
        </is>
      </c>
      <c r="C186" s="13" t="inlineStr">
        <is>
          <t>Capacity and continuity</t>
        </is>
      </c>
      <c r="D186" s="13" t="inlineStr">
        <is>
          <t>Delivery, service continuity and operational execution</t>
        </is>
      </c>
      <c r="E186" s="13" t="inlineStr">
        <is>
          <t>How mature is the organization in managing recovery sequencing for processes, systems, teams, sites and customers, including ownership, evidence, metrics, fallback procedures and crisis stress testing?</t>
        </is>
      </c>
      <c r="F186" s="13" t="inlineStr">
        <is>
          <t>Immature capability for recovery sequencing for processes, systems, teams, sites and customers may lead to missed commitments, SLA breaches, service interruption and weak customer recovery during Delivery disruption; Customer impact; Workforce disruption.</t>
        </is>
      </c>
      <c r="G186" s="13" t="inlineStr">
        <is>
          <t>Low maturity, weak ownership, incomplete evidence, insufficient testing and poor integration with crisis-management routines for recovery sequencing for processes, systems, teams, sites and customers.</t>
        </is>
      </c>
      <c r="H186" s="13" t="inlineStr">
        <is>
          <t>Severe risk: recovery sequencing for processes, systems, teams, sites and customers is not reliably controlled. During Delivery disruption; Customer impact; Workforce disruption, the organization may face missed commitments, SLA breaches, service interruption and weak customer recovery with limited visibility or accountability.</t>
        </is>
      </c>
      <c r="I186" s="13" t="inlineStr">
        <is>
          <t>High risk: recovery sequencing for processes, systems, teams, sites and customers depends on informal practices or individual knowledge. Disruption may expose missed commitments, SLA breaches, service interruption and weak customer recovery and slow recovery.</t>
        </is>
      </c>
      <c r="J186" s="13" t="inlineStr">
        <is>
          <t>Elevated risk: recovery sequencing for processes, systems, teams, sites and customers is partially controlled, but coverage, evidence or testing is inconsistent. Crisis response may be fragmented.</t>
        </is>
      </c>
      <c r="K186" s="13" t="inlineStr">
        <is>
          <t>Moderate risk: recovery sequencing for processes, systems, teams, sites and customers is documented and owned, but measurement, stress testing and integration with dependent processes need strengthening.</t>
        </is>
      </c>
      <c r="L186" s="13" t="inlineStr">
        <is>
          <t>Residual risk: recovery sequencing for processes, systems, teams, sites and customers is measured and reviewed, but monitoring, automation or scenario testing should be improved to prevent maturity drift.</t>
        </is>
      </c>
      <c r="M186" s="13" t="inlineStr">
        <is>
          <t>Low residual risk: recovery sequencing for processes, systems, teams, sites and customers is mature and crisis-tested. Maintain monitoring, evidence, ownership and periodic stress testing.</t>
        </is>
      </c>
      <c r="N186" s="13" t="inlineStr">
        <is>
          <t>Create an immediate risk owner, minimum control baseline and fallback procedure for recovery sequencing for processes, systems, teams, sites and customers. Add it to the crisis risk register and collect first evidence.</t>
        </is>
      </c>
      <c r="O186" s="13" t="inlineStr">
        <is>
          <t>Document recovery sequencing for processes, systems, teams, sites and customers, assign RACI, define minimum controls and KPIs, and validate coverage across key sites, teams or systems.</t>
        </is>
      </c>
      <c r="P186" s="13" t="inlineStr">
        <is>
          <t>Standardize recovery sequencing for processes, systems, teams, sites and customers, close coverage gaps, train accountable roles and connect controls to the relevant crisis scenarios and continuity plans.</t>
        </is>
      </c>
      <c r="Q186" s="13" t="inlineStr">
        <is>
          <t>Measure and test recovery sequencing for processes, systems, teams, sites and customers, run tabletop or operational stress tests, integrate it with dependent processes and update crisis playbooks.</t>
        </is>
      </c>
      <c r="R186" s="13" t="inlineStr">
        <is>
          <t>Automate monitoring where practical, define leading indicators, run periodic scenario tests and track residual risk after each major change.</t>
        </is>
      </c>
      <c r="S186" s="13" t="inlineStr">
        <is>
          <t>Sustain maturity for recovery sequencing for processes, systems, teams, sites and customers: keep evidence current, monitor drift, benchmark externally and refresh risk tests after organizational, system or market changes.</t>
        </is>
      </c>
      <c r="T186" s="13" t="n">
        <v>3</v>
      </c>
      <c r="U186" s="13" t="n">
        <v>3</v>
      </c>
      <c r="V186" s="13" t="n">
        <v>2</v>
      </c>
      <c r="W186" s="13" t="n">
        <v>2</v>
      </c>
      <c r="X186" s="13" t="n">
        <v>1</v>
      </c>
      <c r="Y186" s="13" t="n">
        <v>1</v>
      </c>
      <c r="Z186" s="13" t="inlineStr">
        <is>
          <t>ISO 9001; ISO 22301; ITIL 4; Lean; Six Sigma; APQC; service management best practices</t>
        </is>
      </c>
      <c r="AA186" s="13" t="inlineStr">
        <is>
          <t>Policy/SOP; owner/RACI; system report; dashboard; contracts; test records; incident history; interview evidence related to recovery sequencing for processes, systems, teams, sites and customers.</t>
        </is>
      </c>
      <c r="AB186" s="13" t="inlineStr">
        <is>
          <t>Delivery disruption; Customer impact; Workforce disruption</t>
        </is>
      </c>
      <c r="AC186" s="13" t="inlineStr">
        <is>
          <t>COO / Delivery</t>
        </is>
      </c>
      <c r="AD186" s="13" t="inlineStr">
        <is>
          <t>Delivery Ops!15</t>
        </is>
      </c>
      <c r="AE186">
        <f>IF($A186="","",IF(OR(ISNUMBER(SEARCH("cyber",$D186)),ISNUMBER(SEARCH("security",$D186)),ISNUMBER(SEARCH("safety",$D186)),ISNUMBER(SEARCH("liquidity",$D186)),ISNUMBER(SEARCH("cash",$D186)),ISNUMBER(SEARCH("continuity",$D186)),ISNUMBER(SEARCH("infrastructure",$D186)),ISNUMBER(SEARCH("outage",$D186))),"Fast",IF(OR(ISNUMBER(SEARCH("compliance",$D186)),ISNUMBER(SEARCH("regulat",$D186)),ISNUMBER(SEARCH("data",$D186)),ISNUMBER(SEARCH("talent",$D186)),ISNUMBER(SEARCH("knowledge",$D186)),ISNUMBER(SEARCH("portfolio",$D186)),ISNUMBER(SEARCH("quality",$D186))),"Slow","Medium")))</f>
        <v/>
      </c>
      <c r="AF186">
        <f>IF($A186="","",IFERROR(VLOOKUP($B186,'_CONFIG_Risk_Calibration'!$A$5:$H$21,2,FALSE),3))</f>
        <v/>
      </c>
      <c r="AG186">
        <f>IF($A186="","",IFERROR(VLOOKUP($B186,'_CONFIG_Risk_Calibration'!$A$5:$H$21,3,FALSE),0))</f>
        <v/>
      </c>
      <c r="AH186">
        <f>IF($A186="","",IFERROR(VLOOKUP($B186,'_CONFIG_Risk_Calibration'!$A$5:$H$21,4,FALSE),3))</f>
        <v/>
      </c>
      <c r="AI186">
        <f>IF($A186="","",IFERROR(VLOOKUP($B186,'_CONFIG_Risk_Calibration'!$A$5:$H$21,5,FALSE),3))</f>
        <v/>
      </c>
      <c r="AJ186">
        <f>IF($A186="","",IFERROR(VLOOKUP($B186,'_CONFIG_Risk_Calibration'!$A$5:$H$21,6,FALSE),"No"))</f>
        <v/>
      </c>
      <c r="AK186">
        <f>IF($A186="","",IFERROR(VLOOKUP($B186,'_CONFIG_Risk_Calibration'!$A$5:$H$21,7,FALSE),1))</f>
        <v/>
      </c>
      <c r="AL186">
        <f>IF($A186="","",IFERROR(VLOOKUP($B186,'_CONFIG_Risk_Calibration'!$A$5:$H$21,8,FALSE),""))</f>
        <v/>
      </c>
    </row>
    <row r="187" ht="72" customHeight="1" s="209">
      <c r="A187" s="13" t="inlineStr">
        <is>
          <t>DELI-012</t>
        </is>
      </c>
      <c r="B187" s="13" t="inlineStr">
        <is>
          <t>Delivery Ops</t>
        </is>
      </c>
      <c r="C187" s="13" t="inlineStr">
        <is>
          <t>Capacity and continuity</t>
        </is>
      </c>
      <c r="D187" s="13" t="inlineStr">
        <is>
          <t>Delivery, service continuity and operational execution</t>
        </is>
      </c>
      <c r="E187" s="13" t="inlineStr">
        <is>
          <t>How mature is the organization in managing delivery tabletop exercises with absent people, unavailable systems or supplier failure, including ownership, evidence, metrics, fallback procedures and crisis stress testing?</t>
        </is>
      </c>
      <c r="F187" s="13" t="inlineStr">
        <is>
          <t>Immature capability for delivery tabletop exercises with absent people, unavailable systems or supplier failure may lead to missed commitments, SLA breaches, service interruption and weak customer recovery during Delivery disruption; Customer impact; Workforce disruption.</t>
        </is>
      </c>
      <c r="G187" s="13" t="inlineStr">
        <is>
          <t>Low maturity, weak ownership, incomplete evidence, insufficient testing and poor integration with crisis-management routines for delivery tabletop exercises with absent people, unavailable systems or supplier failure.</t>
        </is>
      </c>
      <c r="H187" s="13" t="inlineStr">
        <is>
          <t>Severe risk: delivery tabletop exercises with absent people, unavailable systems or supplier failure is not reliably controlled. During Delivery disruption; Customer impact; Workforce disruption, the organization may face missed commitments, SLA breaches, service interruption and weak customer recovery with limited visibility or accountability.</t>
        </is>
      </c>
      <c r="I187" s="13" t="inlineStr">
        <is>
          <t>High risk: delivery tabletop exercises with absent people, unavailable systems or supplier failure depends on informal practices or individual knowledge. Disruption may expose missed commitments, SLA breaches, service interruption and weak customer recovery and slow recovery.</t>
        </is>
      </c>
      <c r="J187" s="13" t="inlineStr">
        <is>
          <t>Elevated risk: delivery tabletop exercises with absent people, unavailable systems or supplier failure is partially controlled, but coverage, evidence or testing is inconsistent. Crisis response may be fragmented.</t>
        </is>
      </c>
      <c r="K187" s="13" t="inlineStr">
        <is>
          <t>Moderate risk: delivery tabletop exercises with absent people, unavailable systems or supplier failure is documented and owned, but measurement, stress testing and integration with dependent processes need strengthening.</t>
        </is>
      </c>
      <c r="L187" s="13" t="inlineStr">
        <is>
          <t>Residual risk: delivery tabletop exercises with absent people, unavailable systems or supplier failure is measured and reviewed, but monitoring, automation or scenario testing should be improved to prevent maturity drift.</t>
        </is>
      </c>
      <c r="M187" s="13" t="inlineStr">
        <is>
          <t>Low residual risk: delivery tabletop exercises with absent people, unavailable systems or supplier failure is mature and crisis-tested. Maintain monitoring, evidence, ownership and periodic stress testing.</t>
        </is>
      </c>
      <c r="N187" s="13" t="inlineStr">
        <is>
          <t>Create an immediate risk owner, minimum control baseline and fallback procedure for delivery tabletop exercises with absent people, unavailable systems or supplier failure. Add it to the crisis risk register and collect first evidence.</t>
        </is>
      </c>
      <c r="O187" s="13" t="inlineStr">
        <is>
          <t>Document delivery tabletop exercises with absent people, unavailable systems or supplier failure, assign RACI, define minimum controls and KPIs, and validate coverage across key sites, teams or systems.</t>
        </is>
      </c>
      <c r="P187" s="13" t="inlineStr">
        <is>
          <t>Standardize delivery tabletop exercises with absent people, unavailable systems or supplier failure, close coverage gaps, train accountable roles and connect controls to the relevant crisis scenarios and continuity plans.</t>
        </is>
      </c>
      <c r="Q187" s="13" t="inlineStr">
        <is>
          <t>Measure and test delivery tabletop exercises with absent people, unavailable systems or supplier failure, run tabletop or operational stress tests, integrate it with dependent processes and update crisis playbooks.</t>
        </is>
      </c>
      <c r="R187" s="13" t="inlineStr">
        <is>
          <t>Automate monitoring where practical, define leading indicators, run periodic scenario tests and track residual risk after each major change.</t>
        </is>
      </c>
      <c r="S187" s="13" t="inlineStr">
        <is>
          <t>Sustain maturity for delivery tabletop exercises with absent people, unavailable systems or supplier failure: keep evidence current, monitor drift, benchmark externally and refresh risk tests after organizational, system or market changes.</t>
        </is>
      </c>
      <c r="T187" s="13" t="n">
        <v>3</v>
      </c>
      <c r="U187" s="13" t="n">
        <v>3</v>
      </c>
      <c r="V187" s="13" t="n">
        <v>2</v>
      </c>
      <c r="W187" s="13" t="n">
        <v>2</v>
      </c>
      <c r="X187" s="13" t="n">
        <v>1</v>
      </c>
      <c r="Y187" s="13" t="n">
        <v>1</v>
      </c>
      <c r="Z187" s="13" t="inlineStr">
        <is>
          <t>ISO 9001; ISO 22301; ITIL 4; Lean; Six Sigma; APQC; service management best practices</t>
        </is>
      </c>
      <c r="AA187" s="13" t="inlineStr">
        <is>
          <t>Policy/SOP; owner/RACI; system report; dashboard; contracts; test records; incident history; interview evidence related to delivery tabletop exercises with absent people, unavailable systems or supplier failure.</t>
        </is>
      </c>
      <c r="AB187" s="13" t="inlineStr">
        <is>
          <t>Delivery disruption; Customer impact; Workforce disruption</t>
        </is>
      </c>
      <c r="AC187" s="13" t="inlineStr">
        <is>
          <t>COO / Delivery</t>
        </is>
      </c>
      <c r="AD187" s="13" t="inlineStr">
        <is>
          <t>Delivery Ops!16</t>
        </is>
      </c>
      <c r="AE187">
        <f>IF($A187="","",IF(OR(ISNUMBER(SEARCH("cyber",$D187)),ISNUMBER(SEARCH("security",$D187)),ISNUMBER(SEARCH("safety",$D187)),ISNUMBER(SEARCH("liquidity",$D187)),ISNUMBER(SEARCH("cash",$D187)),ISNUMBER(SEARCH("continuity",$D187)),ISNUMBER(SEARCH("infrastructure",$D187)),ISNUMBER(SEARCH("outage",$D187))),"Fast",IF(OR(ISNUMBER(SEARCH("compliance",$D187)),ISNUMBER(SEARCH("regulat",$D187)),ISNUMBER(SEARCH("data",$D187)),ISNUMBER(SEARCH("talent",$D187)),ISNUMBER(SEARCH("knowledge",$D187)),ISNUMBER(SEARCH("portfolio",$D187)),ISNUMBER(SEARCH("quality",$D187))),"Slow","Medium")))</f>
        <v/>
      </c>
      <c r="AF187">
        <f>IF($A187="","",IFERROR(VLOOKUP($B187,'_CONFIG_Risk_Calibration'!$A$5:$H$21,2,FALSE),3))</f>
        <v/>
      </c>
      <c r="AG187">
        <f>IF($A187="","",IFERROR(VLOOKUP($B187,'_CONFIG_Risk_Calibration'!$A$5:$H$21,3,FALSE),0))</f>
        <v/>
      </c>
      <c r="AH187">
        <f>IF($A187="","",IFERROR(VLOOKUP($B187,'_CONFIG_Risk_Calibration'!$A$5:$H$21,4,FALSE),3))</f>
        <v/>
      </c>
      <c r="AI187">
        <f>IF($A187="","",IFERROR(VLOOKUP($B187,'_CONFIG_Risk_Calibration'!$A$5:$H$21,5,FALSE),3))</f>
        <v/>
      </c>
      <c r="AJ187">
        <f>IF($A187="","",IFERROR(VLOOKUP($B187,'_CONFIG_Risk_Calibration'!$A$5:$H$21,6,FALSE),"No"))</f>
        <v/>
      </c>
      <c r="AK187">
        <f>IF($A187="","",IFERROR(VLOOKUP($B187,'_CONFIG_Risk_Calibration'!$A$5:$H$21,7,FALSE),1))</f>
        <v/>
      </c>
      <c r="AL187">
        <f>IF($A187="","",IFERROR(VLOOKUP($B187,'_CONFIG_Risk_Calibration'!$A$5:$H$21,8,FALSE),""))</f>
        <v/>
      </c>
    </row>
    <row r="188" ht="60" customHeight="1" s="209">
      <c r="A188" s="13" t="inlineStr">
        <is>
          <t>DELI-013</t>
        </is>
      </c>
      <c r="B188" s="13" t="inlineStr">
        <is>
          <t>Delivery Ops</t>
        </is>
      </c>
      <c r="C188" s="13" t="inlineStr">
        <is>
          <t>Process control</t>
        </is>
      </c>
      <c r="D188" s="13" t="inlineStr">
        <is>
          <t>Delivery, service continuity and operational execution</t>
        </is>
      </c>
      <c r="E188" s="13" t="inlineStr">
        <is>
          <t>How mature is the organization in managing SOP documentation for critical delivery activities, including ownership, evidence, metrics, fallback procedures and crisis stress testing?</t>
        </is>
      </c>
      <c r="F188" s="13" t="inlineStr">
        <is>
          <t>Immature capability for SOP documentation for critical delivery activities may lead to missed commitments, SLA breaches, service interruption and weak customer recovery during Delivery disruption; Customer impact; Workforce disruption.</t>
        </is>
      </c>
      <c r="G188" s="13" t="inlineStr">
        <is>
          <t>Low maturity, weak ownership, incomplete evidence, insufficient testing and poor integration with crisis-management routines for SOP documentation for critical delivery activities.</t>
        </is>
      </c>
      <c r="H188" s="13" t="inlineStr">
        <is>
          <t>Severe risk: SOP documentation for critical delivery activities is not reliably controlled. During Delivery disruption; Customer impact; Workforce disruption, the organization may face missed commitments, SLA breaches, service interruption and weak customer recovery with limited visibility or accountability.</t>
        </is>
      </c>
      <c r="I188" s="13" t="inlineStr">
        <is>
          <t>High risk: SOP documentation for critical delivery activities depends on informal practices or individual knowledge. Disruption may expose missed commitments, SLA breaches, service interruption and weak customer recovery and slow recovery.</t>
        </is>
      </c>
      <c r="J188" s="13" t="inlineStr">
        <is>
          <t>Elevated risk: SOP documentation for critical delivery activities is partially controlled, but coverage, evidence or testing is inconsistent. Crisis response may be fragmented.</t>
        </is>
      </c>
      <c r="K188" s="13" t="inlineStr">
        <is>
          <t>Moderate risk: SOP documentation for critical delivery activities is documented and owned, but measurement, stress testing and integration with dependent processes need strengthening.</t>
        </is>
      </c>
      <c r="L188" s="13" t="inlineStr">
        <is>
          <t>Residual risk: SOP documentation for critical delivery activities is measured and reviewed, but monitoring, automation or scenario testing should be improved to prevent maturity drift.</t>
        </is>
      </c>
      <c r="M188" s="13" t="inlineStr">
        <is>
          <t>Low residual risk: SOP documentation for critical delivery activities is mature and crisis-tested. Maintain monitoring, evidence, ownership and periodic stress testing.</t>
        </is>
      </c>
      <c r="N188" s="13" t="inlineStr">
        <is>
          <t>Create an immediate risk owner, minimum control baseline and fallback procedure for SOP documentation for critical delivery activities. Add it to the crisis risk register and collect first evidence.</t>
        </is>
      </c>
      <c r="O188" s="13" t="inlineStr">
        <is>
          <t>Document SOP documentation for critical delivery activities, assign RACI, define minimum controls and KPIs, and validate coverage across key sites, teams or systems.</t>
        </is>
      </c>
      <c r="P188" s="13" t="inlineStr">
        <is>
          <t>Standardize SOP documentation for critical delivery activities, close coverage gaps, train accountable roles and connect controls to the relevant crisis scenarios and continuity plans.</t>
        </is>
      </c>
      <c r="Q188" s="13" t="inlineStr">
        <is>
          <t>Measure and test SOP documentation for critical delivery activities, run tabletop or operational stress tests, integrate it with dependent processes and update crisis playbooks.</t>
        </is>
      </c>
      <c r="R188" s="13" t="inlineStr">
        <is>
          <t>Automate monitoring where practical, define leading indicators, run periodic scenario tests and track residual risk after each major change.</t>
        </is>
      </c>
      <c r="S188" s="13" t="inlineStr">
        <is>
          <t>Sustain maturity for SOP documentation for critical delivery activities: keep evidence current, monitor drift, benchmark externally and refresh risk tests after organizational, system or market changes.</t>
        </is>
      </c>
      <c r="T188" s="13" t="n">
        <v>3</v>
      </c>
      <c r="U188" s="13" t="n">
        <v>3</v>
      </c>
      <c r="V188" s="13" t="n">
        <v>2</v>
      </c>
      <c r="W188" s="13" t="n">
        <v>2</v>
      </c>
      <c r="X188" s="13" t="n">
        <v>1</v>
      </c>
      <c r="Y188" s="13" t="n">
        <v>1</v>
      </c>
      <c r="Z188" s="13" t="inlineStr">
        <is>
          <t>ISO 9001; ISO 22301; ITIL 4; Lean; Six Sigma; APQC; service management best practices</t>
        </is>
      </c>
      <c r="AA188" s="13" t="inlineStr">
        <is>
          <t>Policy/SOP; owner/RACI; system report; dashboard; contracts; test records; incident history; interview evidence related to SOP documentation for critical delivery activities.</t>
        </is>
      </c>
      <c r="AB188" s="13" t="inlineStr">
        <is>
          <t>Delivery disruption; Customer impact; Workforce disruption</t>
        </is>
      </c>
      <c r="AC188" s="13" t="inlineStr">
        <is>
          <t>COO / Delivery</t>
        </is>
      </c>
      <c r="AD188" s="13" t="inlineStr">
        <is>
          <t>Delivery Ops!17</t>
        </is>
      </c>
      <c r="AE188">
        <f>IF($A188="","",IF(OR(ISNUMBER(SEARCH("cyber",$D188)),ISNUMBER(SEARCH("security",$D188)),ISNUMBER(SEARCH("safety",$D188)),ISNUMBER(SEARCH("liquidity",$D188)),ISNUMBER(SEARCH("cash",$D188)),ISNUMBER(SEARCH("continuity",$D188)),ISNUMBER(SEARCH("infrastructure",$D188)),ISNUMBER(SEARCH("outage",$D188))),"Fast",IF(OR(ISNUMBER(SEARCH("compliance",$D188)),ISNUMBER(SEARCH("regulat",$D188)),ISNUMBER(SEARCH("data",$D188)),ISNUMBER(SEARCH("talent",$D188)),ISNUMBER(SEARCH("knowledge",$D188)),ISNUMBER(SEARCH("portfolio",$D188)),ISNUMBER(SEARCH("quality",$D188))),"Slow","Medium")))</f>
        <v/>
      </c>
      <c r="AF188">
        <f>IF($A188="","",IFERROR(VLOOKUP($B188,'_CONFIG_Risk_Calibration'!$A$5:$H$21,2,FALSE),3))</f>
        <v/>
      </c>
      <c r="AG188">
        <f>IF($A188="","",IFERROR(VLOOKUP($B188,'_CONFIG_Risk_Calibration'!$A$5:$H$21,3,FALSE),0))</f>
        <v/>
      </c>
      <c r="AH188">
        <f>IF($A188="","",IFERROR(VLOOKUP($B188,'_CONFIG_Risk_Calibration'!$A$5:$H$21,4,FALSE),3))</f>
        <v/>
      </c>
      <c r="AI188">
        <f>IF($A188="","",IFERROR(VLOOKUP($B188,'_CONFIG_Risk_Calibration'!$A$5:$H$21,5,FALSE),3))</f>
        <v/>
      </c>
      <c r="AJ188">
        <f>IF($A188="","",IFERROR(VLOOKUP($B188,'_CONFIG_Risk_Calibration'!$A$5:$H$21,6,FALSE),"No"))</f>
        <v/>
      </c>
      <c r="AK188">
        <f>IF($A188="","",IFERROR(VLOOKUP($B188,'_CONFIG_Risk_Calibration'!$A$5:$H$21,7,FALSE),1))</f>
        <v/>
      </c>
      <c r="AL188">
        <f>IF($A188="","",IFERROR(VLOOKUP($B188,'_CONFIG_Risk_Calibration'!$A$5:$H$21,8,FALSE),""))</f>
        <v/>
      </c>
    </row>
    <row r="189" ht="72" customHeight="1" s="209">
      <c r="A189" s="13" t="inlineStr">
        <is>
          <t>DELI-014</t>
        </is>
      </c>
      <c r="B189" s="13" t="inlineStr">
        <is>
          <t>Delivery Ops</t>
        </is>
      </c>
      <c r="C189" s="13" t="inlineStr">
        <is>
          <t>Process control</t>
        </is>
      </c>
      <c r="D189" s="13" t="inlineStr">
        <is>
          <t>Delivery, service continuity and operational execution</t>
        </is>
      </c>
      <c r="E189" s="13" t="inlineStr">
        <is>
          <t>How mature is the organization in managing handover procedures between shifts, teams, vendors and customers, including ownership, evidence, metrics, fallback procedures and crisis stress testing?</t>
        </is>
      </c>
      <c r="F189" s="13" t="inlineStr">
        <is>
          <t>Immature capability for handover procedures between shifts, teams, vendors and customers may lead to missed commitments, SLA breaches, service interruption and weak customer recovery during Delivery disruption; Customer impact; Workforce disruption.</t>
        </is>
      </c>
      <c r="G189" s="13" t="inlineStr">
        <is>
          <t>Low maturity, weak ownership, incomplete evidence, insufficient testing and poor integration with crisis-management routines for handover procedures between shifts, teams, vendors and customers.</t>
        </is>
      </c>
      <c r="H189" s="13" t="inlineStr">
        <is>
          <t>Severe risk: handover procedures between shifts, teams, vendors and customers is not reliably controlled. During Delivery disruption; Customer impact; Workforce disruption, the organization may face missed commitments, SLA breaches, service interruption and weak customer recovery with limited visibility or accountability.</t>
        </is>
      </c>
      <c r="I189" s="13" t="inlineStr">
        <is>
          <t>High risk: handover procedures between shifts, teams, vendors and customers depends on informal practices or individual knowledge. Disruption may expose missed commitments, SLA breaches, service interruption and weak customer recovery and slow recovery.</t>
        </is>
      </c>
      <c r="J189" s="13" t="inlineStr">
        <is>
          <t>Elevated risk: handover procedures between shifts, teams, vendors and customers is partially controlled, but coverage, evidence or testing is inconsistent. Crisis response may be fragmented.</t>
        </is>
      </c>
      <c r="K189" s="13" t="inlineStr">
        <is>
          <t>Moderate risk: handover procedures between shifts, teams, vendors and customers is documented and owned, but measurement, stress testing and integration with dependent processes need strengthening.</t>
        </is>
      </c>
      <c r="L189" s="13" t="inlineStr">
        <is>
          <t>Residual risk: handover procedures between shifts, teams, vendors and customers is measured and reviewed, but monitoring, automation or scenario testing should be improved to prevent maturity drift.</t>
        </is>
      </c>
      <c r="M189" s="13" t="inlineStr">
        <is>
          <t>Low residual risk: handover procedures between shifts, teams, vendors and customers is mature and crisis-tested. Maintain monitoring, evidence, ownership and periodic stress testing.</t>
        </is>
      </c>
      <c r="N189" s="13" t="inlineStr">
        <is>
          <t>Create an immediate risk owner, minimum control baseline and fallback procedure for handover procedures between shifts, teams, vendors and customers. Add it to the crisis risk register and collect first evidence.</t>
        </is>
      </c>
      <c r="O189" s="13" t="inlineStr">
        <is>
          <t>Document handover procedures between shifts, teams, vendors and customers, assign RACI, define minimum controls and KPIs, and validate coverage across key sites, teams or systems.</t>
        </is>
      </c>
      <c r="P189" s="13" t="inlineStr">
        <is>
          <t>Standardize handover procedures between shifts, teams, vendors and customers, close coverage gaps, train accountable roles and connect controls to the relevant crisis scenarios and continuity plans.</t>
        </is>
      </c>
      <c r="Q189" s="13" t="inlineStr">
        <is>
          <t>Measure and test handover procedures between shifts, teams, vendors and customers, run tabletop or operational stress tests, integrate it with dependent processes and update crisis playbooks.</t>
        </is>
      </c>
      <c r="R189" s="13" t="inlineStr">
        <is>
          <t>Automate monitoring where practical, define leading indicators, run periodic scenario tests and track residual risk after each major change.</t>
        </is>
      </c>
      <c r="S189" s="13" t="inlineStr">
        <is>
          <t>Sustain maturity for handover procedures between shifts, teams, vendors and customers: keep evidence current, monitor drift, benchmark externally and refresh risk tests after organizational, system or market changes.</t>
        </is>
      </c>
      <c r="T189" s="13" t="n">
        <v>3</v>
      </c>
      <c r="U189" s="13" t="n">
        <v>3</v>
      </c>
      <c r="V189" s="13" t="n">
        <v>2</v>
      </c>
      <c r="W189" s="13" t="n">
        <v>2</v>
      </c>
      <c r="X189" s="13" t="n">
        <v>1</v>
      </c>
      <c r="Y189" s="13" t="n">
        <v>1</v>
      </c>
      <c r="Z189" s="13" t="inlineStr">
        <is>
          <t>ISO 9001; ISO 22301; ITIL 4; Lean; Six Sigma; APQC; service management best practices</t>
        </is>
      </c>
      <c r="AA189" s="13" t="inlineStr">
        <is>
          <t>Policy/SOP; owner/RACI; system report; dashboard; contracts; test records; incident history; interview evidence related to handover procedures between shifts, teams, vendors and customers.</t>
        </is>
      </c>
      <c r="AB189" s="13" t="inlineStr">
        <is>
          <t>Delivery disruption; Customer impact; Workforce disruption</t>
        </is>
      </c>
      <c r="AC189" s="13" t="inlineStr">
        <is>
          <t>COO / Delivery</t>
        </is>
      </c>
      <c r="AD189" s="13" t="inlineStr">
        <is>
          <t>Delivery Ops!18</t>
        </is>
      </c>
      <c r="AE189">
        <f>IF($A189="","",IF(OR(ISNUMBER(SEARCH("cyber",$D189)),ISNUMBER(SEARCH("security",$D189)),ISNUMBER(SEARCH("safety",$D189)),ISNUMBER(SEARCH("liquidity",$D189)),ISNUMBER(SEARCH("cash",$D189)),ISNUMBER(SEARCH("continuity",$D189)),ISNUMBER(SEARCH("infrastructure",$D189)),ISNUMBER(SEARCH("outage",$D189))),"Fast",IF(OR(ISNUMBER(SEARCH("compliance",$D189)),ISNUMBER(SEARCH("regulat",$D189)),ISNUMBER(SEARCH("data",$D189)),ISNUMBER(SEARCH("talent",$D189)),ISNUMBER(SEARCH("knowledge",$D189)),ISNUMBER(SEARCH("portfolio",$D189)),ISNUMBER(SEARCH("quality",$D189))),"Slow","Medium")))</f>
        <v/>
      </c>
      <c r="AF189">
        <f>IF($A189="","",IFERROR(VLOOKUP($B189,'_CONFIG_Risk_Calibration'!$A$5:$H$21,2,FALSE),3))</f>
        <v/>
      </c>
      <c r="AG189">
        <f>IF($A189="","",IFERROR(VLOOKUP($B189,'_CONFIG_Risk_Calibration'!$A$5:$H$21,3,FALSE),0))</f>
        <v/>
      </c>
      <c r="AH189">
        <f>IF($A189="","",IFERROR(VLOOKUP($B189,'_CONFIG_Risk_Calibration'!$A$5:$H$21,4,FALSE),3))</f>
        <v/>
      </c>
      <c r="AI189">
        <f>IF($A189="","",IFERROR(VLOOKUP($B189,'_CONFIG_Risk_Calibration'!$A$5:$H$21,5,FALSE),3))</f>
        <v/>
      </c>
      <c r="AJ189">
        <f>IF($A189="","",IFERROR(VLOOKUP($B189,'_CONFIG_Risk_Calibration'!$A$5:$H$21,6,FALSE),"No"))</f>
        <v/>
      </c>
      <c r="AK189">
        <f>IF($A189="","",IFERROR(VLOOKUP($B189,'_CONFIG_Risk_Calibration'!$A$5:$H$21,7,FALSE),1))</f>
        <v/>
      </c>
      <c r="AL189">
        <f>IF($A189="","",IFERROR(VLOOKUP($B189,'_CONFIG_Risk_Calibration'!$A$5:$H$21,8,FALSE),""))</f>
        <v/>
      </c>
    </row>
    <row r="190" ht="72" customHeight="1" s="209">
      <c r="A190" s="13" t="inlineStr">
        <is>
          <t>DELI-015</t>
        </is>
      </c>
      <c r="B190" s="13" t="inlineStr">
        <is>
          <t>Delivery Ops</t>
        </is>
      </c>
      <c r="C190" s="13" t="inlineStr">
        <is>
          <t>Process control</t>
        </is>
      </c>
      <c r="D190" s="13" t="inlineStr">
        <is>
          <t>Delivery, service continuity and operational execution</t>
        </is>
      </c>
      <c r="E190" s="13" t="inlineStr">
        <is>
          <t>How mature is the organization in managing quality gates across delivery, production, release or service lifecycle, including ownership, evidence, metrics, fallback procedures and crisis stress testing?</t>
        </is>
      </c>
      <c r="F190" s="13" t="inlineStr">
        <is>
          <t>Immature capability for quality gates across delivery, production, release or service lifecycle may lead to missed commitments, SLA breaches, service interruption and weak customer recovery during Delivery disruption; Customer impact; Workforce disruption.</t>
        </is>
      </c>
      <c r="G190" s="13" t="inlineStr">
        <is>
          <t>Low maturity, weak ownership, incomplete evidence, insufficient testing and poor integration with crisis-management routines for quality gates across delivery, production, release or service lifecycle.</t>
        </is>
      </c>
      <c r="H190" s="13" t="inlineStr">
        <is>
          <t>Severe risk: quality gates across delivery, production, release or service lifecycle is not reliably controlled. During Delivery disruption; Customer impact; Workforce disruption, the organization may face missed commitments, SLA breaches, service interruption and weak customer recovery with limited visibility or accountability.</t>
        </is>
      </c>
      <c r="I190" s="13" t="inlineStr">
        <is>
          <t>High risk: quality gates across delivery, production, release or service lifecycle depends on informal practices or individual knowledge. Disruption may expose missed commitments, SLA breaches, service interruption and weak customer recovery and slow recovery.</t>
        </is>
      </c>
      <c r="J190" s="13" t="inlineStr">
        <is>
          <t>Elevated risk: quality gates across delivery, production, release or service lifecycle is partially controlled, but coverage, evidence or testing is inconsistent. Crisis response may be fragmented.</t>
        </is>
      </c>
      <c r="K190" s="13" t="inlineStr">
        <is>
          <t>Moderate risk: quality gates across delivery, production, release or service lifecycle is documented and owned, but measurement, stress testing and integration with dependent processes need strengthening.</t>
        </is>
      </c>
      <c r="L190" s="13" t="inlineStr">
        <is>
          <t>Residual risk: quality gates across delivery, production, release or service lifecycle is measured and reviewed, but monitoring, automation or scenario testing should be improved to prevent maturity drift.</t>
        </is>
      </c>
      <c r="M190" s="13" t="inlineStr">
        <is>
          <t>Low residual risk: quality gates across delivery, production, release or service lifecycle is mature and crisis-tested. Maintain monitoring, evidence, ownership and periodic stress testing.</t>
        </is>
      </c>
      <c r="N190" s="13" t="inlineStr">
        <is>
          <t>Create an immediate risk owner, minimum control baseline and fallback procedure for quality gates across delivery, production, release or service lifecycle. Add it to the crisis risk register and collect first evidence.</t>
        </is>
      </c>
      <c r="O190" s="13" t="inlineStr">
        <is>
          <t>Document quality gates across delivery, production, release or service lifecycle, assign RACI, define minimum controls and KPIs, and validate coverage across key sites, teams or systems.</t>
        </is>
      </c>
      <c r="P190" s="13" t="inlineStr">
        <is>
          <t>Standardize quality gates across delivery, production, release or service lifecycle, close coverage gaps, train accountable roles and connect controls to the relevant crisis scenarios and continuity plans.</t>
        </is>
      </c>
      <c r="Q190" s="13" t="inlineStr">
        <is>
          <t>Measure and test quality gates across delivery, production, release or service lifecycle, run tabletop or operational stress tests, integrate it with dependent processes and update crisis playbooks.</t>
        </is>
      </c>
      <c r="R190" s="13" t="inlineStr">
        <is>
          <t>Automate monitoring where practical, define leading indicators, run periodic scenario tests and track residual risk after each major change.</t>
        </is>
      </c>
      <c r="S190" s="13" t="inlineStr">
        <is>
          <t>Sustain maturity for quality gates across delivery, production, release or service lifecycle: keep evidence current, monitor drift, benchmark externally and refresh risk tests after organizational, system or market changes.</t>
        </is>
      </c>
      <c r="T190" s="13" t="n">
        <v>3</v>
      </c>
      <c r="U190" s="13" t="n">
        <v>3</v>
      </c>
      <c r="V190" s="13" t="n">
        <v>2</v>
      </c>
      <c r="W190" s="13" t="n">
        <v>2</v>
      </c>
      <c r="X190" s="13" t="n">
        <v>1</v>
      </c>
      <c r="Y190" s="13" t="n">
        <v>1</v>
      </c>
      <c r="Z190" s="13" t="inlineStr">
        <is>
          <t>ISO 9001; ISO 22301; ITIL 4; Lean; Six Sigma; APQC; service management best practices</t>
        </is>
      </c>
      <c r="AA190" s="13" t="inlineStr">
        <is>
          <t>Policy/SOP; owner/RACI; system report; dashboard; contracts; test records; incident history; interview evidence related to quality gates across delivery, production, release or service lifecycle.</t>
        </is>
      </c>
      <c r="AB190" s="13" t="inlineStr">
        <is>
          <t>Delivery disruption; Customer impact; Workforce disruption</t>
        </is>
      </c>
      <c r="AC190" s="13" t="inlineStr">
        <is>
          <t>COO / Delivery</t>
        </is>
      </c>
      <c r="AD190" s="13" t="inlineStr">
        <is>
          <t>Delivery Ops!19</t>
        </is>
      </c>
      <c r="AE190">
        <f>IF($A190="","",IF(OR(ISNUMBER(SEARCH("cyber",$D190)),ISNUMBER(SEARCH("security",$D190)),ISNUMBER(SEARCH("safety",$D190)),ISNUMBER(SEARCH("liquidity",$D190)),ISNUMBER(SEARCH("cash",$D190)),ISNUMBER(SEARCH("continuity",$D190)),ISNUMBER(SEARCH("infrastructure",$D190)),ISNUMBER(SEARCH("outage",$D190))),"Fast",IF(OR(ISNUMBER(SEARCH("compliance",$D190)),ISNUMBER(SEARCH("regulat",$D190)),ISNUMBER(SEARCH("data",$D190)),ISNUMBER(SEARCH("talent",$D190)),ISNUMBER(SEARCH("knowledge",$D190)),ISNUMBER(SEARCH("portfolio",$D190)),ISNUMBER(SEARCH("quality",$D190))),"Slow","Medium")))</f>
        <v/>
      </c>
      <c r="AF190">
        <f>IF($A190="","",IFERROR(VLOOKUP($B190,'_CONFIG_Risk_Calibration'!$A$5:$H$21,2,FALSE),3))</f>
        <v/>
      </c>
      <c r="AG190">
        <f>IF($A190="","",IFERROR(VLOOKUP($B190,'_CONFIG_Risk_Calibration'!$A$5:$H$21,3,FALSE),0))</f>
        <v/>
      </c>
      <c r="AH190">
        <f>IF($A190="","",IFERROR(VLOOKUP($B190,'_CONFIG_Risk_Calibration'!$A$5:$H$21,4,FALSE),3))</f>
        <v/>
      </c>
      <c r="AI190">
        <f>IF($A190="","",IFERROR(VLOOKUP($B190,'_CONFIG_Risk_Calibration'!$A$5:$H$21,5,FALSE),3))</f>
        <v/>
      </c>
      <c r="AJ190">
        <f>IF($A190="","",IFERROR(VLOOKUP($B190,'_CONFIG_Risk_Calibration'!$A$5:$H$21,6,FALSE),"No"))</f>
        <v/>
      </c>
      <c r="AK190">
        <f>IF($A190="","",IFERROR(VLOOKUP($B190,'_CONFIG_Risk_Calibration'!$A$5:$H$21,7,FALSE),1))</f>
        <v/>
      </c>
      <c r="AL190">
        <f>IF($A190="","",IFERROR(VLOOKUP($B190,'_CONFIG_Risk_Calibration'!$A$5:$H$21,8,FALSE),""))</f>
        <v/>
      </c>
    </row>
    <row r="191" ht="72" customHeight="1" s="209">
      <c r="A191" s="13" t="inlineStr">
        <is>
          <t>DELI-016</t>
        </is>
      </c>
      <c r="B191" s="13" t="inlineStr">
        <is>
          <t>Delivery Ops</t>
        </is>
      </c>
      <c r="C191" s="13" t="inlineStr">
        <is>
          <t>Process control</t>
        </is>
      </c>
      <c r="D191" s="13" t="inlineStr">
        <is>
          <t>Delivery, service continuity and operational execution</t>
        </is>
      </c>
      <c r="E191" s="13" t="inlineStr">
        <is>
          <t>How mature is the organization in managing change control with risk, customer impact, rollback and communication, including ownership, evidence, metrics, fallback procedures and crisis stress testing?</t>
        </is>
      </c>
      <c r="F191" s="13" t="inlineStr">
        <is>
          <t>Immature capability for change control with risk, customer impact, rollback and communication may lead to missed commitments, SLA breaches, service interruption and weak customer recovery during Delivery disruption; Customer impact; Workforce disruption.</t>
        </is>
      </c>
      <c r="G191" s="13" t="inlineStr">
        <is>
          <t>Low maturity, weak ownership, incomplete evidence, insufficient testing and poor integration with crisis-management routines for change control with risk, customer impact, rollback and communication.</t>
        </is>
      </c>
      <c r="H191" s="13" t="inlineStr">
        <is>
          <t>Severe risk: change control with risk, customer impact, rollback and communication is not reliably controlled. During Delivery disruption; Customer impact; Workforce disruption, the organization may face missed commitments, SLA breaches, service interruption and weak customer recovery with limited visibility or accountability.</t>
        </is>
      </c>
      <c r="I191" s="13" t="inlineStr">
        <is>
          <t>High risk: change control with risk, customer impact, rollback and communication depends on informal practices or individual knowledge. Disruption may expose missed commitments, SLA breaches, service interruption and weak customer recovery and slow recovery.</t>
        </is>
      </c>
      <c r="J191" s="13" t="inlineStr">
        <is>
          <t>Elevated risk: change control with risk, customer impact, rollback and communication is partially controlled, but coverage, evidence or testing is inconsistent. Crisis response may be fragmented.</t>
        </is>
      </c>
      <c r="K191" s="13" t="inlineStr">
        <is>
          <t>Moderate risk: change control with risk, customer impact, rollback and communication is documented and owned, but measurement, stress testing and integration with dependent processes need strengthening.</t>
        </is>
      </c>
      <c r="L191" s="13" t="inlineStr">
        <is>
          <t>Residual risk: change control with risk, customer impact, rollback and communication is measured and reviewed, but monitoring, automation or scenario testing should be improved to prevent maturity drift.</t>
        </is>
      </c>
      <c r="M191" s="13" t="inlineStr">
        <is>
          <t>Low residual risk: change control with risk, customer impact, rollback and communication is mature and crisis-tested. Maintain monitoring, evidence, ownership and periodic stress testing.</t>
        </is>
      </c>
      <c r="N191" s="13" t="inlineStr">
        <is>
          <t>Create an immediate risk owner, minimum control baseline and fallback procedure for change control with risk, customer impact, rollback and communication. Add it to the crisis risk register and collect first evidence.</t>
        </is>
      </c>
      <c r="O191" s="13" t="inlineStr">
        <is>
          <t>Document change control with risk, customer impact, rollback and communication, assign RACI, define minimum controls and KPIs, and validate coverage across key sites, teams or systems.</t>
        </is>
      </c>
      <c r="P191" s="13" t="inlineStr">
        <is>
          <t>Standardize change control with risk, customer impact, rollback and communication, close coverage gaps, train accountable roles and connect controls to the relevant crisis scenarios and continuity plans.</t>
        </is>
      </c>
      <c r="Q191" s="13" t="inlineStr">
        <is>
          <t>Measure and test change control with risk, customer impact, rollback and communication, run tabletop or operational stress tests, integrate it with dependent processes and update crisis playbooks.</t>
        </is>
      </c>
      <c r="R191" s="13" t="inlineStr">
        <is>
          <t>Automate monitoring where practical, define leading indicators, run periodic scenario tests and track residual risk after each major change.</t>
        </is>
      </c>
      <c r="S191" s="13" t="inlineStr">
        <is>
          <t>Sustain maturity for change control with risk, customer impact, rollback and communication: keep evidence current, monitor drift, benchmark externally and refresh risk tests after organizational, system or market changes.</t>
        </is>
      </c>
      <c r="T191" s="13" t="n">
        <v>3</v>
      </c>
      <c r="U191" s="13" t="n">
        <v>3</v>
      </c>
      <c r="V191" s="13" t="n">
        <v>2</v>
      </c>
      <c r="W191" s="13" t="n">
        <v>2</v>
      </c>
      <c r="X191" s="13" t="n">
        <v>1</v>
      </c>
      <c r="Y191" s="13" t="n">
        <v>1</v>
      </c>
      <c r="Z191" s="13" t="inlineStr">
        <is>
          <t>ISO 9001; ISO 22301; ITIL 4; Lean; Six Sigma; APQC; service management best practices</t>
        </is>
      </c>
      <c r="AA191" s="13" t="inlineStr">
        <is>
          <t>Policy/SOP; owner/RACI; system report; dashboard; contracts; test records; incident history; interview evidence related to change control with risk, customer impact, rollback and communication.</t>
        </is>
      </c>
      <c r="AB191" s="13" t="inlineStr">
        <is>
          <t>Delivery disruption; Customer impact; Workforce disruption</t>
        </is>
      </c>
      <c r="AC191" s="13" t="inlineStr">
        <is>
          <t>COO / Delivery</t>
        </is>
      </c>
      <c r="AD191" s="13" t="inlineStr">
        <is>
          <t>Delivery Ops!20</t>
        </is>
      </c>
      <c r="AE191">
        <f>IF($A191="","",IF(OR(ISNUMBER(SEARCH("cyber",$D191)),ISNUMBER(SEARCH("security",$D191)),ISNUMBER(SEARCH("safety",$D191)),ISNUMBER(SEARCH("liquidity",$D191)),ISNUMBER(SEARCH("cash",$D191)),ISNUMBER(SEARCH("continuity",$D191)),ISNUMBER(SEARCH("infrastructure",$D191)),ISNUMBER(SEARCH("outage",$D191))),"Fast",IF(OR(ISNUMBER(SEARCH("compliance",$D191)),ISNUMBER(SEARCH("regulat",$D191)),ISNUMBER(SEARCH("data",$D191)),ISNUMBER(SEARCH("talent",$D191)),ISNUMBER(SEARCH("knowledge",$D191)),ISNUMBER(SEARCH("portfolio",$D191)),ISNUMBER(SEARCH("quality",$D191))),"Slow","Medium")))</f>
        <v/>
      </c>
      <c r="AF191">
        <f>IF($A191="","",IFERROR(VLOOKUP($B191,'_CONFIG_Risk_Calibration'!$A$5:$H$21,2,FALSE),3))</f>
        <v/>
      </c>
      <c r="AG191">
        <f>IF($A191="","",IFERROR(VLOOKUP($B191,'_CONFIG_Risk_Calibration'!$A$5:$H$21,3,FALSE),0))</f>
        <v/>
      </c>
      <c r="AH191">
        <f>IF($A191="","",IFERROR(VLOOKUP($B191,'_CONFIG_Risk_Calibration'!$A$5:$H$21,4,FALSE),3))</f>
        <v/>
      </c>
      <c r="AI191">
        <f>IF($A191="","",IFERROR(VLOOKUP($B191,'_CONFIG_Risk_Calibration'!$A$5:$H$21,5,FALSE),3))</f>
        <v/>
      </c>
      <c r="AJ191">
        <f>IF($A191="","",IFERROR(VLOOKUP($B191,'_CONFIG_Risk_Calibration'!$A$5:$H$21,6,FALSE),"No"))</f>
        <v/>
      </c>
      <c r="AK191">
        <f>IF($A191="","",IFERROR(VLOOKUP($B191,'_CONFIG_Risk_Calibration'!$A$5:$H$21,7,FALSE),1))</f>
        <v/>
      </c>
      <c r="AL191">
        <f>IF($A191="","",IFERROR(VLOOKUP($B191,'_CONFIG_Risk_Calibration'!$A$5:$H$21,8,FALSE),""))</f>
        <v/>
      </c>
    </row>
    <row r="192" ht="72" customHeight="1" s="209">
      <c r="A192" s="13" t="inlineStr">
        <is>
          <t>DELI-017</t>
        </is>
      </c>
      <c r="B192" s="13" t="inlineStr">
        <is>
          <t>Delivery Ops</t>
        </is>
      </c>
      <c r="C192" s="13" t="inlineStr">
        <is>
          <t>Process control</t>
        </is>
      </c>
      <c r="D192" s="13" t="inlineStr">
        <is>
          <t>Delivery, service continuity and operational execution</t>
        </is>
      </c>
      <c r="E192" s="13" t="inlineStr">
        <is>
          <t>How mature is the organization in managing manual workarounds if delivery systems are unavailable, including ownership, evidence, metrics, fallback procedures and crisis stress testing?</t>
        </is>
      </c>
      <c r="F192" s="13" t="inlineStr">
        <is>
          <t>Immature capability for manual workarounds if delivery systems are unavailable may lead to missed commitments, SLA breaches, service interruption and weak customer recovery during Delivery disruption; Customer impact; Workforce disruption.</t>
        </is>
      </c>
      <c r="G192" s="13" t="inlineStr">
        <is>
          <t>Low maturity, weak ownership, incomplete evidence, insufficient testing and poor integration with crisis-management routines for manual workarounds if delivery systems are unavailable.</t>
        </is>
      </c>
      <c r="H192" s="13" t="inlineStr">
        <is>
          <t>Severe risk: manual workarounds if delivery systems are unavailable is not reliably controlled. During Delivery disruption; Customer impact; Workforce disruption, the organization may face missed commitments, SLA breaches, service interruption and weak customer recovery with limited visibility or accountability.</t>
        </is>
      </c>
      <c r="I192" s="13" t="inlineStr">
        <is>
          <t>High risk: manual workarounds if delivery systems are unavailable depends on informal practices or individual knowledge. Disruption may expose missed commitments, SLA breaches, service interruption and weak customer recovery and slow recovery.</t>
        </is>
      </c>
      <c r="J192" s="13" t="inlineStr">
        <is>
          <t>Elevated risk: manual workarounds if delivery systems are unavailable is partially controlled, but coverage, evidence or testing is inconsistent. Crisis response may be fragmented.</t>
        </is>
      </c>
      <c r="K192" s="13" t="inlineStr">
        <is>
          <t>Moderate risk: manual workarounds if delivery systems are unavailable is documented and owned, but measurement, stress testing and integration with dependent processes need strengthening.</t>
        </is>
      </c>
      <c r="L192" s="13" t="inlineStr">
        <is>
          <t>Residual risk: manual workarounds if delivery systems are unavailable is measured and reviewed, but monitoring, automation or scenario testing should be improved to prevent maturity drift.</t>
        </is>
      </c>
      <c r="M192" s="13" t="inlineStr">
        <is>
          <t>Low residual risk: manual workarounds if delivery systems are unavailable is mature and crisis-tested. Maintain monitoring, evidence, ownership and periodic stress testing.</t>
        </is>
      </c>
      <c r="N192" s="13" t="inlineStr">
        <is>
          <t>Create an immediate risk owner, minimum control baseline and fallback procedure for manual workarounds if delivery systems are unavailable. Add it to the crisis risk register and collect first evidence.</t>
        </is>
      </c>
      <c r="O192" s="13" t="inlineStr">
        <is>
          <t>Document manual workarounds if delivery systems are unavailable, assign RACI, define minimum controls and KPIs, and validate coverage across key sites, teams or systems.</t>
        </is>
      </c>
      <c r="P192" s="13" t="inlineStr">
        <is>
          <t>Standardize manual workarounds if delivery systems are unavailable, close coverage gaps, train accountable roles and connect controls to the relevant crisis scenarios and continuity plans.</t>
        </is>
      </c>
      <c r="Q192" s="13" t="inlineStr">
        <is>
          <t>Measure and test manual workarounds if delivery systems are unavailable, run tabletop or operational stress tests, integrate it with dependent processes and update crisis playbooks.</t>
        </is>
      </c>
      <c r="R192" s="13" t="inlineStr">
        <is>
          <t>Automate monitoring where practical, define leading indicators, run periodic scenario tests and track residual risk after each major change.</t>
        </is>
      </c>
      <c r="S192" s="13" t="inlineStr">
        <is>
          <t>Sustain maturity for manual workarounds if delivery systems are unavailable: keep evidence current, monitor drift, benchmark externally and refresh risk tests after organizational, system or market changes.</t>
        </is>
      </c>
      <c r="T192" s="13" t="n">
        <v>3</v>
      </c>
      <c r="U192" s="13" t="n">
        <v>3</v>
      </c>
      <c r="V192" s="13" t="n">
        <v>2</v>
      </c>
      <c r="W192" s="13" t="n">
        <v>2</v>
      </c>
      <c r="X192" s="13" t="n">
        <v>1</v>
      </c>
      <c r="Y192" s="13" t="n">
        <v>1</v>
      </c>
      <c r="Z192" s="13" t="inlineStr">
        <is>
          <t>ISO 9001; ISO 22301; ITIL 4; Lean; Six Sigma; APQC; service management best practices</t>
        </is>
      </c>
      <c r="AA192" s="13" t="inlineStr">
        <is>
          <t>Policy/SOP; owner/RACI; system report; dashboard; contracts; test records; incident history; interview evidence related to manual workarounds if delivery systems are unavailable.</t>
        </is>
      </c>
      <c r="AB192" s="13" t="inlineStr">
        <is>
          <t>Delivery disruption; Customer impact; Workforce disruption</t>
        </is>
      </c>
      <c r="AC192" s="13" t="inlineStr">
        <is>
          <t>COO / Delivery</t>
        </is>
      </c>
      <c r="AD192" s="13" t="inlineStr">
        <is>
          <t>Delivery Ops!21</t>
        </is>
      </c>
      <c r="AE192">
        <f>IF($A192="","",IF(OR(ISNUMBER(SEARCH("cyber",$D192)),ISNUMBER(SEARCH("security",$D192)),ISNUMBER(SEARCH("safety",$D192)),ISNUMBER(SEARCH("liquidity",$D192)),ISNUMBER(SEARCH("cash",$D192)),ISNUMBER(SEARCH("continuity",$D192)),ISNUMBER(SEARCH("infrastructure",$D192)),ISNUMBER(SEARCH("outage",$D192))),"Fast",IF(OR(ISNUMBER(SEARCH("compliance",$D192)),ISNUMBER(SEARCH("regulat",$D192)),ISNUMBER(SEARCH("data",$D192)),ISNUMBER(SEARCH("talent",$D192)),ISNUMBER(SEARCH("knowledge",$D192)),ISNUMBER(SEARCH("portfolio",$D192)),ISNUMBER(SEARCH("quality",$D192))),"Slow","Medium")))</f>
        <v/>
      </c>
      <c r="AF192">
        <f>IF($A192="","",IFERROR(VLOOKUP($B192,'_CONFIG_Risk_Calibration'!$A$5:$H$21,2,FALSE),3))</f>
        <v/>
      </c>
      <c r="AG192">
        <f>IF($A192="","",IFERROR(VLOOKUP($B192,'_CONFIG_Risk_Calibration'!$A$5:$H$21,3,FALSE),0))</f>
        <v/>
      </c>
      <c r="AH192">
        <f>IF($A192="","",IFERROR(VLOOKUP($B192,'_CONFIG_Risk_Calibration'!$A$5:$H$21,4,FALSE),3))</f>
        <v/>
      </c>
      <c r="AI192">
        <f>IF($A192="","",IFERROR(VLOOKUP($B192,'_CONFIG_Risk_Calibration'!$A$5:$H$21,5,FALSE),3))</f>
        <v/>
      </c>
      <c r="AJ192">
        <f>IF($A192="","",IFERROR(VLOOKUP($B192,'_CONFIG_Risk_Calibration'!$A$5:$H$21,6,FALSE),"No"))</f>
        <v/>
      </c>
      <c r="AK192">
        <f>IF($A192="","",IFERROR(VLOOKUP($B192,'_CONFIG_Risk_Calibration'!$A$5:$H$21,7,FALSE),1))</f>
        <v/>
      </c>
      <c r="AL192">
        <f>IF($A192="","",IFERROR(VLOOKUP($B192,'_CONFIG_Risk_Calibration'!$A$5:$H$21,8,FALSE),""))</f>
        <v/>
      </c>
    </row>
    <row r="193" ht="60" customHeight="1" s="209">
      <c r="A193" s="13" t="inlineStr">
        <is>
          <t>DELI-018</t>
        </is>
      </c>
      <c r="B193" s="13" t="inlineStr">
        <is>
          <t>Delivery Ops</t>
        </is>
      </c>
      <c r="C193" s="13" t="inlineStr">
        <is>
          <t>Process control</t>
        </is>
      </c>
      <c r="D193" s="13" t="inlineStr">
        <is>
          <t>Delivery, service continuity and operational execution</t>
        </is>
      </c>
      <c r="E193" s="13" t="inlineStr">
        <is>
          <t>How mature is the organization in managing root cause analysis for recurring delivery failures, including ownership, evidence, metrics, fallback procedures and crisis stress testing?</t>
        </is>
      </c>
      <c r="F193" s="13" t="inlineStr">
        <is>
          <t>Immature capability for root cause analysis for recurring delivery failures may lead to missed commitments, SLA breaches, service interruption and weak customer recovery during Delivery disruption; Customer impact; Workforce disruption.</t>
        </is>
      </c>
      <c r="G193" s="13" t="inlineStr">
        <is>
          <t>Low maturity, weak ownership, incomplete evidence, insufficient testing and poor integration with crisis-management routines for root cause analysis for recurring delivery failures.</t>
        </is>
      </c>
      <c r="H193" s="13" t="inlineStr">
        <is>
          <t>Severe risk: root cause analysis for recurring delivery failures is not reliably controlled. During Delivery disruption; Customer impact; Workforce disruption, the organization may face missed commitments, SLA breaches, service interruption and weak customer recovery with limited visibility or accountability.</t>
        </is>
      </c>
      <c r="I193" s="13" t="inlineStr">
        <is>
          <t>High risk: root cause analysis for recurring delivery failures depends on informal practices or individual knowledge. Disruption may expose missed commitments, SLA breaches, service interruption and weak customer recovery and slow recovery.</t>
        </is>
      </c>
      <c r="J193" s="13" t="inlineStr">
        <is>
          <t>Elevated risk: root cause analysis for recurring delivery failures is partially controlled, but coverage, evidence or testing is inconsistent. Crisis response may be fragmented.</t>
        </is>
      </c>
      <c r="K193" s="13" t="inlineStr">
        <is>
          <t>Moderate risk: root cause analysis for recurring delivery failures is documented and owned, but measurement, stress testing and integration with dependent processes need strengthening.</t>
        </is>
      </c>
      <c r="L193" s="13" t="inlineStr">
        <is>
          <t>Residual risk: root cause analysis for recurring delivery failures is measured and reviewed, but monitoring, automation or scenario testing should be improved to prevent maturity drift.</t>
        </is>
      </c>
      <c r="M193" s="13" t="inlineStr">
        <is>
          <t>Low residual risk: root cause analysis for recurring delivery failures is mature and crisis-tested. Maintain monitoring, evidence, ownership and periodic stress testing.</t>
        </is>
      </c>
      <c r="N193" s="13" t="inlineStr">
        <is>
          <t>Create an immediate risk owner, minimum control baseline and fallback procedure for root cause analysis for recurring delivery failures. Add it to the crisis risk register and collect first evidence.</t>
        </is>
      </c>
      <c r="O193" s="13" t="inlineStr">
        <is>
          <t>Document root cause analysis for recurring delivery failures, assign RACI, define minimum controls and KPIs, and validate coverage across key sites, teams or systems.</t>
        </is>
      </c>
      <c r="P193" s="13" t="inlineStr">
        <is>
          <t>Standardize root cause analysis for recurring delivery failures, close coverage gaps, train accountable roles and connect controls to the relevant crisis scenarios and continuity plans.</t>
        </is>
      </c>
      <c r="Q193" s="13" t="inlineStr">
        <is>
          <t>Measure and test root cause analysis for recurring delivery failures, run tabletop or operational stress tests, integrate it with dependent processes and update crisis playbooks.</t>
        </is>
      </c>
      <c r="R193" s="13" t="inlineStr">
        <is>
          <t>Automate monitoring where practical, define leading indicators, run periodic scenario tests and track residual risk after each major change.</t>
        </is>
      </c>
      <c r="S193" s="13" t="inlineStr">
        <is>
          <t>Sustain maturity for root cause analysis for recurring delivery failures: keep evidence current, monitor drift, benchmark externally and refresh risk tests after organizational, system or market changes.</t>
        </is>
      </c>
      <c r="T193" s="13" t="n">
        <v>3</v>
      </c>
      <c r="U193" s="13" t="n">
        <v>3</v>
      </c>
      <c r="V193" s="13" t="n">
        <v>2</v>
      </c>
      <c r="W193" s="13" t="n">
        <v>2</v>
      </c>
      <c r="X193" s="13" t="n">
        <v>1</v>
      </c>
      <c r="Y193" s="13" t="n">
        <v>1</v>
      </c>
      <c r="Z193" s="13" t="inlineStr">
        <is>
          <t>ISO 9001; ISO 22301; ITIL 4; Lean; Six Sigma; APQC; service management best practices</t>
        </is>
      </c>
      <c r="AA193" s="13" t="inlineStr">
        <is>
          <t>Policy/SOP; owner/RACI; system report; dashboard; contracts; test records; incident history; interview evidence related to root cause analysis for recurring delivery failures.</t>
        </is>
      </c>
      <c r="AB193" s="13" t="inlineStr">
        <is>
          <t>Delivery disruption; Customer impact; Workforce disruption</t>
        </is>
      </c>
      <c r="AC193" s="13" t="inlineStr">
        <is>
          <t>COO / Delivery</t>
        </is>
      </c>
      <c r="AD193" s="13" t="inlineStr">
        <is>
          <t>Delivery Ops!22</t>
        </is>
      </c>
      <c r="AE193">
        <f>IF($A193="","",IF(OR(ISNUMBER(SEARCH("cyber",$D193)),ISNUMBER(SEARCH("security",$D193)),ISNUMBER(SEARCH("safety",$D193)),ISNUMBER(SEARCH("liquidity",$D193)),ISNUMBER(SEARCH("cash",$D193)),ISNUMBER(SEARCH("continuity",$D193)),ISNUMBER(SEARCH("infrastructure",$D193)),ISNUMBER(SEARCH("outage",$D193))),"Fast",IF(OR(ISNUMBER(SEARCH("compliance",$D193)),ISNUMBER(SEARCH("regulat",$D193)),ISNUMBER(SEARCH("data",$D193)),ISNUMBER(SEARCH("talent",$D193)),ISNUMBER(SEARCH("knowledge",$D193)),ISNUMBER(SEARCH("portfolio",$D193)),ISNUMBER(SEARCH("quality",$D193))),"Slow","Medium")))</f>
        <v/>
      </c>
      <c r="AF193">
        <f>IF($A193="","",IFERROR(VLOOKUP($B193,'_CONFIG_Risk_Calibration'!$A$5:$H$21,2,FALSE),3))</f>
        <v/>
      </c>
      <c r="AG193">
        <f>IF($A193="","",IFERROR(VLOOKUP($B193,'_CONFIG_Risk_Calibration'!$A$5:$H$21,3,FALSE),0))</f>
        <v/>
      </c>
      <c r="AH193">
        <f>IF($A193="","",IFERROR(VLOOKUP($B193,'_CONFIG_Risk_Calibration'!$A$5:$H$21,4,FALSE),3))</f>
        <v/>
      </c>
      <c r="AI193">
        <f>IF($A193="","",IFERROR(VLOOKUP($B193,'_CONFIG_Risk_Calibration'!$A$5:$H$21,5,FALSE),3))</f>
        <v/>
      </c>
      <c r="AJ193">
        <f>IF($A193="","",IFERROR(VLOOKUP($B193,'_CONFIG_Risk_Calibration'!$A$5:$H$21,6,FALSE),"No"))</f>
        <v/>
      </c>
      <c r="AK193">
        <f>IF($A193="","",IFERROR(VLOOKUP($B193,'_CONFIG_Risk_Calibration'!$A$5:$H$21,7,FALSE),1))</f>
        <v/>
      </c>
      <c r="AL193">
        <f>IF($A193="","",IFERROR(VLOOKUP($B193,'_CONFIG_Risk_Calibration'!$A$5:$H$21,8,FALSE),""))</f>
        <v/>
      </c>
    </row>
    <row r="194" ht="72" customHeight="1" s="209">
      <c r="A194" s="13" t="inlineStr">
        <is>
          <t>DELI-019</t>
        </is>
      </c>
      <c r="B194" s="13" t="inlineStr">
        <is>
          <t>Delivery Ops</t>
        </is>
      </c>
      <c r="C194" s="13" t="inlineStr">
        <is>
          <t>Operational visibility</t>
        </is>
      </c>
      <c r="D194" s="13" t="inlineStr">
        <is>
          <t>Delivery, service continuity and operational execution</t>
        </is>
      </c>
      <c r="E194" s="13" t="inlineStr">
        <is>
          <t>How mature is the organization in managing real-time visibility into orders, backlog, incidents, production, logistics and service performance, including ownership, evidence, metrics, fallback procedures and crisis stress testing?</t>
        </is>
      </c>
      <c r="F194" s="13" t="inlineStr">
        <is>
          <t>Immature capability for real-time visibility into orders, backlog, incidents, production, logistics and service performance may lead to missed commitments, SLA breaches, service interruption and weak customer recovery during Delivery disruption; Customer impact; Workforce disruption.</t>
        </is>
      </c>
      <c r="G194" s="13" t="inlineStr">
        <is>
          <t>Low maturity, weak ownership, incomplete evidence, insufficient testing and poor integration with crisis-management routines for real-time visibility into orders, backlog, incidents, production, logistics and service performance.</t>
        </is>
      </c>
      <c r="H194" s="13" t="inlineStr">
        <is>
          <t>Severe risk: real-time visibility into orders, backlog, incidents, production, logistics and service performance is not reliably controlled. During Delivery disruption; Customer impact; Workforce disruption, the organization may face missed commitments, SLA breaches, service interruption and weak customer recovery with limited visibility or accountability.</t>
        </is>
      </c>
      <c r="I194" s="13" t="inlineStr">
        <is>
          <t>High risk: real-time visibility into orders, backlog, incidents, production, logistics and service performance depends on informal practices or individual knowledge. Disruption may expose missed commitments, SLA breaches, service interruption and weak customer recovery and slow recovery.</t>
        </is>
      </c>
      <c r="J194" s="13" t="inlineStr">
        <is>
          <t>Elevated risk: real-time visibility into orders, backlog, incidents, production, logistics and service performance is partially controlled, but coverage, evidence or testing is inconsistent. Crisis response may be fragmented.</t>
        </is>
      </c>
      <c r="K194" s="13" t="inlineStr">
        <is>
          <t>Moderate risk: real-time visibility into orders, backlog, incidents, production, logistics and service performance is documented and owned, but measurement, stress testing and integration with dependent processes need strengthening.</t>
        </is>
      </c>
      <c r="L194" s="13" t="inlineStr">
        <is>
          <t>Residual risk: real-time visibility into orders, backlog, incidents, production, logistics and service performance is measured and reviewed, but monitoring, automation or scenario testing should be improved to prevent maturity drift.</t>
        </is>
      </c>
      <c r="M194" s="13" t="inlineStr">
        <is>
          <t>Low residual risk: real-time visibility into orders, backlog, incidents, production, logistics and service performance is mature and crisis-tested. Maintain monitoring, evidence, ownership and periodic stress testing.</t>
        </is>
      </c>
      <c r="N194" s="13" t="inlineStr">
        <is>
          <t>Create an immediate risk owner, minimum control baseline and fallback procedure for real-time visibility into orders, backlog, incidents, production, logistics and service performance. Add it to the crisis risk register and collect first evidence.</t>
        </is>
      </c>
      <c r="O194" s="13" t="inlineStr">
        <is>
          <t>Document real-time visibility into orders, backlog, incidents, production, logistics and service performance, assign RACI, define minimum controls and KPIs, and validate coverage across key sites, teams or systems.</t>
        </is>
      </c>
      <c r="P194" s="13" t="inlineStr">
        <is>
          <t>Standardize real-time visibility into orders, backlog, incidents, production, logistics and service performance, close coverage gaps, train accountable roles and connect controls to the relevant crisis scenarios and continuity plans.</t>
        </is>
      </c>
      <c r="Q194" s="13" t="inlineStr">
        <is>
          <t>Measure and test real-time visibility into orders, backlog, incidents, production, logistics and service performance, run tabletop or operational stress tests, integrate it with dependent processes and update crisis playbooks.</t>
        </is>
      </c>
      <c r="R194" s="13" t="inlineStr">
        <is>
          <t>Automate monitoring where practical, define leading indicators, run periodic scenario tests and track residual risk after each major change.</t>
        </is>
      </c>
      <c r="S194" s="13" t="inlineStr">
        <is>
          <t>Sustain maturity for real-time visibility into orders, backlog, incidents, production, logistics and service performance: keep evidence current, monitor drift, benchmark externally and refresh risk tests after organizational, system or market changes.</t>
        </is>
      </c>
      <c r="T194" s="13" t="n">
        <v>3</v>
      </c>
      <c r="U194" s="13" t="n">
        <v>3</v>
      </c>
      <c r="V194" s="13" t="n">
        <v>2</v>
      </c>
      <c r="W194" s="13" t="n">
        <v>2</v>
      </c>
      <c r="X194" s="13" t="n">
        <v>1</v>
      </c>
      <c r="Y194" s="13" t="n">
        <v>1</v>
      </c>
      <c r="Z194" s="13" t="inlineStr">
        <is>
          <t>ISO 9001; ISO 22301; ITIL 4; Lean; Six Sigma; APQC; service management best practices</t>
        </is>
      </c>
      <c r="AA194" s="13" t="inlineStr">
        <is>
          <t>Policy/SOP; owner/RACI; system report; dashboard; contracts; test records; incident history; interview evidence related to real-time visibility into orders, backlog, incidents, production, logistics and service performance.</t>
        </is>
      </c>
      <c r="AB194" s="13" t="inlineStr">
        <is>
          <t>Delivery disruption; Customer impact; Workforce disruption</t>
        </is>
      </c>
      <c r="AC194" s="13" t="inlineStr">
        <is>
          <t>COO / Delivery</t>
        </is>
      </c>
      <c r="AD194" s="13" t="inlineStr">
        <is>
          <t>Delivery Ops!23</t>
        </is>
      </c>
      <c r="AE194">
        <f>IF($A194="","",IF(OR(ISNUMBER(SEARCH("cyber",$D194)),ISNUMBER(SEARCH("security",$D194)),ISNUMBER(SEARCH("safety",$D194)),ISNUMBER(SEARCH("liquidity",$D194)),ISNUMBER(SEARCH("cash",$D194)),ISNUMBER(SEARCH("continuity",$D194)),ISNUMBER(SEARCH("infrastructure",$D194)),ISNUMBER(SEARCH("outage",$D194))),"Fast",IF(OR(ISNUMBER(SEARCH("compliance",$D194)),ISNUMBER(SEARCH("regulat",$D194)),ISNUMBER(SEARCH("data",$D194)),ISNUMBER(SEARCH("talent",$D194)),ISNUMBER(SEARCH("knowledge",$D194)),ISNUMBER(SEARCH("portfolio",$D194)),ISNUMBER(SEARCH("quality",$D194))),"Slow","Medium")))</f>
        <v/>
      </c>
      <c r="AF194">
        <f>IF($A194="","",IFERROR(VLOOKUP($B194,'_CONFIG_Risk_Calibration'!$A$5:$H$21,2,FALSE),3))</f>
        <v/>
      </c>
      <c r="AG194">
        <f>IF($A194="","",IFERROR(VLOOKUP($B194,'_CONFIG_Risk_Calibration'!$A$5:$H$21,3,FALSE),0))</f>
        <v/>
      </c>
      <c r="AH194">
        <f>IF($A194="","",IFERROR(VLOOKUP($B194,'_CONFIG_Risk_Calibration'!$A$5:$H$21,4,FALSE),3))</f>
        <v/>
      </c>
      <c r="AI194">
        <f>IF($A194="","",IFERROR(VLOOKUP($B194,'_CONFIG_Risk_Calibration'!$A$5:$H$21,5,FALSE),3))</f>
        <v/>
      </c>
      <c r="AJ194">
        <f>IF($A194="","",IFERROR(VLOOKUP($B194,'_CONFIG_Risk_Calibration'!$A$5:$H$21,6,FALSE),"No"))</f>
        <v/>
      </c>
      <c r="AK194">
        <f>IF($A194="","",IFERROR(VLOOKUP($B194,'_CONFIG_Risk_Calibration'!$A$5:$H$21,7,FALSE),1))</f>
        <v/>
      </c>
      <c r="AL194">
        <f>IF($A194="","",IFERROR(VLOOKUP($B194,'_CONFIG_Risk_Calibration'!$A$5:$H$21,8,FALSE),""))</f>
        <v/>
      </c>
    </row>
    <row r="195" ht="72" customHeight="1" s="209">
      <c r="A195" s="13" t="inlineStr">
        <is>
          <t>DELI-020</t>
        </is>
      </c>
      <c r="B195" s="13" t="inlineStr">
        <is>
          <t>Delivery Ops</t>
        </is>
      </c>
      <c r="C195" s="13" t="inlineStr">
        <is>
          <t>Operational visibility</t>
        </is>
      </c>
      <c r="D195" s="13" t="inlineStr">
        <is>
          <t>Delivery, service continuity and operational execution</t>
        </is>
      </c>
      <c r="E195" s="13" t="inlineStr">
        <is>
          <t>How mature is the organization in managing operational KPIs for delivery quality, timeliness, throughput, cost, incidents and customer impact, including ownership, evidence, metrics, fallback procedures and crisis stress testing?</t>
        </is>
      </c>
      <c r="F195" s="13" t="inlineStr">
        <is>
          <t>Immature capability for operational KPIs for delivery quality, timeliness, throughput, cost, incidents and customer impact may lead to missed commitments, SLA breaches, service interruption and weak customer recovery during Delivery disruption; Customer impact; Workforce disruption.</t>
        </is>
      </c>
      <c r="G195" s="13" t="inlineStr">
        <is>
          <t>Low maturity, weak ownership, incomplete evidence, insufficient testing and poor integration with crisis-management routines for operational KPIs for delivery quality, timeliness, throughput, cost, incidents and customer impact.</t>
        </is>
      </c>
      <c r="H195" s="13" t="inlineStr">
        <is>
          <t>Severe risk: operational KPIs for delivery quality, timeliness, throughput, cost, incidents and customer impact is not reliably controlled. During Delivery disruption; Customer impact; Workforce disruption, the organization may face missed commitments, SLA breaches, service interruption and weak customer recovery with limited visibility or accountability.</t>
        </is>
      </c>
      <c r="I195" s="13" t="inlineStr">
        <is>
          <t>High risk: operational KPIs for delivery quality, timeliness, throughput, cost, incidents and customer impact depends on informal practices or individual knowledge. Disruption may expose missed commitments, SLA breaches, service interruption and weak customer recovery and slow recovery.</t>
        </is>
      </c>
      <c r="J195" s="13" t="inlineStr">
        <is>
          <t>Elevated risk: operational KPIs for delivery quality, timeliness, throughput, cost, incidents and customer impact is partially controlled, but coverage, evidence or testing is inconsistent. Crisis response may be fragmented.</t>
        </is>
      </c>
      <c r="K195" s="13" t="inlineStr">
        <is>
          <t>Moderate risk: operational KPIs for delivery quality, timeliness, throughput, cost, incidents and customer impact is documented and owned, but measurement, stress testing and integration with dependent processes need strengthening.</t>
        </is>
      </c>
      <c r="L195" s="13" t="inlineStr">
        <is>
          <t>Residual risk: operational KPIs for delivery quality, timeliness, throughput, cost, incidents and customer impact is measured and reviewed, but monitoring, automation or scenario testing should be improved to prevent maturity drift.</t>
        </is>
      </c>
      <c r="M195" s="13" t="inlineStr">
        <is>
          <t>Low residual risk: operational KPIs for delivery quality, timeliness, throughput, cost, incidents and customer impact is mature and crisis-tested. Maintain monitoring, evidence, ownership and periodic stress testing.</t>
        </is>
      </c>
      <c r="N195" s="13" t="inlineStr">
        <is>
          <t>Create an immediate risk owner, minimum control baseline and fallback procedure for operational KPIs for delivery quality, timeliness, throughput, cost, incidents and customer impact. Add it to the crisis risk register and collect first evidence.</t>
        </is>
      </c>
      <c r="O195" s="13" t="inlineStr">
        <is>
          <t>Document operational KPIs for delivery quality, timeliness, throughput, cost, incidents and customer impact, assign RACI, define minimum controls and KPIs, and validate coverage across key sites, teams or systems.</t>
        </is>
      </c>
      <c r="P195" s="13" t="inlineStr">
        <is>
          <t>Standardize operational KPIs for delivery quality, timeliness, throughput, cost, incidents and customer impact, close coverage gaps, train accountable roles and connect controls to the relevant crisis scenarios and continuity plans.</t>
        </is>
      </c>
      <c r="Q195" s="13" t="inlineStr">
        <is>
          <t>Measure and test operational KPIs for delivery quality, timeliness, throughput, cost, incidents and customer impact, run tabletop or operational stress tests, integrate it with dependent processes and update crisis playbooks.</t>
        </is>
      </c>
      <c r="R195" s="13" t="inlineStr">
        <is>
          <t>Automate monitoring where practical, define leading indicators, run periodic scenario tests and track residual risk after each major change.</t>
        </is>
      </c>
      <c r="S195" s="13" t="inlineStr">
        <is>
          <t>Sustain maturity for operational KPIs for delivery quality, timeliness, throughput, cost, incidents and customer impact: keep evidence current, monitor drift, benchmark externally and refresh risk tests after organizational, system or market changes.</t>
        </is>
      </c>
      <c r="T195" s="13" t="n">
        <v>3</v>
      </c>
      <c r="U195" s="13" t="n">
        <v>3</v>
      </c>
      <c r="V195" s="13" t="n">
        <v>2</v>
      </c>
      <c r="W195" s="13" t="n">
        <v>2</v>
      </c>
      <c r="X195" s="13" t="n">
        <v>1</v>
      </c>
      <c r="Y195" s="13" t="n">
        <v>1</v>
      </c>
      <c r="Z195" s="13" t="inlineStr">
        <is>
          <t>ISO 9001; ISO 22301; ITIL 4; Lean; Six Sigma; APQC; service management best practices</t>
        </is>
      </c>
      <c r="AA195" s="13" t="inlineStr">
        <is>
          <t>Policy/SOP; owner/RACI; system report; dashboard; contracts; test records; incident history; interview evidence related to operational KPIs for delivery quality, timeliness, throughput, cost, incidents and customer impact.</t>
        </is>
      </c>
      <c r="AB195" s="13" t="inlineStr">
        <is>
          <t>Delivery disruption; Customer impact; Workforce disruption</t>
        </is>
      </c>
      <c r="AC195" s="13" t="inlineStr">
        <is>
          <t>COO / Delivery</t>
        </is>
      </c>
      <c r="AD195" s="13" t="inlineStr">
        <is>
          <t>Delivery Ops!24</t>
        </is>
      </c>
      <c r="AE195">
        <f>IF($A195="","",IF(OR(ISNUMBER(SEARCH("cyber",$D195)),ISNUMBER(SEARCH("security",$D195)),ISNUMBER(SEARCH("safety",$D195)),ISNUMBER(SEARCH("liquidity",$D195)),ISNUMBER(SEARCH("cash",$D195)),ISNUMBER(SEARCH("continuity",$D195)),ISNUMBER(SEARCH("infrastructure",$D195)),ISNUMBER(SEARCH("outage",$D195))),"Fast",IF(OR(ISNUMBER(SEARCH("compliance",$D195)),ISNUMBER(SEARCH("regulat",$D195)),ISNUMBER(SEARCH("data",$D195)),ISNUMBER(SEARCH("talent",$D195)),ISNUMBER(SEARCH("knowledge",$D195)),ISNUMBER(SEARCH("portfolio",$D195)),ISNUMBER(SEARCH("quality",$D195))),"Slow","Medium")))</f>
        <v/>
      </c>
      <c r="AF195">
        <f>IF($A195="","",IFERROR(VLOOKUP($B195,'_CONFIG_Risk_Calibration'!$A$5:$H$21,2,FALSE),3))</f>
        <v/>
      </c>
      <c r="AG195">
        <f>IF($A195="","",IFERROR(VLOOKUP($B195,'_CONFIG_Risk_Calibration'!$A$5:$H$21,3,FALSE),0))</f>
        <v/>
      </c>
      <c r="AH195">
        <f>IF($A195="","",IFERROR(VLOOKUP($B195,'_CONFIG_Risk_Calibration'!$A$5:$H$21,4,FALSE),3))</f>
        <v/>
      </c>
      <c r="AI195">
        <f>IF($A195="","",IFERROR(VLOOKUP($B195,'_CONFIG_Risk_Calibration'!$A$5:$H$21,5,FALSE),3))</f>
        <v/>
      </c>
      <c r="AJ195">
        <f>IF($A195="","",IFERROR(VLOOKUP($B195,'_CONFIG_Risk_Calibration'!$A$5:$H$21,6,FALSE),"No"))</f>
        <v/>
      </c>
      <c r="AK195">
        <f>IF($A195="","",IFERROR(VLOOKUP($B195,'_CONFIG_Risk_Calibration'!$A$5:$H$21,7,FALSE),1))</f>
        <v/>
      </c>
      <c r="AL195">
        <f>IF($A195="","",IFERROR(VLOOKUP($B195,'_CONFIG_Risk_Calibration'!$A$5:$H$21,8,FALSE),""))</f>
        <v/>
      </c>
    </row>
    <row r="196" ht="72" customHeight="1" s="209">
      <c r="A196" s="13" t="inlineStr">
        <is>
          <t>DELI-021</t>
        </is>
      </c>
      <c r="B196" s="13" t="inlineStr">
        <is>
          <t>Delivery Ops</t>
        </is>
      </c>
      <c r="C196" s="13" t="inlineStr">
        <is>
          <t>Operational visibility</t>
        </is>
      </c>
      <c r="D196" s="13" t="inlineStr">
        <is>
          <t>Delivery, service continuity and operational execution</t>
        </is>
      </c>
      <c r="E196" s="13" t="inlineStr">
        <is>
          <t>How mature is the organization in managing backlog aging analysis linked to customer risk, revenue risk and operational constraints, including ownership, evidence, metrics, fallback procedures and crisis stress testing?</t>
        </is>
      </c>
      <c r="F196" s="13" t="inlineStr">
        <is>
          <t>Immature capability for backlog aging analysis linked to customer risk, revenue risk and operational constraints may lead to missed commitments, SLA breaches, service interruption and weak customer recovery during Delivery disruption; Customer impact; Workforce disruption.</t>
        </is>
      </c>
      <c r="G196" s="13" t="inlineStr">
        <is>
          <t>Low maturity, weak ownership, incomplete evidence, insufficient testing and poor integration with crisis-management routines for backlog aging analysis linked to customer risk, revenue risk and operational constraints.</t>
        </is>
      </c>
      <c r="H196" s="13" t="inlineStr">
        <is>
          <t>Severe risk: backlog aging analysis linked to customer risk, revenue risk and operational constraints is not reliably controlled. During Delivery disruption; Customer impact; Workforce disruption, the organization may face missed commitments, SLA breaches, service interruption and weak customer recovery with limited visibility or accountability.</t>
        </is>
      </c>
      <c r="I196" s="13" t="inlineStr">
        <is>
          <t>High risk: backlog aging analysis linked to customer risk, revenue risk and operational constraints depends on informal practices or individual knowledge. Disruption may expose missed commitments, SLA breaches, service interruption and weak customer recovery and slow recovery.</t>
        </is>
      </c>
      <c r="J196" s="13" t="inlineStr">
        <is>
          <t>Elevated risk: backlog aging analysis linked to customer risk, revenue risk and operational constraints is partially controlled, but coverage, evidence or testing is inconsistent. Crisis response may be fragmented.</t>
        </is>
      </c>
      <c r="K196" s="13" t="inlineStr">
        <is>
          <t>Moderate risk: backlog aging analysis linked to customer risk, revenue risk and operational constraints is documented and owned, but measurement, stress testing and integration with dependent processes need strengthening.</t>
        </is>
      </c>
      <c r="L196" s="13" t="inlineStr">
        <is>
          <t>Residual risk: backlog aging analysis linked to customer risk, revenue risk and operational constraints is measured and reviewed, but monitoring, automation or scenario testing should be improved to prevent maturity drift.</t>
        </is>
      </c>
      <c r="M196" s="13" t="inlineStr">
        <is>
          <t>Low residual risk: backlog aging analysis linked to customer risk, revenue risk and operational constraints is mature and crisis-tested. Maintain monitoring, evidence, ownership and periodic stress testing.</t>
        </is>
      </c>
      <c r="N196" s="13" t="inlineStr">
        <is>
          <t>Create an immediate risk owner, minimum control baseline and fallback procedure for backlog aging analysis linked to customer risk, revenue risk and operational constraints. Add it to the crisis risk register and collect first evidence.</t>
        </is>
      </c>
      <c r="O196" s="13" t="inlineStr">
        <is>
          <t>Document backlog aging analysis linked to customer risk, revenue risk and operational constraints, assign RACI, define minimum controls and KPIs, and validate coverage across key sites, teams or systems.</t>
        </is>
      </c>
      <c r="P196" s="13" t="inlineStr">
        <is>
          <t>Standardize backlog aging analysis linked to customer risk, revenue risk and operational constraints, close coverage gaps, train accountable roles and connect controls to the relevant crisis scenarios and continuity plans.</t>
        </is>
      </c>
      <c r="Q196" s="13" t="inlineStr">
        <is>
          <t>Measure and test backlog aging analysis linked to customer risk, revenue risk and operational constraints, run tabletop or operational stress tests, integrate it with dependent processes and update crisis playbooks.</t>
        </is>
      </c>
      <c r="R196" s="13" t="inlineStr">
        <is>
          <t>Automate monitoring where practical, define leading indicators, run periodic scenario tests and track residual risk after each major change.</t>
        </is>
      </c>
      <c r="S196" s="13" t="inlineStr">
        <is>
          <t>Sustain maturity for backlog aging analysis linked to customer risk, revenue risk and operational constraints: keep evidence current, monitor drift, benchmark externally and refresh risk tests after organizational, system or market changes.</t>
        </is>
      </c>
      <c r="T196" s="13" t="n">
        <v>3</v>
      </c>
      <c r="U196" s="13" t="n">
        <v>3</v>
      </c>
      <c r="V196" s="13" t="n">
        <v>2</v>
      </c>
      <c r="W196" s="13" t="n">
        <v>2</v>
      </c>
      <c r="X196" s="13" t="n">
        <v>1</v>
      </c>
      <c r="Y196" s="13" t="n">
        <v>1</v>
      </c>
      <c r="Z196" s="13" t="inlineStr">
        <is>
          <t>ISO 9001; ISO 22301; ITIL 4; Lean; Six Sigma; APQC; service management best practices</t>
        </is>
      </c>
      <c r="AA196" s="13" t="inlineStr">
        <is>
          <t>Policy/SOP; owner/RACI; system report; dashboard; contracts; test records; incident history; interview evidence related to backlog aging analysis linked to customer risk, revenue risk and operational constraints.</t>
        </is>
      </c>
      <c r="AB196" s="13" t="inlineStr">
        <is>
          <t>Delivery disruption; Customer impact; Workforce disruption</t>
        </is>
      </c>
      <c r="AC196" s="13" t="inlineStr">
        <is>
          <t>COO / Delivery</t>
        </is>
      </c>
      <c r="AD196" s="13" t="inlineStr">
        <is>
          <t>Delivery Ops!25</t>
        </is>
      </c>
      <c r="AE196">
        <f>IF($A196="","",IF(OR(ISNUMBER(SEARCH("cyber",$D196)),ISNUMBER(SEARCH("security",$D196)),ISNUMBER(SEARCH("safety",$D196)),ISNUMBER(SEARCH("liquidity",$D196)),ISNUMBER(SEARCH("cash",$D196)),ISNUMBER(SEARCH("continuity",$D196)),ISNUMBER(SEARCH("infrastructure",$D196)),ISNUMBER(SEARCH("outage",$D196))),"Fast",IF(OR(ISNUMBER(SEARCH("compliance",$D196)),ISNUMBER(SEARCH("regulat",$D196)),ISNUMBER(SEARCH("data",$D196)),ISNUMBER(SEARCH("talent",$D196)),ISNUMBER(SEARCH("knowledge",$D196)),ISNUMBER(SEARCH("portfolio",$D196)),ISNUMBER(SEARCH("quality",$D196))),"Slow","Medium")))</f>
        <v/>
      </c>
      <c r="AF196">
        <f>IF($A196="","",IFERROR(VLOOKUP($B196,'_CONFIG_Risk_Calibration'!$A$5:$H$21,2,FALSE),3))</f>
        <v/>
      </c>
      <c r="AG196">
        <f>IF($A196="","",IFERROR(VLOOKUP($B196,'_CONFIG_Risk_Calibration'!$A$5:$H$21,3,FALSE),0))</f>
        <v/>
      </c>
      <c r="AH196">
        <f>IF($A196="","",IFERROR(VLOOKUP($B196,'_CONFIG_Risk_Calibration'!$A$5:$H$21,4,FALSE),3))</f>
        <v/>
      </c>
      <c r="AI196">
        <f>IF($A196="","",IFERROR(VLOOKUP($B196,'_CONFIG_Risk_Calibration'!$A$5:$H$21,5,FALSE),3))</f>
        <v/>
      </c>
      <c r="AJ196">
        <f>IF($A196="","",IFERROR(VLOOKUP($B196,'_CONFIG_Risk_Calibration'!$A$5:$H$21,6,FALSE),"No"))</f>
        <v/>
      </c>
      <c r="AK196">
        <f>IF($A196="","",IFERROR(VLOOKUP($B196,'_CONFIG_Risk_Calibration'!$A$5:$H$21,7,FALSE),1))</f>
        <v/>
      </c>
      <c r="AL196">
        <f>IF($A196="","",IFERROR(VLOOKUP($B196,'_CONFIG_Risk_Calibration'!$A$5:$H$21,8,FALSE),""))</f>
        <v/>
      </c>
    </row>
    <row r="197" ht="60" customHeight="1" s="209">
      <c r="A197" s="13" t="inlineStr">
        <is>
          <t>DELI-022</t>
        </is>
      </c>
      <c r="B197" s="13" t="inlineStr">
        <is>
          <t>Delivery Ops</t>
        </is>
      </c>
      <c r="C197" s="13" t="inlineStr">
        <is>
          <t>Operational visibility</t>
        </is>
      </c>
      <c r="D197" s="13" t="inlineStr">
        <is>
          <t>Delivery, service continuity and operational execution</t>
        </is>
      </c>
      <c r="E197" s="13" t="inlineStr">
        <is>
          <t>How mature is the organization in managing customer-specific runbooks for critical accounts, including ownership, evidence, metrics, fallback procedures and crisis stress testing?</t>
        </is>
      </c>
      <c r="F197" s="13" t="inlineStr">
        <is>
          <t>Immature capability for customer-specific runbooks for critical accounts may lead to missed commitments, SLA breaches, service interruption and weak customer recovery during Delivery disruption; Customer impact; Workforce disruption.</t>
        </is>
      </c>
      <c r="G197" s="13" t="inlineStr">
        <is>
          <t>Low maturity, weak ownership, incomplete evidence, insufficient testing and poor integration with crisis-management routines for customer-specific runbooks for critical accounts.</t>
        </is>
      </c>
      <c r="H197" s="13" t="inlineStr">
        <is>
          <t>Severe risk: customer-specific runbooks for critical accounts is not reliably controlled. During Delivery disruption; Customer impact; Workforce disruption, the organization may face missed commitments, SLA breaches, service interruption and weak customer recovery with limited visibility or accountability.</t>
        </is>
      </c>
      <c r="I197" s="13" t="inlineStr">
        <is>
          <t>High risk: customer-specific runbooks for critical accounts depends on informal practices or individual knowledge. Disruption may expose missed commitments, SLA breaches, service interruption and weak customer recovery and slow recovery.</t>
        </is>
      </c>
      <c r="J197" s="13" t="inlineStr">
        <is>
          <t>Elevated risk: customer-specific runbooks for critical accounts is partially controlled, but coverage, evidence or testing is inconsistent. Crisis response may be fragmented.</t>
        </is>
      </c>
      <c r="K197" s="13" t="inlineStr">
        <is>
          <t>Moderate risk: customer-specific runbooks for critical accounts is documented and owned, but measurement, stress testing and integration with dependent processes need strengthening.</t>
        </is>
      </c>
      <c r="L197" s="13" t="inlineStr">
        <is>
          <t>Residual risk: customer-specific runbooks for critical accounts is measured and reviewed, but monitoring, automation or scenario testing should be improved to prevent maturity drift.</t>
        </is>
      </c>
      <c r="M197" s="13" t="inlineStr">
        <is>
          <t>Low residual risk: customer-specific runbooks for critical accounts is mature and crisis-tested. Maintain monitoring, evidence, ownership and periodic stress testing.</t>
        </is>
      </c>
      <c r="N197" s="13" t="inlineStr">
        <is>
          <t>Create an immediate risk owner, minimum control baseline and fallback procedure for customer-specific runbooks for critical accounts. Add it to the crisis risk register and collect first evidence.</t>
        </is>
      </c>
      <c r="O197" s="13" t="inlineStr">
        <is>
          <t>Document customer-specific runbooks for critical accounts, assign RACI, define minimum controls and KPIs, and validate coverage across key sites, teams or systems.</t>
        </is>
      </c>
      <c r="P197" s="13" t="inlineStr">
        <is>
          <t>Standardize customer-specific runbooks for critical accounts, close coverage gaps, train accountable roles and connect controls to the relevant crisis scenarios and continuity plans.</t>
        </is>
      </c>
      <c r="Q197" s="13" t="inlineStr">
        <is>
          <t>Measure and test customer-specific runbooks for critical accounts, run tabletop or operational stress tests, integrate it with dependent processes and update crisis playbooks.</t>
        </is>
      </c>
      <c r="R197" s="13" t="inlineStr">
        <is>
          <t>Automate monitoring where practical, define leading indicators, run periodic scenario tests and track residual risk after each major change.</t>
        </is>
      </c>
      <c r="S197" s="13" t="inlineStr">
        <is>
          <t>Sustain maturity for customer-specific runbooks for critical accounts: keep evidence current, monitor drift, benchmark externally and refresh risk tests after organizational, system or market changes.</t>
        </is>
      </c>
      <c r="T197" s="13" t="n">
        <v>3</v>
      </c>
      <c r="U197" s="13" t="n">
        <v>3</v>
      </c>
      <c r="V197" s="13" t="n">
        <v>2</v>
      </c>
      <c r="W197" s="13" t="n">
        <v>2</v>
      </c>
      <c r="X197" s="13" t="n">
        <v>1</v>
      </c>
      <c r="Y197" s="13" t="n">
        <v>1</v>
      </c>
      <c r="Z197" s="13" t="inlineStr">
        <is>
          <t>ISO 9001; ISO 22301; ITIL 4; Lean; Six Sigma; APQC; service management best practices</t>
        </is>
      </c>
      <c r="AA197" s="13" t="inlineStr">
        <is>
          <t>Policy/SOP; owner/RACI; system report; dashboard; contracts; test records; incident history; interview evidence related to customer-specific runbooks for critical accounts.</t>
        </is>
      </c>
      <c r="AB197" s="13" t="inlineStr">
        <is>
          <t>Delivery disruption; Customer impact; Workforce disruption</t>
        </is>
      </c>
      <c r="AC197" s="13" t="inlineStr">
        <is>
          <t>COO / Delivery</t>
        </is>
      </c>
      <c r="AD197" s="13" t="inlineStr">
        <is>
          <t>Delivery Ops!26</t>
        </is>
      </c>
      <c r="AE197">
        <f>IF($A197="","",IF(OR(ISNUMBER(SEARCH("cyber",$D197)),ISNUMBER(SEARCH("security",$D197)),ISNUMBER(SEARCH("safety",$D197)),ISNUMBER(SEARCH("liquidity",$D197)),ISNUMBER(SEARCH("cash",$D197)),ISNUMBER(SEARCH("continuity",$D197)),ISNUMBER(SEARCH("infrastructure",$D197)),ISNUMBER(SEARCH("outage",$D197))),"Fast",IF(OR(ISNUMBER(SEARCH("compliance",$D197)),ISNUMBER(SEARCH("regulat",$D197)),ISNUMBER(SEARCH("data",$D197)),ISNUMBER(SEARCH("talent",$D197)),ISNUMBER(SEARCH("knowledge",$D197)),ISNUMBER(SEARCH("portfolio",$D197)),ISNUMBER(SEARCH("quality",$D197))),"Slow","Medium")))</f>
        <v/>
      </c>
      <c r="AF197">
        <f>IF($A197="","",IFERROR(VLOOKUP($B197,'_CONFIG_Risk_Calibration'!$A$5:$H$21,2,FALSE),3))</f>
        <v/>
      </c>
      <c r="AG197">
        <f>IF($A197="","",IFERROR(VLOOKUP($B197,'_CONFIG_Risk_Calibration'!$A$5:$H$21,3,FALSE),0))</f>
        <v/>
      </c>
      <c r="AH197">
        <f>IF($A197="","",IFERROR(VLOOKUP($B197,'_CONFIG_Risk_Calibration'!$A$5:$H$21,4,FALSE),3))</f>
        <v/>
      </c>
      <c r="AI197">
        <f>IF($A197="","",IFERROR(VLOOKUP($B197,'_CONFIG_Risk_Calibration'!$A$5:$H$21,5,FALSE),3))</f>
        <v/>
      </c>
      <c r="AJ197">
        <f>IF($A197="","",IFERROR(VLOOKUP($B197,'_CONFIG_Risk_Calibration'!$A$5:$H$21,6,FALSE),"No"))</f>
        <v/>
      </c>
      <c r="AK197">
        <f>IF($A197="","",IFERROR(VLOOKUP($B197,'_CONFIG_Risk_Calibration'!$A$5:$H$21,7,FALSE),1))</f>
        <v/>
      </c>
      <c r="AL197">
        <f>IF($A197="","",IFERROR(VLOOKUP($B197,'_CONFIG_Risk_Calibration'!$A$5:$H$21,8,FALSE),""))</f>
        <v/>
      </c>
    </row>
    <row r="198" ht="72" customHeight="1" s="209">
      <c r="A198" s="13" t="inlineStr">
        <is>
          <t>DELI-023</t>
        </is>
      </c>
      <c r="B198" s="13" t="inlineStr">
        <is>
          <t>Delivery Ops</t>
        </is>
      </c>
      <c r="C198" s="13" t="inlineStr">
        <is>
          <t>Operational visibility</t>
        </is>
      </c>
      <c r="D198" s="13" t="inlineStr">
        <is>
          <t>Delivery, service continuity and operational execution</t>
        </is>
      </c>
      <c r="E198" s="13" t="inlineStr">
        <is>
          <t>How mature is the organization in managing critical tools, equipment and licenses required for delivery, including ownership, evidence, metrics, fallback procedures and crisis stress testing?</t>
        </is>
      </c>
      <c r="F198" s="13" t="inlineStr">
        <is>
          <t>Immature capability for critical tools, equipment and licenses required for delivery may lead to missed commitments, SLA breaches, service interruption and weak customer recovery during Delivery disruption; Customer impact; Workforce disruption.</t>
        </is>
      </c>
      <c r="G198" s="13" t="inlineStr">
        <is>
          <t>Low maturity, weak ownership, incomplete evidence, insufficient testing and poor integration with crisis-management routines for critical tools, equipment and licenses required for delivery.</t>
        </is>
      </c>
      <c r="H198" s="13" t="inlineStr">
        <is>
          <t>Severe risk: critical tools, equipment and licenses required for delivery is not reliably controlled. During Delivery disruption; Customer impact; Workforce disruption, the organization may face missed commitments, SLA breaches, service interruption and weak customer recovery with limited visibility or accountability.</t>
        </is>
      </c>
      <c r="I198" s="13" t="inlineStr">
        <is>
          <t>High risk: critical tools, equipment and licenses required for delivery depends on informal practices or individual knowledge. Disruption may expose missed commitments, SLA breaches, service interruption and weak customer recovery and slow recovery.</t>
        </is>
      </c>
      <c r="J198" s="13" t="inlineStr">
        <is>
          <t>Elevated risk: critical tools, equipment and licenses required for delivery is partially controlled, but coverage, evidence or testing is inconsistent. Crisis response may be fragmented.</t>
        </is>
      </c>
      <c r="K198" s="13" t="inlineStr">
        <is>
          <t>Moderate risk: critical tools, equipment and licenses required for delivery is documented and owned, but measurement, stress testing and integration with dependent processes need strengthening.</t>
        </is>
      </c>
      <c r="L198" s="13" t="inlineStr">
        <is>
          <t>Residual risk: critical tools, equipment and licenses required for delivery is measured and reviewed, but monitoring, automation or scenario testing should be improved to prevent maturity drift.</t>
        </is>
      </c>
      <c r="M198" s="13" t="inlineStr">
        <is>
          <t>Low residual risk: critical tools, equipment and licenses required for delivery is mature and crisis-tested. Maintain monitoring, evidence, ownership and periodic stress testing.</t>
        </is>
      </c>
      <c r="N198" s="13" t="inlineStr">
        <is>
          <t>Create an immediate risk owner, minimum control baseline and fallback procedure for critical tools, equipment and licenses required for delivery. Add it to the crisis risk register and collect first evidence.</t>
        </is>
      </c>
      <c r="O198" s="13" t="inlineStr">
        <is>
          <t>Document critical tools, equipment and licenses required for delivery, assign RACI, define minimum controls and KPIs, and validate coverage across key sites, teams or systems.</t>
        </is>
      </c>
      <c r="P198" s="13" t="inlineStr">
        <is>
          <t>Standardize critical tools, equipment and licenses required for delivery, close coverage gaps, train accountable roles and connect controls to the relevant crisis scenarios and continuity plans.</t>
        </is>
      </c>
      <c r="Q198" s="13" t="inlineStr">
        <is>
          <t>Measure and test critical tools, equipment and licenses required for delivery, run tabletop or operational stress tests, integrate it with dependent processes and update crisis playbooks.</t>
        </is>
      </c>
      <c r="R198" s="13" t="inlineStr">
        <is>
          <t>Automate monitoring where practical, define leading indicators, run periodic scenario tests and track residual risk after each major change.</t>
        </is>
      </c>
      <c r="S198" s="13" t="inlineStr">
        <is>
          <t>Sustain maturity for critical tools, equipment and licenses required for delivery: keep evidence current, monitor drift, benchmark externally and refresh risk tests after organizational, system or market changes.</t>
        </is>
      </c>
      <c r="T198" s="13" t="n">
        <v>3</v>
      </c>
      <c r="U198" s="13" t="n">
        <v>3</v>
      </c>
      <c r="V198" s="13" t="n">
        <v>2</v>
      </c>
      <c r="W198" s="13" t="n">
        <v>2</v>
      </c>
      <c r="X198" s="13" t="n">
        <v>1</v>
      </c>
      <c r="Y198" s="13" t="n">
        <v>1</v>
      </c>
      <c r="Z198" s="13" t="inlineStr">
        <is>
          <t>ISO 9001; ISO 22301; ITIL 4; Lean; Six Sigma; APQC; service management best practices</t>
        </is>
      </c>
      <c r="AA198" s="13" t="inlineStr">
        <is>
          <t>Policy/SOP; owner/RACI; system report; dashboard; contracts; test records; incident history; interview evidence related to critical tools, equipment and licenses required for delivery.</t>
        </is>
      </c>
      <c r="AB198" s="13" t="inlineStr">
        <is>
          <t>Delivery disruption; Customer impact; Workforce disruption</t>
        </is>
      </c>
      <c r="AC198" s="13" t="inlineStr">
        <is>
          <t>COO / Delivery</t>
        </is>
      </c>
      <c r="AD198" s="13" t="inlineStr">
        <is>
          <t>Delivery Ops!27</t>
        </is>
      </c>
      <c r="AE198">
        <f>IF($A198="","",IF(OR(ISNUMBER(SEARCH("cyber",$D198)),ISNUMBER(SEARCH("security",$D198)),ISNUMBER(SEARCH("safety",$D198)),ISNUMBER(SEARCH("liquidity",$D198)),ISNUMBER(SEARCH("cash",$D198)),ISNUMBER(SEARCH("continuity",$D198)),ISNUMBER(SEARCH("infrastructure",$D198)),ISNUMBER(SEARCH("outage",$D198))),"Fast",IF(OR(ISNUMBER(SEARCH("compliance",$D198)),ISNUMBER(SEARCH("regulat",$D198)),ISNUMBER(SEARCH("data",$D198)),ISNUMBER(SEARCH("talent",$D198)),ISNUMBER(SEARCH("knowledge",$D198)),ISNUMBER(SEARCH("portfolio",$D198)),ISNUMBER(SEARCH("quality",$D198))),"Slow","Medium")))</f>
        <v/>
      </c>
      <c r="AF198">
        <f>IF($A198="","",IFERROR(VLOOKUP($B198,'_CONFIG_Risk_Calibration'!$A$5:$H$21,2,FALSE),3))</f>
        <v/>
      </c>
      <c r="AG198">
        <f>IF($A198="","",IFERROR(VLOOKUP($B198,'_CONFIG_Risk_Calibration'!$A$5:$H$21,3,FALSE),0))</f>
        <v/>
      </c>
      <c r="AH198">
        <f>IF($A198="","",IFERROR(VLOOKUP($B198,'_CONFIG_Risk_Calibration'!$A$5:$H$21,4,FALSE),3))</f>
        <v/>
      </c>
      <c r="AI198">
        <f>IF($A198="","",IFERROR(VLOOKUP($B198,'_CONFIG_Risk_Calibration'!$A$5:$H$21,5,FALSE),3))</f>
        <v/>
      </c>
      <c r="AJ198">
        <f>IF($A198="","",IFERROR(VLOOKUP($B198,'_CONFIG_Risk_Calibration'!$A$5:$H$21,6,FALSE),"No"))</f>
        <v/>
      </c>
      <c r="AK198">
        <f>IF($A198="","",IFERROR(VLOOKUP($B198,'_CONFIG_Risk_Calibration'!$A$5:$H$21,7,FALSE),1))</f>
        <v/>
      </c>
      <c r="AL198">
        <f>IF($A198="","",IFERROR(VLOOKUP($B198,'_CONFIG_Risk_Calibration'!$A$5:$H$21,8,FALSE),""))</f>
        <v/>
      </c>
    </row>
    <row r="199" ht="72" customHeight="1" s="209">
      <c r="A199" s="13" t="inlineStr">
        <is>
          <t>DELI-024</t>
        </is>
      </c>
      <c r="B199" s="13" t="inlineStr">
        <is>
          <t>Delivery Ops</t>
        </is>
      </c>
      <c r="C199" s="13" t="inlineStr">
        <is>
          <t>Operational visibility</t>
        </is>
      </c>
      <c r="D199" s="13" t="inlineStr">
        <is>
          <t>Delivery, service continuity and operational execution</t>
        </is>
      </c>
      <c r="E199" s="13" t="inlineStr">
        <is>
          <t>How mature is the organization in managing geographic delivery exposure by customer, supplier, team and site location, including ownership, evidence, metrics, fallback procedures and crisis stress testing?</t>
        </is>
      </c>
      <c r="F199" s="13" t="inlineStr">
        <is>
          <t>Immature capability for geographic delivery exposure by customer, supplier, team and site location may lead to missed commitments, SLA breaches, service interruption and weak customer recovery during Delivery disruption; Customer impact; Workforce disruption.</t>
        </is>
      </c>
      <c r="G199" s="13" t="inlineStr">
        <is>
          <t>Low maturity, weak ownership, incomplete evidence, insufficient testing and poor integration with crisis-management routines for geographic delivery exposure by customer, supplier, team and site location.</t>
        </is>
      </c>
      <c r="H199" s="13" t="inlineStr">
        <is>
          <t>Severe risk: geographic delivery exposure by customer, supplier, team and site location is not reliably controlled. During Delivery disruption; Customer impact; Workforce disruption, the organization may face missed commitments, SLA breaches, service interruption and weak customer recovery with limited visibility or accountability.</t>
        </is>
      </c>
      <c r="I199" s="13" t="inlineStr">
        <is>
          <t>High risk: geographic delivery exposure by customer, supplier, team and site location depends on informal practices or individual knowledge. Disruption may expose missed commitments, SLA breaches, service interruption and weak customer recovery and slow recovery.</t>
        </is>
      </c>
      <c r="J199" s="13" t="inlineStr">
        <is>
          <t>Elevated risk: geographic delivery exposure by customer, supplier, team and site location is partially controlled, but coverage, evidence or testing is inconsistent. Crisis response may be fragmented.</t>
        </is>
      </c>
      <c r="K199" s="13" t="inlineStr">
        <is>
          <t>Moderate risk: geographic delivery exposure by customer, supplier, team and site location is documented and owned, but measurement, stress testing and integration with dependent processes need strengthening.</t>
        </is>
      </c>
      <c r="L199" s="13" t="inlineStr">
        <is>
          <t>Residual risk: geographic delivery exposure by customer, supplier, team and site location is measured and reviewed, but monitoring, automation or scenario testing should be improved to prevent maturity drift.</t>
        </is>
      </c>
      <c r="M199" s="13" t="inlineStr">
        <is>
          <t>Low residual risk: geographic delivery exposure by customer, supplier, team and site location is mature and crisis-tested. Maintain monitoring, evidence, ownership and periodic stress testing.</t>
        </is>
      </c>
      <c r="N199" s="13" t="inlineStr">
        <is>
          <t>Create an immediate risk owner, minimum control baseline and fallback procedure for geographic delivery exposure by customer, supplier, team and site location. Add it to the crisis risk register and collect first evidence.</t>
        </is>
      </c>
      <c r="O199" s="13" t="inlineStr">
        <is>
          <t>Document geographic delivery exposure by customer, supplier, team and site location, assign RACI, define minimum controls and KPIs, and validate coverage across key sites, teams or systems.</t>
        </is>
      </c>
      <c r="P199" s="13" t="inlineStr">
        <is>
          <t>Standardize geographic delivery exposure by customer, supplier, team and site location, close coverage gaps, train accountable roles and connect controls to the relevant crisis scenarios and continuity plans.</t>
        </is>
      </c>
      <c r="Q199" s="13" t="inlineStr">
        <is>
          <t>Measure and test geographic delivery exposure by customer, supplier, team and site location, run tabletop or operational stress tests, integrate it with dependent processes and update crisis playbooks.</t>
        </is>
      </c>
      <c r="R199" s="13" t="inlineStr">
        <is>
          <t>Automate monitoring where practical, define leading indicators, run periodic scenario tests and track residual risk after each major change.</t>
        </is>
      </c>
      <c r="S199" s="13" t="inlineStr">
        <is>
          <t>Sustain maturity for geographic delivery exposure by customer, supplier, team and site location: keep evidence current, monitor drift, benchmark externally and refresh risk tests after organizational, system or market changes.</t>
        </is>
      </c>
      <c r="T199" s="13" t="n">
        <v>3</v>
      </c>
      <c r="U199" s="13" t="n">
        <v>3</v>
      </c>
      <c r="V199" s="13" t="n">
        <v>2</v>
      </c>
      <c r="W199" s="13" t="n">
        <v>2</v>
      </c>
      <c r="X199" s="13" t="n">
        <v>1</v>
      </c>
      <c r="Y199" s="13" t="n">
        <v>1</v>
      </c>
      <c r="Z199" s="13" t="inlineStr">
        <is>
          <t>ISO 9001; ISO 22301; ITIL 4; Lean; Six Sigma; APQC; service management best practices</t>
        </is>
      </c>
      <c r="AA199" s="13" t="inlineStr">
        <is>
          <t>Policy/SOP; owner/RACI; system report; dashboard; contracts; test records; incident history; interview evidence related to geographic delivery exposure by customer, supplier, team and site location.</t>
        </is>
      </c>
      <c r="AB199" s="13" t="inlineStr">
        <is>
          <t>Delivery disruption; Customer impact; Workforce disruption</t>
        </is>
      </c>
      <c r="AC199" s="13" t="inlineStr">
        <is>
          <t>COO / Delivery</t>
        </is>
      </c>
      <c r="AD199" s="13" t="inlineStr">
        <is>
          <t>Delivery Ops!28</t>
        </is>
      </c>
      <c r="AE199">
        <f>IF($A199="","",IF(OR(ISNUMBER(SEARCH("cyber",$D199)),ISNUMBER(SEARCH("security",$D199)),ISNUMBER(SEARCH("safety",$D199)),ISNUMBER(SEARCH("liquidity",$D199)),ISNUMBER(SEARCH("cash",$D199)),ISNUMBER(SEARCH("continuity",$D199)),ISNUMBER(SEARCH("infrastructure",$D199)),ISNUMBER(SEARCH("outage",$D199))),"Fast",IF(OR(ISNUMBER(SEARCH("compliance",$D199)),ISNUMBER(SEARCH("regulat",$D199)),ISNUMBER(SEARCH("data",$D199)),ISNUMBER(SEARCH("talent",$D199)),ISNUMBER(SEARCH("knowledge",$D199)),ISNUMBER(SEARCH("portfolio",$D199)),ISNUMBER(SEARCH("quality",$D199))),"Slow","Medium")))</f>
        <v/>
      </c>
      <c r="AF199">
        <f>IF($A199="","",IFERROR(VLOOKUP($B199,'_CONFIG_Risk_Calibration'!$A$5:$H$21,2,FALSE),3))</f>
        <v/>
      </c>
      <c r="AG199">
        <f>IF($A199="","",IFERROR(VLOOKUP($B199,'_CONFIG_Risk_Calibration'!$A$5:$H$21,3,FALSE),0))</f>
        <v/>
      </c>
      <c r="AH199">
        <f>IF($A199="","",IFERROR(VLOOKUP($B199,'_CONFIG_Risk_Calibration'!$A$5:$H$21,4,FALSE),3))</f>
        <v/>
      </c>
      <c r="AI199">
        <f>IF($A199="","",IFERROR(VLOOKUP($B199,'_CONFIG_Risk_Calibration'!$A$5:$H$21,5,FALSE),3))</f>
        <v/>
      </c>
      <c r="AJ199">
        <f>IF($A199="","",IFERROR(VLOOKUP($B199,'_CONFIG_Risk_Calibration'!$A$5:$H$21,6,FALSE),"No"))</f>
        <v/>
      </c>
      <c r="AK199">
        <f>IF($A199="","",IFERROR(VLOOKUP($B199,'_CONFIG_Risk_Calibration'!$A$5:$H$21,7,FALSE),1))</f>
        <v/>
      </c>
      <c r="AL199">
        <f>IF($A199="","",IFERROR(VLOOKUP($B199,'_CONFIG_Risk_Calibration'!$A$5:$H$21,8,FALSE),""))</f>
        <v/>
      </c>
    </row>
    <row r="200" ht="84" customHeight="1" s="209">
      <c r="A200" s="13" t="inlineStr">
        <is>
          <t>SUPP-001</t>
        </is>
      </c>
      <c r="B200" s="13" t="inlineStr">
        <is>
          <t>Supply Chain</t>
        </is>
      </c>
      <c r="C200" s="13" t="inlineStr">
        <is>
          <t>Supply chain design</t>
        </is>
      </c>
      <c r="D200" s="13" t="inlineStr">
        <is>
          <t>Supply chain, logistics and supplier continuity</t>
        </is>
      </c>
      <c r="E200" s="13" t="inlineStr">
        <is>
          <t>How mature is the organization in managing end-to-end supply chain map from raw materials and suppliers to production, logistics, delivery and customers, including ownership, evidence, metrics, fallback procedures and crisis stress testing?</t>
        </is>
      </c>
      <c r="F200" s="13" t="inlineStr">
        <is>
          <t>Immature capability for end-to-end supply chain map from raw materials and suppliers to production, logistics, delivery and customers may lead to supplier failure, logistics disruption, inventory shortages and production or delivery delays during Supplier/logistics disruption; Manufacturing disruption; Demand shock.</t>
        </is>
      </c>
      <c r="G200" s="13" t="inlineStr">
        <is>
          <t>Low maturity, weak ownership, incomplete evidence, insufficient testing and poor integration with crisis-management routines for end-to-end supply chain map from raw materials and suppliers to production, logistics, delivery and customers.</t>
        </is>
      </c>
      <c r="H200" s="13" t="inlineStr">
        <is>
          <t>Severe risk: end-to-end supply chain map from raw materials and suppliers to production, logistics, delivery and customers is not reliably controlled. During Supplier/logistics disruption; Manufacturing disruption; Demand shock, the organization may face supplier failure, logistics disruption, inventory shortages and production or delivery delays with limited visibility or accountability.</t>
        </is>
      </c>
      <c r="I200" s="13" t="inlineStr">
        <is>
          <t>High risk: end-to-end supply chain map from raw materials and suppliers to production, logistics, delivery and customers depends on informal practices or individual knowledge. Disruption may expose supplier failure, logistics disruption, inventory shortages and production or delivery delays and slow recovery.</t>
        </is>
      </c>
      <c r="J200" s="13" t="inlineStr">
        <is>
          <t>Elevated risk: end-to-end supply chain map from raw materials and suppliers to production, logistics, delivery and customers is partially controlled, but coverage, evidence or testing is inconsistent. Crisis response may be fragmented.</t>
        </is>
      </c>
      <c r="K200" s="13" t="inlineStr">
        <is>
          <t>Moderate risk: end-to-end supply chain map from raw materials and suppliers to production, logistics, delivery and customers is documented and owned, but measurement, stress testing and integration with dependent processes need strengthening.</t>
        </is>
      </c>
      <c r="L200" s="13" t="inlineStr">
        <is>
          <t>Residual risk: end-to-end supply chain map from raw materials and suppliers to production, logistics, delivery and customers is measured and reviewed, but monitoring, automation or scenario testing should be improved to prevent maturity drift.</t>
        </is>
      </c>
      <c r="M200" s="13" t="inlineStr">
        <is>
          <t>Low residual risk: end-to-end supply chain map from raw materials and suppliers to production, logistics, delivery and customers is mature and crisis-tested. Maintain monitoring, evidence, ownership and periodic stress testing.</t>
        </is>
      </c>
      <c r="N200" s="13" t="inlineStr">
        <is>
          <t>Create an immediate risk owner, minimum control baseline and fallback procedure for end-to-end supply chain map from raw materials and suppliers to production, logistics, delivery and customers. Add it to the crisis risk register and collect first evidence.</t>
        </is>
      </c>
      <c r="O200" s="13" t="inlineStr">
        <is>
          <t>Document end-to-end supply chain map from raw materials and suppliers to production, logistics, delivery and customers, assign RACI, define minimum controls and KPIs, and validate coverage across key sites, teams or systems.</t>
        </is>
      </c>
      <c r="P200" s="13" t="inlineStr">
        <is>
          <t>Standardize end-to-end supply chain map from raw materials and suppliers to production, logistics, delivery and customers, close coverage gaps, train accountable roles and connect controls to the relevant crisis scenarios and continuity plans.</t>
        </is>
      </c>
      <c r="Q200" s="13" t="inlineStr">
        <is>
          <t>Measure and test end-to-end supply chain map from raw materials and suppliers to production, logistics, delivery and customers, run tabletop or operational stress tests, integrate it with dependent processes and update crisis playbooks.</t>
        </is>
      </c>
      <c r="R200" s="13" t="inlineStr">
        <is>
          <t>Automate monitoring where practical, define leading indicators, run periodic scenario tests and track residual risk after each major change.</t>
        </is>
      </c>
      <c r="S200" s="13" t="inlineStr">
        <is>
          <t>Sustain maturity for end-to-end supply chain map from raw materials and suppliers to production, logistics, delivery and customers: keep evidence current, monitor drift, benchmark externally and refresh risk tests after organizational, system or market changes.</t>
        </is>
      </c>
      <c r="T200" s="13" t="n">
        <v>4</v>
      </c>
      <c r="U200" s="13" t="n">
        <v>3</v>
      </c>
      <c r="V200" s="13" t="n">
        <v>3</v>
      </c>
      <c r="W200" s="13" t="n">
        <v>2</v>
      </c>
      <c r="X200" s="13" t="n">
        <v>1</v>
      </c>
      <c r="Y200" s="13" t="n">
        <v>1</v>
      </c>
      <c r="Z200" s="13" t="inlineStr">
        <is>
          <t>ISO 22301; ISO 20400; ISO 28000; SCOR Digital Standard; S&amp;OP/IBP; APICS/ASCM</t>
        </is>
      </c>
      <c r="AA200" s="13" t="inlineStr">
        <is>
          <t>Policy/SOP; owner/RACI; system report; dashboard; contracts; test records; incident history; interview evidence related to end-to-end supply chain map from raw materials and suppliers to production, logistics, delivery and customers.</t>
        </is>
      </c>
      <c r="AB200" s="13" t="inlineStr">
        <is>
          <t>Supplier/logistics disruption; Manufacturing disruption; Demand shock</t>
        </is>
      </c>
      <c r="AC200" s="13" t="inlineStr">
        <is>
          <t>Supply Chain / Procurement</t>
        </is>
      </c>
      <c r="AD200" s="13" t="inlineStr">
        <is>
          <t>Supply Chain!5</t>
        </is>
      </c>
      <c r="AE200">
        <f>IF($A200="","",IF(OR(ISNUMBER(SEARCH("cyber",$D200)),ISNUMBER(SEARCH("security",$D200)),ISNUMBER(SEARCH("safety",$D200)),ISNUMBER(SEARCH("liquidity",$D200)),ISNUMBER(SEARCH("cash",$D200)),ISNUMBER(SEARCH("continuity",$D200)),ISNUMBER(SEARCH("infrastructure",$D200)),ISNUMBER(SEARCH("outage",$D200))),"Fast",IF(OR(ISNUMBER(SEARCH("compliance",$D200)),ISNUMBER(SEARCH("regulat",$D200)),ISNUMBER(SEARCH("data",$D200)),ISNUMBER(SEARCH("talent",$D200)),ISNUMBER(SEARCH("knowledge",$D200)),ISNUMBER(SEARCH("portfolio",$D200)),ISNUMBER(SEARCH("quality",$D200))),"Slow","Medium")))</f>
        <v/>
      </c>
      <c r="AF200">
        <f>IF($A200="","",IFERROR(VLOOKUP($B200,'_CONFIG_Risk_Calibration'!$A$5:$H$21,2,FALSE),3))</f>
        <v/>
      </c>
      <c r="AG200">
        <f>IF($A200="","",IFERROR(VLOOKUP($B200,'_CONFIG_Risk_Calibration'!$A$5:$H$21,3,FALSE),0))</f>
        <v/>
      </c>
      <c r="AH200">
        <f>IF($A200="","",IFERROR(VLOOKUP($B200,'_CONFIG_Risk_Calibration'!$A$5:$H$21,4,FALSE),3))</f>
        <v/>
      </c>
      <c r="AI200">
        <f>IF($A200="","",IFERROR(VLOOKUP($B200,'_CONFIG_Risk_Calibration'!$A$5:$H$21,5,FALSE),3))</f>
        <v/>
      </c>
      <c r="AJ200">
        <f>IF($A200="","",IFERROR(VLOOKUP($B200,'_CONFIG_Risk_Calibration'!$A$5:$H$21,6,FALSE),"No"))</f>
        <v/>
      </c>
      <c r="AK200">
        <f>IF($A200="","",IFERROR(VLOOKUP($B200,'_CONFIG_Risk_Calibration'!$A$5:$H$21,7,FALSE),1))</f>
        <v/>
      </c>
      <c r="AL200">
        <f>IF($A200="","",IFERROR(VLOOKUP($B200,'_CONFIG_Risk_Calibration'!$A$5:$H$21,8,FALSE),""))</f>
        <v/>
      </c>
    </row>
    <row r="201" ht="72" customHeight="1" s="209">
      <c r="A201" s="13" t="inlineStr">
        <is>
          <t>SUPP-002</t>
        </is>
      </c>
      <c r="B201" s="13" t="inlineStr">
        <is>
          <t>Supply Chain</t>
        </is>
      </c>
      <c r="C201" s="13" t="inlineStr">
        <is>
          <t>Supply chain design</t>
        </is>
      </c>
      <c r="D201" s="13" t="inlineStr">
        <is>
          <t>Supply chain, logistics and supplier continuity</t>
        </is>
      </c>
      <c r="E201" s="13" t="inlineStr">
        <is>
          <t>How mature is the organization in managing visibility beyond tier-1 suppliers for critical materials, components and services, including ownership, evidence, metrics, fallback procedures and crisis stress testing?</t>
        </is>
      </c>
      <c r="F201" s="13" t="inlineStr">
        <is>
          <t>Immature capability for visibility beyond tier-1 suppliers for critical materials, components and services may lead to supplier failure, logistics disruption, inventory shortages and production or delivery delays during Supplier/logistics disruption; Manufacturing disruption; Demand shock.</t>
        </is>
      </c>
      <c r="G201" s="13" t="inlineStr">
        <is>
          <t>Low maturity, weak ownership, incomplete evidence, insufficient testing and poor integration with crisis-management routines for visibility beyond tier-1 suppliers for critical materials, components and services.</t>
        </is>
      </c>
      <c r="H201" s="13" t="inlineStr">
        <is>
          <t>Severe risk: visibility beyond tier-1 suppliers for critical materials, components and services is not reliably controlled. During Supplier/logistics disruption; Manufacturing disruption; Demand shock, the organization may face supplier failure, logistics disruption, inventory shortages and production or delivery delays with limited visibility or accountability.</t>
        </is>
      </c>
      <c r="I201" s="13" t="inlineStr">
        <is>
          <t>High risk: visibility beyond tier-1 suppliers for critical materials, components and services depends on informal practices or individual knowledge. Disruption may expose supplier failure, logistics disruption, inventory shortages and production or delivery delays and slow recovery.</t>
        </is>
      </c>
      <c r="J201" s="13" t="inlineStr">
        <is>
          <t>Elevated risk: visibility beyond tier-1 suppliers for critical materials, components and services is partially controlled, but coverage, evidence or testing is inconsistent. Crisis response may be fragmented.</t>
        </is>
      </c>
      <c r="K201" s="13" t="inlineStr">
        <is>
          <t>Moderate risk: visibility beyond tier-1 suppliers for critical materials, components and services is documented and owned, but measurement, stress testing and integration with dependent processes need strengthening.</t>
        </is>
      </c>
      <c r="L201" s="13" t="inlineStr">
        <is>
          <t>Residual risk: visibility beyond tier-1 suppliers for critical materials, components and services is measured and reviewed, but monitoring, automation or scenario testing should be improved to prevent maturity drift.</t>
        </is>
      </c>
      <c r="M201" s="13" t="inlineStr">
        <is>
          <t>Low residual risk: visibility beyond tier-1 suppliers for critical materials, components and services is mature and crisis-tested. Maintain monitoring, evidence, ownership and periodic stress testing.</t>
        </is>
      </c>
      <c r="N201" s="13" t="inlineStr">
        <is>
          <t>Create an immediate risk owner, minimum control baseline and fallback procedure for visibility beyond tier-1 suppliers for critical materials, components and services. Add it to the crisis risk register and collect first evidence.</t>
        </is>
      </c>
      <c r="O201" s="13" t="inlineStr">
        <is>
          <t>Document visibility beyond tier-1 suppliers for critical materials, components and services, assign RACI, define minimum controls and KPIs, and validate coverage across key sites, teams or systems.</t>
        </is>
      </c>
      <c r="P201" s="13" t="inlineStr">
        <is>
          <t>Standardize visibility beyond tier-1 suppliers for critical materials, components and services, close coverage gaps, train accountable roles and connect controls to the relevant crisis scenarios and continuity plans.</t>
        </is>
      </c>
      <c r="Q201" s="13" t="inlineStr">
        <is>
          <t>Measure and test visibility beyond tier-1 suppliers for critical materials, components and services, run tabletop or operational stress tests, integrate it with dependent processes and update crisis playbooks.</t>
        </is>
      </c>
      <c r="R201" s="13" t="inlineStr">
        <is>
          <t>Automate monitoring where practical, define leading indicators, run periodic scenario tests and track residual risk after each major change.</t>
        </is>
      </c>
      <c r="S201" s="13" t="inlineStr">
        <is>
          <t>Sustain maturity for visibility beyond tier-1 suppliers for critical materials, components and services: keep evidence current, monitor drift, benchmark externally and refresh risk tests after organizational, system or market changes.</t>
        </is>
      </c>
      <c r="T201" s="13" t="n">
        <v>4</v>
      </c>
      <c r="U201" s="13" t="n">
        <v>3</v>
      </c>
      <c r="V201" s="13" t="n">
        <v>3</v>
      </c>
      <c r="W201" s="13" t="n">
        <v>2</v>
      </c>
      <c r="X201" s="13" t="n">
        <v>1</v>
      </c>
      <c r="Y201" s="13" t="n">
        <v>1</v>
      </c>
      <c r="Z201" s="13" t="inlineStr">
        <is>
          <t>ISO 22301; ISO 20400; ISO 28000; SCOR Digital Standard; S&amp;OP/IBP; APICS/ASCM</t>
        </is>
      </c>
      <c r="AA201" s="13" t="inlineStr">
        <is>
          <t>Policy/SOP; owner/RACI; system report; dashboard; contracts; test records; incident history; interview evidence related to visibility beyond tier-1 suppliers for critical materials, components and services.</t>
        </is>
      </c>
      <c r="AB201" s="13" t="inlineStr">
        <is>
          <t>Supplier/logistics disruption; Manufacturing disruption; Demand shock</t>
        </is>
      </c>
      <c r="AC201" s="13" t="inlineStr">
        <is>
          <t>Supply Chain / Procurement</t>
        </is>
      </c>
      <c r="AD201" s="13" t="inlineStr">
        <is>
          <t>Supply Chain!6</t>
        </is>
      </c>
      <c r="AE201">
        <f>IF($A201="","",IF(OR(ISNUMBER(SEARCH("cyber",$D201)),ISNUMBER(SEARCH("security",$D201)),ISNUMBER(SEARCH("safety",$D201)),ISNUMBER(SEARCH("liquidity",$D201)),ISNUMBER(SEARCH("cash",$D201)),ISNUMBER(SEARCH("continuity",$D201)),ISNUMBER(SEARCH("infrastructure",$D201)),ISNUMBER(SEARCH("outage",$D201))),"Fast",IF(OR(ISNUMBER(SEARCH("compliance",$D201)),ISNUMBER(SEARCH("regulat",$D201)),ISNUMBER(SEARCH("data",$D201)),ISNUMBER(SEARCH("talent",$D201)),ISNUMBER(SEARCH("knowledge",$D201)),ISNUMBER(SEARCH("portfolio",$D201)),ISNUMBER(SEARCH("quality",$D201))),"Slow","Medium")))</f>
        <v/>
      </c>
      <c r="AF201">
        <f>IF($A201="","",IFERROR(VLOOKUP($B201,'_CONFIG_Risk_Calibration'!$A$5:$H$21,2,FALSE),3))</f>
        <v/>
      </c>
      <c r="AG201">
        <f>IF($A201="","",IFERROR(VLOOKUP($B201,'_CONFIG_Risk_Calibration'!$A$5:$H$21,3,FALSE),0))</f>
        <v/>
      </c>
      <c r="AH201">
        <f>IF($A201="","",IFERROR(VLOOKUP($B201,'_CONFIG_Risk_Calibration'!$A$5:$H$21,4,FALSE),3))</f>
        <v/>
      </c>
      <c r="AI201">
        <f>IF($A201="","",IFERROR(VLOOKUP($B201,'_CONFIG_Risk_Calibration'!$A$5:$H$21,5,FALSE),3))</f>
        <v/>
      </c>
      <c r="AJ201">
        <f>IF($A201="","",IFERROR(VLOOKUP($B201,'_CONFIG_Risk_Calibration'!$A$5:$H$21,6,FALSE),"No"))</f>
        <v/>
      </c>
      <c r="AK201">
        <f>IF($A201="","",IFERROR(VLOOKUP($B201,'_CONFIG_Risk_Calibration'!$A$5:$H$21,7,FALSE),1))</f>
        <v/>
      </c>
      <c r="AL201">
        <f>IF($A201="","",IFERROR(VLOOKUP($B201,'_CONFIG_Risk_Calibration'!$A$5:$H$21,8,FALSE),""))</f>
        <v/>
      </c>
    </row>
    <row r="202" ht="72" customHeight="1" s="209">
      <c r="A202" s="13" t="inlineStr">
        <is>
          <t>SUPP-003</t>
        </is>
      </c>
      <c r="B202" s="13" t="inlineStr">
        <is>
          <t>Supply Chain</t>
        </is>
      </c>
      <c r="C202" s="13" t="inlineStr">
        <is>
          <t>Supply chain design</t>
        </is>
      </c>
      <c r="D202" s="13" t="inlineStr">
        <is>
          <t>Supply chain, logistics and supplier continuity</t>
        </is>
      </c>
      <c r="E202" s="13" t="inlineStr">
        <is>
          <t>How mature is the organization in managing supplier criticality scoring by business impact, availability, substitution, lead time and geography, including ownership, evidence, metrics, fallback procedures and crisis stress testing?</t>
        </is>
      </c>
      <c r="F202" s="13" t="inlineStr">
        <is>
          <t>Immature capability for supplier criticality scoring by business impact, availability, substitution, lead time and geography may lead to supplier failure, logistics disruption, inventory shortages and production or delivery delays during Supplier/logistics disruption; Manufacturing disruption; Demand shock.</t>
        </is>
      </c>
      <c r="G202" s="13" t="inlineStr">
        <is>
          <t>Low maturity, weak ownership, incomplete evidence, insufficient testing and poor integration with crisis-management routines for supplier criticality scoring by business impact, availability, substitution, lead time and geography.</t>
        </is>
      </c>
      <c r="H202" s="13" t="inlineStr">
        <is>
          <t>Severe risk: supplier criticality scoring by business impact, availability, substitution, lead time and geography is not reliably controlled. During Supplier/logistics disruption; Manufacturing disruption; Demand shock, the organization may face supplier failure, logistics disruption, inventory shortages and production or delivery delays with limited visibility or accountability.</t>
        </is>
      </c>
      <c r="I202" s="13" t="inlineStr">
        <is>
          <t>High risk: supplier criticality scoring by business impact, availability, substitution, lead time and geography depends on informal practices or individual knowledge. Disruption may expose supplier failure, logistics disruption, inventory shortages and production or delivery delays and slow recovery.</t>
        </is>
      </c>
      <c r="J202" s="13" t="inlineStr">
        <is>
          <t>Elevated risk: supplier criticality scoring by business impact, availability, substitution, lead time and geography is partially controlled, but coverage, evidence or testing is inconsistent. Crisis response may be fragmented.</t>
        </is>
      </c>
      <c r="K202" s="13" t="inlineStr">
        <is>
          <t>Moderate risk: supplier criticality scoring by business impact, availability, substitution, lead time and geography is documented and owned, but measurement, stress testing and integration with dependent processes need strengthening.</t>
        </is>
      </c>
      <c r="L202" s="13" t="inlineStr">
        <is>
          <t>Residual risk: supplier criticality scoring by business impact, availability, substitution, lead time and geography is measured and reviewed, but monitoring, automation or scenario testing should be improved to prevent maturity drift.</t>
        </is>
      </c>
      <c r="M202" s="13" t="inlineStr">
        <is>
          <t>Low residual risk: supplier criticality scoring by business impact, availability, substitution, lead time and geography is mature and crisis-tested. Maintain monitoring, evidence, ownership and periodic stress testing.</t>
        </is>
      </c>
      <c r="N202" s="13" t="inlineStr">
        <is>
          <t>Create an immediate risk owner, minimum control baseline and fallback procedure for supplier criticality scoring by business impact, availability, substitution, lead time and geography. Add it to the crisis risk register and collect first evidence.</t>
        </is>
      </c>
      <c r="O202" s="13" t="inlineStr">
        <is>
          <t>Document supplier criticality scoring by business impact, availability, substitution, lead time and geography, assign RACI, define minimum controls and KPIs, and validate coverage across key sites, teams or systems.</t>
        </is>
      </c>
      <c r="P202" s="13" t="inlineStr">
        <is>
          <t>Standardize supplier criticality scoring by business impact, availability, substitution, lead time and geography, close coverage gaps, train accountable roles and connect controls to the relevant crisis scenarios and continuity plans.</t>
        </is>
      </c>
      <c r="Q202" s="13" t="inlineStr">
        <is>
          <t>Measure and test supplier criticality scoring by business impact, availability, substitution, lead time and geography, run tabletop or operational stress tests, integrate it with dependent processes and update crisis playbooks.</t>
        </is>
      </c>
      <c r="R202" s="13" t="inlineStr">
        <is>
          <t>Automate monitoring where practical, define leading indicators, run periodic scenario tests and track residual risk after each major change.</t>
        </is>
      </c>
      <c r="S202" s="13" t="inlineStr">
        <is>
          <t>Sustain maturity for supplier criticality scoring by business impact, availability, substitution, lead time and geography: keep evidence current, monitor drift, benchmark externally and refresh risk tests after organizational, system or market changes.</t>
        </is>
      </c>
      <c r="T202" s="13" t="n">
        <v>4</v>
      </c>
      <c r="U202" s="13" t="n">
        <v>3</v>
      </c>
      <c r="V202" s="13" t="n">
        <v>3</v>
      </c>
      <c r="W202" s="13" t="n">
        <v>2</v>
      </c>
      <c r="X202" s="13" t="n">
        <v>1</v>
      </c>
      <c r="Y202" s="13" t="n">
        <v>1</v>
      </c>
      <c r="Z202" s="13" t="inlineStr">
        <is>
          <t>ISO 22301; ISO 20400; ISO 28000; SCOR Digital Standard; S&amp;OP/IBP; APICS/ASCM</t>
        </is>
      </c>
      <c r="AA202" s="13" t="inlineStr">
        <is>
          <t>Policy/SOP; owner/RACI; system report; dashboard; contracts; test records; incident history; interview evidence related to supplier criticality scoring by business impact, availability, substitution, lead time and geography.</t>
        </is>
      </c>
      <c r="AB202" s="13" t="inlineStr">
        <is>
          <t>Supplier/logistics disruption; Manufacturing disruption; Demand shock</t>
        </is>
      </c>
      <c r="AC202" s="13" t="inlineStr">
        <is>
          <t>Supply Chain / Procurement</t>
        </is>
      </c>
      <c r="AD202" s="13" t="inlineStr">
        <is>
          <t>Supply Chain!7</t>
        </is>
      </c>
      <c r="AE202">
        <f>IF($A202="","",IF(OR(ISNUMBER(SEARCH("cyber",$D202)),ISNUMBER(SEARCH("security",$D202)),ISNUMBER(SEARCH("safety",$D202)),ISNUMBER(SEARCH("liquidity",$D202)),ISNUMBER(SEARCH("cash",$D202)),ISNUMBER(SEARCH("continuity",$D202)),ISNUMBER(SEARCH("infrastructure",$D202)),ISNUMBER(SEARCH("outage",$D202))),"Fast",IF(OR(ISNUMBER(SEARCH("compliance",$D202)),ISNUMBER(SEARCH("regulat",$D202)),ISNUMBER(SEARCH("data",$D202)),ISNUMBER(SEARCH("talent",$D202)),ISNUMBER(SEARCH("knowledge",$D202)),ISNUMBER(SEARCH("portfolio",$D202)),ISNUMBER(SEARCH("quality",$D202))),"Slow","Medium")))</f>
        <v/>
      </c>
      <c r="AF202">
        <f>IF($A202="","",IFERROR(VLOOKUP($B202,'_CONFIG_Risk_Calibration'!$A$5:$H$21,2,FALSE),3))</f>
        <v/>
      </c>
      <c r="AG202">
        <f>IF($A202="","",IFERROR(VLOOKUP($B202,'_CONFIG_Risk_Calibration'!$A$5:$H$21,3,FALSE),0))</f>
        <v/>
      </c>
      <c r="AH202">
        <f>IF($A202="","",IFERROR(VLOOKUP($B202,'_CONFIG_Risk_Calibration'!$A$5:$H$21,4,FALSE),3))</f>
        <v/>
      </c>
      <c r="AI202">
        <f>IF($A202="","",IFERROR(VLOOKUP($B202,'_CONFIG_Risk_Calibration'!$A$5:$H$21,5,FALSE),3))</f>
        <v/>
      </c>
      <c r="AJ202">
        <f>IF($A202="","",IFERROR(VLOOKUP($B202,'_CONFIG_Risk_Calibration'!$A$5:$H$21,6,FALSE),"No"))</f>
        <v/>
      </c>
      <c r="AK202">
        <f>IF($A202="","",IFERROR(VLOOKUP($B202,'_CONFIG_Risk_Calibration'!$A$5:$H$21,7,FALSE),1))</f>
        <v/>
      </c>
      <c r="AL202">
        <f>IF($A202="","",IFERROR(VLOOKUP($B202,'_CONFIG_Risk_Calibration'!$A$5:$H$21,8,FALSE),""))</f>
        <v/>
      </c>
    </row>
    <row r="203" ht="72" customHeight="1" s="209">
      <c r="A203" s="13" t="inlineStr">
        <is>
          <t>SUPP-004</t>
        </is>
      </c>
      <c r="B203" s="13" t="inlineStr">
        <is>
          <t>Supply Chain</t>
        </is>
      </c>
      <c r="C203" s="13" t="inlineStr">
        <is>
          <t>Supply chain design</t>
        </is>
      </c>
      <c r="D203" s="13" t="inlineStr">
        <is>
          <t>Supply chain, logistics and supplier continuity</t>
        </is>
      </c>
      <c r="E203" s="13" t="inlineStr">
        <is>
          <t>How mature is the organization in managing supplier concentration by spend, dependency, category, geography and product line, including ownership, evidence, metrics, fallback procedures and crisis stress testing?</t>
        </is>
      </c>
      <c r="F203" s="13" t="inlineStr">
        <is>
          <t>Immature capability for supplier concentration by spend, dependency, category, geography and product line may lead to supplier failure, logistics disruption, inventory shortages and production or delivery delays during Supplier/logistics disruption; Manufacturing disruption; Demand shock.</t>
        </is>
      </c>
      <c r="G203" s="13" t="inlineStr">
        <is>
          <t>Low maturity, weak ownership, incomplete evidence, insufficient testing and poor integration with crisis-management routines for supplier concentration by spend, dependency, category, geography and product line.</t>
        </is>
      </c>
      <c r="H203" s="13" t="inlineStr">
        <is>
          <t>Severe risk: supplier concentration by spend, dependency, category, geography and product line is not reliably controlled. During Supplier/logistics disruption; Manufacturing disruption; Demand shock, the organization may face supplier failure, logistics disruption, inventory shortages and production or delivery delays with limited visibility or accountability.</t>
        </is>
      </c>
      <c r="I203" s="13" t="inlineStr">
        <is>
          <t>High risk: supplier concentration by spend, dependency, category, geography and product line depends on informal practices or individual knowledge. Disruption may expose supplier failure, logistics disruption, inventory shortages and production or delivery delays and slow recovery.</t>
        </is>
      </c>
      <c r="J203" s="13" t="inlineStr">
        <is>
          <t>Elevated risk: supplier concentration by spend, dependency, category, geography and product line is partially controlled, but coverage, evidence or testing is inconsistent. Crisis response may be fragmented.</t>
        </is>
      </c>
      <c r="K203" s="13" t="inlineStr">
        <is>
          <t>Moderate risk: supplier concentration by spend, dependency, category, geography and product line is documented and owned, but measurement, stress testing and integration with dependent processes need strengthening.</t>
        </is>
      </c>
      <c r="L203" s="13" t="inlineStr">
        <is>
          <t>Residual risk: supplier concentration by spend, dependency, category, geography and product line is measured and reviewed, but monitoring, automation or scenario testing should be improved to prevent maturity drift.</t>
        </is>
      </c>
      <c r="M203" s="13" t="inlineStr">
        <is>
          <t>Low residual risk: supplier concentration by spend, dependency, category, geography and product line is mature and crisis-tested. Maintain monitoring, evidence, ownership and periodic stress testing.</t>
        </is>
      </c>
      <c r="N203" s="13" t="inlineStr">
        <is>
          <t>Create an immediate risk owner, minimum control baseline and fallback procedure for supplier concentration by spend, dependency, category, geography and product line. Add it to the crisis risk register and collect first evidence.</t>
        </is>
      </c>
      <c r="O203" s="13" t="inlineStr">
        <is>
          <t>Document supplier concentration by spend, dependency, category, geography and product line, assign RACI, define minimum controls and KPIs, and validate coverage across key sites, teams or systems.</t>
        </is>
      </c>
      <c r="P203" s="13" t="inlineStr">
        <is>
          <t>Standardize supplier concentration by spend, dependency, category, geography and product line, close coverage gaps, train accountable roles and connect controls to the relevant crisis scenarios and continuity plans.</t>
        </is>
      </c>
      <c r="Q203" s="13" t="inlineStr">
        <is>
          <t>Measure and test supplier concentration by spend, dependency, category, geography and product line, run tabletop or operational stress tests, integrate it with dependent processes and update crisis playbooks.</t>
        </is>
      </c>
      <c r="R203" s="13" t="inlineStr">
        <is>
          <t>Automate monitoring where practical, define leading indicators, run periodic scenario tests and track residual risk after each major change.</t>
        </is>
      </c>
      <c r="S203" s="13" t="inlineStr">
        <is>
          <t>Sustain maturity for supplier concentration by spend, dependency, category, geography and product line: keep evidence current, monitor drift, benchmark externally and refresh risk tests after organizational, system or market changes.</t>
        </is>
      </c>
      <c r="T203" s="13" t="n">
        <v>4</v>
      </c>
      <c r="U203" s="13" t="n">
        <v>3</v>
      </c>
      <c r="V203" s="13" t="n">
        <v>3</v>
      </c>
      <c r="W203" s="13" t="n">
        <v>2</v>
      </c>
      <c r="X203" s="13" t="n">
        <v>1</v>
      </c>
      <c r="Y203" s="13" t="n">
        <v>1</v>
      </c>
      <c r="Z203" s="13" t="inlineStr">
        <is>
          <t>ISO 22301; ISO 20400; ISO 28000; SCOR Digital Standard; S&amp;OP/IBP; APICS/ASCM</t>
        </is>
      </c>
      <c r="AA203" s="13" t="inlineStr">
        <is>
          <t>Policy/SOP; owner/RACI; system report; dashboard; contracts; test records; incident history; interview evidence related to supplier concentration by spend, dependency, category, geography and product line.</t>
        </is>
      </c>
      <c r="AB203" s="13" t="inlineStr">
        <is>
          <t>Supplier/logistics disruption; Manufacturing disruption; Demand shock</t>
        </is>
      </c>
      <c r="AC203" s="13" t="inlineStr">
        <is>
          <t>Supply Chain / Procurement</t>
        </is>
      </c>
      <c r="AD203" s="13" t="inlineStr">
        <is>
          <t>Supply Chain!8</t>
        </is>
      </c>
      <c r="AE203">
        <f>IF($A203="","",IF(OR(ISNUMBER(SEARCH("cyber",$D203)),ISNUMBER(SEARCH("security",$D203)),ISNUMBER(SEARCH("safety",$D203)),ISNUMBER(SEARCH("liquidity",$D203)),ISNUMBER(SEARCH("cash",$D203)),ISNUMBER(SEARCH("continuity",$D203)),ISNUMBER(SEARCH("infrastructure",$D203)),ISNUMBER(SEARCH("outage",$D203))),"Fast",IF(OR(ISNUMBER(SEARCH("compliance",$D203)),ISNUMBER(SEARCH("regulat",$D203)),ISNUMBER(SEARCH("data",$D203)),ISNUMBER(SEARCH("talent",$D203)),ISNUMBER(SEARCH("knowledge",$D203)),ISNUMBER(SEARCH("portfolio",$D203)),ISNUMBER(SEARCH("quality",$D203))),"Slow","Medium")))</f>
        <v/>
      </c>
      <c r="AF203">
        <f>IF($A203="","",IFERROR(VLOOKUP($B203,'_CONFIG_Risk_Calibration'!$A$5:$H$21,2,FALSE),3))</f>
        <v/>
      </c>
      <c r="AG203">
        <f>IF($A203="","",IFERROR(VLOOKUP($B203,'_CONFIG_Risk_Calibration'!$A$5:$H$21,3,FALSE),0))</f>
        <v/>
      </c>
      <c r="AH203">
        <f>IF($A203="","",IFERROR(VLOOKUP($B203,'_CONFIG_Risk_Calibration'!$A$5:$H$21,4,FALSE),3))</f>
        <v/>
      </c>
      <c r="AI203">
        <f>IF($A203="","",IFERROR(VLOOKUP($B203,'_CONFIG_Risk_Calibration'!$A$5:$H$21,5,FALSE),3))</f>
        <v/>
      </c>
      <c r="AJ203">
        <f>IF($A203="","",IFERROR(VLOOKUP($B203,'_CONFIG_Risk_Calibration'!$A$5:$H$21,6,FALSE),"No"))</f>
        <v/>
      </c>
      <c r="AK203">
        <f>IF($A203="","",IFERROR(VLOOKUP($B203,'_CONFIG_Risk_Calibration'!$A$5:$H$21,7,FALSE),1))</f>
        <v/>
      </c>
      <c r="AL203">
        <f>IF($A203="","",IFERROR(VLOOKUP($B203,'_CONFIG_Risk_Calibration'!$A$5:$H$21,8,FALSE),""))</f>
        <v/>
      </c>
    </row>
    <row r="204" ht="72" customHeight="1" s="209">
      <c r="A204" s="13" t="inlineStr">
        <is>
          <t>SUPP-005</t>
        </is>
      </c>
      <c r="B204" s="13" t="inlineStr">
        <is>
          <t>Supply Chain</t>
        </is>
      </c>
      <c r="C204" s="13" t="inlineStr">
        <is>
          <t>Supply chain design</t>
        </is>
      </c>
      <c r="D204" s="13" t="inlineStr">
        <is>
          <t>Supply chain, logistics and supplier continuity</t>
        </is>
      </c>
      <c r="E204" s="13" t="inlineStr">
        <is>
          <t>How mature is the organization in managing critical supplier continuity plans, recovery times and incident notification commitments, including ownership, evidence, metrics, fallback procedures and crisis stress testing?</t>
        </is>
      </c>
      <c r="F204" s="13" t="inlineStr">
        <is>
          <t>Immature capability for critical supplier continuity plans, recovery times and incident notification commitments may lead to supplier failure, logistics disruption, inventory shortages and production or delivery delays during Supplier/logistics disruption; Manufacturing disruption; Demand shock.</t>
        </is>
      </c>
      <c r="G204" s="13" t="inlineStr">
        <is>
          <t>Low maturity, weak ownership, incomplete evidence, insufficient testing and poor integration with crisis-management routines for critical supplier continuity plans, recovery times and incident notification commitments.</t>
        </is>
      </c>
      <c r="H204" s="13" t="inlineStr">
        <is>
          <t>Severe risk: critical supplier continuity plans, recovery times and incident notification commitments is not reliably controlled. During Supplier/logistics disruption; Manufacturing disruption; Demand shock, the organization may face supplier failure, logistics disruption, inventory shortages and production or delivery delays with limited visibility or accountability.</t>
        </is>
      </c>
      <c r="I204" s="13" t="inlineStr">
        <is>
          <t>High risk: critical supplier continuity plans, recovery times and incident notification commitments depends on informal practices or individual knowledge. Disruption may expose supplier failure, logistics disruption, inventory shortages and production or delivery delays and slow recovery.</t>
        </is>
      </c>
      <c r="J204" s="13" t="inlineStr">
        <is>
          <t>Elevated risk: critical supplier continuity plans, recovery times and incident notification commitments is partially controlled, but coverage, evidence or testing is inconsistent. Crisis response may be fragmented.</t>
        </is>
      </c>
      <c r="K204" s="13" t="inlineStr">
        <is>
          <t>Moderate risk: critical supplier continuity plans, recovery times and incident notification commitments is documented and owned, but measurement, stress testing and integration with dependent processes need strengthening.</t>
        </is>
      </c>
      <c r="L204" s="13" t="inlineStr">
        <is>
          <t>Residual risk: critical supplier continuity plans, recovery times and incident notification commitments is measured and reviewed, but monitoring, automation or scenario testing should be improved to prevent maturity drift.</t>
        </is>
      </c>
      <c r="M204" s="13" t="inlineStr">
        <is>
          <t>Low residual risk: critical supplier continuity plans, recovery times and incident notification commitments is mature and crisis-tested. Maintain monitoring, evidence, ownership and periodic stress testing.</t>
        </is>
      </c>
      <c r="N204" s="13" t="inlineStr">
        <is>
          <t>Create an immediate risk owner, minimum control baseline and fallback procedure for critical supplier continuity plans, recovery times and incident notification commitments. Add it to the crisis risk register and collect first evidence.</t>
        </is>
      </c>
      <c r="O204" s="13" t="inlineStr">
        <is>
          <t>Document critical supplier continuity plans, recovery times and incident notification commitments, assign RACI, define minimum controls and KPIs, and validate coverage across key sites, teams or systems.</t>
        </is>
      </c>
      <c r="P204" s="13" t="inlineStr">
        <is>
          <t>Standardize critical supplier continuity plans, recovery times and incident notification commitments, close coverage gaps, train accountable roles and connect controls to the relevant crisis scenarios and continuity plans.</t>
        </is>
      </c>
      <c r="Q204" s="13" t="inlineStr">
        <is>
          <t>Measure and test critical supplier continuity plans, recovery times and incident notification commitments, run tabletop or operational stress tests, integrate it with dependent processes and update crisis playbooks.</t>
        </is>
      </c>
      <c r="R204" s="13" t="inlineStr">
        <is>
          <t>Automate monitoring where practical, define leading indicators, run periodic scenario tests and track residual risk after each major change.</t>
        </is>
      </c>
      <c r="S204" s="13" t="inlineStr">
        <is>
          <t>Sustain maturity for critical supplier continuity plans, recovery times and incident notification commitments: keep evidence current, monitor drift, benchmark externally and refresh risk tests after organizational, system or market changes.</t>
        </is>
      </c>
      <c r="T204" s="13" t="n">
        <v>4</v>
      </c>
      <c r="U204" s="13" t="n">
        <v>3</v>
      </c>
      <c r="V204" s="13" t="n">
        <v>3</v>
      </c>
      <c r="W204" s="13" t="n">
        <v>2</v>
      </c>
      <c r="X204" s="13" t="n">
        <v>1</v>
      </c>
      <c r="Y204" s="13" t="n">
        <v>1</v>
      </c>
      <c r="Z204" s="13" t="inlineStr">
        <is>
          <t>ISO 22301; ISO 20400; ISO 28000; SCOR Digital Standard; S&amp;OP/IBP; APICS/ASCM</t>
        </is>
      </c>
      <c r="AA204" s="13" t="inlineStr">
        <is>
          <t>Policy/SOP; owner/RACI; system report; dashboard; contracts; test records; incident history; interview evidence related to critical supplier continuity plans, recovery times and incident notification commitments.</t>
        </is>
      </c>
      <c r="AB204" s="13" t="inlineStr">
        <is>
          <t>Supplier/logistics disruption; Manufacturing disruption; Demand shock</t>
        </is>
      </c>
      <c r="AC204" s="13" t="inlineStr">
        <is>
          <t>Supply Chain / Procurement</t>
        </is>
      </c>
      <c r="AD204" s="13" t="inlineStr">
        <is>
          <t>Supply Chain!9</t>
        </is>
      </c>
      <c r="AE204">
        <f>IF($A204="","",IF(OR(ISNUMBER(SEARCH("cyber",$D204)),ISNUMBER(SEARCH("security",$D204)),ISNUMBER(SEARCH("safety",$D204)),ISNUMBER(SEARCH("liquidity",$D204)),ISNUMBER(SEARCH("cash",$D204)),ISNUMBER(SEARCH("continuity",$D204)),ISNUMBER(SEARCH("infrastructure",$D204)),ISNUMBER(SEARCH("outage",$D204))),"Fast",IF(OR(ISNUMBER(SEARCH("compliance",$D204)),ISNUMBER(SEARCH("regulat",$D204)),ISNUMBER(SEARCH("data",$D204)),ISNUMBER(SEARCH("talent",$D204)),ISNUMBER(SEARCH("knowledge",$D204)),ISNUMBER(SEARCH("portfolio",$D204)),ISNUMBER(SEARCH("quality",$D204))),"Slow","Medium")))</f>
        <v/>
      </c>
      <c r="AF204">
        <f>IF($A204="","",IFERROR(VLOOKUP($B204,'_CONFIG_Risk_Calibration'!$A$5:$H$21,2,FALSE),3))</f>
        <v/>
      </c>
      <c r="AG204">
        <f>IF($A204="","",IFERROR(VLOOKUP($B204,'_CONFIG_Risk_Calibration'!$A$5:$H$21,3,FALSE),0))</f>
        <v/>
      </c>
      <c r="AH204">
        <f>IF($A204="","",IFERROR(VLOOKUP($B204,'_CONFIG_Risk_Calibration'!$A$5:$H$21,4,FALSE),3))</f>
        <v/>
      </c>
      <c r="AI204">
        <f>IF($A204="","",IFERROR(VLOOKUP($B204,'_CONFIG_Risk_Calibration'!$A$5:$H$21,5,FALSE),3))</f>
        <v/>
      </c>
      <c r="AJ204">
        <f>IF($A204="","",IFERROR(VLOOKUP($B204,'_CONFIG_Risk_Calibration'!$A$5:$H$21,6,FALSE),"No"))</f>
        <v/>
      </c>
      <c r="AK204">
        <f>IF($A204="","",IFERROR(VLOOKUP($B204,'_CONFIG_Risk_Calibration'!$A$5:$H$21,7,FALSE),1))</f>
        <v/>
      </c>
      <c r="AL204">
        <f>IF($A204="","",IFERROR(VLOOKUP($B204,'_CONFIG_Risk_Calibration'!$A$5:$H$21,8,FALSE),""))</f>
        <v/>
      </c>
    </row>
    <row r="205" ht="72" customHeight="1" s="209">
      <c r="A205" s="13" t="inlineStr">
        <is>
          <t>SUPP-006</t>
        </is>
      </c>
      <c r="B205" s="13" t="inlineStr">
        <is>
          <t>Supply Chain</t>
        </is>
      </c>
      <c r="C205" s="13" t="inlineStr">
        <is>
          <t>Supply chain design</t>
        </is>
      </c>
      <c r="D205" s="13" t="inlineStr">
        <is>
          <t>Supply chain, logistics and supplier continuity</t>
        </is>
      </c>
      <c r="E205" s="13" t="inlineStr">
        <is>
          <t>How mature is the organization in managing pre-qualified alternative suppliers for critical categories, including ownership, evidence, metrics, fallback procedures and crisis stress testing?</t>
        </is>
      </c>
      <c r="F205" s="13" t="inlineStr">
        <is>
          <t>Immature capability for pre-qualified alternative suppliers for critical categories may lead to supplier failure, logistics disruption, inventory shortages and production or delivery delays during Supplier/logistics disruption; Manufacturing disruption; Demand shock.</t>
        </is>
      </c>
      <c r="G205" s="13" t="inlineStr">
        <is>
          <t>Low maturity, weak ownership, incomplete evidence, insufficient testing and poor integration with crisis-management routines for pre-qualified alternative suppliers for critical categories.</t>
        </is>
      </c>
      <c r="H205" s="13" t="inlineStr">
        <is>
          <t>Severe risk: pre-qualified alternative suppliers for critical categories is not reliably controlled. During Supplier/logistics disruption; Manufacturing disruption; Demand shock, the organization may face supplier failure, logistics disruption, inventory shortages and production or delivery delays with limited visibility or accountability.</t>
        </is>
      </c>
      <c r="I205" s="13" t="inlineStr">
        <is>
          <t>High risk: pre-qualified alternative suppliers for critical categories depends on informal practices or individual knowledge. Disruption may expose supplier failure, logistics disruption, inventory shortages and production or delivery delays and slow recovery.</t>
        </is>
      </c>
      <c r="J205" s="13" t="inlineStr">
        <is>
          <t>Elevated risk: pre-qualified alternative suppliers for critical categories is partially controlled, but coverage, evidence or testing is inconsistent. Crisis response may be fragmented.</t>
        </is>
      </c>
      <c r="K205" s="13" t="inlineStr">
        <is>
          <t>Moderate risk: pre-qualified alternative suppliers for critical categories is documented and owned, but measurement, stress testing and integration with dependent processes need strengthening.</t>
        </is>
      </c>
      <c r="L205" s="13" t="inlineStr">
        <is>
          <t>Residual risk: pre-qualified alternative suppliers for critical categories is measured and reviewed, but monitoring, automation or scenario testing should be improved to prevent maturity drift.</t>
        </is>
      </c>
      <c r="M205" s="13" t="inlineStr">
        <is>
          <t>Low residual risk: pre-qualified alternative suppliers for critical categories is mature and crisis-tested. Maintain monitoring, evidence, ownership and periodic stress testing.</t>
        </is>
      </c>
      <c r="N205" s="13" t="inlineStr">
        <is>
          <t>Create an immediate risk owner, minimum control baseline and fallback procedure for pre-qualified alternative suppliers for critical categories. Add it to the crisis risk register and collect first evidence.</t>
        </is>
      </c>
      <c r="O205" s="13" t="inlineStr">
        <is>
          <t>Document pre-qualified alternative suppliers for critical categories, assign RACI, define minimum controls and KPIs, and validate coverage across key sites, teams or systems.</t>
        </is>
      </c>
      <c r="P205" s="13" t="inlineStr">
        <is>
          <t>Standardize pre-qualified alternative suppliers for critical categories, close coverage gaps, train accountable roles and connect controls to the relevant crisis scenarios and continuity plans.</t>
        </is>
      </c>
      <c r="Q205" s="13" t="inlineStr">
        <is>
          <t>Measure and test pre-qualified alternative suppliers for critical categories, run tabletop or operational stress tests, integrate it with dependent processes and update crisis playbooks.</t>
        </is>
      </c>
      <c r="R205" s="13" t="inlineStr">
        <is>
          <t>Automate monitoring where practical, define leading indicators, run periodic scenario tests and track residual risk after each major change.</t>
        </is>
      </c>
      <c r="S205" s="13" t="inlineStr">
        <is>
          <t>Sustain maturity for pre-qualified alternative suppliers for critical categories: keep evidence current, monitor drift, benchmark externally and refresh risk tests after organizational, system or market changes.</t>
        </is>
      </c>
      <c r="T205" s="13" t="n">
        <v>4</v>
      </c>
      <c r="U205" s="13" t="n">
        <v>3</v>
      </c>
      <c r="V205" s="13" t="n">
        <v>3</v>
      </c>
      <c r="W205" s="13" t="n">
        <v>2</v>
      </c>
      <c r="X205" s="13" t="n">
        <v>1</v>
      </c>
      <c r="Y205" s="13" t="n">
        <v>1</v>
      </c>
      <c r="Z205" s="13" t="inlineStr">
        <is>
          <t>ISO 22301; ISO 20400; ISO 28000; SCOR Digital Standard; S&amp;OP/IBP; APICS/ASCM</t>
        </is>
      </c>
      <c r="AA205" s="13" t="inlineStr">
        <is>
          <t>Policy/SOP; owner/RACI; system report; dashboard; contracts; test records; incident history; interview evidence related to pre-qualified alternative suppliers for critical categories.</t>
        </is>
      </c>
      <c r="AB205" s="13" t="inlineStr">
        <is>
          <t>Supplier/logistics disruption; Manufacturing disruption; Demand shock</t>
        </is>
      </c>
      <c r="AC205" s="13" t="inlineStr">
        <is>
          <t>Supply Chain / Procurement</t>
        </is>
      </c>
      <c r="AD205" s="13" t="inlineStr">
        <is>
          <t>Supply Chain!10</t>
        </is>
      </c>
      <c r="AE205">
        <f>IF($A205="","",IF(OR(ISNUMBER(SEARCH("cyber",$D205)),ISNUMBER(SEARCH("security",$D205)),ISNUMBER(SEARCH("safety",$D205)),ISNUMBER(SEARCH("liquidity",$D205)),ISNUMBER(SEARCH("cash",$D205)),ISNUMBER(SEARCH("continuity",$D205)),ISNUMBER(SEARCH("infrastructure",$D205)),ISNUMBER(SEARCH("outage",$D205))),"Fast",IF(OR(ISNUMBER(SEARCH("compliance",$D205)),ISNUMBER(SEARCH("regulat",$D205)),ISNUMBER(SEARCH("data",$D205)),ISNUMBER(SEARCH("talent",$D205)),ISNUMBER(SEARCH("knowledge",$D205)),ISNUMBER(SEARCH("portfolio",$D205)),ISNUMBER(SEARCH("quality",$D205))),"Slow","Medium")))</f>
        <v/>
      </c>
      <c r="AF205">
        <f>IF($A205="","",IFERROR(VLOOKUP($B205,'_CONFIG_Risk_Calibration'!$A$5:$H$21,2,FALSE),3))</f>
        <v/>
      </c>
      <c r="AG205">
        <f>IF($A205="","",IFERROR(VLOOKUP($B205,'_CONFIG_Risk_Calibration'!$A$5:$H$21,3,FALSE),0))</f>
        <v/>
      </c>
      <c r="AH205">
        <f>IF($A205="","",IFERROR(VLOOKUP($B205,'_CONFIG_Risk_Calibration'!$A$5:$H$21,4,FALSE),3))</f>
        <v/>
      </c>
      <c r="AI205">
        <f>IF($A205="","",IFERROR(VLOOKUP($B205,'_CONFIG_Risk_Calibration'!$A$5:$H$21,5,FALSE),3))</f>
        <v/>
      </c>
      <c r="AJ205">
        <f>IF($A205="","",IFERROR(VLOOKUP($B205,'_CONFIG_Risk_Calibration'!$A$5:$H$21,6,FALSE),"No"))</f>
        <v/>
      </c>
      <c r="AK205">
        <f>IF($A205="","",IFERROR(VLOOKUP($B205,'_CONFIG_Risk_Calibration'!$A$5:$H$21,7,FALSE),1))</f>
        <v/>
      </c>
      <c r="AL205">
        <f>IF($A205="","",IFERROR(VLOOKUP($B205,'_CONFIG_Risk_Calibration'!$A$5:$H$21,8,FALSE),""))</f>
        <v/>
      </c>
    </row>
    <row r="206" ht="72" customHeight="1" s="209">
      <c r="A206" s="13" t="inlineStr">
        <is>
          <t>SUPP-007</t>
        </is>
      </c>
      <c r="B206" s="13" t="inlineStr">
        <is>
          <t>Supply Chain</t>
        </is>
      </c>
      <c r="C206" s="13" t="inlineStr">
        <is>
          <t>Logistics</t>
        </is>
      </c>
      <c r="D206" s="13" t="inlineStr">
        <is>
          <t>Supply chain, logistics and supplier continuity</t>
        </is>
      </c>
      <c r="E206" s="13" t="inlineStr">
        <is>
          <t>How mature is the organization in managing critical logistics routes, carriers, ports, borders, warehouses and transit risks, including ownership, evidence, metrics, fallback procedures and crisis stress testing?</t>
        </is>
      </c>
      <c r="F206" s="13" t="inlineStr">
        <is>
          <t>Immature capability for critical logistics routes, carriers, ports, borders, warehouses and transit risks may lead to supplier failure, logistics disruption, inventory shortages and production or delivery delays during Supplier/logistics disruption; Manufacturing disruption; Demand shock.</t>
        </is>
      </c>
      <c r="G206" s="13" t="inlineStr">
        <is>
          <t>Low maturity, weak ownership, incomplete evidence, insufficient testing and poor integration with crisis-management routines for critical logistics routes, carriers, ports, borders, warehouses and transit risks.</t>
        </is>
      </c>
      <c r="H206" s="13" t="inlineStr">
        <is>
          <t>Severe risk: critical logistics routes, carriers, ports, borders, warehouses and transit risks is not reliably controlled. During Supplier/logistics disruption; Manufacturing disruption; Demand shock, the organization may face supplier failure, logistics disruption, inventory shortages and production or delivery delays with limited visibility or accountability.</t>
        </is>
      </c>
      <c r="I206" s="13" t="inlineStr">
        <is>
          <t>High risk: critical logistics routes, carriers, ports, borders, warehouses and transit risks depends on informal practices or individual knowledge. Disruption may expose supplier failure, logistics disruption, inventory shortages and production or delivery delays and slow recovery.</t>
        </is>
      </c>
      <c r="J206" s="13" t="inlineStr">
        <is>
          <t>Elevated risk: critical logistics routes, carriers, ports, borders, warehouses and transit risks is partially controlled, but coverage, evidence or testing is inconsistent. Crisis response may be fragmented.</t>
        </is>
      </c>
      <c r="K206" s="13" t="inlineStr">
        <is>
          <t>Moderate risk: critical logistics routes, carriers, ports, borders, warehouses and transit risks is documented and owned, but measurement, stress testing and integration with dependent processes need strengthening.</t>
        </is>
      </c>
      <c r="L206" s="13" t="inlineStr">
        <is>
          <t>Residual risk: critical logistics routes, carriers, ports, borders, warehouses and transit risks is measured and reviewed, but monitoring, automation or scenario testing should be improved to prevent maturity drift.</t>
        </is>
      </c>
      <c r="M206" s="13" t="inlineStr">
        <is>
          <t>Low residual risk: critical logistics routes, carriers, ports, borders, warehouses and transit risks is mature and crisis-tested. Maintain monitoring, evidence, ownership and periodic stress testing.</t>
        </is>
      </c>
      <c r="N206" s="13" t="inlineStr">
        <is>
          <t>Create an immediate risk owner, minimum control baseline and fallback procedure for critical logistics routes, carriers, ports, borders, warehouses and transit risks. Add it to the crisis risk register and collect first evidence.</t>
        </is>
      </c>
      <c r="O206" s="13" t="inlineStr">
        <is>
          <t>Document critical logistics routes, carriers, ports, borders, warehouses and transit risks, assign RACI, define minimum controls and KPIs, and validate coverage across key sites, teams or systems.</t>
        </is>
      </c>
      <c r="P206" s="13" t="inlineStr">
        <is>
          <t>Standardize critical logistics routes, carriers, ports, borders, warehouses and transit risks, close coverage gaps, train accountable roles and connect controls to the relevant crisis scenarios and continuity plans.</t>
        </is>
      </c>
      <c r="Q206" s="13" t="inlineStr">
        <is>
          <t>Measure and test critical logistics routes, carriers, ports, borders, warehouses and transit risks, run tabletop or operational stress tests, integrate it with dependent processes and update crisis playbooks.</t>
        </is>
      </c>
      <c r="R206" s="13" t="inlineStr">
        <is>
          <t>Automate monitoring where practical, define leading indicators, run periodic scenario tests and track residual risk after each major change.</t>
        </is>
      </c>
      <c r="S206" s="13" t="inlineStr">
        <is>
          <t>Sustain maturity for critical logistics routes, carriers, ports, borders, warehouses and transit risks: keep evidence current, monitor drift, benchmark externally and refresh risk tests after organizational, system or market changes.</t>
        </is>
      </c>
      <c r="T206" s="13" t="n">
        <v>4</v>
      </c>
      <c r="U206" s="13" t="n">
        <v>3</v>
      </c>
      <c r="V206" s="13" t="n">
        <v>3</v>
      </c>
      <c r="W206" s="13" t="n">
        <v>2</v>
      </c>
      <c r="X206" s="13" t="n">
        <v>1</v>
      </c>
      <c r="Y206" s="13" t="n">
        <v>1</v>
      </c>
      <c r="Z206" s="13" t="inlineStr">
        <is>
          <t>ISO 22301; ISO 20400; ISO 28000; SCOR Digital Standard; S&amp;OP/IBP; APICS/ASCM</t>
        </is>
      </c>
      <c r="AA206" s="13" t="inlineStr">
        <is>
          <t>Policy/SOP; owner/RACI; system report; dashboard; contracts; test records; incident history; interview evidence related to critical logistics routes, carriers, ports, borders, warehouses and transit risks.</t>
        </is>
      </c>
      <c r="AB206" s="13" t="inlineStr">
        <is>
          <t>Supplier/logistics disruption; Manufacturing disruption; Demand shock</t>
        </is>
      </c>
      <c r="AC206" s="13" t="inlineStr">
        <is>
          <t>Supply Chain / Procurement</t>
        </is>
      </c>
      <c r="AD206" s="13" t="inlineStr">
        <is>
          <t>Supply Chain!11</t>
        </is>
      </c>
      <c r="AE206">
        <f>IF($A206="","",IF(OR(ISNUMBER(SEARCH("cyber",$D206)),ISNUMBER(SEARCH("security",$D206)),ISNUMBER(SEARCH("safety",$D206)),ISNUMBER(SEARCH("liquidity",$D206)),ISNUMBER(SEARCH("cash",$D206)),ISNUMBER(SEARCH("continuity",$D206)),ISNUMBER(SEARCH("infrastructure",$D206)),ISNUMBER(SEARCH("outage",$D206))),"Fast",IF(OR(ISNUMBER(SEARCH("compliance",$D206)),ISNUMBER(SEARCH("regulat",$D206)),ISNUMBER(SEARCH("data",$D206)),ISNUMBER(SEARCH("talent",$D206)),ISNUMBER(SEARCH("knowledge",$D206)),ISNUMBER(SEARCH("portfolio",$D206)),ISNUMBER(SEARCH("quality",$D206))),"Slow","Medium")))</f>
        <v/>
      </c>
      <c r="AF206">
        <f>IF($A206="","",IFERROR(VLOOKUP($B206,'_CONFIG_Risk_Calibration'!$A$5:$H$21,2,FALSE),3))</f>
        <v/>
      </c>
      <c r="AG206">
        <f>IF($A206="","",IFERROR(VLOOKUP($B206,'_CONFIG_Risk_Calibration'!$A$5:$H$21,3,FALSE),0))</f>
        <v/>
      </c>
      <c r="AH206">
        <f>IF($A206="","",IFERROR(VLOOKUP($B206,'_CONFIG_Risk_Calibration'!$A$5:$H$21,4,FALSE),3))</f>
        <v/>
      </c>
      <c r="AI206">
        <f>IF($A206="","",IFERROR(VLOOKUP($B206,'_CONFIG_Risk_Calibration'!$A$5:$H$21,5,FALSE),3))</f>
        <v/>
      </c>
      <c r="AJ206">
        <f>IF($A206="","",IFERROR(VLOOKUP($B206,'_CONFIG_Risk_Calibration'!$A$5:$H$21,6,FALSE),"No"))</f>
        <v/>
      </c>
      <c r="AK206">
        <f>IF($A206="","",IFERROR(VLOOKUP($B206,'_CONFIG_Risk_Calibration'!$A$5:$H$21,7,FALSE),1))</f>
        <v/>
      </c>
      <c r="AL206">
        <f>IF($A206="","",IFERROR(VLOOKUP($B206,'_CONFIG_Risk_Calibration'!$A$5:$H$21,8,FALSE),""))</f>
        <v/>
      </c>
    </row>
    <row r="207" ht="72" customHeight="1" s="209">
      <c r="A207" s="13" t="inlineStr">
        <is>
          <t>SUPP-008</t>
        </is>
      </c>
      <c r="B207" s="13" t="inlineStr">
        <is>
          <t>Supply Chain</t>
        </is>
      </c>
      <c r="C207" s="13" t="inlineStr">
        <is>
          <t>Logistics</t>
        </is>
      </c>
      <c r="D207" s="13" t="inlineStr">
        <is>
          <t>Supply chain, logistics and supplier continuity</t>
        </is>
      </c>
      <c r="E207" s="13" t="inlineStr">
        <is>
          <t>How mature is the organization in managing alternative carriers, routes and warehouses for disruption scenarios, including ownership, evidence, metrics, fallback procedures and crisis stress testing?</t>
        </is>
      </c>
      <c r="F207" s="13" t="inlineStr">
        <is>
          <t>Immature capability for alternative carriers, routes and warehouses for disruption scenarios may lead to supplier failure, logistics disruption, inventory shortages and production or delivery delays during Supplier/logistics disruption; Manufacturing disruption; Demand shock.</t>
        </is>
      </c>
      <c r="G207" s="13" t="inlineStr">
        <is>
          <t>Low maturity, weak ownership, incomplete evidence, insufficient testing and poor integration with crisis-management routines for alternative carriers, routes and warehouses for disruption scenarios.</t>
        </is>
      </c>
      <c r="H207" s="13" t="inlineStr">
        <is>
          <t>Severe risk: alternative carriers, routes and warehouses for disruption scenarios is not reliably controlled. During Supplier/logistics disruption; Manufacturing disruption; Demand shock, the organization may face supplier failure, logistics disruption, inventory shortages and production or delivery delays with limited visibility or accountability.</t>
        </is>
      </c>
      <c r="I207" s="13" t="inlineStr">
        <is>
          <t>High risk: alternative carriers, routes and warehouses for disruption scenarios depends on informal practices or individual knowledge. Disruption may expose supplier failure, logistics disruption, inventory shortages and production or delivery delays and slow recovery.</t>
        </is>
      </c>
      <c r="J207" s="13" t="inlineStr">
        <is>
          <t>Elevated risk: alternative carriers, routes and warehouses for disruption scenarios is partially controlled, but coverage, evidence or testing is inconsistent. Crisis response may be fragmented.</t>
        </is>
      </c>
      <c r="K207" s="13" t="inlineStr">
        <is>
          <t>Moderate risk: alternative carriers, routes and warehouses for disruption scenarios is documented and owned, but measurement, stress testing and integration with dependent processes need strengthening.</t>
        </is>
      </c>
      <c r="L207" s="13" t="inlineStr">
        <is>
          <t>Residual risk: alternative carriers, routes and warehouses for disruption scenarios is measured and reviewed, but monitoring, automation or scenario testing should be improved to prevent maturity drift.</t>
        </is>
      </c>
      <c r="M207" s="13" t="inlineStr">
        <is>
          <t>Low residual risk: alternative carriers, routes and warehouses for disruption scenarios is mature and crisis-tested. Maintain monitoring, evidence, ownership and periodic stress testing.</t>
        </is>
      </c>
      <c r="N207" s="13" t="inlineStr">
        <is>
          <t>Create an immediate risk owner, minimum control baseline and fallback procedure for alternative carriers, routes and warehouses for disruption scenarios. Add it to the crisis risk register and collect first evidence.</t>
        </is>
      </c>
      <c r="O207" s="13" t="inlineStr">
        <is>
          <t>Document alternative carriers, routes and warehouses for disruption scenarios, assign RACI, define minimum controls and KPIs, and validate coverage across key sites, teams or systems.</t>
        </is>
      </c>
      <c r="P207" s="13" t="inlineStr">
        <is>
          <t>Standardize alternative carriers, routes and warehouses for disruption scenarios, close coverage gaps, train accountable roles and connect controls to the relevant crisis scenarios and continuity plans.</t>
        </is>
      </c>
      <c r="Q207" s="13" t="inlineStr">
        <is>
          <t>Measure and test alternative carriers, routes and warehouses for disruption scenarios, run tabletop or operational stress tests, integrate it with dependent processes and update crisis playbooks.</t>
        </is>
      </c>
      <c r="R207" s="13" t="inlineStr">
        <is>
          <t>Automate monitoring where practical, define leading indicators, run periodic scenario tests and track residual risk after each major change.</t>
        </is>
      </c>
      <c r="S207" s="13" t="inlineStr">
        <is>
          <t>Sustain maturity for alternative carriers, routes and warehouses for disruption scenarios: keep evidence current, monitor drift, benchmark externally and refresh risk tests after organizational, system or market changes.</t>
        </is>
      </c>
      <c r="T207" s="13" t="n">
        <v>4</v>
      </c>
      <c r="U207" s="13" t="n">
        <v>3</v>
      </c>
      <c r="V207" s="13" t="n">
        <v>3</v>
      </c>
      <c r="W207" s="13" t="n">
        <v>2</v>
      </c>
      <c r="X207" s="13" t="n">
        <v>1</v>
      </c>
      <c r="Y207" s="13" t="n">
        <v>1</v>
      </c>
      <c r="Z207" s="13" t="inlineStr">
        <is>
          <t>ISO 22301; ISO 20400; ISO 28000; SCOR Digital Standard; S&amp;OP/IBP; APICS/ASCM</t>
        </is>
      </c>
      <c r="AA207" s="13" t="inlineStr">
        <is>
          <t>Policy/SOP; owner/RACI; system report; dashboard; contracts; test records; incident history; interview evidence related to alternative carriers, routes and warehouses for disruption scenarios.</t>
        </is>
      </c>
      <c r="AB207" s="13" t="inlineStr">
        <is>
          <t>Supplier/logistics disruption; Manufacturing disruption; Demand shock</t>
        </is>
      </c>
      <c r="AC207" s="13" t="inlineStr">
        <is>
          <t>Supply Chain / Procurement</t>
        </is>
      </c>
      <c r="AD207" s="13" t="inlineStr">
        <is>
          <t>Supply Chain!12</t>
        </is>
      </c>
      <c r="AE207">
        <f>IF($A207="","",IF(OR(ISNUMBER(SEARCH("cyber",$D207)),ISNUMBER(SEARCH("security",$D207)),ISNUMBER(SEARCH("safety",$D207)),ISNUMBER(SEARCH("liquidity",$D207)),ISNUMBER(SEARCH("cash",$D207)),ISNUMBER(SEARCH("continuity",$D207)),ISNUMBER(SEARCH("infrastructure",$D207)),ISNUMBER(SEARCH("outage",$D207))),"Fast",IF(OR(ISNUMBER(SEARCH("compliance",$D207)),ISNUMBER(SEARCH("regulat",$D207)),ISNUMBER(SEARCH("data",$D207)),ISNUMBER(SEARCH("talent",$D207)),ISNUMBER(SEARCH("knowledge",$D207)),ISNUMBER(SEARCH("portfolio",$D207)),ISNUMBER(SEARCH("quality",$D207))),"Slow","Medium")))</f>
        <v/>
      </c>
      <c r="AF207">
        <f>IF($A207="","",IFERROR(VLOOKUP($B207,'_CONFIG_Risk_Calibration'!$A$5:$H$21,2,FALSE),3))</f>
        <v/>
      </c>
      <c r="AG207">
        <f>IF($A207="","",IFERROR(VLOOKUP($B207,'_CONFIG_Risk_Calibration'!$A$5:$H$21,3,FALSE),0))</f>
        <v/>
      </c>
      <c r="AH207">
        <f>IF($A207="","",IFERROR(VLOOKUP($B207,'_CONFIG_Risk_Calibration'!$A$5:$H$21,4,FALSE),3))</f>
        <v/>
      </c>
      <c r="AI207">
        <f>IF($A207="","",IFERROR(VLOOKUP($B207,'_CONFIG_Risk_Calibration'!$A$5:$H$21,5,FALSE),3))</f>
        <v/>
      </c>
      <c r="AJ207">
        <f>IF($A207="","",IFERROR(VLOOKUP($B207,'_CONFIG_Risk_Calibration'!$A$5:$H$21,6,FALSE),"No"))</f>
        <v/>
      </c>
      <c r="AK207">
        <f>IF($A207="","",IFERROR(VLOOKUP($B207,'_CONFIG_Risk_Calibration'!$A$5:$H$21,7,FALSE),1))</f>
        <v/>
      </c>
      <c r="AL207">
        <f>IF($A207="","",IFERROR(VLOOKUP($B207,'_CONFIG_Risk_Calibration'!$A$5:$H$21,8,FALSE),""))</f>
        <v/>
      </c>
    </row>
    <row r="208" ht="72" customHeight="1" s="209">
      <c r="A208" s="13" t="inlineStr">
        <is>
          <t>SUPP-009</t>
        </is>
      </c>
      <c r="B208" s="13" t="inlineStr">
        <is>
          <t>Supply Chain</t>
        </is>
      </c>
      <c r="C208" s="13" t="inlineStr">
        <is>
          <t>Logistics</t>
        </is>
      </c>
      <c r="D208" s="13" t="inlineStr">
        <is>
          <t>Supply chain, logistics and supplier continuity</t>
        </is>
      </c>
      <c r="E208" s="13" t="inlineStr">
        <is>
          <t>How mature is the organization in managing transport capacity for peak demand or disruption periods, including ownership, evidence, metrics, fallback procedures and crisis stress testing?</t>
        </is>
      </c>
      <c r="F208" s="13" t="inlineStr">
        <is>
          <t>Immature capability for transport capacity for peak demand or disruption periods may lead to supplier failure, logistics disruption, inventory shortages and production or delivery delays during Supplier/logistics disruption; Manufacturing disruption; Demand shock.</t>
        </is>
      </c>
      <c r="G208" s="13" t="inlineStr">
        <is>
          <t>Low maturity, weak ownership, incomplete evidence, insufficient testing and poor integration with crisis-management routines for transport capacity for peak demand or disruption periods.</t>
        </is>
      </c>
      <c r="H208" s="13" t="inlineStr">
        <is>
          <t>Severe risk: transport capacity for peak demand or disruption periods is not reliably controlled. During Supplier/logistics disruption; Manufacturing disruption; Demand shock, the organization may face supplier failure, logistics disruption, inventory shortages and production or delivery delays with limited visibility or accountability.</t>
        </is>
      </c>
      <c r="I208" s="13" t="inlineStr">
        <is>
          <t>High risk: transport capacity for peak demand or disruption periods depends on informal practices or individual knowledge. Disruption may expose supplier failure, logistics disruption, inventory shortages and production or delivery delays and slow recovery.</t>
        </is>
      </c>
      <c r="J208" s="13" t="inlineStr">
        <is>
          <t>Elevated risk: transport capacity for peak demand or disruption periods is partially controlled, but coverage, evidence or testing is inconsistent. Crisis response may be fragmented.</t>
        </is>
      </c>
      <c r="K208" s="13" t="inlineStr">
        <is>
          <t>Moderate risk: transport capacity for peak demand or disruption periods is documented and owned, but measurement, stress testing and integration with dependent processes need strengthening.</t>
        </is>
      </c>
      <c r="L208" s="13" t="inlineStr">
        <is>
          <t>Residual risk: transport capacity for peak demand or disruption periods is measured and reviewed, but monitoring, automation or scenario testing should be improved to prevent maturity drift.</t>
        </is>
      </c>
      <c r="M208" s="13" t="inlineStr">
        <is>
          <t>Low residual risk: transport capacity for peak demand or disruption periods is mature and crisis-tested. Maintain monitoring, evidence, ownership and periodic stress testing.</t>
        </is>
      </c>
      <c r="N208" s="13" t="inlineStr">
        <is>
          <t>Create an immediate risk owner, minimum control baseline and fallback procedure for transport capacity for peak demand or disruption periods. Add it to the crisis risk register and collect first evidence.</t>
        </is>
      </c>
      <c r="O208" s="13" t="inlineStr">
        <is>
          <t>Document transport capacity for peak demand or disruption periods, assign RACI, define minimum controls and KPIs, and validate coverage across key sites, teams or systems.</t>
        </is>
      </c>
      <c r="P208" s="13" t="inlineStr">
        <is>
          <t>Standardize transport capacity for peak demand or disruption periods, close coverage gaps, train accountable roles and connect controls to the relevant crisis scenarios and continuity plans.</t>
        </is>
      </c>
      <c r="Q208" s="13" t="inlineStr">
        <is>
          <t>Measure and test transport capacity for peak demand or disruption periods, run tabletop or operational stress tests, integrate it with dependent processes and update crisis playbooks.</t>
        </is>
      </c>
      <c r="R208" s="13" t="inlineStr">
        <is>
          <t>Automate monitoring where practical, define leading indicators, run periodic scenario tests and track residual risk after each major change.</t>
        </is>
      </c>
      <c r="S208" s="13" t="inlineStr">
        <is>
          <t>Sustain maturity for transport capacity for peak demand or disruption periods: keep evidence current, monitor drift, benchmark externally and refresh risk tests after organizational, system or market changes.</t>
        </is>
      </c>
      <c r="T208" s="13" t="n">
        <v>4</v>
      </c>
      <c r="U208" s="13" t="n">
        <v>3</v>
      </c>
      <c r="V208" s="13" t="n">
        <v>3</v>
      </c>
      <c r="W208" s="13" t="n">
        <v>2</v>
      </c>
      <c r="X208" s="13" t="n">
        <v>1</v>
      </c>
      <c r="Y208" s="13" t="n">
        <v>1</v>
      </c>
      <c r="Z208" s="13" t="inlineStr">
        <is>
          <t>ISO 22301; ISO 20400; ISO 28000; SCOR Digital Standard; S&amp;OP/IBP; APICS/ASCM</t>
        </is>
      </c>
      <c r="AA208" s="13" t="inlineStr">
        <is>
          <t>Policy/SOP; owner/RACI; system report; dashboard; contracts; test records; incident history; interview evidence related to transport capacity for peak demand or disruption periods.</t>
        </is>
      </c>
      <c r="AB208" s="13" t="inlineStr">
        <is>
          <t>Supplier/logistics disruption; Manufacturing disruption; Demand shock</t>
        </is>
      </c>
      <c r="AC208" s="13" t="inlineStr">
        <is>
          <t>Supply Chain / Procurement</t>
        </is>
      </c>
      <c r="AD208" s="13" t="inlineStr">
        <is>
          <t>Supply Chain!13</t>
        </is>
      </c>
      <c r="AE208">
        <f>IF($A208="","",IF(OR(ISNUMBER(SEARCH("cyber",$D208)),ISNUMBER(SEARCH("security",$D208)),ISNUMBER(SEARCH("safety",$D208)),ISNUMBER(SEARCH("liquidity",$D208)),ISNUMBER(SEARCH("cash",$D208)),ISNUMBER(SEARCH("continuity",$D208)),ISNUMBER(SEARCH("infrastructure",$D208)),ISNUMBER(SEARCH("outage",$D208))),"Fast",IF(OR(ISNUMBER(SEARCH("compliance",$D208)),ISNUMBER(SEARCH("regulat",$D208)),ISNUMBER(SEARCH("data",$D208)),ISNUMBER(SEARCH("talent",$D208)),ISNUMBER(SEARCH("knowledge",$D208)),ISNUMBER(SEARCH("portfolio",$D208)),ISNUMBER(SEARCH("quality",$D208))),"Slow","Medium")))</f>
        <v/>
      </c>
      <c r="AF208">
        <f>IF($A208="","",IFERROR(VLOOKUP($B208,'_CONFIG_Risk_Calibration'!$A$5:$H$21,2,FALSE),3))</f>
        <v/>
      </c>
      <c r="AG208">
        <f>IF($A208="","",IFERROR(VLOOKUP($B208,'_CONFIG_Risk_Calibration'!$A$5:$H$21,3,FALSE),0))</f>
        <v/>
      </c>
      <c r="AH208">
        <f>IF($A208="","",IFERROR(VLOOKUP($B208,'_CONFIG_Risk_Calibration'!$A$5:$H$21,4,FALSE),3))</f>
        <v/>
      </c>
      <c r="AI208">
        <f>IF($A208="","",IFERROR(VLOOKUP($B208,'_CONFIG_Risk_Calibration'!$A$5:$H$21,5,FALSE),3))</f>
        <v/>
      </c>
      <c r="AJ208">
        <f>IF($A208="","",IFERROR(VLOOKUP($B208,'_CONFIG_Risk_Calibration'!$A$5:$H$21,6,FALSE),"No"))</f>
        <v/>
      </c>
      <c r="AK208">
        <f>IF($A208="","",IFERROR(VLOOKUP($B208,'_CONFIG_Risk_Calibration'!$A$5:$H$21,7,FALSE),1))</f>
        <v/>
      </c>
      <c r="AL208">
        <f>IF($A208="","",IFERROR(VLOOKUP($B208,'_CONFIG_Risk_Calibration'!$A$5:$H$21,8,FALSE),""))</f>
        <v/>
      </c>
    </row>
    <row r="209" ht="72" customHeight="1" s="209">
      <c r="A209" s="13" t="inlineStr">
        <is>
          <t>SUPP-010</t>
        </is>
      </c>
      <c r="B209" s="13" t="inlineStr">
        <is>
          <t>Supply Chain</t>
        </is>
      </c>
      <c r="C209" s="13" t="inlineStr">
        <is>
          <t>Logistics</t>
        </is>
      </c>
      <c r="D209" s="13" t="inlineStr">
        <is>
          <t>Supply chain, logistics and supplier continuity</t>
        </is>
      </c>
      <c r="E209" s="13" t="inlineStr">
        <is>
          <t>How mature is the organization in managing shipment tracking and reliable ETA communication for critical shipments, including ownership, evidence, metrics, fallback procedures and crisis stress testing?</t>
        </is>
      </c>
      <c r="F209" s="13" t="inlineStr">
        <is>
          <t>Immature capability for shipment tracking and reliable ETA communication for critical shipments may lead to supplier failure, logistics disruption, inventory shortages and production or delivery delays during Supplier/logistics disruption; Manufacturing disruption; Demand shock.</t>
        </is>
      </c>
      <c r="G209" s="13" t="inlineStr">
        <is>
          <t>Low maturity, weak ownership, incomplete evidence, insufficient testing and poor integration with crisis-management routines for shipment tracking and reliable ETA communication for critical shipments.</t>
        </is>
      </c>
      <c r="H209" s="13" t="inlineStr">
        <is>
          <t>Severe risk: shipment tracking and reliable ETA communication for critical shipments is not reliably controlled. During Supplier/logistics disruption; Manufacturing disruption; Demand shock, the organization may face supplier failure, logistics disruption, inventory shortages and production or delivery delays with limited visibility or accountability.</t>
        </is>
      </c>
      <c r="I209" s="13" t="inlineStr">
        <is>
          <t>High risk: shipment tracking and reliable ETA communication for critical shipments depends on informal practices or individual knowledge. Disruption may expose supplier failure, logistics disruption, inventory shortages and production or delivery delays and slow recovery.</t>
        </is>
      </c>
      <c r="J209" s="13" t="inlineStr">
        <is>
          <t>Elevated risk: shipment tracking and reliable ETA communication for critical shipments is partially controlled, but coverage, evidence or testing is inconsistent. Crisis response may be fragmented.</t>
        </is>
      </c>
      <c r="K209" s="13" t="inlineStr">
        <is>
          <t>Moderate risk: shipment tracking and reliable ETA communication for critical shipments is documented and owned, but measurement, stress testing and integration with dependent processes need strengthening.</t>
        </is>
      </c>
      <c r="L209" s="13" t="inlineStr">
        <is>
          <t>Residual risk: shipment tracking and reliable ETA communication for critical shipments is measured and reviewed, but monitoring, automation or scenario testing should be improved to prevent maturity drift.</t>
        </is>
      </c>
      <c r="M209" s="13" t="inlineStr">
        <is>
          <t>Low residual risk: shipment tracking and reliable ETA communication for critical shipments is mature and crisis-tested. Maintain monitoring, evidence, ownership and periodic stress testing.</t>
        </is>
      </c>
      <c r="N209" s="13" t="inlineStr">
        <is>
          <t>Create an immediate risk owner, minimum control baseline and fallback procedure for shipment tracking and reliable ETA communication for critical shipments. Add it to the crisis risk register and collect first evidence.</t>
        </is>
      </c>
      <c r="O209" s="13" t="inlineStr">
        <is>
          <t>Document shipment tracking and reliable ETA communication for critical shipments, assign RACI, define minimum controls and KPIs, and validate coverage across key sites, teams or systems.</t>
        </is>
      </c>
      <c r="P209" s="13" t="inlineStr">
        <is>
          <t>Standardize shipment tracking and reliable ETA communication for critical shipments, close coverage gaps, train accountable roles and connect controls to the relevant crisis scenarios and continuity plans.</t>
        </is>
      </c>
      <c r="Q209" s="13" t="inlineStr">
        <is>
          <t>Measure and test shipment tracking and reliable ETA communication for critical shipments, run tabletop or operational stress tests, integrate it with dependent processes and update crisis playbooks.</t>
        </is>
      </c>
      <c r="R209" s="13" t="inlineStr">
        <is>
          <t>Automate monitoring where practical, define leading indicators, run periodic scenario tests and track residual risk after each major change.</t>
        </is>
      </c>
      <c r="S209" s="13" t="inlineStr">
        <is>
          <t>Sustain maturity for shipment tracking and reliable ETA communication for critical shipments: keep evidence current, monitor drift, benchmark externally and refresh risk tests after organizational, system or market changes.</t>
        </is>
      </c>
      <c r="T209" s="13" t="n">
        <v>4</v>
      </c>
      <c r="U209" s="13" t="n">
        <v>3</v>
      </c>
      <c r="V209" s="13" t="n">
        <v>3</v>
      </c>
      <c r="W209" s="13" t="n">
        <v>2</v>
      </c>
      <c r="X209" s="13" t="n">
        <v>1</v>
      </c>
      <c r="Y209" s="13" t="n">
        <v>1</v>
      </c>
      <c r="Z209" s="13" t="inlineStr">
        <is>
          <t>ISO 22301; ISO 20400; ISO 28000; SCOR Digital Standard; S&amp;OP/IBP; APICS/ASCM</t>
        </is>
      </c>
      <c r="AA209" s="13" t="inlineStr">
        <is>
          <t>Policy/SOP; owner/RACI; system report; dashboard; contracts; test records; incident history; interview evidence related to shipment tracking and reliable ETA communication for critical shipments.</t>
        </is>
      </c>
      <c r="AB209" s="13" t="inlineStr">
        <is>
          <t>Supplier/logistics disruption; Manufacturing disruption; Demand shock</t>
        </is>
      </c>
      <c r="AC209" s="13" t="inlineStr">
        <is>
          <t>Supply Chain / Procurement</t>
        </is>
      </c>
      <c r="AD209" s="13" t="inlineStr">
        <is>
          <t>Supply Chain!14</t>
        </is>
      </c>
      <c r="AE209">
        <f>IF($A209="","",IF(OR(ISNUMBER(SEARCH("cyber",$D209)),ISNUMBER(SEARCH("security",$D209)),ISNUMBER(SEARCH("safety",$D209)),ISNUMBER(SEARCH("liquidity",$D209)),ISNUMBER(SEARCH("cash",$D209)),ISNUMBER(SEARCH("continuity",$D209)),ISNUMBER(SEARCH("infrastructure",$D209)),ISNUMBER(SEARCH("outage",$D209))),"Fast",IF(OR(ISNUMBER(SEARCH("compliance",$D209)),ISNUMBER(SEARCH("regulat",$D209)),ISNUMBER(SEARCH("data",$D209)),ISNUMBER(SEARCH("talent",$D209)),ISNUMBER(SEARCH("knowledge",$D209)),ISNUMBER(SEARCH("portfolio",$D209)),ISNUMBER(SEARCH("quality",$D209))),"Slow","Medium")))</f>
        <v/>
      </c>
      <c r="AF209">
        <f>IF($A209="","",IFERROR(VLOOKUP($B209,'_CONFIG_Risk_Calibration'!$A$5:$H$21,2,FALSE),3))</f>
        <v/>
      </c>
      <c r="AG209">
        <f>IF($A209="","",IFERROR(VLOOKUP($B209,'_CONFIG_Risk_Calibration'!$A$5:$H$21,3,FALSE),0))</f>
        <v/>
      </c>
      <c r="AH209">
        <f>IF($A209="","",IFERROR(VLOOKUP($B209,'_CONFIG_Risk_Calibration'!$A$5:$H$21,4,FALSE),3))</f>
        <v/>
      </c>
      <c r="AI209">
        <f>IF($A209="","",IFERROR(VLOOKUP($B209,'_CONFIG_Risk_Calibration'!$A$5:$H$21,5,FALSE),3))</f>
        <v/>
      </c>
      <c r="AJ209">
        <f>IF($A209="","",IFERROR(VLOOKUP($B209,'_CONFIG_Risk_Calibration'!$A$5:$H$21,6,FALSE),"No"))</f>
        <v/>
      </c>
      <c r="AK209">
        <f>IF($A209="","",IFERROR(VLOOKUP($B209,'_CONFIG_Risk_Calibration'!$A$5:$H$21,7,FALSE),1))</f>
        <v/>
      </c>
      <c r="AL209">
        <f>IF($A209="","",IFERROR(VLOOKUP($B209,'_CONFIG_Risk_Calibration'!$A$5:$H$21,8,FALSE),""))</f>
        <v/>
      </c>
    </row>
    <row r="210" ht="72" customHeight="1" s="209">
      <c r="A210" s="13" t="inlineStr">
        <is>
          <t>SUPP-011</t>
        </is>
      </c>
      <c r="B210" s="13" t="inlineStr">
        <is>
          <t>Supply Chain</t>
        </is>
      </c>
      <c r="C210" s="13" t="inlineStr">
        <is>
          <t>Logistics</t>
        </is>
      </c>
      <c r="D210" s="13" t="inlineStr">
        <is>
          <t>Supply chain, logistics and supplier continuity</t>
        </is>
      </c>
      <c r="E210" s="13" t="inlineStr">
        <is>
          <t>How mature is the organization in managing customs, import/export, sanctions and trade documentation controls, including ownership, evidence, metrics, fallback procedures and crisis stress testing?</t>
        </is>
      </c>
      <c r="F210" s="13" t="inlineStr">
        <is>
          <t>Immature capability for customs, import/export, sanctions and trade documentation controls may lead to supplier failure, logistics disruption, inventory shortages and production or delivery delays during Supplier/logistics disruption; Manufacturing disruption; Demand shock.</t>
        </is>
      </c>
      <c r="G210" s="13" t="inlineStr">
        <is>
          <t>Low maturity, weak ownership, incomplete evidence, insufficient testing and poor integration with crisis-management routines for customs, import/export, sanctions and trade documentation controls.</t>
        </is>
      </c>
      <c r="H210" s="13" t="inlineStr">
        <is>
          <t>Severe risk: customs, import/export, sanctions and trade documentation controls is not reliably controlled. During Supplier/logistics disruption; Manufacturing disruption; Demand shock, the organization may face supplier failure, logistics disruption, inventory shortages and production or delivery delays with limited visibility or accountability.</t>
        </is>
      </c>
      <c r="I210" s="13" t="inlineStr">
        <is>
          <t>High risk: customs, import/export, sanctions and trade documentation controls depends on informal practices or individual knowledge. Disruption may expose supplier failure, logistics disruption, inventory shortages and production or delivery delays and slow recovery.</t>
        </is>
      </c>
      <c r="J210" s="13" t="inlineStr">
        <is>
          <t>Elevated risk: customs, import/export, sanctions and trade documentation controls is partially controlled, but coverage, evidence or testing is inconsistent. Crisis response may be fragmented.</t>
        </is>
      </c>
      <c r="K210" s="13" t="inlineStr">
        <is>
          <t>Moderate risk: customs, import/export, sanctions and trade documentation controls is documented and owned, but measurement, stress testing and integration with dependent processes need strengthening.</t>
        </is>
      </c>
      <c r="L210" s="13" t="inlineStr">
        <is>
          <t>Residual risk: customs, import/export, sanctions and trade documentation controls is measured and reviewed, but monitoring, automation or scenario testing should be improved to prevent maturity drift.</t>
        </is>
      </c>
      <c r="M210" s="13" t="inlineStr">
        <is>
          <t>Low residual risk: customs, import/export, sanctions and trade documentation controls is mature and crisis-tested. Maintain monitoring, evidence, ownership and periodic stress testing.</t>
        </is>
      </c>
      <c r="N210" s="13" t="inlineStr">
        <is>
          <t>Create an immediate risk owner, minimum control baseline and fallback procedure for customs, import/export, sanctions and trade documentation controls. Add it to the crisis risk register and collect first evidence.</t>
        </is>
      </c>
      <c r="O210" s="13" t="inlineStr">
        <is>
          <t>Document customs, import/export, sanctions and trade documentation controls, assign RACI, define minimum controls and KPIs, and validate coverage across key sites, teams or systems.</t>
        </is>
      </c>
      <c r="P210" s="13" t="inlineStr">
        <is>
          <t>Standardize customs, import/export, sanctions and trade documentation controls, close coverage gaps, train accountable roles and connect controls to the relevant crisis scenarios and continuity plans.</t>
        </is>
      </c>
      <c r="Q210" s="13" t="inlineStr">
        <is>
          <t>Measure and test customs, import/export, sanctions and trade documentation controls, run tabletop or operational stress tests, integrate it with dependent processes and update crisis playbooks.</t>
        </is>
      </c>
      <c r="R210" s="13" t="inlineStr">
        <is>
          <t>Automate monitoring where practical, define leading indicators, run periodic scenario tests and track residual risk after each major change.</t>
        </is>
      </c>
      <c r="S210" s="13" t="inlineStr">
        <is>
          <t>Sustain maturity for customs, import/export, sanctions and trade documentation controls: keep evidence current, monitor drift, benchmark externally and refresh risk tests after organizational, system or market changes.</t>
        </is>
      </c>
      <c r="T210" s="13" t="n">
        <v>4</v>
      </c>
      <c r="U210" s="13" t="n">
        <v>3</v>
      </c>
      <c r="V210" s="13" t="n">
        <v>3</v>
      </c>
      <c r="W210" s="13" t="n">
        <v>2</v>
      </c>
      <c r="X210" s="13" t="n">
        <v>1</v>
      </c>
      <c r="Y210" s="13" t="n">
        <v>1</v>
      </c>
      <c r="Z210" s="13" t="inlineStr">
        <is>
          <t>ISO 22301; ISO 20400; ISO 28000; SCOR Digital Standard; S&amp;OP/IBP; APICS/ASCM</t>
        </is>
      </c>
      <c r="AA210" s="13" t="inlineStr">
        <is>
          <t>Policy/SOP; owner/RACI; system report; dashboard; contracts; test records; incident history; interview evidence related to customs, import/export, sanctions and trade documentation controls.</t>
        </is>
      </c>
      <c r="AB210" s="13" t="inlineStr">
        <is>
          <t>Supplier/logistics disruption; Manufacturing disruption; Demand shock</t>
        </is>
      </c>
      <c r="AC210" s="13" t="inlineStr">
        <is>
          <t>Supply Chain / Procurement</t>
        </is>
      </c>
      <c r="AD210" s="13" t="inlineStr">
        <is>
          <t>Supply Chain!15</t>
        </is>
      </c>
      <c r="AE210">
        <f>IF($A210="","",IF(OR(ISNUMBER(SEARCH("cyber",$D210)),ISNUMBER(SEARCH("security",$D210)),ISNUMBER(SEARCH("safety",$D210)),ISNUMBER(SEARCH("liquidity",$D210)),ISNUMBER(SEARCH("cash",$D210)),ISNUMBER(SEARCH("continuity",$D210)),ISNUMBER(SEARCH("infrastructure",$D210)),ISNUMBER(SEARCH("outage",$D210))),"Fast",IF(OR(ISNUMBER(SEARCH("compliance",$D210)),ISNUMBER(SEARCH("regulat",$D210)),ISNUMBER(SEARCH("data",$D210)),ISNUMBER(SEARCH("talent",$D210)),ISNUMBER(SEARCH("knowledge",$D210)),ISNUMBER(SEARCH("portfolio",$D210)),ISNUMBER(SEARCH("quality",$D210))),"Slow","Medium")))</f>
        <v/>
      </c>
      <c r="AF210">
        <f>IF($A210="","",IFERROR(VLOOKUP($B210,'_CONFIG_Risk_Calibration'!$A$5:$H$21,2,FALSE),3))</f>
        <v/>
      </c>
      <c r="AG210">
        <f>IF($A210="","",IFERROR(VLOOKUP($B210,'_CONFIG_Risk_Calibration'!$A$5:$H$21,3,FALSE),0))</f>
        <v/>
      </c>
      <c r="AH210">
        <f>IF($A210="","",IFERROR(VLOOKUP($B210,'_CONFIG_Risk_Calibration'!$A$5:$H$21,4,FALSE),3))</f>
        <v/>
      </c>
      <c r="AI210">
        <f>IF($A210="","",IFERROR(VLOOKUP($B210,'_CONFIG_Risk_Calibration'!$A$5:$H$21,5,FALSE),3))</f>
        <v/>
      </c>
      <c r="AJ210">
        <f>IF($A210="","",IFERROR(VLOOKUP($B210,'_CONFIG_Risk_Calibration'!$A$5:$H$21,6,FALSE),"No"))</f>
        <v/>
      </c>
      <c r="AK210">
        <f>IF($A210="","",IFERROR(VLOOKUP($B210,'_CONFIG_Risk_Calibration'!$A$5:$H$21,7,FALSE),1))</f>
        <v/>
      </c>
      <c r="AL210">
        <f>IF($A210="","",IFERROR(VLOOKUP($B210,'_CONFIG_Risk_Calibration'!$A$5:$H$21,8,FALSE),""))</f>
        <v/>
      </c>
    </row>
    <row r="211" ht="72" customHeight="1" s="209">
      <c r="A211" s="13" t="inlineStr">
        <is>
          <t>SUPP-012</t>
        </is>
      </c>
      <c r="B211" s="13" t="inlineStr">
        <is>
          <t>Supply Chain</t>
        </is>
      </c>
      <c r="C211" s="13" t="inlineStr">
        <is>
          <t>Logistics</t>
        </is>
      </c>
      <c r="D211" s="13" t="inlineStr">
        <is>
          <t>Supply chain, logistics and supplier continuity</t>
        </is>
      </c>
      <c r="E211" s="13" t="inlineStr">
        <is>
          <t>How mature is the organization in managing Incoterms, insurance, liability and delivery obligations for critical flows, including ownership, evidence, metrics, fallback procedures and crisis stress testing?</t>
        </is>
      </c>
      <c r="F211" s="13" t="inlineStr">
        <is>
          <t>Immature capability for Incoterms, insurance, liability and delivery obligations for critical flows may lead to supplier failure, logistics disruption, inventory shortages and production or delivery delays during Supplier/logistics disruption; Manufacturing disruption; Demand shock.</t>
        </is>
      </c>
      <c r="G211" s="13" t="inlineStr">
        <is>
          <t>Low maturity, weak ownership, incomplete evidence, insufficient testing and poor integration with crisis-management routines for Incoterms, insurance, liability and delivery obligations for critical flows.</t>
        </is>
      </c>
      <c r="H211" s="13" t="inlineStr">
        <is>
          <t>Severe risk: Incoterms, insurance, liability and delivery obligations for critical flows is not reliably controlled. During Supplier/logistics disruption; Manufacturing disruption; Demand shock, the organization may face supplier failure, logistics disruption, inventory shortages and production or delivery delays with limited visibility or accountability.</t>
        </is>
      </c>
      <c r="I211" s="13" t="inlineStr">
        <is>
          <t>High risk: Incoterms, insurance, liability and delivery obligations for critical flows depends on informal practices or individual knowledge. Disruption may expose supplier failure, logistics disruption, inventory shortages and production or delivery delays and slow recovery.</t>
        </is>
      </c>
      <c r="J211" s="13" t="inlineStr">
        <is>
          <t>Elevated risk: Incoterms, insurance, liability and delivery obligations for critical flows is partially controlled, but coverage, evidence or testing is inconsistent. Crisis response may be fragmented.</t>
        </is>
      </c>
      <c r="K211" s="13" t="inlineStr">
        <is>
          <t>Moderate risk: Incoterms, insurance, liability and delivery obligations for critical flows is documented and owned, but measurement, stress testing and integration with dependent processes need strengthening.</t>
        </is>
      </c>
      <c r="L211" s="13" t="inlineStr">
        <is>
          <t>Residual risk: Incoterms, insurance, liability and delivery obligations for critical flows is measured and reviewed, but monitoring, automation or scenario testing should be improved to prevent maturity drift.</t>
        </is>
      </c>
      <c r="M211" s="13" t="inlineStr">
        <is>
          <t>Low residual risk: Incoterms, insurance, liability and delivery obligations for critical flows is mature and crisis-tested. Maintain monitoring, evidence, ownership and periodic stress testing.</t>
        </is>
      </c>
      <c r="N211" s="13" t="inlineStr">
        <is>
          <t>Create an immediate risk owner, minimum control baseline and fallback procedure for Incoterms, insurance, liability and delivery obligations for critical flows. Add it to the crisis risk register and collect first evidence.</t>
        </is>
      </c>
      <c r="O211" s="13" t="inlineStr">
        <is>
          <t>Document Incoterms, insurance, liability and delivery obligations for critical flows, assign RACI, define minimum controls and KPIs, and validate coverage across key sites, teams or systems.</t>
        </is>
      </c>
      <c r="P211" s="13" t="inlineStr">
        <is>
          <t>Standardize Incoterms, insurance, liability and delivery obligations for critical flows, close coverage gaps, train accountable roles and connect controls to the relevant crisis scenarios and continuity plans.</t>
        </is>
      </c>
      <c r="Q211" s="13" t="inlineStr">
        <is>
          <t>Measure and test Incoterms, insurance, liability and delivery obligations for critical flows, run tabletop or operational stress tests, integrate it with dependent processes and update crisis playbooks.</t>
        </is>
      </c>
      <c r="R211" s="13" t="inlineStr">
        <is>
          <t>Automate monitoring where practical, define leading indicators, run periodic scenario tests and track residual risk after each major change.</t>
        </is>
      </c>
      <c r="S211" s="13" t="inlineStr">
        <is>
          <t>Sustain maturity for Incoterms, insurance, liability and delivery obligations for critical flows: keep evidence current, monitor drift, benchmark externally and refresh risk tests after organizational, system or market changes.</t>
        </is>
      </c>
      <c r="T211" s="13" t="n">
        <v>4</v>
      </c>
      <c r="U211" s="13" t="n">
        <v>3</v>
      </c>
      <c r="V211" s="13" t="n">
        <v>3</v>
      </c>
      <c r="W211" s="13" t="n">
        <v>2</v>
      </c>
      <c r="X211" s="13" t="n">
        <v>1</v>
      </c>
      <c r="Y211" s="13" t="n">
        <v>1</v>
      </c>
      <c r="Z211" s="13" t="inlineStr">
        <is>
          <t>ISO 22301; ISO 20400; ISO 28000; SCOR Digital Standard; S&amp;OP/IBP; APICS/ASCM</t>
        </is>
      </c>
      <c r="AA211" s="13" t="inlineStr">
        <is>
          <t>Policy/SOP; owner/RACI; system report; dashboard; contracts; test records; incident history; interview evidence related to Incoterms, insurance, liability and delivery obligations for critical flows.</t>
        </is>
      </c>
      <c r="AB211" s="13" t="inlineStr">
        <is>
          <t>Supplier/logistics disruption; Manufacturing disruption; Demand shock</t>
        </is>
      </c>
      <c r="AC211" s="13" t="inlineStr">
        <is>
          <t>Supply Chain / Procurement</t>
        </is>
      </c>
      <c r="AD211" s="13" t="inlineStr">
        <is>
          <t>Supply Chain!16</t>
        </is>
      </c>
      <c r="AE211">
        <f>IF($A211="","",IF(OR(ISNUMBER(SEARCH("cyber",$D211)),ISNUMBER(SEARCH("security",$D211)),ISNUMBER(SEARCH("safety",$D211)),ISNUMBER(SEARCH("liquidity",$D211)),ISNUMBER(SEARCH("cash",$D211)),ISNUMBER(SEARCH("continuity",$D211)),ISNUMBER(SEARCH("infrastructure",$D211)),ISNUMBER(SEARCH("outage",$D211))),"Fast",IF(OR(ISNUMBER(SEARCH("compliance",$D211)),ISNUMBER(SEARCH("regulat",$D211)),ISNUMBER(SEARCH("data",$D211)),ISNUMBER(SEARCH("talent",$D211)),ISNUMBER(SEARCH("knowledge",$D211)),ISNUMBER(SEARCH("portfolio",$D211)),ISNUMBER(SEARCH("quality",$D211))),"Slow","Medium")))</f>
        <v/>
      </c>
      <c r="AF211">
        <f>IF($A211="","",IFERROR(VLOOKUP($B211,'_CONFIG_Risk_Calibration'!$A$5:$H$21,2,FALSE),3))</f>
        <v/>
      </c>
      <c r="AG211">
        <f>IF($A211="","",IFERROR(VLOOKUP($B211,'_CONFIG_Risk_Calibration'!$A$5:$H$21,3,FALSE),0))</f>
        <v/>
      </c>
      <c r="AH211">
        <f>IF($A211="","",IFERROR(VLOOKUP($B211,'_CONFIG_Risk_Calibration'!$A$5:$H$21,4,FALSE),3))</f>
        <v/>
      </c>
      <c r="AI211">
        <f>IF($A211="","",IFERROR(VLOOKUP($B211,'_CONFIG_Risk_Calibration'!$A$5:$H$21,5,FALSE),3))</f>
        <v/>
      </c>
      <c r="AJ211">
        <f>IF($A211="","",IFERROR(VLOOKUP($B211,'_CONFIG_Risk_Calibration'!$A$5:$H$21,6,FALSE),"No"))</f>
        <v/>
      </c>
      <c r="AK211">
        <f>IF($A211="","",IFERROR(VLOOKUP($B211,'_CONFIG_Risk_Calibration'!$A$5:$H$21,7,FALSE),1))</f>
        <v/>
      </c>
      <c r="AL211">
        <f>IF($A211="","",IFERROR(VLOOKUP($B211,'_CONFIG_Risk_Calibration'!$A$5:$H$21,8,FALSE),""))</f>
        <v/>
      </c>
    </row>
    <row r="212" ht="72" customHeight="1" s="209">
      <c r="A212" s="13" t="inlineStr">
        <is>
          <t>SUPP-013</t>
        </is>
      </c>
      <c r="B212" s="13" t="inlineStr">
        <is>
          <t>Supply Chain</t>
        </is>
      </c>
      <c r="C212" s="13" t="inlineStr">
        <is>
          <t>Inventory and planning</t>
        </is>
      </c>
      <c r="D212" s="13" t="inlineStr">
        <is>
          <t>Supply chain, logistics and supplier continuity</t>
        </is>
      </c>
      <c r="E212" s="13" t="inlineStr">
        <is>
          <t>How mature is the organization in managing safety stock, reorder points, min/max levels and buffer rules by criticality and lead time, including ownership, evidence, metrics, fallback procedures and crisis stress testing?</t>
        </is>
      </c>
      <c r="F212" s="13" t="inlineStr">
        <is>
          <t>Immature capability for safety stock, reorder points, min/max levels and buffer rules by criticality and lead time may lead to supplier failure, logistics disruption, inventory shortages and production or delivery delays during Supplier/logistics disruption; Manufacturing disruption; Demand shock.</t>
        </is>
      </c>
      <c r="G212" s="13" t="inlineStr">
        <is>
          <t>Low maturity, weak ownership, incomplete evidence, insufficient testing and poor integration with crisis-management routines for safety stock, reorder points, min/max levels and buffer rules by criticality and lead time.</t>
        </is>
      </c>
      <c r="H212" s="13" t="inlineStr">
        <is>
          <t>Severe risk: safety stock, reorder points, min/max levels and buffer rules by criticality and lead time is not reliably controlled. During Supplier/logistics disruption; Manufacturing disruption; Demand shock, the organization may face supplier failure, logistics disruption, inventory shortages and production or delivery delays with limited visibility or accountability.</t>
        </is>
      </c>
      <c r="I212" s="13" t="inlineStr">
        <is>
          <t>High risk: safety stock, reorder points, min/max levels and buffer rules by criticality and lead time depends on informal practices or individual knowledge. Disruption may expose supplier failure, logistics disruption, inventory shortages and production or delivery delays and slow recovery.</t>
        </is>
      </c>
      <c r="J212" s="13" t="inlineStr">
        <is>
          <t>Elevated risk: safety stock, reorder points, min/max levels and buffer rules by criticality and lead time is partially controlled, but coverage, evidence or testing is inconsistent. Crisis response may be fragmented.</t>
        </is>
      </c>
      <c r="K212" s="13" t="inlineStr">
        <is>
          <t>Moderate risk: safety stock, reorder points, min/max levels and buffer rules by criticality and lead time is documented and owned, but measurement, stress testing and integration with dependent processes need strengthening.</t>
        </is>
      </c>
      <c r="L212" s="13" t="inlineStr">
        <is>
          <t>Residual risk: safety stock, reorder points, min/max levels and buffer rules by criticality and lead time is measured and reviewed, but monitoring, automation or scenario testing should be improved to prevent maturity drift.</t>
        </is>
      </c>
      <c r="M212" s="13" t="inlineStr">
        <is>
          <t>Low residual risk: safety stock, reorder points, min/max levels and buffer rules by criticality and lead time is mature and crisis-tested. Maintain monitoring, evidence, ownership and periodic stress testing.</t>
        </is>
      </c>
      <c r="N212" s="13" t="inlineStr">
        <is>
          <t>Create an immediate risk owner, minimum control baseline and fallback procedure for safety stock, reorder points, min/max levels and buffer rules by criticality and lead time. Add it to the crisis risk register and collect first evidence.</t>
        </is>
      </c>
      <c r="O212" s="13" t="inlineStr">
        <is>
          <t>Document safety stock, reorder points, min/max levels and buffer rules by criticality and lead time, assign RACI, define minimum controls and KPIs, and validate coverage across key sites, teams or systems.</t>
        </is>
      </c>
      <c r="P212" s="13" t="inlineStr">
        <is>
          <t>Standardize safety stock, reorder points, min/max levels and buffer rules by criticality and lead time, close coverage gaps, train accountable roles and connect controls to the relevant crisis scenarios and continuity plans.</t>
        </is>
      </c>
      <c r="Q212" s="13" t="inlineStr">
        <is>
          <t>Measure and test safety stock, reorder points, min/max levels and buffer rules by criticality and lead time, run tabletop or operational stress tests, integrate it with dependent processes and update crisis playbooks.</t>
        </is>
      </c>
      <c r="R212" s="13" t="inlineStr">
        <is>
          <t>Automate monitoring where practical, define leading indicators, run periodic scenario tests and track residual risk after each major change.</t>
        </is>
      </c>
      <c r="S212" s="13" t="inlineStr">
        <is>
          <t>Sustain maturity for safety stock, reorder points, min/max levels and buffer rules by criticality and lead time: keep evidence current, monitor drift, benchmark externally and refresh risk tests after organizational, system or market changes.</t>
        </is>
      </c>
      <c r="T212" s="13" t="n">
        <v>4</v>
      </c>
      <c r="U212" s="13" t="n">
        <v>3</v>
      </c>
      <c r="V212" s="13" t="n">
        <v>3</v>
      </c>
      <c r="W212" s="13" t="n">
        <v>2</v>
      </c>
      <c r="X212" s="13" t="n">
        <v>1</v>
      </c>
      <c r="Y212" s="13" t="n">
        <v>1</v>
      </c>
      <c r="Z212" s="13" t="inlineStr">
        <is>
          <t>ISO 22301; ISO 20400; ISO 28000; SCOR Digital Standard; S&amp;OP/IBP; APICS/ASCM</t>
        </is>
      </c>
      <c r="AA212" s="13" t="inlineStr">
        <is>
          <t>Policy/SOP; owner/RACI; system report; dashboard; contracts; test records; incident history; interview evidence related to safety stock, reorder points, min/max levels and buffer rules by criticality and lead time.</t>
        </is>
      </c>
      <c r="AB212" s="13" t="inlineStr">
        <is>
          <t>Supplier/logistics disruption; Manufacturing disruption; Demand shock</t>
        </is>
      </c>
      <c r="AC212" s="13" t="inlineStr">
        <is>
          <t>Supply Chain / Procurement</t>
        </is>
      </c>
      <c r="AD212" s="13" t="inlineStr">
        <is>
          <t>Supply Chain!17</t>
        </is>
      </c>
      <c r="AE212">
        <f>IF($A212="","",IF(OR(ISNUMBER(SEARCH("cyber",$D212)),ISNUMBER(SEARCH("security",$D212)),ISNUMBER(SEARCH("safety",$D212)),ISNUMBER(SEARCH("liquidity",$D212)),ISNUMBER(SEARCH("cash",$D212)),ISNUMBER(SEARCH("continuity",$D212)),ISNUMBER(SEARCH("infrastructure",$D212)),ISNUMBER(SEARCH("outage",$D212))),"Fast",IF(OR(ISNUMBER(SEARCH("compliance",$D212)),ISNUMBER(SEARCH("regulat",$D212)),ISNUMBER(SEARCH("data",$D212)),ISNUMBER(SEARCH("talent",$D212)),ISNUMBER(SEARCH("knowledge",$D212)),ISNUMBER(SEARCH("portfolio",$D212)),ISNUMBER(SEARCH("quality",$D212))),"Slow","Medium")))</f>
        <v/>
      </c>
      <c r="AF212">
        <f>IF($A212="","",IFERROR(VLOOKUP($B212,'_CONFIG_Risk_Calibration'!$A$5:$H$21,2,FALSE),3))</f>
        <v/>
      </c>
      <c r="AG212">
        <f>IF($A212="","",IFERROR(VLOOKUP($B212,'_CONFIG_Risk_Calibration'!$A$5:$H$21,3,FALSE),0))</f>
        <v/>
      </c>
      <c r="AH212">
        <f>IF($A212="","",IFERROR(VLOOKUP($B212,'_CONFIG_Risk_Calibration'!$A$5:$H$21,4,FALSE),3))</f>
        <v/>
      </c>
      <c r="AI212">
        <f>IF($A212="","",IFERROR(VLOOKUP($B212,'_CONFIG_Risk_Calibration'!$A$5:$H$21,5,FALSE),3))</f>
        <v/>
      </c>
      <c r="AJ212">
        <f>IF($A212="","",IFERROR(VLOOKUP($B212,'_CONFIG_Risk_Calibration'!$A$5:$H$21,6,FALSE),"No"))</f>
        <v/>
      </c>
      <c r="AK212">
        <f>IF($A212="","",IFERROR(VLOOKUP($B212,'_CONFIG_Risk_Calibration'!$A$5:$H$21,7,FALSE),1))</f>
        <v/>
      </c>
      <c r="AL212">
        <f>IF($A212="","",IFERROR(VLOOKUP($B212,'_CONFIG_Risk_Calibration'!$A$5:$H$21,8,FALSE),""))</f>
        <v/>
      </c>
    </row>
    <row r="213" ht="72" customHeight="1" s="209">
      <c r="A213" s="13" t="inlineStr">
        <is>
          <t>SUPP-014</t>
        </is>
      </c>
      <c r="B213" s="13" t="inlineStr">
        <is>
          <t>Supply Chain</t>
        </is>
      </c>
      <c r="C213" s="13" t="inlineStr">
        <is>
          <t>Inventory and planning</t>
        </is>
      </c>
      <c r="D213" s="13" t="inlineStr">
        <is>
          <t>Supply chain, logistics and supplier continuity</t>
        </is>
      </c>
      <c r="E213" s="13" t="inlineStr">
        <is>
          <t>How mature is the organization in managing inventory visibility by SKU, location, status, shelf life, batch and ownership, including ownership, evidence, metrics, fallback procedures and crisis stress testing?</t>
        </is>
      </c>
      <c r="F213" s="13" t="inlineStr">
        <is>
          <t>Immature capability for inventory visibility by SKU, location, status, shelf life, batch and ownership may lead to supplier failure, logistics disruption, inventory shortages and production or delivery delays during Supplier/logistics disruption; Manufacturing disruption; Demand shock.</t>
        </is>
      </c>
      <c r="G213" s="13" t="inlineStr">
        <is>
          <t>Low maturity, weak ownership, incomplete evidence, insufficient testing and poor integration with crisis-management routines for inventory visibility by SKU, location, status, shelf life, batch and ownership.</t>
        </is>
      </c>
      <c r="H213" s="13" t="inlineStr">
        <is>
          <t>Severe risk: inventory visibility by SKU, location, status, shelf life, batch and ownership is not reliably controlled. During Supplier/logistics disruption; Manufacturing disruption; Demand shock, the organization may face supplier failure, logistics disruption, inventory shortages and production or delivery delays with limited visibility or accountability.</t>
        </is>
      </c>
      <c r="I213" s="13" t="inlineStr">
        <is>
          <t>High risk: inventory visibility by SKU, location, status, shelf life, batch and ownership depends on informal practices or individual knowledge. Disruption may expose supplier failure, logistics disruption, inventory shortages and production or delivery delays and slow recovery.</t>
        </is>
      </c>
      <c r="J213" s="13" t="inlineStr">
        <is>
          <t>Elevated risk: inventory visibility by SKU, location, status, shelf life, batch and ownership is partially controlled, but coverage, evidence or testing is inconsistent. Crisis response may be fragmented.</t>
        </is>
      </c>
      <c r="K213" s="13" t="inlineStr">
        <is>
          <t>Moderate risk: inventory visibility by SKU, location, status, shelf life, batch and ownership is documented and owned, but measurement, stress testing and integration with dependent processes need strengthening.</t>
        </is>
      </c>
      <c r="L213" s="13" t="inlineStr">
        <is>
          <t>Residual risk: inventory visibility by SKU, location, status, shelf life, batch and ownership is measured and reviewed, but monitoring, automation or scenario testing should be improved to prevent maturity drift.</t>
        </is>
      </c>
      <c r="M213" s="13" t="inlineStr">
        <is>
          <t>Low residual risk: inventory visibility by SKU, location, status, shelf life, batch and ownership is mature and crisis-tested. Maintain monitoring, evidence, ownership and periodic stress testing.</t>
        </is>
      </c>
      <c r="N213" s="13" t="inlineStr">
        <is>
          <t>Create an immediate risk owner, minimum control baseline and fallback procedure for inventory visibility by SKU, location, status, shelf life, batch and ownership. Add it to the crisis risk register and collect first evidence.</t>
        </is>
      </c>
      <c r="O213" s="13" t="inlineStr">
        <is>
          <t>Document inventory visibility by SKU, location, status, shelf life, batch and ownership, assign RACI, define minimum controls and KPIs, and validate coverage across key sites, teams or systems.</t>
        </is>
      </c>
      <c r="P213" s="13" t="inlineStr">
        <is>
          <t>Standardize inventory visibility by SKU, location, status, shelf life, batch and ownership, close coverage gaps, train accountable roles and connect controls to the relevant crisis scenarios and continuity plans.</t>
        </is>
      </c>
      <c r="Q213" s="13" t="inlineStr">
        <is>
          <t>Measure and test inventory visibility by SKU, location, status, shelf life, batch and ownership, run tabletop or operational stress tests, integrate it with dependent processes and update crisis playbooks.</t>
        </is>
      </c>
      <c r="R213" s="13" t="inlineStr">
        <is>
          <t>Automate monitoring where practical, define leading indicators, run periodic scenario tests and track residual risk after each major change.</t>
        </is>
      </c>
      <c r="S213" s="13" t="inlineStr">
        <is>
          <t>Sustain maturity for inventory visibility by SKU, location, status, shelf life, batch and ownership: keep evidence current, monitor drift, benchmark externally and refresh risk tests after organizational, system or market changes.</t>
        </is>
      </c>
      <c r="T213" s="13" t="n">
        <v>4</v>
      </c>
      <c r="U213" s="13" t="n">
        <v>3</v>
      </c>
      <c r="V213" s="13" t="n">
        <v>3</v>
      </c>
      <c r="W213" s="13" t="n">
        <v>2</v>
      </c>
      <c r="X213" s="13" t="n">
        <v>1</v>
      </c>
      <c r="Y213" s="13" t="n">
        <v>1</v>
      </c>
      <c r="Z213" s="13" t="inlineStr">
        <is>
          <t>ISO 22301; ISO 20400; ISO 28000; SCOR Digital Standard; S&amp;OP/IBP; APICS/ASCM</t>
        </is>
      </c>
      <c r="AA213" s="13" t="inlineStr">
        <is>
          <t>Policy/SOP; owner/RACI; system report; dashboard; contracts; test records; incident history; interview evidence related to inventory visibility by SKU, location, status, shelf life, batch and ownership.</t>
        </is>
      </c>
      <c r="AB213" s="13" t="inlineStr">
        <is>
          <t>Supplier/logistics disruption; Manufacturing disruption; Demand shock</t>
        </is>
      </c>
      <c r="AC213" s="13" t="inlineStr">
        <is>
          <t>Supply Chain / Procurement</t>
        </is>
      </c>
      <c r="AD213" s="13" t="inlineStr">
        <is>
          <t>Supply Chain!18</t>
        </is>
      </c>
      <c r="AE213">
        <f>IF($A213="","",IF(OR(ISNUMBER(SEARCH("cyber",$D213)),ISNUMBER(SEARCH("security",$D213)),ISNUMBER(SEARCH("safety",$D213)),ISNUMBER(SEARCH("liquidity",$D213)),ISNUMBER(SEARCH("cash",$D213)),ISNUMBER(SEARCH("continuity",$D213)),ISNUMBER(SEARCH("infrastructure",$D213)),ISNUMBER(SEARCH("outage",$D213))),"Fast",IF(OR(ISNUMBER(SEARCH("compliance",$D213)),ISNUMBER(SEARCH("regulat",$D213)),ISNUMBER(SEARCH("data",$D213)),ISNUMBER(SEARCH("talent",$D213)),ISNUMBER(SEARCH("knowledge",$D213)),ISNUMBER(SEARCH("portfolio",$D213)),ISNUMBER(SEARCH("quality",$D213))),"Slow","Medium")))</f>
        <v/>
      </c>
      <c r="AF213">
        <f>IF($A213="","",IFERROR(VLOOKUP($B213,'_CONFIG_Risk_Calibration'!$A$5:$H$21,2,FALSE),3))</f>
        <v/>
      </c>
      <c r="AG213">
        <f>IF($A213="","",IFERROR(VLOOKUP($B213,'_CONFIG_Risk_Calibration'!$A$5:$H$21,3,FALSE),0))</f>
        <v/>
      </c>
      <c r="AH213">
        <f>IF($A213="","",IFERROR(VLOOKUP($B213,'_CONFIG_Risk_Calibration'!$A$5:$H$21,4,FALSE),3))</f>
        <v/>
      </c>
      <c r="AI213">
        <f>IF($A213="","",IFERROR(VLOOKUP($B213,'_CONFIG_Risk_Calibration'!$A$5:$H$21,5,FALSE),3))</f>
        <v/>
      </c>
      <c r="AJ213">
        <f>IF($A213="","",IFERROR(VLOOKUP($B213,'_CONFIG_Risk_Calibration'!$A$5:$H$21,6,FALSE),"No"))</f>
        <v/>
      </c>
      <c r="AK213">
        <f>IF($A213="","",IFERROR(VLOOKUP($B213,'_CONFIG_Risk_Calibration'!$A$5:$H$21,7,FALSE),1))</f>
        <v/>
      </c>
      <c r="AL213">
        <f>IF($A213="","",IFERROR(VLOOKUP($B213,'_CONFIG_Risk_Calibration'!$A$5:$H$21,8,FALSE),""))</f>
        <v/>
      </c>
    </row>
    <row r="214" ht="84" customHeight="1" s="209">
      <c r="A214" s="13" t="inlineStr">
        <is>
          <t>SUPP-015</t>
        </is>
      </c>
      <c r="B214" s="13" t="inlineStr">
        <is>
          <t>Supply Chain</t>
        </is>
      </c>
      <c r="C214" s="13" t="inlineStr">
        <is>
          <t>Inventory and planning</t>
        </is>
      </c>
      <c r="D214" s="13" t="inlineStr">
        <is>
          <t>Supply chain, logistics and supplier continuity</t>
        </is>
      </c>
      <c r="E214" s="13" t="inlineStr">
        <is>
          <t>How mature is the organization in managing slow-moving, obsolete or stagnant inventory analysis linked to sales and procurement decisions, including ownership, evidence, metrics, fallback procedures and crisis stress testing?</t>
        </is>
      </c>
      <c r="F214" s="13" t="inlineStr">
        <is>
          <t>Immature capability for slow-moving, obsolete or stagnant inventory analysis linked to sales and procurement decisions may lead to supplier failure, logistics disruption, inventory shortages and production or delivery delays during Supplier/logistics disruption; Manufacturing disruption; Demand shock.</t>
        </is>
      </c>
      <c r="G214" s="13" t="inlineStr">
        <is>
          <t>Low maturity, weak ownership, incomplete evidence, insufficient testing and poor integration with crisis-management routines for slow-moving, obsolete or stagnant inventory analysis linked to sales and procurement decisions.</t>
        </is>
      </c>
      <c r="H214" s="13" t="inlineStr">
        <is>
          <t>Severe risk: slow-moving, obsolete or stagnant inventory analysis linked to sales and procurement decisions is not reliably controlled. During Supplier/logistics disruption; Manufacturing disruption; Demand shock, the organization may face supplier failure, logistics disruption, inventory shortages and production or delivery delays with limited visibility or accountability.</t>
        </is>
      </c>
      <c r="I214" s="13" t="inlineStr">
        <is>
          <t>High risk: slow-moving, obsolete or stagnant inventory analysis linked to sales and procurement decisions depends on informal practices or individual knowledge. Disruption may expose supplier failure, logistics disruption, inventory shortages and production or delivery delays and slow recovery.</t>
        </is>
      </c>
      <c r="J214" s="13" t="inlineStr">
        <is>
          <t>Elevated risk: slow-moving, obsolete or stagnant inventory analysis linked to sales and procurement decisions is partially controlled, but coverage, evidence or testing is inconsistent. Crisis response may be fragmented.</t>
        </is>
      </c>
      <c r="K214" s="13" t="inlineStr">
        <is>
          <t>Moderate risk: slow-moving, obsolete or stagnant inventory analysis linked to sales and procurement decisions is documented and owned, but measurement, stress testing and integration with dependent processes need strengthening.</t>
        </is>
      </c>
      <c r="L214" s="13" t="inlineStr">
        <is>
          <t>Residual risk: slow-moving, obsolete or stagnant inventory analysis linked to sales and procurement decisions is measured and reviewed, but monitoring, automation or scenario testing should be improved to prevent maturity drift.</t>
        </is>
      </c>
      <c r="M214" s="13" t="inlineStr">
        <is>
          <t>Low residual risk: slow-moving, obsolete or stagnant inventory analysis linked to sales and procurement decisions is mature and crisis-tested. Maintain monitoring, evidence, ownership and periodic stress testing.</t>
        </is>
      </c>
      <c r="N214" s="13" t="inlineStr">
        <is>
          <t>Create an immediate risk owner, minimum control baseline and fallback procedure for slow-moving, obsolete or stagnant inventory analysis linked to sales and procurement decisions. Add it to the crisis risk register and collect first evidence.</t>
        </is>
      </c>
      <c r="O214" s="13" t="inlineStr">
        <is>
          <t>Document slow-moving, obsolete or stagnant inventory analysis linked to sales and procurement decisions, assign RACI, define minimum controls and KPIs, and validate coverage across key sites, teams or systems.</t>
        </is>
      </c>
      <c r="P214" s="13" t="inlineStr">
        <is>
          <t>Standardize slow-moving, obsolete or stagnant inventory analysis linked to sales and procurement decisions, close coverage gaps, train accountable roles and connect controls to the relevant crisis scenarios and continuity plans.</t>
        </is>
      </c>
      <c r="Q214" s="13" t="inlineStr">
        <is>
          <t>Measure and test slow-moving, obsolete or stagnant inventory analysis linked to sales and procurement decisions, run tabletop or operational stress tests, integrate it with dependent processes and update crisis playbooks.</t>
        </is>
      </c>
      <c r="R214" s="13" t="inlineStr">
        <is>
          <t>Automate monitoring where practical, define leading indicators, run periodic scenario tests and track residual risk after each major change.</t>
        </is>
      </c>
      <c r="S214" s="13" t="inlineStr">
        <is>
          <t>Sustain maturity for slow-moving, obsolete or stagnant inventory analysis linked to sales and procurement decisions: keep evidence current, monitor drift, benchmark externally and refresh risk tests after organizational, system or market changes.</t>
        </is>
      </c>
      <c r="T214" s="13" t="n">
        <v>4</v>
      </c>
      <c r="U214" s="13" t="n">
        <v>3</v>
      </c>
      <c r="V214" s="13" t="n">
        <v>3</v>
      </c>
      <c r="W214" s="13" t="n">
        <v>2</v>
      </c>
      <c r="X214" s="13" t="n">
        <v>1</v>
      </c>
      <c r="Y214" s="13" t="n">
        <v>1</v>
      </c>
      <c r="Z214" s="13" t="inlineStr">
        <is>
          <t>ISO 22301; ISO 20400; ISO 28000; SCOR Digital Standard; S&amp;OP/IBP; APICS/ASCM</t>
        </is>
      </c>
      <c r="AA214" s="13" t="inlineStr">
        <is>
          <t>Policy/SOP; owner/RACI; system report; dashboard; contracts; test records; incident history; interview evidence related to slow-moving, obsolete or stagnant inventory analysis linked to sales and procurement decisions.</t>
        </is>
      </c>
      <c r="AB214" s="13" t="inlineStr">
        <is>
          <t>Supplier/logistics disruption; Manufacturing disruption; Demand shock</t>
        </is>
      </c>
      <c r="AC214" s="13" t="inlineStr">
        <is>
          <t>Supply Chain / Procurement</t>
        </is>
      </c>
      <c r="AD214" s="13" t="inlineStr">
        <is>
          <t>Supply Chain!19</t>
        </is>
      </c>
      <c r="AE214">
        <f>IF($A214="","",IF(OR(ISNUMBER(SEARCH("cyber",$D214)),ISNUMBER(SEARCH("security",$D214)),ISNUMBER(SEARCH("safety",$D214)),ISNUMBER(SEARCH("liquidity",$D214)),ISNUMBER(SEARCH("cash",$D214)),ISNUMBER(SEARCH("continuity",$D214)),ISNUMBER(SEARCH("infrastructure",$D214)),ISNUMBER(SEARCH("outage",$D214))),"Fast",IF(OR(ISNUMBER(SEARCH("compliance",$D214)),ISNUMBER(SEARCH("regulat",$D214)),ISNUMBER(SEARCH("data",$D214)),ISNUMBER(SEARCH("talent",$D214)),ISNUMBER(SEARCH("knowledge",$D214)),ISNUMBER(SEARCH("portfolio",$D214)),ISNUMBER(SEARCH("quality",$D214))),"Slow","Medium")))</f>
        <v/>
      </c>
      <c r="AF214">
        <f>IF($A214="","",IFERROR(VLOOKUP($B214,'_CONFIG_Risk_Calibration'!$A$5:$H$21,2,FALSE),3))</f>
        <v/>
      </c>
      <c r="AG214">
        <f>IF($A214="","",IFERROR(VLOOKUP($B214,'_CONFIG_Risk_Calibration'!$A$5:$H$21,3,FALSE),0))</f>
        <v/>
      </c>
      <c r="AH214">
        <f>IF($A214="","",IFERROR(VLOOKUP($B214,'_CONFIG_Risk_Calibration'!$A$5:$H$21,4,FALSE),3))</f>
        <v/>
      </c>
      <c r="AI214">
        <f>IF($A214="","",IFERROR(VLOOKUP($B214,'_CONFIG_Risk_Calibration'!$A$5:$H$21,5,FALSE),3))</f>
        <v/>
      </c>
      <c r="AJ214">
        <f>IF($A214="","",IFERROR(VLOOKUP($B214,'_CONFIG_Risk_Calibration'!$A$5:$H$21,6,FALSE),"No"))</f>
        <v/>
      </c>
      <c r="AK214">
        <f>IF($A214="","",IFERROR(VLOOKUP($B214,'_CONFIG_Risk_Calibration'!$A$5:$H$21,7,FALSE),1))</f>
        <v/>
      </c>
      <c r="AL214">
        <f>IF($A214="","",IFERROR(VLOOKUP($B214,'_CONFIG_Risk_Calibration'!$A$5:$H$21,8,FALSE),""))</f>
        <v/>
      </c>
    </row>
    <row r="215" ht="84" customHeight="1" s="209">
      <c r="A215" s="13" t="inlineStr">
        <is>
          <t>SUPP-016</t>
        </is>
      </c>
      <c r="B215" s="13" t="inlineStr">
        <is>
          <t>Supply Chain</t>
        </is>
      </c>
      <c r="C215" s="13" t="inlineStr">
        <is>
          <t>Inventory and planning</t>
        </is>
      </c>
      <c r="D215" s="13" t="inlineStr">
        <is>
          <t>Supply chain, logistics and supplier continuity</t>
        </is>
      </c>
      <c r="E215" s="13" t="inlineStr">
        <is>
          <t>How mature is the organization in managing critical materials and spare parts buffers sized using risk, demand variability and supplier lead time, including ownership, evidence, metrics, fallback procedures and crisis stress testing?</t>
        </is>
      </c>
      <c r="F215" s="13" t="inlineStr">
        <is>
          <t>Immature capability for critical materials and spare parts buffers sized using risk, demand variability and supplier lead time may lead to supplier failure, logistics disruption, inventory shortages and production or delivery delays during Supplier/logistics disruption; Manufacturing disruption; Demand shock.</t>
        </is>
      </c>
      <c r="G215" s="13" t="inlineStr">
        <is>
          <t>Low maturity, weak ownership, incomplete evidence, insufficient testing and poor integration with crisis-management routines for critical materials and spare parts buffers sized using risk, demand variability and supplier lead time.</t>
        </is>
      </c>
      <c r="H215" s="13" t="inlineStr">
        <is>
          <t>Severe risk: critical materials and spare parts buffers sized using risk, demand variability and supplier lead time is not reliably controlled. During Supplier/logistics disruption; Manufacturing disruption; Demand shock, the organization may face supplier failure, logistics disruption, inventory shortages and production or delivery delays with limited visibility or accountability.</t>
        </is>
      </c>
      <c r="I215" s="13" t="inlineStr">
        <is>
          <t>High risk: critical materials and spare parts buffers sized using risk, demand variability and supplier lead time depends on informal practices or individual knowledge. Disruption may expose supplier failure, logistics disruption, inventory shortages and production or delivery delays and slow recovery.</t>
        </is>
      </c>
      <c r="J215" s="13" t="inlineStr">
        <is>
          <t>Elevated risk: critical materials and spare parts buffers sized using risk, demand variability and supplier lead time is partially controlled, but coverage, evidence or testing is inconsistent. Crisis response may be fragmented.</t>
        </is>
      </c>
      <c r="K215" s="13" t="inlineStr">
        <is>
          <t>Moderate risk: critical materials and spare parts buffers sized using risk, demand variability and supplier lead time is documented and owned, but measurement, stress testing and integration with dependent processes need strengthening.</t>
        </is>
      </c>
      <c r="L215" s="13" t="inlineStr">
        <is>
          <t>Residual risk: critical materials and spare parts buffers sized using risk, demand variability and supplier lead time is measured and reviewed, but monitoring, automation or scenario testing should be improved to prevent maturity drift.</t>
        </is>
      </c>
      <c r="M215" s="13" t="inlineStr">
        <is>
          <t>Low residual risk: critical materials and spare parts buffers sized using risk, demand variability and supplier lead time is mature and crisis-tested. Maintain monitoring, evidence, ownership and periodic stress testing.</t>
        </is>
      </c>
      <c r="N215" s="13" t="inlineStr">
        <is>
          <t>Create an immediate risk owner, minimum control baseline and fallback procedure for critical materials and spare parts buffers sized using risk, demand variability and supplier lead time. Add it to the crisis risk register and collect first evidence.</t>
        </is>
      </c>
      <c r="O215" s="13" t="inlineStr">
        <is>
          <t>Document critical materials and spare parts buffers sized using risk, demand variability and supplier lead time, assign RACI, define minimum controls and KPIs, and validate coverage across key sites, teams or systems.</t>
        </is>
      </c>
      <c r="P215" s="13" t="inlineStr">
        <is>
          <t>Standardize critical materials and spare parts buffers sized using risk, demand variability and supplier lead time, close coverage gaps, train accountable roles and connect controls to the relevant crisis scenarios and continuity plans.</t>
        </is>
      </c>
      <c r="Q215" s="13" t="inlineStr">
        <is>
          <t>Measure and test critical materials and spare parts buffers sized using risk, demand variability and supplier lead time, run tabletop or operational stress tests, integrate it with dependent processes and update crisis playbooks.</t>
        </is>
      </c>
      <c r="R215" s="13" t="inlineStr">
        <is>
          <t>Automate monitoring where practical, define leading indicators, run periodic scenario tests and track residual risk after each major change.</t>
        </is>
      </c>
      <c r="S215" s="13" t="inlineStr">
        <is>
          <t>Sustain maturity for critical materials and spare parts buffers sized using risk, demand variability and supplier lead time: keep evidence current, monitor drift, benchmark externally and refresh risk tests after organizational, system or market changes.</t>
        </is>
      </c>
      <c r="T215" s="13" t="n">
        <v>4</v>
      </c>
      <c r="U215" s="13" t="n">
        <v>3</v>
      </c>
      <c r="V215" s="13" t="n">
        <v>3</v>
      </c>
      <c r="W215" s="13" t="n">
        <v>2</v>
      </c>
      <c r="X215" s="13" t="n">
        <v>1</v>
      </c>
      <c r="Y215" s="13" t="n">
        <v>1</v>
      </c>
      <c r="Z215" s="13" t="inlineStr">
        <is>
          <t>ISO 22301; ISO 20400; ISO 28000; SCOR Digital Standard; S&amp;OP/IBP; APICS/ASCM</t>
        </is>
      </c>
      <c r="AA215" s="13" t="inlineStr">
        <is>
          <t>Policy/SOP; owner/RACI; system report; dashboard; contracts; test records; incident history; interview evidence related to critical materials and spare parts buffers sized using risk, demand variability and supplier lead time.</t>
        </is>
      </c>
      <c r="AB215" s="13" t="inlineStr">
        <is>
          <t>Supplier/logistics disruption; Manufacturing disruption; Demand shock</t>
        </is>
      </c>
      <c r="AC215" s="13" t="inlineStr">
        <is>
          <t>Supply Chain / Procurement</t>
        </is>
      </c>
      <c r="AD215" s="13" t="inlineStr">
        <is>
          <t>Supply Chain!20</t>
        </is>
      </c>
      <c r="AE215">
        <f>IF($A215="","",IF(OR(ISNUMBER(SEARCH("cyber",$D215)),ISNUMBER(SEARCH("security",$D215)),ISNUMBER(SEARCH("safety",$D215)),ISNUMBER(SEARCH("liquidity",$D215)),ISNUMBER(SEARCH("cash",$D215)),ISNUMBER(SEARCH("continuity",$D215)),ISNUMBER(SEARCH("infrastructure",$D215)),ISNUMBER(SEARCH("outage",$D215))),"Fast",IF(OR(ISNUMBER(SEARCH("compliance",$D215)),ISNUMBER(SEARCH("regulat",$D215)),ISNUMBER(SEARCH("data",$D215)),ISNUMBER(SEARCH("talent",$D215)),ISNUMBER(SEARCH("knowledge",$D215)),ISNUMBER(SEARCH("portfolio",$D215)),ISNUMBER(SEARCH("quality",$D215))),"Slow","Medium")))</f>
        <v/>
      </c>
      <c r="AF215">
        <f>IF($A215="","",IFERROR(VLOOKUP($B215,'_CONFIG_Risk_Calibration'!$A$5:$H$21,2,FALSE),3))</f>
        <v/>
      </c>
      <c r="AG215">
        <f>IF($A215="","",IFERROR(VLOOKUP($B215,'_CONFIG_Risk_Calibration'!$A$5:$H$21,3,FALSE),0))</f>
        <v/>
      </c>
      <c r="AH215">
        <f>IF($A215="","",IFERROR(VLOOKUP($B215,'_CONFIG_Risk_Calibration'!$A$5:$H$21,4,FALSE),3))</f>
        <v/>
      </c>
      <c r="AI215">
        <f>IF($A215="","",IFERROR(VLOOKUP($B215,'_CONFIG_Risk_Calibration'!$A$5:$H$21,5,FALSE),3))</f>
        <v/>
      </c>
      <c r="AJ215">
        <f>IF($A215="","",IFERROR(VLOOKUP($B215,'_CONFIG_Risk_Calibration'!$A$5:$H$21,6,FALSE),"No"))</f>
        <v/>
      </c>
      <c r="AK215">
        <f>IF($A215="","",IFERROR(VLOOKUP($B215,'_CONFIG_Risk_Calibration'!$A$5:$H$21,7,FALSE),1))</f>
        <v/>
      </c>
      <c r="AL215">
        <f>IF($A215="","",IFERROR(VLOOKUP($B215,'_CONFIG_Risk_Calibration'!$A$5:$H$21,8,FALSE),""))</f>
        <v/>
      </c>
    </row>
    <row r="216" ht="72" customHeight="1" s="209">
      <c r="A216" s="13" t="inlineStr">
        <is>
          <t>SUPP-017</t>
        </is>
      </c>
      <c r="B216" s="13" t="inlineStr">
        <is>
          <t>Supply Chain</t>
        </is>
      </c>
      <c r="C216" s="13" t="inlineStr">
        <is>
          <t>Inventory and planning</t>
        </is>
      </c>
      <c r="D216" s="13" t="inlineStr">
        <is>
          <t>Supply chain, logistics and supplier continuity</t>
        </is>
      </c>
      <c r="E216" s="13" t="inlineStr">
        <is>
          <t>How mature is the organization in managing demand forecast integrated with sales pipeline, history, seasonality and crisis scenarios, including ownership, evidence, metrics, fallback procedures and crisis stress testing?</t>
        </is>
      </c>
      <c r="F216" s="13" t="inlineStr">
        <is>
          <t>Immature capability for demand forecast integrated with sales pipeline, history, seasonality and crisis scenarios may lead to supplier failure, logistics disruption, inventory shortages and production or delivery delays during Supplier/logistics disruption; Manufacturing disruption; Demand shock.</t>
        </is>
      </c>
      <c r="G216" s="13" t="inlineStr">
        <is>
          <t>Low maturity, weak ownership, incomplete evidence, insufficient testing and poor integration with crisis-management routines for demand forecast integrated with sales pipeline, history, seasonality and crisis scenarios.</t>
        </is>
      </c>
      <c r="H216" s="13" t="inlineStr">
        <is>
          <t>Severe risk: demand forecast integrated with sales pipeline, history, seasonality and crisis scenarios is not reliably controlled. During Supplier/logistics disruption; Manufacturing disruption; Demand shock, the organization may face supplier failure, logistics disruption, inventory shortages and production or delivery delays with limited visibility or accountability.</t>
        </is>
      </c>
      <c r="I216" s="13" t="inlineStr">
        <is>
          <t>High risk: demand forecast integrated with sales pipeline, history, seasonality and crisis scenarios depends on informal practices or individual knowledge. Disruption may expose supplier failure, logistics disruption, inventory shortages and production or delivery delays and slow recovery.</t>
        </is>
      </c>
      <c r="J216" s="13" t="inlineStr">
        <is>
          <t>Elevated risk: demand forecast integrated with sales pipeline, history, seasonality and crisis scenarios is partially controlled, but coverage, evidence or testing is inconsistent. Crisis response may be fragmented.</t>
        </is>
      </c>
      <c r="K216" s="13" t="inlineStr">
        <is>
          <t>Moderate risk: demand forecast integrated with sales pipeline, history, seasonality and crisis scenarios is documented and owned, but measurement, stress testing and integration with dependent processes need strengthening.</t>
        </is>
      </c>
      <c r="L216" s="13" t="inlineStr">
        <is>
          <t>Residual risk: demand forecast integrated with sales pipeline, history, seasonality and crisis scenarios is measured and reviewed, but monitoring, automation or scenario testing should be improved to prevent maturity drift.</t>
        </is>
      </c>
      <c r="M216" s="13" t="inlineStr">
        <is>
          <t>Low residual risk: demand forecast integrated with sales pipeline, history, seasonality and crisis scenarios is mature and crisis-tested. Maintain monitoring, evidence, ownership and periodic stress testing.</t>
        </is>
      </c>
      <c r="N216" s="13" t="inlineStr">
        <is>
          <t>Create an immediate risk owner, minimum control baseline and fallback procedure for demand forecast integrated with sales pipeline, history, seasonality and crisis scenarios. Add it to the crisis risk register and collect first evidence.</t>
        </is>
      </c>
      <c r="O216" s="13" t="inlineStr">
        <is>
          <t>Document demand forecast integrated with sales pipeline, history, seasonality and crisis scenarios, assign RACI, define minimum controls and KPIs, and validate coverage across key sites, teams or systems.</t>
        </is>
      </c>
      <c r="P216" s="13" t="inlineStr">
        <is>
          <t>Standardize demand forecast integrated with sales pipeline, history, seasonality and crisis scenarios, close coverage gaps, train accountable roles and connect controls to the relevant crisis scenarios and continuity plans.</t>
        </is>
      </c>
      <c r="Q216" s="13" t="inlineStr">
        <is>
          <t>Measure and test demand forecast integrated with sales pipeline, history, seasonality and crisis scenarios, run tabletop or operational stress tests, integrate it with dependent processes and update crisis playbooks.</t>
        </is>
      </c>
      <c r="R216" s="13" t="inlineStr">
        <is>
          <t>Automate monitoring where practical, define leading indicators, run periodic scenario tests and track residual risk after each major change.</t>
        </is>
      </c>
      <c r="S216" s="13" t="inlineStr">
        <is>
          <t>Sustain maturity for demand forecast integrated with sales pipeline, history, seasonality and crisis scenarios: keep evidence current, monitor drift, benchmark externally and refresh risk tests after organizational, system or market changes.</t>
        </is>
      </c>
      <c r="T216" s="13" t="n">
        <v>4</v>
      </c>
      <c r="U216" s="13" t="n">
        <v>3</v>
      </c>
      <c r="V216" s="13" t="n">
        <v>3</v>
      </c>
      <c r="W216" s="13" t="n">
        <v>2</v>
      </c>
      <c r="X216" s="13" t="n">
        <v>1</v>
      </c>
      <c r="Y216" s="13" t="n">
        <v>1</v>
      </c>
      <c r="Z216" s="13" t="inlineStr">
        <is>
          <t>ISO 22301; ISO 20400; ISO 28000; SCOR Digital Standard; S&amp;OP/IBP; APICS/ASCM</t>
        </is>
      </c>
      <c r="AA216" s="13" t="inlineStr">
        <is>
          <t>Policy/SOP; owner/RACI; system report; dashboard; contracts; test records; incident history; interview evidence related to demand forecast integrated with sales pipeline, history, seasonality and crisis scenarios.</t>
        </is>
      </c>
      <c r="AB216" s="13" t="inlineStr">
        <is>
          <t>Supplier/logistics disruption; Manufacturing disruption; Demand shock</t>
        </is>
      </c>
      <c r="AC216" s="13" t="inlineStr">
        <is>
          <t>Supply Chain / Procurement</t>
        </is>
      </c>
      <c r="AD216" s="13" t="inlineStr">
        <is>
          <t>Supply Chain!21</t>
        </is>
      </c>
      <c r="AE216">
        <f>IF($A216="","",IF(OR(ISNUMBER(SEARCH("cyber",$D216)),ISNUMBER(SEARCH("security",$D216)),ISNUMBER(SEARCH("safety",$D216)),ISNUMBER(SEARCH("liquidity",$D216)),ISNUMBER(SEARCH("cash",$D216)),ISNUMBER(SEARCH("continuity",$D216)),ISNUMBER(SEARCH("infrastructure",$D216)),ISNUMBER(SEARCH("outage",$D216))),"Fast",IF(OR(ISNUMBER(SEARCH("compliance",$D216)),ISNUMBER(SEARCH("regulat",$D216)),ISNUMBER(SEARCH("data",$D216)),ISNUMBER(SEARCH("talent",$D216)),ISNUMBER(SEARCH("knowledge",$D216)),ISNUMBER(SEARCH("portfolio",$D216)),ISNUMBER(SEARCH("quality",$D216))),"Slow","Medium")))</f>
        <v/>
      </c>
      <c r="AF216">
        <f>IF($A216="","",IFERROR(VLOOKUP($B216,'_CONFIG_Risk_Calibration'!$A$5:$H$21,2,FALSE),3))</f>
        <v/>
      </c>
      <c r="AG216">
        <f>IF($A216="","",IFERROR(VLOOKUP($B216,'_CONFIG_Risk_Calibration'!$A$5:$H$21,3,FALSE),0))</f>
        <v/>
      </c>
      <c r="AH216">
        <f>IF($A216="","",IFERROR(VLOOKUP($B216,'_CONFIG_Risk_Calibration'!$A$5:$H$21,4,FALSE),3))</f>
        <v/>
      </c>
      <c r="AI216">
        <f>IF($A216="","",IFERROR(VLOOKUP($B216,'_CONFIG_Risk_Calibration'!$A$5:$H$21,5,FALSE),3))</f>
        <v/>
      </c>
      <c r="AJ216">
        <f>IF($A216="","",IFERROR(VLOOKUP($B216,'_CONFIG_Risk_Calibration'!$A$5:$H$21,6,FALSE),"No"))</f>
        <v/>
      </c>
      <c r="AK216">
        <f>IF($A216="","",IFERROR(VLOOKUP($B216,'_CONFIG_Risk_Calibration'!$A$5:$H$21,7,FALSE),1))</f>
        <v/>
      </c>
      <c r="AL216">
        <f>IF($A216="","",IFERROR(VLOOKUP($B216,'_CONFIG_Risk_Calibration'!$A$5:$H$21,8,FALSE),""))</f>
        <v/>
      </c>
    </row>
    <row r="217" ht="72" customHeight="1" s="209">
      <c r="A217" s="13" t="inlineStr">
        <is>
          <t>SUPP-018</t>
        </is>
      </c>
      <c r="B217" s="13" t="inlineStr">
        <is>
          <t>Supply Chain</t>
        </is>
      </c>
      <c r="C217" s="13" t="inlineStr">
        <is>
          <t>Inventory and planning</t>
        </is>
      </c>
      <c r="D217" s="13" t="inlineStr">
        <is>
          <t>Supply chain, logistics and supplier continuity</t>
        </is>
      </c>
      <c r="E217" s="13" t="inlineStr">
        <is>
          <t>How mature is the organization in managing S&amp;OP or IBP process connecting sales, finance, production, procurement and logistics, including ownership, evidence, metrics, fallback procedures and crisis stress testing?</t>
        </is>
      </c>
      <c r="F217" s="13" t="inlineStr">
        <is>
          <t>Immature capability for S&amp;OP or IBP process connecting sales, finance, production, procurement and logistics may lead to supplier failure, logistics disruption, inventory shortages and production or delivery delays during Supplier/logistics disruption; Manufacturing disruption; Demand shock.</t>
        </is>
      </c>
      <c r="G217" s="13" t="inlineStr">
        <is>
          <t>Low maturity, weak ownership, incomplete evidence, insufficient testing and poor integration with crisis-management routines for S&amp;OP or IBP process connecting sales, finance, production, procurement and logistics.</t>
        </is>
      </c>
      <c r="H217" s="13" t="inlineStr">
        <is>
          <t>Severe risk: S&amp;OP or IBP process connecting sales, finance, production, procurement and logistics is not reliably controlled. During Supplier/logistics disruption; Manufacturing disruption; Demand shock, the organization may face supplier failure, logistics disruption, inventory shortages and production or delivery delays with limited visibility or accountability.</t>
        </is>
      </c>
      <c r="I217" s="13" t="inlineStr">
        <is>
          <t>High risk: S&amp;OP or IBP process connecting sales, finance, production, procurement and logistics depends on informal practices or individual knowledge. Disruption may expose supplier failure, logistics disruption, inventory shortages and production or delivery delays and slow recovery.</t>
        </is>
      </c>
      <c r="J217" s="13" t="inlineStr">
        <is>
          <t>Elevated risk: S&amp;OP or IBP process connecting sales, finance, production, procurement and logistics is partially controlled, but coverage, evidence or testing is inconsistent. Crisis response may be fragmented.</t>
        </is>
      </c>
      <c r="K217" s="13" t="inlineStr">
        <is>
          <t>Moderate risk: S&amp;OP or IBP process connecting sales, finance, production, procurement and logistics is documented and owned, but measurement, stress testing and integration with dependent processes need strengthening.</t>
        </is>
      </c>
      <c r="L217" s="13" t="inlineStr">
        <is>
          <t>Residual risk: S&amp;OP or IBP process connecting sales, finance, production, procurement and logistics is measured and reviewed, but monitoring, automation or scenario testing should be improved to prevent maturity drift.</t>
        </is>
      </c>
      <c r="M217" s="13" t="inlineStr">
        <is>
          <t>Low residual risk: S&amp;OP or IBP process connecting sales, finance, production, procurement and logistics is mature and crisis-tested. Maintain monitoring, evidence, ownership and periodic stress testing.</t>
        </is>
      </c>
      <c r="N217" s="13" t="inlineStr">
        <is>
          <t>Create an immediate risk owner, minimum control baseline and fallback procedure for S&amp;OP or IBP process connecting sales, finance, production, procurement and logistics. Add it to the crisis risk register and collect first evidence.</t>
        </is>
      </c>
      <c r="O217" s="13" t="inlineStr">
        <is>
          <t>Document S&amp;OP or IBP process connecting sales, finance, production, procurement and logistics, assign RACI, define minimum controls and KPIs, and validate coverage across key sites, teams or systems.</t>
        </is>
      </c>
      <c r="P217" s="13" t="inlineStr">
        <is>
          <t>Standardize S&amp;OP or IBP process connecting sales, finance, production, procurement and logistics, close coverage gaps, train accountable roles and connect controls to the relevant crisis scenarios and continuity plans.</t>
        </is>
      </c>
      <c r="Q217" s="13" t="inlineStr">
        <is>
          <t>Measure and test S&amp;OP or IBP process connecting sales, finance, production, procurement and logistics, run tabletop or operational stress tests, integrate it with dependent processes and update crisis playbooks.</t>
        </is>
      </c>
      <c r="R217" s="13" t="inlineStr">
        <is>
          <t>Automate monitoring where practical, define leading indicators, run periodic scenario tests and track residual risk after each major change.</t>
        </is>
      </c>
      <c r="S217" s="13" t="inlineStr">
        <is>
          <t>Sustain maturity for S&amp;OP or IBP process connecting sales, finance, production, procurement and logistics: keep evidence current, monitor drift, benchmark externally and refresh risk tests after organizational, system or market changes.</t>
        </is>
      </c>
      <c r="T217" s="13" t="n">
        <v>4</v>
      </c>
      <c r="U217" s="13" t="n">
        <v>3</v>
      </c>
      <c r="V217" s="13" t="n">
        <v>3</v>
      </c>
      <c r="W217" s="13" t="n">
        <v>2</v>
      </c>
      <c r="X217" s="13" t="n">
        <v>1</v>
      </c>
      <c r="Y217" s="13" t="n">
        <v>1</v>
      </c>
      <c r="Z217" s="13" t="inlineStr">
        <is>
          <t>ISO 22301; ISO 20400; ISO 28000; SCOR Digital Standard; S&amp;OP/IBP; APICS/ASCM</t>
        </is>
      </c>
      <c r="AA217" s="13" t="inlineStr">
        <is>
          <t>Policy/SOP; owner/RACI; system report; dashboard; contracts; test records; incident history; interview evidence related to S&amp;OP or IBP process connecting sales, finance, production, procurement and logistics.</t>
        </is>
      </c>
      <c r="AB217" s="13" t="inlineStr">
        <is>
          <t>Supplier/logistics disruption; Manufacturing disruption; Demand shock</t>
        </is>
      </c>
      <c r="AC217" s="13" t="inlineStr">
        <is>
          <t>Supply Chain / Procurement</t>
        </is>
      </c>
      <c r="AD217" s="13" t="inlineStr">
        <is>
          <t>Supply Chain!22</t>
        </is>
      </c>
      <c r="AE217">
        <f>IF($A217="","",IF(OR(ISNUMBER(SEARCH("cyber",$D217)),ISNUMBER(SEARCH("security",$D217)),ISNUMBER(SEARCH("safety",$D217)),ISNUMBER(SEARCH("liquidity",$D217)),ISNUMBER(SEARCH("cash",$D217)),ISNUMBER(SEARCH("continuity",$D217)),ISNUMBER(SEARCH("infrastructure",$D217)),ISNUMBER(SEARCH("outage",$D217))),"Fast",IF(OR(ISNUMBER(SEARCH("compliance",$D217)),ISNUMBER(SEARCH("regulat",$D217)),ISNUMBER(SEARCH("data",$D217)),ISNUMBER(SEARCH("talent",$D217)),ISNUMBER(SEARCH("knowledge",$D217)),ISNUMBER(SEARCH("portfolio",$D217)),ISNUMBER(SEARCH("quality",$D217))),"Slow","Medium")))</f>
        <v/>
      </c>
      <c r="AF217">
        <f>IF($A217="","",IFERROR(VLOOKUP($B217,'_CONFIG_Risk_Calibration'!$A$5:$H$21,2,FALSE),3))</f>
        <v/>
      </c>
      <c r="AG217">
        <f>IF($A217="","",IFERROR(VLOOKUP($B217,'_CONFIG_Risk_Calibration'!$A$5:$H$21,3,FALSE),0))</f>
        <v/>
      </c>
      <c r="AH217">
        <f>IF($A217="","",IFERROR(VLOOKUP($B217,'_CONFIG_Risk_Calibration'!$A$5:$H$21,4,FALSE),3))</f>
        <v/>
      </c>
      <c r="AI217">
        <f>IF($A217="","",IFERROR(VLOOKUP($B217,'_CONFIG_Risk_Calibration'!$A$5:$H$21,5,FALSE),3))</f>
        <v/>
      </c>
      <c r="AJ217">
        <f>IF($A217="","",IFERROR(VLOOKUP($B217,'_CONFIG_Risk_Calibration'!$A$5:$H$21,6,FALSE),"No"))</f>
        <v/>
      </c>
      <c r="AK217">
        <f>IF($A217="","",IFERROR(VLOOKUP($B217,'_CONFIG_Risk_Calibration'!$A$5:$H$21,7,FALSE),1))</f>
        <v/>
      </c>
      <c r="AL217">
        <f>IF($A217="","",IFERROR(VLOOKUP($B217,'_CONFIG_Risk_Calibration'!$A$5:$H$21,8,FALSE),""))</f>
        <v/>
      </c>
    </row>
    <row r="218" ht="72" customHeight="1" s="209">
      <c r="A218" s="13" t="inlineStr">
        <is>
          <t>SUPP-019</t>
        </is>
      </c>
      <c r="B218" s="13" t="inlineStr">
        <is>
          <t>Supply Chain</t>
        </is>
      </c>
      <c r="C218" s="13" t="inlineStr">
        <is>
          <t>Inventory and planning</t>
        </is>
      </c>
      <c r="D218" s="13" t="inlineStr">
        <is>
          <t>Supply chain, logistics and supplier continuity</t>
        </is>
      </c>
      <c r="E218" s="13" t="inlineStr">
        <is>
          <t>How mature is the organization in managing planning cycle acceleration during crisis without losing data quality, including ownership, evidence, metrics, fallback procedures and crisis stress testing?</t>
        </is>
      </c>
      <c r="F218" s="13" t="inlineStr">
        <is>
          <t>Immature capability for planning cycle acceleration during crisis without losing data quality may lead to supplier failure, logistics disruption, inventory shortages and production or delivery delays during Supplier/logistics disruption; Manufacturing disruption; Demand shock.</t>
        </is>
      </c>
      <c r="G218" s="13" t="inlineStr">
        <is>
          <t>Low maturity, weak ownership, incomplete evidence, insufficient testing and poor integration with crisis-management routines for planning cycle acceleration during crisis without losing data quality.</t>
        </is>
      </c>
      <c r="H218" s="13" t="inlineStr">
        <is>
          <t>Severe risk: planning cycle acceleration during crisis without losing data quality is not reliably controlled. During Supplier/logistics disruption; Manufacturing disruption; Demand shock, the organization may face supplier failure, logistics disruption, inventory shortages and production or delivery delays with limited visibility or accountability.</t>
        </is>
      </c>
      <c r="I218" s="13" t="inlineStr">
        <is>
          <t>High risk: planning cycle acceleration during crisis without losing data quality depends on informal practices or individual knowledge. Disruption may expose supplier failure, logistics disruption, inventory shortages and production or delivery delays and slow recovery.</t>
        </is>
      </c>
      <c r="J218" s="13" t="inlineStr">
        <is>
          <t>Elevated risk: planning cycle acceleration during crisis without losing data quality is partially controlled, but coverage, evidence or testing is inconsistent. Crisis response may be fragmented.</t>
        </is>
      </c>
      <c r="K218" s="13" t="inlineStr">
        <is>
          <t>Moderate risk: planning cycle acceleration during crisis without losing data quality is documented and owned, but measurement, stress testing and integration with dependent processes need strengthening.</t>
        </is>
      </c>
      <c r="L218" s="13" t="inlineStr">
        <is>
          <t>Residual risk: planning cycle acceleration during crisis without losing data quality is measured and reviewed, but monitoring, automation or scenario testing should be improved to prevent maturity drift.</t>
        </is>
      </c>
      <c r="M218" s="13" t="inlineStr">
        <is>
          <t>Low residual risk: planning cycle acceleration during crisis without losing data quality is mature and crisis-tested. Maintain monitoring, evidence, ownership and periodic stress testing.</t>
        </is>
      </c>
      <c r="N218" s="13" t="inlineStr">
        <is>
          <t>Create an immediate risk owner, minimum control baseline and fallback procedure for planning cycle acceleration during crisis without losing data quality. Add it to the crisis risk register and collect first evidence.</t>
        </is>
      </c>
      <c r="O218" s="13" t="inlineStr">
        <is>
          <t>Document planning cycle acceleration during crisis without losing data quality, assign RACI, define minimum controls and KPIs, and validate coverage across key sites, teams or systems.</t>
        </is>
      </c>
      <c r="P218" s="13" t="inlineStr">
        <is>
          <t>Standardize planning cycle acceleration during crisis without losing data quality, close coverage gaps, train accountable roles and connect controls to the relevant crisis scenarios and continuity plans.</t>
        </is>
      </c>
      <c r="Q218" s="13" t="inlineStr">
        <is>
          <t>Measure and test planning cycle acceleration during crisis without losing data quality, run tabletop or operational stress tests, integrate it with dependent processes and update crisis playbooks.</t>
        </is>
      </c>
      <c r="R218" s="13" t="inlineStr">
        <is>
          <t>Automate monitoring where practical, define leading indicators, run periodic scenario tests and track residual risk after each major change.</t>
        </is>
      </c>
      <c r="S218" s="13" t="inlineStr">
        <is>
          <t>Sustain maturity for planning cycle acceleration during crisis without losing data quality: keep evidence current, monitor drift, benchmark externally and refresh risk tests after organizational, system or market changes.</t>
        </is>
      </c>
      <c r="T218" s="13" t="n">
        <v>4</v>
      </c>
      <c r="U218" s="13" t="n">
        <v>3</v>
      </c>
      <c r="V218" s="13" t="n">
        <v>3</v>
      </c>
      <c r="W218" s="13" t="n">
        <v>2</v>
      </c>
      <c r="X218" s="13" t="n">
        <v>1</v>
      </c>
      <c r="Y218" s="13" t="n">
        <v>1</v>
      </c>
      <c r="Z218" s="13" t="inlineStr">
        <is>
          <t>ISO 22301; ISO 20400; ISO 28000; SCOR Digital Standard; S&amp;OP/IBP; APICS/ASCM</t>
        </is>
      </c>
      <c r="AA218" s="13" t="inlineStr">
        <is>
          <t>Policy/SOP; owner/RACI; system report; dashboard; contracts; test records; incident history; interview evidence related to planning cycle acceleration during crisis without losing data quality.</t>
        </is>
      </c>
      <c r="AB218" s="13" t="inlineStr">
        <is>
          <t>Supplier/logistics disruption; Manufacturing disruption; Demand shock</t>
        </is>
      </c>
      <c r="AC218" s="13" t="inlineStr">
        <is>
          <t>Supply Chain / Procurement</t>
        </is>
      </c>
      <c r="AD218" s="13" t="inlineStr">
        <is>
          <t>Supply Chain!23</t>
        </is>
      </c>
      <c r="AE218">
        <f>IF($A218="","",IF(OR(ISNUMBER(SEARCH("cyber",$D218)),ISNUMBER(SEARCH("security",$D218)),ISNUMBER(SEARCH("safety",$D218)),ISNUMBER(SEARCH("liquidity",$D218)),ISNUMBER(SEARCH("cash",$D218)),ISNUMBER(SEARCH("continuity",$D218)),ISNUMBER(SEARCH("infrastructure",$D218)),ISNUMBER(SEARCH("outage",$D218))),"Fast",IF(OR(ISNUMBER(SEARCH("compliance",$D218)),ISNUMBER(SEARCH("regulat",$D218)),ISNUMBER(SEARCH("data",$D218)),ISNUMBER(SEARCH("talent",$D218)),ISNUMBER(SEARCH("knowledge",$D218)),ISNUMBER(SEARCH("portfolio",$D218)),ISNUMBER(SEARCH("quality",$D218))),"Slow","Medium")))</f>
        <v/>
      </c>
      <c r="AF218">
        <f>IF($A218="","",IFERROR(VLOOKUP($B218,'_CONFIG_Risk_Calibration'!$A$5:$H$21,2,FALSE),3))</f>
        <v/>
      </c>
      <c r="AG218">
        <f>IF($A218="","",IFERROR(VLOOKUP($B218,'_CONFIG_Risk_Calibration'!$A$5:$H$21,3,FALSE),0))</f>
        <v/>
      </c>
      <c r="AH218">
        <f>IF($A218="","",IFERROR(VLOOKUP($B218,'_CONFIG_Risk_Calibration'!$A$5:$H$21,4,FALSE),3))</f>
        <v/>
      </c>
      <c r="AI218">
        <f>IF($A218="","",IFERROR(VLOOKUP($B218,'_CONFIG_Risk_Calibration'!$A$5:$H$21,5,FALSE),3))</f>
        <v/>
      </c>
      <c r="AJ218">
        <f>IF($A218="","",IFERROR(VLOOKUP($B218,'_CONFIG_Risk_Calibration'!$A$5:$H$21,6,FALSE),"No"))</f>
        <v/>
      </c>
      <c r="AK218">
        <f>IF($A218="","",IFERROR(VLOOKUP($B218,'_CONFIG_Risk_Calibration'!$A$5:$H$21,7,FALSE),1))</f>
        <v/>
      </c>
      <c r="AL218">
        <f>IF($A218="","",IFERROR(VLOOKUP($B218,'_CONFIG_Risk_Calibration'!$A$5:$H$21,8,FALSE),""))</f>
        <v/>
      </c>
    </row>
    <row r="219" ht="72" customHeight="1" s="209">
      <c r="A219" s="13" t="inlineStr">
        <is>
          <t>SUPP-020</t>
        </is>
      </c>
      <c r="B219" s="13" t="inlineStr">
        <is>
          <t>Supply Chain</t>
        </is>
      </c>
      <c r="C219" s="13" t="inlineStr">
        <is>
          <t>Technology and risk</t>
        </is>
      </c>
      <c r="D219" s="13" t="inlineStr">
        <is>
          <t>Supply chain, logistics and supplier continuity</t>
        </is>
      </c>
      <c r="E219" s="13" t="inlineStr">
        <is>
          <t>How mature is the organization in managing ERP, MRP, WMS, TMS and supplier portal integration and resilience, including ownership, evidence, metrics, fallback procedures and crisis stress testing?</t>
        </is>
      </c>
      <c r="F219" s="13" t="inlineStr">
        <is>
          <t>Immature capability for ERP, MRP, WMS, TMS and supplier portal integration and resilience may lead to supplier failure, logistics disruption, inventory shortages and production or delivery delays during Supplier/logistics disruption; Manufacturing disruption; Demand shock.</t>
        </is>
      </c>
      <c r="G219" s="13" t="inlineStr">
        <is>
          <t>Low maturity, weak ownership, incomplete evidence, insufficient testing and poor integration with crisis-management routines for ERP, MRP, WMS, TMS and supplier portal integration and resilience.</t>
        </is>
      </c>
      <c r="H219" s="13" t="inlineStr">
        <is>
          <t>Severe risk: ERP, MRP, WMS, TMS and supplier portal integration and resilience is not reliably controlled. During Supplier/logistics disruption; Manufacturing disruption; Demand shock, the organization may face supplier failure, logistics disruption, inventory shortages and production or delivery delays with limited visibility or accountability.</t>
        </is>
      </c>
      <c r="I219" s="13" t="inlineStr">
        <is>
          <t>High risk: ERP, MRP, WMS, TMS and supplier portal integration and resilience depends on informal practices or individual knowledge. Disruption may expose supplier failure, logistics disruption, inventory shortages and production or delivery delays and slow recovery.</t>
        </is>
      </c>
      <c r="J219" s="13" t="inlineStr">
        <is>
          <t>Elevated risk: ERP, MRP, WMS, TMS and supplier portal integration and resilience is partially controlled, but coverage, evidence or testing is inconsistent. Crisis response may be fragmented.</t>
        </is>
      </c>
      <c r="K219" s="13" t="inlineStr">
        <is>
          <t>Moderate risk: ERP, MRP, WMS, TMS and supplier portal integration and resilience is documented and owned, but measurement, stress testing and integration with dependent processes need strengthening.</t>
        </is>
      </c>
      <c r="L219" s="13" t="inlineStr">
        <is>
          <t>Residual risk: ERP, MRP, WMS, TMS and supplier portal integration and resilience is measured and reviewed, but monitoring, automation or scenario testing should be improved to prevent maturity drift.</t>
        </is>
      </c>
      <c r="M219" s="13" t="inlineStr">
        <is>
          <t>Low residual risk: ERP, MRP, WMS, TMS and supplier portal integration and resilience is mature and crisis-tested. Maintain monitoring, evidence, ownership and periodic stress testing.</t>
        </is>
      </c>
      <c r="N219" s="13" t="inlineStr">
        <is>
          <t>Create an immediate risk owner, minimum control baseline and fallback procedure for ERP, MRP, WMS, TMS and supplier portal integration and resilience. Add it to the crisis risk register and collect first evidence.</t>
        </is>
      </c>
      <c r="O219" s="13" t="inlineStr">
        <is>
          <t>Document ERP, MRP, WMS, TMS and supplier portal integration and resilience, assign RACI, define minimum controls and KPIs, and validate coverage across key sites, teams or systems.</t>
        </is>
      </c>
      <c r="P219" s="13" t="inlineStr">
        <is>
          <t>Standardize ERP, MRP, WMS, TMS and supplier portal integration and resilience, close coverage gaps, train accountable roles and connect controls to the relevant crisis scenarios and continuity plans.</t>
        </is>
      </c>
      <c r="Q219" s="13" t="inlineStr">
        <is>
          <t>Measure and test ERP, MRP, WMS, TMS and supplier portal integration and resilience, run tabletop or operational stress tests, integrate it with dependent processes and update crisis playbooks.</t>
        </is>
      </c>
      <c r="R219" s="13" t="inlineStr">
        <is>
          <t>Automate monitoring where practical, define leading indicators, run periodic scenario tests and track residual risk after each major change.</t>
        </is>
      </c>
      <c r="S219" s="13" t="inlineStr">
        <is>
          <t>Sustain maturity for ERP, MRP, WMS, TMS and supplier portal integration and resilience: keep evidence current, monitor drift, benchmark externally and refresh risk tests after organizational, system or market changes.</t>
        </is>
      </c>
      <c r="T219" s="13" t="n">
        <v>4</v>
      </c>
      <c r="U219" s="13" t="n">
        <v>3</v>
      </c>
      <c r="V219" s="13" t="n">
        <v>3</v>
      </c>
      <c r="W219" s="13" t="n">
        <v>2</v>
      </c>
      <c r="X219" s="13" t="n">
        <v>1</v>
      </c>
      <c r="Y219" s="13" t="n">
        <v>1</v>
      </c>
      <c r="Z219" s="13" t="inlineStr">
        <is>
          <t>ISO 22301; ISO 20400; ISO 28000; SCOR Digital Standard; S&amp;OP/IBP; APICS/ASCM</t>
        </is>
      </c>
      <c r="AA219" s="13" t="inlineStr">
        <is>
          <t>Policy/SOP; owner/RACI; system report; dashboard; contracts; test records; incident history; interview evidence related to ERP, MRP, WMS, TMS and supplier portal integration and resilience.</t>
        </is>
      </c>
      <c r="AB219" s="13" t="inlineStr">
        <is>
          <t>Supplier/logistics disruption; Manufacturing disruption; Demand shock</t>
        </is>
      </c>
      <c r="AC219" s="13" t="inlineStr">
        <is>
          <t>Supply Chain / Procurement</t>
        </is>
      </c>
      <c r="AD219" s="13" t="inlineStr">
        <is>
          <t>Supply Chain!24</t>
        </is>
      </c>
      <c r="AE219">
        <f>IF($A219="","",IF(OR(ISNUMBER(SEARCH("cyber",$D219)),ISNUMBER(SEARCH("security",$D219)),ISNUMBER(SEARCH("safety",$D219)),ISNUMBER(SEARCH("liquidity",$D219)),ISNUMBER(SEARCH("cash",$D219)),ISNUMBER(SEARCH("continuity",$D219)),ISNUMBER(SEARCH("infrastructure",$D219)),ISNUMBER(SEARCH("outage",$D219))),"Fast",IF(OR(ISNUMBER(SEARCH("compliance",$D219)),ISNUMBER(SEARCH("regulat",$D219)),ISNUMBER(SEARCH("data",$D219)),ISNUMBER(SEARCH("talent",$D219)),ISNUMBER(SEARCH("knowledge",$D219)),ISNUMBER(SEARCH("portfolio",$D219)),ISNUMBER(SEARCH("quality",$D219))),"Slow","Medium")))</f>
        <v/>
      </c>
      <c r="AF219">
        <f>IF($A219="","",IFERROR(VLOOKUP($B219,'_CONFIG_Risk_Calibration'!$A$5:$H$21,2,FALSE),3))</f>
        <v/>
      </c>
      <c r="AG219">
        <f>IF($A219="","",IFERROR(VLOOKUP($B219,'_CONFIG_Risk_Calibration'!$A$5:$H$21,3,FALSE),0))</f>
        <v/>
      </c>
      <c r="AH219">
        <f>IF($A219="","",IFERROR(VLOOKUP($B219,'_CONFIG_Risk_Calibration'!$A$5:$H$21,4,FALSE),3))</f>
        <v/>
      </c>
      <c r="AI219">
        <f>IF($A219="","",IFERROR(VLOOKUP($B219,'_CONFIG_Risk_Calibration'!$A$5:$H$21,5,FALSE),3))</f>
        <v/>
      </c>
      <c r="AJ219">
        <f>IF($A219="","",IFERROR(VLOOKUP($B219,'_CONFIG_Risk_Calibration'!$A$5:$H$21,6,FALSE),"No"))</f>
        <v/>
      </c>
      <c r="AK219">
        <f>IF($A219="","",IFERROR(VLOOKUP($B219,'_CONFIG_Risk_Calibration'!$A$5:$H$21,7,FALSE),1))</f>
        <v/>
      </c>
      <c r="AL219">
        <f>IF($A219="","",IFERROR(VLOOKUP($B219,'_CONFIG_Risk_Calibration'!$A$5:$H$21,8,FALSE),""))</f>
        <v/>
      </c>
    </row>
    <row r="220" ht="84" customHeight="1" s="209">
      <c r="A220" s="13" t="inlineStr">
        <is>
          <t>SUPP-021</t>
        </is>
      </c>
      <c r="B220" s="13" t="inlineStr">
        <is>
          <t>Supply Chain</t>
        </is>
      </c>
      <c r="C220" s="13" t="inlineStr">
        <is>
          <t>Technology and risk</t>
        </is>
      </c>
      <c r="D220" s="13" t="inlineStr">
        <is>
          <t>Supply chain, logistics and supplier continuity</t>
        </is>
      </c>
      <c r="E220" s="13" t="inlineStr">
        <is>
          <t>How mature is the organization in managing supply chain early warning monitoring for supplier, geopolitical, weather, port, customs and price risks, including ownership, evidence, metrics, fallback procedures and crisis stress testing?</t>
        </is>
      </c>
      <c r="F220" s="13" t="inlineStr">
        <is>
          <t>Immature capability for supply chain early warning monitoring for supplier, geopolitical, weather, port, customs and price risks may lead to supplier failure, logistics disruption, inventory shortages and production or delivery delays during Supplier/logistics disruption; Manufacturing disruption; Demand shock.</t>
        </is>
      </c>
      <c r="G220" s="13" t="inlineStr">
        <is>
          <t>Low maturity, weak ownership, incomplete evidence, insufficient testing and poor integration with crisis-management routines for supply chain early warning monitoring for supplier, geopolitical, weather, port, customs and price risks.</t>
        </is>
      </c>
      <c r="H220" s="13" t="inlineStr">
        <is>
          <t>Severe risk: supply chain early warning monitoring for supplier, geopolitical, weather, port, customs and price risks is not reliably controlled. During Supplier/logistics disruption; Manufacturing disruption; Demand shock, the organization may face supplier failure, logistics disruption, inventory shortages and production or delivery delays with limited visibility or accountability.</t>
        </is>
      </c>
      <c r="I220" s="13" t="inlineStr">
        <is>
          <t>High risk: supply chain early warning monitoring for supplier, geopolitical, weather, port, customs and price risks depends on informal practices or individual knowledge. Disruption may expose supplier failure, logistics disruption, inventory shortages and production or delivery delays and slow recovery.</t>
        </is>
      </c>
      <c r="J220" s="13" t="inlineStr">
        <is>
          <t>Elevated risk: supply chain early warning monitoring for supplier, geopolitical, weather, port, customs and price risks is partially controlled, but coverage, evidence or testing is inconsistent. Crisis response may be fragmented.</t>
        </is>
      </c>
      <c r="K220" s="13" t="inlineStr">
        <is>
          <t>Moderate risk: supply chain early warning monitoring for supplier, geopolitical, weather, port, customs and price risks is documented and owned, but measurement, stress testing and integration with dependent processes need strengthening.</t>
        </is>
      </c>
      <c r="L220" s="13" t="inlineStr">
        <is>
          <t>Residual risk: supply chain early warning monitoring for supplier, geopolitical, weather, port, customs and price risks is measured and reviewed, but monitoring, automation or scenario testing should be improved to prevent maturity drift.</t>
        </is>
      </c>
      <c r="M220" s="13" t="inlineStr">
        <is>
          <t>Low residual risk: supply chain early warning monitoring for supplier, geopolitical, weather, port, customs and price risks is mature and crisis-tested. Maintain monitoring, evidence, ownership and periodic stress testing.</t>
        </is>
      </c>
      <c r="N220" s="13" t="inlineStr">
        <is>
          <t>Create an immediate risk owner, minimum control baseline and fallback procedure for supply chain early warning monitoring for supplier, geopolitical, weather, port, customs and price risks. Add it to the crisis risk register and collect first evidence.</t>
        </is>
      </c>
      <c r="O220" s="13" t="inlineStr">
        <is>
          <t>Document supply chain early warning monitoring for supplier, geopolitical, weather, port, customs and price risks, assign RACI, define minimum controls and KPIs, and validate coverage across key sites, teams or systems.</t>
        </is>
      </c>
      <c r="P220" s="13" t="inlineStr">
        <is>
          <t>Standardize supply chain early warning monitoring for supplier, geopolitical, weather, port, customs and price risks, close coverage gaps, train accountable roles and connect controls to the relevant crisis scenarios and continuity plans.</t>
        </is>
      </c>
      <c r="Q220" s="13" t="inlineStr">
        <is>
          <t>Measure and test supply chain early warning monitoring for supplier, geopolitical, weather, port, customs and price risks, run tabletop or operational stress tests, integrate it with dependent processes and update crisis playbooks.</t>
        </is>
      </c>
      <c r="R220" s="13" t="inlineStr">
        <is>
          <t>Automate monitoring where practical, define leading indicators, run periodic scenario tests and track residual risk after each major change.</t>
        </is>
      </c>
      <c r="S220" s="13" t="inlineStr">
        <is>
          <t>Sustain maturity for supply chain early warning monitoring for supplier, geopolitical, weather, port, customs and price risks: keep evidence current, monitor drift, benchmark externally and refresh risk tests after organizational, system or market changes.</t>
        </is>
      </c>
      <c r="T220" s="13" t="n">
        <v>4</v>
      </c>
      <c r="U220" s="13" t="n">
        <v>3</v>
      </c>
      <c r="V220" s="13" t="n">
        <v>3</v>
      </c>
      <c r="W220" s="13" t="n">
        <v>2</v>
      </c>
      <c r="X220" s="13" t="n">
        <v>1</v>
      </c>
      <c r="Y220" s="13" t="n">
        <v>1</v>
      </c>
      <c r="Z220" s="13" t="inlineStr">
        <is>
          <t>ISO 22301; ISO 20400; ISO 28000; SCOR Digital Standard; S&amp;OP/IBP; APICS/ASCM</t>
        </is>
      </c>
      <c r="AA220" s="13" t="inlineStr">
        <is>
          <t>Policy/SOP; owner/RACI; system report; dashboard; contracts; test records; incident history; interview evidence related to supply chain early warning monitoring for supplier, geopolitical, weather, port, customs and price risks.</t>
        </is>
      </c>
      <c r="AB220" s="13" t="inlineStr">
        <is>
          <t>Supplier/logistics disruption; Manufacturing disruption; Demand shock</t>
        </is>
      </c>
      <c r="AC220" s="13" t="inlineStr">
        <is>
          <t>Supply Chain / Procurement</t>
        </is>
      </c>
      <c r="AD220" s="13" t="inlineStr">
        <is>
          <t>Supply Chain!25</t>
        </is>
      </c>
      <c r="AE220">
        <f>IF($A220="","",IF(OR(ISNUMBER(SEARCH("cyber",$D220)),ISNUMBER(SEARCH("security",$D220)),ISNUMBER(SEARCH("safety",$D220)),ISNUMBER(SEARCH("liquidity",$D220)),ISNUMBER(SEARCH("cash",$D220)),ISNUMBER(SEARCH("continuity",$D220)),ISNUMBER(SEARCH("infrastructure",$D220)),ISNUMBER(SEARCH("outage",$D220))),"Fast",IF(OR(ISNUMBER(SEARCH("compliance",$D220)),ISNUMBER(SEARCH("regulat",$D220)),ISNUMBER(SEARCH("data",$D220)),ISNUMBER(SEARCH("talent",$D220)),ISNUMBER(SEARCH("knowledge",$D220)),ISNUMBER(SEARCH("portfolio",$D220)),ISNUMBER(SEARCH("quality",$D220))),"Slow","Medium")))</f>
        <v/>
      </c>
      <c r="AF220">
        <f>IF($A220="","",IFERROR(VLOOKUP($B220,'_CONFIG_Risk_Calibration'!$A$5:$H$21,2,FALSE),3))</f>
        <v/>
      </c>
      <c r="AG220">
        <f>IF($A220="","",IFERROR(VLOOKUP($B220,'_CONFIG_Risk_Calibration'!$A$5:$H$21,3,FALSE),0))</f>
        <v/>
      </c>
      <c r="AH220">
        <f>IF($A220="","",IFERROR(VLOOKUP($B220,'_CONFIG_Risk_Calibration'!$A$5:$H$21,4,FALSE),3))</f>
        <v/>
      </c>
      <c r="AI220">
        <f>IF($A220="","",IFERROR(VLOOKUP($B220,'_CONFIG_Risk_Calibration'!$A$5:$H$21,5,FALSE),3))</f>
        <v/>
      </c>
      <c r="AJ220">
        <f>IF($A220="","",IFERROR(VLOOKUP($B220,'_CONFIG_Risk_Calibration'!$A$5:$H$21,6,FALSE),"No"))</f>
        <v/>
      </c>
      <c r="AK220">
        <f>IF($A220="","",IFERROR(VLOOKUP($B220,'_CONFIG_Risk_Calibration'!$A$5:$H$21,7,FALSE),1))</f>
        <v/>
      </c>
      <c r="AL220">
        <f>IF($A220="","",IFERROR(VLOOKUP($B220,'_CONFIG_Risk_Calibration'!$A$5:$H$21,8,FALSE),""))</f>
        <v/>
      </c>
    </row>
    <row r="221" ht="72" customHeight="1" s="209">
      <c r="A221" s="13" t="inlineStr">
        <is>
          <t>SUPP-022</t>
        </is>
      </c>
      <c r="B221" s="13" t="inlineStr">
        <is>
          <t>Supply Chain</t>
        </is>
      </c>
      <c r="C221" s="13" t="inlineStr">
        <is>
          <t>Technology and risk</t>
        </is>
      </c>
      <c r="D221" s="13" t="inlineStr">
        <is>
          <t>Supply chain, logistics and supplier continuity</t>
        </is>
      </c>
      <c r="E221" s="13" t="inlineStr">
        <is>
          <t>How mature is the organization in managing supply cost volatility monitoring for freight, energy, commodities and currency, including ownership, evidence, metrics, fallback procedures and crisis stress testing?</t>
        </is>
      </c>
      <c r="F221" s="13" t="inlineStr">
        <is>
          <t>Immature capability for supply cost volatility monitoring for freight, energy, commodities and currency may lead to supplier failure, logistics disruption, inventory shortages and production or delivery delays during Supplier/logistics disruption; Manufacturing disruption; Demand shock.</t>
        </is>
      </c>
      <c r="G221" s="13" t="inlineStr">
        <is>
          <t>Low maturity, weak ownership, incomplete evidence, insufficient testing and poor integration with crisis-management routines for supply cost volatility monitoring for freight, energy, commodities and currency.</t>
        </is>
      </c>
      <c r="H221" s="13" t="inlineStr">
        <is>
          <t>Severe risk: supply cost volatility monitoring for freight, energy, commodities and currency is not reliably controlled. During Supplier/logistics disruption; Manufacturing disruption; Demand shock, the organization may face supplier failure, logistics disruption, inventory shortages and production or delivery delays with limited visibility or accountability.</t>
        </is>
      </c>
      <c r="I221" s="13" t="inlineStr">
        <is>
          <t>High risk: supply cost volatility monitoring for freight, energy, commodities and currency depends on informal practices or individual knowledge. Disruption may expose supplier failure, logistics disruption, inventory shortages and production or delivery delays and slow recovery.</t>
        </is>
      </c>
      <c r="J221" s="13" t="inlineStr">
        <is>
          <t>Elevated risk: supply cost volatility monitoring for freight, energy, commodities and currency is partially controlled, but coverage, evidence or testing is inconsistent. Crisis response may be fragmented.</t>
        </is>
      </c>
      <c r="K221" s="13" t="inlineStr">
        <is>
          <t>Moderate risk: supply cost volatility monitoring for freight, energy, commodities and currency is documented and owned, but measurement, stress testing and integration with dependent processes need strengthening.</t>
        </is>
      </c>
      <c r="L221" s="13" t="inlineStr">
        <is>
          <t>Residual risk: supply cost volatility monitoring for freight, energy, commodities and currency is measured and reviewed, but monitoring, automation or scenario testing should be improved to prevent maturity drift.</t>
        </is>
      </c>
      <c r="M221" s="13" t="inlineStr">
        <is>
          <t>Low residual risk: supply cost volatility monitoring for freight, energy, commodities and currency is mature and crisis-tested. Maintain monitoring, evidence, ownership and periodic stress testing.</t>
        </is>
      </c>
      <c r="N221" s="13" t="inlineStr">
        <is>
          <t>Create an immediate risk owner, minimum control baseline and fallback procedure for supply cost volatility monitoring for freight, energy, commodities and currency. Add it to the crisis risk register and collect first evidence.</t>
        </is>
      </c>
      <c r="O221" s="13" t="inlineStr">
        <is>
          <t>Document supply cost volatility monitoring for freight, energy, commodities and currency, assign RACI, define minimum controls and KPIs, and validate coverage across key sites, teams or systems.</t>
        </is>
      </c>
      <c r="P221" s="13" t="inlineStr">
        <is>
          <t>Standardize supply cost volatility monitoring for freight, energy, commodities and currency, close coverage gaps, train accountable roles and connect controls to the relevant crisis scenarios and continuity plans.</t>
        </is>
      </c>
      <c r="Q221" s="13" t="inlineStr">
        <is>
          <t>Measure and test supply cost volatility monitoring for freight, energy, commodities and currency, run tabletop or operational stress tests, integrate it with dependent processes and update crisis playbooks.</t>
        </is>
      </c>
      <c r="R221" s="13" t="inlineStr">
        <is>
          <t>Automate monitoring where practical, define leading indicators, run periodic scenario tests and track residual risk after each major change.</t>
        </is>
      </c>
      <c r="S221" s="13" t="inlineStr">
        <is>
          <t>Sustain maturity for supply cost volatility monitoring for freight, energy, commodities and currency: keep evidence current, monitor drift, benchmark externally and refresh risk tests after organizational, system or market changes.</t>
        </is>
      </c>
      <c r="T221" s="13" t="n">
        <v>4</v>
      </c>
      <c r="U221" s="13" t="n">
        <v>3</v>
      </c>
      <c r="V221" s="13" t="n">
        <v>3</v>
      </c>
      <c r="W221" s="13" t="n">
        <v>2</v>
      </c>
      <c r="X221" s="13" t="n">
        <v>1</v>
      </c>
      <c r="Y221" s="13" t="n">
        <v>1</v>
      </c>
      <c r="Z221" s="13" t="inlineStr">
        <is>
          <t>ISO 22301; ISO 20400; ISO 28000; SCOR Digital Standard; S&amp;OP/IBP; APICS/ASCM</t>
        </is>
      </c>
      <c r="AA221" s="13" t="inlineStr">
        <is>
          <t>Policy/SOP; owner/RACI; system report; dashboard; contracts; test records; incident history; interview evidence related to supply cost volatility monitoring for freight, energy, commodities and currency.</t>
        </is>
      </c>
      <c r="AB221" s="13" t="inlineStr">
        <is>
          <t>Supplier/logistics disruption; Manufacturing disruption; Demand shock</t>
        </is>
      </c>
      <c r="AC221" s="13" t="inlineStr">
        <is>
          <t>Supply Chain / Procurement</t>
        </is>
      </c>
      <c r="AD221" s="13" t="inlineStr">
        <is>
          <t>Supply Chain!26</t>
        </is>
      </c>
      <c r="AE221">
        <f>IF($A221="","",IF(OR(ISNUMBER(SEARCH("cyber",$D221)),ISNUMBER(SEARCH("security",$D221)),ISNUMBER(SEARCH("safety",$D221)),ISNUMBER(SEARCH("liquidity",$D221)),ISNUMBER(SEARCH("cash",$D221)),ISNUMBER(SEARCH("continuity",$D221)),ISNUMBER(SEARCH("infrastructure",$D221)),ISNUMBER(SEARCH("outage",$D221))),"Fast",IF(OR(ISNUMBER(SEARCH("compliance",$D221)),ISNUMBER(SEARCH("regulat",$D221)),ISNUMBER(SEARCH("data",$D221)),ISNUMBER(SEARCH("talent",$D221)),ISNUMBER(SEARCH("knowledge",$D221)),ISNUMBER(SEARCH("portfolio",$D221)),ISNUMBER(SEARCH("quality",$D221))),"Slow","Medium")))</f>
        <v/>
      </c>
      <c r="AF221">
        <f>IF($A221="","",IFERROR(VLOOKUP($B221,'_CONFIG_Risk_Calibration'!$A$5:$H$21,2,FALSE),3))</f>
        <v/>
      </c>
      <c r="AG221">
        <f>IF($A221="","",IFERROR(VLOOKUP($B221,'_CONFIG_Risk_Calibration'!$A$5:$H$21,3,FALSE),0))</f>
        <v/>
      </c>
      <c r="AH221">
        <f>IF($A221="","",IFERROR(VLOOKUP($B221,'_CONFIG_Risk_Calibration'!$A$5:$H$21,4,FALSE),3))</f>
        <v/>
      </c>
      <c r="AI221">
        <f>IF($A221="","",IFERROR(VLOOKUP($B221,'_CONFIG_Risk_Calibration'!$A$5:$H$21,5,FALSE),3))</f>
        <v/>
      </c>
      <c r="AJ221">
        <f>IF($A221="","",IFERROR(VLOOKUP($B221,'_CONFIG_Risk_Calibration'!$A$5:$H$21,6,FALSE),"No"))</f>
        <v/>
      </c>
      <c r="AK221">
        <f>IF($A221="","",IFERROR(VLOOKUP($B221,'_CONFIG_Risk_Calibration'!$A$5:$H$21,7,FALSE),1))</f>
        <v/>
      </c>
      <c r="AL221">
        <f>IF($A221="","",IFERROR(VLOOKUP($B221,'_CONFIG_Risk_Calibration'!$A$5:$H$21,8,FALSE),""))</f>
        <v/>
      </c>
    </row>
    <row r="222" ht="72" customHeight="1" s="209">
      <c r="A222" s="13" t="inlineStr">
        <is>
          <t>SUPP-023</t>
        </is>
      </c>
      <c r="B222" s="13" t="inlineStr">
        <is>
          <t>Supply Chain</t>
        </is>
      </c>
      <c r="C222" s="13" t="inlineStr">
        <is>
          <t>Technology and risk</t>
        </is>
      </c>
      <c r="D222" s="13" t="inlineStr">
        <is>
          <t>Supply chain, logistics and supplier continuity</t>
        </is>
      </c>
      <c r="E222" s="13" t="inlineStr">
        <is>
          <t>How mature is the organization in managing allocation rules when supply is insufficient to serve all customers, including ownership, evidence, metrics, fallback procedures and crisis stress testing?</t>
        </is>
      </c>
      <c r="F222" s="13" t="inlineStr">
        <is>
          <t>Immature capability for allocation rules when supply is insufficient to serve all customers may lead to supplier failure, logistics disruption, inventory shortages and production or delivery delays during Supplier/logistics disruption; Manufacturing disruption; Demand shock.</t>
        </is>
      </c>
      <c r="G222" s="13" t="inlineStr">
        <is>
          <t>Low maturity, weak ownership, incomplete evidence, insufficient testing and poor integration with crisis-management routines for allocation rules when supply is insufficient to serve all customers.</t>
        </is>
      </c>
      <c r="H222" s="13" t="inlineStr">
        <is>
          <t>Severe risk: allocation rules when supply is insufficient to serve all customers is not reliably controlled. During Supplier/logistics disruption; Manufacturing disruption; Demand shock, the organization may face supplier failure, logistics disruption, inventory shortages and production or delivery delays with limited visibility or accountability.</t>
        </is>
      </c>
      <c r="I222" s="13" t="inlineStr">
        <is>
          <t>High risk: allocation rules when supply is insufficient to serve all customers depends on informal practices or individual knowledge. Disruption may expose supplier failure, logistics disruption, inventory shortages and production or delivery delays and slow recovery.</t>
        </is>
      </c>
      <c r="J222" s="13" t="inlineStr">
        <is>
          <t>Elevated risk: allocation rules when supply is insufficient to serve all customers is partially controlled, but coverage, evidence or testing is inconsistent. Crisis response may be fragmented.</t>
        </is>
      </c>
      <c r="K222" s="13" t="inlineStr">
        <is>
          <t>Moderate risk: allocation rules when supply is insufficient to serve all customers is documented and owned, but measurement, stress testing and integration with dependent processes need strengthening.</t>
        </is>
      </c>
      <c r="L222" s="13" t="inlineStr">
        <is>
          <t>Residual risk: allocation rules when supply is insufficient to serve all customers is measured and reviewed, but monitoring, automation or scenario testing should be improved to prevent maturity drift.</t>
        </is>
      </c>
      <c r="M222" s="13" t="inlineStr">
        <is>
          <t>Low residual risk: allocation rules when supply is insufficient to serve all customers is mature and crisis-tested. Maintain monitoring, evidence, ownership and periodic stress testing.</t>
        </is>
      </c>
      <c r="N222" s="13" t="inlineStr">
        <is>
          <t>Create an immediate risk owner, minimum control baseline and fallback procedure for allocation rules when supply is insufficient to serve all customers. Add it to the crisis risk register and collect first evidence.</t>
        </is>
      </c>
      <c r="O222" s="13" t="inlineStr">
        <is>
          <t>Document allocation rules when supply is insufficient to serve all customers, assign RACI, define minimum controls and KPIs, and validate coverage across key sites, teams or systems.</t>
        </is>
      </c>
      <c r="P222" s="13" t="inlineStr">
        <is>
          <t>Standardize allocation rules when supply is insufficient to serve all customers, close coverage gaps, train accountable roles and connect controls to the relevant crisis scenarios and continuity plans.</t>
        </is>
      </c>
      <c r="Q222" s="13" t="inlineStr">
        <is>
          <t>Measure and test allocation rules when supply is insufficient to serve all customers, run tabletop or operational stress tests, integrate it with dependent processes and update crisis playbooks.</t>
        </is>
      </c>
      <c r="R222" s="13" t="inlineStr">
        <is>
          <t>Automate monitoring where practical, define leading indicators, run periodic scenario tests and track residual risk after each major change.</t>
        </is>
      </c>
      <c r="S222" s="13" t="inlineStr">
        <is>
          <t>Sustain maturity for allocation rules when supply is insufficient to serve all customers: keep evidence current, monitor drift, benchmark externally and refresh risk tests after organizational, system or market changes.</t>
        </is>
      </c>
      <c r="T222" s="13" t="n">
        <v>4</v>
      </c>
      <c r="U222" s="13" t="n">
        <v>3</v>
      </c>
      <c r="V222" s="13" t="n">
        <v>3</v>
      </c>
      <c r="W222" s="13" t="n">
        <v>2</v>
      </c>
      <c r="X222" s="13" t="n">
        <v>1</v>
      </c>
      <c r="Y222" s="13" t="n">
        <v>1</v>
      </c>
      <c r="Z222" s="13" t="inlineStr">
        <is>
          <t>ISO 22301; ISO 20400; ISO 28000; SCOR Digital Standard; S&amp;OP/IBP; APICS/ASCM</t>
        </is>
      </c>
      <c r="AA222" s="13" t="inlineStr">
        <is>
          <t>Policy/SOP; owner/RACI; system report; dashboard; contracts; test records; incident history; interview evidence related to allocation rules when supply is insufficient to serve all customers.</t>
        </is>
      </c>
      <c r="AB222" s="13" t="inlineStr">
        <is>
          <t>Supplier/logistics disruption; Manufacturing disruption; Demand shock</t>
        </is>
      </c>
      <c r="AC222" s="13" t="inlineStr">
        <is>
          <t>Supply Chain / Procurement</t>
        </is>
      </c>
      <c r="AD222" s="13" t="inlineStr">
        <is>
          <t>Supply Chain!27</t>
        </is>
      </c>
      <c r="AE222">
        <f>IF($A222="","",IF(OR(ISNUMBER(SEARCH("cyber",$D222)),ISNUMBER(SEARCH("security",$D222)),ISNUMBER(SEARCH("safety",$D222)),ISNUMBER(SEARCH("liquidity",$D222)),ISNUMBER(SEARCH("cash",$D222)),ISNUMBER(SEARCH("continuity",$D222)),ISNUMBER(SEARCH("infrastructure",$D222)),ISNUMBER(SEARCH("outage",$D222))),"Fast",IF(OR(ISNUMBER(SEARCH("compliance",$D222)),ISNUMBER(SEARCH("regulat",$D222)),ISNUMBER(SEARCH("data",$D222)),ISNUMBER(SEARCH("talent",$D222)),ISNUMBER(SEARCH("knowledge",$D222)),ISNUMBER(SEARCH("portfolio",$D222)),ISNUMBER(SEARCH("quality",$D222))),"Slow","Medium")))</f>
        <v/>
      </c>
      <c r="AF222">
        <f>IF($A222="","",IFERROR(VLOOKUP($B222,'_CONFIG_Risk_Calibration'!$A$5:$H$21,2,FALSE),3))</f>
        <v/>
      </c>
      <c r="AG222">
        <f>IF($A222="","",IFERROR(VLOOKUP($B222,'_CONFIG_Risk_Calibration'!$A$5:$H$21,3,FALSE),0))</f>
        <v/>
      </c>
      <c r="AH222">
        <f>IF($A222="","",IFERROR(VLOOKUP($B222,'_CONFIG_Risk_Calibration'!$A$5:$H$21,4,FALSE),3))</f>
        <v/>
      </c>
      <c r="AI222">
        <f>IF($A222="","",IFERROR(VLOOKUP($B222,'_CONFIG_Risk_Calibration'!$A$5:$H$21,5,FALSE),3))</f>
        <v/>
      </c>
      <c r="AJ222">
        <f>IF($A222="","",IFERROR(VLOOKUP($B222,'_CONFIG_Risk_Calibration'!$A$5:$H$21,6,FALSE),"No"))</f>
        <v/>
      </c>
      <c r="AK222">
        <f>IF($A222="","",IFERROR(VLOOKUP($B222,'_CONFIG_Risk_Calibration'!$A$5:$H$21,7,FALSE),1))</f>
        <v/>
      </c>
      <c r="AL222">
        <f>IF($A222="","",IFERROR(VLOOKUP($B222,'_CONFIG_Risk_Calibration'!$A$5:$H$21,8,FALSE),""))</f>
        <v/>
      </c>
    </row>
    <row r="223" ht="72" customHeight="1" s="209">
      <c r="A223" s="13" t="inlineStr">
        <is>
          <t>SUPP-024</t>
        </is>
      </c>
      <c r="B223" s="13" t="inlineStr">
        <is>
          <t>Supply Chain</t>
        </is>
      </c>
      <c r="C223" s="13" t="inlineStr">
        <is>
          <t>Technology and risk</t>
        </is>
      </c>
      <c r="D223" s="13" t="inlineStr">
        <is>
          <t>Supply chain, logistics and supplier continuity</t>
        </is>
      </c>
      <c r="E223" s="13" t="inlineStr">
        <is>
          <t>How mature is the organization in managing SKU, supplier, BOM, lead-time and replenishment master data quality, including ownership, evidence, metrics, fallback procedures and crisis stress testing?</t>
        </is>
      </c>
      <c r="F223" s="13" t="inlineStr">
        <is>
          <t>Immature capability for SKU, supplier, BOM, lead-time and replenishment master data quality may lead to supplier failure, logistics disruption, inventory shortages and production or delivery delays during Supplier/logistics disruption; Manufacturing disruption; Demand shock.</t>
        </is>
      </c>
      <c r="G223" s="13" t="inlineStr">
        <is>
          <t>Low maturity, weak ownership, incomplete evidence, insufficient testing and poor integration with crisis-management routines for SKU, supplier, BOM, lead-time and replenishment master data quality.</t>
        </is>
      </c>
      <c r="H223" s="13" t="inlineStr">
        <is>
          <t>Severe risk: SKU, supplier, BOM, lead-time and replenishment master data quality is not reliably controlled. During Supplier/logistics disruption; Manufacturing disruption; Demand shock, the organization may face supplier failure, logistics disruption, inventory shortages and production or delivery delays with limited visibility or accountability.</t>
        </is>
      </c>
      <c r="I223" s="13" t="inlineStr">
        <is>
          <t>High risk: SKU, supplier, BOM, lead-time and replenishment master data quality depends on informal practices or individual knowledge. Disruption may expose supplier failure, logistics disruption, inventory shortages and production or delivery delays and slow recovery.</t>
        </is>
      </c>
      <c r="J223" s="13" t="inlineStr">
        <is>
          <t>Elevated risk: SKU, supplier, BOM, lead-time and replenishment master data quality is partially controlled, but coverage, evidence or testing is inconsistent. Crisis response may be fragmented.</t>
        </is>
      </c>
      <c r="K223" s="13" t="inlineStr">
        <is>
          <t>Moderate risk: SKU, supplier, BOM, lead-time and replenishment master data quality is documented and owned, but measurement, stress testing and integration with dependent processes need strengthening.</t>
        </is>
      </c>
      <c r="L223" s="13" t="inlineStr">
        <is>
          <t>Residual risk: SKU, supplier, BOM, lead-time and replenishment master data quality is measured and reviewed, but monitoring, automation or scenario testing should be improved to prevent maturity drift.</t>
        </is>
      </c>
      <c r="M223" s="13" t="inlineStr">
        <is>
          <t>Low residual risk: SKU, supplier, BOM, lead-time and replenishment master data quality is mature and crisis-tested. Maintain monitoring, evidence, ownership and periodic stress testing.</t>
        </is>
      </c>
      <c r="N223" s="13" t="inlineStr">
        <is>
          <t>Create an immediate risk owner, minimum control baseline and fallback procedure for SKU, supplier, BOM, lead-time and replenishment master data quality. Add it to the crisis risk register and collect first evidence.</t>
        </is>
      </c>
      <c r="O223" s="13" t="inlineStr">
        <is>
          <t>Document SKU, supplier, BOM, lead-time and replenishment master data quality, assign RACI, define minimum controls and KPIs, and validate coverage across key sites, teams or systems.</t>
        </is>
      </c>
      <c r="P223" s="13" t="inlineStr">
        <is>
          <t>Standardize SKU, supplier, BOM, lead-time and replenishment master data quality, close coverage gaps, train accountable roles and connect controls to the relevant crisis scenarios and continuity plans.</t>
        </is>
      </c>
      <c r="Q223" s="13" t="inlineStr">
        <is>
          <t>Measure and test SKU, supplier, BOM, lead-time and replenishment master data quality, run tabletop or operational stress tests, integrate it with dependent processes and update crisis playbooks.</t>
        </is>
      </c>
      <c r="R223" s="13" t="inlineStr">
        <is>
          <t>Automate monitoring where practical, define leading indicators, run periodic scenario tests and track residual risk after each major change.</t>
        </is>
      </c>
      <c r="S223" s="13" t="inlineStr">
        <is>
          <t>Sustain maturity for SKU, supplier, BOM, lead-time and replenishment master data quality: keep evidence current, monitor drift, benchmark externally and refresh risk tests after organizational, system or market changes.</t>
        </is>
      </c>
      <c r="T223" s="13" t="n">
        <v>4</v>
      </c>
      <c r="U223" s="13" t="n">
        <v>3</v>
      </c>
      <c r="V223" s="13" t="n">
        <v>3</v>
      </c>
      <c r="W223" s="13" t="n">
        <v>2</v>
      </c>
      <c r="X223" s="13" t="n">
        <v>1</v>
      </c>
      <c r="Y223" s="13" t="n">
        <v>1</v>
      </c>
      <c r="Z223" s="13" t="inlineStr">
        <is>
          <t>ISO 22301; ISO 20400; ISO 28000; SCOR Digital Standard; S&amp;OP/IBP; APICS/ASCM</t>
        </is>
      </c>
      <c r="AA223" s="13" t="inlineStr">
        <is>
          <t>Policy/SOP; owner/RACI; system report; dashboard; contracts; test records; incident history; interview evidence related to SKU, supplier, BOM, lead-time and replenishment master data quality.</t>
        </is>
      </c>
      <c r="AB223" s="13" t="inlineStr">
        <is>
          <t>Supplier/logistics disruption; Manufacturing disruption; Demand shock</t>
        </is>
      </c>
      <c r="AC223" s="13" t="inlineStr">
        <is>
          <t>Supply Chain / Procurement</t>
        </is>
      </c>
      <c r="AD223" s="13" t="inlineStr">
        <is>
          <t>Supply Chain!28</t>
        </is>
      </c>
      <c r="AE223">
        <f>IF($A223="","",IF(OR(ISNUMBER(SEARCH("cyber",$D223)),ISNUMBER(SEARCH("security",$D223)),ISNUMBER(SEARCH("safety",$D223)),ISNUMBER(SEARCH("liquidity",$D223)),ISNUMBER(SEARCH("cash",$D223)),ISNUMBER(SEARCH("continuity",$D223)),ISNUMBER(SEARCH("infrastructure",$D223)),ISNUMBER(SEARCH("outage",$D223))),"Fast",IF(OR(ISNUMBER(SEARCH("compliance",$D223)),ISNUMBER(SEARCH("regulat",$D223)),ISNUMBER(SEARCH("data",$D223)),ISNUMBER(SEARCH("talent",$D223)),ISNUMBER(SEARCH("knowledge",$D223)),ISNUMBER(SEARCH("portfolio",$D223)),ISNUMBER(SEARCH("quality",$D223))),"Slow","Medium")))</f>
        <v/>
      </c>
      <c r="AF223">
        <f>IF($A223="","",IFERROR(VLOOKUP($B223,'_CONFIG_Risk_Calibration'!$A$5:$H$21,2,FALSE),3))</f>
        <v/>
      </c>
      <c r="AG223">
        <f>IF($A223="","",IFERROR(VLOOKUP($B223,'_CONFIG_Risk_Calibration'!$A$5:$H$21,3,FALSE),0))</f>
        <v/>
      </c>
      <c r="AH223">
        <f>IF($A223="","",IFERROR(VLOOKUP($B223,'_CONFIG_Risk_Calibration'!$A$5:$H$21,4,FALSE),3))</f>
        <v/>
      </c>
      <c r="AI223">
        <f>IF($A223="","",IFERROR(VLOOKUP($B223,'_CONFIG_Risk_Calibration'!$A$5:$H$21,5,FALSE),3))</f>
        <v/>
      </c>
      <c r="AJ223">
        <f>IF($A223="","",IFERROR(VLOOKUP($B223,'_CONFIG_Risk_Calibration'!$A$5:$H$21,6,FALSE),"No"))</f>
        <v/>
      </c>
      <c r="AK223">
        <f>IF($A223="","",IFERROR(VLOOKUP($B223,'_CONFIG_Risk_Calibration'!$A$5:$H$21,7,FALSE),1))</f>
        <v/>
      </c>
      <c r="AL223">
        <f>IF($A223="","",IFERROR(VLOOKUP($B223,'_CONFIG_Risk_Calibration'!$A$5:$H$21,8,FALSE),""))</f>
        <v/>
      </c>
    </row>
    <row r="224" ht="72" customHeight="1" s="209">
      <c r="A224" s="13" t="inlineStr">
        <is>
          <t>SUPP-025</t>
        </is>
      </c>
      <c r="B224" s="13" t="inlineStr">
        <is>
          <t>Supply Chain</t>
        </is>
      </c>
      <c r="C224" s="13" t="inlineStr">
        <is>
          <t>Technology and risk</t>
        </is>
      </c>
      <c r="D224" s="13" t="inlineStr">
        <is>
          <t>Supply chain, logistics and supplier continuity</t>
        </is>
      </c>
      <c r="E224" s="13" t="inlineStr">
        <is>
          <t>How mature is the organization in managing approved substitution rules for materials, components and suppliers, including ownership, evidence, metrics, fallback procedures and crisis stress testing?</t>
        </is>
      </c>
      <c r="F224" s="13" t="inlineStr">
        <is>
          <t>Immature capability for approved substitution rules for materials, components and suppliers may lead to supplier failure, logistics disruption, inventory shortages and production or delivery delays during Supplier/logistics disruption; Manufacturing disruption; Demand shock.</t>
        </is>
      </c>
      <c r="G224" s="13" t="inlineStr">
        <is>
          <t>Low maturity, weak ownership, incomplete evidence, insufficient testing and poor integration with crisis-management routines for approved substitution rules for materials, components and suppliers.</t>
        </is>
      </c>
      <c r="H224" s="13" t="inlineStr">
        <is>
          <t>Severe risk: approved substitution rules for materials, components and suppliers is not reliably controlled. During Supplier/logistics disruption; Manufacturing disruption; Demand shock, the organization may face supplier failure, logistics disruption, inventory shortages and production or delivery delays with limited visibility or accountability.</t>
        </is>
      </c>
      <c r="I224" s="13" t="inlineStr">
        <is>
          <t>High risk: approved substitution rules for materials, components and suppliers depends on informal practices or individual knowledge. Disruption may expose supplier failure, logistics disruption, inventory shortages and production or delivery delays and slow recovery.</t>
        </is>
      </c>
      <c r="J224" s="13" t="inlineStr">
        <is>
          <t>Elevated risk: approved substitution rules for materials, components and suppliers is partially controlled, but coverage, evidence or testing is inconsistent. Crisis response may be fragmented.</t>
        </is>
      </c>
      <c r="K224" s="13" t="inlineStr">
        <is>
          <t>Moderate risk: approved substitution rules for materials, components and suppliers is documented and owned, but measurement, stress testing and integration with dependent processes need strengthening.</t>
        </is>
      </c>
      <c r="L224" s="13" t="inlineStr">
        <is>
          <t>Residual risk: approved substitution rules for materials, components and suppliers is measured and reviewed, but monitoring, automation or scenario testing should be improved to prevent maturity drift.</t>
        </is>
      </c>
      <c r="M224" s="13" t="inlineStr">
        <is>
          <t>Low residual risk: approved substitution rules for materials, components and suppliers is mature and crisis-tested. Maintain monitoring, evidence, ownership and periodic stress testing.</t>
        </is>
      </c>
      <c r="N224" s="13" t="inlineStr">
        <is>
          <t>Create an immediate risk owner, minimum control baseline and fallback procedure for approved substitution rules for materials, components and suppliers. Add it to the crisis risk register and collect first evidence.</t>
        </is>
      </c>
      <c r="O224" s="13" t="inlineStr">
        <is>
          <t>Document approved substitution rules for materials, components and suppliers, assign RACI, define minimum controls and KPIs, and validate coverage across key sites, teams or systems.</t>
        </is>
      </c>
      <c r="P224" s="13" t="inlineStr">
        <is>
          <t>Standardize approved substitution rules for materials, components and suppliers, close coverage gaps, train accountable roles and connect controls to the relevant crisis scenarios and continuity plans.</t>
        </is>
      </c>
      <c r="Q224" s="13" t="inlineStr">
        <is>
          <t>Measure and test approved substitution rules for materials, components and suppliers, run tabletop or operational stress tests, integrate it with dependent processes and update crisis playbooks.</t>
        </is>
      </c>
      <c r="R224" s="13" t="inlineStr">
        <is>
          <t>Automate monitoring where practical, define leading indicators, run periodic scenario tests and track residual risk after each major change.</t>
        </is>
      </c>
      <c r="S224" s="13" t="inlineStr">
        <is>
          <t>Sustain maturity for approved substitution rules for materials, components and suppliers: keep evidence current, monitor drift, benchmark externally and refresh risk tests after organizational, system or market changes.</t>
        </is>
      </c>
      <c r="T224" s="13" t="n">
        <v>4</v>
      </c>
      <c r="U224" s="13" t="n">
        <v>3</v>
      </c>
      <c r="V224" s="13" t="n">
        <v>3</v>
      </c>
      <c r="W224" s="13" t="n">
        <v>2</v>
      </c>
      <c r="X224" s="13" t="n">
        <v>1</v>
      </c>
      <c r="Y224" s="13" t="n">
        <v>1</v>
      </c>
      <c r="Z224" s="13" t="inlineStr">
        <is>
          <t>ISO 22301; ISO 20400; ISO 28000; SCOR Digital Standard; S&amp;OP/IBP; APICS/ASCM</t>
        </is>
      </c>
      <c r="AA224" s="13" t="inlineStr">
        <is>
          <t>Policy/SOP; owner/RACI; system report; dashboard; contracts; test records; incident history; interview evidence related to approved substitution rules for materials, components and suppliers.</t>
        </is>
      </c>
      <c r="AB224" s="13" t="inlineStr">
        <is>
          <t>Supplier/logistics disruption; Manufacturing disruption; Demand shock</t>
        </is>
      </c>
      <c r="AC224" s="13" t="inlineStr">
        <is>
          <t>Supply Chain / Procurement</t>
        </is>
      </c>
      <c r="AD224" s="13" t="inlineStr">
        <is>
          <t>Supply Chain!29</t>
        </is>
      </c>
      <c r="AE224">
        <f>IF($A224="","",IF(OR(ISNUMBER(SEARCH("cyber",$D224)),ISNUMBER(SEARCH("security",$D224)),ISNUMBER(SEARCH("safety",$D224)),ISNUMBER(SEARCH("liquidity",$D224)),ISNUMBER(SEARCH("cash",$D224)),ISNUMBER(SEARCH("continuity",$D224)),ISNUMBER(SEARCH("infrastructure",$D224)),ISNUMBER(SEARCH("outage",$D224))),"Fast",IF(OR(ISNUMBER(SEARCH("compliance",$D224)),ISNUMBER(SEARCH("regulat",$D224)),ISNUMBER(SEARCH("data",$D224)),ISNUMBER(SEARCH("talent",$D224)),ISNUMBER(SEARCH("knowledge",$D224)),ISNUMBER(SEARCH("portfolio",$D224)),ISNUMBER(SEARCH("quality",$D224))),"Slow","Medium")))</f>
        <v/>
      </c>
      <c r="AF224">
        <f>IF($A224="","",IFERROR(VLOOKUP($B224,'_CONFIG_Risk_Calibration'!$A$5:$H$21,2,FALSE),3))</f>
        <v/>
      </c>
      <c r="AG224">
        <f>IF($A224="","",IFERROR(VLOOKUP($B224,'_CONFIG_Risk_Calibration'!$A$5:$H$21,3,FALSE),0))</f>
        <v/>
      </c>
      <c r="AH224">
        <f>IF($A224="","",IFERROR(VLOOKUP($B224,'_CONFIG_Risk_Calibration'!$A$5:$H$21,4,FALSE),3))</f>
        <v/>
      </c>
      <c r="AI224">
        <f>IF($A224="","",IFERROR(VLOOKUP($B224,'_CONFIG_Risk_Calibration'!$A$5:$H$21,5,FALSE),3))</f>
        <v/>
      </c>
      <c r="AJ224">
        <f>IF($A224="","",IFERROR(VLOOKUP($B224,'_CONFIG_Risk_Calibration'!$A$5:$H$21,6,FALSE),"No"))</f>
        <v/>
      </c>
      <c r="AK224">
        <f>IF($A224="","",IFERROR(VLOOKUP($B224,'_CONFIG_Risk_Calibration'!$A$5:$H$21,7,FALSE),1))</f>
        <v/>
      </c>
      <c r="AL224">
        <f>IF($A224="","",IFERROR(VLOOKUP($B224,'_CONFIG_Risk_Calibration'!$A$5:$H$21,8,FALSE),""))</f>
        <v/>
      </c>
    </row>
    <row r="225" ht="72" customHeight="1" s="209">
      <c r="A225" s="13" t="inlineStr">
        <is>
          <t>SUPP-026</t>
        </is>
      </c>
      <c r="B225" s="13" t="inlineStr">
        <is>
          <t>Supply Chain</t>
        </is>
      </c>
      <c r="C225" s="13" t="inlineStr">
        <is>
          <t>Orchestration and resilience</t>
        </is>
      </c>
      <c r="D225" s="13" t="inlineStr">
        <is>
          <t>Supply chain orchestration and resilience</t>
        </is>
      </c>
      <c r="E225" s="13" t="inlineStr">
        <is>
          <t>How mature is the organization in managing supply chain strategy aligned with business strategy and reviewed against scenarios and market shifts, including ownership, evidence, metrics, fallback procedures and crisis stress testing?</t>
        </is>
      </c>
      <c r="F225" s="13" t="inlineStr">
        <is>
          <t>Immature capability for supply chain strategy aligned with business strategy and reviewed against scenarios and market shifts may lead to a supply network optimized for yesterday’s business, misaligned investments and slow strategic response during Supplier/logistics disruption; Demand shock; Geopolitical risk.</t>
        </is>
      </c>
      <c r="G225" s="13" t="inlineStr">
        <is>
          <t>Low maturity, weak ownership, incomplete evidence, insufficient testing and poor integration with crisis-management routines for supply chain strategy aligned with business strategy and reviewed against scenarios and market shifts.</t>
        </is>
      </c>
      <c r="H225" s="13" t="inlineStr">
        <is>
          <t>Severe risk: supply chain strategy aligned with business strategy and reviewed against scenarios and market shifts is not reliably controlled. During Supplier/logistics disruption; Demand shock; Geopolitical risk, the organization may face a supply network optimized for yesterday’s business, misaligned investments and slow strategic response with limited visibility or accountability.</t>
        </is>
      </c>
      <c r="I225" s="13" t="inlineStr">
        <is>
          <t>High risk: supply chain strategy aligned with business strategy and reviewed against scenarios and market shifts depends on informal practices or individual knowledge. Disruption may expose a supply network optimized for yesterday’s business, misaligned investments and slow strategic response and slow recovery.</t>
        </is>
      </c>
      <c r="J225" s="13" t="inlineStr">
        <is>
          <t>Elevated risk: supply chain strategy aligned with business strategy and reviewed against scenarios and market shifts is partially controlled, but coverage, evidence or testing is inconsistent. Crisis response may be fragmented.</t>
        </is>
      </c>
      <c r="K225" s="13" t="inlineStr">
        <is>
          <t>Moderate risk: supply chain strategy aligned with business strategy and reviewed against scenarios and market shifts is documented and owned, but measurement, stress testing and integration with dependent processes need strengthening.</t>
        </is>
      </c>
      <c r="L225" s="13" t="inlineStr">
        <is>
          <t>Residual risk: supply chain strategy aligned with business strategy and reviewed against scenarios and market shifts is measured and reviewed, but monitoring, automation or scenario testing should be improved to prevent maturity drift.</t>
        </is>
      </c>
      <c r="M225" s="13" t="inlineStr">
        <is>
          <t>Low residual risk: supply chain strategy aligned with business strategy and reviewed against scenarios and market shifts is mature and crisis-tested. Maintain monitoring, evidence, ownership and periodic stress testing.</t>
        </is>
      </c>
      <c r="N225" s="13" t="inlineStr">
        <is>
          <t>Create an immediate risk owner, minimum control baseline and fallback procedure for supply chain strategy aligned with business strategy and reviewed against scenarios and market shifts. Add it to the crisis risk register and collect first evidence.</t>
        </is>
      </c>
      <c r="O225" s="13" t="inlineStr">
        <is>
          <t>Document supply chain strategy aligned with business strategy and reviewed against scenarios and market shifts, assign RACI, define minimum controls and KPIs, and validate coverage across key sites, teams or systems.</t>
        </is>
      </c>
      <c r="P225" s="13" t="inlineStr">
        <is>
          <t>Standardize supply chain strategy aligned with business strategy and reviewed against scenarios and market shifts, close coverage gaps, train accountable roles and connect controls to the relevant crisis scenarios and continuity plans.</t>
        </is>
      </c>
      <c r="Q225" s="13" t="inlineStr">
        <is>
          <t>Measure and test supply chain strategy aligned with business strategy and reviewed against scenarios and market shifts, run tabletop or operational stress tests, integrate it with dependent processes and update crisis playbooks.</t>
        </is>
      </c>
      <c r="R225" s="13" t="inlineStr">
        <is>
          <t>Automate monitoring where practical, define leading indicators, run periodic scenario tests and track residual risk after each major change.</t>
        </is>
      </c>
      <c r="S225" s="13" t="inlineStr">
        <is>
          <t>Sustain maturity for supply chain strategy aligned with business strategy and reviewed against scenarios and market shifts: keep evidence current, monitor drift, benchmark externally and refresh risk tests after organizational, system or market changes.</t>
        </is>
      </c>
      <c r="T225" s="13" t="n">
        <v>3</v>
      </c>
      <c r="U225" s="13" t="n">
        <v>3</v>
      </c>
      <c r="V225" s="13" t="n">
        <v>2</v>
      </c>
      <c r="W225" s="13" t="n">
        <v>2</v>
      </c>
      <c r="X225" s="13" t="n">
        <v>1</v>
      </c>
      <c r="Y225" s="13" t="n">
        <v>1</v>
      </c>
      <c r="Z225" s="13" t="inlineStr">
        <is>
          <t>SCOR DS OE1; APQC PCF 4.0</t>
        </is>
      </c>
      <c r="AA225" s="13" t="inlineStr">
        <is>
          <t>Policy/SOP; owner/RACI; system report; dashboard; contracts; test records; incident history; interview evidence related to supply chain strategy aligned with business strategy and reviewed against scenarios and market shifts</t>
        </is>
      </c>
      <c r="AB225" s="13" t="inlineStr">
        <is>
          <t>Supplier/logistics disruption; Demand shock; Geopolitical risk</t>
        </is>
      </c>
      <c r="AC225" s="13" t="inlineStr">
        <is>
          <t>COO / Head of Supply Chain</t>
        </is>
      </c>
      <c r="AD225" s="13" t="inlineStr">
        <is>
          <t>Supply Chain!30</t>
        </is>
      </c>
      <c r="AE225">
        <f>IF($A225="","",IF(OR(ISNUMBER(SEARCH("cyber",$D225)),ISNUMBER(SEARCH("security",$D225)),ISNUMBER(SEARCH("safety",$D225)),ISNUMBER(SEARCH("liquidity",$D225)),ISNUMBER(SEARCH("cash",$D225)),ISNUMBER(SEARCH("continuity",$D225)),ISNUMBER(SEARCH("infrastructure",$D225)),ISNUMBER(SEARCH("outage",$D225))),"Fast",IF(OR(ISNUMBER(SEARCH("compliance",$D225)),ISNUMBER(SEARCH("regulat",$D225)),ISNUMBER(SEARCH("data",$D225)),ISNUMBER(SEARCH("talent",$D225)),ISNUMBER(SEARCH("knowledge",$D225)),ISNUMBER(SEARCH("portfolio",$D225)),ISNUMBER(SEARCH("quality",$D225))),"Slow","Medium")))</f>
        <v/>
      </c>
      <c r="AF225">
        <f>IF($A225="","",IFERROR(VLOOKUP($B225,'_CONFIG_Risk_Calibration'!$A$5:$H$21,2,FALSE),3))</f>
        <v/>
      </c>
      <c r="AG225">
        <f>IF($A225="","",IFERROR(VLOOKUP($B225,'_CONFIG_Risk_Calibration'!$A$5:$H$21,3,FALSE),0))</f>
        <v/>
      </c>
      <c r="AH225">
        <f>IF($A225="","",IFERROR(VLOOKUP($B225,'_CONFIG_Risk_Calibration'!$A$5:$H$21,4,FALSE),3))</f>
        <v/>
      </c>
      <c r="AI225">
        <f>IF($A225="","",IFERROR(VLOOKUP($B225,'_CONFIG_Risk_Calibration'!$A$5:$H$21,5,FALSE),3))</f>
        <v/>
      </c>
      <c r="AJ225">
        <f>IF($A225="","",IFERROR(VLOOKUP($B225,'_CONFIG_Risk_Calibration'!$A$5:$H$21,6,FALSE),"No"))</f>
        <v/>
      </c>
      <c r="AK225">
        <f>IF($A225="","",IFERROR(VLOOKUP($B225,'_CONFIG_Risk_Calibration'!$A$5:$H$21,7,FALSE),1))</f>
        <v/>
      </c>
      <c r="AL225">
        <f>IF($A225="","",IFERROR(VLOOKUP($B225,'_CONFIG_Risk_Calibration'!$A$5:$H$21,8,FALSE),""))</f>
        <v/>
      </c>
    </row>
    <row r="226" ht="84" customHeight="1" s="209">
      <c r="A226" s="13" t="inlineStr">
        <is>
          <t>SUPP-027</t>
        </is>
      </c>
      <c r="B226" s="13" t="inlineStr">
        <is>
          <t>Supply Chain</t>
        </is>
      </c>
      <c r="C226" s="13" t="inlineStr">
        <is>
          <t>Orchestration and resilience</t>
        </is>
      </c>
      <c r="D226" s="13" t="inlineStr">
        <is>
          <t>Supply chain orchestration and resilience</t>
        </is>
      </c>
      <c r="E226" s="13" t="inlineStr">
        <is>
          <t>How mature is the organization in managing supply chain risk and resilience management with time-to-recovery and time-to-survive analysis for critical nodes, including ownership, evidence, metrics, fallback procedures and crisis stress testing?</t>
        </is>
      </c>
      <c r="F226" s="13" t="inlineStr">
        <is>
          <t>Immature capability for supply chain risk and resilience management with time-to-recovery and time-to-survive analysis for critical nodes may lead to unknown recovery times, untested failure modes and cascading supply failures during crisis during Supplier/logistics disruption; War/security crisis; Natural disaster.</t>
        </is>
      </c>
      <c r="G226" s="13" t="inlineStr">
        <is>
          <t>Low maturity, weak ownership, incomplete evidence, insufficient testing and poor integration with crisis-management routines for supply chain risk and resilience management with time-to-recovery and time-to-survive analysis for critical nodes.</t>
        </is>
      </c>
      <c r="H226" s="13" t="inlineStr">
        <is>
          <t>Severe risk: supply chain risk and resilience management with time-to-recovery and time-to-survive analysis for critical nodes is not reliably controlled. During Supplier/logistics disruption; War/security crisis; Natural disaster, the organization may face unknown recovery times, untested failure modes and cascading supply failures during crisis with limited visibility or accountability.</t>
        </is>
      </c>
      <c r="I226" s="13" t="inlineStr">
        <is>
          <t>High risk: supply chain risk and resilience management with time-to-recovery and time-to-survive analysis for critical nodes depends on informal practices or individual knowledge. Disruption may expose unknown recovery times, untested failure modes and cascading supply failures during crisis and slow recovery.</t>
        </is>
      </c>
      <c r="J226" s="13" t="inlineStr">
        <is>
          <t>Elevated risk: supply chain risk and resilience management with time-to-recovery and time-to-survive analysis for critical nodes is partially controlled, but coverage, evidence or testing is inconsistent. Crisis response may be fragmented.</t>
        </is>
      </c>
      <c r="K226" s="13" t="inlineStr">
        <is>
          <t>Moderate risk: supply chain risk and resilience management with time-to-recovery and time-to-survive analysis for critical nodes is documented and owned, but measurement, stress testing and integration with dependent processes need strengthening.</t>
        </is>
      </c>
      <c r="L226" s="13" t="inlineStr">
        <is>
          <t>Residual risk: supply chain risk and resilience management with time-to-recovery and time-to-survive analysis for critical nodes is measured and reviewed, but monitoring, automation or scenario testing should be improved to prevent maturity drift.</t>
        </is>
      </c>
      <c r="M226" s="13" t="inlineStr">
        <is>
          <t>Low residual risk: supply chain risk and resilience management with time-to-recovery and time-to-survive analysis for critical nodes is mature and crisis-tested. Maintain monitoring, evidence, ownership and periodic stress testing.</t>
        </is>
      </c>
      <c r="N226" s="13" t="inlineStr">
        <is>
          <t>Create an immediate risk owner, minimum control baseline and fallback procedure for supply chain risk and resilience management with time-to-recovery and time-to-survive analysis for critical nodes. Add it to the crisis risk register and collect first evidence.</t>
        </is>
      </c>
      <c r="O226" s="13" t="inlineStr">
        <is>
          <t>Document supply chain risk and resilience management with time-to-recovery and time-to-survive analysis for critical nodes, assign RACI, define minimum controls and KPIs, and validate coverage across key sites, teams or systems.</t>
        </is>
      </c>
      <c r="P226" s="13" t="inlineStr">
        <is>
          <t>Standardize supply chain risk and resilience management with time-to-recovery and time-to-survive analysis for critical nodes, close coverage gaps, train accountable roles and connect controls to the relevant crisis scenarios and continuity plans.</t>
        </is>
      </c>
      <c r="Q226" s="13" t="inlineStr">
        <is>
          <t>Measure and test supply chain risk and resilience management with time-to-recovery and time-to-survive analysis for critical nodes, run tabletop or operational stress tests, integrate it with dependent processes and update crisis playbooks.</t>
        </is>
      </c>
      <c r="R226" s="13" t="inlineStr">
        <is>
          <t>Automate monitoring where practical, define leading indicators, run periodic scenario tests and track residual risk after each major change.</t>
        </is>
      </c>
      <c r="S226" s="13" t="inlineStr">
        <is>
          <t>Sustain maturity for supply chain risk and resilience management with time-to-recovery and time-to-survive analysis for critical nodes: keep evidence current, monitor drift, benchmark externally and refresh risk tests after organizational, system or market changes.</t>
        </is>
      </c>
      <c r="T226" s="13" t="n">
        <v>3</v>
      </c>
      <c r="U226" s="13" t="n">
        <v>3</v>
      </c>
      <c r="V226" s="13" t="n">
        <v>3</v>
      </c>
      <c r="W226" s="13" t="n">
        <v>2</v>
      </c>
      <c r="X226" s="13" t="n">
        <v>2</v>
      </c>
      <c r="Y226" s="13" t="n">
        <v>1</v>
      </c>
      <c r="Z226" s="13" t="inlineStr">
        <is>
          <t>SCOR DS OE10; ISO 28000; ISO 22301</t>
        </is>
      </c>
      <c r="AA226" s="13" t="inlineStr">
        <is>
          <t>Policy/SOP; owner/RACI; system report; dashboard; contracts; test records; incident history; interview evidence related to supply chain risk and resilience management with time-to-recovery and time-to-survive analysis for critical nodes</t>
        </is>
      </c>
      <c r="AB226" s="13" t="inlineStr">
        <is>
          <t>Supplier/logistics disruption; War/security crisis; Natural disaster</t>
        </is>
      </c>
      <c r="AC226" s="13" t="inlineStr">
        <is>
          <t>Head of Supply Chain / Risk</t>
        </is>
      </c>
      <c r="AD226" s="13" t="inlineStr">
        <is>
          <t>Supply Chain!31</t>
        </is>
      </c>
      <c r="AE226">
        <f>IF($A226="","",IF(OR(ISNUMBER(SEARCH("cyber",$D226)),ISNUMBER(SEARCH("security",$D226)),ISNUMBER(SEARCH("safety",$D226)),ISNUMBER(SEARCH("liquidity",$D226)),ISNUMBER(SEARCH("cash",$D226)),ISNUMBER(SEARCH("continuity",$D226)),ISNUMBER(SEARCH("infrastructure",$D226)),ISNUMBER(SEARCH("outage",$D226))),"Fast",IF(OR(ISNUMBER(SEARCH("compliance",$D226)),ISNUMBER(SEARCH("regulat",$D226)),ISNUMBER(SEARCH("data",$D226)),ISNUMBER(SEARCH("talent",$D226)),ISNUMBER(SEARCH("knowledge",$D226)),ISNUMBER(SEARCH("portfolio",$D226)),ISNUMBER(SEARCH("quality",$D226))),"Slow","Medium")))</f>
        <v/>
      </c>
      <c r="AF226">
        <f>IF($A226="","",IFERROR(VLOOKUP($B226,'_CONFIG_Risk_Calibration'!$A$5:$H$21,2,FALSE),3))</f>
        <v/>
      </c>
      <c r="AG226">
        <f>IF($A226="","",IFERROR(VLOOKUP($B226,'_CONFIG_Risk_Calibration'!$A$5:$H$21,3,FALSE),0))</f>
        <v/>
      </c>
      <c r="AH226">
        <f>IF($A226="","",IFERROR(VLOOKUP($B226,'_CONFIG_Risk_Calibration'!$A$5:$H$21,4,FALSE),3))</f>
        <v/>
      </c>
      <c r="AI226">
        <f>IF($A226="","",IFERROR(VLOOKUP($B226,'_CONFIG_Risk_Calibration'!$A$5:$H$21,5,FALSE),3))</f>
        <v/>
      </c>
      <c r="AJ226">
        <f>IF($A226="","",IFERROR(VLOOKUP($B226,'_CONFIG_Risk_Calibration'!$A$5:$H$21,6,FALSE),"No"))</f>
        <v/>
      </c>
      <c r="AK226">
        <f>IF($A226="","",IFERROR(VLOOKUP($B226,'_CONFIG_Risk_Calibration'!$A$5:$H$21,7,FALSE),1))</f>
        <v/>
      </c>
      <c r="AL226">
        <f>IF($A226="","",IFERROR(VLOOKUP($B226,'_CONFIG_Risk_Calibration'!$A$5:$H$21,8,FALSE),""))</f>
        <v/>
      </c>
    </row>
    <row r="227" ht="72" customHeight="1" s="209">
      <c r="A227" s="13" t="inlineStr">
        <is>
          <t>SUPP-028</t>
        </is>
      </c>
      <c r="B227" s="13" t="inlineStr">
        <is>
          <t>Supply Chain</t>
        </is>
      </c>
      <c r="C227" s="13" t="inlineStr">
        <is>
          <t>Orchestration and resilience</t>
        </is>
      </c>
      <c r="D227" s="13" t="inlineStr">
        <is>
          <t>Supply chain orchestration and resilience</t>
        </is>
      </c>
      <c r="E227" s="13" t="inlineStr">
        <is>
          <t>How mature is the organization in managing supply chain agility measurement covering upside and downside flexibility and adaptability metrics, including ownership, evidence, metrics, fallback procedures and crisis stress testing?</t>
        </is>
      </c>
      <c r="F227" s="13" t="inlineStr">
        <is>
          <t>Immature capability for supply chain agility measurement covering upside and downside flexibility and adaptability metrics may lead to slow reaction to demand and supply swings and unquantified flexibility limits during Demand shock; Supplier/logistics disruption.</t>
        </is>
      </c>
      <c r="G227" s="13" t="inlineStr">
        <is>
          <t>Low maturity, weak ownership, incomplete evidence, insufficient testing and poor integration with crisis-management routines for supply chain agility measurement covering upside and downside flexibility and adaptability metrics.</t>
        </is>
      </c>
      <c r="H227" s="13" t="inlineStr">
        <is>
          <t>Severe risk: supply chain agility measurement covering upside and downside flexibility and adaptability metrics is not reliably controlled. During Demand shock; Supplier/logistics disruption, the organization may face slow reaction to demand and supply swings and unquantified flexibility limits with limited visibility or accountability.</t>
        </is>
      </c>
      <c r="I227" s="13" t="inlineStr">
        <is>
          <t>High risk: supply chain agility measurement covering upside and downside flexibility and adaptability metrics depends on informal practices or individual knowledge. Disruption may expose slow reaction to demand and supply swings and unquantified flexibility limits and slow recovery.</t>
        </is>
      </c>
      <c r="J227" s="13" t="inlineStr">
        <is>
          <t>Elevated risk: supply chain agility measurement covering upside and downside flexibility and adaptability metrics is partially controlled, but coverage, evidence or testing is inconsistent. Crisis response may be fragmented.</t>
        </is>
      </c>
      <c r="K227" s="13" t="inlineStr">
        <is>
          <t>Moderate risk: supply chain agility measurement covering upside and downside flexibility and adaptability metrics is documented and owned, but measurement, stress testing and integration with dependent processes need strengthening.</t>
        </is>
      </c>
      <c r="L227" s="13" t="inlineStr">
        <is>
          <t>Residual risk: supply chain agility measurement covering upside and downside flexibility and adaptability metrics is measured and reviewed, but monitoring, automation or scenario testing should be improved to prevent maturity drift.</t>
        </is>
      </c>
      <c r="M227" s="13" t="inlineStr">
        <is>
          <t>Low residual risk: supply chain agility measurement covering upside and downside flexibility and adaptability metrics is mature and crisis-tested. Maintain monitoring, evidence, ownership and periodic stress testing.</t>
        </is>
      </c>
      <c r="N227" s="13" t="inlineStr">
        <is>
          <t>Create an immediate risk owner, minimum control baseline and fallback procedure for supply chain agility measurement covering upside and downside flexibility and adaptability metrics. Add it to the crisis risk register and collect first evidence.</t>
        </is>
      </c>
      <c r="O227" s="13" t="inlineStr">
        <is>
          <t>Document supply chain agility measurement covering upside and downside flexibility and adaptability metrics, assign RACI, define minimum controls and KPIs, and validate coverage across key sites, teams or systems.</t>
        </is>
      </c>
      <c r="P227" s="13" t="inlineStr">
        <is>
          <t>Standardize supply chain agility measurement covering upside and downside flexibility and adaptability metrics, close coverage gaps, train accountable roles and connect controls to the relevant crisis scenarios and continuity plans.</t>
        </is>
      </c>
      <c r="Q227" s="13" t="inlineStr">
        <is>
          <t>Measure and test supply chain agility measurement covering upside and downside flexibility and adaptability metrics, run tabletop or operational stress tests, integrate it with dependent processes and update crisis playbooks.</t>
        </is>
      </c>
      <c r="R227" s="13" t="inlineStr">
        <is>
          <t>Automate monitoring where practical, define leading indicators, run periodic scenario tests and track residual risk after each major change.</t>
        </is>
      </c>
      <c r="S227" s="13" t="inlineStr">
        <is>
          <t>Sustain maturity for supply chain agility measurement covering upside and downside flexibility and adaptability metrics: keep evidence current, monitor drift, benchmark externally and refresh risk tests after organizational, system or market changes.</t>
        </is>
      </c>
      <c r="T227" s="13" t="n">
        <v>3</v>
      </c>
      <c r="U227" s="13" t="n">
        <v>2</v>
      </c>
      <c r="V227" s="13" t="n">
        <v>2</v>
      </c>
      <c r="W227" s="13" t="n">
        <v>2</v>
      </c>
      <c r="X227" s="13" t="n">
        <v>1</v>
      </c>
      <c r="Y227" s="13" t="n">
        <v>1</v>
      </c>
      <c r="Z227" s="13" t="inlineStr">
        <is>
          <t>SCOR DS Agility (AG) metrics; APQC PCF 4.0</t>
        </is>
      </c>
      <c r="AA227" s="13" t="inlineStr">
        <is>
          <t>Policy/SOP; owner/RACI; system report; dashboard; contracts; test records; incident history; interview evidence related to supply chain agility measurement covering upside and downside flexibility and adaptability metrics</t>
        </is>
      </c>
      <c r="AB227" s="13" t="inlineStr">
        <is>
          <t>Demand shock; Supplier/logistics disruption</t>
        </is>
      </c>
      <c r="AC227" s="13" t="inlineStr">
        <is>
          <t>Head of Supply Chain</t>
        </is>
      </c>
      <c r="AD227" s="13" t="inlineStr">
        <is>
          <t>Supply Chain!32</t>
        </is>
      </c>
      <c r="AE227">
        <f>IF($A227="","",IF(OR(ISNUMBER(SEARCH("cyber",$D227)),ISNUMBER(SEARCH("security",$D227)),ISNUMBER(SEARCH("safety",$D227)),ISNUMBER(SEARCH("liquidity",$D227)),ISNUMBER(SEARCH("cash",$D227)),ISNUMBER(SEARCH("continuity",$D227)),ISNUMBER(SEARCH("infrastructure",$D227)),ISNUMBER(SEARCH("outage",$D227))),"Fast",IF(OR(ISNUMBER(SEARCH("compliance",$D227)),ISNUMBER(SEARCH("regulat",$D227)),ISNUMBER(SEARCH("data",$D227)),ISNUMBER(SEARCH("talent",$D227)),ISNUMBER(SEARCH("knowledge",$D227)),ISNUMBER(SEARCH("portfolio",$D227)),ISNUMBER(SEARCH("quality",$D227))),"Slow","Medium")))</f>
        <v/>
      </c>
      <c r="AF227">
        <f>IF($A227="","",IFERROR(VLOOKUP($B227,'_CONFIG_Risk_Calibration'!$A$5:$H$21,2,FALSE),3))</f>
        <v/>
      </c>
      <c r="AG227">
        <f>IF($A227="","",IFERROR(VLOOKUP($B227,'_CONFIG_Risk_Calibration'!$A$5:$H$21,3,FALSE),0))</f>
        <v/>
      </c>
      <c r="AH227">
        <f>IF($A227="","",IFERROR(VLOOKUP($B227,'_CONFIG_Risk_Calibration'!$A$5:$H$21,4,FALSE),3))</f>
        <v/>
      </c>
      <c r="AI227">
        <f>IF($A227="","",IFERROR(VLOOKUP($B227,'_CONFIG_Risk_Calibration'!$A$5:$H$21,5,FALSE),3))</f>
        <v/>
      </c>
      <c r="AJ227">
        <f>IF($A227="","",IFERROR(VLOOKUP($B227,'_CONFIG_Risk_Calibration'!$A$5:$H$21,6,FALSE),"No"))</f>
        <v/>
      </c>
      <c r="AK227">
        <f>IF($A227="","",IFERROR(VLOOKUP($B227,'_CONFIG_Risk_Calibration'!$A$5:$H$21,7,FALSE),1))</f>
        <v/>
      </c>
      <c r="AL227">
        <f>IF($A227="","",IFERROR(VLOOKUP($B227,'_CONFIG_Risk_Calibration'!$A$5:$H$21,8,FALSE),""))</f>
        <v/>
      </c>
    </row>
    <row r="228" ht="84" customHeight="1" s="209">
      <c r="A228" s="13" t="inlineStr">
        <is>
          <t>SUPP-029</t>
        </is>
      </c>
      <c r="B228" s="13" t="inlineStr">
        <is>
          <t>Supply Chain</t>
        </is>
      </c>
      <c r="C228" s="13" t="inlineStr">
        <is>
          <t>Orchestration and resilience</t>
        </is>
      </c>
      <c r="D228" s="13" t="inlineStr">
        <is>
          <t>Supply chain orchestration and resilience</t>
        </is>
      </c>
      <c r="E228" s="13" t="inlineStr">
        <is>
          <t>How mature is the organization in managing periodic supply network design review stress-testing nodes, routes and capacity against crisis scenarios, including ownership, evidence, metrics, fallback procedures and crisis stress testing?</t>
        </is>
      </c>
      <c r="F228" s="13" t="inlineStr">
        <is>
          <t>Immature capability for periodic supply network design review stress-testing nodes, routes and capacity against crisis scenarios may lead to a structurally fragile network, hidden chokepoints and overdependence on single nodes during Supplier/logistics disruption; Geopolitical risk; Natural disaster.</t>
        </is>
      </c>
      <c r="G228" s="13" t="inlineStr">
        <is>
          <t>Low maturity, weak ownership, incomplete evidence, insufficient testing and poor integration with crisis-management routines for periodic supply network design review stress-testing nodes, routes and capacity against crisis scenarios.</t>
        </is>
      </c>
      <c r="H228" s="13" t="inlineStr">
        <is>
          <t>Severe risk: periodic supply network design review stress-testing nodes, routes and capacity against crisis scenarios is not reliably controlled. During Supplier/logistics disruption; Geopolitical risk; Natural disaster, the organization may face a structurally fragile network, hidden chokepoints and overdependence on single nodes with limited visibility or accountability.</t>
        </is>
      </c>
      <c r="I228" s="13" t="inlineStr">
        <is>
          <t>High risk: periodic supply network design review stress-testing nodes, routes and capacity against crisis scenarios depends on informal practices or individual knowledge. Disruption may expose a structurally fragile network, hidden chokepoints and overdependence on single nodes and slow recovery.</t>
        </is>
      </c>
      <c r="J228" s="13" t="inlineStr">
        <is>
          <t>Elevated risk: periodic supply network design review stress-testing nodes, routes and capacity against crisis scenarios is partially controlled, but coverage, evidence or testing is inconsistent. Crisis response may be fragmented.</t>
        </is>
      </c>
      <c r="K228" s="13" t="inlineStr">
        <is>
          <t>Moderate risk: periodic supply network design review stress-testing nodes, routes and capacity against crisis scenarios is documented and owned, but measurement, stress testing and integration with dependent processes need strengthening.</t>
        </is>
      </c>
      <c r="L228" s="13" t="inlineStr">
        <is>
          <t>Residual risk: periodic supply network design review stress-testing nodes, routes and capacity against crisis scenarios is measured and reviewed, but monitoring, automation or scenario testing should be improved to prevent maturity drift.</t>
        </is>
      </c>
      <c r="M228" s="13" t="inlineStr">
        <is>
          <t>Low residual risk: periodic supply network design review stress-testing nodes, routes and capacity against crisis scenarios is mature and crisis-tested. Maintain monitoring, evidence, ownership and periodic stress testing.</t>
        </is>
      </c>
      <c r="N228" s="13" t="inlineStr">
        <is>
          <t>Create an immediate risk owner, minimum control baseline and fallback procedure for periodic supply network design review stress-testing nodes, routes and capacity against crisis scenarios. Add it to the crisis risk register and collect first evidence.</t>
        </is>
      </c>
      <c r="O228" s="13" t="inlineStr">
        <is>
          <t>Document periodic supply network design review stress-testing nodes, routes and capacity against crisis scenarios, assign RACI, define minimum controls and KPIs, and validate coverage across key sites, teams or systems.</t>
        </is>
      </c>
      <c r="P228" s="13" t="inlineStr">
        <is>
          <t>Standardize periodic supply network design review stress-testing nodes, routes and capacity against crisis scenarios, close coverage gaps, train accountable roles and connect controls to the relevant crisis scenarios and continuity plans.</t>
        </is>
      </c>
      <c r="Q228" s="13" t="inlineStr">
        <is>
          <t>Measure and test periodic supply network design review stress-testing nodes, routes and capacity against crisis scenarios, run tabletop or operational stress tests, integrate it with dependent processes and update crisis playbooks.</t>
        </is>
      </c>
      <c r="R228" s="13" t="inlineStr">
        <is>
          <t>Automate monitoring where practical, define leading indicators, run periodic scenario tests and track residual risk after each major change.</t>
        </is>
      </c>
      <c r="S228" s="13" t="inlineStr">
        <is>
          <t>Sustain maturity for periodic supply network design review stress-testing nodes, routes and capacity against crisis scenarios: keep evidence current, monitor drift, benchmark externally and refresh risk tests after organizational, system or market changes.</t>
        </is>
      </c>
      <c r="T228" s="13" t="n">
        <v>3</v>
      </c>
      <c r="U228" s="13" t="n">
        <v>3</v>
      </c>
      <c r="V228" s="13" t="n">
        <v>3</v>
      </c>
      <c r="W228" s="13" t="n">
        <v>2</v>
      </c>
      <c r="X228" s="13" t="n">
        <v>2</v>
      </c>
      <c r="Y228" s="13" t="n">
        <v>1</v>
      </c>
      <c r="Z228" s="13" t="inlineStr">
        <is>
          <t>SCOR DS network design practices; ISO 22301</t>
        </is>
      </c>
      <c r="AA228" s="13" t="inlineStr">
        <is>
          <t>Policy/SOP; owner/RACI; system report; dashboard; contracts; test records; incident history; interview evidence related to periodic supply network design review stress-testing nodes, routes and capacity against crisis scenarios</t>
        </is>
      </c>
      <c r="AB228" s="13" t="inlineStr">
        <is>
          <t>Supplier/logistics disruption; Geopolitical risk; Natural disaster</t>
        </is>
      </c>
      <c r="AC228" s="13" t="inlineStr">
        <is>
          <t>COO / Head of Supply Chain</t>
        </is>
      </c>
      <c r="AD228" s="13" t="inlineStr">
        <is>
          <t>Supply Chain!33</t>
        </is>
      </c>
      <c r="AE228">
        <f>IF($A228="","",IF(OR(ISNUMBER(SEARCH("cyber",$D228)),ISNUMBER(SEARCH("security",$D228)),ISNUMBER(SEARCH("safety",$D228)),ISNUMBER(SEARCH("liquidity",$D228)),ISNUMBER(SEARCH("cash",$D228)),ISNUMBER(SEARCH("continuity",$D228)),ISNUMBER(SEARCH("infrastructure",$D228)),ISNUMBER(SEARCH("outage",$D228))),"Fast",IF(OR(ISNUMBER(SEARCH("compliance",$D228)),ISNUMBER(SEARCH("regulat",$D228)),ISNUMBER(SEARCH("data",$D228)),ISNUMBER(SEARCH("talent",$D228)),ISNUMBER(SEARCH("knowledge",$D228)),ISNUMBER(SEARCH("portfolio",$D228)),ISNUMBER(SEARCH("quality",$D228))),"Slow","Medium")))</f>
        <v/>
      </c>
      <c r="AF228">
        <f>IF($A228="","",IFERROR(VLOOKUP($B228,'_CONFIG_Risk_Calibration'!$A$5:$H$21,2,FALSE),3))</f>
        <v/>
      </c>
      <c r="AG228">
        <f>IF($A228="","",IFERROR(VLOOKUP($B228,'_CONFIG_Risk_Calibration'!$A$5:$H$21,3,FALSE),0))</f>
        <v/>
      </c>
      <c r="AH228">
        <f>IF($A228="","",IFERROR(VLOOKUP($B228,'_CONFIG_Risk_Calibration'!$A$5:$H$21,4,FALSE),3))</f>
        <v/>
      </c>
      <c r="AI228">
        <f>IF($A228="","",IFERROR(VLOOKUP($B228,'_CONFIG_Risk_Calibration'!$A$5:$H$21,5,FALSE),3))</f>
        <v/>
      </c>
      <c r="AJ228">
        <f>IF($A228="","",IFERROR(VLOOKUP($B228,'_CONFIG_Risk_Calibration'!$A$5:$H$21,6,FALSE),"No"))</f>
        <v/>
      </c>
      <c r="AK228">
        <f>IF($A228="","",IFERROR(VLOOKUP($B228,'_CONFIG_Risk_Calibration'!$A$5:$H$21,7,FALSE),1))</f>
        <v/>
      </c>
      <c r="AL228">
        <f>IF($A228="","",IFERROR(VLOOKUP($B228,'_CONFIG_Risk_Calibration'!$A$5:$H$21,8,FALSE),""))</f>
        <v/>
      </c>
    </row>
    <row r="229" ht="72" customHeight="1" s="209">
      <c r="A229" s="13" t="inlineStr">
        <is>
          <t>MANU-001</t>
        </is>
      </c>
      <c r="B229" s="13" t="inlineStr">
        <is>
          <t>Manufacturing MES</t>
        </is>
      </c>
      <c r="C229" s="13" t="inlineStr">
        <is>
          <t>Production footprint</t>
        </is>
      </c>
      <c r="D229" s="13" t="inlineStr">
        <is>
          <t>Manufacturing, MES and production continuity</t>
        </is>
      </c>
      <c r="E229" s="13" t="inlineStr">
        <is>
          <t>How mature is the organization in managing production footprint by plant, line, product family, capacity, workforce and crisis exposure, including ownership, evidence, metrics, fallback procedures and crisis stress testing?</t>
        </is>
      </c>
      <c r="F229" s="13" t="inlineStr">
        <is>
          <t>Immature capability for production footprint by plant, line, product family, capacity, workforce and crisis exposure may lead to production stoppage, quality defects, low asset visibility and inability to recover shop-floor operations during Manufacturing disruption; Safety incident; Energy outage; Cyberattack.</t>
        </is>
      </c>
      <c r="G229" s="13" t="inlineStr">
        <is>
          <t>Low maturity, weak ownership, incomplete evidence, insufficient testing and poor integration with crisis-management routines for production footprint by plant, line, product family, capacity, workforce and crisis exposure.</t>
        </is>
      </c>
      <c r="H229" s="13" t="inlineStr">
        <is>
          <t>Severe risk: production footprint by plant, line, product family, capacity, workforce and crisis exposure is not reliably controlled. During Manufacturing disruption; Safety incident; Energy outage; Cyberattack, the organization may face production stoppage, quality defects, low asset visibility and inability to recover shop-floor operations with limited visibility or accountability.</t>
        </is>
      </c>
      <c r="I229" s="13" t="inlineStr">
        <is>
          <t>High risk: production footprint by plant, line, product family, capacity, workforce and crisis exposure depends on informal practices or individual knowledge. Disruption may expose production stoppage, quality defects, low asset visibility and inability to recover shop-floor operations and slow recovery.</t>
        </is>
      </c>
      <c r="J229" s="13" t="inlineStr">
        <is>
          <t>Elevated risk: production footprint by plant, line, product family, capacity, workforce and crisis exposure is partially controlled, but coverage, evidence or testing is inconsistent. Crisis response may be fragmented.</t>
        </is>
      </c>
      <c r="K229" s="13" t="inlineStr">
        <is>
          <t>Moderate risk: production footprint by plant, line, product family, capacity, workforce and crisis exposure is documented and owned, but measurement, stress testing and integration with dependent processes need strengthening.</t>
        </is>
      </c>
      <c r="L229" s="13" t="inlineStr">
        <is>
          <t>Residual risk: production footprint by plant, line, product family, capacity, workforce and crisis exposure is measured and reviewed, but monitoring, automation or scenario testing should be improved to prevent maturity drift.</t>
        </is>
      </c>
      <c r="M229" s="13" t="inlineStr">
        <is>
          <t>Low residual risk: production footprint by plant, line, product family, capacity, workforce and crisis exposure is mature and crisis-tested. Maintain monitoring, evidence, ownership and periodic stress testing.</t>
        </is>
      </c>
      <c r="N229" s="13" t="inlineStr">
        <is>
          <t>Create an immediate risk owner, minimum control baseline and fallback procedure for production footprint by plant, line, product family, capacity, workforce and crisis exposure. Add it to the crisis risk register and collect first evidence.</t>
        </is>
      </c>
      <c r="O229" s="13" t="inlineStr">
        <is>
          <t>Document production footprint by plant, line, product family, capacity, workforce and crisis exposure, assign RACI, define minimum controls and KPIs, and validate coverage across key sites, teams or systems.</t>
        </is>
      </c>
      <c r="P229" s="13" t="inlineStr">
        <is>
          <t>Standardize production footprint by plant, line, product family, capacity, workforce and crisis exposure, close coverage gaps, train accountable roles and connect controls to the relevant crisis scenarios and continuity plans.</t>
        </is>
      </c>
      <c r="Q229" s="13" t="inlineStr">
        <is>
          <t>Measure and test production footprint by plant, line, product family, capacity, workforce and crisis exposure, run tabletop or operational stress tests, integrate it with dependent processes and update crisis playbooks.</t>
        </is>
      </c>
      <c r="R229" s="13" t="inlineStr">
        <is>
          <t>Automate monitoring where practical, define leading indicators, run periodic scenario tests and track residual risk after each major change.</t>
        </is>
      </c>
      <c r="S229" s="13" t="inlineStr">
        <is>
          <t>Sustain maturity for production footprint by plant, line, product family, capacity, workforce and crisis exposure: keep evidence current, monitor drift, benchmark externally and refresh risk tests after organizational, system or market changes.</t>
        </is>
      </c>
      <c r="T229" s="13" t="n">
        <v>4</v>
      </c>
      <c r="U229" s="13" t="n">
        <v>3</v>
      </c>
      <c r="V229" s="13" t="n">
        <v>3</v>
      </c>
      <c r="W229" s="13" t="n">
        <v>2</v>
      </c>
      <c r="X229" s="13" t="n">
        <v>1</v>
      </c>
      <c r="Y229" s="13" t="n">
        <v>1</v>
      </c>
      <c r="Z229" s="13" t="inlineStr">
        <is>
          <t>ISO 9001; ISO 45001; ISA-95; IEC 62443; ISO 55001; Lean; Six Sigma; TPM; MES/MOM practices</t>
        </is>
      </c>
      <c r="AA229" s="13" t="inlineStr">
        <is>
          <t>Policy/SOP; owner/RACI; system report; dashboard; contracts; test records; incident history; interview evidence related to production footprint by plant, line, product family, capacity, workforce and crisis exposure.</t>
        </is>
      </c>
      <c r="AB229" s="13" t="inlineStr">
        <is>
          <t>Manufacturing disruption; Safety incident; Energy outage; Cyberattack</t>
        </is>
      </c>
      <c r="AC229" s="13" t="inlineStr">
        <is>
          <t>COO / Plant / Manufacturing</t>
        </is>
      </c>
      <c r="AD229" s="13" t="inlineStr">
        <is>
          <t>Manufacturing MES!5</t>
        </is>
      </c>
      <c r="AE229">
        <f>IF($A229="","",IF(OR(ISNUMBER(SEARCH("cyber",$D229)),ISNUMBER(SEARCH("security",$D229)),ISNUMBER(SEARCH("safety",$D229)),ISNUMBER(SEARCH("liquidity",$D229)),ISNUMBER(SEARCH("cash",$D229)),ISNUMBER(SEARCH("continuity",$D229)),ISNUMBER(SEARCH("infrastructure",$D229)),ISNUMBER(SEARCH("outage",$D229))),"Fast",IF(OR(ISNUMBER(SEARCH("compliance",$D229)),ISNUMBER(SEARCH("regulat",$D229)),ISNUMBER(SEARCH("data",$D229)),ISNUMBER(SEARCH("talent",$D229)),ISNUMBER(SEARCH("knowledge",$D229)),ISNUMBER(SEARCH("portfolio",$D229)),ISNUMBER(SEARCH("quality",$D229))),"Slow","Medium")))</f>
        <v/>
      </c>
      <c r="AF229">
        <f>IF($A229="","",IFERROR(VLOOKUP($B229,'_CONFIG_Risk_Calibration'!$A$5:$H$21,2,FALSE),3))</f>
        <v/>
      </c>
      <c r="AG229">
        <f>IF($A229="","",IFERROR(VLOOKUP($B229,'_CONFIG_Risk_Calibration'!$A$5:$H$21,3,FALSE),0))</f>
        <v/>
      </c>
      <c r="AH229">
        <f>IF($A229="","",IFERROR(VLOOKUP($B229,'_CONFIG_Risk_Calibration'!$A$5:$H$21,4,FALSE),3))</f>
        <v/>
      </c>
      <c r="AI229">
        <f>IF($A229="","",IFERROR(VLOOKUP($B229,'_CONFIG_Risk_Calibration'!$A$5:$H$21,5,FALSE),3))</f>
        <v/>
      </c>
      <c r="AJ229">
        <f>IF($A229="","",IFERROR(VLOOKUP($B229,'_CONFIG_Risk_Calibration'!$A$5:$H$21,6,FALSE),"No"))</f>
        <v/>
      </c>
      <c r="AK229">
        <f>IF($A229="","",IFERROR(VLOOKUP($B229,'_CONFIG_Risk_Calibration'!$A$5:$H$21,7,FALSE),1))</f>
        <v/>
      </c>
      <c r="AL229">
        <f>IF($A229="","",IFERROR(VLOOKUP($B229,'_CONFIG_Risk_Calibration'!$A$5:$H$21,8,FALSE),""))</f>
        <v/>
      </c>
    </row>
    <row r="230" ht="84" customHeight="1" s="209">
      <c r="A230" s="13" t="inlineStr">
        <is>
          <t>MANU-002</t>
        </is>
      </c>
      <c r="B230" s="13" t="inlineStr">
        <is>
          <t>Manufacturing MES</t>
        </is>
      </c>
      <c r="C230" s="13" t="inlineStr">
        <is>
          <t>Production footprint</t>
        </is>
      </c>
      <c r="D230" s="13" t="inlineStr">
        <is>
          <t>Manufacturing, MES and production continuity</t>
        </is>
      </c>
      <c r="E230" s="13" t="inlineStr">
        <is>
          <t>How mature is the organization in managing production planning integrated with demand, supply, inventory, workforce and maintenance constraints, including ownership, evidence, metrics, fallback procedures and crisis stress testing?</t>
        </is>
      </c>
      <c r="F230" s="13" t="inlineStr">
        <is>
          <t>Immature capability for production planning integrated with demand, supply, inventory, workforce and maintenance constraints may lead to production stoppage, quality defects, low asset visibility and inability to recover shop-floor operations during Manufacturing disruption; Safety incident; Energy outage; Cyberattack.</t>
        </is>
      </c>
      <c r="G230" s="13" t="inlineStr">
        <is>
          <t>Low maturity, weak ownership, incomplete evidence, insufficient testing and poor integration with crisis-management routines for production planning integrated with demand, supply, inventory, workforce and maintenance constraints.</t>
        </is>
      </c>
      <c r="H230" s="13" t="inlineStr">
        <is>
          <t>Severe risk: production planning integrated with demand, supply, inventory, workforce and maintenance constraints is not reliably controlled. During Manufacturing disruption; Safety incident; Energy outage; Cyberattack, the organization may face production stoppage, quality defects, low asset visibility and inability to recover shop-floor operations with limited visibility or accountability.</t>
        </is>
      </c>
      <c r="I230" s="13" t="inlineStr">
        <is>
          <t>High risk: production planning integrated with demand, supply, inventory, workforce and maintenance constraints depends on informal practices or individual knowledge. Disruption may expose production stoppage, quality defects, low asset visibility and inability to recover shop-floor operations and slow recovery.</t>
        </is>
      </c>
      <c r="J230" s="13" t="inlineStr">
        <is>
          <t>Elevated risk: production planning integrated with demand, supply, inventory, workforce and maintenance constraints is partially controlled, but coverage, evidence or testing is inconsistent. Crisis response may be fragmented.</t>
        </is>
      </c>
      <c r="K230" s="13" t="inlineStr">
        <is>
          <t>Moderate risk: production planning integrated with demand, supply, inventory, workforce and maintenance constraints is documented and owned, but measurement, stress testing and integration with dependent processes need strengthening.</t>
        </is>
      </c>
      <c r="L230" s="13" t="inlineStr">
        <is>
          <t>Residual risk: production planning integrated with demand, supply, inventory, workforce and maintenance constraints is measured and reviewed, but monitoring, automation or scenario testing should be improved to prevent maturity drift.</t>
        </is>
      </c>
      <c r="M230" s="13" t="inlineStr">
        <is>
          <t>Low residual risk: production planning integrated with demand, supply, inventory, workforce and maintenance constraints is mature and crisis-tested. Maintain monitoring, evidence, ownership and periodic stress testing.</t>
        </is>
      </c>
      <c r="N230" s="13" t="inlineStr">
        <is>
          <t>Create an immediate risk owner, minimum control baseline and fallback procedure for production planning integrated with demand, supply, inventory, workforce and maintenance constraints. Add it to the crisis risk register and collect first evidence.</t>
        </is>
      </c>
      <c r="O230" s="13" t="inlineStr">
        <is>
          <t>Document production planning integrated with demand, supply, inventory, workforce and maintenance constraints, assign RACI, define minimum controls and KPIs, and validate coverage across key sites, teams or systems.</t>
        </is>
      </c>
      <c r="P230" s="13" t="inlineStr">
        <is>
          <t>Standardize production planning integrated with demand, supply, inventory, workforce and maintenance constraints, close coverage gaps, train accountable roles and connect controls to the relevant crisis scenarios and continuity plans.</t>
        </is>
      </c>
      <c r="Q230" s="13" t="inlineStr">
        <is>
          <t>Measure and test production planning integrated with demand, supply, inventory, workforce and maintenance constraints, run tabletop or operational stress tests, integrate it with dependent processes and update crisis playbooks.</t>
        </is>
      </c>
      <c r="R230" s="13" t="inlineStr">
        <is>
          <t>Automate monitoring where practical, define leading indicators, run periodic scenario tests and track residual risk after each major change.</t>
        </is>
      </c>
      <c r="S230" s="13" t="inlineStr">
        <is>
          <t>Sustain maturity for production planning integrated with demand, supply, inventory, workforce and maintenance constraints: keep evidence current, monitor drift, benchmark externally and refresh risk tests after organizational, system or market changes.</t>
        </is>
      </c>
      <c r="T230" s="13" t="n">
        <v>4</v>
      </c>
      <c r="U230" s="13" t="n">
        <v>3</v>
      </c>
      <c r="V230" s="13" t="n">
        <v>3</v>
      </c>
      <c r="W230" s="13" t="n">
        <v>2</v>
      </c>
      <c r="X230" s="13" t="n">
        <v>1</v>
      </c>
      <c r="Y230" s="13" t="n">
        <v>1</v>
      </c>
      <c r="Z230" s="13" t="inlineStr">
        <is>
          <t>ISO 9001; ISO 45001; ISA-95; IEC 62443; ISO 55001; Lean; Six Sigma; TPM; MES/MOM practices</t>
        </is>
      </c>
      <c r="AA230" s="13" t="inlineStr">
        <is>
          <t>Policy/SOP; owner/RACI; system report; dashboard; contracts; test records; incident history; interview evidence related to production planning integrated with demand, supply, inventory, workforce and maintenance constraints.</t>
        </is>
      </c>
      <c r="AB230" s="13" t="inlineStr">
        <is>
          <t>Manufacturing disruption; Safety incident; Energy outage; Cyberattack</t>
        </is>
      </c>
      <c r="AC230" s="13" t="inlineStr">
        <is>
          <t>COO / Plant / Manufacturing</t>
        </is>
      </c>
      <c r="AD230" s="13" t="inlineStr">
        <is>
          <t>Manufacturing MES!6</t>
        </is>
      </c>
      <c r="AE230">
        <f>IF($A230="","",IF(OR(ISNUMBER(SEARCH("cyber",$D230)),ISNUMBER(SEARCH("security",$D230)),ISNUMBER(SEARCH("safety",$D230)),ISNUMBER(SEARCH("liquidity",$D230)),ISNUMBER(SEARCH("cash",$D230)),ISNUMBER(SEARCH("continuity",$D230)),ISNUMBER(SEARCH("infrastructure",$D230)),ISNUMBER(SEARCH("outage",$D230))),"Fast",IF(OR(ISNUMBER(SEARCH("compliance",$D230)),ISNUMBER(SEARCH("regulat",$D230)),ISNUMBER(SEARCH("data",$D230)),ISNUMBER(SEARCH("talent",$D230)),ISNUMBER(SEARCH("knowledge",$D230)),ISNUMBER(SEARCH("portfolio",$D230)),ISNUMBER(SEARCH("quality",$D230))),"Slow","Medium")))</f>
        <v/>
      </c>
      <c r="AF230">
        <f>IF($A230="","",IFERROR(VLOOKUP($B230,'_CONFIG_Risk_Calibration'!$A$5:$H$21,2,FALSE),3))</f>
        <v/>
      </c>
      <c r="AG230">
        <f>IF($A230="","",IFERROR(VLOOKUP($B230,'_CONFIG_Risk_Calibration'!$A$5:$H$21,3,FALSE),0))</f>
        <v/>
      </c>
      <c r="AH230">
        <f>IF($A230="","",IFERROR(VLOOKUP($B230,'_CONFIG_Risk_Calibration'!$A$5:$H$21,4,FALSE),3))</f>
        <v/>
      </c>
      <c r="AI230">
        <f>IF($A230="","",IFERROR(VLOOKUP($B230,'_CONFIG_Risk_Calibration'!$A$5:$H$21,5,FALSE),3))</f>
        <v/>
      </c>
      <c r="AJ230">
        <f>IF($A230="","",IFERROR(VLOOKUP($B230,'_CONFIG_Risk_Calibration'!$A$5:$H$21,6,FALSE),"No"))</f>
        <v/>
      </c>
      <c r="AK230">
        <f>IF($A230="","",IFERROR(VLOOKUP($B230,'_CONFIG_Risk_Calibration'!$A$5:$H$21,7,FALSE),1))</f>
        <v/>
      </c>
      <c r="AL230">
        <f>IF($A230="","",IFERROR(VLOOKUP($B230,'_CONFIG_Risk_Calibration'!$A$5:$H$21,8,FALSE),""))</f>
        <v/>
      </c>
    </row>
    <row r="231" ht="72" customHeight="1" s="209">
      <c r="A231" s="13" t="inlineStr">
        <is>
          <t>MANU-003</t>
        </is>
      </c>
      <c r="B231" s="13" t="inlineStr">
        <is>
          <t>Manufacturing MES</t>
        </is>
      </c>
      <c r="C231" s="13" t="inlineStr">
        <is>
          <t>Production footprint</t>
        </is>
      </c>
      <c r="D231" s="13" t="inlineStr">
        <is>
          <t>Manufacturing, MES and production continuity</t>
        </is>
      </c>
      <c r="E231" s="13" t="inlineStr">
        <is>
          <t>How mature is the organization in managing finite capacity planning for bottlenecks, machines, shifts and labor, including ownership, evidence, metrics, fallback procedures and crisis stress testing?</t>
        </is>
      </c>
      <c r="F231" s="13" t="inlineStr">
        <is>
          <t>Immature capability for finite capacity planning for bottlenecks, machines, shifts and labor may lead to production stoppage, quality defects, low asset visibility and inability to recover shop-floor operations during Manufacturing disruption; Safety incident; Energy outage; Cyberattack.</t>
        </is>
      </c>
      <c r="G231" s="13" t="inlineStr">
        <is>
          <t>Low maturity, weak ownership, incomplete evidence, insufficient testing and poor integration with crisis-management routines for finite capacity planning for bottlenecks, machines, shifts and labor.</t>
        </is>
      </c>
      <c r="H231" s="13" t="inlineStr">
        <is>
          <t>Severe risk: finite capacity planning for bottlenecks, machines, shifts and labor is not reliably controlled. During Manufacturing disruption; Safety incident; Energy outage; Cyberattack, the organization may face production stoppage, quality defects, low asset visibility and inability to recover shop-floor operations with limited visibility or accountability.</t>
        </is>
      </c>
      <c r="I231" s="13" t="inlineStr">
        <is>
          <t>High risk: finite capacity planning for bottlenecks, machines, shifts and labor depends on informal practices or individual knowledge. Disruption may expose production stoppage, quality defects, low asset visibility and inability to recover shop-floor operations and slow recovery.</t>
        </is>
      </c>
      <c r="J231" s="13" t="inlineStr">
        <is>
          <t>Elevated risk: finite capacity planning for bottlenecks, machines, shifts and labor is partially controlled, but coverage, evidence or testing is inconsistent. Crisis response may be fragmented.</t>
        </is>
      </c>
      <c r="K231" s="13" t="inlineStr">
        <is>
          <t>Moderate risk: finite capacity planning for bottlenecks, machines, shifts and labor is documented and owned, but measurement, stress testing and integration with dependent processes need strengthening.</t>
        </is>
      </c>
      <c r="L231" s="13" t="inlineStr">
        <is>
          <t>Residual risk: finite capacity planning for bottlenecks, machines, shifts and labor is measured and reviewed, but monitoring, automation or scenario testing should be improved to prevent maturity drift.</t>
        </is>
      </c>
      <c r="M231" s="13" t="inlineStr">
        <is>
          <t>Low residual risk: finite capacity planning for bottlenecks, machines, shifts and labor is mature and crisis-tested. Maintain monitoring, evidence, ownership and periodic stress testing.</t>
        </is>
      </c>
      <c r="N231" s="13" t="inlineStr">
        <is>
          <t>Create an immediate risk owner, minimum control baseline and fallback procedure for finite capacity planning for bottlenecks, machines, shifts and labor. Add it to the crisis risk register and collect first evidence.</t>
        </is>
      </c>
      <c r="O231" s="13" t="inlineStr">
        <is>
          <t>Document finite capacity planning for bottlenecks, machines, shifts and labor, assign RACI, define minimum controls and KPIs, and validate coverage across key sites, teams or systems.</t>
        </is>
      </c>
      <c r="P231" s="13" t="inlineStr">
        <is>
          <t>Standardize finite capacity planning for bottlenecks, machines, shifts and labor, close coverage gaps, train accountable roles and connect controls to the relevant crisis scenarios and continuity plans.</t>
        </is>
      </c>
      <c r="Q231" s="13" t="inlineStr">
        <is>
          <t>Measure and test finite capacity planning for bottlenecks, machines, shifts and labor, run tabletop or operational stress tests, integrate it with dependent processes and update crisis playbooks.</t>
        </is>
      </c>
      <c r="R231" s="13" t="inlineStr">
        <is>
          <t>Automate monitoring where practical, define leading indicators, run periodic scenario tests and track residual risk after each major change.</t>
        </is>
      </c>
      <c r="S231" s="13" t="inlineStr">
        <is>
          <t>Sustain maturity for finite capacity planning for bottlenecks, machines, shifts and labor: keep evidence current, monitor drift, benchmark externally and refresh risk tests after organizational, system or market changes.</t>
        </is>
      </c>
      <c r="T231" s="13" t="n">
        <v>4</v>
      </c>
      <c r="U231" s="13" t="n">
        <v>3</v>
      </c>
      <c r="V231" s="13" t="n">
        <v>3</v>
      </c>
      <c r="W231" s="13" t="n">
        <v>2</v>
      </c>
      <c r="X231" s="13" t="n">
        <v>1</v>
      </c>
      <c r="Y231" s="13" t="n">
        <v>1</v>
      </c>
      <c r="Z231" s="13" t="inlineStr">
        <is>
          <t>ISO 9001; ISO 45001; ISA-95; IEC 62443; ISO 55001; Lean; Six Sigma; TPM; MES/MOM practices</t>
        </is>
      </c>
      <c r="AA231" s="13" t="inlineStr">
        <is>
          <t>Policy/SOP; owner/RACI; system report; dashboard; contracts; test records; incident history; interview evidence related to finite capacity planning for bottlenecks, machines, shifts and labor.</t>
        </is>
      </c>
      <c r="AB231" s="13" t="inlineStr">
        <is>
          <t>Manufacturing disruption; Safety incident; Energy outage; Cyberattack</t>
        </is>
      </c>
      <c r="AC231" s="13" t="inlineStr">
        <is>
          <t>COO / Plant / Manufacturing</t>
        </is>
      </c>
      <c r="AD231" s="13" t="inlineStr">
        <is>
          <t>Manufacturing MES!7</t>
        </is>
      </c>
      <c r="AE231">
        <f>IF($A231="","",IF(OR(ISNUMBER(SEARCH("cyber",$D231)),ISNUMBER(SEARCH("security",$D231)),ISNUMBER(SEARCH("safety",$D231)),ISNUMBER(SEARCH("liquidity",$D231)),ISNUMBER(SEARCH("cash",$D231)),ISNUMBER(SEARCH("continuity",$D231)),ISNUMBER(SEARCH("infrastructure",$D231)),ISNUMBER(SEARCH("outage",$D231))),"Fast",IF(OR(ISNUMBER(SEARCH("compliance",$D231)),ISNUMBER(SEARCH("regulat",$D231)),ISNUMBER(SEARCH("data",$D231)),ISNUMBER(SEARCH("talent",$D231)),ISNUMBER(SEARCH("knowledge",$D231)),ISNUMBER(SEARCH("portfolio",$D231)),ISNUMBER(SEARCH("quality",$D231))),"Slow","Medium")))</f>
        <v/>
      </c>
      <c r="AF231">
        <f>IF($A231="","",IFERROR(VLOOKUP($B231,'_CONFIG_Risk_Calibration'!$A$5:$H$21,2,FALSE),3))</f>
        <v/>
      </c>
      <c r="AG231">
        <f>IF($A231="","",IFERROR(VLOOKUP($B231,'_CONFIG_Risk_Calibration'!$A$5:$H$21,3,FALSE),0))</f>
        <v/>
      </c>
      <c r="AH231">
        <f>IF($A231="","",IFERROR(VLOOKUP($B231,'_CONFIG_Risk_Calibration'!$A$5:$H$21,4,FALSE),3))</f>
        <v/>
      </c>
      <c r="AI231">
        <f>IF($A231="","",IFERROR(VLOOKUP($B231,'_CONFIG_Risk_Calibration'!$A$5:$H$21,5,FALSE),3))</f>
        <v/>
      </c>
      <c r="AJ231">
        <f>IF($A231="","",IFERROR(VLOOKUP($B231,'_CONFIG_Risk_Calibration'!$A$5:$H$21,6,FALSE),"No"))</f>
        <v/>
      </c>
      <c r="AK231">
        <f>IF($A231="","",IFERROR(VLOOKUP($B231,'_CONFIG_Risk_Calibration'!$A$5:$H$21,7,FALSE),1))</f>
        <v/>
      </c>
      <c r="AL231">
        <f>IF($A231="","",IFERROR(VLOOKUP($B231,'_CONFIG_Risk_Calibration'!$A$5:$H$21,8,FALSE),""))</f>
        <v/>
      </c>
    </row>
    <row r="232" ht="72" customHeight="1" s="209">
      <c r="A232" s="13" t="inlineStr">
        <is>
          <t>MANU-004</t>
        </is>
      </c>
      <c r="B232" s="13" t="inlineStr">
        <is>
          <t>Manufacturing MES</t>
        </is>
      </c>
      <c r="C232" s="13" t="inlineStr">
        <is>
          <t>Production footprint</t>
        </is>
      </c>
      <c r="D232" s="13" t="inlineStr">
        <is>
          <t>Manufacturing, MES and production continuity</t>
        </is>
      </c>
      <c r="E232" s="13" t="inlineStr">
        <is>
          <t>How mature is the organization in managing minimum viable production under staff absence, utility outage, supplier delay or site risk, including ownership, evidence, metrics, fallback procedures and crisis stress testing?</t>
        </is>
      </c>
      <c r="F232" s="13" t="inlineStr">
        <is>
          <t>Immature capability for minimum viable production under staff absence, utility outage, supplier delay or site risk may lead to production stoppage, quality defects, low asset visibility and inability to recover shop-floor operations during Manufacturing disruption; Safety incident; Energy outage; Cyberattack.</t>
        </is>
      </c>
      <c r="G232" s="13" t="inlineStr">
        <is>
          <t>Low maturity, weak ownership, incomplete evidence, insufficient testing and poor integration with crisis-management routines for minimum viable production under staff absence, utility outage, supplier delay or site risk.</t>
        </is>
      </c>
      <c r="H232" s="13" t="inlineStr">
        <is>
          <t>Severe risk: minimum viable production under staff absence, utility outage, supplier delay or site risk is not reliably controlled. During Manufacturing disruption; Safety incident; Energy outage; Cyberattack, the organization may face production stoppage, quality defects, low asset visibility and inability to recover shop-floor operations with limited visibility or accountability.</t>
        </is>
      </c>
      <c r="I232" s="13" t="inlineStr">
        <is>
          <t>High risk: minimum viable production under staff absence, utility outage, supplier delay or site risk depends on informal practices or individual knowledge. Disruption may expose production stoppage, quality defects, low asset visibility and inability to recover shop-floor operations and slow recovery.</t>
        </is>
      </c>
      <c r="J232" s="13" t="inlineStr">
        <is>
          <t>Elevated risk: minimum viable production under staff absence, utility outage, supplier delay or site risk is partially controlled, but coverage, evidence or testing is inconsistent. Crisis response may be fragmented.</t>
        </is>
      </c>
      <c r="K232" s="13" t="inlineStr">
        <is>
          <t>Moderate risk: minimum viable production under staff absence, utility outage, supplier delay or site risk is documented and owned, but measurement, stress testing and integration with dependent processes need strengthening.</t>
        </is>
      </c>
      <c r="L232" s="13" t="inlineStr">
        <is>
          <t>Residual risk: minimum viable production under staff absence, utility outage, supplier delay or site risk is measured and reviewed, but monitoring, automation or scenario testing should be improved to prevent maturity drift.</t>
        </is>
      </c>
      <c r="M232" s="13" t="inlineStr">
        <is>
          <t>Low residual risk: minimum viable production under staff absence, utility outage, supplier delay or site risk is mature and crisis-tested. Maintain monitoring, evidence, ownership and periodic stress testing.</t>
        </is>
      </c>
      <c r="N232" s="13" t="inlineStr">
        <is>
          <t>Create an immediate risk owner, minimum control baseline and fallback procedure for minimum viable production under staff absence, utility outage, supplier delay or site risk. Add it to the crisis risk register and collect first evidence.</t>
        </is>
      </c>
      <c r="O232" s="13" t="inlineStr">
        <is>
          <t>Document minimum viable production under staff absence, utility outage, supplier delay or site risk, assign RACI, define minimum controls and KPIs, and validate coverage across key sites, teams or systems.</t>
        </is>
      </c>
      <c r="P232" s="13" t="inlineStr">
        <is>
          <t>Standardize minimum viable production under staff absence, utility outage, supplier delay or site risk, close coverage gaps, train accountable roles and connect controls to the relevant crisis scenarios and continuity plans.</t>
        </is>
      </c>
      <c r="Q232" s="13" t="inlineStr">
        <is>
          <t>Measure and test minimum viable production under staff absence, utility outage, supplier delay or site risk, run tabletop or operational stress tests, integrate it with dependent processes and update crisis playbooks.</t>
        </is>
      </c>
      <c r="R232" s="13" t="inlineStr">
        <is>
          <t>Automate monitoring where practical, define leading indicators, run periodic scenario tests and track residual risk after each major change.</t>
        </is>
      </c>
      <c r="S232" s="13" t="inlineStr">
        <is>
          <t>Sustain maturity for minimum viable production under staff absence, utility outage, supplier delay or site risk: keep evidence current, monitor drift, benchmark externally and refresh risk tests after organizational, system or market changes.</t>
        </is>
      </c>
      <c r="T232" s="13" t="n">
        <v>4</v>
      </c>
      <c r="U232" s="13" t="n">
        <v>3</v>
      </c>
      <c r="V232" s="13" t="n">
        <v>3</v>
      </c>
      <c r="W232" s="13" t="n">
        <v>2</v>
      </c>
      <c r="X232" s="13" t="n">
        <v>1</v>
      </c>
      <c r="Y232" s="13" t="n">
        <v>1</v>
      </c>
      <c r="Z232" s="13" t="inlineStr">
        <is>
          <t>ISO 9001; ISO 45001; ISA-95; IEC 62443; ISO 55001; Lean; Six Sigma; TPM; MES/MOM practices</t>
        </is>
      </c>
      <c r="AA232" s="13" t="inlineStr">
        <is>
          <t>Policy/SOP; owner/RACI; system report; dashboard; contracts; test records; incident history; interview evidence related to minimum viable production under staff absence, utility outage, supplier delay or site risk.</t>
        </is>
      </c>
      <c r="AB232" s="13" t="inlineStr">
        <is>
          <t>Manufacturing disruption; Safety incident; Energy outage; Cyberattack</t>
        </is>
      </c>
      <c r="AC232" s="13" t="inlineStr">
        <is>
          <t>COO / Plant / Manufacturing</t>
        </is>
      </c>
      <c r="AD232" s="13" t="inlineStr">
        <is>
          <t>Manufacturing MES!8</t>
        </is>
      </c>
      <c r="AE232">
        <f>IF($A232="","",IF(OR(ISNUMBER(SEARCH("cyber",$D232)),ISNUMBER(SEARCH("security",$D232)),ISNUMBER(SEARCH("safety",$D232)),ISNUMBER(SEARCH("liquidity",$D232)),ISNUMBER(SEARCH("cash",$D232)),ISNUMBER(SEARCH("continuity",$D232)),ISNUMBER(SEARCH("infrastructure",$D232)),ISNUMBER(SEARCH("outage",$D232))),"Fast",IF(OR(ISNUMBER(SEARCH("compliance",$D232)),ISNUMBER(SEARCH("regulat",$D232)),ISNUMBER(SEARCH("data",$D232)),ISNUMBER(SEARCH("talent",$D232)),ISNUMBER(SEARCH("knowledge",$D232)),ISNUMBER(SEARCH("portfolio",$D232)),ISNUMBER(SEARCH("quality",$D232))),"Slow","Medium")))</f>
        <v/>
      </c>
      <c r="AF232">
        <f>IF($A232="","",IFERROR(VLOOKUP($B232,'_CONFIG_Risk_Calibration'!$A$5:$H$21,2,FALSE),3))</f>
        <v/>
      </c>
      <c r="AG232">
        <f>IF($A232="","",IFERROR(VLOOKUP($B232,'_CONFIG_Risk_Calibration'!$A$5:$H$21,3,FALSE),0))</f>
        <v/>
      </c>
      <c r="AH232">
        <f>IF($A232="","",IFERROR(VLOOKUP($B232,'_CONFIG_Risk_Calibration'!$A$5:$H$21,4,FALSE),3))</f>
        <v/>
      </c>
      <c r="AI232">
        <f>IF($A232="","",IFERROR(VLOOKUP($B232,'_CONFIG_Risk_Calibration'!$A$5:$H$21,5,FALSE),3))</f>
        <v/>
      </c>
      <c r="AJ232">
        <f>IF($A232="","",IFERROR(VLOOKUP($B232,'_CONFIG_Risk_Calibration'!$A$5:$H$21,6,FALSE),"No"))</f>
        <v/>
      </c>
      <c r="AK232">
        <f>IF($A232="","",IFERROR(VLOOKUP($B232,'_CONFIG_Risk_Calibration'!$A$5:$H$21,7,FALSE),1))</f>
        <v/>
      </c>
      <c r="AL232">
        <f>IF($A232="","",IFERROR(VLOOKUP($B232,'_CONFIG_Risk_Calibration'!$A$5:$H$21,8,FALSE),""))</f>
        <v/>
      </c>
    </row>
    <row r="233" ht="72" customHeight="1" s="209">
      <c r="A233" s="13" t="inlineStr">
        <is>
          <t>MANU-005</t>
        </is>
      </c>
      <c r="B233" s="13" t="inlineStr">
        <is>
          <t>Manufacturing MES</t>
        </is>
      </c>
      <c r="C233" s="13" t="inlineStr">
        <is>
          <t>Production footprint</t>
        </is>
      </c>
      <c r="D233" s="13" t="inlineStr">
        <is>
          <t>Manufacturing, MES and production continuity</t>
        </is>
      </c>
      <c r="E233" s="13" t="inlineStr">
        <is>
          <t>How mature is the organization in managing line or site transferability if a facility fails, including ownership, evidence, metrics, fallback procedures and crisis stress testing?</t>
        </is>
      </c>
      <c r="F233" s="13" t="inlineStr">
        <is>
          <t>Immature capability for line or site transferability if a facility fails may lead to production stoppage, quality defects, low asset visibility and inability to recover shop-floor operations during Manufacturing disruption; Safety incident; Energy outage; Cyberattack.</t>
        </is>
      </c>
      <c r="G233" s="13" t="inlineStr">
        <is>
          <t>Low maturity, weak ownership, incomplete evidence, insufficient testing and poor integration with crisis-management routines for line or site transferability if a facility fails.</t>
        </is>
      </c>
      <c r="H233" s="13" t="inlineStr">
        <is>
          <t>Severe risk: line or site transferability if a facility fails is not reliably controlled. During Manufacturing disruption; Safety incident; Energy outage; Cyberattack, the organization may face production stoppage, quality defects, low asset visibility and inability to recover shop-floor operations with limited visibility or accountability.</t>
        </is>
      </c>
      <c r="I233" s="13" t="inlineStr">
        <is>
          <t>High risk: line or site transferability if a facility fails depends on informal practices or individual knowledge. Disruption may expose production stoppage, quality defects, low asset visibility and inability to recover shop-floor operations and slow recovery.</t>
        </is>
      </c>
      <c r="J233" s="13" t="inlineStr">
        <is>
          <t>Elevated risk: line or site transferability if a facility fails is partially controlled, but coverage, evidence or testing is inconsistent. Crisis response may be fragmented.</t>
        </is>
      </c>
      <c r="K233" s="13" t="inlineStr">
        <is>
          <t>Moderate risk: line or site transferability if a facility fails is documented and owned, but measurement, stress testing and integration with dependent processes need strengthening.</t>
        </is>
      </c>
      <c r="L233" s="13" t="inlineStr">
        <is>
          <t>Residual risk: line or site transferability if a facility fails is measured and reviewed, but monitoring, automation or scenario testing should be improved to prevent maturity drift.</t>
        </is>
      </c>
      <c r="M233" s="13" t="inlineStr">
        <is>
          <t>Low residual risk: line or site transferability if a facility fails is mature and crisis-tested. Maintain monitoring, evidence, ownership and periodic stress testing.</t>
        </is>
      </c>
      <c r="N233" s="13" t="inlineStr">
        <is>
          <t>Create an immediate risk owner, minimum control baseline and fallback procedure for line or site transferability if a facility fails. Add it to the crisis risk register and collect first evidence.</t>
        </is>
      </c>
      <c r="O233" s="13" t="inlineStr">
        <is>
          <t>Document line or site transferability if a facility fails, assign RACI, define minimum controls and KPIs, and validate coverage across key sites, teams or systems.</t>
        </is>
      </c>
      <c r="P233" s="13" t="inlineStr">
        <is>
          <t>Standardize line or site transferability if a facility fails, close coverage gaps, train accountable roles and connect controls to the relevant crisis scenarios and continuity plans.</t>
        </is>
      </c>
      <c r="Q233" s="13" t="inlineStr">
        <is>
          <t>Measure and test line or site transferability if a facility fails, run tabletop or operational stress tests, integrate it with dependent processes and update crisis playbooks.</t>
        </is>
      </c>
      <c r="R233" s="13" t="inlineStr">
        <is>
          <t>Automate monitoring where practical, define leading indicators, run periodic scenario tests and track residual risk after each major change.</t>
        </is>
      </c>
      <c r="S233" s="13" t="inlineStr">
        <is>
          <t>Sustain maturity for line or site transferability if a facility fails: keep evidence current, monitor drift, benchmark externally and refresh risk tests after organizational, system or market changes.</t>
        </is>
      </c>
      <c r="T233" s="13" t="n">
        <v>4</v>
      </c>
      <c r="U233" s="13" t="n">
        <v>3</v>
      </c>
      <c r="V233" s="13" t="n">
        <v>3</v>
      </c>
      <c r="W233" s="13" t="n">
        <v>2</v>
      </c>
      <c r="X233" s="13" t="n">
        <v>1</v>
      </c>
      <c r="Y233" s="13" t="n">
        <v>1</v>
      </c>
      <c r="Z233" s="13" t="inlineStr">
        <is>
          <t>ISO 9001; ISO 45001; ISA-95; IEC 62443; ISO 55001; Lean; Six Sigma; TPM; MES/MOM practices</t>
        </is>
      </c>
      <c r="AA233" s="13" t="inlineStr">
        <is>
          <t>Policy/SOP; owner/RACI; system report; dashboard; contracts; test records; incident history; interview evidence related to line or site transferability if a facility fails.</t>
        </is>
      </c>
      <c r="AB233" s="13" t="inlineStr">
        <is>
          <t>Manufacturing disruption; Safety incident; Energy outage; Cyberattack</t>
        </is>
      </c>
      <c r="AC233" s="13" t="inlineStr">
        <is>
          <t>COO / Plant / Manufacturing</t>
        </is>
      </c>
      <c r="AD233" s="13" t="inlineStr">
        <is>
          <t>Manufacturing MES!9</t>
        </is>
      </c>
      <c r="AE233">
        <f>IF($A233="","",IF(OR(ISNUMBER(SEARCH("cyber",$D233)),ISNUMBER(SEARCH("security",$D233)),ISNUMBER(SEARCH("safety",$D233)),ISNUMBER(SEARCH("liquidity",$D233)),ISNUMBER(SEARCH("cash",$D233)),ISNUMBER(SEARCH("continuity",$D233)),ISNUMBER(SEARCH("infrastructure",$D233)),ISNUMBER(SEARCH("outage",$D233))),"Fast",IF(OR(ISNUMBER(SEARCH("compliance",$D233)),ISNUMBER(SEARCH("regulat",$D233)),ISNUMBER(SEARCH("data",$D233)),ISNUMBER(SEARCH("talent",$D233)),ISNUMBER(SEARCH("knowledge",$D233)),ISNUMBER(SEARCH("portfolio",$D233)),ISNUMBER(SEARCH("quality",$D233))),"Slow","Medium")))</f>
        <v/>
      </c>
      <c r="AF233">
        <f>IF($A233="","",IFERROR(VLOOKUP($B233,'_CONFIG_Risk_Calibration'!$A$5:$H$21,2,FALSE),3))</f>
        <v/>
      </c>
      <c r="AG233">
        <f>IF($A233="","",IFERROR(VLOOKUP($B233,'_CONFIG_Risk_Calibration'!$A$5:$H$21,3,FALSE),0))</f>
        <v/>
      </c>
      <c r="AH233">
        <f>IF($A233="","",IFERROR(VLOOKUP($B233,'_CONFIG_Risk_Calibration'!$A$5:$H$21,4,FALSE),3))</f>
        <v/>
      </c>
      <c r="AI233">
        <f>IF($A233="","",IFERROR(VLOOKUP($B233,'_CONFIG_Risk_Calibration'!$A$5:$H$21,5,FALSE),3))</f>
        <v/>
      </c>
      <c r="AJ233">
        <f>IF($A233="","",IFERROR(VLOOKUP($B233,'_CONFIG_Risk_Calibration'!$A$5:$H$21,6,FALSE),"No"))</f>
        <v/>
      </c>
      <c r="AK233">
        <f>IF($A233="","",IFERROR(VLOOKUP($B233,'_CONFIG_Risk_Calibration'!$A$5:$H$21,7,FALSE),1))</f>
        <v/>
      </c>
      <c r="AL233">
        <f>IF($A233="","",IFERROR(VLOOKUP($B233,'_CONFIG_Risk_Calibration'!$A$5:$H$21,8,FALSE),""))</f>
        <v/>
      </c>
    </row>
    <row r="234" ht="72" customHeight="1" s="209">
      <c r="A234" s="13" t="inlineStr">
        <is>
          <t>MANU-006</t>
        </is>
      </c>
      <c r="B234" s="13" t="inlineStr">
        <is>
          <t>Manufacturing MES</t>
        </is>
      </c>
      <c r="C234" s="13" t="inlineStr">
        <is>
          <t>Production footprint</t>
        </is>
      </c>
      <c r="D234" s="13" t="inlineStr">
        <is>
          <t>Manufacturing, MES and production continuity</t>
        </is>
      </c>
      <c r="E234" s="13" t="inlineStr">
        <is>
          <t>How mature is the organization in managing contract manufacturing capacity, quality, continuity, security and compliance, including ownership, evidence, metrics, fallback procedures and crisis stress testing?</t>
        </is>
      </c>
      <c r="F234" s="13" t="inlineStr">
        <is>
          <t>Immature capability for contract manufacturing capacity, quality, continuity, security and compliance may lead to production stoppage, quality defects, low asset visibility and inability to recover shop-floor operations during Manufacturing disruption; Safety incident; Energy outage; Cyberattack.</t>
        </is>
      </c>
      <c r="G234" s="13" t="inlineStr">
        <is>
          <t>Low maturity, weak ownership, incomplete evidence, insufficient testing and poor integration with crisis-management routines for contract manufacturing capacity, quality, continuity, security and compliance.</t>
        </is>
      </c>
      <c r="H234" s="13" t="inlineStr">
        <is>
          <t>Severe risk: contract manufacturing capacity, quality, continuity, security and compliance is not reliably controlled. During Manufacturing disruption; Safety incident; Energy outage; Cyberattack, the organization may face production stoppage, quality defects, low asset visibility and inability to recover shop-floor operations with limited visibility or accountability.</t>
        </is>
      </c>
      <c r="I234" s="13" t="inlineStr">
        <is>
          <t>High risk: contract manufacturing capacity, quality, continuity, security and compliance depends on informal practices or individual knowledge. Disruption may expose production stoppage, quality defects, low asset visibility and inability to recover shop-floor operations and slow recovery.</t>
        </is>
      </c>
      <c r="J234" s="13" t="inlineStr">
        <is>
          <t>Elevated risk: contract manufacturing capacity, quality, continuity, security and compliance is partially controlled, but coverage, evidence or testing is inconsistent. Crisis response may be fragmented.</t>
        </is>
      </c>
      <c r="K234" s="13" t="inlineStr">
        <is>
          <t>Moderate risk: contract manufacturing capacity, quality, continuity, security and compliance is documented and owned, but measurement, stress testing and integration with dependent processes need strengthening.</t>
        </is>
      </c>
      <c r="L234" s="13" t="inlineStr">
        <is>
          <t>Residual risk: contract manufacturing capacity, quality, continuity, security and compliance is measured and reviewed, but monitoring, automation or scenario testing should be improved to prevent maturity drift.</t>
        </is>
      </c>
      <c r="M234" s="13" t="inlineStr">
        <is>
          <t>Low residual risk: contract manufacturing capacity, quality, continuity, security and compliance is mature and crisis-tested. Maintain monitoring, evidence, ownership and periodic stress testing.</t>
        </is>
      </c>
      <c r="N234" s="13" t="inlineStr">
        <is>
          <t>Create an immediate risk owner, minimum control baseline and fallback procedure for contract manufacturing capacity, quality, continuity, security and compliance. Add it to the crisis risk register and collect first evidence.</t>
        </is>
      </c>
      <c r="O234" s="13" t="inlineStr">
        <is>
          <t>Document contract manufacturing capacity, quality, continuity, security and compliance, assign RACI, define minimum controls and KPIs, and validate coverage across key sites, teams or systems.</t>
        </is>
      </c>
      <c r="P234" s="13" t="inlineStr">
        <is>
          <t>Standardize contract manufacturing capacity, quality, continuity, security and compliance, close coverage gaps, train accountable roles and connect controls to the relevant crisis scenarios and continuity plans.</t>
        </is>
      </c>
      <c r="Q234" s="13" t="inlineStr">
        <is>
          <t>Measure and test contract manufacturing capacity, quality, continuity, security and compliance, run tabletop or operational stress tests, integrate it with dependent processes and update crisis playbooks.</t>
        </is>
      </c>
      <c r="R234" s="13" t="inlineStr">
        <is>
          <t>Automate monitoring where practical, define leading indicators, run periodic scenario tests and track residual risk after each major change.</t>
        </is>
      </c>
      <c r="S234" s="13" t="inlineStr">
        <is>
          <t>Sustain maturity for contract manufacturing capacity, quality, continuity, security and compliance: keep evidence current, monitor drift, benchmark externally and refresh risk tests after organizational, system or market changes.</t>
        </is>
      </c>
      <c r="T234" s="13" t="n">
        <v>4</v>
      </c>
      <c r="U234" s="13" t="n">
        <v>3</v>
      </c>
      <c r="V234" s="13" t="n">
        <v>3</v>
      </c>
      <c r="W234" s="13" t="n">
        <v>2</v>
      </c>
      <c r="X234" s="13" t="n">
        <v>1</v>
      </c>
      <c r="Y234" s="13" t="n">
        <v>1</v>
      </c>
      <c r="Z234" s="13" t="inlineStr">
        <is>
          <t>ISO 9001; ISO 45001; ISA-95; IEC 62443; ISO 55001; Lean; Six Sigma; TPM; MES/MOM practices</t>
        </is>
      </c>
      <c r="AA234" s="13" t="inlineStr">
        <is>
          <t>Policy/SOP; owner/RACI; system report; dashboard; contracts; test records; incident history; interview evidence related to contract manufacturing capacity, quality, continuity, security and compliance.</t>
        </is>
      </c>
      <c r="AB234" s="13" t="inlineStr">
        <is>
          <t>Manufacturing disruption; Safety incident; Energy outage; Cyberattack</t>
        </is>
      </c>
      <c r="AC234" s="13" t="inlineStr">
        <is>
          <t>COO / Plant / Manufacturing</t>
        </is>
      </c>
      <c r="AD234" s="13" t="inlineStr">
        <is>
          <t>Manufacturing MES!10</t>
        </is>
      </c>
      <c r="AE234">
        <f>IF($A234="","",IF(OR(ISNUMBER(SEARCH("cyber",$D234)),ISNUMBER(SEARCH("security",$D234)),ISNUMBER(SEARCH("safety",$D234)),ISNUMBER(SEARCH("liquidity",$D234)),ISNUMBER(SEARCH("cash",$D234)),ISNUMBER(SEARCH("continuity",$D234)),ISNUMBER(SEARCH("infrastructure",$D234)),ISNUMBER(SEARCH("outage",$D234))),"Fast",IF(OR(ISNUMBER(SEARCH("compliance",$D234)),ISNUMBER(SEARCH("regulat",$D234)),ISNUMBER(SEARCH("data",$D234)),ISNUMBER(SEARCH("talent",$D234)),ISNUMBER(SEARCH("knowledge",$D234)),ISNUMBER(SEARCH("portfolio",$D234)),ISNUMBER(SEARCH("quality",$D234))),"Slow","Medium")))</f>
        <v/>
      </c>
      <c r="AF234">
        <f>IF($A234="","",IFERROR(VLOOKUP($B234,'_CONFIG_Risk_Calibration'!$A$5:$H$21,2,FALSE),3))</f>
        <v/>
      </c>
      <c r="AG234">
        <f>IF($A234="","",IFERROR(VLOOKUP($B234,'_CONFIG_Risk_Calibration'!$A$5:$H$21,3,FALSE),0))</f>
        <v/>
      </c>
      <c r="AH234">
        <f>IF($A234="","",IFERROR(VLOOKUP($B234,'_CONFIG_Risk_Calibration'!$A$5:$H$21,4,FALSE),3))</f>
        <v/>
      </c>
      <c r="AI234">
        <f>IF($A234="","",IFERROR(VLOOKUP($B234,'_CONFIG_Risk_Calibration'!$A$5:$H$21,5,FALSE),3))</f>
        <v/>
      </c>
      <c r="AJ234">
        <f>IF($A234="","",IFERROR(VLOOKUP($B234,'_CONFIG_Risk_Calibration'!$A$5:$H$21,6,FALSE),"No"))</f>
        <v/>
      </c>
      <c r="AK234">
        <f>IF($A234="","",IFERROR(VLOOKUP($B234,'_CONFIG_Risk_Calibration'!$A$5:$H$21,7,FALSE),1))</f>
        <v/>
      </c>
      <c r="AL234">
        <f>IF($A234="","",IFERROR(VLOOKUP($B234,'_CONFIG_Risk_Calibration'!$A$5:$H$21,8,FALSE),""))</f>
        <v/>
      </c>
    </row>
    <row r="235" ht="84" customHeight="1" s="209">
      <c r="A235" s="13" t="inlineStr">
        <is>
          <t>MANU-007</t>
        </is>
      </c>
      <c r="B235" s="13" t="inlineStr">
        <is>
          <t>Manufacturing MES</t>
        </is>
      </c>
      <c r="C235" s="13" t="inlineStr">
        <is>
          <t>MES and shop floor</t>
        </is>
      </c>
      <c r="D235" s="13" t="inlineStr">
        <is>
          <t>Manufacturing, MES and production continuity</t>
        </is>
      </c>
      <c r="E235" s="13" t="inlineStr">
        <is>
          <t>How mature is the organization in managing MES or equivalent shop-floor control for orders, operations, traceability, downtime and quality, including ownership, evidence, metrics, fallback procedures and crisis stress testing?</t>
        </is>
      </c>
      <c r="F235" s="13" t="inlineStr">
        <is>
          <t>Immature capability for MES or equivalent shop-floor control for orders, operations, traceability, downtime and quality may lead to production stoppage, quality defects, low asset visibility and inability to recover shop-floor operations during Manufacturing disruption; Safety incident; Energy outage; Cyberattack.</t>
        </is>
      </c>
      <c r="G235" s="13" t="inlineStr">
        <is>
          <t>Low maturity, weak ownership, incomplete evidence, insufficient testing and poor integration with crisis-management routines for MES or equivalent shop-floor control for orders, operations, traceability, downtime and quality.</t>
        </is>
      </c>
      <c r="H235" s="13" t="inlineStr">
        <is>
          <t>Severe risk: MES or equivalent shop-floor control for orders, operations, traceability, downtime and quality is not reliably controlled. During Manufacturing disruption; Safety incident; Energy outage; Cyberattack, the organization may face production stoppage, quality defects, low asset visibility and inability to recover shop-floor operations with limited visibility or accountability.</t>
        </is>
      </c>
      <c r="I235" s="13" t="inlineStr">
        <is>
          <t>High risk: MES or equivalent shop-floor control for orders, operations, traceability, downtime and quality depends on informal practices or individual knowledge. Disruption may expose production stoppage, quality defects, low asset visibility and inability to recover shop-floor operations and slow recovery.</t>
        </is>
      </c>
      <c r="J235" s="13" t="inlineStr">
        <is>
          <t>Elevated risk: MES or equivalent shop-floor control for orders, operations, traceability, downtime and quality is partially controlled, but coverage, evidence or testing is inconsistent. Crisis response may be fragmented.</t>
        </is>
      </c>
      <c r="K235" s="13" t="inlineStr">
        <is>
          <t>Moderate risk: MES or equivalent shop-floor control for orders, operations, traceability, downtime and quality is documented and owned, but measurement, stress testing and integration with dependent processes need strengthening.</t>
        </is>
      </c>
      <c r="L235" s="13" t="inlineStr">
        <is>
          <t>Residual risk: MES or equivalent shop-floor control for orders, operations, traceability, downtime and quality is measured and reviewed, but monitoring, automation or scenario testing should be improved to prevent maturity drift.</t>
        </is>
      </c>
      <c r="M235" s="13" t="inlineStr">
        <is>
          <t>Low residual risk: MES or equivalent shop-floor control for orders, operations, traceability, downtime and quality is mature and crisis-tested. Maintain monitoring, evidence, ownership and periodic stress testing.</t>
        </is>
      </c>
      <c r="N235" s="13" t="inlineStr">
        <is>
          <t>Create an immediate risk owner, minimum control baseline and fallback procedure for MES or equivalent shop-floor control for orders, operations, traceability, downtime and quality. Add it to the crisis risk register and collect first evidence.</t>
        </is>
      </c>
      <c r="O235" s="13" t="inlineStr">
        <is>
          <t>Document MES or equivalent shop-floor control for orders, operations, traceability, downtime and quality, assign RACI, define minimum controls and KPIs, and validate coverage across key sites, teams or systems.</t>
        </is>
      </c>
      <c r="P235" s="13" t="inlineStr">
        <is>
          <t>Standardize MES or equivalent shop-floor control for orders, operations, traceability, downtime and quality, close coverage gaps, train accountable roles and connect controls to the relevant crisis scenarios and continuity plans.</t>
        </is>
      </c>
      <c r="Q235" s="13" t="inlineStr">
        <is>
          <t>Measure and test MES or equivalent shop-floor control for orders, operations, traceability, downtime and quality, run tabletop or operational stress tests, integrate it with dependent processes and update crisis playbooks.</t>
        </is>
      </c>
      <c r="R235" s="13" t="inlineStr">
        <is>
          <t>Automate monitoring where practical, define leading indicators, run periodic scenario tests and track residual risk after each major change.</t>
        </is>
      </c>
      <c r="S235" s="13" t="inlineStr">
        <is>
          <t>Sustain maturity for MES or equivalent shop-floor control for orders, operations, traceability, downtime and quality: keep evidence current, monitor drift, benchmark externally and refresh risk tests after organizational, system or market changes.</t>
        </is>
      </c>
      <c r="T235" s="13" t="n">
        <v>4</v>
      </c>
      <c r="U235" s="13" t="n">
        <v>3</v>
      </c>
      <c r="V235" s="13" t="n">
        <v>3</v>
      </c>
      <c r="W235" s="13" t="n">
        <v>2</v>
      </c>
      <c r="X235" s="13" t="n">
        <v>1</v>
      </c>
      <c r="Y235" s="13" t="n">
        <v>1</v>
      </c>
      <c r="Z235" s="13" t="inlineStr">
        <is>
          <t>ISO 9001; ISO 45001; ISA-95; IEC 62443; ISO 55001; Lean; Six Sigma; TPM; MES/MOM practices</t>
        </is>
      </c>
      <c r="AA235" s="13" t="inlineStr">
        <is>
          <t>Policy/SOP; owner/RACI; system report; dashboard; contracts; test records; incident history; interview evidence related to MES or equivalent shop-floor control for orders, operations, traceability, downtime and quality.</t>
        </is>
      </c>
      <c r="AB235" s="13" t="inlineStr">
        <is>
          <t>Manufacturing disruption; Safety incident; Energy outage; Cyberattack</t>
        </is>
      </c>
      <c r="AC235" s="13" t="inlineStr">
        <is>
          <t>COO / Plant / Manufacturing</t>
        </is>
      </c>
      <c r="AD235" s="13" t="inlineStr">
        <is>
          <t>Manufacturing MES!11</t>
        </is>
      </c>
      <c r="AE235">
        <f>IF($A235="","",IF(OR(ISNUMBER(SEARCH("cyber",$D235)),ISNUMBER(SEARCH("security",$D235)),ISNUMBER(SEARCH("safety",$D235)),ISNUMBER(SEARCH("liquidity",$D235)),ISNUMBER(SEARCH("cash",$D235)),ISNUMBER(SEARCH("continuity",$D235)),ISNUMBER(SEARCH("infrastructure",$D235)),ISNUMBER(SEARCH("outage",$D235))),"Fast",IF(OR(ISNUMBER(SEARCH("compliance",$D235)),ISNUMBER(SEARCH("regulat",$D235)),ISNUMBER(SEARCH("data",$D235)),ISNUMBER(SEARCH("talent",$D235)),ISNUMBER(SEARCH("knowledge",$D235)),ISNUMBER(SEARCH("portfolio",$D235)),ISNUMBER(SEARCH("quality",$D235))),"Slow","Medium")))</f>
        <v/>
      </c>
      <c r="AF235">
        <f>IF($A235="","",IFERROR(VLOOKUP($B235,'_CONFIG_Risk_Calibration'!$A$5:$H$21,2,FALSE),3))</f>
        <v/>
      </c>
      <c r="AG235">
        <f>IF($A235="","",IFERROR(VLOOKUP($B235,'_CONFIG_Risk_Calibration'!$A$5:$H$21,3,FALSE),0))</f>
        <v/>
      </c>
      <c r="AH235">
        <f>IF($A235="","",IFERROR(VLOOKUP($B235,'_CONFIG_Risk_Calibration'!$A$5:$H$21,4,FALSE),3))</f>
        <v/>
      </c>
      <c r="AI235">
        <f>IF($A235="","",IFERROR(VLOOKUP($B235,'_CONFIG_Risk_Calibration'!$A$5:$H$21,5,FALSE),3))</f>
        <v/>
      </c>
      <c r="AJ235">
        <f>IF($A235="","",IFERROR(VLOOKUP($B235,'_CONFIG_Risk_Calibration'!$A$5:$H$21,6,FALSE),"No"))</f>
        <v/>
      </c>
      <c r="AK235">
        <f>IF($A235="","",IFERROR(VLOOKUP($B235,'_CONFIG_Risk_Calibration'!$A$5:$H$21,7,FALSE),1))</f>
        <v/>
      </c>
      <c r="AL235">
        <f>IF($A235="","",IFERROR(VLOOKUP($B235,'_CONFIG_Risk_Calibration'!$A$5:$H$21,8,FALSE),""))</f>
        <v/>
      </c>
    </row>
    <row r="236" ht="72" customHeight="1" s="209">
      <c r="A236" s="13" t="inlineStr">
        <is>
          <t>MANU-008</t>
        </is>
      </c>
      <c r="B236" s="13" t="inlineStr">
        <is>
          <t>Manufacturing MES</t>
        </is>
      </c>
      <c r="C236" s="13" t="inlineStr">
        <is>
          <t>MES and shop floor</t>
        </is>
      </c>
      <c r="D236" s="13" t="inlineStr">
        <is>
          <t>Manufacturing, MES and production continuity</t>
        </is>
      </c>
      <c r="E236" s="13" t="inlineStr">
        <is>
          <t>How mature is the organization in managing MES manual or offline fallback procedures, including ownership, evidence, metrics, fallback procedures and crisis stress testing?</t>
        </is>
      </c>
      <c r="F236" s="13" t="inlineStr">
        <is>
          <t>Immature capability for MES manual or offline fallback procedures may lead to production stoppage, quality defects, low asset visibility and inability to recover shop-floor operations during Manufacturing disruption; Safety incident; Energy outage; Cyberattack.</t>
        </is>
      </c>
      <c r="G236" s="13" t="inlineStr">
        <is>
          <t>Low maturity, weak ownership, incomplete evidence, insufficient testing and poor integration with crisis-management routines for MES manual or offline fallback procedures.</t>
        </is>
      </c>
      <c r="H236" s="13" t="inlineStr">
        <is>
          <t>Severe risk: MES manual or offline fallback procedures is not reliably controlled. During Manufacturing disruption; Safety incident; Energy outage; Cyberattack, the organization may face production stoppage, quality defects, low asset visibility and inability to recover shop-floor operations with limited visibility or accountability.</t>
        </is>
      </c>
      <c r="I236" s="13" t="inlineStr">
        <is>
          <t>High risk: MES manual or offline fallback procedures depends on informal practices or individual knowledge. Disruption may expose production stoppage, quality defects, low asset visibility and inability to recover shop-floor operations and slow recovery.</t>
        </is>
      </c>
      <c r="J236" s="13" t="inlineStr">
        <is>
          <t>Elevated risk: MES manual or offline fallback procedures is partially controlled, but coverage, evidence or testing is inconsistent. Crisis response may be fragmented.</t>
        </is>
      </c>
      <c r="K236" s="13" t="inlineStr">
        <is>
          <t>Moderate risk: MES manual or offline fallback procedures is documented and owned, but measurement, stress testing and integration with dependent processes need strengthening.</t>
        </is>
      </c>
      <c r="L236" s="13" t="inlineStr">
        <is>
          <t>Residual risk: MES manual or offline fallback procedures is measured and reviewed, but monitoring, automation or scenario testing should be improved to prevent maturity drift.</t>
        </is>
      </c>
      <c r="M236" s="13" t="inlineStr">
        <is>
          <t>Low residual risk: MES manual or offline fallback procedures is mature and crisis-tested. Maintain monitoring, evidence, ownership and periodic stress testing.</t>
        </is>
      </c>
      <c r="N236" s="13" t="inlineStr">
        <is>
          <t>Create an immediate risk owner, minimum control baseline and fallback procedure for MES manual or offline fallback procedures. Add it to the crisis risk register and collect first evidence.</t>
        </is>
      </c>
      <c r="O236" s="13" t="inlineStr">
        <is>
          <t>Document MES manual or offline fallback procedures, assign RACI, define minimum controls and KPIs, and validate coverage across key sites, teams or systems.</t>
        </is>
      </c>
      <c r="P236" s="13" t="inlineStr">
        <is>
          <t>Standardize MES manual or offline fallback procedures, close coverage gaps, train accountable roles and connect controls to the relevant crisis scenarios and continuity plans.</t>
        </is>
      </c>
      <c r="Q236" s="13" t="inlineStr">
        <is>
          <t>Measure and test MES manual or offline fallback procedures, run tabletop or operational stress tests, integrate it with dependent processes and update crisis playbooks.</t>
        </is>
      </c>
      <c r="R236" s="13" t="inlineStr">
        <is>
          <t>Automate monitoring where practical, define leading indicators, run periodic scenario tests and track residual risk after each major change.</t>
        </is>
      </c>
      <c r="S236" s="13" t="inlineStr">
        <is>
          <t>Sustain maturity for MES manual or offline fallback procedures: keep evidence current, monitor drift, benchmark externally and refresh risk tests after organizational, system or market changes.</t>
        </is>
      </c>
      <c r="T236" s="13" t="n">
        <v>4</v>
      </c>
      <c r="U236" s="13" t="n">
        <v>3</v>
      </c>
      <c r="V236" s="13" t="n">
        <v>3</v>
      </c>
      <c r="W236" s="13" t="n">
        <v>2</v>
      </c>
      <c r="X236" s="13" t="n">
        <v>1</v>
      </c>
      <c r="Y236" s="13" t="n">
        <v>1</v>
      </c>
      <c r="Z236" s="13" t="inlineStr">
        <is>
          <t>ISO 9001; ISO 45001; ISA-95; IEC 62443; ISO 55001; Lean; Six Sigma; TPM; MES/MOM practices</t>
        </is>
      </c>
      <c r="AA236" s="13" t="inlineStr">
        <is>
          <t>Policy/SOP; owner/RACI; system report; dashboard; contracts; test records; incident history; interview evidence related to MES manual or offline fallback procedures.</t>
        </is>
      </c>
      <c r="AB236" s="13" t="inlineStr">
        <is>
          <t>Manufacturing disruption; Safety incident; Energy outage; Cyberattack</t>
        </is>
      </c>
      <c r="AC236" s="13" t="inlineStr">
        <is>
          <t>COO / Plant / Manufacturing</t>
        </is>
      </c>
      <c r="AD236" s="13" t="inlineStr">
        <is>
          <t>Manufacturing MES!12</t>
        </is>
      </c>
      <c r="AE236">
        <f>IF($A236="","",IF(OR(ISNUMBER(SEARCH("cyber",$D236)),ISNUMBER(SEARCH("security",$D236)),ISNUMBER(SEARCH("safety",$D236)),ISNUMBER(SEARCH("liquidity",$D236)),ISNUMBER(SEARCH("cash",$D236)),ISNUMBER(SEARCH("continuity",$D236)),ISNUMBER(SEARCH("infrastructure",$D236)),ISNUMBER(SEARCH("outage",$D236))),"Fast",IF(OR(ISNUMBER(SEARCH("compliance",$D236)),ISNUMBER(SEARCH("regulat",$D236)),ISNUMBER(SEARCH("data",$D236)),ISNUMBER(SEARCH("talent",$D236)),ISNUMBER(SEARCH("knowledge",$D236)),ISNUMBER(SEARCH("portfolio",$D236)),ISNUMBER(SEARCH("quality",$D236))),"Slow","Medium")))</f>
        <v/>
      </c>
      <c r="AF236">
        <f>IF($A236="","",IFERROR(VLOOKUP($B236,'_CONFIG_Risk_Calibration'!$A$5:$H$21,2,FALSE),3))</f>
        <v/>
      </c>
      <c r="AG236">
        <f>IF($A236="","",IFERROR(VLOOKUP($B236,'_CONFIG_Risk_Calibration'!$A$5:$H$21,3,FALSE),0))</f>
        <v/>
      </c>
      <c r="AH236">
        <f>IF($A236="","",IFERROR(VLOOKUP($B236,'_CONFIG_Risk_Calibration'!$A$5:$H$21,4,FALSE),3))</f>
        <v/>
      </c>
      <c r="AI236">
        <f>IF($A236="","",IFERROR(VLOOKUP($B236,'_CONFIG_Risk_Calibration'!$A$5:$H$21,5,FALSE),3))</f>
        <v/>
      </c>
      <c r="AJ236">
        <f>IF($A236="","",IFERROR(VLOOKUP($B236,'_CONFIG_Risk_Calibration'!$A$5:$H$21,6,FALSE),"No"))</f>
        <v/>
      </c>
      <c r="AK236">
        <f>IF($A236="","",IFERROR(VLOOKUP($B236,'_CONFIG_Risk_Calibration'!$A$5:$H$21,7,FALSE),1))</f>
        <v/>
      </c>
      <c r="AL236">
        <f>IF($A236="","",IFERROR(VLOOKUP($B236,'_CONFIG_Risk_Calibration'!$A$5:$H$21,8,FALSE),""))</f>
        <v/>
      </c>
    </row>
    <row r="237" ht="72" customHeight="1" s="209">
      <c r="A237" s="13" t="inlineStr">
        <is>
          <t>MANU-009</t>
        </is>
      </c>
      <c r="B237" s="13" t="inlineStr">
        <is>
          <t>Manufacturing MES</t>
        </is>
      </c>
      <c r="C237" s="13" t="inlineStr">
        <is>
          <t>MES and shop floor</t>
        </is>
      </c>
      <c r="D237" s="13" t="inlineStr">
        <is>
          <t>Manufacturing, MES and production continuity</t>
        </is>
      </c>
      <c r="E237" s="13" t="inlineStr">
        <is>
          <t>How mature is the organization in managing ERP-MES-MRP-WMS-quality-maintenance integration and reconciliation, including ownership, evidence, metrics, fallback procedures and crisis stress testing?</t>
        </is>
      </c>
      <c r="F237" s="13" t="inlineStr">
        <is>
          <t>Immature capability for ERP-MES-MRP-WMS-quality-maintenance integration and reconciliation may lead to production stoppage, quality defects, low asset visibility and inability to recover shop-floor operations during Manufacturing disruption; Safety incident; Energy outage; Cyberattack.</t>
        </is>
      </c>
      <c r="G237" s="13" t="inlineStr">
        <is>
          <t>Low maturity, weak ownership, incomplete evidence, insufficient testing and poor integration with crisis-management routines for ERP-MES-MRP-WMS-quality-maintenance integration and reconciliation.</t>
        </is>
      </c>
      <c r="H237" s="13" t="inlineStr">
        <is>
          <t>Severe risk: ERP-MES-MRP-WMS-quality-maintenance integration and reconciliation is not reliably controlled. During Manufacturing disruption; Safety incident; Energy outage; Cyberattack, the organization may face production stoppage, quality defects, low asset visibility and inability to recover shop-floor operations with limited visibility or accountability.</t>
        </is>
      </c>
      <c r="I237" s="13" t="inlineStr">
        <is>
          <t>High risk: ERP-MES-MRP-WMS-quality-maintenance integration and reconciliation depends on informal practices or individual knowledge. Disruption may expose production stoppage, quality defects, low asset visibility and inability to recover shop-floor operations and slow recovery.</t>
        </is>
      </c>
      <c r="J237" s="13" t="inlineStr">
        <is>
          <t>Elevated risk: ERP-MES-MRP-WMS-quality-maintenance integration and reconciliation is partially controlled, but coverage, evidence or testing is inconsistent. Crisis response may be fragmented.</t>
        </is>
      </c>
      <c r="K237" s="13" t="inlineStr">
        <is>
          <t>Moderate risk: ERP-MES-MRP-WMS-quality-maintenance integration and reconciliation is documented and owned, but measurement, stress testing and integration with dependent processes need strengthening.</t>
        </is>
      </c>
      <c r="L237" s="13" t="inlineStr">
        <is>
          <t>Residual risk: ERP-MES-MRP-WMS-quality-maintenance integration and reconciliation is measured and reviewed, but monitoring, automation or scenario testing should be improved to prevent maturity drift.</t>
        </is>
      </c>
      <c r="M237" s="13" t="inlineStr">
        <is>
          <t>Low residual risk: ERP-MES-MRP-WMS-quality-maintenance integration and reconciliation is mature and crisis-tested. Maintain monitoring, evidence, ownership and periodic stress testing.</t>
        </is>
      </c>
      <c r="N237" s="13" t="inlineStr">
        <is>
          <t>Create an immediate risk owner, minimum control baseline and fallback procedure for ERP-MES-MRP-WMS-quality-maintenance integration and reconciliation. Add it to the crisis risk register and collect first evidence.</t>
        </is>
      </c>
      <c r="O237" s="13" t="inlineStr">
        <is>
          <t>Document ERP-MES-MRP-WMS-quality-maintenance integration and reconciliation, assign RACI, define minimum controls and KPIs, and validate coverage across key sites, teams or systems.</t>
        </is>
      </c>
      <c r="P237" s="13" t="inlineStr">
        <is>
          <t>Standardize ERP-MES-MRP-WMS-quality-maintenance integration and reconciliation, close coverage gaps, train accountable roles and connect controls to the relevant crisis scenarios and continuity plans.</t>
        </is>
      </c>
      <c r="Q237" s="13" t="inlineStr">
        <is>
          <t>Measure and test ERP-MES-MRP-WMS-quality-maintenance integration and reconciliation, run tabletop or operational stress tests, integrate it with dependent processes and update crisis playbooks.</t>
        </is>
      </c>
      <c r="R237" s="13" t="inlineStr">
        <is>
          <t>Automate monitoring where practical, define leading indicators, run periodic scenario tests and track residual risk after each major change.</t>
        </is>
      </c>
      <c r="S237" s="13" t="inlineStr">
        <is>
          <t>Sustain maturity for ERP-MES-MRP-WMS-quality-maintenance integration and reconciliation: keep evidence current, monitor drift, benchmark externally and refresh risk tests after organizational, system or market changes.</t>
        </is>
      </c>
      <c r="T237" s="13" t="n">
        <v>4</v>
      </c>
      <c r="U237" s="13" t="n">
        <v>3</v>
      </c>
      <c r="V237" s="13" t="n">
        <v>3</v>
      </c>
      <c r="W237" s="13" t="n">
        <v>2</v>
      </c>
      <c r="X237" s="13" t="n">
        <v>1</v>
      </c>
      <c r="Y237" s="13" t="n">
        <v>1</v>
      </c>
      <c r="Z237" s="13" t="inlineStr">
        <is>
          <t>ISO 9001; ISO 45001; ISA-95; IEC 62443; ISO 55001; Lean; Six Sigma; TPM; MES/MOM practices</t>
        </is>
      </c>
      <c r="AA237" s="13" t="inlineStr">
        <is>
          <t>Policy/SOP; owner/RACI; system report; dashboard; contracts; test records; incident history; interview evidence related to ERP-MES-MRP-WMS-quality-maintenance integration and reconciliation.</t>
        </is>
      </c>
      <c r="AB237" s="13" t="inlineStr">
        <is>
          <t>Manufacturing disruption; Safety incident; Energy outage; Cyberattack</t>
        </is>
      </c>
      <c r="AC237" s="13" t="inlineStr">
        <is>
          <t>COO / Plant / Manufacturing</t>
        </is>
      </c>
      <c r="AD237" s="13" t="inlineStr">
        <is>
          <t>Manufacturing MES!13</t>
        </is>
      </c>
      <c r="AE237">
        <f>IF($A237="","",IF(OR(ISNUMBER(SEARCH("cyber",$D237)),ISNUMBER(SEARCH("security",$D237)),ISNUMBER(SEARCH("safety",$D237)),ISNUMBER(SEARCH("liquidity",$D237)),ISNUMBER(SEARCH("cash",$D237)),ISNUMBER(SEARCH("continuity",$D237)),ISNUMBER(SEARCH("infrastructure",$D237)),ISNUMBER(SEARCH("outage",$D237))),"Fast",IF(OR(ISNUMBER(SEARCH("compliance",$D237)),ISNUMBER(SEARCH("regulat",$D237)),ISNUMBER(SEARCH("data",$D237)),ISNUMBER(SEARCH("talent",$D237)),ISNUMBER(SEARCH("knowledge",$D237)),ISNUMBER(SEARCH("portfolio",$D237)),ISNUMBER(SEARCH("quality",$D237))),"Slow","Medium")))</f>
        <v/>
      </c>
      <c r="AF237">
        <f>IF($A237="","",IFERROR(VLOOKUP($B237,'_CONFIG_Risk_Calibration'!$A$5:$H$21,2,FALSE),3))</f>
        <v/>
      </c>
      <c r="AG237">
        <f>IF($A237="","",IFERROR(VLOOKUP($B237,'_CONFIG_Risk_Calibration'!$A$5:$H$21,3,FALSE),0))</f>
        <v/>
      </c>
      <c r="AH237">
        <f>IF($A237="","",IFERROR(VLOOKUP($B237,'_CONFIG_Risk_Calibration'!$A$5:$H$21,4,FALSE),3))</f>
        <v/>
      </c>
      <c r="AI237">
        <f>IF($A237="","",IFERROR(VLOOKUP($B237,'_CONFIG_Risk_Calibration'!$A$5:$H$21,5,FALSE),3))</f>
        <v/>
      </c>
      <c r="AJ237">
        <f>IF($A237="","",IFERROR(VLOOKUP($B237,'_CONFIG_Risk_Calibration'!$A$5:$H$21,6,FALSE),"No"))</f>
        <v/>
      </c>
      <c r="AK237">
        <f>IF($A237="","",IFERROR(VLOOKUP($B237,'_CONFIG_Risk_Calibration'!$A$5:$H$21,7,FALSE),1))</f>
        <v/>
      </c>
      <c r="AL237">
        <f>IF($A237="","",IFERROR(VLOOKUP($B237,'_CONFIG_Risk_Calibration'!$A$5:$H$21,8,FALSE),""))</f>
        <v/>
      </c>
    </row>
    <row r="238" ht="84" customHeight="1" s="209">
      <c r="A238" s="13" t="inlineStr">
        <is>
          <t>MANU-010</t>
        </is>
      </c>
      <c r="B238" s="13" t="inlineStr">
        <is>
          <t>Manufacturing MES</t>
        </is>
      </c>
      <c r="C238" s="13" t="inlineStr">
        <is>
          <t>MES and shop floor</t>
        </is>
      </c>
      <c r="D238" s="13" t="inlineStr">
        <is>
          <t>Manufacturing, MES and production continuity</t>
        </is>
      </c>
      <c r="E238" s="13" t="inlineStr">
        <is>
          <t>How mature is the organization in managing machine data collection for states, output, downtime, cycle time, defects and energy, including ownership, evidence, metrics, fallback procedures and crisis stress testing?</t>
        </is>
      </c>
      <c r="F238" s="13" t="inlineStr">
        <is>
          <t>Immature capability for machine data collection for states, output, downtime, cycle time, defects and energy may lead to production stoppage, quality defects, low asset visibility and inability to recover shop-floor operations during Manufacturing disruption; Safety incident; Energy outage; Cyberattack.</t>
        </is>
      </c>
      <c r="G238" s="13" t="inlineStr">
        <is>
          <t>Low maturity, weak ownership, incomplete evidence, insufficient testing and poor integration with crisis-management routines for machine data collection for states, output, downtime, cycle time, defects and energy.</t>
        </is>
      </c>
      <c r="H238" s="13" t="inlineStr">
        <is>
          <t>Severe risk: machine data collection for states, output, downtime, cycle time, defects and energy is not reliably controlled. During Manufacturing disruption; Safety incident; Energy outage; Cyberattack, the organization may face production stoppage, quality defects, low asset visibility and inability to recover shop-floor operations with limited visibility or accountability.</t>
        </is>
      </c>
      <c r="I238" s="13" t="inlineStr">
        <is>
          <t>High risk: machine data collection for states, output, downtime, cycle time, defects and energy depends on informal practices or individual knowledge. Disruption may expose production stoppage, quality defects, low asset visibility and inability to recover shop-floor operations and slow recovery.</t>
        </is>
      </c>
      <c r="J238" s="13" t="inlineStr">
        <is>
          <t>Elevated risk: machine data collection for states, output, downtime, cycle time, defects and energy is partially controlled, but coverage, evidence or testing is inconsistent. Crisis response may be fragmented.</t>
        </is>
      </c>
      <c r="K238" s="13" t="inlineStr">
        <is>
          <t>Moderate risk: machine data collection for states, output, downtime, cycle time, defects and energy is documented and owned, but measurement, stress testing and integration with dependent processes need strengthening.</t>
        </is>
      </c>
      <c r="L238" s="13" t="inlineStr">
        <is>
          <t>Residual risk: machine data collection for states, output, downtime, cycle time, defects and energy is measured and reviewed, but monitoring, automation or scenario testing should be improved to prevent maturity drift.</t>
        </is>
      </c>
      <c r="M238" s="13" t="inlineStr">
        <is>
          <t>Low residual risk: machine data collection for states, output, downtime, cycle time, defects and energy is mature and crisis-tested. Maintain monitoring, evidence, ownership and periodic stress testing.</t>
        </is>
      </c>
      <c r="N238" s="13" t="inlineStr">
        <is>
          <t>Create an immediate risk owner, minimum control baseline and fallback procedure for machine data collection for states, output, downtime, cycle time, defects and energy. Add it to the crisis risk register and collect first evidence.</t>
        </is>
      </c>
      <c r="O238" s="13" t="inlineStr">
        <is>
          <t>Document machine data collection for states, output, downtime, cycle time, defects and energy, assign RACI, define minimum controls and KPIs, and validate coverage across key sites, teams or systems.</t>
        </is>
      </c>
      <c r="P238" s="13" t="inlineStr">
        <is>
          <t>Standardize machine data collection for states, output, downtime, cycle time, defects and energy, close coverage gaps, train accountable roles and connect controls to the relevant crisis scenarios and continuity plans.</t>
        </is>
      </c>
      <c r="Q238" s="13" t="inlineStr">
        <is>
          <t>Measure and test machine data collection for states, output, downtime, cycle time, defects and energy, run tabletop or operational stress tests, integrate it with dependent processes and update crisis playbooks.</t>
        </is>
      </c>
      <c r="R238" s="13" t="inlineStr">
        <is>
          <t>Automate monitoring where practical, define leading indicators, run periodic scenario tests and track residual risk after each major change.</t>
        </is>
      </c>
      <c r="S238" s="13" t="inlineStr">
        <is>
          <t>Sustain maturity for machine data collection for states, output, downtime, cycle time, defects and energy: keep evidence current, monitor drift, benchmark externally and refresh risk tests after organizational, system or market changes.</t>
        </is>
      </c>
      <c r="T238" s="13" t="n">
        <v>4</v>
      </c>
      <c r="U238" s="13" t="n">
        <v>3</v>
      </c>
      <c r="V238" s="13" t="n">
        <v>3</v>
      </c>
      <c r="W238" s="13" t="n">
        <v>2</v>
      </c>
      <c r="X238" s="13" t="n">
        <v>1</v>
      </c>
      <c r="Y238" s="13" t="n">
        <v>1</v>
      </c>
      <c r="Z238" s="13" t="inlineStr">
        <is>
          <t>ISO 9001; ISO 45001; ISA-95; IEC 62443; ISO 55001; Lean; Six Sigma; TPM; MES/MOM practices</t>
        </is>
      </c>
      <c r="AA238" s="13" t="inlineStr">
        <is>
          <t>Policy/SOP; owner/RACI; system report; dashboard; contracts; test records; incident history; interview evidence related to machine data collection for states, output, downtime, cycle time, defects and energy.</t>
        </is>
      </c>
      <c r="AB238" s="13" t="inlineStr">
        <is>
          <t>Manufacturing disruption; Safety incident; Energy outage; Cyberattack</t>
        </is>
      </c>
      <c r="AC238" s="13" t="inlineStr">
        <is>
          <t>COO / Plant / Manufacturing</t>
        </is>
      </c>
      <c r="AD238" s="13" t="inlineStr">
        <is>
          <t>Manufacturing MES!14</t>
        </is>
      </c>
      <c r="AE238">
        <f>IF($A238="","",IF(OR(ISNUMBER(SEARCH("cyber",$D238)),ISNUMBER(SEARCH("security",$D238)),ISNUMBER(SEARCH("safety",$D238)),ISNUMBER(SEARCH("liquidity",$D238)),ISNUMBER(SEARCH("cash",$D238)),ISNUMBER(SEARCH("continuity",$D238)),ISNUMBER(SEARCH("infrastructure",$D238)),ISNUMBER(SEARCH("outage",$D238))),"Fast",IF(OR(ISNUMBER(SEARCH("compliance",$D238)),ISNUMBER(SEARCH("regulat",$D238)),ISNUMBER(SEARCH("data",$D238)),ISNUMBER(SEARCH("talent",$D238)),ISNUMBER(SEARCH("knowledge",$D238)),ISNUMBER(SEARCH("portfolio",$D238)),ISNUMBER(SEARCH("quality",$D238))),"Slow","Medium")))</f>
        <v/>
      </c>
      <c r="AF238">
        <f>IF($A238="","",IFERROR(VLOOKUP($B238,'_CONFIG_Risk_Calibration'!$A$5:$H$21,2,FALSE),3))</f>
        <v/>
      </c>
      <c r="AG238">
        <f>IF($A238="","",IFERROR(VLOOKUP($B238,'_CONFIG_Risk_Calibration'!$A$5:$H$21,3,FALSE),0))</f>
        <v/>
      </c>
      <c r="AH238">
        <f>IF($A238="","",IFERROR(VLOOKUP($B238,'_CONFIG_Risk_Calibration'!$A$5:$H$21,4,FALSE),3))</f>
        <v/>
      </c>
      <c r="AI238">
        <f>IF($A238="","",IFERROR(VLOOKUP($B238,'_CONFIG_Risk_Calibration'!$A$5:$H$21,5,FALSE),3))</f>
        <v/>
      </c>
      <c r="AJ238">
        <f>IF($A238="","",IFERROR(VLOOKUP($B238,'_CONFIG_Risk_Calibration'!$A$5:$H$21,6,FALSE),"No"))</f>
        <v/>
      </c>
      <c r="AK238">
        <f>IF($A238="","",IFERROR(VLOOKUP($B238,'_CONFIG_Risk_Calibration'!$A$5:$H$21,7,FALSE),1))</f>
        <v/>
      </c>
      <c r="AL238">
        <f>IF($A238="","",IFERROR(VLOOKUP($B238,'_CONFIG_Risk_Calibration'!$A$5:$H$21,8,FALSE),""))</f>
        <v/>
      </c>
    </row>
    <row r="239" ht="72" customHeight="1" s="209">
      <c r="A239" s="13" t="inlineStr">
        <is>
          <t>MANU-011</t>
        </is>
      </c>
      <c r="B239" s="13" t="inlineStr">
        <is>
          <t>Manufacturing MES</t>
        </is>
      </c>
      <c r="C239" s="13" t="inlineStr">
        <is>
          <t>MES and shop floor</t>
        </is>
      </c>
      <c r="D239" s="13" t="inlineStr">
        <is>
          <t>Manufacturing, MES and production continuity</t>
        </is>
      </c>
      <c r="E239" s="13" t="inlineStr">
        <is>
          <t>How mature is the organization in managing OEE, downtime reasons, microstops, rejects and performance loss analysis, including ownership, evidence, metrics, fallback procedures and crisis stress testing?</t>
        </is>
      </c>
      <c r="F239" s="13" t="inlineStr">
        <is>
          <t>Immature capability for OEE, downtime reasons, microstops, rejects and performance loss analysis may lead to production stoppage, quality defects, low asset visibility and inability to recover shop-floor operations during Manufacturing disruption; Safety incident; Energy outage; Cyberattack.</t>
        </is>
      </c>
      <c r="G239" s="13" t="inlineStr">
        <is>
          <t>Low maturity, weak ownership, incomplete evidence, insufficient testing and poor integration with crisis-management routines for OEE, downtime reasons, microstops, rejects and performance loss analysis.</t>
        </is>
      </c>
      <c r="H239" s="13" t="inlineStr">
        <is>
          <t>Severe risk: OEE, downtime reasons, microstops, rejects and performance loss analysis is not reliably controlled. During Manufacturing disruption; Safety incident; Energy outage; Cyberattack, the organization may face production stoppage, quality defects, low asset visibility and inability to recover shop-floor operations with limited visibility or accountability.</t>
        </is>
      </c>
      <c r="I239" s="13" t="inlineStr">
        <is>
          <t>High risk: OEE, downtime reasons, microstops, rejects and performance loss analysis depends on informal practices or individual knowledge. Disruption may expose production stoppage, quality defects, low asset visibility and inability to recover shop-floor operations and slow recovery.</t>
        </is>
      </c>
      <c r="J239" s="13" t="inlineStr">
        <is>
          <t>Elevated risk: OEE, downtime reasons, microstops, rejects and performance loss analysis is partially controlled, but coverage, evidence or testing is inconsistent. Crisis response may be fragmented.</t>
        </is>
      </c>
      <c r="K239" s="13" t="inlineStr">
        <is>
          <t>Moderate risk: OEE, downtime reasons, microstops, rejects and performance loss analysis is documented and owned, but measurement, stress testing and integration with dependent processes need strengthening.</t>
        </is>
      </c>
      <c r="L239" s="13" t="inlineStr">
        <is>
          <t>Residual risk: OEE, downtime reasons, microstops, rejects and performance loss analysis is measured and reviewed, but monitoring, automation or scenario testing should be improved to prevent maturity drift.</t>
        </is>
      </c>
      <c r="M239" s="13" t="inlineStr">
        <is>
          <t>Low residual risk: OEE, downtime reasons, microstops, rejects and performance loss analysis is mature and crisis-tested. Maintain monitoring, evidence, ownership and periodic stress testing.</t>
        </is>
      </c>
      <c r="N239" s="13" t="inlineStr">
        <is>
          <t>Create an immediate risk owner, minimum control baseline and fallback procedure for OEE, downtime reasons, microstops, rejects and performance loss analysis. Add it to the crisis risk register and collect first evidence.</t>
        </is>
      </c>
      <c r="O239" s="13" t="inlineStr">
        <is>
          <t>Document OEE, downtime reasons, microstops, rejects and performance loss analysis, assign RACI, define minimum controls and KPIs, and validate coverage across key sites, teams or systems.</t>
        </is>
      </c>
      <c r="P239" s="13" t="inlineStr">
        <is>
          <t>Standardize OEE, downtime reasons, microstops, rejects and performance loss analysis, close coverage gaps, train accountable roles and connect controls to the relevant crisis scenarios and continuity plans.</t>
        </is>
      </c>
      <c r="Q239" s="13" t="inlineStr">
        <is>
          <t>Measure and test OEE, downtime reasons, microstops, rejects and performance loss analysis, run tabletop or operational stress tests, integrate it with dependent processes and update crisis playbooks.</t>
        </is>
      </c>
      <c r="R239" s="13" t="inlineStr">
        <is>
          <t>Automate monitoring where practical, define leading indicators, run periodic scenario tests and track residual risk after each major change.</t>
        </is>
      </c>
      <c r="S239" s="13" t="inlineStr">
        <is>
          <t>Sustain maturity for OEE, downtime reasons, microstops, rejects and performance loss analysis: keep evidence current, monitor drift, benchmark externally and refresh risk tests after organizational, system or market changes.</t>
        </is>
      </c>
      <c r="T239" s="13" t="n">
        <v>4</v>
      </c>
      <c r="U239" s="13" t="n">
        <v>3</v>
      </c>
      <c r="V239" s="13" t="n">
        <v>3</v>
      </c>
      <c r="W239" s="13" t="n">
        <v>2</v>
      </c>
      <c r="X239" s="13" t="n">
        <v>1</v>
      </c>
      <c r="Y239" s="13" t="n">
        <v>1</v>
      </c>
      <c r="Z239" s="13" t="inlineStr">
        <is>
          <t>ISO 9001; ISO 45001; ISA-95; IEC 62443; ISO 55001; Lean; Six Sigma; TPM; MES/MOM practices</t>
        </is>
      </c>
      <c r="AA239" s="13" t="inlineStr">
        <is>
          <t>Policy/SOP; owner/RACI; system report; dashboard; contracts; test records; incident history; interview evidence related to OEE, downtime reasons, microstops, rejects and performance loss analysis.</t>
        </is>
      </c>
      <c r="AB239" s="13" t="inlineStr">
        <is>
          <t>Manufacturing disruption; Safety incident; Energy outage; Cyberattack</t>
        </is>
      </c>
      <c r="AC239" s="13" t="inlineStr">
        <is>
          <t>COO / Plant / Manufacturing</t>
        </is>
      </c>
      <c r="AD239" s="13" t="inlineStr">
        <is>
          <t>Manufacturing MES!15</t>
        </is>
      </c>
      <c r="AE239">
        <f>IF($A239="","",IF(OR(ISNUMBER(SEARCH("cyber",$D239)),ISNUMBER(SEARCH("security",$D239)),ISNUMBER(SEARCH("safety",$D239)),ISNUMBER(SEARCH("liquidity",$D239)),ISNUMBER(SEARCH("cash",$D239)),ISNUMBER(SEARCH("continuity",$D239)),ISNUMBER(SEARCH("infrastructure",$D239)),ISNUMBER(SEARCH("outage",$D239))),"Fast",IF(OR(ISNUMBER(SEARCH("compliance",$D239)),ISNUMBER(SEARCH("regulat",$D239)),ISNUMBER(SEARCH("data",$D239)),ISNUMBER(SEARCH("talent",$D239)),ISNUMBER(SEARCH("knowledge",$D239)),ISNUMBER(SEARCH("portfolio",$D239)),ISNUMBER(SEARCH("quality",$D239))),"Slow","Medium")))</f>
        <v/>
      </c>
      <c r="AF239">
        <f>IF($A239="","",IFERROR(VLOOKUP($B239,'_CONFIG_Risk_Calibration'!$A$5:$H$21,2,FALSE),3))</f>
        <v/>
      </c>
      <c r="AG239">
        <f>IF($A239="","",IFERROR(VLOOKUP($B239,'_CONFIG_Risk_Calibration'!$A$5:$H$21,3,FALSE),0))</f>
        <v/>
      </c>
      <c r="AH239">
        <f>IF($A239="","",IFERROR(VLOOKUP($B239,'_CONFIG_Risk_Calibration'!$A$5:$H$21,4,FALSE),3))</f>
        <v/>
      </c>
      <c r="AI239">
        <f>IF($A239="","",IFERROR(VLOOKUP($B239,'_CONFIG_Risk_Calibration'!$A$5:$H$21,5,FALSE),3))</f>
        <v/>
      </c>
      <c r="AJ239">
        <f>IF($A239="","",IFERROR(VLOOKUP($B239,'_CONFIG_Risk_Calibration'!$A$5:$H$21,6,FALSE),"No"))</f>
        <v/>
      </c>
      <c r="AK239">
        <f>IF($A239="","",IFERROR(VLOOKUP($B239,'_CONFIG_Risk_Calibration'!$A$5:$H$21,7,FALSE),1))</f>
        <v/>
      </c>
      <c r="AL239">
        <f>IF($A239="","",IFERROR(VLOOKUP($B239,'_CONFIG_Risk_Calibration'!$A$5:$H$21,8,FALSE),""))</f>
        <v/>
      </c>
    </row>
    <row r="240" ht="72" customHeight="1" s="209">
      <c r="A240" s="13" t="inlineStr">
        <is>
          <t>MANU-012</t>
        </is>
      </c>
      <c r="B240" s="13" t="inlineStr">
        <is>
          <t>Manufacturing MES</t>
        </is>
      </c>
      <c r="C240" s="13" t="inlineStr">
        <is>
          <t>MES and shop floor</t>
        </is>
      </c>
      <c r="D240" s="13" t="inlineStr">
        <is>
          <t>Manufacturing, MES and production continuity</t>
        </is>
      </c>
      <c r="E240" s="13" t="inlineStr">
        <is>
          <t>How mature is the organization in managing production data standards, reason codes and master data across lines and sites, including ownership, evidence, metrics, fallback procedures and crisis stress testing?</t>
        </is>
      </c>
      <c r="F240" s="13" t="inlineStr">
        <is>
          <t>Immature capability for production data standards, reason codes and master data across lines and sites may lead to production stoppage, quality defects, low asset visibility and inability to recover shop-floor operations during Manufacturing disruption; Safety incident; Energy outage; Cyberattack.</t>
        </is>
      </c>
      <c r="G240" s="13" t="inlineStr">
        <is>
          <t>Low maturity, weak ownership, incomplete evidence, insufficient testing and poor integration with crisis-management routines for production data standards, reason codes and master data across lines and sites.</t>
        </is>
      </c>
      <c r="H240" s="13" t="inlineStr">
        <is>
          <t>Severe risk: production data standards, reason codes and master data across lines and sites is not reliably controlled. During Manufacturing disruption; Safety incident; Energy outage; Cyberattack, the organization may face production stoppage, quality defects, low asset visibility and inability to recover shop-floor operations with limited visibility or accountability.</t>
        </is>
      </c>
      <c r="I240" s="13" t="inlineStr">
        <is>
          <t>High risk: production data standards, reason codes and master data across lines and sites depends on informal practices or individual knowledge. Disruption may expose production stoppage, quality defects, low asset visibility and inability to recover shop-floor operations and slow recovery.</t>
        </is>
      </c>
      <c r="J240" s="13" t="inlineStr">
        <is>
          <t>Elevated risk: production data standards, reason codes and master data across lines and sites is partially controlled, but coverage, evidence or testing is inconsistent. Crisis response may be fragmented.</t>
        </is>
      </c>
      <c r="K240" s="13" t="inlineStr">
        <is>
          <t>Moderate risk: production data standards, reason codes and master data across lines and sites is documented and owned, but measurement, stress testing and integration with dependent processes need strengthening.</t>
        </is>
      </c>
      <c r="L240" s="13" t="inlineStr">
        <is>
          <t>Residual risk: production data standards, reason codes and master data across lines and sites is measured and reviewed, but monitoring, automation or scenario testing should be improved to prevent maturity drift.</t>
        </is>
      </c>
      <c r="M240" s="13" t="inlineStr">
        <is>
          <t>Low residual risk: production data standards, reason codes and master data across lines and sites is mature and crisis-tested. Maintain monitoring, evidence, ownership and periodic stress testing.</t>
        </is>
      </c>
      <c r="N240" s="13" t="inlineStr">
        <is>
          <t>Create an immediate risk owner, minimum control baseline and fallback procedure for production data standards, reason codes and master data across lines and sites. Add it to the crisis risk register and collect first evidence.</t>
        </is>
      </c>
      <c r="O240" s="13" t="inlineStr">
        <is>
          <t>Document production data standards, reason codes and master data across lines and sites, assign RACI, define minimum controls and KPIs, and validate coverage across key sites, teams or systems.</t>
        </is>
      </c>
      <c r="P240" s="13" t="inlineStr">
        <is>
          <t>Standardize production data standards, reason codes and master data across lines and sites, close coverage gaps, train accountable roles and connect controls to the relevant crisis scenarios and continuity plans.</t>
        </is>
      </c>
      <c r="Q240" s="13" t="inlineStr">
        <is>
          <t>Measure and test production data standards, reason codes and master data across lines and sites, run tabletop or operational stress tests, integrate it with dependent processes and update crisis playbooks.</t>
        </is>
      </c>
      <c r="R240" s="13" t="inlineStr">
        <is>
          <t>Automate monitoring where practical, define leading indicators, run periodic scenario tests and track residual risk after each major change.</t>
        </is>
      </c>
      <c r="S240" s="13" t="inlineStr">
        <is>
          <t>Sustain maturity for production data standards, reason codes and master data across lines and sites: keep evidence current, monitor drift, benchmark externally and refresh risk tests after organizational, system or market changes.</t>
        </is>
      </c>
      <c r="T240" s="13" t="n">
        <v>4</v>
      </c>
      <c r="U240" s="13" t="n">
        <v>3</v>
      </c>
      <c r="V240" s="13" t="n">
        <v>3</v>
      </c>
      <c r="W240" s="13" t="n">
        <v>2</v>
      </c>
      <c r="X240" s="13" t="n">
        <v>1</v>
      </c>
      <c r="Y240" s="13" t="n">
        <v>1</v>
      </c>
      <c r="Z240" s="13" t="inlineStr">
        <is>
          <t>ISO 9001; ISO 45001; ISA-95; IEC 62443; ISO 55001; Lean; Six Sigma; TPM; MES/MOM practices</t>
        </is>
      </c>
      <c r="AA240" s="13" t="inlineStr">
        <is>
          <t>Policy/SOP; owner/RACI; system report; dashboard; contracts; test records; incident history; interview evidence related to production data standards, reason codes and master data across lines and sites.</t>
        </is>
      </c>
      <c r="AB240" s="13" t="inlineStr">
        <is>
          <t>Manufacturing disruption; Safety incident; Energy outage; Cyberattack</t>
        </is>
      </c>
      <c r="AC240" s="13" t="inlineStr">
        <is>
          <t>COO / Plant / Manufacturing</t>
        </is>
      </c>
      <c r="AD240" s="13" t="inlineStr">
        <is>
          <t>Manufacturing MES!16</t>
        </is>
      </c>
      <c r="AE240">
        <f>IF($A240="","",IF(OR(ISNUMBER(SEARCH("cyber",$D240)),ISNUMBER(SEARCH("security",$D240)),ISNUMBER(SEARCH("safety",$D240)),ISNUMBER(SEARCH("liquidity",$D240)),ISNUMBER(SEARCH("cash",$D240)),ISNUMBER(SEARCH("continuity",$D240)),ISNUMBER(SEARCH("infrastructure",$D240)),ISNUMBER(SEARCH("outage",$D240))),"Fast",IF(OR(ISNUMBER(SEARCH("compliance",$D240)),ISNUMBER(SEARCH("regulat",$D240)),ISNUMBER(SEARCH("data",$D240)),ISNUMBER(SEARCH("talent",$D240)),ISNUMBER(SEARCH("knowledge",$D240)),ISNUMBER(SEARCH("portfolio",$D240)),ISNUMBER(SEARCH("quality",$D240))),"Slow","Medium")))</f>
        <v/>
      </c>
      <c r="AF240">
        <f>IF($A240="","",IFERROR(VLOOKUP($B240,'_CONFIG_Risk_Calibration'!$A$5:$H$21,2,FALSE),3))</f>
        <v/>
      </c>
      <c r="AG240">
        <f>IF($A240="","",IFERROR(VLOOKUP($B240,'_CONFIG_Risk_Calibration'!$A$5:$H$21,3,FALSE),0))</f>
        <v/>
      </c>
      <c r="AH240">
        <f>IF($A240="","",IFERROR(VLOOKUP($B240,'_CONFIG_Risk_Calibration'!$A$5:$H$21,4,FALSE),3))</f>
        <v/>
      </c>
      <c r="AI240">
        <f>IF($A240="","",IFERROR(VLOOKUP($B240,'_CONFIG_Risk_Calibration'!$A$5:$H$21,5,FALSE),3))</f>
        <v/>
      </c>
      <c r="AJ240">
        <f>IF($A240="","",IFERROR(VLOOKUP($B240,'_CONFIG_Risk_Calibration'!$A$5:$H$21,6,FALSE),"No"))</f>
        <v/>
      </c>
      <c r="AK240">
        <f>IF($A240="","",IFERROR(VLOOKUP($B240,'_CONFIG_Risk_Calibration'!$A$5:$H$21,7,FALSE),1))</f>
        <v/>
      </c>
      <c r="AL240">
        <f>IF($A240="","",IFERROR(VLOOKUP($B240,'_CONFIG_Risk_Calibration'!$A$5:$H$21,8,FALSE),""))</f>
        <v/>
      </c>
    </row>
    <row r="241" ht="84" customHeight="1" s="209">
      <c r="A241" s="13" t="inlineStr">
        <is>
          <t>MANU-013</t>
        </is>
      </c>
      <c r="B241" s="13" t="inlineStr">
        <is>
          <t>Manufacturing MES</t>
        </is>
      </c>
      <c r="C241" s="13" t="inlineStr">
        <is>
          <t>Maintenance and assets</t>
        </is>
      </c>
      <c r="D241" s="13" t="inlineStr">
        <is>
          <t>Manufacturing, MES and production continuity</t>
        </is>
      </c>
      <c r="E241" s="13" t="inlineStr">
        <is>
          <t>How mature is the organization in managing preventive maintenance based on criticality, manufacturer requirements and failure history, including ownership, evidence, metrics, fallback procedures and crisis stress testing?</t>
        </is>
      </c>
      <c r="F241" s="13" t="inlineStr">
        <is>
          <t>Immature capability for preventive maintenance based on criticality, manufacturer requirements and failure history may lead to production stoppage, quality defects, low asset visibility and inability to recover shop-floor operations during Manufacturing disruption; Safety incident; Energy outage; Cyberattack.</t>
        </is>
      </c>
      <c r="G241" s="13" t="inlineStr">
        <is>
          <t>Low maturity, weak ownership, incomplete evidence, insufficient testing and poor integration with crisis-management routines for preventive maintenance based on criticality, manufacturer requirements and failure history.</t>
        </is>
      </c>
      <c r="H241" s="13" t="inlineStr">
        <is>
          <t>Severe risk: preventive maintenance based on criticality, manufacturer requirements and failure history is not reliably controlled. During Manufacturing disruption; Safety incident; Energy outage; Cyberattack, the organization may face production stoppage, quality defects, low asset visibility and inability to recover shop-floor operations with limited visibility or accountability.</t>
        </is>
      </c>
      <c r="I241" s="13" t="inlineStr">
        <is>
          <t>High risk: preventive maintenance based on criticality, manufacturer requirements and failure history depends on informal practices or individual knowledge. Disruption may expose production stoppage, quality defects, low asset visibility and inability to recover shop-floor operations and slow recovery.</t>
        </is>
      </c>
      <c r="J241" s="13" t="inlineStr">
        <is>
          <t>Elevated risk: preventive maintenance based on criticality, manufacturer requirements and failure history is partially controlled, but coverage, evidence or testing is inconsistent. Crisis response may be fragmented.</t>
        </is>
      </c>
      <c r="K241" s="13" t="inlineStr">
        <is>
          <t>Moderate risk: preventive maintenance based on criticality, manufacturer requirements and failure history is documented and owned, but measurement, stress testing and integration with dependent processes need strengthening.</t>
        </is>
      </c>
      <c r="L241" s="13" t="inlineStr">
        <is>
          <t>Residual risk: preventive maintenance based on criticality, manufacturer requirements and failure history is measured and reviewed, but monitoring, automation or scenario testing should be improved to prevent maturity drift.</t>
        </is>
      </c>
      <c r="M241" s="13" t="inlineStr">
        <is>
          <t>Low residual risk: preventive maintenance based on criticality, manufacturer requirements and failure history is mature and crisis-tested. Maintain monitoring, evidence, ownership and periodic stress testing.</t>
        </is>
      </c>
      <c r="N241" s="13" t="inlineStr">
        <is>
          <t>Create an immediate risk owner, minimum control baseline and fallback procedure for preventive maintenance based on criticality, manufacturer requirements and failure history. Add it to the crisis risk register and collect first evidence.</t>
        </is>
      </c>
      <c r="O241" s="13" t="inlineStr">
        <is>
          <t>Document preventive maintenance based on criticality, manufacturer requirements and failure history, assign RACI, define minimum controls and KPIs, and validate coverage across key sites, teams or systems.</t>
        </is>
      </c>
      <c r="P241" s="13" t="inlineStr">
        <is>
          <t>Standardize preventive maintenance based on criticality, manufacturer requirements and failure history, close coverage gaps, train accountable roles and connect controls to the relevant crisis scenarios and continuity plans.</t>
        </is>
      </c>
      <c r="Q241" s="13" t="inlineStr">
        <is>
          <t>Measure and test preventive maintenance based on criticality, manufacturer requirements and failure history, run tabletop or operational stress tests, integrate it with dependent processes and update crisis playbooks.</t>
        </is>
      </c>
      <c r="R241" s="13" t="inlineStr">
        <is>
          <t>Automate monitoring where practical, define leading indicators, run periodic scenario tests and track residual risk after each major change.</t>
        </is>
      </c>
      <c r="S241" s="13" t="inlineStr">
        <is>
          <t>Sustain maturity for preventive maintenance based on criticality, manufacturer requirements and failure history: keep evidence current, monitor drift, benchmark externally and refresh risk tests after organizational, system or market changes.</t>
        </is>
      </c>
      <c r="T241" s="13" t="n">
        <v>4</v>
      </c>
      <c r="U241" s="13" t="n">
        <v>3</v>
      </c>
      <c r="V241" s="13" t="n">
        <v>3</v>
      </c>
      <c r="W241" s="13" t="n">
        <v>2</v>
      </c>
      <c r="X241" s="13" t="n">
        <v>1</v>
      </c>
      <c r="Y241" s="13" t="n">
        <v>1</v>
      </c>
      <c r="Z241" s="13" t="inlineStr">
        <is>
          <t>ISO 9001; ISO 45001; ISA-95; IEC 62443; ISO 55001; Lean; Six Sigma; TPM; MES/MOM practices</t>
        </is>
      </c>
      <c r="AA241" s="13" t="inlineStr">
        <is>
          <t>Policy/SOP; owner/RACI; system report; dashboard; contracts; test records; incident history; interview evidence related to preventive maintenance based on criticality, manufacturer requirements and failure history.</t>
        </is>
      </c>
      <c r="AB241" s="13" t="inlineStr">
        <is>
          <t>Manufacturing disruption; Safety incident; Energy outage; Cyberattack</t>
        </is>
      </c>
      <c r="AC241" s="13" t="inlineStr">
        <is>
          <t>COO / Plant / Manufacturing</t>
        </is>
      </c>
      <c r="AD241" s="13" t="inlineStr">
        <is>
          <t>Manufacturing MES!17</t>
        </is>
      </c>
      <c r="AE241">
        <f>IF($A241="","",IF(OR(ISNUMBER(SEARCH("cyber",$D241)),ISNUMBER(SEARCH("security",$D241)),ISNUMBER(SEARCH("safety",$D241)),ISNUMBER(SEARCH("liquidity",$D241)),ISNUMBER(SEARCH("cash",$D241)),ISNUMBER(SEARCH("continuity",$D241)),ISNUMBER(SEARCH("infrastructure",$D241)),ISNUMBER(SEARCH("outage",$D241))),"Fast",IF(OR(ISNUMBER(SEARCH("compliance",$D241)),ISNUMBER(SEARCH("regulat",$D241)),ISNUMBER(SEARCH("data",$D241)),ISNUMBER(SEARCH("talent",$D241)),ISNUMBER(SEARCH("knowledge",$D241)),ISNUMBER(SEARCH("portfolio",$D241)),ISNUMBER(SEARCH("quality",$D241))),"Slow","Medium")))</f>
        <v/>
      </c>
      <c r="AF241">
        <f>IF($A241="","",IFERROR(VLOOKUP($B241,'_CONFIG_Risk_Calibration'!$A$5:$H$21,2,FALSE),3))</f>
        <v/>
      </c>
      <c r="AG241">
        <f>IF($A241="","",IFERROR(VLOOKUP($B241,'_CONFIG_Risk_Calibration'!$A$5:$H$21,3,FALSE),0))</f>
        <v/>
      </c>
      <c r="AH241">
        <f>IF($A241="","",IFERROR(VLOOKUP($B241,'_CONFIG_Risk_Calibration'!$A$5:$H$21,4,FALSE),3))</f>
        <v/>
      </c>
      <c r="AI241">
        <f>IF($A241="","",IFERROR(VLOOKUP($B241,'_CONFIG_Risk_Calibration'!$A$5:$H$21,5,FALSE),3))</f>
        <v/>
      </c>
      <c r="AJ241">
        <f>IF($A241="","",IFERROR(VLOOKUP($B241,'_CONFIG_Risk_Calibration'!$A$5:$H$21,6,FALSE),"No"))</f>
        <v/>
      </c>
      <c r="AK241">
        <f>IF($A241="","",IFERROR(VLOOKUP($B241,'_CONFIG_Risk_Calibration'!$A$5:$H$21,7,FALSE),1))</f>
        <v/>
      </c>
      <c r="AL241">
        <f>IF($A241="","",IFERROR(VLOOKUP($B241,'_CONFIG_Risk_Calibration'!$A$5:$H$21,8,FALSE),""))</f>
        <v/>
      </c>
    </row>
    <row r="242" ht="72" customHeight="1" s="209">
      <c r="A242" s="13" t="inlineStr">
        <is>
          <t>MANU-014</t>
        </is>
      </c>
      <c r="B242" s="13" t="inlineStr">
        <is>
          <t>Manufacturing MES</t>
        </is>
      </c>
      <c r="C242" s="13" t="inlineStr">
        <is>
          <t>Maintenance and assets</t>
        </is>
      </c>
      <c r="D242" s="13" t="inlineStr">
        <is>
          <t>Manufacturing, MES and production continuity</t>
        </is>
      </c>
      <c r="E242" s="13" t="inlineStr">
        <is>
          <t>How mature is the organization in managing critical spare parts identification, stocking or sourcing with acceptable lead times, including ownership, evidence, metrics, fallback procedures and crisis stress testing?</t>
        </is>
      </c>
      <c r="F242" s="13" t="inlineStr">
        <is>
          <t>Immature capability for critical spare parts identification, stocking or sourcing with acceptable lead times may lead to production stoppage, quality defects, low asset visibility and inability to recover shop-floor operations during Manufacturing disruption; Safety incident; Energy outage; Cyberattack.</t>
        </is>
      </c>
      <c r="G242" s="13" t="inlineStr">
        <is>
          <t>Low maturity, weak ownership, incomplete evidence, insufficient testing and poor integration with crisis-management routines for critical spare parts identification, stocking or sourcing with acceptable lead times.</t>
        </is>
      </c>
      <c r="H242" s="13" t="inlineStr">
        <is>
          <t>Severe risk: critical spare parts identification, stocking or sourcing with acceptable lead times is not reliably controlled. During Manufacturing disruption; Safety incident; Energy outage; Cyberattack, the organization may face production stoppage, quality defects, low asset visibility and inability to recover shop-floor operations with limited visibility or accountability.</t>
        </is>
      </c>
      <c r="I242" s="13" t="inlineStr">
        <is>
          <t>High risk: critical spare parts identification, stocking or sourcing with acceptable lead times depends on informal practices or individual knowledge. Disruption may expose production stoppage, quality defects, low asset visibility and inability to recover shop-floor operations and slow recovery.</t>
        </is>
      </c>
      <c r="J242" s="13" t="inlineStr">
        <is>
          <t>Elevated risk: critical spare parts identification, stocking or sourcing with acceptable lead times is partially controlled, but coverage, evidence or testing is inconsistent. Crisis response may be fragmented.</t>
        </is>
      </c>
      <c r="K242" s="13" t="inlineStr">
        <is>
          <t>Moderate risk: critical spare parts identification, stocking or sourcing with acceptable lead times is documented and owned, but measurement, stress testing and integration with dependent processes need strengthening.</t>
        </is>
      </c>
      <c r="L242" s="13" t="inlineStr">
        <is>
          <t>Residual risk: critical spare parts identification, stocking or sourcing with acceptable lead times is measured and reviewed, but monitoring, automation or scenario testing should be improved to prevent maturity drift.</t>
        </is>
      </c>
      <c r="M242" s="13" t="inlineStr">
        <is>
          <t>Low residual risk: critical spare parts identification, stocking or sourcing with acceptable lead times is mature and crisis-tested. Maintain monitoring, evidence, ownership and periodic stress testing.</t>
        </is>
      </c>
      <c r="N242" s="13" t="inlineStr">
        <is>
          <t>Create an immediate risk owner, minimum control baseline and fallback procedure for critical spare parts identification, stocking or sourcing with acceptable lead times. Add it to the crisis risk register and collect first evidence.</t>
        </is>
      </c>
      <c r="O242" s="13" t="inlineStr">
        <is>
          <t>Document critical spare parts identification, stocking or sourcing with acceptable lead times, assign RACI, define minimum controls and KPIs, and validate coverage across key sites, teams or systems.</t>
        </is>
      </c>
      <c r="P242" s="13" t="inlineStr">
        <is>
          <t>Standardize critical spare parts identification, stocking or sourcing with acceptable lead times, close coverage gaps, train accountable roles and connect controls to the relevant crisis scenarios and continuity plans.</t>
        </is>
      </c>
      <c r="Q242" s="13" t="inlineStr">
        <is>
          <t>Measure and test critical spare parts identification, stocking or sourcing with acceptable lead times, run tabletop or operational stress tests, integrate it with dependent processes and update crisis playbooks.</t>
        </is>
      </c>
      <c r="R242" s="13" t="inlineStr">
        <is>
          <t>Automate monitoring where practical, define leading indicators, run periodic scenario tests and track residual risk after each major change.</t>
        </is>
      </c>
      <c r="S242" s="13" t="inlineStr">
        <is>
          <t>Sustain maturity for critical spare parts identification, stocking or sourcing with acceptable lead times: keep evidence current, monitor drift, benchmark externally and refresh risk tests after organizational, system or market changes.</t>
        </is>
      </c>
      <c r="T242" s="13" t="n">
        <v>4</v>
      </c>
      <c r="U242" s="13" t="n">
        <v>3</v>
      </c>
      <c r="V242" s="13" t="n">
        <v>3</v>
      </c>
      <c r="W242" s="13" t="n">
        <v>2</v>
      </c>
      <c r="X242" s="13" t="n">
        <v>1</v>
      </c>
      <c r="Y242" s="13" t="n">
        <v>1</v>
      </c>
      <c r="Z242" s="13" t="inlineStr">
        <is>
          <t>ISO 9001; ISO 45001; ISA-95; IEC 62443; ISO 55001; Lean; Six Sigma; TPM; MES/MOM practices</t>
        </is>
      </c>
      <c r="AA242" s="13" t="inlineStr">
        <is>
          <t>Policy/SOP; owner/RACI; system report; dashboard; contracts; test records; incident history; interview evidence related to critical spare parts identification, stocking or sourcing with acceptable lead times.</t>
        </is>
      </c>
      <c r="AB242" s="13" t="inlineStr">
        <is>
          <t>Manufacturing disruption; Safety incident; Energy outage; Cyberattack</t>
        </is>
      </c>
      <c r="AC242" s="13" t="inlineStr">
        <is>
          <t>COO / Plant / Manufacturing</t>
        </is>
      </c>
      <c r="AD242" s="13" t="inlineStr">
        <is>
          <t>Manufacturing MES!18</t>
        </is>
      </c>
      <c r="AE242">
        <f>IF($A242="","",IF(OR(ISNUMBER(SEARCH("cyber",$D242)),ISNUMBER(SEARCH("security",$D242)),ISNUMBER(SEARCH("safety",$D242)),ISNUMBER(SEARCH("liquidity",$D242)),ISNUMBER(SEARCH("cash",$D242)),ISNUMBER(SEARCH("continuity",$D242)),ISNUMBER(SEARCH("infrastructure",$D242)),ISNUMBER(SEARCH("outage",$D242))),"Fast",IF(OR(ISNUMBER(SEARCH("compliance",$D242)),ISNUMBER(SEARCH("regulat",$D242)),ISNUMBER(SEARCH("data",$D242)),ISNUMBER(SEARCH("talent",$D242)),ISNUMBER(SEARCH("knowledge",$D242)),ISNUMBER(SEARCH("portfolio",$D242)),ISNUMBER(SEARCH("quality",$D242))),"Slow","Medium")))</f>
        <v/>
      </c>
      <c r="AF242">
        <f>IF($A242="","",IFERROR(VLOOKUP($B242,'_CONFIG_Risk_Calibration'!$A$5:$H$21,2,FALSE),3))</f>
        <v/>
      </c>
      <c r="AG242">
        <f>IF($A242="","",IFERROR(VLOOKUP($B242,'_CONFIG_Risk_Calibration'!$A$5:$H$21,3,FALSE),0))</f>
        <v/>
      </c>
      <c r="AH242">
        <f>IF($A242="","",IFERROR(VLOOKUP($B242,'_CONFIG_Risk_Calibration'!$A$5:$H$21,4,FALSE),3))</f>
        <v/>
      </c>
      <c r="AI242">
        <f>IF($A242="","",IFERROR(VLOOKUP($B242,'_CONFIG_Risk_Calibration'!$A$5:$H$21,5,FALSE),3))</f>
        <v/>
      </c>
      <c r="AJ242">
        <f>IF($A242="","",IFERROR(VLOOKUP($B242,'_CONFIG_Risk_Calibration'!$A$5:$H$21,6,FALSE),"No"))</f>
        <v/>
      </c>
      <c r="AK242">
        <f>IF($A242="","",IFERROR(VLOOKUP($B242,'_CONFIG_Risk_Calibration'!$A$5:$H$21,7,FALSE),1))</f>
        <v/>
      </c>
      <c r="AL242">
        <f>IF($A242="","",IFERROR(VLOOKUP($B242,'_CONFIG_Risk_Calibration'!$A$5:$H$21,8,FALSE),""))</f>
        <v/>
      </c>
    </row>
    <row r="243" ht="84" customHeight="1" s="209">
      <c r="A243" s="13" t="inlineStr">
        <is>
          <t>MANU-015</t>
        </is>
      </c>
      <c r="B243" s="13" t="inlineStr">
        <is>
          <t>Manufacturing MES</t>
        </is>
      </c>
      <c r="C243" s="13" t="inlineStr">
        <is>
          <t>Maintenance and assets</t>
        </is>
      </c>
      <c r="D243" s="13" t="inlineStr">
        <is>
          <t>Manufacturing, MES and production continuity</t>
        </is>
      </c>
      <c r="E243" s="13" t="inlineStr">
        <is>
          <t>How mature is the organization in managing predictive or condition-based maintenance for critical assets where economically justified, including ownership, evidence, metrics, fallback procedures and crisis stress testing?</t>
        </is>
      </c>
      <c r="F243" s="13" t="inlineStr">
        <is>
          <t>Immature capability for predictive or condition-based maintenance for critical assets where economically justified may lead to production stoppage, quality defects, low asset visibility and inability to recover shop-floor operations during Manufacturing disruption; Safety incident; Energy outage; Cyberattack.</t>
        </is>
      </c>
      <c r="G243" s="13" t="inlineStr">
        <is>
          <t>Low maturity, weak ownership, incomplete evidence, insufficient testing and poor integration with crisis-management routines for predictive or condition-based maintenance for critical assets where economically justified.</t>
        </is>
      </c>
      <c r="H243" s="13" t="inlineStr">
        <is>
          <t>Severe risk: predictive or condition-based maintenance for critical assets where economically justified is not reliably controlled. During Manufacturing disruption; Safety incident; Energy outage; Cyberattack, the organization may face production stoppage, quality defects, low asset visibility and inability to recover shop-floor operations with limited visibility or accountability.</t>
        </is>
      </c>
      <c r="I243" s="13" t="inlineStr">
        <is>
          <t>High risk: predictive or condition-based maintenance for critical assets where economically justified depends on informal practices or individual knowledge. Disruption may expose production stoppage, quality defects, low asset visibility and inability to recover shop-floor operations and slow recovery.</t>
        </is>
      </c>
      <c r="J243" s="13" t="inlineStr">
        <is>
          <t>Elevated risk: predictive or condition-based maintenance for critical assets where economically justified is partially controlled, but coverage, evidence or testing is inconsistent. Crisis response may be fragmented.</t>
        </is>
      </c>
      <c r="K243" s="13" t="inlineStr">
        <is>
          <t>Moderate risk: predictive or condition-based maintenance for critical assets where economically justified is documented and owned, but measurement, stress testing and integration with dependent processes need strengthening.</t>
        </is>
      </c>
      <c r="L243" s="13" t="inlineStr">
        <is>
          <t>Residual risk: predictive or condition-based maintenance for critical assets where economically justified is measured and reviewed, but monitoring, automation or scenario testing should be improved to prevent maturity drift.</t>
        </is>
      </c>
      <c r="M243" s="13" t="inlineStr">
        <is>
          <t>Low residual risk: predictive or condition-based maintenance for critical assets where economically justified is mature and crisis-tested. Maintain monitoring, evidence, ownership and periodic stress testing.</t>
        </is>
      </c>
      <c r="N243" s="13" t="inlineStr">
        <is>
          <t>Create an immediate risk owner, minimum control baseline and fallback procedure for predictive or condition-based maintenance for critical assets where economically justified. Add it to the crisis risk register and collect first evidence.</t>
        </is>
      </c>
      <c r="O243" s="13" t="inlineStr">
        <is>
          <t>Document predictive or condition-based maintenance for critical assets where economically justified, assign RACI, define minimum controls and KPIs, and validate coverage across key sites, teams or systems.</t>
        </is>
      </c>
      <c r="P243" s="13" t="inlineStr">
        <is>
          <t>Standardize predictive or condition-based maintenance for critical assets where economically justified, close coverage gaps, train accountable roles and connect controls to the relevant crisis scenarios and continuity plans.</t>
        </is>
      </c>
      <c r="Q243" s="13" t="inlineStr">
        <is>
          <t>Measure and test predictive or condition-based maintenance for critical assets where economically justified, run tabletop or operational stress tests, integrate it with dependent processes and update crisis playbooks.</t>
        </is>
      </c>
      <c r="R243" s="13" t="inlineStr">
        <is>
          <t>Automate monitoring where practical, define leading indicators, run periodic scenario tests and track residual risk after each major change.</t>
        </is>
      </c>
      <c r="S243" s="13" t="inlineStr">
        <is>
          <t>Sustain maturity for predictive or condition-based maintenance for critical assets where economically justified: keep evidence current, monitor drift, benchmark externally and refresh risk tests after organizational, system or market changes.</t>
        </is>
      </c>
      <c r="T243" s="13" t="n">
        <v>4</v>
      </c>
      <c r="U243" s="13" t="n">
        <v>3</v>
      </c>
      <c r="V243" s="13" t="n">
        <v>3</v>
      </c>
      <c r="W243" s="13" t="n">
        <v>2</v>
      </c>
      <c r="X243" s="13" t="n">
        <v>1</v>
      </c>
      <c r="Y243" s="13" t="n">
        <v>1</v>
      </c>
      <c r="Z243" s="13" t="inlineStr">
        <is>
          <t>ISO 9001; ISO 45001; ISA-95; IEC 62443; ISO 55001; Lean; Six Sigma; TPM; MES/MOM practices</t>
        </is>
      </c>
      <c r="AA243" s="13" t="inlineStr">
        <is>
          <t>Policy/SOP; owner/RACI; system report; dashboard; contracts; test records; incident history; interview evidence related to predictive or condition-based maintenance for critical assets where economically justified.</t>
        </is>
      </c>
      <c r="AB243" s="13" t="inlineStr">
        <is>
          <t>Manufacturing disruption; Safety incident; Energy outage; Cyberattack</t>
        </is>
      </c>
      <c r="AC243" s="13" t="inlineStr">
        <is>
          <t>COO / Plant / Manufacturing</t>
        </is>
      </c>
      <c r="AD243" s="13" t="inlineStr">
        <is>
          <t>Manufacturing MES!19</t>
        </is>
      </c>
      <c r="AE243">
        <f>IF($A243="","",IF(OR(ISNUMBER(SEARCH("cyber",$D243)),ISNUMBER(SEARCH("security",$D243)),ISNUMBER(SEARCH("safety",$D243)),ISNUMBER(SEARCH("liquidity",$D243)),ISNUMBER(SEARCH("cash",$D243)),ISNUMBER(SEARCH("continuity",$D243)),ISNUMBER(SEARCH("infrastructure",$D243)),ISNUMBER(SEARCH("outage",$D243))),"Fast",IF(OR(ISNUMBER(SEARCH("compliance",$D243)),ISNUMBER(SEARCH("regulat",$D243)),ISNUMBER(SEARCH("data",$D243)),ISNUMBER(SEARCH("talent",$D243)),ISNUMBER(SEARCH("knowledge",$D243)),ISNUMBER(SEARCH("portfolio",$D243)),ISNUMBER(SEARCH("quality",$D243))),"Slow","Medium")))</f>
        <v/>
      </c>
      <c r="AF243">
        <f>IF($A243="","",IFERROR(VLOOKUP($B243,'_CONFIG_Risk_Calibration'!$A$5:$H$21,2,FALSE),3))</f>
        <v/>
      </c>
      <c r="AG243">
        <f>IF($A243="","",IFERROR(VLOOKUP($B243,'_CONFIG_Risk_Calibration'!$A$5:$H$21,3,FALSE),0))</f>
        <v/>
      </c>
      <c r="AH243">
        <f>IF($A243="","",IFERROR(VLOOKUP($B243,'_CONFIG_Risk_Calibration'!$A$5:$H$21,4,FALSE),3))</f>
        <v/>
      </c>
      <c r="AI243">
        <f>IF($A243="","",IFERROR(VLOOKUP($B243,'_CONFIG_Risk_Calibration'!$A$5:$H$21,5,FALSE),3))</f>
        <v/>
      </c>
      <c r="AJ243">
        <f>IF($A243="","",IFERROR(VLOOKUP($B243,'_CONFIG_Risk_Calibration'!$A$5:$H$21,6,FALSE),"No"))</f>
        <v/>
      </c>
      <c r="AK243">
        <f>IF($A243="","",IFERROR(VLOOKUP($B243,'_CONFIG_Risk_Calibration'!$A$5:$H$21,7,FALSE),1))</f>
        <v/>
      </c>
      <c r="AL243">
        <f>IF($A243="","",IFERROR(VLOOKUP($B243,'_CONFIG_Risk_Calibration'!$A$5:$H$21,8,FALSE),""))</f>
        <v/>
      </c>
    </row>
    <row r="244" ht="84" customHeight="1" s="209">
      <c r="A244" s="13" t="inlineStr">
        <is>
          <t>MANU-016</t>
        </is>
      </c>
      <c r="B244" s="13" t="inlineStr">
        <is>
          <t>Manufacturing MES</t>
        </is>
      </c>
      <c r="C244" s="13" t="inlineStr">
        <is>
          <t>Maintenance and assets</t>
        </is>
      </c>
      <c r="D244" s="13" t="inlineStr">
        <is>
          <t>Manufacturing, MES and production continuity</t>
        </is>
      </c>
      <c r="E244" s="13" t="inlineStr">
        <is>
          <t>How mature is the organization in managing utility dependency map for electricity, gas, water, compressed air, HVAC and other utilities, including ownership, evidence, metrics, fallback procedures and crisis stress testing?</t>
        </is>
      </c>
      <c r="F244" s="13" t="inlineStr">
        <is>
          <t>Immature capability for utility dependency map for electricity, gas, water, compressed air, HVAC and other utilities may lead to production stoppage, quality defects, low asset visibility and inability to recover shop-floor operations during Manufacturing disruption; Safety incident; Energy outage; Cyberattack.</t>
        </is>
      </c>
      <c r="G244" s="13" t="inlineStr">
        <is>
          <t>Low maturity, weak ownership, incomplete evidence, insufficient testing and poor integration with crisis-management routines for utility dependency map for electricity, gas, water, compressed air, HVAC and other utilities.</t>
        </is>
      </c>
      <c r="H244" s="13" t="inlineStr">
        <is>
          <t>Severe risk: utility dependency map for electricity, gas, water, compressed air, HVAC and other utilities is not reliably controlled. During Manufacturing disruption; Safety incident; Energy outage; Cyberattack, the organization may face production stoppage, quality defects, low asset visibility and inability to recover shop-floor operations with limited visibility or accountability.</t>
        </is>
      </c>
      <c r="I244" s="13" t="inlineStr">
        <is>
          <t>High risk: utility dependency map for electricity, gas, water, compressed air, HVAC and other utilities depends on informal practices or individual knowledge. Disruption may expose production stoppage, quality defects, low asset visibility and inability to recover shop-floor operations and slow recovery.</t>
        </is>
      </c>
      <c r="J244" s="13" t="inlineStr">
        <is>
          <t>Elevated risk: utility dependency map for electricity, gas, water, compressed air, HVAC and other utilities is partially controlled, but coverage, evidence or testing is inconsistent. Crisis response may be fragmented.</t>
        </is>
      </c>
      <c r="K244" s="13" t="inlineStr">
        <is>
          <t>Moderate risk: utility dependency map for electricity, gas, water, compressed air, HVAC and other utilities is documented and owned, but measurement, stress testing and integration with dependent processes need strengthening.</t>
        </is>
      </c>
      <c r="L244" s="13" t="inlineStr">
        <is>
          <t>Residual risk: utility dependency map for electricity, gas, water, compressed air, HVAC and other utilities is measured and reviewed, but monitoring, automation or scenario testing should be improved to prevent maturity drift.</t>
        </is>
      </c>
      <c r="M244" s="13" t="inlineStr">
        <is>
          <t>Low residual risk: utility dependency map for electricity, gas, water, compressed air, HVAC and other utilities is mature and crisis-tested. Maintain monitoring, evidence, ownership and periodic stress testing.</t>
        </is>
      </c>
      <c r="N244" s="13" t="inlineStr">
        <is>
          <t>Create an immediate risk owner, minimum control baseline and fallback procedure for utility dependency map for electricity, gas, water, compressed air, HVAC and other utilities. Add it to the crisis risk register and collect first evidence.</t>
        </is>
      </c>
      <c r="O244" s="13" t="inlineStr">
        <is>
          <t>Document utility dependency map for electricity, gas, water, compressed air, HVAC and other utilities, assign RACI, define minimum controls and KPIs, and validate coverage across key sites, teams or systems.</t>
        </is>
      </c>
      <c r="P244" s="13" t="inlineStr">
        <is>
          <t>Standardize utility dependency map for electricity, gas, water, compressed air, HVAC and other utilities, close coverage gaps, train accountable roles and connect controls to the relevant crisis scenarios and continuity plans.</t>
        </is>
      </c>
      <c r="Q244" s="13" t="inlineStr">
        <is>
          <t>Measure and test utility dependency map for electricity, gas, water, compressed air, HVAC and other utilities, run tabletop or operational stress tests, integrate it with dependent processes and update crisis playbooks.</t>
        </is>
      </c>
      <c r="R244" s="13" t="inlineStr">
        <is>
          <t>Automate monitoring where practical, define leading indicators, run periodic scenario tests and track residual risk after each major change.</t>
        </is>
      </c>
      <c r="S244" s="13" t="inlineStr">
        <is>
          <t>Sustain maturity for utility dependency map for electricity, gas, water, compressed air, HVAC and other utilities: keep evidence current, monitor drift, benchmark externally and refresh risk tests after organizational, system or market changes.</t>
        </is>
      </c>
      <c r="T244" s="13" t="n">
        <v>4</v>
      </c>
      <c r="U244" s="13" t="n">
        <v>3</v>
      </c>
      <c r="V244" s="13" t="n">
        <v>3</v>
      </c>
      <c r="W244" s="13" t="n">
        <v>2</v>
      </c>
      <c r="X244" s="13" t="n">
        <v>1</v>
      </c>
      <c r="Y244" s="13" t="n">
        <v>1</v>
      </c>
      <c r="Z244" s="13" t="inlineStr">
        <is>
          <t>ISO 9001; ISO 45001; ISA-95; IEC 62443; ISO 55001; Lean; Six Sigma; TPM; MES/MOM practices</t>
        </is>
      </c>
      <c r="AA244" s="13" t="inlineStr">
        <is>
          <t>Policy/SOP; owner/RACI; system report; dashboard; contracts; test records; incident history; interview evidence related to utility dependency map for electricity, gas, water, compressed air, HVAC and other utilities.</t>
        </is>
      </c>
      <c r="AB244" s="13" t="inlineStr">
        <is>
          <t>Manufacturing disruption; Safety incident; Energy outage; Cyberattack</t>
        </is>
      </c>
      <c r="AC244" s="13" t="inlineStr">
        <is>
          <t>COO / Plant / Manufacturing</t>
        </is>
      </c>
      <c r="AD244" s="13" t="inlineStr">
        <is>
          <t>Manufacturing MES!20</t>
        </is>
      </c>
      <c r="AE244">
        <f>IF($A244="","",IF(OR(ISNUMBER(SEARCH("cyber",$D244)),ISNUMBER(SEARCH("security",$D244)),ISNUMBER(SEARCH("safety",$D244)),ISNUMBER(SEARCH("liquidity",$D244)),ISNUMBER(SEARCH("cash",$D244)),ISNUMBER(SEARCH("continuity",$D244)),ISNUMBER(SEARCH("infrastructure",$D244)),ISNUMBER(SEARCH("outage",$D244))),"Fast",IF(OR(ISNUMBER(SEARCH("compliance",$D244)),ISNUMBER(SEARCH("regulat",$D244)),ISNUMBER(SEARCH("data",$D244)),ISNUMBER(SEARCH("talent",$D244)),ISNUMBER(SEARCH("knowledge",$D244)),ISNUMBER(SEARCH("portfolio",$D244)),ISNUMBER(SEARCH("quality",$D244))),"Slow","Medium")))</f>
        <v/>
      </c>
      <c r="AF244">
        <f>IF($A244="","",IFERROR(VLOOKUP($B244,'_CONFIG_Risk_Calibration'!$A$5:$H$21,2,FALSE),3))</f>
        <v/>
      </c>
      <c r="AG244">
        <f>IF($A244="","",IFERROR(VLOOKUP($B244,'_CONFIG_Risk_Calibration'!$A$5:$H$21,3,FALSE),0))</f>
        <v/>
      </c>
      <c r="AH244">
        <f>IF($A244="","",IFERROR(VLOOKUP($B244,'_CONFIG_Risk_Calibration'!$A$5:$H$21,4,FALSE),3))</f>
        <v/>
      </c>
      <c r="AI244">
        <f>IF($A244="","",IFERROR(VLOOKUP($B244,'_CONFIG_Risk_Calibration'!$A$5:$H$21,5,FALSE),3))</f>
        <v/>
      </c>
      <c r="AJ244">
        <f>IF($A244="","",IFERROR(VLOOKUP($B244,'_CONFIG_Risk_Calibration'!$A$5:$H$21,6,FALSE),"No"))</f>
        <v/>
      </c>
      <c r="AK244">
        <f>IF($A244="","",IFERROR(VLOOKUP($B244,'_CONFIG_Risk_Calibration'!$A$5:$H$21,7,FALSE),1))</f>
        <v/>
      </c>
      <c r="AL244">
        <f>IF($A244="","",IFERROR(VLOOKUP($B244,'_CONFIG_Risk_Calibration'!$A$5:$H$21,8,FALSE),""))</f>
        <v/>
      </c>
    </row>
    <row r="245" ht="72" customHeight="1" s="209">
      <c r="A245" s="13" t="inlineStr">
        <is>
          <t>MANU-017</t>
        </is>
      </c>
      <c r="B245" s="13" t="inlineStr">
        <is>
          <t>Manufacturing MES</t>
        </is>
      </c>
      <c r="C245" s="13" t="inlineStr">
        <is>
          <t>Maintenance and assets</t>
        </is>
      </c>
      <c r="D245" s="13" t="inlineStr">
        <is>
          <t>Manufacturing, MES and production continuity</t>
        </is>
      </c>
      <c r="E245" s="13" t="inlineStr">
        <is>
          <t>How mature is the organization in managing backup utility options for critical production processes, including ownership, evidence, metrics, fallback procedures and crisis stress testing?</t>
        </is>
      </c>
      <c r="F245" s="13" t="inlineStr">
        <is>
          <t>Immature capability for backup utility options for critical production processes may lead to production stoppage, quality defects, low asset visibility and inability to recover shop-floor operations during Manufacturing disruption; Safety incident; Energy outage; Cyberattack.</t>
        </is>
      </c>
      <c r="G245" s="13" t="inlineStr">
        <is>
          <t>Low maturity, weak ownership, incomplete evidence, insufficient testing and poor integration with crisis-management routines for backup utility options for critical production processes.</t>
        </is>
      </c>
      <c r="H245" s="13" t="inlineStr">
        <is>
          <t>Severe risk: backup utility options for critical production processes is not reliably controlled. During Manufacturing disruption; Safety incident; Energy outage; Cyberattack, the organization may face production stoppage, quality defects, low asset visibility and inability to recover shop-floor operations with limited visibility or accountability.</t>
        </is>
      </c>
      <c r="I245" s="13" t="inlineStr">
        <is>
          <t>High risk: backup utility options for critical production processes depends on informal practices or individual knowledge. Disruption may expose production stoppage, quality defects, low asset visibility and inability to recover shop-floor operations and slow recovery.</t>
        </is>
      </c>
      <c r="J245" s="13" t="inlineStr">
        <is>
          <t>Elevated risk: backup utility options for critical production processes is partially controlled, but coverage, evidence or testing is inconsistent. Crisis response may be fragmented.</t>
        </is>
      </c>
      <c r="K245" s="13" t="inlineStr">
        <is>
          <t>Moderate risk: backup utility options for critical production processes is documented and owned, but measurement, stress testing and integration with dependent processes need strengthening.</t>
        </is>
      </c>
      <c r="L245" s="13" t="inlineStr">
        <is>
          <t>Residual risk: backup utility options for critical production processes is measured and reviewed, but monitoring, automation or scenario testing should be improved to prevent maturity drift.</t>
        </is>
      </c>
      <c r="M245" s="13" t="inlineStr">
        <is>
          <t>Low residual risk: backup utility options for critical production processes is mature and crisis-tested. Maintain monitoring, evidence, ownership and periodic stress testing.</t>
        </is>
      </c>
      <c r="N245" s="13" t="inlineStr">
        <is>
          <t>Create an immediate risk owner, minimum control baseline and fallback procedure for backup utility options for critical production processes. Add it to the crisis risk register and collect first evidence.</t>
        </is>
      </c>
      <c r="O245" s="13" t="inlineStr">
        <is>
          <t>Document backup utility options for critical production processes, assign RACI, define minimum controls and KPIs, and validate coverage across key sites, teams or systems.</t>
        </is>
      </c>
      <c r="P245" s="13" t="inlineStr">
        <is>
          <t>Standardize backup utility options for critical production processes, close coverage gaps, train accountable roles and connect controls to the relevant crisis scenarios and continuity plans.</t>
        </is>
      </c>
      <c r="Q245" s="13" t="inlineStr">
        <is>
          <t>Measure and test backup utility options for critical production processes, run tabletop or operational stress tests, integrate it with dependent processes and update crisis playbooks.</t>
        </is>
      </c>
      <c r="R245" s="13" t="inlineStr">
        <is>
          <t>Automate monitoring where practical, define leading indicators, run periodic scenario tests and track residual risk after each major change.</t>
        </is>
      </c>
      <c r="S245" s="13" t="inlineStr">
        <is>
          <t>Sustain maturity for backup utility options for critical production processes: keep evidence current, monitor drift, benchmark externally and refresh risk tests after organizational, system or market changes.</t>
        </is>
      </c>
      <c r="T245" s="13" t="n">
        <v>4</v>
      </c>
      <c r="U245" s="13" t="n">
        <v>3</v>
      </c>
      <c r="V245" s="13" t="n">
        <v>3</v>
      </c>
      <c r="W245" s="13" t="n">
        <v>2</v>
      </c>
      <c r="X245" s="13" t="n">
        <v>1</v>
      </c>
      <c r="Y245" s="13" t="n">
        <v>1</v>
      </c>
      <c r="Z245" s="13" t="inlineStr">
        <is>
          <t>ISO 9001; ISO 45001; ISA-95; IEC 62443; ISO 55001; Lean; Six Sigma; TPM; MES/MOM practices</t>
        </is>
      </c>
      <c r="AA245" s="13" t="inlineStr">
        <is>
          <t>Policy/SOP; owner/RACI; system report; dashboard; contracts; test records; incident history; interview evidence related to backup utility options for critical production processes.</t>
        </is>
      </c>
      <c r="AB245" s="13" t="inlineStr">
        <is>
          <t>Manufacturing disruption; Safety incident; Energy outage; Cyberattack</t>
        </is>
      </c>
      <c r="AC245" s="13" t="inlineStr">
        <is>
          <t>COO / Plant / Manufacturing</t>
        </is>
      </c>
      <c r="AD245" s="13" t="inlineStr">
        <is>
          <t>Manufacturing MES!21</t>
        </is>
      </c>
      <c r="AE245">
        <f>IF($A245="","",IF(OR(ISNUMBER(SEARCH("cyber",$D245)),ISNUMBER(SEARCH("security",$D245)),ISNUMBER(SEARCH("safety",$D245)),ISNUMBER(SEARCH("liquidity",$D245)),ISNUMBER(SEARCH("cash",$D245)),ISNUMBER(SEARCH("continuity",$D245)),ISNUMBER(SEARCH("infrastructure",$D245)),ISNUMBER(SEARCH("outage",$D245))),"Fast",IF(OR(ISNUMBER(SEARCH("compliance",$D245)),ISNUMBER(SEARCH("regulat",$D245)),ISNUMBER(SEARCH("data",$D245)),ISNUMBER(SEARCH("talent",$D245)),ISNUMBER(SEARCH("knowledge",$D245)),ISNUMBER(SEARCH("portfolio",$D245)),ISNUMBER(SEARCH("quality",$D245))),"Slow","Medium")))</f>
        <v/>
      </c>
      <c r="AF245">
        <f>IF($A245="","",IFERROR(VLOOKUP($B245,'_CONFIG_Risk_Calibration'!$A$5:$H$21,2,FALSE),3))</f>
        <v/>
      </c>
      <c r="AG245">
        <f>IF($A245="","",IFERROR(VLOOKUP($B245,'_CONFIG_Risk_Calibration'!$A$5:$H$21,3,FALSE),0))</f>
        <v/>
      </c>
      <c r="AH245">
        <f>IF($A245="","",IFERROR(VLOOKUP($B245,'_CONFIG_Risk_Calibration'!$A$5:$H$21,4,FALSE),3))</f>
        <v/>
      </c>
      <c r="AI245">
        <f>IF($A245="","",IFERROR(VLOOKUP($B245,'_CONFIG_Risk_Calibration'!$A$5:$H$21,5,FALSE),3))</f>
        <v/>
      </c>
      <c r="AJ245">
        <f>IF($A245="","",IFERROR(VLOOKUP($B245,'_CONFIG_Risk_Calibration'!$A$5:$H$21,6,FALSE),"No"))</f>
        <v/>
      </c>
      <c r="AK245">
        <f>IF($A245="","",IFERROR(VLOOKUP($B245,'_CONFIG_Risk_Calibration'!$A$5:$H$21,7,FALSE),1))</f>
        <v/>
      </c>
      <c r="AL245">
        <f>IF($A245="","",IFERROR(VLOOKUP($B245,'_CONFIG_Risk_Calibration'!$A$5:$H$21,8,FALSE),""))</f>
        <v/>
      </c>
    </row>
    <row r="246" ht="72" customHeight="1" s="209">
      <c r="A246" s="13" t="inlineStr">
        <is>
          <t>MANU-018</t>
        </is>
      </c>
      <c r="B246" s="13" t="inlineStr">
        <is>
          <t>Manufacturing MES</t>
        </is>
      </c>
      <c r="C246" s="13" t="inlineStr">
        <is>
          <t>Maintenance and assets</t>
        </is>
      </c>
      <c r="D246" s="13" t="inlineStr">
        <is>
          <t>Manufacturing, MES and production continuity</t>
        </is>
      </c>
      <c r="E246" s="13" t="inlineStr">
        <is>
          <t>How mature is the organization in managing asset management for critical production equipment, tooling and calibration, including ownership, evidence, metrics, fallback procedures and crisis stress testing?</t>
        </is>
      </c>
      <c r="F246" s="13" t="inlineStr">
        <is>
          <t>Immature capability for asset management for critical production equipment, tooling and calibration may lead to production stoppage, quality defects, low asset visibility and inability to recover shop-floor operations during Manufacturing disruption; Safety incident; Energy outage; Cyberattack.</t>
        </is>
      </c>
      <c r="G246" s="13" t="inlineStr">
        <is>
          <t>Low maturity, weak ownership, incomplete evidence, insufficient testing and poor integration with crisis-management routines for asset management for critical production equipment, tooling and calibration.</t>
        </is>
      </c>
      <c r="H246" s="13" t="inlineStr">
        <is>
          <t>Severe risk: asset management for critical production equipment, tooling and calibration is not reliably controlled. During Manufacturing disruption; Safety incident; Energy outage; Cyberattack, the organization may face production stoppage, quality defects, low asset visibility and inability to recover shop-floor operations with limited visibility or accountability.</t>
        </is>
      </c>
      <c r="I246" s="13" t="inlineStr">
        <is>
          <t>High risk: asset management for critical production equipment, tooling and calibration depends on informal practices or individual knowledge. Disruption may expose production stoppage, quality defects, low asset visibility and inability to recover shop-floor operations and slow recovery.</t>
        </is>
      </c>
      <c r="J246" s="13" t="inlineStr">
        <is>
          <t>Elevated risk: asset management for critical production equipment, tooling and calibration is partially controlled, but coverage, evidence or testing is inconsistent. Crisis response may be fragmented.</t>
        </is>
      </c>
      <c r="K246" s="13" t="inlineStr">
        <is>
          <t>Moderate risk: asset management for critical production equipment, tooling and calibration is documented and owned, but measurement, stress testing and integration with dependent processes need strengthening.</t>
        </is>
      </c>
      <c r="L246" s="13" t="inlineStr">
        <is>
          <t>Residual risk: asset management for critical production equipment, tooling and calibration is measured and reviewed, but monitoring, automation or scenario testing should be improved to prevent maturity drift.</t>
        </is>
      </c>
      <c r="M246" s="13" t="inlineStr">
        <is>
          <t>Low residual risk: asset management for critical production equipment, tooling and calibration is mature and crisis-tested. Maintain monitoring, evidence, ownership and periodic stress testing.</t>
        </is>
      </c>
      <c r="N246" s="13" t="inlineStr">
        <is>
          <t>Create an immediate risk owner, minimum control baseline and fallback procedure for asset management for critical production equipment, tooling and calibration. Add it to the crisis risk register and collect first evidence.</t>
        </is>
      </c>
      <c r="O246" s="13" t="inlineStr">
        <is>
          <t>Document asset management for critical production equipment, tooling and calibration, assign RACI, define minimum controls and KPIs, and validate coverage across key sites, teams or systems.</t>
        </is>
      </c>
      <c r="P246" s="13" t="inlineStr">
        <is>
          <t>Standardize asset management for critical production equipment, tooling and calibration, close coverage gaps, train accountable roles and connect controls to the relevant crisis scenarios and continuity plans.</t>
        </is>
      </c>
      <c r="Q246" s="13" t="inlineStr">
        <is>
          <t>Measure and test asset management for critical production equipment, tooling and calibration, run tabletop or operational stress tests, integrate it with dependent processes and update crisis playbooks.</t>
        </is>
      </c>
      <c r="R246" s="13" t="inlineStr">
        <is>
          <t>Automate monitoring where practical, define leading indicators, run periodic scenario tests and track residual risk after each major change.</t>
        </is>
      </c>
      <c r="S246" s="13" t="inlineStr">
        <is>
          <t>Sustain maturity for asset management for critical production equipment, tooling and calibration: keep evidence current, monitor drift, benchmark externally and refresh risk tests after organizational, system or market changes.</t>
        </is>
      </c>
      <c r="T246" s="13" t="n">
        <v>4</v>
      </c>
      <c r="U246" s="13" t="n">
        <v>3</v>
      </c>
      <c r="V246" s="13" t="n">
        <v>3</v>
      </c>
      <c r="W246" s="13" t="n">
        <v>2</v>
      </c>
      <c r="X246" s="13" t="n">
        <v>1</v>
      </c>
      <c r="Y246" s="13" t="n">
        <v>1</v>
      </c>
      <c r="Z246" s="13" t="inlineStr">
        <is>
          <t>ISO 9001; ISO 45001; ISA-95; IEC 62443; ISO 55001; Lean; Six Sigma; TPM; MES/MOM practices</t>
        </is>
      </c>
      <c r="AA246" s="13" t="inlineStr">
        <is>
          <t>Policy/SOP; owner/RACI; system report; dashboard; contracts; test records; incident history; interview evidence related to asset management for critical production equipment, tooling and calibration.</t>
        </is>
      </c>
      <c r="AB246" s="13" t="inlineStr">
        <is>
          <t>Manufacturing disruption; Safety incident; Energy outage; Cyberattack</t>
        </is>
      </c>
      <c r="AC246" s="13" t="inlineStr">
        <is>
          <t>COO / Plant / Manufacturing</t>
        </is>
      </c>
      <c r="AD246" s="13" t="inlineStr">
        <is>
          <t>Manufacturing MES!22</t>
        </is>
      </c>
      <c r="AE246">
        <f>IF($A246="","",IF(OR(ISNUMBER(SEARCH("cyber",$D246)),ISNUMBER(SEARCH("security",$D246)),ISNUMBER(SEARCH("safety",$D246)),ISNUMBER(SEARCH("liquidity",$D246)),ISNUMBER(SEARCH("cash",$D246)),ISNUMBER(SEARCH("continuity",$D246)),ISNUMBER(SEARCH("infrastructure",$D246)),ISNUMBER(SEARCH("outage",$D246))),"Fast",IF(OR(ISNUMBER(SEARCH("compliance",$D246)),ISNUMBER(SEARCH("regulat",$D246)),ISNUMBER(SEARCH("data",$D246)),ISNUMBER(SEARCH("talent",$D246)),ISNUMBER(SEARCH("knowledge",$D246)),ISNUMBER(SEARCH("portfolio",$D246)),ISNUMBER(SEARCH("quality",$D246))),"Slow","Medium")))</f>
        <v/>
      </c>
      <c r="AF246">
        <f>IF($A246="","",IFERROR(VLOOKUP($B246,'_CONFIG_Risk_Calibration'!$A$5:$H$21,2,FALSE),3))</f>
        <v/>
      </c>
      <c r="AG246">
        <f>IF($A246="","",IFERROR(VLOOKUP($B246,'_CONFIG_Risk_Calibration'!$A$5:$H$21,3,FALSE),0))</f>
        <v/>
      </c>
      <c r="AH246">
        <f>IF($A246="","",IFERROR(VLOOKUP($B246,'_CONFIG_Risk_Calibration'!$A$5:$H$21,4,FALSE),3))</f>
        <v/>
      </c>
      <c r="AI246">
        <f>IF($A246="","",IFERROR(VLOOKUP($B246,'_CONFIG_Risk_Calibration'!$A$5:$H$21,5,FALSE),3))</f>
        <v/>
      </c>
      <c r="AJ246">
        <f>IF($A246="","",IFERROR(VLOOKUP($B246,'_CONFIG_Risk_Calibration'!$A$5:$H$21,6,FALSE),"No"))</f>
        <v/>
      </c>
      <c r="AK246">
        <f>IF($A246="","",IFERROR(VLOOKUP($B246,'_CONFIG_Risk_Calibration'!$A$5:$H$21,7,FALSE),1))</f>
        <v/>
      </c>
      <c r="AL246">
        <f>IF($A246="","",IFERROR(VLOOKUP($B246,'_CONFIG_Risk_Calibration'!$A$5:$H$21,8,FALSE),""))</f>
        <v/>
      </c>
    </row>
    <row r="247" ht="84" customHeight="1" s="209">
      <c r="A247" s="13" t="inlineStr">
        <is>
          <t>MANU-019</t>
        </is>
      </c>
      <c r="B247" s="13" t="inlineStr">
        <is>
          <t>Manufacturing MES</t>
        </is>
      </c>
      <c r="C247" s="13" t="inlineStr">
        <is>
          <t>Quality and safety</t>
        </is>
      </c>
      <c r="D247" s="13" t="inlineStr">
        <is>
          <t>Manufacturing, MES and production continuity</t>
        </is>
      </c>
      <c r="E247" s="13" t="inlineStr">
        <is>
          <t>How mature is the organization in managing quality controls, inspections, sampling, nonconformance and corrective actions integrated into production, including ownership, evidence, metrics, fallback procedures and crisis stress testing?</t>
        </is>
      </c>
      <c r="F247" s="13" t="inlineStr">
        <is>
          <t>Immature capability for quality controls, inspections, sampling, nonconformance and corrective actions integrated into production may lead to production stoppage, quality defects, low asset visibility and inability to recover shop-floor operations during Manufacturing disruption; Safety incident; Energy outage; Cyberattack.</t>
        </is>
      </c>
      <c r="G247" s="13" t="inlineStr">
        <is>
          <t>Low maturity, weak ownership, incomplete evidence, insufficient testing and poor integration with crisis-management routines for quality controls, inspections, sampling, nonconformance and corrective actions integrated into production.</t>
        </is>
      </c>
      <c r="H247" s="13" t="inlineStr">
        <is>
          <t>Severe risk: quality controls, inspections, sampling, nonconformance and corrective actions integrated into production is not reliably controlled. During Manufacturing disruption; Safety incident; Energy outage; Cyberattack, the organization may face production stoppage, quality defects, low asset visibility and inability to recover shop-floor operations with limited visibility or accountability.</t>
        </is>
      </c>
      <c r="I247" s="13" t="inlineStr">
        <is>
          <t>High risk: quality controls, inspections, sampling, nonconformance and corrective actions integrated into production depends on informal practices or individual knowledge. Disruption may expose production stoppage, quality defects, low asset visibility and inability to recover shop-floor operations and slow recovery.</t>
        </is>
      </c>
      <c r="J247" s="13" t="inlineStr">
        <is>
          <t>Elevated risk: quality controls, inspections, sampling, nonconformance and corrective actions integrated into production is partially controlled, but coverage, evidence or testing is inconsistent. Crisis response may be fragmented.</t>
        </is>
      </c>
      <c r="K247" s="13" t="inlineStr">
        <is>
          <t>Moderate risk: quality controls, inspections, sampling, nonconformance and corrective actions integrated into production is documented and owned, but measurement, stress testing and integration with dependent processes need strengthening.</t>
        </is>
      </c>
      <c r="L247" s="13" t="inlineStr">
        <is>
          <t>Residual risk: quality controls, inspections, sampling, nonconformance and corrective actions integrated into production is measured and reviewed, but monitoring, automation or scenario testing should be improved to prevent maturity drift.</t>
        </is>
      </c>
      <c r="M247" s="13" t="inlineStr">
        <is>
          <t>Low residual risk: quality controls, inspections, sampling, nonconformance and corrective actions integrated into production is mature and crisis-tested. Maintain monitoring, evidence, ownership and periodic stress testing.</t>
        </is>
      </c>
      <c r="N247" s="13" t="inlineStr">
        <is>
          <t>Create an immediate risk owner, minimum control baseline and fallback procedure for quality controls, inspections, sampling, nonconformance and corrective actions integrated into production. Add it to the crisis risk register and collect first evidence.</t>
        </is>
      </c>
      <c r="O247" s="13" t="inlineStr">
        <is>
          <t>Document quality controls, inspections, sampling, nonconformance and corrective actions integrated into production, assign RACI, define minimum controls and KPIs, and validate coverage across key sites, teams or systems.</t>
        </is>
      </c>
      <c r="P247" s="13" t="inlineStr">
        <is>
          <t>Standardize quality controls, inspections, sampling, nonconformance and corrective actions integrated into production, close coverage gaps, train accountable roles and connect controls to the relevant crisis scenarios and continuity plans.</t>
        </is>
      </c>
      <c r="Q247" s="13" t="inlineStr">
        <is>
          <t>Measure and test quality controls, inspections, sampling, nonconformance and corrective actions integrated into production, run tabletop or operational stress tests, integrate it with dependent processes and update crisis playbooks.</t>
        </is>
      </c>
      <c r="R247" s="13" t="inlineStr">
        <is>
          <t>Automate monitoring where practical, define leading indicators, run periodic scenario tests and track residual risk after each major change.</t>
        </is>
      </c>
      <c r="S247" s="13" t="inlineStr">
        <is>
          <t>Sustain maturity for quality controls, inspections, sampling, nonconformance and corrective actions integrated into production: keep evidence current, monitor drift, benchmark externally and refresh risk tests after organizational, system or market changes.</t>
        </is>
      </c>
      <c r="T247" s="13" t="n">
        <v>4</v>
      </c>
      <c r="U247" s="13" t="n">
        <v>3</v>
      </c>
      <c r="V247" s="13" t="n">
        <v>3</v>
      </c>
      <c r="W247" s="13" t="n">
        <v>2</v>
      </c>
      <c r="X247" s="13" t="n">
        <v>1</v>
      </c>
      <c r="Y247" s="13" t="n">
        <v>1</v>
      </c>
      <c r="Z247" s="13" t="inlineStr">
        <is>
          <t>ISO 9001; ISO 45001; ISA-95; IEC 62443; ISO 55001; Lean; Six Sigma; TPM; MES/MOM practices</t>
        </is>
      </c>
      <c r="AA247" s="13" t="inlineStr">
        <is>
          <t>Policy/SOP; owner/RACI; system report; dashboard; contracts; test records; incident history; interview evidence related to quality controls, inspections, sampling, nonconformance and corrective actions integrated into production.</t>
        </is>
      </c>
      <c r="AB247" s="13" t="inlineStr">
        <is>
          <t>Manufacturing disruption; Safety incident; Energy outage; Cyberattack</t>
        </is>
      </c>
      <c r="AC247" s="13" t="inlineStr">
        <is>
          <t>COO / Plant / Manufacturing</t>
        </is>
      </c>
      <c r="AD247" s="13" t="inlineStr">
        <is>
          <t>Manufacturing MES!23</t>
        </is>
      </c>
      <c r="AE247">
        <f>IF($A247="","",IF(OR(ISNUMBER(SEARCH("cyber",$D247)),ISNUMBER(SEARCH("security",$D247)),ISNUMBER(SEARCH("safety",$D247)),ISNUMBER(SEARCH("liquidity",$D247)),ISNUMBER(SEARCH("cash",$D247)),ISNUMBER(SEARCH("continuity",$D247)),ISNUMBER(SEARCH("infrastructure",$D247)),ISNUMBER(SEARCH("outage",$D247))),"Fast",IF(OR(ISNUMBER(SEARCH("compliance",$D247)),ISNUMBER(SEARCH("regulat",$D247)),ISNUMBER(SEARCH("data",$D247)),ISNUMBER(SEARCH("talent",$D247)),ISNUMBER(SEARCH("knowledge",$D247)),ISNUMBER(SEARCH("portfolio",$D247)),ISNUMBER(SEARCH("quality",$D247))),"Slow","Medium")))</f>
        <v/>
      </c>
      <c r="AF247">
        <f>IF($A247="","",IFERROR(VLOOKUP($B247,'_CONFIG_Risk_Calibration'!$A$5:$H$21,2,FALSE),3))</f>
        <v/>
      </c>
      <c r="AG247">
        <f>IF($A247="","",IFERROR(VLOOKUP($B247,'_CONFIG_Risk_Calibration'!$A$5:$H$21,3,FALSE),0))</f>
        <v/>
      </c>
      <c r="AH247">
        <f>IF($A247="","",IFERROR(VLOOKUP($B247,'_CONFIG_Risk_Calibration'!$A$5:$H$21,4,FALSE),3))</f>
        <v/>
      </c>
      <c r="AI247">
        <f>IF($A247="","",IFERROR(VLOOKUP($B247,'_CONFIG_Risk_Calibration'!$A$5:$H$21,5,FALSE),3))</f>
        <v/>
      </c>
      <c r="AJ247">
        <f>IF($A247="","",IFERROR(VLOOKUP($B247,'_CONFIG_Risk_Calibration'!$A$5:$H$21,6,FALSE),"No"))</f>
        <v/>
      </c>
      <c r="AK247">
        <f>IF($A247="","",IFERROR(VLOOKUP($B247,'_CONFIG_Risk_Calibration'!$A$5:$H$21,7,FALSE),1))</f>
        <v/>
      </c>
      <c r="AL247">
        <f>IF($A247="","",IFERROR(VLOOKUP($B247,'_CONFIG_Risk_Calibration'!$A$5:$H$21,8,FALSE),""))</f>
        <v/>
      </c>
    </row>
    <row r="248" ht="72" customHeight="1" s="209">
      <c r="A248" s="13" t="inlineStr">
        <is>
          <t>MANU-020</t>
        </is>
      </c>
      <c r="B248" s="13" t="inlineStr">
        <is>
          <t>Manufacturing MES</t>
        </is>
      </c>
      <c r="C248" s="13" t="inlineStr">
        <is>
          <t>Quality and safety</t>
        </is>
      </c>
      <c r="D248" s="13" t="inlineStr">
        <is>
          <t>Manufacturing, MES and production continuity</t>
        </is>
      </c>
      <c r="E248" s="13" t="inlineStr">
        <is>
          <t>How mature is the organization in managing traceability of products, batches, materials, operators and process parameters, including ownership, evidence, metrics, fallback procedures and crisis stress testing?</t>
        </is>
      </c>
      <c r="F248" s="13" t="inlineStr">
        <is>
          <t>Immature capability for traceability of products, batches, materials, operators and process parameters may lead to production stoppage, quality defects, low asset visibility and inability to recover shop-floor operations during Manufacturing disruption; Safety incident; Energy outage; Cyberattack.</t>
        </is>
      </c>
      <c r="G248" s="13" t="inlineStr">
        <is>
          <t>Low maturity, weak ownership, incomplete evidence, insufficient testing and poor integration with crisis-management routines for traceability of products, batches, materials, operators and process parameters.</t>
        </is>
      </c>
      <c r="H248" s="13" t="inlineStr">
        <is>
          <t>Severe risk: traceability of products, batches, materials, operators and process parameters is not reliably controlled. During Manufacturing disruption; Safety incident; Energy outage; Cyberattack, the organization may face production stoppage, quality defects, low asset visibility and inability to recover shop-floor operations with limited visibility or accountability.</t>
        </is>
      </c>
      <c r="I248" s="13" t="inlineStr">
        <is>
          <t>High risk: traceability of products, batches, materials, operators and process parameters depends on informal practices or individual knowledge. Disruption may expose production stoppage, quality defects, low asset visibility and inability to recover shop-floor operations and slow recovery.</t>
        </is>
      </c>
      <c r="J248" s="13" t="inlineStr">
        <is>
          <t>Elevated risk: traceability of products, batches, materials, operators and process parameters is partially controlled, but coverage, evidence or testing is inconsistent. Crisis response may be fragmented.</t>
        </is>
      </c>
      <c r="K248" s="13" t="inlineStr">
        <is>
          <t>Moderate risk: traceability of products, batches, materials, operators and process parameters is documented and owned, but measurement, stress testing and integration with dependent processes need strengthening.</t>
        </is>
      </c>
      <c r="L248" s="13" t="inlineStr">
        <is>
          <t>Residual risk: traceability of products, batches, materials, operators and process parameters is measured and reviewed, but monitoring, automation or scenario testing should be improved to prevent maturity drift.</t>
        </is>
      </c>
      <c r="M248" s="13" t="inlineStr">
        <is>
          <t>Low residual risk: traceability of products, batches, materials, operators and process parameters is mature and crisis-tested. Maintain monitoring, evidence, ownership and periodic stress testing.</t>
        </is>
      </c>
      <c r="N248" s="13" t="inlineStr">
        <is>
          <t>Create an immediate risk owner, minimum control baseline and fallback procedure for traceability of products, batches, materials, operators and process parameters. Add it to the crisis risk register and collect first evidence.</t>
        </is>
      </c>
      <c r="O248" s="13" t="inlineStr">
        <is>
          <t>Document traceability of products, batches, materials, operators and process parameters, assign RACI, define minimum controls and KPIs, and validate coverage across key sites, teams or systems.</t>
        </is>
      </c>
      <c r="P248" s="13" t="inlineStr">
        <is>
          <t>Standardize traceability of products, batches, materials, operators and process parameters, close coverage gaps, train accountable roles and connect controls to the relevant crisis scenarios and continuity plans.</t>
        </is>
      </c>
      <c r="Q248" s="13" t="inlineStr">
        <is>
          <t>Measure and test traceability of products, batches, materials, operators and process parameters, run tabletop or operational stress tests, integrate it with dependent processes and update crisis playbooks.</t>
        </is>
      </c>
      <c r="R248" s="13" t="inlineStr">
        <is>
          <t>Automate monitoring where practical, define leading indicators, run periodic scenario tests and track residual risk after each major change.</t>
        </is>
      </c>
      <c r="S248" s="13" t="inlineStr">
        <is>
          <t>Sustain maturity for traceability of products, batches, materials, operators and process parameters: keep evidence current, monitor drift, benchmark externally and refresh risk tests after organizational, system or market changes.</t>
        </is>
      </c>
      <c r="T248" s="13" t="n">
        <v>4</v>
      </c>
      <c r="U248" s="13" t="n">
        <v>3</v>
      </c>
      <c r="V248" s="13" t="n">
        <v>3</v>
      </c>
      <c r="W248" s="13" t="n">
        <v>2</v>
      </c>
      <c r="X248" s="13" t="n">
        <v>1</v>
      </c>
      <c r="Y248" s="13" t="n">
        <v>1</v>
      </c>
      <c r="Z248" s="13" t="inlineStr">
        <is>
          <t>ISO 9001; ISO 45001; ISA-95; IEC 62443; ISO 55001; Lean; Six Sigma; TPM; MES/MOM practices</t>
        </is>
      </c>
      <c r="AA248" s="13" t="inlineStr">
        <is>
          <t>Policy/SOP; owner/RACI; system report; dashboard; contracts; test records; incident history; interview evidence related to traceability of products, batches, materials, operators and process parameters.</t>
        </is>
      </c>
      <c r="AB248" s="13" t="inlineStr">
        <is>
          <t>Manufacturing disruption; Safety incident; Energy outage; Cyberattack</t>
        </is>
      </c>
      <c r="AC248" s="13" t="inlineStr">
        <is>
          <t>COO / Plant / Manufacturing</t>
        </is>
      </c>
      <c r="AD248" s="13" t="inlineStr">
        <is>
          <t>Manufacturing MES!24</t>
        </is>
      </c>
      <c r="AE248">
        <f>IF($A248="","",IF(OR(ISNUMBER(SEARCH("cyber",$D248)),ISNUMBER(SEARCH("security",$D248)),ISNUMBER(SEARCH("safety",$D248)),ISNUMBER(SEARCH("liquidity",$D248)),ISNUMBER(SEARCH("cash",$D248)),ISNUMBER(SEARCH("continuity",$D248)),ISNUMBER(SEARCH("infrastructure",$D248)),ISNUMBER(SEARCH("outage",$D248))),"Fast",IF(OR(ISNUMBER(SEARCH("compliance",$D248)),ISNUMBER(SEARCH("regulat",$D248)),ISNUMBER(SEARCH("data",$D248)),ISNUMBER(SEARCH("talent",$D248)),ISNUMBER(SEARCH("knowledge",$D248)),ISNUMBER(SEARCH("portfolio",$D248)),ISNUMBER(SEARCH("quality",$D248))),"Slow","Medium")))</f>
        <v/>
      </c>
      <c r="AF248">
        <f>IF($A248="","",IFERROR(VLOOKUP($B248,'_CONFIG_Risk_Calibration'!$A$5:$H$21,2,FALSE),3))</f>
        <v/>
      </c>
      <c r="AG248">
        <f>IF($A248="","",IFERROR(VLOOKUP($B248,'_CONFIG_Risk_Calibration'!$A$5:$H$21,3,FALSE),0))</f>
        <v/>
      </c>
      <c r="AH248">
        <f>IF($A248="","",IFERROR(VLOOKUP($B248,'_CONFIG_Risk_Calibration'!$A$5:$H$21,4,FALSE),3))</f>
        <v/>
      </c>
      <c r="AI248">
        <f>IF($A248="","",IFERROR(VLOOKUP($B248,'_CONFIG_Risk_Calibration'!$A$5:$H$21,5,FALSE),3))</f>
        <v/>
      </c>
      <c r="AJ248">
        <f>IF($A248="","",IFERROR(VLOOKUP($B248,'_CONFIG_Risk_Calibration'!$A$5:$H$21,6,FALSE),"No"))</f>
        <v/>
      </c>
      <c r="AK248">
        <f>IF($A248="","",IFERROR(VLOOKUP($B248,'_CONFIG_Risk_Calibration'!$A$5:$H$21,7,FALSE),1))</f>
        <v/>
      </c>
      <c r="AL248">
        <f>IF($A248="","",IFERROR(VLOOKUP($B248,'_CONFIG_Risk_Calibration'!$A$5:$H$21,8,FALSE),""))</f>
        <v/>
      </c>
    </row>
    <row r="249" ht="72" customHeight="1" s="209">
      <c r="A249" s="13" t="inlineStr">
        <is>
          <t>MANU-021</t>
        </is>
      </c>
      <c r="B249" s="13" t="inlineStr">
        <is>
          <t>Manufacturing MES</t>
        </is>
      </c>
      <c r="C249" s="13" t="inlineStr">
        <is>
          <t>Quality and safety</t>
        </is>
      </c>
      <c r="D249" s="13" t="inlineStr">
        <is>
          <t>Manufacturing, MES and production continuity</t>
        </is>
      </c>
      <c r="E249" s="13" t="inlineStr">
        <is>
          <t>How mature is the organization in managing BOM, routing, recipe and engineering change control synchronized with ERP/MES, including ownership, evidence, metrics, fallback procedures and crisis stress testing?</t>
        </is>
      </c>
      <c r="F249" s="13" t="inlineStr">
        <is>
          <t>Immature capability for BOM, routing, recipe and engineering change control synchronized with ERP/MES may lead to production stoppage, quality defects, low asset visibility and inability to recover shop-floor operations during Manufacturing disruption; Safety incident; Energy outage; Cyberattack.</t>
        </is>
      </c>
      <c r="G249" s="13" t="inlineStr">
        <is>
          <t>Low maturity, weak ownership, incomplete evidence, insufficient testing and poor integration with crisis-management routines for BOM, routing, recipe and engineering change control synchronized with ERP/MES.</t>
        </is>
      </c>
      <c r="H249" s="13" t="inlineStr">
        <is>
          <t>Severe risk: BOM, routing, recipe and engineering change control synchronized with ERP/MES is not reliably controlled. During Manufacturing disruption; Safety incident; Energy outage; Cyberattack, the organization may face production stoppage, quality defects, low asset visibility and inability to recover shop-floor operations with limited visibility or accountability.</t>
        </is>
      </c>
      <c r="I249" s="13" t="inlineStr">
        <is>
          <t>High risk: BOM, routing, recipe and engineering change control synchronized with ERP/MES depends on informal practices or individual knowledge. Disruption may expose production stoppage, quality defects, low asset visibility and inability to recover shop-floor operations and slow recovery.</t>
        </is>
      </c>
      <c r="J249" s="13" t="inlineStr">
        <is>
          <t>Elevated risk: BOM, routing, recipe and engineering change control synchronized with ERP/MES is partially controlled, but coverage, evidence or testing is inconsistent. Crisis response may be fragmented.</t>
        </is>
      </c>
      <c r="K249" s="13" t="inlineStr">
        <is>
          <t>Moderate risk: BOM, routing, recipe and engineering change control synchronized with ERP/MES is documented and owned, but measurement, stress testing and integration with dependent processes need strengthening.</t>
        </is>
      </c>
      <c r="L249" s="13" t="inlineStr">
        <is>
          <t>Residual risk: BOM, routing, recipe and engineering change control synchronized with ERP/MES is measured and reviewed, but monitoring, automation or scenario testing should be improved to prevent maturity drift.</t>
        </is>
      </c>
      <c r="M249" s="13" t="inlineStr">
        <is>
          <t>Low residual risk: BOM, routing, recipe and engineering change control synchronized with ERP/MES is mature and crisis-tested. Maintain monitoring, evidence, ownership and periodic stress testing.</t>
        </is>
      </c>
      <c r="N249" s="13" t="inlineStr">
        <is>
          <t>Create an immediate risk owner, minimum control baseline and fallback procedure for BOM, routing, recipe and engineering change control synchronized with ERP/MES. Add it to the crisis risk register and collect first evidence.</t>
        </is>
      </c>
      <c r="O249" s="13" t="inlineStr">
        <is>
          <t>Document BOM, routing, recipe and engineering change control synchronized with ERP/MES, assign RACI, define minimum controls and KPIs, and validate coverage across key sites, teams or systems.</t>
        </is>
      </c>
      <c r="P249" s="13" t="inlineStr">
        <is>
          <t>Standardize BOM, routing, recipe and engineering change control synchronized with ERP/MES, close coverage gaps, train accountable roles and connect controls to the relevant crisis scenarios and continuity plans.</t>
        </is>
      </c>
      <c r="Q249" s="13" t="inlineStr">
        <is>
          <t>Measure and test BOM, routing, recipe and engineering change control synchronized with ERP/MES, run tabletop or operational stress tests, integrate it with dependent processes and update crisis playbooks.</t>
        </is>
      </c>
      <c r="R249" s="13" t="inlineStr">
        <is>
          <t>Automate monitoring where practical, define leading indicators, run periodic scenario tests and track residual risk after each major change.</t>
        </is>
      </c>
      <c r="S249" s="13" t="inlineStr">
        <is>
          <t>Sustain maturity for BOM, routing, recipe and engineering change control synchronized with ERP/MES: keep evidence current, monitor drift, benchmark externally and refresh risk tests after organizational, system or market changes.</t>
        </is>
      </c>
      <c r="T249" s="13" t="n">
        <v>4</v>
      </c>
      <c r="U249" s="13" t="n">
        <v>3</v>
      </c>
      <c r="V249" s="13" t="n">
        <v>3</v>
      </c>
      <c r="W249" s="13" t="n">
        <v>2</v>
      </c>
      <c r="X249" s="13" t="n">
        <v>1</v>
      </c>
      <c r="Y249" s="13" t="n">
        <v>1</v>
      </c>
      <c r="Z249" s="13" t="inlineStr">
        <is>
          <t>ISO 9001; ISO 45001; ISA-95; IEC 62443; ISO 55001; Lean; Six Sigma; TPM; MES/MOM practices</t>
        </is>
      </c>
      <c r="AA249" s="13" t="inlineStr">
        <is>
          <t>Policy/SOP; owner/RACI; system report; dashboard; contracts; test records; incident history; interview evidence related to BOM, routing, recipe and engineering change control synchronized with ERP/MES.</t>
        </is>
      </c>
      <c r="AB249" s="13" t="inlineStr">
        <is>
          <t>Manufacturing disruption; Safety incident; Energy outage; Cyberattack</t>
        </is>
      </c>
      <c r="AC249" s="13" t="inlineStr">
        <is>
          <t>COO / Plant / Manufacturing</t>
        </is>
      </c>
      <c r="AD249" s="13" t="inlineStr">
        <is>
          <t>Manufacturing MES!25</t>
        </is>
      </c>
      <c r="AE249">
        <f>IF($A249="","",IF(OR(ISNUMBER(SEARCH("cyber",$D249)),ISNUMBER(SEARCH("security",$D249)),ISNUMBER(SEARCH("safety",$D249)),ISNUMBER(SEARCH("liquidity",$D249)),ISNUMBER(SEARCH("cash",$D249)),ISNUMBER(SEARCH("continuity",$D249)),ISNUMBER(SEARCH("infrastructure",$D249)),ISNUMBER(SEARCH("outage",$D249))),"Fast",IF(OR(ISNUMBER(SEARCH("compliance",$D249)),ISNUMBER(SEARCH("regulat",$D249)),ISNUMBER(SEARCH("data",$D249)),ISNUMBER(SEARCH("talent",$D249)),ISNUMBER(SEARCH("knowledge",$D249)),ISNUMBER(SEARCH("portfolio",$D249)),ISNUMBER(SEARCH("quality",$D249))),"Slow","Medium")))</f>
        <v/>
      </c>
      <c r="AF249">
        <f>IF($A249="","",IFERROR(VLOOKUP($B249,'_CONFIG_Risk_Calibration'!$A$5:$H$21,2,FALSE),3))</f>
        <v/>
      </c>
      <c r="AG249">
        <f>IF($A249="","",IFERROR(VLOOKUP($B249,'_CONFIG_Risk_Calibration'!$A$5:$H$21,3,FALSE),0))</f>
        <v/>
      </c>
      <c r="AH249">
        <f>IF($A249="","",IFERROR(VLOOKUP($B249,'_CONFIG_Risk_Calibration'!$A$5:$H$21,4,FALSE),3))</f>
        <v/>
      </c>
      <c r="AI249">
        <f>IF($A249="","",IFERROR(VLOOKUP($B249,'_CONFIG_Risk_Calibration'!$A$5:$H$21,5,FALSE),3))</f>
        <v/>
      </c>
      <c r="AJ249">
        <f>IF($A249="","",IFERROR(VLOOKUP($B249,'_CONFIG_Risk_Calibration'!$A$5:$H$21,6,FALSE),"No"))</f>
        <v/>
      </c>
      <c r="AK249">
        <f>IF($A249="","",IFERROR(VLOOKUP($B249,'_CONFIG_Risk_Calibration'!$A$5:$H$21,7,FALSE),1))</f>
        <v/>
      </c>
      <c r="AL249">
        <f>IF($A249="","",IFERROR(VLOOKUP($B249,'_CONFIG_Risk_Calibration'!$A$5:$H$21,8,FALSE),""))</f>
        <v/>
      </c>
    </row>
    <row r="250" ht="84" customHeight="1" s="209">
      <c r="A250" s="13" t="inlineStr">
        <is>
          <t>MANU-022</t>
        </is>
      </c>
      <c r="B250" s="13" t="inlineStr">
        <is>
          <t>Manufacturing MES</t>
        </is>
      </c>
      <c r="C250" s="13" t="inlineStr">
        <is>
          <t>Quality and safety</t>
        </is>
      </c>
      <c r="D250" s="13" t="inlineStr">
        <is>
          <t>Manufacturing, MES and production continuity</t>
        </is>
      </c>
      <c r="E250" s="13" t="inlineStr">
        <is>
          <t>How mature is the organization in managing operator training and certification for equipment, safety, quality and emergency procedures, including ownership, evidence, metrics, fallback procedures and crisis stress testing?</t>
        </is>
      </c>
      <c r="F250" s="13" t="inlineStr">
        <is>
          <t>Immature capability for operator training and certification for equipment, safety, quality and emergency procedures may lead to production stoppage, quality defects, low asset visibility and inability to recover shop-floor operations during Manufacturing disruption; Safety incident; Energy outage; Cyberattack.</t>
        </is>
      </c>
      <c r="G250" s="13" t="inlineStr">
        <is>
          <t>Low maturity, weak ownership, incomplete evidence, insufficient testing and poor integration with crisis-management routines for operator training and certification for equipment, safety, quality and emergency procedures.</t>
        </is>
      </c>
      <c r="H250" s="13" t="inlineStr">
        <is>
          <t>Severe risk: operator training and certification for equipment, safety, quality and emergency procedures is not reliably controlled. During Manufacturing disruption; Safety incident; Energy outage; Cyberattack, the organization may face production stoppage, quality defects, low asset visibility and inability to recover shop-floor operations with limited visibility or accountability.</t>
        </is>
      </c>
      <c r="I250" s="13" t="inlineStr">
        <is>
          <t>High risk: operator training and certification for equipment, safety, quality and emergency procedures depends on informal practices or individual knowledge. Disruption may expose production stoppage, quality defects, low asset visibility and inability to recover shop-floor operations and slow recovery.</t>
        </is>
      </c>
      <c r="J250" s="13" t="inlineStr">
        <is>
          <t>Elevated risk: operator training and certification for equipment, safety, quality and emergency procedures is partially controlled, but coverage, evidence or testing is inconsistent. Crisis response may be fragmented.</t>
        </is>
      </c>
      <c r="K250" s="13" t="inlineStr">
        <is>
          <t>Moderate risk: operator training and certification for equipment, safety, quality and emergency procedures is documented and owned, but measurement, stress testing and integration with dependent processes need strengthening.</t>
        </is>
      </c>
      <c r="L250" s="13" t="inlineStr">
        <is>
          <t>Residual risk: operator training and certification for equipment, safety, quality and emergency procedures is measured and reviewed, but monitoring, automation or scenario testing should be improved to prevent maturity drift.</t>
        </is>
      </c>
      <c r="M250" s="13" t="inlineStr">
        <is>
          <t>Low residual risk: operator training and certification for equipment, safety, quality and emergency procedures is mature and crisis-tested. Maintain monitoring, evidence, ownership and periodic stress testing.</t>
        </is>
      </c>
      <c r="N250" s="13" t="inlineStr">
        <is>
          <t>Create an immediate risk owner, minimum control baseline and fallback procedure for operator training and certification for equipment, safety, quality and emergency procedures. Add it to the crisis risk register and collect first evidence.</t>
        </is>
      </c>
      <c r="O250" s="13" t="inlineStr">
        <is>
          <t>Document operator training and certification for equipment, safety, quality and emergency procedures, assign RACI, define minimum controls and KPIs, and validate coverage across key sites, teams or systems.</t>
        </is>
      </c>
      <c r="P250" s="13" t="inlineStr">
        <is>
          <t>Standardize operator training and certification for equipment, safety, quality and emergency procedures, close coverage gaps, train accountable roles and connect controls to the relevant crisis scenarios and continuity plans.</t>
        </is>
      </c>
      <c r="Q250" s="13" t="inlineStr">
        <is>
          <t>Measure and test operator training and certification for equipment, safety, quality and emergency procedures, run tabletop or operational stress tests, integrate it with dependent processes and update crisis playbooks.</t>
        </is>
      </c>
      <c r="R250" s="13" t="inlineStr">
        <is>
          <t>Automate monitoring where practical, define leading indicators, run periodic scenario tests and track residual risk after each major change.</t>
        </is>
      </c>
      <c r="S250" s="13" t="inlineStr">
        <is>
          <t>Sustain maturity for operator training and certification for equipment, safety, quality and emergency procedures: keep evidence current, monitor drift, benchmark externally and refresh risk tests after organizational, system or market changes.</t>
        </is>
      </c>
      <c r="T250" s="13" t="n">
        <v>4</v>
      </c>
      <c r="U250" s="13" t="n">
        <v>3</v>
      </c>
      <c r="V250" s="13" t="n">
        <v>3</v>
      </c>
      <c r="W250" s="13" t="n">
        <v>2</v>
      </c>
      <c r="X250" s="13" t="n">
        <v>1</v>
      </c>
      <c r="Y250" s="13" t="n">
        <v>1</v>
      </c>
      <c r="Z250" s="13" t="inlineStr">
        <is>
          <t>ISO 9001; ISO 45001; ISA-95; IEC 62443; ISO 55001; Lean; Six Sigma; TPM; MES/MOM practices</t>
        </is>
      </c>
      <c r="AA250" s="13" t="inlineStr">
        <is>
          <t>Policy/SOP; owner/RACI; system report; dashboard; contracts; test records; incident history; interview evidence related to operator training and certification for equipment, safety, quality and emergency procedures.</t>
        </is>
      </c>
      <c r="AB250" s="13" t="inlineStr">
        <is>
          <t>Manufacturing disruption; Safety incident; Energy outage; Cyberattack</t>
        </is>
      </c>
      <c r="AC250" s="13" t="inlineStr">
        <is>
          <t>COO / Plant / Manufacturing</t>
        </is>
      </c>
      <c r="AD250" s="13" t="inlineStr">
        <is>
          <t>Manufacturing MES!26</t>
        </is>
      </c>
      <c r="AE250">
        <f>IF($A250="","",IF(OR(ISNUMBER(SEARCH("cyber",$D250)),ISNUMBER(SEARCH("security",$D250)),ISNUMBER(SEARCH("safety",$D250)),ISNUMBER(SEARCH("liquidity",$D250)),ISNUMBER(SEARCH("cash",$D250)),ISNUMBER(SEARCH("continuity",$D250)),ISNUMBER(SEARCH("infrastructure",$D250)),ISNUMBER(SEARCH("outage",$D250))),"Fast",IF(OR(ISNUMBER(SEARCH("compliance",$D250)),ISNUMBER(SEARCH("regulat",$D250)),ISNUMBER(SEARCH("data",$D250)),ISNUMBER(SEARCH("talent",$D250)),ISNUMBER(SEARCH("knowledge",$D250)),ISNUMBER(SEARCH("portfolio",$D250)),ISNUMBER(SEARCH("quality",$D250))),"Slow","Medium")))</f>
        <v/>
      </c>
      <c r="AF250">
        <f>IF($A250="","",IFERROR(VLOOKUP($B250,'_CONFIG_Risk_Calibration'!$A$5:$H$21,2,FALSE),3))</f>
        <v/>
      </c>
      <c r="AG250">
        <f>IF($A250="","",IFERROR(VLOOKUP($B250,'_CONFIG_Risk_Calibration'!$A$5:$H$21,3,FALSE),0))</f>
        <v/>
      </c>
      <c r="AH250">
        <f>IF($A250="","",IFERROR(VLOOKUP($B250,'_CONFIG_Risk_Calibration'!$A$5:$H$21,4,FALSE),3))</f>
        <v/>
      </c>
      <c r="AI250">
        <f>IF($A250="","",IFERROR(VLOOKUP($B250,'_CONFIG_Risk_Calibration'!$A$5:$H$21,5,FALSE),3))</f>
        <v/>
      </c>
      <c r="AJ250">
        <f>IF($A250="","",IFERROR(VLOOKUP($B250,'_CONFIG_Risk_Calibration'!$A$5:$H$21,6,FALSE),"No"))</f>
        <v/>
      </c>
      <c r="AK250">
        <f>IF($A250="","",IFERROR(VLOOKUP($B250,'_CONFIG_Risk_Calibration'!$A$5:$H$21,7,FALSE),1))</f>
        <v/>
      </c>
      <c r="AL250">
        <f>IF($A250="","",IFERROR(VLOOKUP($B250,'_CONFIG_Risk_Calibration'!$A$5:$H$21,8,FALSE),""))</f>
        <v/>
      </c>
    </row>
    <row r="251" ht="72" customHeight="1" s="209">
      <c r="A251" s="13" t="inlineStr">
        <is>
          <t>MANU-023</t>
        </is>
      </c>
      <c r="B251" s="13" t="inlineStr">
        <is>
          <t>Manufacturing MES</t>
        </is>
      </c>
      <c r="C251" s="13" t="inlineStr">
        <is>
          <t>Quality and safety</t>
        </is>
      </c>
      <c r="D251" s="13" t="inlineStr">
        <is>
          <t>Manufacturing, MES and production continuity</t>
        </is>
      </c>
      <c r="E251" s="13" t="inlineStr">
        <is>
          <t>How mature is the organization in managing machine safety controls, guarding, emergency stops and lockout/tagout, including ownership, evidence, metrics, fallback procedures and crisis stress testing?</t>
        </is>
      </c>
      <c r="F251" s="13" t="inlineStr">
        <is>
          <t>Immature capability for machine safety controls, guarding, emergency stops and lockout/tagout may lead to production stoppage, quality defects, low asset visibility and inability to recover shop-floor operations during Manufacturing disruption; Safety incident; Energy outage; Cyberattack.</t>
        </is>
      </c>
      <c r="G251" s="13" t="inlineStr">
        <is>
          <t>Low maturity, weak ownership, incomplete evidence, insufficient testing and poor integration with crisis-management routines for machine safety controls, guarding, emergency stops and lockout/tagout.</t>
        </is>
      </c>
      <c r="H251" s="13" t="inlineStr">
        <is>
          <t>Severe risk: machine safety controls, guarding, emergency stops and lockout/tagout is not reliably controlled. During Manufacturing disruption; Safety incident; Energy outage; Cyberattack, the organization may face production stoppage, quality defects, low asset visibility and inability to recover shop-floor operations with limited visibility or accountability.</t>
        </is>
      </c>
      <c r="I251" s="13" t="inlineStr">
        <is>
          <t>High risk: machine safety controls, guarding, emergency stops and lockout/tagout depends on informal practices or individual knowledge. Disruption may expose production stoppage, quality defects, low asset visibility and inability to recover shop-floor operations and slow recovery.</t>
        </is>
      </c>
      <c r="J251" s="13" t="inlineStr">
        <is>
          <t>Elevated risk: machine safety controls, guarding, emergency stops and lockout/tagout is partially controlled, but coverage, evidence or testing is inconsistent. Crisis response may be fragmented.</t>
        </is>
      </c>
      <c r="K251" s="13" t="inlineStr">
        <is>
          <t>Moderate risk: machine safety controls, guarding, emergency stops and lockout/tagout is documented and owned, but measurement, stress testing and integration with dependent processes need strengthening.</t>
        </is>
      </c>
      <c r="L251" s="13" t="inlineStr">
        <is>
          <t>Residual risk: machine safety controls, guarding, emergency stops and lockout/tagout is measured and reviewed, but monitoring, automation or scenario testing should be improved to prevent maturity drift.</t>
        </is>
      </c>
      <c r="M251" s="13" t="inlineStr">
        <is>
          <t>Low residual risk: machine safety controls, guarding, emergency stops and lockout/tagout is mature and crisis-tested. Maintain monitoring, evidence, ownership and periodic stress testing.</t>
        </is>
      </c>
      <c r="N251" s="13" t="inlineStr">
        <is>
          <t>Create an immediate risk owner, minimum control baseline and fallback procedure for machine safety controls, guarding, emergency stops and lockout/tagout. Add it to the crisis risk register and collect first evidence.</t>
        </is>
      </c>
      <c r="O251" s="13" t="inlineStr">
        <is>
          <t>Document machine safety controls, guarding, emergency stops and lockout/tagout, assign RACI, define minimum controls and KPIs, and validate coverage across key sites, teams or systems.</t>
        </is>
      </c>
      <c r="P251" s="13" t="inlineStr">
        <is>
          <t>Standardize machine safety controls, guarding, emergency stops and lockout/tagout, close coverage gaps, train accountable roles and connect controls to the relevant crisis scenarios and continuity plans.</t>
        </is>
      </c>
      <c r="Q251" s="13" t="inlineStr">
        <is>
          <t>Measure and test machine safety controls, guarding, emergency stops and lockout/tagout, run tabletop or operational stress tests, integrate it with dependent processes and update crisis playbooks.</t>
        </is>
      </c>
      <c r="R251" s="13" t="inlineStr">
        <is>
          <t>Automate monitoring where practical, define leading indicators, run periodic scenario tests and track residual risk after each major change.</t>
        </is>
      </c>
      <c r="S251" s="13" t="inlineStr">
        <is>
          <t>Sustain maturity for machine safety controls, guarding, emergency stops and lockout/tagout: keep evidence current, monitor drift, benchmark externally and refresh risk tests after organizational, system or market changes.</t>
        </is>
      </c>
      <c r="T251" s="13" t="n">
        <v>4</v>
      </c>
      <c r="U251" s="13" t="n">
        <v>3</v>
      </c>
      <c r="V251" s="13" t="n">
        <v>3</v>
      </c>
      <c r="W251" s="13" t="n">
        <v>2</v>
      </c>
      <c r="X251" s="13" t="n">
        <v>1</v>
      </c>
      <c r="Y251" s="13" t="n">
        <v>1</v>
      </c>
      <c r="Z251" s="13" t="inlineStr">
        <is>
          <t>ISO 9001; ISO 45001; ISA-95; IEC 62443; ISO 55001; Lean; Six Sigma; TPM; MES/MOM practices</t>
        </is>
      </c>
      <c r="AA251" s="13" t="inlineStr">
        <is>
          <t>Policy/SOP; owner/RACI; system report; dashboard; contracts; test records; incident history; interview evidence related to machine safety controls, guarding, emergency stops and lockout/tagout.</t>
        </is>
      </c>
      <c r="AB251" s="13" t="inlineStr">
        <is>
          <t>Manufacturing disruption; Safety incident; Energy outage; Cyberattack</t>
        </is>
      </c>
      <c r="AC251" s="13" t="inlineStr">
        <is>
          <t>COO / Plant / Manufacturing</t>
        </is>
      </c>
      <c r="AD251" s="13" t="inlineStr">
        <is>
          <t>Manufacturing MES!27</t>
        </is>
      </c>
      <c r="AE251">
        <f>IF($A251="","",IF(OR(ISNUMBER(SEARCH("cyber",$D251)),ISNUMBER(SEARCH("security",$D251)),ISNUMBER(SEARCH("safety",$D251)),ISNUMBER(SEARCH("liquidity",$D251)),ISNUMBER(SEARCH("cash",$D251)),ISNUMBER(SEARCH("continuity",$D251)),ISNUMBER(SEARCH("infrastructure",$D251)),ISNUMBER(SEARCH("outage",$D251))),"Fast",IF(OR(ISNUMBER(SEARCH("compliance",$D251)),ISNUMBER(SEARCH("regulat",$D251)),ISNUMBER(SEARCH("data",$D251)),ISNUMBER(SEARCH("talent",$D251)),ISNUMBER(SEARCH("knowledge",$D251)),ISNUMBER(SEARCH("portfolio",$D251)),ISNUMBER(SEARCH("quality",$D251))),"Slow","Medium")))</f>
        <v/>
      </c>
      <c r="AF251">
        <f>IF($A251="","",IFERROR(VLOOKUP($B251,'_CONFIG_Risk_Calibration'!$A$5:$H$21,2,FALSE),3))</f>
        <v/>
      </c>
      <c r="AG251">
        <f>IF($A251="","",IFERROR(VLOOKUP($B251,'_CONFIG_Risk_Calibration'!$A$5:$H$21,3,FALSE),0))</f>
        <v/>
      </c>
      <c r="AH251">
        <f>IF($A251="","",IFERROR(VLOOKUP($B251,'_CONFIG_Risk_Calibration'!$A$5:$H$21,4,FALSE),3))</f>
        <v/>
      </c>
      <c r="AI251">
        <f>IF($A251="","",IFERROR(VLOOKUP($B251,'_CONFIG_Risk_Calibration'!$A$5:$H$21,5,FALSE),3))</f>
        <v/>
      </c>
      <c r="AJ251">
        <f>IF($A251="","",IFERROR(VLOOKUP($B251,'_CONFIG_Risk_Calibration'!$A$5:$H$21,6,FALSE),"No"))</f>
        <v/>
      </c>
      <c r="AK251">
        <f>IF($A251="","",IFERROR(VLOOKUP($B251,'_CONFIG_Risk_Calibration'!$A$5:$H$21,7,FALSE),1))</f>
        <v/>
      </c>
      <c r="AL251">
        <f>IF($A251="","",IFERROR(VLOOKUP($B251,'_CONFIG_Risk_Calibration'!$A$5:$H$21,8,FALSE),""))</f>
        <v/>
      </c>
    </row>
    <row r="252" ht="72" customHeight="1" s="209">
      <c r="A252" s="13" t="inlineStr">
        <is>
          <t>MANU-024</t>
        </is>
      </c>
      <c r="B252" s="13" t="inlineStr">
        <is>
          <t>Manufacturing MES</t>
        </is>
      </c>
      <c r="C252" s="13" t="inlineStr">
        <is>
          <t>Quality and safety</t>
        </is>
      </c>
      <c r="D252" s="13" t="inlineStr">
        <is>
          <t>Manufacturing, MES and production continuity</t>
        </is>
      </c>
      <c r="E252" s="13" t="inlineStr">
        <is>
          <t>How mature is the organization in managing rework, scrap, yield loss and defect cost analysis, including ownership, evidence, metrics, fallback procedures and crisis stress testing?</t>
        </is>
      </c>
      <c r="F252" s="13" t="inlineStr">
        <is>
          <t>Immature capability for rework, scrap, yield loss and defect cost analysis may lead to production stoppage, quality defects, low asset visibility and inability to recover shop-floor operations during Manufacturing disruption; Safety incident; Energy outage; Cyberattack.</t>
        </is>
      </c>
      <c r="G252" s="13" t="inlineStr">
        <is>
          <t>Low maturity, weak ownership, incomplete evidence, insufficient testing and poor integration with crisis-management routines for rework, scrap, yield loss and defect cost analysis.</t>
        </is>
      </c>
      <c r="H252" s="13" t="inlineStr">
        <is>
          <t>Severe risk: rework, scrap, yield loss and defect cost analysis is not reliably controlled. During Manufacturing disruption; Safety incident; Energy outage; Cyberattack, the organization may face production stoppage, quality defects, low asset visibility and inability to recover shop-floor operations with limited visibility or accountability.</t>
        </is>
      </c>
      <c r="I252" s="13" t="inlineStr">
        <is>
          <t>High risk: rework, scrap, yield loss and defect cost analysis depends on informal practices or individual knowledge. Disruption may expose production stoppage, quality defects, low asset visibility and inability to recover shop-floor operations and slow recovery.</t>
        </is>
      </c>
      <c r="J252" s="13" t="inlineStr">
        <is>
          <t>Elevated risk: rework, scrap, yield loss and defect cost analysis is partially controlled, but coverage, evidence or testing is inconsistent. Crisis response may be fragmented.</t>
        </is>
      </c>
      <c r="K252" s="13" t="inlineStr">
        <is>
          <t>Moderate risk: rework, scrap, yield loss and defect cost analysis is documented and owned, but measurement, stress testing and integration with dependent processes need strengthening.</t>
        </is>
      </c>
      <c r="L252" s="13" t="inlineStr">
        <is>
          <t>Residual risk: rework, scrap, yield loss and defect cost analysis is measured and reviewed, but monitoring, automation or scenario testing should be improved to prevent maturity drift.</t>
        </is>
      </c>
      <c r="M252" s="13" t="inlineStr">
        <is>
          <t>Low residual risk: rework, scrap, yield loss and defect cost analysis is mature and crisis-tested. Maintain monitoring, evidence, ownership and periodic stress testing.</t>
        </is>
      </c>
      <c r="N252" s="13" t="inlineStr">
        <is>
          <t>Create an immediate risk owner, minimum control baseline and fallback procedure for rework, scrap, yield loss and defect cost analysis. Add it to the crisis risk register and collect first evidence.</t>
        </is>
      </c>
      <c r="O252" s="13" t="inlineStr">
        <is>
          <t>Document rework, scrap, yield loss and defect cost analysis, assign RACI, define minimum controls and KPIs, and validate coverage across key sites, teams or systems.</t>
        </is>
      </c>
      <c r="P252" s="13" t="inlineStr">
        <is>
          <t>Standardize rework, scrap, yield loss and defect cost analysis, close coverage gaps, train accountable roles and connect controls to the relevant crisis scenarios and continuity plans.</t>
        </is>
      </c>
      <c r="Q252" s="13" t="inlineStr">
        <is>
          <t>Measure and test rework, scrap, yield loss and defect cost analysis, run tabletop or operational stress tests, integrate it with dependent processes and update crisis playbooks.</t>
        </is>
      </c>
      <c r="R252" s="13" t="inlineStr">
        <is>
          <t>Automate monitoring where practical, define leading indicators, run periodic scenario tests and track residual risk after each major change.</t>
        </is>
      </c>
      <c r="S252" s="13" t="inlineStr">
        <is>
          <t>Sustain maturity for rework, scrap, yield loss and defect cost analysis: keep evidence current, monitor drift, benchmark externally and refresh risk tests after organizational, system or market changes.</t>
        </is>
      </c>
      <c r="T252" s="13" t="n">
        <v>4</v>
      </c>
      <c r="U252" s="13" t="n">
        <v>3</v>
      </c>
      <c r="V252" s="13" t="n">
        <v>3</v>
      </c>
      <c r="W252" s="13" t="n">
        <v>2</v>
      </c>
      <c r="X252" s="13" t="n">
        <v>1</v>
      </c>
      <c r="Y252" s="13" t="n">
        <v>1</v>
      </c>
      <c r="Z252" s="13" t="inlineStr">
        <is>
          <t>ISO 9001; ISO 45001; ISA-95; IEC 62443; ISO 55001; Lean; Six Sigma; TPM; MES/MOM practices</t>
        </is>
      </c>
      <c r="AA252" s="13" t="inlineStr">
        <is>
          <t>Policy/SOP; owner/RACI; system report; dashboard; contracts; test records; incident history; interview evidence related to rework, scrap, yield loss and defect cost analysis.</t>
        </is>
      </c>
      <c r="AB252" s="13" t="inlineStr">
        <is>
          <t>Manufacturing disruption; Safety incident; Energy outage; Cyberattack</t>
        </is>
      </c>
      <c r="AC252" s="13" t="inlineStr">
        <is>
          <t>COO / Plant / Manufacturing</t>
        </is>
      </c>
      <c r="AD252" s="13" t="inlineStr">
        <is>
          <t>Manufacturing MES!28</t>
        </is>
      </c>
      <c r="AE252">
        <f>IF($A252="","",IF(OR(ISNUMBER(SEARCH("cyber",$D252)),ISNUMBER(SEARCH("security",$D252)),ISNUMBER(SEARCH("safety",$D252)),ISNUMBER(SEARCH("liquidity",$D252)),ISNUMBER(SEARCH("cash",$D252)),ISNUMBER(SEARCH("continuity",$D252)),ISNUMBER(SEARCH("infrastructure",$D252)),ISNUMBER(SEARCH("outage",$D252))),"Fast",IF(OR(ISNUMBER(SEARCH("compliance",$D252)),ISNUMBER(SEARCH("regulat",$D252)),ISNUMBER(SEARCH("data",$D252)),ISNUMBER(SEARCH("talent",$D252)),ISNUMBER(SEARCH("knowledge",$D252)),ISNUMBER(SEARCH("portfolio",$D252)),ISNUMBER(SEARCH("quality",$D252))),"Slow","Medium")))</f>
        <v/>
      </c>
      <c r="AF252">
        <f>IF($A252="","",IFERROR(VLOOKUP($B252,'_CONFIG_Risk_Calibration'!$A$5:$H$21,2,FALSE),3))</f>
        <v/>
      </c>
      <c r="AG252">
        <f>IF($A252="","",IFERROR(VLOOKUP($B252,'_CONFIG_Risk_Calibration'!$A$5:$H$21,3,FALSE),0))</f>
        <v/>
      </c>
      <c r="AH252">
        <f>IF($A252="","",IFERROR(VLOOKUP($B252,'_CONFIG_Risk_Calibration'!$A$5:$H$21,4,FALSE),3))</f>
        <v/>
      </c>
      <c r="AI252">
        <f>IF($A252="","",IFERROR(VLOOKUP($B252,'_CONFIG_Risk_Calibration'!$A$5:$H$21,5,FALSE),3))</f>
        <v/>
      </c>
      <c r="AJ252">
        <f>IF($A252="","",IFERROR(VLOOKUP($B252,'_CONFIG_Risk_Calibration'!$A$5:$H$21,6,FALSE),"No"))</f>
        <v/>
      </c>
      <c r="AK252">
        <f>IF($A252="","",IFERROR(VLOOKUP($B252,'_CONFIG_Risk_Calibration'!$A$5:$H$21,7,FALSE),1))</f>
        <v/>
      </c>
      <c r="AL252">
        <f>IF($A252="","",IFERROR(VLOOKUP($B252,'_CONFIG_Risk_Calibration'!$A$5:$H$21,8,FALSE),""))</f>
        <v/>
      </c>
    </row>
    <row r="253" ht="84" customHeight="1" s="209">
      <c r="A253" s="13" t="inlineStr">
        <is>
          <t>MANU-025</t>
        </is>
      </c>
      <c r="B253" s="13" t="inlineStr">
        <is>
          <t>Manufacturing MES</t>
        </is>
      </c>
      <c r="C253" s="13" t="inlineStr">
        <is>
          <t>OT security</t>
        </is>
      </c>
      <c r="D253" s="13" t="inlineStr">
        <is>
          <t>Manufacturing, MES and production continuity</t>
        </is>
      </c>
      <c r="E253" s="13" t="inlineStr">
        <is>
          <t>How mature is the organization in managing OT asset inventory for PLCs, SCADA, HMIs, industrial networks and engineering workstations, including ownership, evidence, metrics, fallback procedures and crisis stress testing?</t>
        </is>
      </c>
      <c r="F253" s="13" t="inlineStr">
        <is>
          <t>Immature capability for OT asset inventory for PLCs, SCADA, HMIs, industrial networks and engineering workstations may lead to production stoppage, quality defects, low asset visibility and inability to recover shop-floor operations during Manufacturing disruption; Safety incident; Energy outage; Cyberattack.</t>
        </is>
      </c>
      <c r="G253" s="13" t="inlineStr">
        <is>
          <t>Low maturity, weak ownership, incomplete evidence, insufficient testing and poor integration with crisis-management routines for OT asset inventory for PLCs, SCADA, HMIs, industrial networks and engineering workstations.</t>
        </is>
      </c>
      <c r="H253" s="13" t="inlineStr">
        <is>
          <t>Severe risk: OT asset inventory for PLCs, SCADA, HMIs, industrial networks and engineering workstations is not reliably controlled. During Manufacturing disruption; Safety incident; Energy outage; Cyberattack, the organization may face production stoppage, quality defects, low asset visibility and inability to recover shop-floor operations with limited visibility or accountability.</t>
        </is>
      </c>
      <c r="I253" s="13" t="inlineStr">
        <is>
          <t>High risk: OT asset inventory for PLCs, SCADA, HMIs, industrial networks and engineering workstations depends on informal practices or individual knowledge. Disruption may expose production stoppage, quality defects, low asset visibility and inability to recover shop-floor operations and slow recovery.</t>
        </is>
      </c>
      <c r="J253" s="13" t="inlineStr">
        <is>
          <t>Elevated risk: OT asset inventory for PLCs, SCADA, HMIs, industrial networks and engineering workstations is partially controlled, but coverage, evidence or testing is inconsistent. Crisis response may be fragmented.</t>
        </is>
      </c>
      <c r="K253" s="13" t="inlineStr">
        <is>
          <t>Moderate risk: OT asset inventory for PLCs, SCADA, HMIs, industrial networks and engineering workstations is documented and owned, but measurement, stress testing and integration with dependent processes need strengthening.</t>
        </is>
      </c>
      <c r="L253" s="13" t="inlineStr">
        <is>
          <t>Residual risk: OT asset inventory for PLCs, SCADA, HMIs, industrial networks and engineering workstations is measured and reviewed, but monitoring, automation or scenario testing should be improved to prevent maturity drift.</t>
        </is>
      </c>
      <c r="M253" s="13" t="inlineStr">
        <is>
          <t>Low residual risk: OT asset inventory for PLCs, SCADA, HMIs, industrial networks and engineering workstations is mature and crisis-tested. Maintain monitoring, evidence, ownership and periodic stress testing.</t>
        </is>
      </c>
      <c r="N253" s="13" t="inlineStr">
        <is>
          <t>Create an immediate risk owner, minimum control baseline and fallback procedure for OT asset inventory for PLCs, SCADA, HMIs, industrial networks and engineering workstations. Add it to the crisis risk register and collect first evidence.</t>
        </is>
      </c>
      <c r="O253" s="13" t="inlineStr">
        <is>
          <t>Document OT asset inventory for PLCs, SCADA, HMIs, industrial networks and engineering workstations, assign RACI, define minimum controls and KPIs, and validate coverage across key sites, teams or systems.</t>
        </is>
      </c>
      <c r="P253" s="13" t="inlineStr">
        <is>
          <t>Standardize OT asset inventory for PLCs, SCADA, HMIs, industrial networks and engineering workstations, close coverage gaps, train accountable roles and connect controls to the relevant crisis scenarios and continuity plans.</t>
        </is>
      </c>
      <c r="Q253" s="13" t="inlineStr">
        <is>
          <t>Measure and test OT asset inventory for PLCs, SCADA, HMIs, industrial networks and engineering workstations, run tabletop or operational stress tests, integrate it with dependent processes and update crisis playbooks.</t>
        </is>
      </c>
      <c r="R253" s="13" t="inlineStr">
        <is>
          <t>Automate monitoring where practical, define leading indicators, run periodic scenario tests and track residual risk after each major change.</t>
        </is>
      </c>
      <c r="S253" s="13" t="inlineStr">
        <is>
          <t>Sustain maturity for OT asset inventory for PLCs, SCADA, HMIs, industrial networks and engineering workstations: keep evidence current, monitor drift, benchmark externally and refresh risk tests after organizational, system or market changes.</t>
        </is>
      </c>
      <c r="T253" s="13" t="n">
        <v>4</v>
      </c>
      <c r="U253" s="13" t="n">
        <v>3</v>
      </c>
      <c r="V253" s="13" t="n">
        <v>3</v>
      </c>
      <c r="W253" s="13" t="n">
        <v>2</v>
      </c>
      <c r="X253" s="13" t="n">
        <v>1</v>
      </c>
      <c r="Y253" s="13" t="n">
        <v>1</v>
      </c>
      <c r="Z253" s="13" t="inlineStr">
        <is>
          <t>ISO 9001; ISO 45001; ISA-95; IEC 62443; ISO 55001; Lean; Six Sigma; TPM; MES/MOM practices</t>
        </is>
      </c>
      <c r="AA253" s="13" t="inlineStr">
        <is>
          <t>Policy/SOP; owner/RACI; system report; dashboard; contracts; test records; incident history; interview evidence related to OT asset inventory for PLCs, SCADA, HMIs, industrial networks and engineering workstations.</t>
        </is>
      </c>
      <c r="AB253" s="13" t="inlineStr">
        <is>
          <t>Manufacturing disruption; Safety incident; Energy outage; Cyberattack</t>
        </is>
      </c>
      <c r="AC253" s="13" t="inlineStr">
        <is>
          <t>COO / Plant / Manufacturing</t>
        </is>
      </c>
      <c r="AD253" s="13" t="inlineStr">
        <is>
          <t>Manufacturing MES!29</t>
        </is>
      </c>
      <c r="AE253">
        <f>IF($A253="","",IF(OR(ISNUMBER(SEARCH("cyber",$D253)),ISNUMBER(SEARCH("security",$D253)),ISNUMBER(SEARCH("safety",$D253)),ISNUMBER(SEARCH("liquidity",$D253)),ISNUMBER(SEARCH("cash",$D253)),ISNUMBER(SEARCH("continuity",$D253)),ISNUMBER(SEARCH("infrastructure",$D253)),ISNUMBER(SEARCH("outage",$D253))),"Fast",IF(OR(ISNUMBER(SEARCH("compliance",$D253)),ISNUMBER(SEARCH("regulat",$D253)),ISNUMBER(SEARCH("data",$D253)),ISNUMBER(SEARCH("talent",$D253)),ISNUMBER(SEARCH("knowledge",$D253)),ISNUMBER(SEARCH("portfolio",$D253)),ISNUMBER(SEARCH("quality",$D253))),"Slow","Medium")))</f>
        <v/>
      </c>
      <c r="AF253">
        <f>IF($A253="","",IFERROR(VLOOKUP($B253,'_CONFIG_Risk_Calibration'!$A$5:$H$21,2,FALSE),3))</f>
        <v/>
      </c>
      <c r="AG253">
        <f>IF($A253="","",IFERROR(VLOOKUP($B253,'_CONFIG_Risk_Calibration'!$A$5:$H$21,3,FALSE),0))</f>
        <v/>
      </c>
      <c r="AH253">
        <f>IF($A253="","",IFERROR(VLOOKUP($B253,'_CONFIG_Risk_Calibration'!$A$5:$H$21,4,FALSE),3))</f>
        <v/>
      </c>
      <c r="AI253">
        <f>IF($A253="","",IFERROR(VLOOKUP($B253,'_CONFIG_Risk_Calibration'!$A$5:$H$21,5,FALSE),3))</f>
        <v/>
      </c>
      <c r="AJ253">
        <f>IF($A253="","",IFERROR(VLOOKUP($B253,'_CONFIG_Risk_Calibration'!$A$5:$H$21,6,FALSE),"No"))</f>
        <v/>
      </c>
      <c r="AK253">
        <f>IF($A253="","",IFERROR(VLOOKUP($B253,'_CONFIG_Risk_Calibration'!$A$5:$H$21,7,FALSE),1))</f>
        <v/>
      </c>
      <c r="AL253">
        <f>IF($A253="","",IFERROR(VLOOKUP($B253,'_CONFIG_Risk_Calibration'!$A$5:$H$21,8,FALSE),""))</f>
        <v/>
      </c>
    </row>
    <row r="254" ht="72" customHeight="1" s="209">
      <c r="A254" s="13" t="inlineStr">
        <is>
          <t>MANU-026</t>
        </is>
      </c>
      <c r="B254" s="13" t="inlineStr">
        <is>
          <t>Manufacturing MES</t>
        </is>
      </c>
      <c r="C254" s="13" t="inlineStr">
        <is>
          <t>OT security</t>
        </is>
      </c>
      <c r="D254" s="13" t="inlineStr">
        <is>
          <t>Manufacturing, MES and production continuity</t>
        </is>
      </c>
      <c r="E254" s="13" t="inlineStr">
        <is>
          <t>How mature is the organization in managing OT network segmentation and secure remote access for vendors and maintenance, including ownership, evidence, metrics, fallback procedures and crisis stress testing?</t>
        </is>
      </c>
      <c r="F254" s="13" t="inlineStr">
        <is>
          <t>Immature capability for OT network segmentation and secure remote access for vendors and maintenance may lead to production stoppage, quality defects, low asset visibility and inability to recover shop-floor operations during Manufacturing disruption; Safety incident; Energy outage; Cyberattack.</t>
        </is>
      </c>
      <c r="G254" s="13" t="inlineStr">
        <is>
          <t>Low maturity, weak ownership, incomplete evidence, insufficient testing and poor integration with crisis-management routines for OT network segmentation and secure remote access for vendors and maintenance.</t>
        </is>
      </c>
      <c r="H254" s="13" t="inlineStr">
        <is>
          <t>Severe risk: OT network segmentation and secure remote access for vendors and maintenance is not reliably controlled. During Manufacturing disruption; Safety incident; Energy outage; Cyberattack, the organization may face production stoppage, quality defects, low asset visibility and inability to recover shop-floor operations with limited visibility or accountability.</t>
        </is>
      </c>
      <c r="I254" s="13" t="inlineStr">
        <is>
          <t>High risk: OT network segmentation and secure remote access for vendors and maintenance depends on informal practices or individual knowledge. Disruption may expose production stoppage, quality defects, low asset visibility and inability to recover shop-floor operations and slow recovery.</t>
        </is>
      </c>
      <c r="J254" s="13" t="inlineStr">
        <is>
          <t>Elevated risk: OT network segmentation and secure remote access for vendors and maintenance is partially controlled, but coverage, evidence or testing is inconsistent. Crisis response may be fragmented.</t>
        </is>
      </c>
      <c r="K254" s="13" t="inlineStr">
        <is>
          <t>Moderate risk: OT network segmentation and secure remote access for vendors and maintenance is documented and owned, but measurement, stress testing and integration with dependent processes need strengthening.</t>
        </is>
      </c>
      <c r="L254" s="13" t="inlineStr">
        <is>
          <t>Residual risk: OT network segmentation and secure remote access for vendors and maintenance is measured and reviewed, but monitoring, automation or scenario testing should be improved to prevent maturity drift.</t>
        </is>
      </c>
      <c r="M254" s="13" t="inlineStr">
        <is>
          <t>Low residual risk: OT network segmentation and secure remote access for vendors and maintenance is mature and crisis-tested. Maintain monitoring, evidence, ownership and periodic stress testing.</t>
        </is>
      </c>
      <c r="N254" s="13" t="inlineStr">
        <is>
          <t>Create an immediate risk owner, minimum control baseline and fallback procedure for OT network segmentation and secure remote access for vendors and maintenance. Add it to the crisis risk register and collect first evidence.</t>
        </is>
      </c>
      <c r="O254" s="13" t="inlineStr">
        <is>
          <t>Document OT network segmentation and secure remote access for vendors and maintenance, assign RACI, define minimum controls and KPIs, and validate coverage across key sites, teams or systems.</t>
        </is>
      </c>
      <c r="P254" s="13" t="inlineStr">
        <is>
          <t>Standardize OT network segmentation and secure remote access for vendors and maintenance, close coverage gaps, train accountable roles and connect controls to the relevant crisis scenarios and continuity plans.</t>
        </is>
      </c>
      <c r="Q254" s="13" t="inlineStr">
        <is>
          <t>Measure and test OT network segmentation and secure remote access for vendors and maintenance, run tabletop or operational stress tests, integrate it with dependent processes and update crisis playbooks.</t>
        </is>
      </c>
      <c r="R254" s="13" t="inlineStr">
        <is>
          <t>Automate monitoring where practical, define leading indicators, run periodic scenario tests and track residual risk after each major change.</t>
        </is>
      </c>
      <c r="S254" s="13" t="inlineStr">
        <is>
          <t>Sustain maturity for OT network segmentation and secure remote access for vendors and maintenance: keep evidence current, monitor drift, benchmark externally and refresh risk tests after organizational, system or market changes.</t>
        </is>
      </c>
      <c r="T254" s="13" t="n">
        <v>4</v>
      </c>
      <c r="U254" s="13" t="n">
        <v>3</v>
      </c>
      <c r="V254" s="13" t="n">
        <v>3</v>
      </c>
      <c r="W254" s="13" t="n">
        <v>2</v>
      </c>
      <c r="X254" s="13" t="n">
        <v>1</v>
      </c>
      <c r="Y254" s="13" t="n">
        <v>1</v>
      </c>
      <c r="Z254" s="13" t="inlineStr">
        <is>
          <t>ISO 9001; ISO 45001; ISA-95; IEC 62443; ISO 55001; Lean; Six Sigma; TPM; MES/MOM practices</t>
        </is>
      </c>
      <c r="AA254" s="13" t="inlineStr">
        <is>
          <t>Policy/SOP; owner/RACI; system report; dashboard; contracts; test records; incident history; interview evidence related to OT network segmentation and secure remote access for vendors and maintenance.</t>
        </is>
      </c>
      <c r="AB254" s="13" t="inlineStr">
        <is>
          <t>Manufacturing disruption; Safety incident; Energy outage; Cyberattack</t>
        </is>
      </c>
      <c r="AC254" s="13" t="inlineStr">
        <is>
          <t>COO / Plant / Manufacturing</t>
        </is>
      </c>
      <c r="AD254" s="13" t="inlineStr">
        <is>
          <t>Manufacturing MES!30</t>
        </is>
      </c>
      <c r="AE254">
        <f>IF($A254="","",IF(OR(ISNUMBER(SEARCH("cyber",$D254)),ISNUMBER(SEARCH("security",$D254)),ISNUMBER(SEARCH("safety",$D254)),ISNUMBER(SEARCH("liquidity",$D254)),ISNUMBER(SEARCH("cash",$D254)),ISNUMBER(SEARCH("continuity",$D254)),ISNUMBER(SEARCH("infrastructure",$D254)),ISNUMBER(SEARCH("outage",$D254))),"Fast",IF(OR(ISNUMBER(SEARCH("compliance",$D254)),ISNUMBER(SEARCH("regulat",$D254)),ISNUMBER(SEARCH("data",$D254)),ISNUMBER(SEARCH("talent",$D254)),ISNUMBER(SEARCH("knowledge",$D254)),ISNUMBER(SEARCH("portfolio",$D254)),ISNUMBER(SEARCH("quality",$D254))),"Slow","Medium")))</f>
        <v/>
      </c>
      <c r="AF254">
        <f>IF($A254="","",IFERROR(VLOOKUP($B254,'_CONFIG_Risk_Calibration'!$A$5:$H$21,2,FALSE),3))</f>
        <v/>
      </c>
      <c r="AG254">
        <f>IF($A254="","",IFERROR(VLOOKUP($B254,'_CONFIG_Risk_Calibration'!$A$5:$H$21,3,FALSE),0))</f>
        <v/>
      </c>
      <c r="AH254">
        <f>IF($A254="","",IFERROR(VLOOKUP($B254,'_CONFIG_Risk_Calibration'!$A$5:$H$21,4,FALSE),3))</f>
        <v/>
      </c>
      <c r="AI254">
        <f>IF($A254="","",IFERROR(VLOOKUP($B254,'_CONFIG_Risk_Calibration'!$A$5:$H$21,5,FALSE),3))</f>
        <v/>
      </c>
      <c r="AJ254">
        <f>IF($A254="","",IFERROR(VLOOKUP($B254,'_CONFIG_Risk_Calibration'!$A$5:$H$21,6,FALSE),"No"))</f>
        <v/>
      </c>
      <c r="AK254">
        <f>IF($A254="","",IFERROR(VLOOKUP($B254,'_CONFIG_Risk_Calibration'!$A$5:$H$21,7,FALSE),1))</f>
        <v/>
      </c>
      <c r="AL254">
        <f>IF($A254="","",IFERROR(VLOOKUP($B254,'_CONFIG_Risk_Calibration'!$A$5:$H$21,8,FALSE),""))</f>
        <v/>
      </c>
    </row>
    <row r="255" ht="72" customHeight="1" s="209">
      <c r="A255" s="13" t="inlineStr">
        <is>
          <t>MANU-027</t>
        </is>
      </c>
      <c r="B255" s="13" t="inlineStr">
        <is>
          <t>Manufacturing MES</t>
        </is>
      </c>
      <c r="C255" s="13" t="inlineStr">
        <is>
          <t>OT security</t>
        </is>
      </c>
      <c r="D255" s="13" t="inlineStr">
        <is>
          <t>Manufacturing, MES and production continuity</t>
        </is>
      </c>
      <c r="E255" s="13" t="inlineStr">
        <is>
          <t>How mature is the organization in managing PLC, HMI, SCADA and recipe configuration backup and restore testing, including ownership, evidence, metrics, fallback procedures and crisis stress testing?</t>
        </is>
      </c>
      <c r="F255" s="13" t="inlineStr">
        <is>
          <t>Immature capability for PLC, HMI, SCADA and recipe configuration backup and restore testing may lead to production stoppage, quality defects, low asset visibility and inability to recover shop-floor operations during Manufacturing disruption; Safety incident; Energy outage; Cyberattack.</t>
        </is>
      </c>
      <c r="G255" s="13" t="inlineStr">
        <is>
          <t>Low maturity, weak ownership, incomplete evidence, insufficient testing and poor integration with crisis-management routines for PLC, HMI, SCADA and recipe configuration backup and restore testing.</t>
        </is>
      </c>
      <c r="H255" s="13" t="inlineStr">
        <is>
          <t>Severe risk: PLC, HMI, SCADA and recipe configuration backup and restore testing is not reliably controlled. During Manufacturing disruption; Safety incident; Energy outage; Cyberattack, the organization may face production stoppage, quality defects, low asset visibility and inability to recover shop-floor operations with limited visibility or accountability.</t>
        </is>
      </c>
      <c r="I255" s="13" t="inlineStr">
        <is>
          <t>High risk: PLC, HMI, SCADA and recipe configuration backup and restore testing depends on informal practices or individual knowledge. Disruption may expose production stoppage, quality defects, low asset visibility and inability to recover shop-floor operations and slow recovery.</t>
        </is>
      </c>
      <c r="J255" s="13" t="inlineStr">
        <is>
          <t>Elevated risk: PLC, HMI, SCADA and recipe configuration backup and restore testing is partially controlled, but coverage, evidence or testing is inconsistent. Crisis response may be fragmented.</t>
        </is>
      </c>
      <c r="K255" s="13" t="inlineStr">
        <is>
          <t>Moderate risk: PLC, HMI, SCADA and recipe configuration backup and restore testing is documented and owned, but measurement, stress testing and integration with dependent processes need strengthening.</t>
        </is>
      </c>
      <c r="L255" s="13" t="inlineStr">
        <is>
          <t>Residual risk: PLC, HMI, SCADA and recipe configuration backup and restore testing is measured and reviewed, but monitoring, automation or scenario testing should be improved to prevent maturity drift.</t>
        </is>
      </c>
      <c r="M255" s="13" t="inlineStr">
        <is>
          <t>Low residual risk: PLC, HMI, SCADA and recipe configuration backup and restore testing is mature and crisis-tested. Maintain monitoring, evidence, ownership and periodic stress testing.</t>
        </is>
      </c>
      <c r="N255" s="13" t="inlineStr">
        <is>
          <t>Create an immediate risk owner, minimum control baseline and fallback procedure for PLC, HMI, SCADA and recipe configuration backup and restore testing. Add it to the crisis risk register and collect first evidence.</t>
        </is>
      </c>
      <c r="O255" s="13" t="inlineStr">
        <is>
          <t>Document PLC, HMI, SCADA and recipe configuration backup and restore testing, assign RACI, define minimum controls and KPIs, and validate coverage across key sites, teams or systems.</t>
        </is>
      </c>
      <c r="P255" s="13" t="inlineStr">
        <is>
          <t>Standardize PLC, HMI, SCADA and recipe configuration backup and restore testing, close coverage gaps, train accountable roles and connect controls to the relevant crisis scenarios and continuity plans.</t>
        </is>
      </c>
      <c r="Q255" s="13" t="inlineStr">
        <is>
          <t>Measure and test PLC, HMI, SCADA and recipe configuration backup and restore testing, run tabletop or operational stress tests, integrate it with dependent processes and update crisis playbooks.</t>
        </is>
      </c>
      <c r="R255" s="13" t="inlineStr">
        <is>
          <t>Automate monitoring where practical, define leading indicators, run periodic scenario tests and track residual risk after each major change.</t>
        </is>
      </c>
      <c r="S255" s="13" t="inlineStr">
        <is>
          <t>Sustain maturity for PLC, HMI, SCADA and recipe configuration backup and restore testing: keep evidence current, monitor drift, benchmark externally and refresh risk tests after organizational, system or market changes.</t>
        </is>
      </c>
      <c r="T255" s="13" t="n">
        <v>4</v>
      </c>
      <c r="U255" s="13" t="n">
        <v>3</v>
      </c>
      <c r="V255" s="13" t="n">
        <v>3</v>
      </c>
      <c r="W255" s="13" t="n">
        <v>2</v>
      </c>
      <c r="X255" s="13" t="n">
        <v>1</v>
      </c>
      <c r="Y255" s="13" t="n">
        <v>1</v>
      </c>
      <c r="Z255" s="13" t="inlineStr">
        <is>
          <t>ISO 9001; ISO 45001; ISA-95; IEC 62443; ISO 55001; Lean; Six Sigma; TPM; MES/MOM practices</t>
        </is>
      </c>
      <c r="AA255" s="13" t="inlineStr">
        <is>
          <t>Policy/SOP; owner/RACI; system report; dashboard; contracts; test records; incident history; interview evidence related to PLC, HMI, SCADA and recipe configuration backup and restore testing.</t>
        </is>
      </c>
      <c r="AB255" s="13" t="inlineStr">
        <is>
          <t>Manufacturing disruption; Safety incident; Energy outage; Cyberattack</t>
        </is>
      </c>
      <c r="AC255" s="13" t="inlineStr">
        <is>
          <t>COO / Plant / Manufacturing</t>
        </is>
      </c>
      <c r="AD255" s="13" t="inlineStr">
        <is>
          <t>Manufacturing MES!31</t>
        </is>
      </c>
      <c r="AE255">
        <f>IF($A255="","",IF(OR(ISNUMBER(SEARCH("cyber",$D255)),ISNUMBER(SEARCH("security",$D255)),ISNUMBER(SEARCH("safety",$D255)),ISNUMBER(SEARCH("liquidity",$D255)),ISNUMBER(SEARCH("cash",$D255)),ISNUMBER(SEARCH("continuity",$D255)),ISNUMBER(SEARCH("infrastructure",$D255)),ISNUMBER(SEARCH("outage",$D255))),"Fast",IF(OR(ISNUMBER(SEARCH("compliance",$D255)),ISNUMBER(SEARCH("regulat",$D255)),ISNUMBER(SEARCH("data",$D255)),ISNUMBER(SEARCH("talent",$D255)),ISNUMBER(SEARCH("knowledge",$D255)),ISNUMBER(SEARCH("portfolio",$D255)),ISNUMBER(SEARCH("quality",$D255))),"Slow","Medium")))</f>
        <v/>
      </c>
      <c r="AF255">
        <f>IF($A255="","",IFERROR(VLOOKUP($B255,'_CONFIG_Risk_Calibration'!$A$5:$H$21,2,FALSE),3))</f>
        <v/>
      </c>
      <c r="AG255">
        <f>IF($A255="","",IFERROR(VLOOKUP($B255,'_CONFIG_Risk_Calibration'!$A$5:$H$21,3,FALSE),0))</f>
        <v/>
      </c>
      <c r="AH255">
        <f>IF($A255="","",IFERROR(VLOOKUP($B255,'_CONFIG_Risk_Calibration'!$A$5:$H$21,4,FALSE),3))</f>
        <v/>
      </c>
      <c r="AI255">
        <f>IF($A255="","",IFERROR(VLOOKUP($B255,'_CONFIG_Risk_Calibration'!$A$5:$H$21,5,FALSE),3))</f>
        <v/>
      </c>
      <c r="AJ255">
        <f>IF($A255="","",IFERROR(VLOOKUP($B255,'_CONFIG_Risk_Calibration'!$A$5:$H$21,6,FALSE),"No"))</f>
        <v/>
      </c>
      <c r="AK255">
        <f>IF($A255="","",IFERROR(VLOOKUP($B255,'_CONFIG_Risk_Calibration'!$A$5:$H$21,7,FALSE),1))</f>
        <v/>
      </c>
      <c r="AL255">
        <f>IF($A255="","",IFERROR(VLOOKUP($B255,'_CONFIG_Risk_Calibration'!$A$5:$H$21,8,FALSE),""))</f>
        <v/>
      </c>
    </row>
    <row r="256" ht="72" customHeight="1" s="209">
      <c r="A256" s="13" t="inlineStr">
        <is>
          <t>MANU-028</t>
        </is>
      </c>
      <c r="B256" s="13" t="inlineStr">
        <is>
          <t>Manufacturing MES</t>
        </is>
      </c>
      <c r="C256" s="13" t="inlineStr">
        <is>
          <t>OT security</t>
        </is>
      </c>
      <c r="D256" s="13" t="inlineStr">
        <is>
          <t>Manufacturing, MES and production continuity</t>
        </is>
      </c>
      <c r="E256" s="13" t="inlineStr">
        <is>
          <t>How mature is the organization in managing cyber incident response procedures specific to production and OT, including ownership, evidence, metrics, fallback procedures and crisis stress testing?</t>
        </is>
      </c>
      <c r="F256" s="13" t="inlineStr">
        <is>
          <t>Immature capability for cyber incident response procedures specific to production and OT may lead to production stoppage, quality defects, low asset visibility and inability to recover shop-floor operations during Manufacturing disruption; Safety incident; Energy outage; Cyberattack.</t>
        </is>
      </c>
      <c r="G256" s="13" t="inlineStr">
        <is>
          <t>Low maturity, weak ownership, incomplete evidence, insufficient testing and poor integration with crisis-management routines for cyber incident response procedures specific to production and OT.</t>
        </is>
      </c>
      <c r="H256" s="13" t="inlineStr">
        <is>
          <t>Severe risk: cyber incident response procedures specific to production and OT is not reliably controlled. During Manufacturing disruption; Safety incident; Energy outage; Cyberattack, the organization may face production stoppage, quality defects, low asset visibility and inability to recover shop-floor operations with limited visibility or accountability.</t>
        </is>
      </c>
      <c r="I256" s="13" t="inlineStr">
        <is>
          <t>High risk: cyber incident response procedures specific to production and OT depends on informal practices or individual knowledge. Disruption may expose production stoppage, quality defects, low asset visibility and inability to recover shop-floor operations and slow recovery.</t>
        </is>
      </c>
      <c r="J256" s="13" t="inlineStr">
        <is>
          <t>Elevated risk: cyber incident response procedures specific to production and OT is partially controlled, but coverage, evidence or testing is inconsistent. Crisis response may be fragmented.</t>
        </is>
      </c>
      <c r="K256" s="13" t="inlineStr">
        <is>
          <t>Moderate risk: cyber incident response procedures specific to production and OT is documented and owned, but measurement, stress testing and integration with dependent processes need strengthening.</t>
        </is>
      </c>
      <c r="L256" s="13" t="inlineStr">
        <is>
          <t>Residual risk: cyber incident response procedures specific to production and OT is measured and reviewed, but monitoring, automation or scenario testing should be improved to prevent maturity drift.</t>
        </is>
      </c>
      <c r="M256" s="13" t="inlineStr">
        <is>
          <t>Low residual risk: cyber incident response procedures specific to production and OT is mature and crisis-tested. Maintain monitoring, evidence, ownership and periodic stress testing.</t>
        </is>
      </c>
      <c r="N256" s="13" t="inlineStr">
        <is>
          <t>Create an immediate risk owner, minimum control baseline and fallback procedure for cyber incident response procedures specific to production and OT. Add it to the crisis risk register and collect first evidence.</t>
        </is>
      </c>
      <c r="O256" s="13" t="inlineStr">
        <is>
          <t>Document cyber incident response procedures specific to production and OT, assign RACI, define minimum controls and KPIs, and validate coverage across key sites, teams or systems.</t>
        </is>
      </c>
      <c r="P256" s="13" t="inlineStr">
        <is>
          <t>Standardize cyber incident response procedures specific to production and OT, close coverage gaps, train accountable roles and connect controls to the relevant crisis scenarios and continuity plans.</t>
        </is>
      </c>
      <c r="Q256" s="13" t="inlineStr">
        <is>
          <t>Measure and test cyber incident response procedures specific to production and OT, run tabletop or operational stress tests, integrate it with dependent processes and update crisis playbooks.</t>
        </is>
      </c>
      <c r="R256" s="13" t="inlineStr">
        <is>
          <t>Automate monitoring where practical, define leading indicators, run periodic scenario tests and track residual risk after each major change.</t>
        </is>
      </c>
      <c r="S256" s="13" t="inlineStr">
        <is>
          <t>Sustain maturity for cyber incident response procedures specific to production and OT: keep evidence current, monitor drift, benchmark externally and refresh risk tests after organizational, system or market changes.</t>
        </is>
      </c>
      <c r="T256" s="13" t="n">
        <v>4</v>
      </c>
      <c r="U256" s="13" t="n">
        <v>3</v>
      </c>
      <c r="V256" s="13" t="n">
        <v>3</v>
      </c>
      <c r="W256" s="13" t="n">
        <v>2</v>
      </c>
      <c r="X256" s="13" t="n">
        <v>1</v>
      </c>
      <c r="Y256" s="13" t="n">
        <v>1</v>
      </c>
      <c r="Z256" s="13" t="inlineStr">
        <is>
          <t>ISO 9001; ISO 45001; ISA-95; IEC 62443; ISO 55001; Lean; Six Sigma; TPM; MES/MOM practices</t>
        </is>
      </c>
      <c r="AA256" s="13" t="inlineStr">
        <is>
          <t>Policy/SOP; owner/RACI; system report; dashboard; contracts; test records; incident history; interview evidence related to cyber incident response procedures specific to production and OT.</t>
        </is>
      </c>
      <c r="AB256" s="13" t="inlineStr">
        <is>
          <t>Manufacturing disruption; Safety incident; Energy outage; Cyberattack</t>
        </is>
      </c>
      <c r="AC256" s="13" t="inlineStr">
        <is>
          <t>COO / Plant / Manufacturing</t>
        </is>
      </c>
      <c r="AD256" s="13" t="inlineStr">
        <is>
          <t>Manufacturing MES!32</t>
        </is>
      </c>
      <c r="AE256">
        <f>IF($A256="","",IF(OR(ISNUMBER(SEARCH("cyber",$D256)),ISNUMBER(SEARCH("security",$D256)),ISNUMBER(SEARCH("safety",$D256)),ISNUMBER(SEARCH("liquidity",$D256)),ISNUMBER(SEARCH("cash",$D256)),ISNUMBER(SEARCH("continuity",$D256)),ISNUMBER(SEARCH("infrastructure",$D256)),ISNUMBER(SEARCH("outage",$D256))),"Fast",IF(OR(ISNUMBER(SEARCH("compliance",$D256)),ISNUMBER(SEARCH("regulat",$D256)),ISNUMBER(SEARCH("data",$D256)),ISNUMBER(SEARCH("talent",$D256)),ISNUMBER(SEARCH("knowledge",$D256)),ISNUMBER(SEARCH("portfolio",$D256)),ISNUMBER(SEARCH("quality",$D256))),"Slow","Medium")))</f>
        <v/>
      </c>
      <c r="AF256">
        <f>IF($A256="","",IFERROR(VLOOKUP($B256,'_CONFIG_Risk_Calibration'!$A$5:$H$21,2,FALSE),3))</f>
        <v/>
      </c>
      <c r="AG256">
        <f>IF($A256="","",IFERROR(VLOOKUP($B256,'_CONFIG_Risk_Calibration'!$A$5:$H$21,3,FALSE),0))</f>
        <v/>
      </c>
      <c r="AH256">
        <f>IF($A256="","",IFERROR(VLOOKUP($B256,'_CONFIG_Risk_Calibration'!$A$5:$H$21,4,FALSE),3))</f>
        <v/>
      </c>
      <c r="AI256">
        <f>IF($A256="","",IFERROR(VLOOKUP($B256,'_CONFIG_Risk_Calibration'!$A$5:$H$21,5,FALSE),3))</f>
        <v/>
      </c>
      <c r="AJ256">
        <f>IF($A256="","",IFERROR(VLOOKUP($B256,'_CONFIG_Risk_Calibration'!$A$5:$H$21,6,FALSE),"No"))</f>
        <v/>
      </c>
      <c r="AK256">
        <f>IF($A256="","",IFERROR(VLOOKUP($B256,'_CONFIG_Risk_Calibration'!$A$5:$H$21,7,FALSE),1))</f>
        <v/>
      </c>
      <c r="AL256">
        <f>IF($A256="","",IFERROR(VLOOKUP($B256,'_CONFIG_Risk_Calibration'!$A$5:$H$21,8,FALSE),""))</f>
        <v/>
      </c>
    </row>
    <row r="257" ht="72" customHeight="1" s="209">
      <c r="A257" s="13" t="inlineStr">
        <is>
          <t>SALE-001</t>
        </is>
      </c>
      <c r="B257" s="13" t="inlineStr">
        <is>
          <t>Sales CRM</t>
        </is>
      </c>
      <c r="C257" s="13" t="inlineStr">
        <is>
          <t>CRM foundation</t>
        </is>
      </c>
      <c r="D257" s="13" t="inlineStr">
        <is>
          <t>Revenue, sales pipeline and CRM continuity</t>
        </is>
      </c>
      <c r="E257" s="13" t="inlineStr">
        <is>
          <t>How mature is the organization in managing CRM as single source of truth for accounts, contacts, opportunities, activities and forecasts, including ownership, evidence, metrics, fallback procedures and crisis stress testing?</t>
        </is>
      </c>
      <c r="F257" s="13" t="inlineStr">
        <is>
          <t>Immature capability for CRM as single source of truth for accounts, contacts, opportunities, activities and forecasts may lead to pipeline loss, poor customer retention, weak forecasting and inability to protect revenue channels during Demand shock; Revenue loss; Reputation crisis.</t>
        </is>
      </c>
      <c r="G257" s="13" t="inlineStr">
        <is>
          <t>Low maturity, weak ownership, incomplete evidence, insufficient testing and poor integration with crisis-management routines for CRM as single source of truth for accounts, contacts, opportunities, activities and forecasts.</t>
        </is>
      </c>
      <c r="H257" s="13" t="inlineStr">
        <is>
          <t>Severe risk: CRM as single source of truth for accounts, contacts, opportunities, activities and forecasts is not reliably controlled. During Demand shock; Revenue loss; Reputation crisis, the organization may face pipeline loss, poor customer retention, weak forecasting and inability to protect revenue channels with limited visibility or accountability.</t>
        </is>
      </c>
      <c r="I257" s="13" t="inlineStr">
        <is>
          <t>High risk: CRM as single source of truth for accounts, contacts, opportunities, activities and forecasts depends on informal practices or individual knowledge. Disruption may expose pipeline loss, poor customer retention, weak forecasting and inability to protect revenue channels and slow recovery.</t>
        </is>
      </c>
      <c r="J257" s="13" t="inlineStr">
        <is>
          <t>Elevated risk: CRM as single source of truth for accounts, contacts, opportunities, activities and forecasts is partially controlled, but coverage, evidence or testing is inconsistent. Crisis response may be fragmented.</t>
        </is>
      </c>
      <c r="K257" s="13" t="inlineStr">
        <is>
          <t>Moderate risk: CRM as single source of truth for accounts, contacts, opportunities, activities and forecasts is documented and owned, but measurement, stress testing and integration with dependent processes need strengthening.</t>
        </is>
      </c>
      <c r="L257" s="13" t="inlineStr">
        <is>
          <t>Residual risk: CRM as single source of truth for accounts, contacts, opportunities, activities and forecasts is measured and reviewed, but monitoring, automation or scenario testing should be improved to prevent maturity drift.</t>
        </is>
      </c>
      <c r="M257" s="13" t="inlineStr">
        <is>
          <t>Low residual risk: CRM as single source of truth for accounts, contacts, opportunities, activities and forecasts is mature and crisis-tested. Maintain monitoring, evidence, ownership and periodic stress testing.</t>
        </is>
      </c>
      <c r="N257" s="13" t="inlineStr">
        <is>
          <t>Create an immediate risk owner, minimum control baseline and fallback procedure for CRM as single source of truth for accounts, contacts, opportunities, activities and forecasts. Add it to the crisis risk register and collect first evidence.</t>
        </is>
      </c>
      <c r="O257" s="13" t="inlineStr">
        <is>
          <t>Document CRM as single source of truth for accounts, contacts, opportunities, activities and forecasts, assign RACI, define minimum controls and KPIs, and validate coverage across key sites, teams or systems.</t>
        </is>
      </c>
      <c r="P257" s="13" t="inlineStr">
        <is>
          <t>Standardize CRM as single source of truth for accounts, contacts, opportunities, activities and forecasts, close coverage gaps, train accountable roles and connect controls to the relevant crisis scenarios and continuity plans.</t>
        </is>
      </c>
      <c r="Q257" s="13" t="inlineStr">
        <is>
          <t>Measure and test CRM as single source of truth for accounts, contacts, opportunities, activities and forecasts, run tabletop or operational stress tests, integrate it with dependent processes and update crisis playbooks.</t>
        </is>
      </c>
      <c r="R257" s="13" t="inlineStr">
        <is>
          <t>Automate monitoring where practical, define leading indicators, run periodic scenario tests and track residual risk after each major change.</t>
        </is>
      </c>
      <c r="S257" s="13" t="inlineStr">
        <is>
          <t>Sustain maturity for CRM as single source of truth for accounts, contacts, opportunities, activities and forecasts: keep evidence current, monitor drift, benchmark externally and refresh risk tests after organizational, system or market changes.</t>
        </is>
      </c>
      <c r="T257" s="13" t="n">
        <v>3</v>
      </c>
      <c r="U257" s="13" t="n">
        <v>3</v>
      </c>
      <c r="V257" s="13" t="n">
        <v>2</v>
      </c>
      <c r="W257" s="13" t="n">
        <v>2</v>
      </c>
      <c r="X257" s="13" t="n">
        <v>1</v>
      </c>
      <c r="Y257" s="13" t="n">
        <v>1</v>
      </c>
      <c r="Z257" s="13" t="inlineStr">
        <is>
          <t>ISO 9001; ISO 10002; ISO 10004; RevOps; MEDDICC; customer success best practices</t>
        </is>
      </c>
      <c r="AA257" s="13" t="inlineStr">
        <is>
          <t>Policy/SOP; owner/RACI; system report; dashboard; contracts; test records; incident history; interview evidence related to CRM as single source of truth for accounts, contacts, opportunities, activities and forecasts.</t>
        </is>
      </c>
      <c r="AB257" s="13" t="inlineStr">
        <is>
          <t>Demand shock; Revenue loss; Reputation crisis</t>
        </is>
      </c>
      <c r="AC257" s="13" t="inlineStr">
        <is>
          <t>CCO / Sales Ops</t>
        </is>
      </c>
      <c r="AD257" s="13" t="inlineStr">
        <is>
          <t>Sales CRM!5</t>
        </is>
      </c>
      <c r="AE257">
        <f>IF($A257="","",IF(OR(ISNUMBER(SEARCH("cyber",$D257)),ISNUMBER(SEARCH("security",$D257)),ISNUMBER(SEARCH("safety",$D257)),ISNUMBER(SEARCH("liquidity",$D257)),ISNUMBER(SEARCH("cash",$D257)),ISNUMBER(SEARCH("continuity",$D257)),ISNUMBER(SEARCH("infrastructure",$D257)),ISNUMBER(SEARCH("outage",$D257))),"Fast",IF(OR(ISNUMBER(SEARCH("compliance",$D257)),ISNUMBER(SEARCH("regulat",$D257)),ISNUMBER(SEARCH("data",$D257)),ISNUMBER(SEARCH("talent",$D257)),ISNUMBER(SEARCH("knowledge",$D257)),ISNUMBER(SEARCH("portfolio",$D257)),ISNUMBER(SEARCH("quality",$D257))),"Slow","Medium")))</f>
        <v/>
      </c>
      <c r="AF257">
        <f>IF($A257="","",IFERROR(VLOOKUP($B257,'_CONFIG_Risk_Calibration'!$A$5:$H$21,2,FALSE),3))</f>
        <v/>
      </c>
      <c r="AG257">
        <f>IF($A257="","",IFERROR(VLOOKUP($B257,'_CONFIG_Risk_Calibration'!$A$5:$H$21,3,FALSE),0))</f>
        <v/>
      </c>
      <c r="AH257">
        <f>IF($A257="","",IFERROR(VLOOKUP($B257,'_CONFIG_Risk_Calibration'!$A$5:$H$21,4,FALSE),3))</f>
        <v/>
      </c>
      <c r="AI257">
        <f>IF($A257="","",IFERROR(VLOOKUP($B257,'_CONFIG_Risk_Calibration'!$A$5:$H$21,5,FALSE),3))</f>
        <v/>
      </c>
      <c r="AJ257">
        <f>IF($A257="","",IFERROR(VLOOKUP($B257,'_CONFIG_Risk_Calibration'!$A$5:$H$21,6,FALSE),"No"))</f>
        <v/>
      </c>
      <c r="AK257">
        <f>IF($A257="","",IFERROR(VLOOKUP($B257,'_CONFIG_Risk_Calibration'!$A$5:$H$21,7,FALSE),1))</f>
        <v/>
      </c>
      <c r="AL257">
        <f>IF($A257="","",IFERROR(VLOOKUP($B257,'_CONFIG_Risk_Calibration'!$A$5:$H$21,8,FALSE),""))</f>
        <v/>
      </c>
    </row>
    <row r="258" ht="72" customHeight="1" s="209">
      <c r="A258" s="13" t="inlineStr">
        <is>
          <t>SALE-002</t>
        </is>
      </c>
      <c r="B258" s="13" t="inlineStr">
        <is>
          <t>Sales CRM</t>
        </is>
      </c>
      <c r="C258" s="13" t="inlineStr">
        <is>
          <t>CRM foundation</t>
        </is>
      </c>
      <c r="D258" s="13" t="inlineStr">
        <is>
          <t>Revenue, sales pipeline and CRM continuity</t>
        </is>
      </c>
      <c r="E258" s="13" t="inlineStr">
        <is>
          <t>How mature is the organization in managing CRM data quality for segmentation, pipeline, ICP, offerings, win/loss reasons and customer health, including ownership, evidence, metrics, fallback procedures and crisis stress testing?</t>
        </is>
      </c>
      <c r="F258" s="13" t="inlineStr">
        <is>
          <t>Immature capability for CRM data quality for segmentation, pipeline, ICP, offerings, win/loss reasons and customer health may lead to pipeline loss, poor customer retention, weak forecasting and inability to protect revenue channels during Demand shock; Revenue loss; Reputation crisis.</t>
        </is>
      </c>
      <c r="G258" s="13" t="inlineStr">
        <is>
          <t>Low maturity, weak ownership, incomplete evidence, insufficient testing and poor integration with crisis-management routines for CRM data quality for segmentation, pipeline, ICP, offerings, win/loss reasons and customer health.</t>
        </is>
      </c>
      <c r="H258" s="13" t="inlineStr">
        <is>
          <t>Severe risk: CRM data quality for segmentation, pipeline, ICP, offerings, win/loss reasons and customer health is not reliably controlled. During Demand shock; Revenue loss; Reputation crisis, the organization may face pipeline loss, poor customer retention, weak forecasting and inability to protect revenue channels with limited visibility or accountability.</t>
        </is>
      </c>
      <c r="I258" s="13" t="inlineStr">
        <is>
          <t>High risk: CRM data quality for segmentation, pipeline, ICP, offerings, win/loss reasons and customer health depends on informal practices or individual knowledge. Disruption may expose pipeline loss, poor customer retention, weak forecasting and inability to protect revenue channels and slow recovery.</t>
        </is>
      </c>
      <c r="J258" s="13" t="inlineStr">
        <is>
          <t>Elevated risk: CRM data quality for segmentation, pipeline, ICP, offerings, win/loss reasons and customer health is partially controlled, but coverage, evidence or testing is inconsistent. Crisis response may be fragmented.</t>
        </is>
      </c>
      <c r="K258" s="13" t="inlineStr">
        <is>
          <t>Moderate risk: CRM data quality for segmentation, pipeline, ICP, offerings, win/loss reasons and customer health is documented and owned, but measurement, stress testing and integration with dependent processes need strengthening.</t>
        </is>
      </c>
      <c r="L258" s="13" t="inlineStr">
        <is>
          <t>Residual risk: CRM data quality for segmentation, pipeline, ICP, offerings, win/loss reasons and customer health is measured and reviewed, but monitoring, automation or scenario testing should be improved to prevent maturity drift.</t>
        </is>
      </c>
      <c r="M258" s="13" t="inlineStr">
        <is>
          <t>Low residual risk: CRM data quality for segmentation, pipeline, ICP, offerings, win/loss reasons and customer health is mature and crisis-tested. Maintain monitoring, evidence, ownership and periodic stress testing.</t>
        </is>
      </c>
      <c r="N258" s="13" t="inlineStr">
        <is>
          <t>Create an immediate risk owner, minimum control baseline and fallback procedure for CRM data quality for segmentation, pipeline, ICP, offerings, win/loss reasons and customer health. Add it to the crisis risk register and collect first evidence.</t>
        </is>
      </c>
      <c r="O258" s="13" t="inlineStr">
        <is>
          <t>Document CRM data quality for segmentation, pipeline, ICP, offerings, win/loss reasons and customer health, assign RACI, define minimum controls and KPIs, and validate coverage across key sites, teams or systems.</t>
        </is>
      </c>
      <c r="P258" s="13" t="inlineStr">
        <is>
          <t>Standardize CRM data quality for segmentation, pipeline, ICP, offerings, win/loss reasons and customer health, close coverage gaps, train accountable roles and connect controls to the relevant crisis scenarios and continuity plans.</t>
        </is>
      </c>
      <c r="Q258" s="13" t="inlineStr">
        <is>
          <t>Measure and test CRM data quality for segmentation, pipeline, ICP, offerings, win/loss reasons and customer health, run tabletop or operational stress tests, integrate it with dependent processes and update crisis playbooks.</t>
        </is>
      </c>
      <c r="R258" s="13" t="inlineStr">
        <is>
          <t>Automate monitoring where practical, define leading indicators, run periodic scenario tests and track residual risk after each major change.</t>
        </is>
      </c>
      <c r="S258" s="13" t="inlineStr">
        <is>
          <t>Sustain maturity for CRM data quality for segmentation, pipeline, ICP, offerings, win/loss reasons and customer health: keep evidence current, monitor drift, benchmark externally and refresh risk tests after organizational, system or market changes.</t>
        </is>
      </c>
      <c r="T258" s="13" t="n">
        <v>3</v>
      </c>
      <c r="U258" s="13" t="n">
        <v>3</v>
      </c>
      <c r="V258" s="13" t="n">
        <v>2</v>
      </c>
      <c r="W258" s="13" t="n">
        <v>2</v>
      </c>
      <c r="X258" s="13" t="n">
        <v>1</v>
      </c>
      <c r="Y258" s="13" t="n">
        <v>1</v>
      </c>
      <c r="Z258" s="13" t="inlineStr">
        <is>
          <t>ISO 9001; ISO 10002; ISO 10004; RevOps; MEDDICC; customer success best practices</t>
        </is>
      </c>
      <c r="AA258" s="13" t="inlineStr">
        <is>
          <t>Policy/SOP; owner/RACI; system report; dashboard; contracts; test records; incident history; interview evidence related to CRM data quality for segmentation, pipeline, ICP, offerings, win/loss reasons and customer health.</t>
        </is>
      </c>
      <c r="AB258" s="13" t="inlineStr">
        <is>
          <t>Demand shock; Revenue loss; Reputation crisis</t>
        </is>
      </c>
      <c r="AC258" s="13" t="inlineStr">
        <is>
          <t>CCO / Sales Ops</t>
        </is>
      </c>
      <c r="AD258" s="13" t="inlineStr">
        <is>
          <t>Sales CRM!6</t>
        </is>
      </c>
      <c r="AE258">
        <f>IF($A258="","",IF(OR(ISNUMBER(SEARCH("cyber",$D258)),ISNUMBER(SEARCH("security",$D258)),ISNUMBER(SEARCH("safety",$D258)),ISNUMBER(SEARCH("liquidity",$D258)),ISNUMBER(SEARCH("cash",$D258)),ISNUMBER(SEARCH("continuity",$D258)),ISNUMBER(SEARCH("infrastructure",$D258)),ISNUMBER(SEARCH("outage",$D258))),"Fast",IF(OR(ISNUMBER(SEARCH("compliance",$D258)),ISNUMBER(SEARCH("regulat",$D258)),ISNUMBER(SEARCH("data",$D258)),ISNUMBER(SEARCH("talent",$D258)),ISNUMBER(SEARCH("knowledge",$D258)),ISNUMBER(SEARCH("portfolio",$D258)),ISNUMBER(SEARCH("quality",$D258))),"Slow","Medium")))</f>
        <v/>
      </c>
      <c r="AF258">
        <f>IF($A258="","",IFERROR(VLOOKUP($B258,'_CONFIG_Risk_Calibration'!$A$5:$H$21,2,FALSE),3))</f>
        <v/>
      </c>
      <c r="AG258">
        <f>IF($A258="","",IFERROR(VLOOKUP($B258,'_CONFIG_Risk_Calibration'!$A$5:$H$21,3,FALSE),0))</f>
        <v/>
      </c>
      <c r="AH258">
        <f>IF($A258="","",IFERROR(VLOOKUP($B258,'_CONFIG_Risk_Calibration'!$A$5:$H$21,4,FALSE),3))</f>
        <v/>
      </c>
      <c r="AI258">
        <f>IF($A258="","",IFERROR(VLOOKUP($B258,'_CONFIG_Risk_Calibration'!$A$5:$H$21,5,FALSE),3))</f>
        <v/>
      </c>
      <c r="AJ258">
        <f>IF($A258="","",IFERROR(VLOOKUP($B258,'_CONFIG_Risk_Calibration'!$A$5:$H$21,6,FALSE),"No"))</f>
        <v/>
      </c>
      <c r="AK258">
        <f>IF($A258="","",IFERROR(VLOOKUP($B258,'_CONFIG_Risk_Calibration'!$A$5:$H$21,7,FALSE),1))</f>
        <v/>
      </c>
      <c r="AL258">
        <f>IF($A258="","",IFERROR(VLOOKUP($B258,'_CONFIG_Risk_Calibration'!$A$5:$H$21,8,FALSE),""))</f>
        <v/>
      </c>
    </row>
    <row r="259" ht="72" customHeight="1" s="209">
      <c r="A259" s="13" t="inlineStr">
        <is>
          <t>SALE-004</t>
        </is>
      </c>
      <c r="B259" s="13" t="inlineStr">
        <is>
          <t>Sales CRM</t>
        </is>
      </c>
      <c r="C259" s="13" t="inlineStr">
        <is>
          <t>CRM foundation</t>
        </is>
      </c>
      <c r="D259" s="13" t="inlineStr">
        <is>
          <t>Revenue, sales pipeline and CRM continuity</t>
        </is>
      </c>
      <c r="E259" s="13" t="inlineStr">
        <is>
          <t>How mature is the organization in managing sales process governance from lead to opportunity to contract to handover, including ownership, evidence, metrics, fallback procedures and crisis stress testing?</t>
        </is>
      </c>
      <c r="F259" s="13" t="inlineStr">
        <is>
          <t>Immature capability for sales process governance from lead to opportunity to contract to handover may lead to pipeline loss, poor customer retention, weak forecasting and inability to protect revenue channels during Demand shock; Revenue loss; Reputation crisis.</t>
        </is>
      </c>
      <c r="G259" s="13" t="inlineStr">
        <is>
          <t>Low maturity, weak ownership, incomplete evidence, insufficient testing and poor integration with crisis-management routines for sales process governance from lead to opportunity to contract to handover.</t>
        </is>
      </c>
      <c r="H259" s="13" t="inlineStr">
        <is>
          <t>Severe risk: sales process governance from lead to opportunity to contract to handover is not reliably controlled. During Demand shock; Revenue loss; Reputation crisis, the organization may face pipeline loss, poor customer retention, weak forecasting and inability to protect revenue channels with limited visibility or accountability.</t>
        </is>
      </c>
      <c r="I259" s="13" t="inlineStr">
        <is>
          <t>High risk: sales process governance from lead to opportunity to contract to handover depends on informal practices or individual knowledge. Disruption may expose pipeline loss, poor customer retention, weak forecasting and inability to protect revenue channels and slow recovery.</t>
        </is>
      </c>
      <c r="J259" s="13" t="inlineStr">
        <is>
          <t>Elevated risk: sales process governance from lead to opportunity to contract to handover is partially controlled, but coverage, evidence or testing is inconsistent. Crisis response may be fragmented.</t>
        </is>
      </c>
      <c r="K259" s="13" t="inlineStr">
        <is>
          <t>Moderate risk: sales process governance from lead to opportunity to contract to handover is documented and owned, but measurement, stress testing and integration with dependent processes need strengthening.</t>
        </is>
      </c>
      <c r="L259" s="13" t="inlineStr">
        <is>
          <t>Residual risk: sales process governance from lead to opportunity to contract to handover is measured and reviewed, but monitoring, automation or scenario testing should be improved to prevent maturity drift.</t>
        </is>
      </c>
      <c r="M259" s="13" t="inlineStr">
        <is>
          <t>Low residual risk: sales process governance from lead to opportunity to contract to handover is mature and crisis-tested. Maintain monitoring, evidence, ownership and periodic stress testing.</t>
        </is>
      </c>
      <c r="N259" s="13" t="inlineStr">
        <is>
          <t>Create an immediate risk owner, minimum control baseline and fallback procedure for sales process governance from lead to opportunity to contract to handover. Add it to the crisis risk register and collect first evidence.</t>
        </is>
      </c>
      <c r="O259" s="13" t="inlineStr">
        <is>
          <t>Document sales process governance from lead to opportunity to contract to handover, assign RACI, define minimum controls and KPIs, and validate coverage across key sites, teams or systems.</t>
        </is>
      </c>
      <c r="P259" s="13" t="inlineStr">
        <is>
          <t>Standardize sales process governance from lead to opportunity to contract to handover, close coverage gaps, train accountable roles and connect controls to the relevant crisis scenarios and continuity plans.</t>
        </is>
      </c>
      <c r="Q259" s="13" t="inlineStr">
        <is>
          <t>Measure and test sales process governance from lead to opportunity to contract to handover, run tabletop or operational stress tests, integrate it with dependent processes and update crisis playbooks.</t>
        </is>
      </c>
      <c r="R259" s="13" t="inlineStr">
        <is>
          <t>Automate monitoring where practical, define leading indicators, run periodic scenario tests and track residual risk after each major change.</t>
        </is>
      </c>
      <c r="S259" s="13" t="inlineStr">
        <is>
          <t>Sustain maturity for sales process governance from lead to opportunity to contract to handover: keep evidence current, monitor drift, benchmark externally and refresh risk tests after organizational, system or market changes.</t>
        </is>
      </c>
      <c r="T259" s="13" t="n">
        <v>3</v>
      </c>
      <c r="U259" s="13" t="n">
        <v>3</v>
      </c>
      <c r="V259" s="13" t="n">
        <v>2</v>
      </c>
      <c r="W259" s="13" t="n">
        <v>2</v>
      </c>
      <c r="X259" s="13" t="n">
        <v>1</v>
      </c>
      <c r="Y259" s="13" t="n">
        <v>1</v>
      </c>
      <c r="Z259" s="13" t="inlineStr">
        <is>
          <t>ISO 9001; ISO 10002; ISO 10004; RevOps; MEDDICC; customer success best practices</t>
        </is>
      </c>
      <c r="AA259" s="13" t="inlineStr">
        <is>
          <t>Policy/SOP; owner/RACI; system report; dashboard; contracts; test records; incident history; interview evidence related to sales process governance from lead to opportunity to contract to handover.</t>
        </is>
      </c>
      <c r="AB259" s="13" t="inlineStr">
        <is>
          <t>Demand shock; Revenue loss; Reputation crisis</t>
        </is>
      </c>
      <c r="AC259" s="13" t="inlineStr">
        <is>
          <t>CCO / Sales Ops</t>
        </is>
      </c>
      <c r="AD259" s="13" t="inlineStr">
        <is>
          <t>Sales CRM!7</t>
        </is>
      </c>
      <c r="AE259">
        <f>IF($A259="","",IF(OR(ISNUMBER(SEARCH("cyber",$D259)),ISNUMBER(SEARCH("security",$D259)),ISNUMBER(SEARCH("safety",$D259)),ISNUMBER(SEARCH("liquidity",$D259)),ISNUMBER(SEARCH("cash",$D259)),ISNUMBER(SEARCH("continuity",$D259)),ISNUMBER(SEARCH("infrastructure",$D259)),ISNUMBER(SEARCH("outage",$D259))),"Fast",IF(OR(ISNUMBER(SEARCH("compliance",$D259)),ISNUMBER(SEARCH("regulat",$D259)),ISNUMBER(SEARCH("data",$D259)),ISNUMBER(SEARCH("talent",$D259)),ISNUMBER(SEARCH("knowledge",$D259)),ISNUMBER(SEARCH("portfolio",$D259)),ISNUMBER(SEARCH("quality",$D259))),"Slow","Medium")))</f>
        <v/>
      </c>
      <c r="AF259">
        <f>IF($A259="","",IFERROR(VLOOKUP($B259,'_CONFIG_Risk_Calibration'!$A$5:$H$21,2,FALSE),3))</f>
        <v/>
      </c>
      <c r="AG259">
        <f>IF($A259="","",IFERROR(VLOOKUP($B259,'_CONFIG_Risk_Calibration'!$A$5:$H$21,3,FALSE),0))</f>
        <v/>
      </c>
      <c r="AH259">
        <f>IF($A259="","",IFERROR(VLOOKUP($B259,'_CONFIG_Risk_Calibration'!$A$5:$H$21,4,FALSE),3))</f>
        <v/>
      </c>
      <c r="AI259">
        <f>IF($A259="","",IFERROR(VLOOKUP($B259,'_CONFIG_Risk_Calibration'!$A$5:$H$21,5,FALSE),3))</f>
        <v/>
      </c>
      <c r="AJ259">
        <f>IF($A259="","",IFERROR(VLOOKUP($B259,'_CONFIG_Risk_Calibration'!$A$5:$H$21,6,FALSE),"No"))</f>
        <v/>
      </c>
      <c r="AK259">
        <f>IF($A259="","",IFERROR(VLOOKUP($B259,'_CONFIG_Risk_Calibration'!$A$5:$H$21,7,FALSE),1))</f>
        <v/>
      </c>
      <c r="AL259">
        <f>IF($A259="","",IFERROR(VLOOKUP($B259,'_CONFIG_Risk_Calibration'!$A$5:$H$21,8,FALSE),""))</f>
        <v/>
      </c>
    </row>
    <row r="260" ht="72" customHeight="1" s="209">
      <c r="A260" s="13" t="inlineStr">
        <is>
          <t>SALE-005</t>
        </is>
      </c>
      <c r="B260" s="13" t="inlineStr">
        <is>
          <t>Sales CRM</t>
        </is>
      </c>
      <c r="C260" s="13" t="inlineStr">
        <is>
          <t>CRM foundation</t>
        </is>
      </c>
      <c r="D260" s="13" t="inlineStr">
        <is>
          <t>Revenue, sales pipeline and CRM continuity</t>
        </is>
      </c>
      <c r="E260" s="13" t="inlineStr">
        <is>
          <t>How mature is the organization in managing customer and contract data linked to renewal, SLA and revenue risk, including ownership, evidence, metrics, fallback procedures and crisis stress testing?</t>
        </is>
      </c>
      <c r="F260" s="13" t="inlineStr">
        <is>
          <t>Immature capability for customer and contract data linked to renewal, SLA and revenue risk may lead to pipeline loss, poor customer retention, weak forecasting and inability to protect revenue channels during Demand shock; Revenue loss; Reputation crisis.</t>
        </is>
      </c>
      <c r="G260" s="13" t="inlineStr">
        <is>
          <t>Low maturity, weak ownership, incomplete evidence, insufficient testing and poor integration with crisis-management routines for customer and contract data linked to renewal, SLA and revenue risk.</t>
        </is>
      </c>
      <c r="H260" s="13" t="inlineStr">
        <is>
          <t>Severe risk: customer and contract data linked to renewal, SLA and revenue risk is not reliably controlled. During Demand shock; Revenue loss; Reputation crisis, the organization may face pipeline loss, poor customer retention, weak forecasting and inability to protect revenue channels with limited visibility or accountability.</t>
        </is>
      </c>
      <c r="I260" s="13" t="inlineStr">
        <is>
          <t>High risk: customer and contract data linked to renewal, SLA and revenue risk depends on informal practices or individual knowledge. Disruption may expose pipeline loss, poor customer retention, weak forecasting and inability to protect revenue channels and slow recovery.</t>
        </is>
      </c>
      <c r="J260" s="13" t="inlineStr">
        <is>
          <t>Elevated risk: customer and contract data linked to renewal, SLA and revenue risk is partially controlled, but coverage, evidence or testing is inconsistent. Crisis response may be fragmented.</t>
        </is>
      </c>
      <c r="K260" s="13" t="inlineStr">
        <is>
          <t>Moderate risk: customer and contract data linked to renewal, SLA and revenue risk is documented and owned, but measurement, stress testing and integration with dependent processes need strengthening.</t>
        </is>
      </c>
      <c r="L260" s="13" t="inlineStr">
        <is>
          <t>Residual risk: customer and contract data linked to renewal, SLA and revenue risk is measured and reviewed, but monitoring, automation or scenario testing should be improved to prevent maturity drift.</t>
        </is>
      </c>
      <c r="M260" s="13" t="inlineStr">
        <is>
          <t>Low residual risk: customer and contract data linked to renewal, SLA and revenue risk is mature and crisis-tested. Maintain monitoring, evidence, ownership and periodic stress testing.</t>
        </is>
      </c>
      <c r="N260" s="13" t="inlineStr">
        <is>
          <t>Create an immediate risk owner, minimum control baseline and fallback procedure for customer and contract data linked to renewal, SLA and revenue risk. Add it to the crisis risk register and collect first evidence.</t>
        </is>
      </c>
      <c r="O260" s="13" t="inlineStr">
        <is>
          <t>Document customer and contract data linked to renewal, SLA and revenue risk, assign RACI, define minimum controls and KPIs, and validate coverage across key sites, teams or systems.</t>
        </is>
      </c>
      <c r="P260" s="13" t="inlineStr">
        <is>
          <t>Standardize customer and contract data linked to renewal, SLA and revenue risk, close coverage gaps, train accountable roles and connect controls to the relevant crisis scenarios and continuity plans.</t>
        </is>
      </c>
      <c r="Q260" s="13" t="inlineStr">
        <is>
          <t>Measure and test customer and contract data linked to renewal, SLA and revenue risk, run tabletop or operational stress tests, integrate it with dependent processes and update crisis playbooks.</t>
        </is>
      </c>
      <c r="R260" s="13" t="inlineStr">
        <is>
          <t>Automate monitoring where practical, define leading indicators, run periodic scenario tests and track residual risk after each major change.</t>
        </is>
      </c>
      <c r="S260" s="13" t="inlineStr">
        <is>
          <t>Sustain maturity for customer and contract data linked to renewal, SLA and revenue risk: keep evidence current, monitor drift, benchmark externally and refresh risk tests after organizational, system or market changes.</t>
        </is>
      </c>
      <c r="T260" s="13" t="n">
        <v>3</v>
      </c>
      <c r="U260" s="13" t="n">
        <v>3</v>
      </c>
      <c r="V260" s="13" t="n">
        <v>2</v>
      </c>
      <c r="W260" s="13" t="n">
        <v>2</v>
      </c>
      <c r="X260" s="13" t="n">
        <v>1</v>
      </c>
      <c r="Y260" s="13" t="n">
        <v>1</v>
      </c>
      <c r="Z260" s="13" t="inlineStr">
        <is>
          <t>ISO 9001; ISO 10002; ISO 10004; RevOps; MEDDICC; customer success best practices</t>
        </is>
      </c>
      <c r="AA260" s="13" t="inlineStr">
        <is>
          <t>Policy/SOP; owner/RACI; system report; dashboard; contracts; test records; incident history; interview evidence related to customer and contract data linked to renewal, SLA and revenue risk.</t>
        </is>
      </c>
      <c r="AB260" s="13" t="inlineStr">
        <is>
          <t>Demand shock; Revenue loss; Reputation crisis</t>
        </is>
      </c>
      <c r="AC260" s="13" t="inlineStr">
        <is>
          <t>CCO / Sales Ops</t>
        </is>
      </c>
      <c r="AD260" s="13" t="inlineStr">
        <is>
          <t>Sales CRM!8</t>
        </is>
      </c>
      <c r="AE260">
        <f>IF($A260="","",IF(OR(ISNUMBER(SEARCH("cyber",$D260)),ISNUMBER(SEARCH("security",$D260)),ISNUMBER(SEARCH("safety",$D260)),ISNUMBER(SEARCH("liquidity",$D260)),ISNUMBER(SEARCH("cash",$D260)),ISNUMBER(SEARCH("continuity",$D260)),ISNUMBER(SEARCH("infrastructure",$D260)),ISNUMBER(SEARCH("outage",$D260))),"Fast",IF(OR(ISNUMBER(SEARCH("compliance",$D260)),ISNUMBER(SEARCH("regulat",$D260)),ISNUMBER(SEARCH("data",$D260)),ISNUMBER(SEARCH("talent",$D260)),ISNUMBER(SEARCH("knowledge",$D260)),ISNUMBER(SEARCH("portfolio",$D260)),ISNUMBER(SEARCH("quality",$D260))),"Slow","Medium")))</f>
        <v/>
      </c>
      <c r="AF260">
        <f>IF($A260="","",IFERROR(VLOOKUP($B260,'_CONFIG_Risk_Calibration'!$A$5:$H$21,2,FALSE),3))</f>
        <v/>
      </c>
      <c r="AG260">
        <f>IF($A260="","",IFERROR(VLOOKUP($B260,'_CONFIG_Risk_Calibration'!$A$5:$H$21,3,FALSE),0))</f>
        <v/>
      </c>
      <c r="AH260">
        <f>IF($A260="","",IFERROR(VLOOKUP($B260,'_CONFIG_Risk_Calibration'!$A$5:$H$21,4,FALSE),3))</f>
        <v/>
      </c>
      <c r="AI260">
        <f>IF($A260="","",IFERROR(VLOOKUP($B260,'_CONFIG_Risk_Calibration'!$A$5:$H$21,5,FALSE),3))</f>
        <v/>
      </c>
      <c r="AJ260">
        <f>IF($A260="","",IFERROR(VLOOKUP($B260,'_CONFIG_Risk_Calibration'!$A$5:$H$21,6,FALSE),"No"))</f>
        <v/>
      </c>
      <c r="AK260">
        <f>IF($A260="","",IFERROR(VLOOKUP($B260,'_CONFIG_Risk_Calibration'!$A$5:$H$21,7,FALSE),1))</f>
        <v/>
      </c>
      <c r="AL260">
        <f>IF($A260="","",IFERROR(VLOOKUP($B260,'_CONFIG_Risk_Calibration'!$A$5:$H$21,8,FALSE),""))</f>
        <v/>
      </c>
    </row>
    <row r="261" ht="60" customHeight="1" s="209">
      <c r="A261" s="13" t="inlineStr">
        <is>
          <t>SALE-006</t>
        </is>
      </c>
      <c r="B261" s="13" t="inlineStr">
        <is>
          <t>Sales CRM</t>
        </is>
      </c>
      <c r="C261" s="13" t="inlineStr">
        <is>
          <t>Pipeline and forecast</t>
        </is>
      </c>
      <c r="D261" s="13" t="inlineStr">
        <is>
          <t>Revenue, sales pipeline and CRM continuity</t>
        </is>
      </c>
      <c r="E261" s="13" t="inlineStr">
        <is>
          <t>How mature is the organization in managing pipeline qualification criteria and stage exit rules, including ownership, evidence, metrics, fallback procedures and crisis stress testing?</t>
        </is>
      </c>
      <c r="F261" s="13" t="inlineStr">
        <is>
          <t>Immature capability for pipeline qualification criteria and stage exit rules may lead to pipeline loss, poor customer retention, weak forecasting and inability to protect revenue channels during Demand shock; Revenue loss; Reputation crisis.</t>
        </is>
      </c>
      <c r="G261" s="13" t="inlineStr">
        <is>
          <t>Low maturity, weak ownership, incomplete evidence, insufficient testing and poor integration with crisis-management routines for pipeline qualification criteria and stage exit rules.</t>
        </is>
      </c>
      <c r="H261" s="13" t="inlineStr">
        <is>
          <t>Severe risk: pipeline qualification criteria and stage exit rules is not reliably controlled. During Demand shock; Revenue loss; Reputation crisis, the organization may face pipeline loss, poor customer retention, weak forecasting and inability to protect revenue channels with limited visibility or accountability.</t>
        </is>
      </c>
      <c r="I261" s="13" t="inlineStr">
        <is>
          <t>High risk: pipeline qualification criteria and stage exit rules depends on informal practices or individual knowledge. Disruption may expose pipeline loss, poor customer retention, weak forecasting and inability to protect revenue channels and slow recovery.</t>
        </is>
      </c>
      <c r="J261" s="13" t="inlineStr">
        <is>
          <t>Elevated risk: pipeline qualification criteria and stage exit rules is partially controlled, but coverage, evidence or testing is inconsistent. Crisis response may be fragmented.</t>
        </is>
      </c>
      <c r="K261" s="13" t="inlineStr">
        <is>
          <t>Moderate risk: pipeline qualification criteria and stage exit rules is documented and owned, but measurement, stress testing and integration with dependent processes need strengthening.</t>
        </is>
      </c>
      <c r="L261" s="13" t="inlineStr">
        <is>
          <t>Residual risk: pipeline qualification criteria and stage exit rules is measured and reviewed, but monitoring, automation or scenario testing should be improved to prevent maturity drift.</t>
        </is>
      </c>
      <c r="M261" s="13" t="inlineStr">
        <is>
          <t>Low residual risk: pipeline qualification criteria and stage exit rules is mature and crisis-tested. Maintain monitoring, evidence, ownership and periodic stress testing.</t>
        </is>
      </c>
      <c r="N261" s="13" t="inlineStr">
        <is>
          <t>Create an immediate risk owner, minimum control baseline and fallback procedure for pipeline qualification criteria and stage exit rules. Add it to the crisis risk register and collect first evidence.</t>
        </is>
      </c>
      <c r="O261" s="13" t="inlineStr">
        <is>
          <t>Document pipeline qualification criteria and stage exit rules, assign RACI, define minimum controls and KPIs, and validate coverage across key sites, teams or systems.</t>
        </is>
      </c>
      <c r="P261" s="13" t="inlineStr">
        <is>
          <t>Standardize pipeline qualification criteria and stage exit rules, close coverage gaps, train accountable roles and connect controls to the relevant crisis scenarios and continuity plans.</t>
        </is>
      </c>
      <c r="Q261" s="13" t="inlineStr">
        <is>
          <t>Measure and test pipeline qualification criteria and stage exit rules, run tabletop or operational stress tests, integrate it with dependent processes and update crisis playbooks.</t>
        </is>
      </c>
      <c r="R261" s="13" t="inlineStr">
        <is>
          <t>Automate monitoring where practical, define leading indicators, run periodic scenario tests and track residual risk after each major change.</t>
        </is>
      </c>
      <c r="S261" s="13" t="inlineStr">
        <is>
          <t>Sustain maturity for pipeline qualification criteria and stage exit rules: keep evidence current, monitor drift, benchmark externally and refresh risk tests after organizational, system or market changes.</t>
        </is>
      </c>
      <c r="T261" s="13" t="n">
        <v>3</v>
      </c>
      <c r="U261" s="13" t="n">
        <v>3</v>
      </c>
      <c r="V261" s="13" t="n">
        <v>2</v>
      </c>
      <c r="W261" s="13" t="n">
        <v>2</v>
      </c>
      <c r="X261" s="13" t="n">
        <v>1</v>
      </c>
      <c r="Y261" s="13" t="n">
        <v>1</v>
      </c>
      <c r="Z261" s="13" t="inlineStr">
        <is>
          <t>ISO 9001; ISO 10002; ISO 10004; RevOps; MEDDICC; customer success best practices</t>
        </is>
      </c>
      <c r="AA261" s="13" t="inlineStr">
        <is>
          <t>Policy/SOP; owner/RACI; system report; dashboard; contracts; test records; incident history; interview evidence related to pipeline qualification criteria and stage exit rules.</t>
        </is>
      </c>
      <c r="AB261" s="13" t="inlineStr">
        <is>
          <t>Demand shock; Revenue loss; Reputation crisis</t>
        </is>
      </c>
      <c r="AC261" s="13" t="inlineStr">
        <is>
          <t>CCO / Sales Ops</t>
        </is>
      </c>
      <c r="AD261" s="13" t="inlineStr">
        <is>
          <t>Sales CRM!9</t>
        </is>
      </c>
      <c r="AE261">
        <f>IF($A261="","",IF(OR(ISNUMBER(SEARCH("cyber",$D261)),ISNUMBER(SEARCH("security",$D261)),ISNUMBER(SEARCH("safety",$D261)),ISNUMBER(SEARCH("liquidity",$D261)),ISNUMBER(SEARCH("cash",$D261)),ISNUMBER(SEARCH("continuity",$D261)),ISNUMBER(SEARCH("infrastructure",$D261)),ISNUMBER(SEARCH("outage",$D261))),"Fast",IF(OR(ISNUMBER(SEARCH("compliance",$D261)),ISNUMBER(SEARCH("regulat",$D261)),ISNUMBER(SEARCH("data",$D261)),ISNUMBER(SEARCH("talent",$D261)),ISNUMBER(SEARCH("knowledge",$D261)),ISNUMBER(SEARCH("portfolio",$D261)),ISNUMBER(SEARCH("quality",$D261))),"Slow","Medium")))</f>
        <v/>
      </c>
      <c r="AF261">
        <f>IF($A261="","",IFERROR(VLOOKUP($B261,'_CONFIG_Risk_Calibration'!$A$5:$H$21,2,FALSE),3))</f>
        <v/>
      </c>
      <c r="AG261">
        <f>IF($A261="","",IFERROR(VLOOKUP($B261,'_CONFIG_Risk_Calibration'!$A$5:$H$21,3,FALSE),0))</f>
        <v/>
      </c>
      <c r="AH261">
        <f>IF($A261="","",IFERROR(VLOOKUP($B261,'_CONFIG_Risk_Calibration'!$A$5:$H$21,4,FALSE),3))</f>
        <v/>
      </c>
      <c r="AI261">
        <f>IF($A261="","",IFERROR(VLOOKUP($B261,'_CONFIG_Risk_Calibration'!$A$5:$H$21,5,FALSE),3))</f>
        <v/>
      </c>
      <c r="AJ261">
        <f>IF($A261="","",IFERROR(VLOOKUP($B261,'_CONFIG_Risk_Calibration'!$A$5:$H$21,6,FALSE),"No"))</f>
        <v/>
      </c>
      <c r="AK261">
        <f>IF($A261="","",IFERROR(VLOOKUP($B261,'_CONFIG_Risk_Calibration'!$A$5:$H$21,7,FALSE),1))</f>
        <v/>
      </c>
      <c r="AL261">
        <f>IF($A261="","",IFERROR(VLOOKUP($B261,'_CONFIG_Risk_Calibration'!$A$5:$H$21,8,FALSE),""))</f>
        <v/>
      </c>
    </row>
    <row r="262" ht="72" customHeight="1" s="209">
      <c r="A262" s="13" t="inlineStr">
        <is>
          <t>SALE-007</t>
        </is>
      </c>
      <c r="B262" s="13" t="inlineStr">
        <is>
          <t>Sales CRM</t>
        </is>
      </c>
      <c r="C262" s="13" t="inlineStr">
        <is>
          <t>Pipeline and forecast</t>
        </is>
      </c>
      <c r="D262" s="13" t="inlineStr">
        <is>
          <t>Revenue, sales pipeline and CRM continuity</t>
        </is>
      </c>
      <c r="E262" s="13" t="inlineStr">
        <is>
          <t>How mature is the organization in managing pipeline coverage relative to targets, sales cycle, win rate and crisis scenarios, including ownership, evidence, metrics, fallback procedures and crisis stress testing?</t>
        </is>
      </c>
      <c r="F262" s="13" t="inlineStr">
        <is>
          <t>Immature capability for pipeline coverage relative to targets, sales cycle, win rate and crisis scenarios may lead to pipeline loss, poor customer retention, weak forecasting and inability to protect revenue channels during Demand shock; Revenue loss; Reputation crisis.</t>
        </is>
      </c>
      <c r="G262" s="13" t="inlineStr">
        <is>
          <t>Low maturity, weak ownership, incomplete evidence, insufficient testing and poor integration with crisis-management routines for pipeline coverage relative to targets, sales cycle, win rate and crisis scenarios.</t>
        </is>
      </c>
      <c r="H262" s="13" t="inlineStr">
        <is>
          <t>Severe risk: pipeline coverage relative to targets, sales cycle, win rate and crisis scenarios is not reliably controlled. During Demand shock; Revenue loss; Reputation crisis, the organization may face pipeline loss, poor customer retention, weak forecasting and inability to protect revenue channels with limited visibility or accountability.</t>
        </is>
      </c>
      <c r="I262" s="13" t="inlineStr">
        <is>
          <t>High risk: pipeline coverage relative to targets, sales cycle, win rate and crisis scenarios depends on informal practices or individual knowledge. Disruption may expose pipeline loss, poor customer retention, weak forecasting and inability to protect revenue channels and slow recovery.</t>
        </is>
      </c>
      <c r="J262" s="13" t="inlineStr">
        <is>
          <t>Elevated risk: pipeline coverage relative to targets, sales cycle, win rate and crisis scenarios is partially controlled, but coverage, evidence or testing is inconsistent. Crisis response may be fragmented.</t>
        </is>
      </c>
      <c r="K262" s="13" t="inlineStr">
        <is>
          <t>Moderate risk: pipeline coverage relative to targets, sales cycle, win rate and crisis scenarios is documented and owned, but measurement, stress testing and integration with dependent processes need strengthening.</t>
        </is>
      </c>
      <c r="L262" s="13" t="inlineStr">
        <is>
          <t>Residual risk: pipeline coverage relative to targets, sales cycle, win rate and crisis scenarios is measured and reviewed, but monitoring, automation or scenario testing should be improved to prevent maturity drift.</t>
        </is>
      </c>
      <c r="M262" s="13" t="inlineStr">
        <is>
          <t>Low residual risk: pipeline coverage relative to targets, sales cycle, win rate and crisis scenarios is mature and crisis-tested. Maintain monitoring, evidence, ownership and periodic stress testing.</t>
        </is>
      </c>
      <c r="N262" s="13" t="inlineStr">
        <is>
          <t>Create an immediate risk owner, minimum control baseline and fallback procedure for pipeline coverage relative to targets, sales cycle, win rate and crisis scenarios. Add it to the crisis risk register and collect first evidence.</t>
        </is>
      </c>
      <c r="O262" s="13" t="inlineStr">
        <is>
          <t>Document pipeline coverage relative to targets, sales cycle, win rate and crisis scenarios, assign RACI, define minimum controls and KPIs, and validate coverage across key sites, teams or systems.</t>
        </is>
      </c>
      <c r="P262" s="13" t="inlineStr">
        <is>
          <t>Standardize pipeline coverage relative to targets, sales cycle, win rate and crisis scenarios, close coverage gaps, train accountable roles and connect controls to the relevant crisis scenarios and continuity plans.</t>
        </is>
      </c>
      <c r="Q262" s="13" t="inlineStr">
        <is>
          <t>Measure and test pipeline coverage relative to targets, sales cycle, win rate and crisis scenarios, run tabletop or operational stress tests, integrate it with dependent processes and update crisis playbooks.</t>
        </is>
      </c>
      <c r="R262" s="13" t="inlineStr">
        <is>
          <t>Automate monitoring where practical, define leading indicators, run periodic scenario tests and track residual risk after each major change.</t>
        </is>
      </c>
      <c r="S262" s="13" t="inlineStr">
        <is>
          <t>Sustain maturity for pipeline coverage relative to targets, sales cycle, win rate and crisis scenarios: keep evidence current, monitor drift, benchmark externally and refresh risk tests after organizational, system or market changes.</t>
        </is>
      </c>
      <c r="T262" s="13" t="n">
        <v>3</v>
      </c>
      <c r="U262" s="13" t="n">
        <v>3</v>
      </c>
      <c r="V262" s="13" t="n">
        <v>2</v>
      </c>
      <c r="W262" s="13" t="n">
        <v>2</v>
      </c>
      <c r="X262" s="13" t="n">
        <v>1</v>
      </c>
      <c r="Y262" s="13" t="n">
        <v>1</v>
      </c>
      <c r="Z262" s="13" t="inlineStr">
        <is>
          <t>ISO 9001; ISO 10002; ISO 10004; RevOps; MEDDICC; customer success best practices</t>
        </is>
      </c>
      <c r="AA262" s="13" t="inlineStr">
        <is>
          <t>Policy/SOP; owner/RACI; system report; dashboard; contracts; test records; incident history; interview evidence related to pipeline coverage relative to targets, sales cycle, win rate and crisis scenarios.</t>
        </is>
      </c>
      <c r="AB262" s="13" t="inlineStr">
        <is>
          <t>Demand shock; Revenue loss; Reputation crisis</t>
        </is>
      </c>
      <c r="AC262" s="13" t="inlineStr">
        <is>
          <t>CCO / Sales Ops</t>
        </is>
      </c>
      <c r="AD262" s="13" t="inlineStr">
        <is>
          <t>Sales CRM!10</t>
        </is>
      </c>
      <c r="AE262">
        <f>IF($A262="","",IF(OR(ISNUMBER(SEARCH("cyber",$D262)),ISNUMBER(SEARCH("security",$D262)),ISNUMBER(SEARCH("safety",$D262)),ISNUMBER(SEARCH("liquidity",$D262)),ISNUMBER(SEARCH("cash",$D262)),ISNUMBER(SEARCH("continuity",$D262)),ISNUMBER(SEARCH("infrastructure",$D262)),ISNUMBER(SEARCH("outage",$D262))),"Fast",IF(OR(ISNUMBER(SEARCH("compliance",$D262)),ISNUMBER(SEARCH("regulat",$D262)),ISNUMBER(SEARCH("data",$D262)),ISNUMBER(SEARCH("talent",$D262)),ISNUMBER(SEARCH("knowledge",$D262)),ISNUMBER(SEARCH("portfolio",$D262)),ISNUMBER(SEARCH("quality",$D262))),"Slow","Medium")))</f>
        <v/>
      </c>
      <c r="AF262">
        <f>IF($A262="","",IFERROR(VLOOKUP($B262,'_CONFIG_Risk_Calibration'!$A$5:$H$21,2,FALSE),3))</f>
        <v/>
      </c>
      <c r="AG262">
        <f>IF($A262="","",IFERROR(VLOOKUP($B262,'_CONFIG_Risk_Calibration'!$A$5:$H$21,3,FALSE),0))</f>
        <v/>
      </c>
      <c r="AH262">
        <f>IF($A262="","",IFERROR(VLOOKUP($B262,'_CONFIG_Risk_Calibration'!$A$5:$H$21,4,FALSE),3))</f>
        <v/>
      </c>
      <c r="AI262">
        <f>IF($A262="","",IFERROR(VLOOKUP($B262,'_CONFIG_Risk_Calibration'!$A$5:$H$21,5,FALSE),3))</f>
        <v/>
      </c>
      <c r="AJ262">
        <f>IF($A262="","",IFERROR(VLOOKUP($B262,'_CONFIG_Risk_Calibration'!$A$5:$H$21,6,FALSE),"No"))</f>
        <v/>
      </c>
      <c r="AK262">
        <f>IF($A262="","",IFERROR(VLOOKUP($B262,'_CONFIG_Risk_Calibration'!$A$5:$H$21,7,FALSE),1))</f>
        <v/>
      </c>
      <c r="AL262">
        <f>IF($A262="","",IFERROR(VLOOKUP($B262,'_CONFIG_Risk_Calibration'!$A$5:$H$21,8,FALSE),""))</f>
        <v/>
      </c>
    </row>
    <row r="263" ht="72" customHeight="1" s="209">
      <c r="A263" s="13" t="inlineStr">
        <is>
          <t>SALE-008</t>
        </is>
      </c>
      <c r="B263" s="13" t="inlineStr">
        <is>
          <t>Sales CRM</t>
        </is>
      </c>
      <c r="C263" s="13" t="inlineStr">
        <is>
          <t>Pipeline and forecast</t>
        </is>
      </c>
      <c r="D263" s="13" t="inlineStr">
        <is>
          <t>Revenue, sales pipeline and CRM continuity</t>
        </is>
      </c>
      <c r="E263" s="13" t="inlineStr">
        <is>
          <t>How mature is the organization in managing sales forecast cadence connected to finance, delivery and supply planning, including ownership, evidence, metrics, fallback procedures and crisis stress testing?</t>
        </is>
      </c>
      <c r="F263" s="13" t="inlineStr">
        <is>
          <t>Immature capability for sales forecast cadence connected to finance, delivery and supply planning may lead to pipeline loss, poor customer retention, weak forecasting and inability to protect revenue channels during Demand shock; Revenue loss; Reputation crisis.</t>
        </is>
      </c>
      <c r="G263" s="13" t="inlineStr">
        <is>
          <t>Low maturity, weak ownership, incomplete evidence, insufficient testing and poor integration with crisis-management routines for sales forecast cadence connected to finance, delivery and supply planning.</t>
        </is>
      </c>
      <c r="H263" s="13" t="inlineStr">
        <is>
          <t>Severe risk: sales forecast cadence connected to finance, delivery and supply planning is not reliably controlled. During Demand shock; Revenue loss; Reputation crisis, the organization may face pipeline loss, poor customer retention, weak forecasting and inability to protect revenue channels with limited visibility or accountability.</t>
        </is>
      </c>
      <c r="I263" s="13" t="inlineStr">
        <is>
          <t>High risk: sales forecast cadence connected to finance, delivery and supply planning depends on informal practices or individual knowledge. Disruption may expose pipeline loss, poor customer retention, weak forecasting and inability to protect revenue channels and slow recovery.</t>
        </is>
      </c>
      <c r="J263" s="13" t="inlineStr">
        <is>
          <t>Elevated risk: sales forecast cadence connected to finance, delivery and supply planning is partially controlled, but coverage, evidence or testing is inconsistent. Crisis response may be fragmented.</t>
        </is>
      </c>
      <c r="K263" s="13" t="inlineStr">
        <is>
          <t>Moderate risk: sales forecast cadence connected to finance, delivery and supply planning is documented and owned, but measurement, stress testing and integration with dependent processes need strengthening.</t>
        </is>
      </c>
      <c r="L263" s="13" t="inlineStr">
        <is>
          <t>Residual risk: sales forecast cadence connected to finance, delivery and supply planning is measured and reviewed, but monitoring, automation or scenario testing should be improved to prevent maturity drift.</t>
        </is>
      </c>
      <c r="M263" s="13" t="inlineStr">
        <is>
          <t>Low residual risk: sales forecast cadence connected to finance, delivery and supply planning is mature and crisis-tested. Maintain monitoring, evidence, ownership and periodic stress testing.</t>
        </is>
      </c>
      <c r="N263" s="13" t="inlineStr">
        <is>
          <t>Create an immediate risk owner, minimum control baseline and fallback procedure for sales forecast cadence connected to finance, delivery and supply planning. Add it to the crisis risk register and collect first evidence.</t>
        </is>
      </c>
      <c r="O263" s="13" t="inlineStr">
        <is>
          <t>Document sales forecast cadence connected to finance, delivery and supply planning, assign RACI, define minimum controls and KPIs, and validate coverage across key sites, teams or systems.</t>
        </is>
      </c>
      <c r="P263" s="13" t="inlineStr">
        <is>
          <t>Standardize sales forecast cadence connected to finance, delivery and supply planning, close coverage gaps, train accountable roles and connect controls to the relevant crisis scenarios and continuity plans.</t>
        </is>
      </c>
      <c r="Q263" s="13" t="inlineStr">
        <is>
          <t>Measure and test sales forecast cadence connected to finance, delivery and supply planning, run tabletop or operational stress tests, integrate it with dependent processes and update crisis playbooks.</t>
        </is>
      </c>
      <c r="R263" s="13" t="inlineStr">
        <is>
          <t>Automate monitoring where practical, define leading indicators, run periodic scenario tests and track residual risk after each major change.</t>
        </is>
      </c>
      <c r="S263" s="13" t="inlineStr">
        <is>
          <t>Sustain maturity for sales forecast cadence connected to finance, delivery and supply planning: keep evidence current, monitor drift, benchmark externally and refresh risk tests after organizational, system or market changes.</t>
        </is>
      </c>
      <c r="T263" s="13" t="n">
        <v>3</v>
      </c>
      <c r="U263" s="13" t="n">
        <v>3</v>
      </c>
      <c r="V263" s="13" t="n">
        <v>2</v>
      </c>
      <c r="W263" s="13" t="n">
        <v>2</v>
      </c>
      <c r="X263" s="13" t="n">
        <v>1</v>
      </c>
      <c r="Y263" s="13" t="n">
        <v>1</v>
      </c>
      <c r="Z263" s="13" t="inlineStr">
        <is>
          <t>ISO 9001; ISO 10002; ISO 10004; RevOps; MEDDICC; customer success best practices</t>
        </is>
      </c>
      <c r="AA263" s="13" t="inlineStr">
        <is>
          <t>Policy/SOP; owner/RACI; system report; dashboard; contracts; test records; incident history; interview evidence related to sales forecast cadence connected to finance, delivery and supply planning.</t>
        </is>
      </c>
      <c r="AB263" s="13" t="inlineStr">
        <is>
          <t>Demand shock; Revenue loss; Reputation crisis</t>
        </is>
      </c>
      <c r="AC263" s="13" t="inlineStr">
        <is>
          <t>CCO / Sales Ops</t>
        </is>
      </c>
      <c r="AD263" s="13" t="inlineStr">
        <is>
          <t>Sales CRM!11</t>
        </is>
      </c>
      <c r="AE263">
        <f>IF($A263="","",IF(OR(ISNUMBER(SEARCH("cyber",$D263)),ISNUMBER(SEARCH("security",$D263)),ISNUMBER(SEARCH("safety",$D263)),ISNUMBER(SEARCH("liquidity",$D263)),ISNUMBER(SEARCH("cash",$D263)),ISNUMBER(SEARCH("continuity",$D263)),ISNUMBER(SEARCH("infrastructure",$D263)),ISNUMBER(SEARCH("outage",$D263))),"Fast",IF(OR(ISNUMBER(SEARCH("compliance",$D263)),ISNUMBER(SEARCH("regulat",$D263)),ISNUMBER(SEARCH("data",$D263)),ISNUMBER(SEARCH("talent",$D263)),ISNUMBER(SEARCH("knowledge",$D263)),ISNUMBER(SEARCH("portfolio",$D263)),ISNUMBER(SEARCH("quality",$D263))),"Slow","Medium")))</f>
        <v/>
      </c>
      <c r="AF263">
        <f>IF($A263="","",IFERROR(VLOOKUP($B263,'_CONFIG_Risk_Calibration'!$A$5:$H$21,2,FALSE),3))</f>
        <v/>
      </c>
      <c r="AG263">
        <f>IF($A263="","",IFERROR(VLOOKUP($B263,'_CONFIG_Risk_Calibration'!$A$5:$H$21,3,FALSE),0))</f>
        <v/>
      </c>
      <c r="AH263">
        <f>IF($A263="","",IFERROR(VLOOKUP($B263,'_CONFIG_Risk_Calibration'!$A$5:$H$21,4,FALSE),3))</f>
        <v/>
      </c>
      <c r="AI263">
        <f>IF($A263="","",IFERROR(VLOOKUP($B263,'_CONFIG_Risk_Calibration'!$A$5:$H$21,5,FALSE),3))</f>
        <v/>
      </c>
      <c r="AJ263">
        <f>IF($A263="","",IFERROR(VLOOKUP($B263,'_CONFIG_Risk_Calibration'!$A$5:$H$21,6,FALSE),"No"))</f>
        <v/>
      </c>
      <c r="AK263">
        <f>IF($A263="","",IFERROR(VLOOKUP($B263,'_CONFIG_Risk_Calibration'!$A$5:$H$21,7,FALSE),1))</f>
        <v/>
      </c>
      <c r="AL263">
        <f>IF($A263="","",IFERROR(VLOOKUP($B263,'_CONFIG_Risk_Calibration'!$A$5:$H$21,8,FALSE),""))</f>
        <v/>
      </c>
    </row>
    <row r="264" ht="72" customHeight="1" s="209">
      <c r="A264" s="13" t="inlineStr">
        <is>
          <t>SALE-009</t>
        </is>
      </c>
      <c r="B264" s="13" t="inlineStr">
        <is>
          <t>Sales CRM</t>
        </is>
      </c>
      <c r="C264" s="13" t="inlineStr">
        <is>
          <t>Pipeline and forecast</t>
        </is>
      </c>
      <c r="D264" s="13" t="inlineStr">
        <is>
          <t>Revenue, sales pipeline and CRM continuity</t>
        </is>
      </c>
      <c r="E264" s="13" t="inlineStr">
        <is>
          <t>How mature is the organization in managing sales forecast stress tests for delayed decisions, budget cuts and customer churn, including ownership, evidence, metrics, fallback procedures and crisis stress testing?</t>
        </is>
      </c>
      <c r="F264" s="13" t="inlineStr">
        <is>
          <t>Immature capability for sales forecast stress tests for delayed decisions, budget cuts and customer churn may lead to pipeline loss, poor customer retention, weak forecasting and inability to protect revenue channels during Demand shock; Revenue loss; Reputation crisis.</t>
        </is>
      </c>
      <c r="G264" s="13" t="inlineStr">
        <is>
          <t>Low maturity, weak ownership, incomplete evidence, insufficient testing and poor integration with crisis-management routines for sales forecast stress tests for delayed decisions, budget cuts and customer churn.</t>
        </is>
      </c>
      <c r="H264" s="13" t="inlineStr">
        <is>
          <t>Severe risk: sales forecast stress tests for delayed decisions, budget cuts and customer churn is not reliably controlled. During Demand shock; Revenue loss; Reputation crisis, the organization may face pipeline loss, poor customer retention, weak forecasting and inability to protect revenue channels with limited visibility or accountability.</t>
        </is>
      </c>
      <c r="I264" s="13" t="inlineStr">
        <is>
          <t>High risk: sales forecast stress tests for delayed decisions, budget cuts and customer churn depends on informal practices or individual knowledge. Disruption may expose pipeline loss, poor customer retention, weak forecasting and inability to protect revenue channels and slow recovery.</t>
        </is>
      </c>
      <c r="J264" s="13" t="inlineStr">
        <is>
          <t>Elevated risk: sales forecast stress tests for delayed decisions, budget cuts and customer churn is partially controlled, but coverage, evidence or testing is inconsistent. Crisis response may be fragmented.</t>
        </is>
      </c>
      <c r="K264" s="13" t="inlineStr">
        <is>
          <t>Moderate risk: sales forecast stress tests for delayed decisions, budget cuts and customer churn is documented and owned, but measurement, stress testing and integration with dependent processes need strengthening.</t>
        </is>
      </c>
      <c r="L264" s="13" t="inlineStr">
        <is>
          <t>Residual risk: sales forecast stress tests for delayed decisions, budget cuts and customer churn is measured and reviewed, but monitoring, automation or scenario testing should be improved to prevent maturity drift.</t>
        </is>
      </c>
      <c r="M264" s="13" t="inlineStr">
        <is>
          <t>Low residual risk: sales forecast stress tests for delayed decisions, budget cuts and customer churn is mature and crisis-tested. Maintain monitoring, evidence, ownership and periodic stress testing.</t>
        </is>
      </c>
      <c r="N264" s="13" t="inlineStr">
        <is>
          <t>Create an immediate risk owner, minimum control baseline and fallback procedure for sales forecast stress tests for delayed decisions, budget cuts and customer churn. Add it to the crisis risk register and collect first evidence.</t>
        </is>
      </c>
      <c r="O264" s="13" t="inlineStr">
        <is>
          <t>Document sales forecast stress tests for delayed decisions, budget cuts and customer churn, assign RACI, define minimum controls and KPIs, and validate coverage across key sites, teams or systems.</t>
        </is>
      </c>
      <c r="P264" s="13" t="inlineStr">
        <is>
          <t>Standardize sales forecast stress tests for delayed decisions, budget cuts and customer churn, close coverage gaps, train accountable roles and connect controls to the relevant crisis scenarios and continuity plans.</t>
        </is>
      </c>
      <c r="Q264" s="13" t="inlineStr">
        <is>
          <t>Measure and test sales forecast stress tests for delayed decisions, budget cuts and customer churn, run tabletop or operational stress tests, integrate it with dependent processes and update crisis playbooks.</t>
        </is>
      </c>
      <c r="R264" s="13" t="inlineStr">
        <is>
          <t>Automate monitoring where practical, define leading indicators, run periodic scenario tests and track residual risk after each major change.</t>
        </is>
      </c>
      <c r="S264" s="13" t="inlineStr">
        <is>
          <t>Sustain maturity for sales forecast stress tests for delayed decisions, budget cuts and customer churn: keep evidence current, monitor drift, benchmark externally and refresh risk tests after organizational, system or market changes.</t>
        </is>
      </c>
      <c r="T264" s="13" t="n">
        <v>3</v>
      </c>
      <c r="U264" s="13" t="n">
        <v>3</v>
      </c>
      <c r="V264" s="13" t="n">
        <v>2</v>
      </c>
      <c r="W264" s="13" t="n">
        <v>2</v>
      </c>
      <c r="X264" s="13" t="n">
        <v>1</v>
      </c>
      <c r="Y264" s="13" t="n">
        <v>1</v>
      </c>
      <c r="Z264" s="13" t="inlineStr">
        <is>
          <t>ISO 9001; ISO 10002; ISO 10004; RevOps; MEDDICC; customer success best practices</t>
        </is>
      </c>
      <c r="AA264" s="13" t="inlineStr">
        <is>
          <t>Policy/SOP; owner/RACI; system report; dashboard; contracts; test records; incident history; interview evidence related to sales forecast stress tests for delayed decisions, budget cuts and customer churn.</t>
        </is>
      </c>
      <c r="AB264" s="13" t="inlineStr">
        <is>
          <t>Demand shock; Revenue loss; Reputation crisis</t>
        </is>
      </c>
      <c r="AC264" s="13" t="inlineStr">
        <is>
          <t>CCO / Sales Ops</t>
        </is>
      </c>
      <c r="AD264" s="13" t="inlineStr">
        <is>
          <t>Sales CRM!12</t>
        </is>
      </c>
      <c r="AE264">
        <f>IF($A264="","",IF(OR(ISNUMBER(SEARCH("cyber",$D264)),ISNUMBER(SEARCH("security",$D264)),ISNUMBER(SEARCH("safety",$D264)),ISNUMBER(SEARCH("liquidity",$D264)),ISNUMBER(SEARCH("cash",$D264)),ISNUMBER(SEARCH("continuity",$D264)),ISNUMBER(SEARCH("infrastructure",$D264)),ISNUMBER(SEARCH("outage",$D264))),"Fast",IF(OR(ISNUMBER(SEARCH("compliance",$D264)),ISNUMBER(SEARCH("regulat",$D264)),ISNUMBER(SEARCH("data",$D264)),ISNUMBER(SEARCH("talent",$D264)),ISNUMBER(SEARCH("knowledge",$D264)),ISNUMBER(SEARCH("portfolio",$D264)),ISNUMBER(SEARCH("quality",$D264))),"Slow","Medium")))</f>
        <v/>
      </c>
      <c r="AF264">
        <f>IF($A264="","",IFERROR(VLOOKUP($B264,'_CONFIG_Risk_Calibration'!$A$5:$H$21,2,FALSE),3))</f>
        <v/>
      </c>
      <c r="AG264">
        <f>IF($A264="","",IFERROR(VLOOKUP($B264,'_CONFIG_Risk_Calibration'!$A$5:$H$21,3,FALSE),0))</f>
        <v/>
      </c>
      <c r="AH264">
        <f>IF($A264="","",IFERROR(VLOOKUP($B264,'_CONFIG_Risk_Calibration'!$A$5:$H$21,4,FALSE),3))</f>
        <v/>
      </c>
      <c r="AI264">
        <f>IF($A264="","",IFERROR(VLOOKUP($B264,'_CONFIG_Risk_Calibration'!$A$5:$H$21,5,FALSE),3))</f>
        <v/>
      </c>
      <c r="AJ264">
        <f>IF($A264="","",IFERROR(VLOOKUP($B264,'_CONFIG_Risk_Calibration'!$A$5:$H$21,6,FALSE),"No"))</f>
        <v/>
      </c>
      <c r="AK264">
        <f>IF($A264="","",IFERROR(VLOOKUP($B264,'_CONFIG_Risk_Calibration'!$A$5:$H$21,7,FALSE),1))</f>
        <v/>
      </c>
      <c r="AL264">
        <f>IF($A264="","",IFERROR(VLOOKUP($B264,'_CONFIG_Risk_Calibration'!$A$5:$H$21,8,FALSE),""))</f>
        <v/>
      </c>
    </row>
    <row r="265" ht="72" customHeight="1" s="209">
      <c r="A265" s="13" t="inlineStr">
        <is>
          <t>SALE-010</t>
        </is>
      </c>
      <c r="B265" s="13" t="inlineStr">
        <is>
          <t>Sales CRM</t>
        </is>
      </c>
      <c r="C265" s="13" t="inlineStr">
        <is>
          <t>Pipeline and forecast</t>
        </is>
      </c>
      <c r="D265" s="13" t="inlineStr">
        <is>
          <t>Revenue, sales pipeline and CRM continuity</t>
        </is>
      </c>
      <c r="E265" s="13" t="inlineStr">
        <is>
          <t>How mature is the organization in managing sales analytics by conversion, cycle time, win rate, deal size, margin and loss reason, including ownership, evidence, metrics, fallback procedures and crisis stress testing?</t>
        </is>
      </c>
      <c r="F265" s="13" t="inlineStr">
        <is>
          <t>Immature capability for sales analytics by conversion, cycle time, win rate, deal size, margin and loss reason may lead to pipeline loss, poor customer retention, weak forecasting and inability to protect revenue channels during Demand shock; Revenue loss; Reputation crisis.</t>
        </is>
      </c>
      <c r="G265" s="13" t="inlineStr">
        <is>
          <t>Low maturity, weak ownership, incomplete evidence, insufficient testing and poor integration with crisis-management routines for sales analytics by conversion, cycle time, win rate, deal size, margin and loss reason.</t>
        </is>
      </c>
      <c r="H265" s="13" t="inlineStr">
        <is>
          <t>Severe risk: sales analytics by conversion, cycle time, win rate, deal size, margin and loss reason is not reliably controlled. During Demand shock; Revenue loss; Reputation crisis, the organization may face pipeline loss, poor customer retention, weak forecasting and inability to protect revenue channels with limited visibility or accountability.</t>
        </is>
      </c>
      <c r="I265" s="13" t="inlineStr">
        <is>
          <t>High risk: sales analytics by conversion, cycle time, win rate, deal size, margin and loss reason depends on informal practices or individual knowledge. Disruption may expose pipeline loss, poor customer retention, weak forecasting and inability to protect revenue channels and slow recovery.</t>
        </is>
      </c>
      <c r="J265" s="13" t="inlineStr">
        <is>
          <t>Elevated risk: sales analytics by conversion, cycle time, win rate, deal size, margin and loss reason is partially controlled, but coverage, evidence or testing is inconsistent. Crisis response may be fragmented.</t>
        </is>
      </c>
      <c r="K265" s="13" t="inlineStr">
        <is>
          <t>Moderate risk: sales analytics by conversion, cycle time, win rate, deal size, margin and loss reason is documented and owned, but measurement, stress testing and integration with dependent processes need strengthening.</t>
        </is>
      </c>
      <c r="L265" s="13" t="inlineStr">
        <is>
          <t>Residual risk: sales analytics by conversion, cycle time, win rate, deal size, margin and loss reason is measured and reviewed, but monitoring, automation or scenario testing should be improved to prevent maturity drift.</t>
        </is>
      </c>
      <c r="M265" s="13" t="inlineStr">
        <is>
          <t>Low residual risk: sales analytics by conversion, cycle time, win rate, deal size, margin and loss reason is mature and crisis-tested. Maintain monitoring, evidence, ownership and periodic stress testing.</t>
        </is>
      </c>
      <c r="N265" s="13" t="inlineStr">
        <is>
          <t>Create an immediate risk owner, minimum control baseline and fallback procedure for sales analytics by conversion, cycle time, win rate, deal size, margin and loss reason. Add it to the crisis risk register and collect first evidence.</t>
        </is>
      </c>
      <c r="O265" s="13" t="inlineStr">
        <is>
          <t>Document sales analytics by conversion, cycle time, win rate, deal size, margin and loss reason, assign RACI, define minimum controls and KPIs, and validate coverage across key sites, teams or systems.</t>
        </is>
      </c>
      <c r="P265" s="13" t="inlineStr">
        <is>
          <t>Standardize sales analytics by conversion, cycle time, win rate, deal size, margin and loss reason, close coverage gaps, train accountable roles and connect controls to the relevant crisis scenarios and continuity plans.</t>
        </is>
      </c>
      <c r="Q265" s="13" t="inlineStr">
        <is>
          <t>Measure and test sales analytics by conversion, cycle time, win rate, deal size, margin and loss reason, run tabletop or operational stress tests, integrate it with dependent processes and update crisis playbooks.</t>
        </is>
      </c>
      <c r="R265" s="13" t="inlineStr">
        <is>
          <t>Automate monitoring where practical, define leading indicators, run periodic scenario tests and track residual risk after each major change.</t>
        </is>
      </c>
      <c r="S265" s="13" t="inlineStr">
        <is>
          <t>Sustain maturity for sales analytics by conversion, cycle time, win rate, deal size, margin and loss reason: keep evidence current, monitor drift, benchmark externally and refresh risk tests after organizational, system or market changes.</t>
        </is>
      </c>
      <c r="T265" s="13" t="n">
        <v>3</v>
      </c>
      <c r="U265" s="13" t="n">
        <v>3</v>
      </c>
      <c r="V265" s="13" t="n">
        <v>2</v>
      </c>
      <c r="W265" s="13" t="n">
        <v>2</v>
      </c>
      <c r="X265" s="13" t="n">
        <v>1</v>
      </c>
      <c r="Y265" s="13" t="n">
        <v>1</v>
      </c>
      <c r="Z265" s="13" t="inlineStr">
        <is>
          <t>ISO 9001; ISO 10002; ISO 10004; RevOps; MEDDICC; customer success best practices</t>
        </is>
      </c>
      <c r="AA265" s="13" t="inlineStr">
        <is>
          <t>Policy/SOP; owner/RACI; system report; dashboard; contracts; test records; incident history; interview evidence related to sales analytics by conversion, cycle time, win rate, deal size, margin and loss reason.</t>
        </is>
      </c>
      <c r="AB265" s="13" t="inlineStr">
        <is>
          <t>Demand shock; Revenue loss; Reputation crisis</t>
        </is>
      </c>
      <c r="AC265" s="13" t="inlineStr">
        <is>
          <t>CCO / Sales Ops</t>
        </is>
      </c>
      <c r="AD265" s="13" t="inlineStr">
        <is>
          <t>Sales CRM!13</t>
        </is>
      </c>
      <c r="AE265">
        <f>IF($A265="","",IF(OR(ISNUMBER(SEARCH("cyber",$D265)),ISNUMBER(SEARCH("security",$D265)),ISNUMBER(SEARCH("safety",$D265)),ISNUMBER(SEARCH("liquidity",$D265)),ISNUMBER(SEARCH("cash",$D265)),ISNUMBER(SEARCH("continuity",$D265)),ISNUMBER(SEARCH("infrastructure",$D265)),ISNUMBER(SEARCH("outage",$D265))),"Fast",IF(OR(ISNUMBER(SEARCH("compliance",$D265)),ISNUMBER(SEARCH("regulat",$D265)),ISNUMBER(SEARCH("data",$D265)),ISNUMBER(SEARCH("talent",$D265)),ISNUMBER(SEARCH("knowledge",$D265)),ISNUMBER(SEARCH("portfolio",$D265)),ISNUMBER(SEARCH("quality",$D265))),"Slow","Medium")))</f>
        <v/>
      </c>
      <c r="AF265">
        <f>IF($A265="","",IFERROR(VLOOKUP($B265,'_CONFIG_Risk_Calibration'!$A$5:$H$21,2,FALSE),3))</f>
        <v/>
      </c>
      <c r="AG265">
        <f>IF($A265="","",IFERROR(VLOOKUP($B265,'_CONFIG_Risk_Calibration'!$A$5:$H$21,3,FALSE),0))</f>
        <v/>
      </c>
      <c r="AH265">
        <f>IF($A265="","",IFERROR(VLOOKUP($B265,'_CONFIG_Risk_Calibration'!$A$5:$H$21,4,FALSE),3))</f>
        <v/>
      </c>
      <c r="AI265">
        <f>IF($A265="","",IFERROR(VLOOKUP($B265,'_CONFIG_Risk_Calibration'!$A$5:$H$21,5,FALSE),3))</f>
        <v/>
      </c>
      <c r="AJ265">
        <f>IF($A265="","",IFERROR(VLOOKUP($B265,'_CONFIG_Risk_Calibration'!$A$5:$H$21,6,FALSE),"No"))</f>
        <v/>
      </c>
      <c r="AK265">
        <f>IF($A265="","",IFERROR(VLOOKUP($B265,'_CONFIG_Risk_Calibration'!$A$5:$H$21,7,FALSE),1))</f>
        <v/>
      </c>
      <c r="AL265">
        <f>IF($A265="","",IFERROR(VLOOKUP($B265,'_CONFIG_Risk_Calibration'!$A$5:$H$21,8,FALSE),""))</f>
        <v/>
      </c>
    </row>
    <row r="266" ht="72" customHeight="1" s="209">
      <c r="A266" s="13" t="inlineStr">
        <is>
          <t>SALE-011</t>
        </is>
      </c>
      <c r="B266" s="13" t="inlineStr">
        <is>
          <t>Sales CRM</t>
        </is>
      </c>
      <c r="C266" s="13" t="inlineStr">
        <is>
          <t>Customer continuity</t>
        </is>
      </c>
      <c r="D266" s="13" t="inlineStr">
        <is>
          <t>Revenue, sales pipeline and CRM continuity</t>
        </is>
      </c>
      <c r="E266" s="13" t="inlineStr">
        <is>
          <t>How mature is the organization in managing customer health scoring using usage, satisfaction, payment behavior, delivery issues and engagement, including ownership, evidence, metrics, fallback procedures and crisis stress testing?</t>
        </is>
      </c>
      <c r="F266" s="13" t="inlineStr">
        <is>
          <t>Immature capability for customer health scoring using usage, satisfaction, payment behavior, delivery issues and engagement may lead to pipeline loss, poor customer retention, weak forecasting and inability to protect revenue channels during Demand shock; Revenue loss; Reputation crisis.</t>
        </is>
      </c>
      <c r="G266" s="13" t="inlineStr">
        <is>
          <t>Low maturity, weak ownership, incomplete evidence, insufficient testing and poor integration with crisis-management routines for customer health scoring using usage, satisfaction, payment behavior, delivery issues and engagement.</t>
        </is>
      </c>
      <c r="H266" s="13" t="inlineStr">
        <is>
          <t>Severe risk: customer health scoring using usage, satisfaction, payment behavior, delivery issues and engagement is not reliably controlled. During Demand shock; Revenue loss; Reputation crisis, the organization may face pipeline loss, poor customer retention, weak forecasting and inability to protect revenue channels with limited visibility or accountability.</t>
        </is>
      </c>
      <c r="I266" s="13" t="inlineStr">
        <is>
          <t>High risk: customer health scoring using usage, satisfaction, payment behavior, delivery issues and engagement depends on informal practices or individual knowledge. Disruption may expose pipeline loss, poor customer retention, weak forecasting and inability to protect revenue channels and slow recovery.</t>
        </is>
      </c>
      <c r="J266" s="13" t="inlineStr">
        <is>
          <t>Elevated risk: customer health scoring using usage, satisfaction, payment behavior, delivery issues and engagement is partially controlled, but coverage, evidence or testing is inconsistent. Crisis response may be fragmented.</t>
        </is>
      </c>
      <c r="K266" s="13" t="inlineStr">
        <is>
          <t>Moderate risk: customer health scoring using usage, satisfaction, payment behavior, delivery issues and engagement is documented and owned, but measurement, stress testing and integration with dependent processes need strengthening.</t>
        </is>
      </c>
      <c r="L266" s="13" t="inlineStr">
        <is>
          <t>Residual risk: customer health scoring using usage, satisfaction, payment behavior, delivery issues and engagement is measured and reviewed, but monitoring, automation or scenario testing should be improved to prevent maturity drift.</t>
        </is>
      </c>
      <c r="M266" s="13" t="inlineStr">
        <is>
          <t>Low residual risk: customer health scoring using usage, satisfaction, payment behavior, delivery issues and engagement is mature and crisis-tested. Maintain monitoring, evidence, ownership and periodic stress testing.</t>
        </is>
      </c>
      <c r="N266" s="13" t="inlineStr">
        <is>
          <t>Create an immediate risk owner, minimum control baseline and fallback procedure for customer health scoring using usage, satisfaction, payment behavior, delivery issues and engagement. Add it to the crisis risk register and collect first evidence.</t>
        </is>
      </c>
      <c r="O266" s="13" t="inlineStr">
        <is>
          <t>Document customer health scoring using usage, satisfaction, payment behavior, delivery issues and engagement, assign RACI, define minimum controls and KPIs, and validate coverage across key sites, teams or systems.</t>
        </is>
      </c>
      <c r="P266" s="13" t="inlineStr">
        <is>
          <t>Standardize customer health scoring using usage, satisfaction, payment behavior, delivery issues and engagement, close coverage gaps, train accountable roles and connect controls to the relevant crisis scenarios and continuity plans.</t>
        </is>
      </c>
      <c r="Q266" s="13" t="inlineStr">
        <is>
          <t>Measure and test customer health scoring using usage, satisfaction, payment behavior, delivery issues and engagement, run tabletop or operational stress tests, integrate it with dependent processes and update crisis playbooks.</t>
        </is>
      </c>
      <c r="R266" s="13" t="inlineStr">
        <is>
          <t>Automate monitoring where practical, define leading indicators, run periodic scenario tests and track residual risk after each major change.</t>
        </is>
      </c>
      <c r="S266" s="13" t="inlineStr">
        <is>
          <t>Sustain maturity for customer health scoring using usage, satisfaction, payment behavior, delivery issues and engagement: keep evidence current, monitor drift, benchmark externally and refresh risk tests after organizational, system or market changes.</t>
        </is>
      </c>
      <c r="T266" s="13" t="n">
        <v>3</v>
      </c>
      <c r="U266" s="13" t="n">
        <v>3</v>
      </c>
      <c r="V266" s="13" t="n">
        <v>2</v>
      </c>
      <c r="W266" s="13" t="n">
        <v>2</v>
      </c>
      <c r="X266" s="13" t="n">
        <v>1</v>
      </c>
      <c r="Y266" s="13" t="n">
        <v>1</v>
      </c>
      <c r="Z266" s="13" t="inlineStr">
        <is>
          <t>ISO 9001; ISO 10002; ISO 10004; RevOps; MEDDICC; customer success best practices</t>
        </is>
      </c>
      <c r="AA266" s="13" t="inlineStr">
        <is>
          <t>Policy/SOP; owner/RACI; system report; dashboard; contracts; test records; incident history; interview evidence related to customer health scoring using usage, satisfaction, payment behavior, delivery issues and engagement.</t>
        </is>
      </c>
      <c r="AB266" s="13" t="inlineStr">
        <is>
          <t>Demand shock; Revenue loss; Reputation crisis</t>
        </is>
      </c>
      <c r="AC266" s="13" t="inlineStr">
        <is>
          <t>CCO / Sales Ops</t>
        </is>
      </c>
      <c r="AD266" s="13" t="inlineStr">
        <is>
          <t>Sales CRM!14</t>
        </is>
      </c>
      <c r="AE266">
        <f>IF($A266="","",IF(OR(ISNUMBER(SEARCH("cyber",$D266)),ISNUMBER(SEARCH("security",$D266)),ISNUMBER(SEARCH("safety",$D266)),ISNUMBER(SEARCH("liquidity",$D266)),ISNUMBER(SEARCH("cash",$D266)),ISNUMBER(SEARCH("continuity",$D266)),ISNUMBER(SEARCH("infrastructure",$D266)),ISNUMBER(SEARCH("outage",$D266))),"Fast",IF(OR(ISNUMBER(SEARCH("compliance",$D266)),ISNUMBER(SEARCH("regulat",$D266)),ISNUMBER(SEARCH("data",$D266)),ISNUMBER(SEARCH("talent",$D266)),ISNUMBER(SEARCH("knowledge",$D266)),ISNUMBER(SEARCH("portfolio",$D266)),ISNUMBER(SEARCH("quality",$D266))),"Slow","Medium")))</f>
        <v/>
      </c>
      <c r="AF266">
        <f>IF($A266="","",IFERROR(VLOOKUP($B266,'_CONFIG_Risk_Calibration'!$A$5:$H$21,2,FALSE),3))</f>
        <v/>
      </c>
      <c r="AG266">
        <f>IF($A266="","",IFERROR(VLOOKUP($B266,'_CONFIG_Risk_Calibration'!$A$5:$H$21,3,FALSE),0))</f>
        <v/>
      </c>
      <c r="AH266">
        <f>IF($A266="","",IFERROR(VLOOKUP($B266,'_CONFIG_Risk_Calibration'!$A$5:$H$21,4,FALSE),3))</f>
        <v/>
      </c>
      <c r="AI266">
        <f>IF($A266="","",IFERROR(VLOOKUP($B266,'_CONFIG_Risk_Calibration'!$A$5:$H$21,5,FALSE),3))</f>
        <v/>
      </c>
      <c r="AJ266">
        <f>IF($A266="","",IFERROR(VLOOKUP($B266,'_CONFIG_Risk_Calibration'!$A$5:$H$21,6,FALSE),"No"))</f>
        <v/>
      </c>
      <c r="AK266">
        <f>IF($A266="","",IFERROR(VLOOKUP($B266,'_CONFIG_Risk_Calibration'!$A$5:$H$21,7,FALSE),1))</f>
        <v/>
      </c>
      <c r="AL266">
        <f>IF($A266="","",IFERROR(VLOOKUP($B266,'_CONFIG_Risk_Calibration'!$A$5:$H$21,8,FALSE),""))</f>
        <v/>
      </c>
    </row>
    <row r="267" ht="72" customHeight="1" s="209">
      <c r="A267" s="13" t="inlineStr">
        <is>
          <t>SALE-012</t>
        </is>
      </c>
      <c r="B267" s="13" t="inlineStr">
        <is>
          <t>Sales CRM</t>
        </is>
      </c>
      <c r="C267" s="13" t="inlineStr">
        <is>
          <t>Customer continuity</t>
        </is>
      </c>
      <c r="D267" s="13" t="inlineStr">
        <is>
          <t>Revenue, sales pipeline and CRM continuity</t>
        </is>
      </c>
      <c r="E267" s="13" t="inlineStr">
        <is>
          <t>How mature is the organization in managing churn risk identification, prioritization and mitigation actions, including ownership, evidence, metrics, fallback procedures and crisis stress testing?</t>
        </is>
      </c>
      <c r="F267" s="13" t="inlineStr">
        <is>
          <t>Immature capability for churn risk identification, prioritization and mitigation actions may lead to pipeline loss, poor customer retention, weak forecasting and inability to protect revenue channels during Demand shock; Revenue loss; Reputation crisis.</t>
        </is>
      </c>
      <c r="G267" s="13" t="inlineStr">
        <is>
          <t>Low maturity, weak ownership, incomplete evidence, insufficient testing and poor integration with crisis-management routines for churn risk identification, prioritization and mitigation actions.</t>
        </is>
      </c>
      <c r="H267" s="13" t="inlineStr">
        <is>
          <t>Severe risk: churn risk identification, prioritization and mitigation actions is not reliably controlled. During Demand shock; Revenue loss; Reputation crisis, the organization may face pipeline loss, poor customer retention, weak forecasting and inability to protect revenue channels with limited visibility or accountability.</t>
        </is>
      </c>
      <c r="I267" s="13" t="inlineStr">
        <is>
          <t>High risk: churn risk identification, prioritization and mitigation actions depends on informal practices or individual knowledge. Disruption may expose pipeline loss, poor customer retention, weak forecasting and inability to protect revenue channels and slow recovery.</t>
        </is>
      </c>
      <c r="J267" s="13" t="inlineStr">
        <is>
          <t>Elevated risk: churn risk identification, prioritization and mitigation actions is partially controlled, but coverage, evidence or testing is inconsistent. Crisis response may be fragmented.</t>
        </is>
      </c>
      <c r="K267" s="13" t="inlineStr">
        <is>
          <t>Moderate risk: churn risk identification, prioritization and mitigation actions is documented and owned, but measurement, stress testing and integration with dependent processes need strengthening.</t>
        </is>
      </c>
      <c r="L267" s="13" t="inlineStr">
        <is>
          <t>Residual risk: churn risk identification, prioritization and mitigation actions is measured and reviewed, but monitoring, automation or scenario testing should be improved to prevent maturity drift.</t>
        </is>
      </c>
      <c r="M267" s="13" t="inlineStr">
        <is>
          <t>Low residual risk: churn risk identification, prioritization and mitigation actions is mature and crisis-tested. Maintain monitoring, evidence, ownership and periodic stress testing.</t>
        </is>
      </c>
      <c r="N267" s="13" t="inlineStr">
        <is>
          <t>Create an immediate risk owner, minimum control baseline and fallback procedure for churn risk identification, prioritization and mitigation actions. Add it to the crisis risk register and collect first evidence.</t>
        </is>
      </c>
      <c r="O267" s="13" t="inlineStr">
        <is>
          <t>Document churn risk identification, prioritization and mitigation actions, assign RACI, define minimum controls and KPIs, and validate coverage across key sites, teams or systems.</t>
        </is>
      </c>
      <c r="P267" s="13" t="inlineStr">
        <is>
          <t>Standardize churn risk identification, prioritization and mitigation actions, close coverage gaps, train accountable roles and connect controls to the relevant crisis scenarios and continuity plans.</t>
        </is>
      </c>
      <c r="Q267" s="13" t="inlineStr">
        <is>
          <t>Measure and test churn risk identification, prioritization and mitigation actions, run tabletop or operational stress tests, integrate it with dependent processes and update crisis playbooks.</t>
        </is>
      </c>
      <c r="R267" s="13" t="inlineStr">
        <is>
          <t>Automate monitoring where practical, define leading indicators, run periodic scenario tests and track residual risk after each major change.</t>
        </is>
      </c>
      <c r="S267" s="13" t="inlineStr">
        <is>
          <t>Sustain maturity for churn risk identification, prioritization and mitigation actions: keep evidence current, monitor drift, benchmark externally and refresh risk tests after organizational, system or market changes.</t>
        </is>
      </c>
      <c r="T267" s="13" t="n">
        <v>3</v>
      </c>
      <c r="U267" s="13" t="n">
        <v>3</v>
      </c>
      <c r="V267" s="13" t="n">
        <v>2</v>
      </c>
      <c r="W267" s="13" t="n">
        <v>2</v>
      </c>
      <c r="X267" s="13" t="n">
        <v>1</v>
      </c>
      <c r="Y267" s="13" t="n">
        <v>1</v>
      </c>
      <c r="Z267" s="13" t="inlineStr">
        <is>
          <t>ISO 9001; ISO 10002; ISO 10004; RevOps; MEDDICC; customer success best practices</t>
        </is>
      </c>
      <c r="AA267" s="13" t="inlineStr">
        <is>
          <t>Policy/SOP; owner/RACI; system report; dashboard; contracts; test records; incident history; interview evidence related to churn risk identification, prioritization and mitigation actions.</t>
        </is>
      </c>
      <c r="AB267" s="13" t="inlineStr">
        <is>
          <t>Demand shock; Revenue loss; Reputation crisis</t>
        </is>
      </c>
      <c r="AC267" s="13" t="inlineStr">
        <is>
          <t>CCO / Sales Ops</t>
        </is>
      </c>
      <c r="AD267" s="13" t="inlineStr">
        <is>
          <t>Sales CRM!15</t>
        </is>
      </c>
      <c r="AE267">
        <f>IF($A267="","",IF(OR(ISNUMBER(SEARCH("cyber",$D267)),ISNUMBER(SEARCH("security",$D267)),ISNUMBER(SEARCH("safety",$D267)),ISNUMBER(SEARCH("liquidity",$D267)),ISNUMBER(SEARCH("cash",$D267)),ISNUMBER(SEARCH("continuity",$D267)),ISNUMBER(SEARCH("infrastructure",$D267)),ISNUMBER(SEARCH("outage",$D267))),"Fast",IF(OR(ISNUMBER(SEARCH("compliance",$D267)),ISNUMBER(SEARCH("regulat",$D267)),ISNUMBER(SEARCH("data",$D267)),ISNUMBER(SEARCH("talent",$D267)),ISNUMBER(SEARCH("knowledge",$D267)),ISNUMBER(SEARCH("portfolio",$D267)),ISNUMBER(SEARCH("quality",$D267))),"Slow","Medium")))</f>
        <v/>
      </c>
      <c r="AF267">
        <f>IF($A267="","",IFERROR(VLOOKUP($B267,'_CONFIG_Risk_Calibration'!$A$5:$H$21,2,FALSE),3))</f>
        <v/>
      </c>
      <c r="AG267">
        <f>IF($A267="","",IFERROR(VLOOKUP($B267,'_CONFIG_Risk_Calibration'!$A$5:$H$21,3,FALSE),0))</f>
        <v/>
      </c>
      <c r="AH267">
        <f>IF($A267="","",IFERROR(VLOOKUP($B267,'_CONFIG_Risk_Calibration'!$A$5:$H$21,4,FALSE),3))</f>
        <v/>
      </c>
      <c r="AI267">
        <f>IF($A267="","",IFERROR(VLOOKUP($B267,'_CONFIG_Risk_Calibration'!$A$5:$H$21,5,FALSE),3))</f>
        <v/>
      </c>
      <c r="AJ267">
        <f>IF($A267="","",IFERROR(VLOOKUP($B267,'_CONFIG_Risk_Calibration'!$A$5:$H$21,6,FALSE),"No"))</f>
        <v/>
      </c>
      <c r="AK267">
        <f>IF($A267="","",IFERROR(VLOOKUP($B267,'_CONFIG_Risk_Calibration'!$A$5:$H$21,7,FALSE),1))</f>
        <v/>
      </c>
      <c r="AL267">
        <f>IF($A267="","",IFERROR(VLOOKUP($B267,'_CONFIG_Risk_Calibration'!$A$5:$H$21,8,FALSE),""))</f>
        <v/>
      </c>
    </row>
    <row r="268" ht="60" customHeight="1" s="209">
      <c r="A268" s="13" t="inlineStr">
        <is>
          <t>SALE-013</t>
        </is>
      </c>
      <c r="B268" s="13" t="inlineStr">
        <is>
          <t>Sales CRM</t>
        </is>
      </c>
      <c r="C268" s="13" t="inlineStr">
        <is>
          <t>Customer continuity</t>
        </is>
      </c>
      <c r="D268" s="13" t="inlineStr">
        <is>
          <t>Revenue, sales pipeline and CRM continuity</t>
        </is>
      </c>
      <c r="E268" s="13" t="inlineStr">
        <is>
          <t>How mature is the organization in managing renewal calendar and proactive renewal process, including ownership, evidence, metrics, fallback procedures and crisis stress testing?</t>
        </is>
      </c>
      <c r="F268" s="13" t="inlineStr">
        <is>
          <t>Immature capability for renewal calendar and proactive renewal process may lead to pipeline loss, poor customer retention, weak forecasting and inability to protect revenue channels during Demand shock; Revenue loss; Reputation crisis.</t>
        </is>
      </c>
      <c r="G268" s="13" t="inlineStr">
        <is>
          <t>Low maturity, weak ownership, incomplete evidence, insufficient testing and poor integration with crisis-management routines for renewal calendar and proactive renewal process.</t>
        </is>
      </c>
      <c r="H268" s="13" t="inlineStr">
        <is>
          <t>Severe risk: renewal calendar and proactive renewal process is not reliably controlled. During Demand shock; Revenue loss; Reputation crisis, the organization may face pipeline loss, poor customer retention, weak forecasting and inability to protect revenue channels with limited visibility or accountability.</t>
        </is>
      </c>
      <c r="I268" s="13" t="inlineStr">
        <is>
          <t>High risk: renewal calendar and proactive renewal process depends on informal practices or individual knowledge. Disruption may expose pipeline loss, poor customer retention, weak forecasting and inability to protect revenue channels and slow recovery.</t>
        </is>
      </c>
      <c r="J268" s="13" t="inlineStr">
        <is>
          <t>Elevated risk: renewal calendar and proactive renewal process is partially controlled, but coverage, evidence or testing is inconsistent. Crisis response may be fragmented.</t>
        </is>
      </c>
      <c r="K268" s="13" t="inlineStr">
        <is>
          <t>Moderate risk: renewal calendar and proactive renewal process is documented and owned, but measurement, stress testing and integration with dependent processes need strengthening.</t>
        </is>
      </c>
      <c r="L268" s="13" t="inlineStr">
        <is>
          <t>Residual risk: renewal calendar and proactive renewal process is measured and reviewed, but monitoring, automation or scenario testing should be improved to prevent maturity drift.</t>
        </is>
      </c>
      <c r="M268" s="13" t="inlineStr">
        <is>
          <t>Low residual risk: renewal calendar and proactive renewal process is mature and crisis-tested. Maintain monitoring, evidence, ownership and periodic stress testing.</t>
        </is>
      </c>
      <c r="N268" s="13" t="inlineStr">
        <is>
          <t>Create an immediate risk owner, minimum control baseline and fallback procedure for renewal calendar and proactive renewal process. Add it to the crisis risk register and collect first evidence.</t>
        </is>
      </c>
      <c r="O268" s="13" t="inlineStr">
        <is>
          <t>Document renewal calendar and proactive renewal process, assign RACI, define minimum controls and KPIs, and validate coverage across key sites, teams or systems.</t>
        </is>
      </c>
      <c r="P268" s="13" t="inlineStr">
        <is>
          <t>Standardize renewal calendar and proactive renewal process, close coverage gaps, train accountable roles and connect controls to the relevant crisis scenarios and continuity plans.</t>
        </is>
      </c>
      <c r="Q268" s="13" t="inlineStr">
        <is>
          <t>Measure and test renewal calendar and proactive renewal process, run tabletop or operational stress tests, integrate it with dependent processes and update crisis playbooks.</t>
        </is>
      </c>
      <c r="R268" s="13" t="inlineStr">
        <is>
          <t>Automate monitoring where practical, define leading indicators, run periodic scenario tests and track residual risk after each major change.</t>
        </is>
      </c>
      <c r="S268" s="13" t="inlineStr">
        <is>
          <t>Sustain maturity for renewal calendar and proactive renewal process: keep evidence current, monitor drift, benchmark externally and refresh risk tests after organizational, system or market changes.</t>
        </is>
      </c>
      <c r="T268" s="13" t="n">
        <v>3</v>
      </c>
      <c r="U268" s="13" t="n">
        <v>3</v>
      </c>
      <c r="V268" s="13" t="n">
        <v>2</v>
      </c>
      <c r="W268" s="13" t="n">
        <v>2</v>
      </c>
      <c r="X268" s="13" t="n">
        <v>1</v>
      </c>
      <c r="Y268" s="13" t="n">
        <v>1</v>
      </c>
      <c r="Z268" s="13" t="inlineStr">
        <is>
          <t>ISO 9001; ISO 10002; ISO 10004; RevOps; MEDDICC; customer success best practices</t>
        </is>
      </c>
      <c r="AA268" s="13" t="inlineStr">
        <is>
          <t>Policy/SOP; owner/RACI; system report; dashboard; contracts; test records; incident history; interview evidence related to renewal calendar and proactive renewal process.</t>
        </is>
      </c>
      <c r="AB268" s="13" t="inlineStr">
        <is>
          <t>Demand shock; Revenue loss; Reputation crisis</t>
        </is>
      </c>
      <c r="AC268" s="13" t="inlineStr">
        <is>
          <t>CCO / Sales Ops</t>
        </is>
      </c>
      <c r="AD268" s="13" t="inlineStr">
        <is>
          <t>Sales CRM!16</t>
        </is>
      </c>
      <c r="AE268">
        <f>IF($A268="","",IF(OR(ISNUMBER(SEARCH("cyber",$D268)),ISNUMBER(SEARCH("security",$D268)),ISNUMBER(SEARCH("safety",$D268)),ISNUMBER(SEARCH("liquidity",$D268)),ISNUMBER(SEARCH("cash",$D268)),ISNUMBER(SEARCH("continuity",$D268)),ISNUMBER(SEARCH("infrastructure",$D268)),ISNUMBER(SEARCH("outage",$D268))),"Fast",IF(OR(ISNUMBER(SEARCH("compliance",$D268)),ISNUMBER(SEARCH("regulat",$D268)),ISNUMBER(SEARCH("data",$D268)),ISNUMBER(SEARCH("talent",$D268)),ISNUMBER(SEARCH("knowledge",$D268)),ISNUMBER(SEARCH("portfolio",$D268)),ISNUMBER(SEARCH("quality",$D268))),"Slow","Medium")))</f>
        <v/>
      </c>
      <c r="AF268">
        <f>IF($A268="","",IFERROR(VLOOKUP($B268,'_CONFIG_Risk_Calibration'!$A$5:$H$21,2,FALSE),3))</f>
        <v/>
      </c>
      <c r="AG268">
        <f>IF($A268="","",IFERROR(VLOOKUP($B268,'_CONFIG_Risk_Calibration'!$A$5:$H$21,3,FALSE),0))</f>
        <v/>
      </c>
      <c r="AH268">
        <f>IF($A268="","",IFERROR(VLOOKUP($B268,'_CONFIG_Risk_Calibration'!$A$5:$H$21,4,FALSE),3))</f>
        <v/>
      </c>
      <c r="AI268">
        <f>IF($A268="","",IFERROR(VLOOKUP($B268,'_CONFIG_Risk_Calibration'!$A$5:$H$21,5,FALSE),3))</f>
        <v/>
      </c>
      <c r="AJ268">
        <f>IF($A268="","",IFERROR(VLOOKUP($B268,'_CONFIG_Risk_Calibration'!$A$5:$H$21,6,FALSE),"No"))</f>
        <v/>
      </c>
      <c r="AK268">
        <f>IF($A268="","",IFERROR(VLOOKUP($B268,'_CONFIG_Risk_Calibration'!$A$5:$H$21,7,FALSE),1))</f>
        <v/>
      </c>
      <c r="AL268">
        <f>IF($A268="","",IFERROR(VLOOKUP($B268,'_CONFIG_Risk_Calibration'!$A$5:$H$21,8,FALSE),""))</f>
        <v/>
      </c>
    </row>
    <row r="269" ht="72" customHeight="1" s="209">
      <c r="A269" s="13" t="inlineStr">
        <is>
          <t>SALE-014</t>
        </is>
      </c>
      <c r="B269" s="13" t="inlineStr">
        <is>
          <t>Sales CRM</t>
        </is>
      </c>
      <c r="C269" s="13" t="inlineStr">
        <is>
          <t>Customer continuity</t>
        </is>
      </c>
      <c r="D269" s="13" t="inlineStr">
        <is>
          <t>Revenue, sales pipeline and CRM continuity</t>
        </is>
      </c>
      <c r="E269" s="13" t="inlineStr">
        <is>
          <t>How mature is the organization in managing critical account plans covering stakeholders, risks, contracts, renewals and crisis communication, including ownership, evidence, metrics, fallback procedures and crisis stress testing?</t>
        </is>
      </c>
      <c r="F269" s="13" t="inlineStr">
        <is>
          <t>Immature capability for critical account plans covering stakeholders, risks, contracts, renewals and crisis communication may lead to pipeline loss, poor customer retention, weak forecasting and inability to protect revenue channels during Demand shock; Revenue loss; Reputation crisis.</t>
        </is>
      </c>
      <c r="G269" s="13" t="inlineStr">
        <is>
          <t>Low maturity, weak ownership, incomplete evidence, insufficient testing and poor integration with crisis-management routines for critical account plans covering stakeholders, risks, contracts, renewals and crisis communication.</t>
        </is>
      </c>
      <c r="H269" s="13" t="inlineStr">
        <is>
          <t>Severe risk: critical account plans covering stakeholders, risks, contracts, renewals and crisis communication is not reliably controlled. During Demand shock; Revenue loss; Reputation crisis, the organization may face pipeline loss, poor customer retention, weak forecasting and inability to protect revenue channels with limited visibility or accountability.</t>
        </is>
      </c>
      <c r="I269" s="13" t="inlineStr">
        <is>
          <t>High risk: critical account plans covering stakeholders, risks, contracts, renewals and crisis communication depends on informal practices or individual knowledge. Disruption may expose pipeline loss, poor customer retention, weak forecasting and inability to protect revenue channels and slow recovery.</t>
        </is>
      </c>
      <c r="J269" s="13" t="inlineStr">
        <is>
          <t>Elevated risk: critical account plans covering stakeholders, risks, contracts, renewals and crisis communication is partially controlled, but coverage, evidence or testing is inconsistent. Crisis response may be fragmented.</t>
        </is>
      </c>
      <c r="K269" s="13" t="inlineStr">
        <is>
          <t>Moderate risk: critical account plans covering stakeholders, risks, contracts, renewals and crisis communication is documented and owned, but measurement, stress testing and integration with dependent processes need strengthening.</t>
        </is>
      </c>
      <c r="L269" s="13" t="inlineStr">
        <is>
          <t>Residual risk: critical account plans covering stakeholders, risks, contracts, renewals and crisis communication is measured and reviewed, but monitoring, automation or scenario testing should be improved to prevent maturity drift.</t>
        </is>
      </c>
      <c r="M269" s="13" t="inlineStr">
        <is>
          <t>Low residual risk: critical account plans covering stakeholders, risks, contracts, renewals and crisis communication is mature and crisis-tested. Maintain monitoring, evidence, ownership and periodic stress testing.</t>
        </is>
      </c>
      <c r="N269" s="13" t="inlineStr">
        <is>
          <t>Create an immediate risk owner, minimum control baseline and fallback procedure for critical account plans covering stakeholders, risks, contracts, renewals and crisis communication. Add it to the crisis risk register and collect first evidence.</t>
        </is>
      </c>
      <c r="O269" s="13" t="inlineStr">
        <is>
          <t>Document critical account plans covering stakeholders, risks, contracts, renewals and crisis communication, assign RACI, define minimum controls and KPIs, and validate coverage across key sites, teams or systems.</t>
        </is>
      </c>
      <c r="P269" s="13" t="inlineStr">
        <is>
          <t>Standardize critical account plans covering stakeholders, risks, contracts, renewals and crisis communication, close coverage gaps, train accountable roles and connect controls to the relevant crisis scenarios and continuity plans.</t>
        </is>
      </c>
      <c r="Q269" s="13" t="inlineStr">
        <is>
          <t>Measure and test critical account plans covering stakeholders, risks, contracts, renewals and crisis communication, run tabletop or operational stress tests, integrate it with dependent processes and update crisis playbooks.</t>
        </is>
      </c>
      <c r="R269" s="13" t="inlineStr">
        <is>
          <t>Automate monitoring where practical, define leading indicators, run periodic scenario tests and track residual risk after each major change.</t>
        </is>
      </c>
      <c r="S269" s="13" t="inlineStr">
        <is>
          <t>Sustain maturity for critical account plans covering stakeholders, risks, contracts, renewals and crisis communication: keep evidence current, monitor drift, benchmark externally and refresh risk tests after organizational, system or market changes.</t>
        </is>
      </c>
      <c r="T269" s="13" t="n">
        <v>3</v>
      </c>
      <c r="U269" s="13" t="n">
        <v>3</v>
      </c>
      <c r="V269" s="13" t="n">
        <v>2</v>
      </c>
      <c r="W269" s="13" t="n">
        <v>2</v>
      </c>
      <c r="X269" s="13" t="n">
        <v>1</v>
      </c>
      <c r="Y269" s="13" t="n">
        <v>1</v>
      </c>
      <c r="Z269" s="13" t="inlineStr">
        <is>
          <t>ISO 9001; ISO 10002; ISO 10004; RevOps; MEDDICC; customer success best practices</t>
        </is>
      </c>
      <c r="AA269" s="13" t="inlineStr">
        <is>
          <t>Policy/SOP; owner/RACI; system report; dashboard; contracts; test records; incident history; interview evidence related to critical account plans covering stakeholders, risks, contracts, renewals and crisis communication.</t>
        </is>
      </c>
      <c r="AB269" s="13" t="inlineStr">
        <is>
          <t>Demand shock; Revenue loss; Reputation crisis</t>
        </is>
      </c>
      <c r="AC269" s="13" t="inlineStr">
        <is>
          <t>CCO / Sales Ops</t>
        </is>
      </c>
      <c r="AD269" s="13" t="inlineStr">
        <is>
          <t>Sales CRM!17</t>
        </is>
      </c>
      <c r="AE269">
        <f>IF($A269="","",IF(OR(ISNUMBER(SEARCH("cyber",$D269)),ISNUMBER(SEARCH("security",$D269)),ISNUMBER(SEARCH("safety",$D269)),ISNUMBER(SEARCH("liquidity",$D269)),ISNUMBER(SEARCH("cash",$D269)),ISNUMBER(SEARCH("continuity",$D269)),ISNUMBER(SEARCH("infrastructure",$D269)),ISNUMBER(SEARCH("outage",$D269))),"Fast",IF(OR(ISNUMBER(SEARCH("compliance",$D269)),ISNUMBER(SEARCH("regulat",$D269)),ISNUMBER(SEARCH("data",$D269)),ISNUMBER(SEARCH("talent",$D269)),ISNUMBER(SEARCH("knowledge",$D269)),ISNUMBER(SEARCH("portfolio",$D269)),ISNUMBER(SEARCH("quality",$D269))),"Slow","Medium")))</f>
        <v/>
      </c>
      <c r="AF269">
        <f>IF($A269="","",IFERROR(VLOOKUP($B269,'_CONFIG_Risk_Calibration'!$A$5:$H$21,2,FALSE),3))</f>
        <v/>
      </c>
      <c r="AG269">
        <f>IF($A269="","",IFERROR(VLOOKUP($B269,'_CONFIG_Risk_Calibration'!$A$5:$H$21,3,FALSE),0))</f>
        <v/>
      </c>
      <c r="AH269">
        <f>IF($A269="","",IFERROR(VLOOKUP($B269,'_CONFIG_Risk_Calibration'!$A$5:$H$21,4,FALSE),3))</f>
        <v/>
      </c>
      <c r="AI269">
        <f>IF($A269="","",IFERROR(VLOOKUP($B269,'_CONFIG_Risk_Calibration'!$A$5:$H$21,5,FALSE),3))</f>
        <v/>
      </c>
      <c r="AJ269">
        <f>IF($A269="","",IFERROR(VLOOKUP($B269,'_CONFIG_Risk_Calibration'!$A$5:$H$21,6,FALSE),"No"))</f>
        <v/>
      </c>
      <c r="AK269">
        <f>IF($A269="","",IFERROR(VLOOKUP($B269,'_CONFIG_Risk_Calibration'!$A$5:$H$21,7,FALSE),1))</f>
        <v/>
      </c>
      <c r="AL269">
        <f>IF($A269="","",IFERROR(VLOOKUP($B269,'_CONFIG_Risk_Calibration'!$A$5:$H$21,8,FALSE),""))</f>
        <v/>
      </c>
    </row>
    <row r="270" ht="72" customHeight="1" s="209">
      <c r="A270" s="13" t="inlineStr">
        <is>
          <t>SALE-015</t>
        </is>
      </c>
      <c r="B270" s="13" t="inlineStr">
        <is>
          <t>Sales CRM</t>
        </is>
      </c>
      <c r="C270" s="13" t="inlineStr">
        <is>
          <t>Customer continuity</t>
        </is>
      </c>
      <c r="D270" s="13" t="inlineStr">
        <is>
          <t>Revenue, sales pipeline and CRM continuity</t>
        </is>
      </c>
      <c r="E270" s="13" t="inlineStr">
        <is>
          <t>How mature is the organization in managing customer notification rules for incidents, delays, cyber events and service disruption, including ownership, evidence, metrics, fallback procedures and crisis stress testing?</t>
        </is>
      </c>
      <c r="F270" s="13" t="inlineStr">
        <is>
          <t>Immature capability for customer notification rules for incidents, delays, cyber events and service disruption may lead to pipeline loss, poor customer retention, weak forecasting and inability to protect revenue channels during Demand shock; Revenue loss; Reputation crisis.</t>
        </is>
      </c>
      <c r="G270" s="13" t="inlineStr">
        <is>
          <t>Low maturity, weak ownership, incomplete evidence, insufficient testing and poor integration with crisis-management routines for customer notification rules for incidents, delays, cyber events and service disruption.</t>
        </is>
      </c>
      <c r="H270" s="13" t="inlineStr">
        <is>
          <t>Severe risk: customer notification rules for incidents, delays, cyber events and service disruption is not reliably controlled. During Demand shock; Revenue loss; Reputation crisis, the organization may face pipeline loss, poor customer retention, weak forecasting and inability to protect revenue channels with limited visibility or accountability.</t>
        </is>
      </c>
      <c r="I270" s="13" t="inlineStr">
        <is>
          <t>High risk: customer notification rules for incidents, delays, cyber events and service disruption depends on informal practices or individual knowledge. Disruption may expose pipeline loss, poor customer retention, weak forecasting and inability to protect revenue channels and slow recovery.</t>
        </is>
      </c>
      <c r="J270" s="13" t="inlineStr">
        <is>
          <t>Elevated risk: customer notification rules for incidents, delays, cyber events and service disruption is partially controlled, but coverage, evidence or testing is inconsistent. Crisis response may be fragmented.</t>
        </is>
      </c>
      <c r="K270" s="13" t="inlineStr">
        <is>
          <t>Moderate risk: customer notification rules for incidents, delays, cyber events and service disruption is documented and owned, but measurement, stress testing and integration with dependent processes need strengthening.</t>
        </is>
      </c>
      <c r="L270" s="13" t="inlineStr">
        <is>
          <t>Residual risk: customer notification rules for incidents, delays, cyber events and service disruption is measured and reviewed, but monitoring, automation or scenario testing should be improved to prevent maturity drift.</t>
        </is>
      </c>
      <c r="M270" s="13" t="inlineStr">
        <is>
          <t>Low residual risk: customer notification rules for incidents, delays, cyber events and service disruption is mature and crisis-tested. Maintain monitoring, evidence, ownership and periodic stress testing.</t>
        </is>
      </c>
      <c r="N270" s="13" t="inlineStr">
        <is>
          <t>Create an immediate risk owner, minimum control baseline and fallback procedure for customer notification rules for incidents, delays, cyber events and service disruption. Add it to the crisis risk register and collect first evidence.</t>
        </is>
      </c>
      <c r="O270" s="13" t="inlineStr">
        <is>
          <t>Document customer notification rules for incidents, delays, cyber events and service disruption, assign RACI, define minimum controls and KPIs, and validate coverage across key sites, teams or systems.</t>
        </is>
      </c>
      <c r="P270" s="13" t="inlineStr">
        <is>
          <t>Standardize customer notification rules for incidents, delays, cyber events and service disruption, close coverage gaps, train accountable roles and connect controls to the relevant crisis scenarios and continuity plans.</t>
        </is>
      </c>
      <c r="Q270" s="13" t="inlineStr">
        <is>
          <t>Measure and test customer notification rules for incidents, delays, cyber events and service disruption, run tabletop or operational stress tests, integrate it with dependent processes and update crisis playbooks.</t>
        </is>
      </c>
      <c r="R270" s="13" t="inlineStr">
        <is>
          <t>Automate monitoring where practical, define leading indicators, run periodic scenario tests and track residual risk after each major change.</t>
        </is>
      </c>
      <c r="S270" s="13" t="inlineStr">
        <is>
          <t>Sustain maturity for customer notification rules for incidents, delays, cyber events and service disruption: keep evidence current, monitor drift, benchmark externally and refresh risk tests after organizational, system or market changes.</t>
        </is>
      </c>
      <c r="T270" s="13" t="n">
        <v>3</v>
      </c>
      <c r="U270" s="13" t="n">
        <v>3</v>
      </c>
      <c r="V270" s="13" t="n">
        <v>2</v>
      </c>
      <c r="W270" s="13" t="n">
        <v>2</v>
      </c>
      <c r="X270" s="13" t="n">
        <v>1</v>
      </c>
      <c r="Y270" s="13" t="n">
        <v>1</v>
      </c>
      <c r="Z270" s="13" t="inlineStr">
        <is>
          <t>ISO 9001; ISO 10002; ISO 10004; RevOps; MEDDICC; customer success best practices</t>
        </is>
      </c>
      <c r="AA270" s="13" t="inlineStr">
        <is>
          <t>Policy/SOP; owner/RACI; system report; dashboard; contracts; test records; incident history; interview evidence related to customer notification rules for incidents, delays, cyber events and service disruption.</t>
        </is>
      </c>
      <c r="AB270" s="13" t="inlineStr">
        <is>
          <t>Demand shock; Revenue loss; Reputation crisis</t>
        </is>
      </c>
      <c r="AC270" s="13" t="inlineStr">
        <is>
          <t>CCO / Sales Ops</t>
        </is>
      </c>
      <c r="AD270" s="13" t="inlineStr">
        <is>
          <t>Sales CRM!18</t>
        </is>
      </c>
      <c r="AE270">
        <f>IF($A270="","",IF(OR(ISNUMBER(SEARCH("cyber",$D270)),ISNUMBER(SEARCH("security",$D270)),ISNUMBER(SEARCH("safety",$D270)),ISNUMBER(SEARCH("liquidity",$D270)),ISNUMBER(SEARCH("cash",$D270)),ISNUMBER(SEARCH("continuity",$D270)),ISNUMBER(SEARCH("infrastructure",$D270)),ISNUMBER(SEARCH("outage",$D270))),"Fast",IF(OR(ISNUMBER(SEARCH("compliance",$D270)),ISNUMBER(SEARCH("regulat",$D270)),ISNUMBER(SEARCH("data",$D270)),ISNUMBER(SEARCH("talent",$D270)),ISNUMBER(SEARCH("knowledge",$D270)),ISNUMBER(SEARCH("portfolio",$D270)),ISNUMBER(SEARCH("quality",$D270))),"Slow","Medium")))</f>
        <v/>
      </c>
      <c r="AF270">
        <f>IF($A270="","",IFERROR(VLOOKUP($B270,'_CONFIG_Risk_Calibration'!$A$5:$H$21,2,FALSE),3))</f>
        <v/>
      </c>
      <c r="AG270">
        <f>IF($A270="","",IFERROR(VLOOKUP($B270,'_CONFIG_Risk_Calibration'!$A$5:$H$21,3,FALSE),0))</f>
        <v/>
      </c>
      <c r="AH270">
        <f>IF($A270="","",IFERROR(VLOOKUP($B270,'_CONFIG_Risk_Calibration'!$A$5:$H$21,4,FALSE),3))</f>
        <v/>
      </c>
      <c r="AI270">
        <f>IF($A270="","",IFERROR(VLOOKUP($B270,'_CONFIG_Risk_Calibration'!$A$5:$H$21,5,FALSE),3))</f>
        <v/>
      </c>
      <c r="AJ270">
        <f>IF($A270="","",IFERROR(VLOOKUP($B270,'_CONFIG_Risk_Calibration'!$A$5:$H$21,6,FALSE),"No"))</f>
        <v/>
      </c>
      <c r="AK270">
        <f>IF($A270="","",IFERROR(VLOOKUP($B270,'_CONFIG_Risk_Calibration'!$A$5:$H$21,7,FALSE),1))</f>
        <v/>
      </c>
      <c r="AL270">
        <f>IF($A270="","",IFERROR(VLOOKUP($B270,'_CONFIG_Risk_Calibration'!$A$5:$H$21,8,FALSE),""))</f>
        <v/>
      </c>
    </row>
    <row r="271" ht="72" customHeight="1" s="209">
      <c r="A271" s="13" t="inlineStr">
        <is>
          <t>SALE-016</t>
        </is>
      </c>
      <c r="B271" s="13" t="inlineStr">
        <is>
          <t>Sales CRM</t>
        </is>
      </c>
      <c r="C271" s="13" t="inlineStr">
        <is>
          <t>Customer continuity</t>
        </is>
      </c>
      <c r="D271" s="13" t="inlineStr">
        <is>
          <t>Revenue, sales pipeline and CRM continuity</t>
        </is>
      </c>
      <c r="E271" s="13" t="inlineStr">
        <is>
          <t>How mature is the organization in managing support knowledge base and agent fallback if experienced people are unavailable, including ownership, evidence, metrics, fallback procedures and crisis stress testing?</t>
        </is>
      </c>
      <c r="F271" s="13" t="inlineStr">
        <is>
          <t>Immature capability for support knowledge base and agent fallback if experienced people are unavailable may lead to pipeline loss, poor customer retention, weak forecasting and inability to protect revenue channels during Demand shock; Revenue loss; Reputation crisis.</t>
        </is>
      </c>
      <c r="G271" s="13" t="inlineStr">
        <is>
          <t>Low maturity, weak ownership, incomplete evidence, insufficient testing and poor integration with crisis-management routines for support knowledge base and agent fallback if experienced people are unavailable.</t>
        </is>
      </c>
      <c r="H271" s="13" t="inlineStr">
        <is>
          <t>Severe risk: support knowledge base and agent fallback if experienced people are unavailable is not reliably controlled. During Demand shock; Revenue loss; Reputation crisis, the organization may face pipeline loss, poor customer retention, weak forecasting and inability to protect revenue channels with limited visibility or accountability.</t>
        </is>
      </c>
      <c r="I271" s="13" t="inlineStr">
        <is>
          <t>High risk: support knowledge base and agent fallback if experienced people are unavailable depends on informal practices or individual knowledge. Disruption may expose pipeline loss, poor customer retention, weak forecasting and inability to protect revenue channels and slow recovery.</t>
        </is>
      </c>
      <c r="J271" s="13" t="inlineStr">
        <is>
          <t>Elevated risk: support knowledge base and agent fallback if experienced people are unavailable is partially controlled, but coverage, evidence or testing is inconsistent. Crisis response may be fragmented.</t>
        </is>
      </c>
      <c r="K271" s="13" t="inlineStr">
        <is>
          <t>Moderate risk: support knowledge base and agent fallback if experienced people are unavailable is documented and owned, but measurement, stress testing and integration with dependent processes need strengthening.</t>
        </is>
      </c>
      <c r="L271" s="13" t="inlineStr">
        <is>
          <t>Residual risk: support knowledge base and agent fallback if experienced people are unavailable is measured and reviewed, but monitoring, automation or scenario testing should be improved to prevent maturity drift.</t>
        </is>
      </c>
      <c r="M271" s="13" t="inlineStr">
        <is>
          <t>Low residual risk: support knowledge base and agent fallback if experienced people are unavailable is mature and crisis-tested. Maintain monitoring, evidence, ownership and periodic stress testing.</t>
        </is>
      </c>
      <c r="N271" s="13" t="inlineStr">
        <is>
          <t>Create an immediate risk owner, minimum control baseline and fallback procedure for support knowledge base and agent fallback if experienced people are unavailable. Add it to the crisis risk register and collect first evidence.</t>
        </is>
      </c>
      <c r="O271" s="13" t="inlineStr">
        <is>
          <t>Document support knowledge base and agent fallback if experienced people are unavailable, assign RACI, define minimum controls and KPIs, and validate coverage across key sites, teams or systems.</t>
        </is>
      </c>
      <c r="P271" s="13" t="inlineStr">
        <is>
          <t>Standardize support knowledge base and agent fallback if experienced people are unavailable, close coverage gaps, train accountable roles and connect controls to the relevant crisis scenarios and continuity plans.</t>
        </is>
      </c>
      <c r="Q271" s="13" t="inlineStr">
        <is>
          <t>Measure and test support knowledge base and agent fallback if experienced people are unavailable, run tabletop or operational stress tests, integrate it with dependent processes and update crisis playbooks.</t>
        </is>
      </c>
      <c r="R271" s="13" t="inlineStr">
        <is>
          <t>Automate monitoring where practical, define leading indicators, run periodic scenario tests and track residual risk after each major change.</t>
        </is>
      </c>
      <c r="S271" s="13" t="inlineStr">
        <is>
          <t>Sustain maturity for support knowledge base and agent fallback if experienced people are unavailable: keep evidence current, monitor drift, benchmark externally and refresh risk tests after organizational, system or market changes.</t>
        </is>
      </c>
      <c r="T271" s="13" t="n">
        <v>3</v>
      </c>
      <c r="U271" s="13" t="n">
        <v>3</v>
      </c>
      <c r="V271" s="13" t="n">
        <v>2</v>
      </c>
      <c r="W271" s="13" t="n">
        <v>2</v>
      </c>
      <c r="X271" s="13" t="n">
        <v>1</v>
      </c>
      <c r="Y271" s="13" t="n">
        <v>1</v>
      </c>
      <c r="Z271" s="13" t="inlineStr">
        <is>
          <t>ISO 9001; ISO 10002; ISO 10004; RevOps; MEDDICC; customer success best practices</t>
        </is>
      </c>
      <c r="AA271" s="13" t="inlineStr">
        <is>
          <t>Policy/SOP; owner/RACI; system report; dashboard; contracts; test records; incident history; interview evidence related to support knowledge base and agent fallback if experienced people are unavailable.</t>
        </is>
      </c>
      <c r="AB271" s="13" t="inlineStr">
        <is>
          <t>Demand shock; Revenue loss; Reputation crisis</t>
        </is>
      </c>
      <c r="AC271" s="13" t="inlineStr">
        <is>
          <t>CCO / Sales Ops</t>
        </is>
      </c>
      <c r="AD271" s="13" t="inlineStr">
        <is>
          <t>Sales CRM!19</t>
        </is>
      </c>
      <c r="AE271">
        <f>IF($A271="","",IF(OR(ISNUMBER(SEARCH("cyber",$D271)),ISNUMBER(SEARCH("security",$D271)),ISNUMBER(SEARCH("safety",$D271)),ISNUMBER(SEARCH("liquidity",$D271)),ISNUMBER(SEARCH("cash",$D271)),ISNUMBER(SEARCH("continuity",$D271)),ISNUMBER(SEARCH("infrastructure",$D271)),ISNUMBER(SEARCH("outage",$D271))),"Fast",IF(OR(ISNUMBER(SEARCH("compliance",$D271)),ISNUMBER(SEARCH("regulat",$D271)),ISNUMBER(SEARCH("data",$D271)),ISNUMBER(SEARCH("talent",$D271)),ISNUMBER(SEARCH("knowledge",$D271)),ISNUMBER(SEARCH("portfolio",$D271)),ISNUMBER(SEARCH("quality",$D271))),"Slow","Medium")))</f>
        <v/>
      </c>
      <c r="AF271">
        <f>IF($A271="","",IFERROR(VLOOKUP($B271,'_CONFIG_Risk_Calibration'!$A$5:$H$21,2,FALSE),3))</f>
        <v/>
      </c>
      <c r="AG271">
        <f>IF($A271="","",IFERROR(VLOOKUP($B271,'_CONFIG_Risk_Calibration'!$A$5:$H$21,3,FALSE),0))</f>
        <v/>
      </c>
      <c r="AH271">
        <f>IF($A271="","",IFERROR(VLOOKUP($B271,'_CONFIG_Risk_Calibration'!$A$5:$H$21,4,FALSE),3))</f>
        <v/>
      </c>
      <c r="AI271">
        <f>IF($A271="","",IFERROR(VLOOKUP($B271,'_CONFIG_Risk_Calibration'!$A$5:$H$21,5,FALSE),3))</f>
        <v/>
      </c>
      <c r="AJ271">
        <f>IF($A271="","",IFERROR(VLOOKUP($B271,'_CONFIG_Risk_Calibration'!$A$5:$H$21,6,FALSE),"No"))</f>
        <v/>
      </c>
      <c r="AK271">
        <f>IF($A271="","",IFERROR(VLOOKUP($B271,'_CONFIG_Risk_Calibration'!$A$5:$H$21,7,FALSE),1))</f>
        <v/>
      </c>
      <c r="AL271">
        <f>IF($A271="","",IFERROR(VLOOKUP($B271,'_CONFIG_Risk_Calibration'!$A$5:$H$21,8,FALSE),""))</f>
        <v/>
      </c>
    </row>
    <row r="272" ht="72" customHeight="1" s="209">
      <c r="A272" s="13" t="inlineStr">
        <is>
          <t>SALE-017</t>
        </is>
      </c>
      <c r="B272" s="13" t="inlineStr">
        <is>
          <t>Sales CRM</t>
        </is>
      </c>
      <c r="C272" s="13" t="inlineStr">
        <is>
          <t>Revenue controls</t>
        </is>
      </c>
      <c r="D272" s="13" t="inlineStr">
        <is>
          <t>Revenue, sales pipeline and CRM continuity</t>
        </is>
      </c>
      <c r="E272" s="13" t="inlineStr">
        <is>
          <t>How mature is the organization in managing discount governance, pricing exceptions, payment terms and margin protection, including ownership, evidence, metrics, fallback procedures and crisis stress testing?</t>
        </is>
      </c>
      <c r="F272" s="13" t="inlineStr">
        <is>
          <t>Immature capability for discount governance, pricing exceptions, payment terms and margin protection may lead to pipeline loss, poor customer retention, weak forecasting and inability to protect revenue channels during Demand shock; Revenue loss; Reputation crisis.</t>
        </is>
      </c>
      <c r="G272" s="13" t="inlineStr">
        <is>
          <t>Low maturity, weak ownership, incomplete evidence, insufficient testing and poor integration with crisis-management routines for discount governance, pricing exceptions, payment terms and margin protection.</t>
        </is>
      </c>
      <c r="H272" s="13" t="inlineStr">
        <is>
          <t>Severe risk: discount governance, pricing exceptions, payment terms and margin protection is not reliably controlled. During Demand shock; Revenue loss; Reputation crisis, the organization may face pipeline loss, poor customer retention, weak forecasting and inability to protect revenue channels with limited visibility or accountability.</t>
        </is>
      </c>
      <c r="I272" s="13" t="inlineStr">
        <is>
          <t>High risk: discount governance, pricing exceptions, payment terms and margin protection depends on informal practices or individual knowledge. Disruption may expose pipeline loss, poor customer retention, weak forecasting and inability to protect revenue channels and slow recovery.</t>
        </is>
      </c>
      <c r="J272" s="13" t="inlineStr">
        <is>
          <t>Elevated risk: discount governance, pricing exceptions, payment terms and margin protection is partially controlled, but coverage, evidence or testing is inconsistent. Crisis response may be fragmented.</t>
        </is>
      </c>
      <c r="K272" s="13" t="inlineStr">
        <is>
          <t>Moderate risk: discount governance, pricing exceptions, payment terms and margin protection is documented and owned, but measurement, stress testing and integration with dependent processes need strengthening.</t>
        </is>
      </c>
      <c r="L272" s="13" t="inlineStr">
        <is>
          <t>Residual risk: discount governance, pricing exceptions, payment terms and margin protection is measured and reviewed, but monitoring, automation or scenario testing should be improved to prevent maturity drift.</t>
        </is>
      </c>
      <c r="M272" s="13" t="inlineStr">
        <is>
          <t>Low residual risk: discount governance, pricing exceptions, payment terms and margin protection is mature and crisis-tested. Maintain monitoring, evidence, ownership and periodic stress testing.</t>
        </is>
      </c>
      <c r="N272" s="13" t="inlineStr">
        <is>
          <t>Create an immediate risk owner, minimum control baseline and fallback procedure for discount governance, pricing exceptions, payment terms and margin protection. Add it to the crisis risk register and collect first evidence.</t>
        </is>
      </c>
      <c r="O272" s="13" t="inlineStr">
        <is>
          <t>Document discount governance, pricing exceptions, payment terms and margin protection, assign RACI, define minimum controls and KPIs, and validate coverage across key sites, teams or systems.</t>
        </is>
      </c>
      <c r="P272" s="13" t="inlineStr">
        <is>
          <t>Standardize discount governance, pricing exceptions, payment terms and margin protection, close coverage gaps, train accountable roles and connect controls to the relevant crisis scenarios and continuity plans.</t>
        </is>
      </c>
      <c r="Q272" s="13" t="inlineStr">
        <is>
          <t>Measure and test discount governance, pricing exceptions, payment terms and margin protection, run tabletop or operational stress tests, integrate it with dependent processes and update crisis playbooks.</t>
        </is>
      </c>
      <c r="R272" s="13" t="inlineStr">
        <is>
          <t>Automate monitoring where practical, define leading indicators, run periodic scenario tests and track residual risk after each major change.</t>
        </is>
      </c>
      <c r="S272" s="13" t="inlineStr">
        <is>
          <t>Sustain maturity for discount governance, pricing exceptions, payment terms and margin protection: keep evidence current, monitor drift, benchmark externally and refresh risk tests after organizational, system or market changes.</t>
        </is>
      </c>
      <c r="T272" s="13" t="n">
        <v>3</v>
      </c>
      <c r="U272" s="13" t="n">
        <v>3</v>
      </c>
      <c r="V272" s="13" t="n">
        <v>2</v>
      </c>
      <c r="W272" s="13" t="n">
        <v>2</v>
      </c>
      <c r="X272" s="13" t="n">
        <v>1</v>
      </c>
      <c r="Y272" s="13" t="n">
        <v>1</v>
      </c>
      <c r="Z272" s="13" t="inlineStr">
        <is>
          <t>ISO 9001; ISO 10002; ISO 10004; RevOps; MEDDICC; customer success best practices</t>
        </is>
      </c>
      <c r="AA272" s="13" t="inlineStr">
        <is>
          <t>Policy/SOP; owner/RACI; system report; dashboard; contracts; test records; incident history; interview evidence related to discount governance, pricing exceptions, payment terms and margin protection.</t>
        </is>
      </c>
      <c r="AB272" s="13" t="inlineStr">
        <is>
          <t>Demand shock; Revenue loss; Reputation crisis</t>
        </is>
      </c>
      <c r="AC272" s="13" t="inlineStr">
        <is>
          <t>CCO / Sales Ops</t>
        </is>
      </c>
      <c r="AD272" s="13" t="inlineStr">
        <is>
          <t>Sales CRM!20</t>
        </is>
      </c>
      <c r="AE272">
        <f>IF($A272="","",IF(OR(ISNUMBER(SEARCH("cyber",$D272)),ISNUMBER(SEARCH("security",$D272)),ISNUMBER(SEARCH("safety",$D272)),ISNUMBER(SEARCH("liquidity",$D272)),ISNUMBER(SEARCH("cash",$D272)),ISNUMBER(SEARCH("continuity",$D272)),ISNUMBER(SEARCH("infrastructure",$D272)),ISNUMBER(SEARCH("outage",$D272))),"Fast",IF(OR(ISNUMBER(SEARCH("compliance",$D272)),ISNUMBER(SEARCH("regulat",$D272)),ISNUMBER(SEARCH("data",$D272)),ISNUMBER(SEARCH("talent",$D272)),ISNUMBER(SEARCH("knowledge",$D272)),ISNUMBER(SEARCH("portfolio",$D272)),ISNUMBER(SEARCH("quality",$D272))),"Slow","Medium")))</f>
        <v/>
      </c>
      <c r="AF272">
        <f>IF($A272="","",IFERROR(VLOOKUP($B272,'_CONFIG_Risk_Calibration'!$A$5:$H$21,2,FALSE),3))</f>
        <v/>
      </c>
      <c r="AG272">
        <f>IF($A272="","",IFERROR(VLOOKUP($B272,'_CONFIG_Risk_Calibration'!$A$5:$H$21,3,FALSE),0))</f>
        <v/>
      </c>
      <c r="AH272">
        <f>IF($A272="","",IFERROR(VLOOKUP($B272,'_CONFIG_Risk_Calibration'!$A$5:$H$21,4,FALSE),3))</f>
        <v/>
      </c>
      <c r="AI272">
        <f>IF($A272="","",IFERROR(VLOOKUP($B272,'_CONFIG_Risk_Calibration'!$A$5:$H$21,5,FALSE),3))</f>
        <v/>
      </c>
      <c r="AJ272">
        <f>IF($A272="","",IFERROR(VLOOKUP($B272,'_CONFIG_Risk_Calibration'!$A$5:$H$21,6,FALSE),"No"))</f>
        <v/>
      </c>
      <c r="AK272">
        <f>IF($A272="","",IFERROR(VLOOKUP($B272,'_CONFIG_Risk_Calibration'!$A$5:$H$21,7,FALSE),1))</f>
        <v/>
      </c>
      <c r="AL272">
        <f>IF($A272="","",IFERROR(VLOOKUP($B272,'_CONFIG_Risk_Calibration'!$A$5:$H$21,8,FALSE),""))</f>
        <v/>
      </c>
    </row>
    <row r="273" ht="72" customHeight="1" s="209">
      <c r="A273" s="13" t="inlineStr">
        <is>
          <t>SALE-018</t>
        </is>
      </c>
      <c r="B273" s="13" t="inlineStr">
        <is>
          <t>Sales CRM</t>
        </is>
      </c>
      <c r="C273" s="13" t="inlineStr">
        <is>
          <t>Revenue controls</t>
        </is>
      </c>
      <c r="D273" s="13" t="inlineStr">
        <is>
          <t>Revenue, sales pipeline and CRM continuity</t>
        </is>
      </c>
      <c r="E273" s="13" t="inlineStr">
        <is>
          <t>How mature is the organization in managing deal review for margin, delivery feasibility, legal obligations, security and crisis risk, including ownership, evidence, metrics, fallback procedures and crisis stress testing?</t>
        </is>
      </c>
      <c r="F273" s="13" t="inlineStr">
        <is>
          <t>Immature capability for deal review for margin, delivery feasibility, legal obligations, security and crisis risk may lead to pipeline loss, poor customer retention, weak forecasting and inability to protect revenue channels during Demand shock; Revenue loss; Reputation crisis.</t>
        </is>
      </c>
      <c r="G273" s="13" t="inlineStr">
        <is>
          <t>Low maturity, weak ownership, incomplete evidence, insufficient testing and poor integration with crisis-management routines for deal review for margin, delivery feasibility, legal obligations, security and crisis risk.</t>
        </is>
      </c>
      <c r="H273" s="13" t="inlineStr">
        <is>
          <t>Severe risk: deal review for margin, delivery feasibility, legal obligations, security and crisis risk is not reliably controlled. During Demand shock; Revenue loss; Reputation crisis, the organization may face pipeline loss, poor customer retention, weak forecasting and inability to protect revenue channels with limited visibility or accountability.</t>
        </is>
      </c>
      <c r="I273" s="13" t="inlineStr">
        <is>
          <t>High risk: deal review for margin, delivery feasibility, legal obligations, security and crisis risk depends on informal practices or individual knowledge. Disruption may expose pipeline loss, poor customer retention, weak forecasting and inability to protect revenue channels and slow recovery.</t>
        </is>
      </c>
      <c r="J273" s="13" t="inlineStr">
        <is>
          <t>Elevated risk: deal review for margin, delivery feasibility, legal obligations, security and crisis risk is partially controlled, but coverage, evidence or testing is inconsistent. Crisis response may be fragmented.</t>
        </is>
      </c>
      <c r="K273" s="13" t="inlineStr">
        <is>
          <t>Moderate risk: deal review for margin, delivery feasibility, legal obligations, security and crisis risk is documented and owned, but measurement, stress testing and integration with dependent processes need strengthening.</t>
        </is>
      </c>
      <c r="L273" s="13" t="inlineStr">
        <is>
          <t>Residual risk: deal review for margin, delivery feasibility, legal obligations, security and crisis risk is measured and reviewed, but monitoring, automation or scenario testing should be improved to prevent maturity drift.</t>
        </is>
      </c>
      <c r="M273" s="13" t="inlineStr">
        <is>
          <t>Low residual risk: deal review for margin, delivery feasibility, legal obligations, security and crisis risk is mature and crisis-tested. Maintain monitoring, evidence, ownership and periodic stress testing.</t>
        </is>
      </c>
      <c r="N273" s="13" t="inlineStr">
        <is>
          <t>Create an immediate risk owner, minimum control baseline and fallback procedure for deal review for margin, delivery feasibility, legal obligations, security and crisis risk. Add it to the crisis risk register and collect first evidence.</t>
        </is>
      </c>
      <c r="O273" s="13" t="inlineStr">
        <is>
          <t>Document deal review for margin, delivery feasibility, legal obligations, security and crisis risk, assign RACI, define minimum controls and KPIs, and validate coverage across key sites, teams or systems.</t>
        </is>
      </c>
      <c r="P273" s="13" t="inlineStr">
        <is>
          <t>Standardize deal review for margin, delivery feasibility, legal obligations, security and crisis risk, close coverage gaps, train accountable roles and connect controls to the relevant crisis scenarios and continuity plans.</t>
        </is>
      </c>
      <c r="Q273" s="13" t="inlineStr">
        <is>
          <t>Measure and test deal review for margin, delivery feasibility, legal obligations, security and crisis risk, run tabletop or operational stress tests, integrate it with dependent processes and update crisis playbooks.</t>
        </is>
      </c>
      <c r="R273" s="13" t="inlineStr">
        <is>
          <t>Automate monitoring where practical, define leading indicators, run periodic scenario tests and track residual risk after each major change.</t>
        </is>
      </c>
      <c r="S273" s="13" t="inlineStr">
        <is>
          <t>Sustain maturity for deal review for margin, delivery feasibility, legal obligations, security and crisis risk: keep evidence current, monitor drift, benchmark externally and refresh risk tests after organizational, system or market changes.</t>
        </is>
      </c>
      <c r="T273" s="13" t="n">
        <v>3</v>
      </c>
      <c r="U273" s="13" t="n">
        <v>3</v>
      </c>
      <c r="V273" s="13" t="n">
        <v>2</v>
      </c>
      <c r="W273" s="13" t="n">
        <v>2</v>
      </c>
      <c r="X273" s="13" t="n">
        <v>1</v>
      </c>
      <c r="Y273" s="13" t="n">
        <v>1</v>
      </c>
      <c r="Z273" s="13" t="inlineStr">
        <is>
          <t>ISO 9001; ISO 10002; ISO 10004; RevOps; MEDDICC; customer success best practices</t>
        </is>
      </c>
      <c r="AA273" s="13" t="inlineStr">
        <is>
          <t>Policy/SOP; owner/RACI; system report; dashboard; contracts; test records; incident history; interview evidence related to deal review for margin, delivery feasibility, legal obligations, security and crisis risk.</t>
        </is>
      </c>
      <c r="AB273" s="13" t="inlineStr">
        <is>
          <t>Demand shock; Revenue loss; Reputation crisis</t>
        </is>
      </c>
      <c r="AC273" s="13" t="inlineStr">
        <is>
          <t>CCO / Sales Ops</t>
        </is>
      </c>
      <c r="AD273" s="13" t="inlineStr">
        <is>
          <t>Sales CRM!21</t>
        </is>
      </c>
      <c r="AE273">
        <f>IF($A273="","",IF(OR(ISNUMBER(SEARCH("cyber",$D273)),ISNUMBER(SEARCH("security",$D273)),ISNUMBER(SEARCH("safety",$D273)),ISNUMBER(SEARCH("liquidity",$D273)),ISNUMBER(SEARCH("cash",$D273)),ISNUMBER(SEARCH("continuity",$D273)),ISNUMBER(SEARCH("infrastructure",$D273)),ISNUMBER(SEARCH("outage",$D273))),"Fast",IF(OR(ISNUMBER(SEARCH("compliance",$D273)),ISNUMBER(SEARCH("regulat",$D273)),ISNUMBER(SEARCH("data",$D273)),ISNUMBER(SEARCH("talent",$D273)),ISNUMBER(SEARCH("knowledge",$D273)),ISNUMBER(SEARCH("portfolio",$D273)),ISNUMBER(SEARCH("quality",$D273))),"Slow","Medium")))</f>
        <v/>
      </c>
      <c r="AF273">
        <f>IF($A273="","",IFERROR(VLOOKUP($B273,'_CONFIG_Risk_Calibration'!$A$5:$H$21,2,FALSE),3))</f>
        <v/>
      </c>
      <c r="AG273">
        <f>IF($A273="","",IFERROR(VLOOKUP($B273,'_CONFIG_Risk_Calibration'!$A$5:$H$21,3,FALSE),0))</f>
        <v/>
      </c>
      <c r="AH273">
        <f>IF($A273="","",IFERROR(VLOOKUP($B273,'_CONFIG_Risk_Calibration'!$A$5:$H$21,4,FALSE),3))</f>
        <v/>
      </c>
      <c r="AI273">
        <f>IF($A273="","",IFERROR(VLOOKUP($B273,'_CONFIG_Risk_Calibration'!$A$5:$H$21,5,FALSE),3))</f>
        <v/>
      </c>
      <c r="AJ273">
        <f>IF($A273="","",IFERROR(VLOOKUP($B273,'_CONFIG_Risk_Calibration'!$A$5:$H$21,6,FALSE),"No"))</f>
        <v/>
      </c>
      <c r="AK273">
        <f>IF($A273="","",IFERROR(VLOOKUP($B273,'_CONFIG_Risk_Calibration'!$A$5:$H$21,7,FALSE),1))</f>
        <v/>
      </c>
      <c r="AL273">
        <f>IF($A273="","",IFERROR(VLOOKUP($B273,'_CONFIG_Risk_Calibration'!$A$5:$H$21,8,FALSE),""))</f>
        <v/>
      </c>
    </row>
    <row r="274" ht="72" customHeight="1" s="209">
      <c r="A274" s="13" t="inlineStr">
        <is>
          <t>SALE-020</t>
        </is>
      </c>
      <c r="B274" s="13" t="inlineStr">
        <is>
          <t>Sales CRM</t>
        </is>
      </c>
      <c r="C274" s="13" t="inlineStr">
        <is>
          <t>Revenue controls</t>
        </is>
      </c>
      <c r="D274" s="13" t="inlineStr">
        <is>
          <t>Revenue, sales pipeline and CRM continuity</t>
        </is>
      </c>
      <c r="E274" s="13" t="inlineStr">
        <is>
          <t>How mature is the organization in managing sales channel continuity if offices close, travel stops, events cancel or one channel fails, including ownership, evidence, metrics, fallback procedures and crisis stress testing?</t>
        </is>
      </c>
      <c r="F274" s="13" t="inlineStr">
        <is>
          <t>Immature capability for sales channel continuity if offices close, travel stops, events cancel or one channel fails may lead to pipeline loss, poor customer retention, weak forecasting and inability to protect revenue channels during Demand shock; Revenue loss; Reputation crisis.</t>
        </is>
      </c>
      <c r="G274" s="13" t="inlineStr">
        <is>
          <t>Low maturity, weak ownership, incomplete evidence, insufficient testing and poor integration with crisis-management routines for sales channel continuity if offices close, travel stops, events cancel or one channel fails.</t>
        </is>
      </c>
      <c r="H274" s="13" t="inlineStr">
        <is>
          <t>Severe risk: sales channel continuity if offices close, travel stops, events cancel or one channel fails is not reliably controlled. During Demand shock; Revenue loss; Reputation crisis, the organization may face pipeline loss, poor customer retention, weak forecasting and inability to protect revenue channels with limited visibility or accountability.</t>
        </is>
      </c>
      <c r="I274" s="13" t="inlineStr">
        <is>
          <t>High risk: sales channel continuity if offices close, travel stops, events cancel or one channel fails depends on informal practices or individual knowledge. Disruption may expose pipeline loss, poor customer retention, weak forecasting and inability to protect revenue channels and slow recovery.</t>
        </is>
      </c>
      <c r="J274" s="13" t="inlineStr">
        <is>
          <t>Elevated risk: sales channel continuity if offices close, travel stops, events cancel or one channel fails is partially controlled, but coverage, evidence or testing is inconsistent. Crisis response may be fragmented.</t>
        </is>
      </c>
      <c r="K274" s="13" t="inlineStr">
        <is>
          <t>Moderate risk: sales channel continuity if offices close, travel stops, events cancel or one channel fails is documented and owned, but measurement, stress testing and integration with dependent processes need strengthening.</t>
        </is>
      </c>
      <c r="L274" s="13" t="inlineStr">
        <is>
          <t>Residual risk: sales channel continuity if offices close, travel stops, events cancel or one channel fails is measured and reviewed, but monitoring, automation or scenario testing should be improved to prevent maturity drift.</t>
        </is>
      </c>
      <c r="M274" s="13" t="inlineStr">
        <is>
          <t>Low residual risk: sales channel continuity if offices close, travel stops, events cancel or one channel fails is mature and crisis-tested. Maintain monitoring, evidence, ownership and periodic stress testing.</t>
        </is>
      </c>
      <c r="N274" s="13" t="inlineStr">
        <is>
          <t>Create an immediate risk owner, minimum control baseline and fallback procedure for sales channel continuity if offices close, travel stops, events cancel or one channel fails. Add it to the crisis risk register and collect first evidence.</t>
        </is>
      </c>
      <c r="O274" s="13" t="inlineStr">
        <is>
          <t>Document sales channel continuity if offices close, travel stops, events cancel or one channel fails, assign RACI, define minimum controls and KPIs, and validate coverage across key sites, teams or systems.</t>
        </is>
      </c>
      <c r="P274" s="13" t="inlineStr">
        <is>
          <t>Standardize sales channel continuity if offices close, travel stops, events cancel or one channel fails, close coverage gaps, train accountable roles and connect controls to the relevant crisis scenarios and continuity plans.</t>
        </is>
      </c>
      <c r="Q274" s="13" t="inlineStr">
        <is>
          <t>Measure and test sales channel continuity if offices close, travel stops, events cancel or one channel fails, run tabletop or operational stress tests, integrate it with dependent processes and update crisis playbooks.</t>
        </is>
      </c>
      <c r="R274" s="13" t="inlineStr">
        <is>
          <t>Automate monitoring where practical, define leading indicators, run periodic scenario tests and track residual risk after each major change.</t>
        </is>
      </c>
      <c r="S274" s="13" t="inlineStr">
        <is>
          <t>Sustain maturity for sales channel continuity if offices close, travel stops, events cancel or one channel fails: keep evidence current, monitor drift, benchmark externally and refresh risk tests after organizational, system or market changes.</t>
        </is>
      </c>
      <c r="T274" s="13" t="n">
        <v>3</v>
      </c>
      <c r="U274" s="13" t="n">
        <v>3</v>
      </c>
      <c r="V274" s="13" t="n">
        <v>2</v>
      </c>
      <c r="W274" s="13" t="n">
        <v>2</v>
      </c>
      <c r="X274" s="13" t="n">
        <v>1</v>
      </c>
      <c r="Y274" s="13" t="n">
        <v>1</v>
      </c>
      <c r="Z274" s="13" t="inlineStr">
        <is>
          <t>ISO 9001; ISO 10002; ISO 10004; RevOps; MEDDICC; customer success best practices</t>
        </is>
      </c>
      <c r="AA274" s="13" t="inlineStr">
        <is>
          <t>Policy/SOP; owner/RACI; system report; dashboard; contracts; test records; incident history; interview evidence related to sales channel continuity if offices close, travel stops, events cancel or one channel fails.</t>
        </is>
      </c>
      <c r="AB274" s="13" t="inlineStr">
        <is>
          <t>Demand shock; Revenue loss; Reputation crisis</t>
        </is>
      </c>
      <c r="AC274" s="13" t="inlineStr">
        <is>
          <t>CCO / Sales Ops</t>
        </is>
      </c>
      <c r="AD274" s="13" t="inlineStr">
        <is>
          <t>Sales CRM!22</t>
        </is>
      </c>
      <c r="AE274">
        <f>IF($A274="","",IF(OR(ISNUMBER(SEARCH("cyber",$D274)),ISNUMBER(SEARCH("security",$D274)),ISNUMBER(SEARCH("safety",$D274)),ISNUMBER(SEARCH("liquidity",$D274)),ISNUMBER(SEARCH("cash",$D274)),ISNUMBER(SEARCH("continuity",$D274)),ISNUMBER(SEARCH("infrastructure",$D274)),ISNUMBER(SEARCH("outage",$D274))),"Fast",IF(OR(ISNUMBER(SEARCH("compliance",$D274)),ISNUMBER(SEARCH("regulat",$D274)),ISNUMBER(SEARCH("data",$D274)),ISNUMBER(SEARCH("talent",$D274)),ISNUMBER(SEARCH("knowledge",$D274)),ISNUMBER(SEARCH("portfolio",$D274)),ISNUMBER(SEARCH("quality",$D274))),"Slow","Medium")))</f>
        <v/>
      </c>
      <c r="AF274">
        <f>IF($A274="","",IFERROR(VLOOKUP($B274,'_CONFIG_Risk_Calibration'!$A$5:$H$21,2,FALSE),3))</f>
        <v/>
      </c>
      <c r="AG274">
        <f>IF($A274="","",IFERROR(VLOOKUP($B274,'_CONFIG_Risk_Calibration'!$A$5:$H$21,3,FALSE),0))</f>
        <v/>
      </c>
      <c r="AH274">
        <f>IF($A274="","",IFERROR(VLOOKUP($B274,'_CONFIG_Risk_Calibration'!$A$5:$H$21,4,FALSE),3))</f>
        <v/>
      </c>
      <c r="AI274">
        <f>IF($A274="","",IFERROR(VLOOKUP($B274,'_CONFIG_Risk_Calibration'!$A$5:$H$21,5,FALSE),3))</f>
        <v/>
      </c>
      <c r="AJ274">
        <f>IF($A274="","",IFERROR(VLOOKUP($B274,'_CONFIG_Risk_Calibration'!$A$5:$H$21,6,FALSE),"No"))</f>
        <v/>
      </c>
      <c r="AK274">
        <f>IF($A274="","",IFERROR(VLOOKUP($B274,'_CONFIG_Risk_Calibration'!$A$5:$H$21,7,FALSE),1))</f>
        <v/>
      </c>
      <c r="AL274">
        <f>IF($A274="","",IFERROR(VLOOKUP($B274,'_CONFIG_Risk_Calibration'!$A$5:$H$21,8,FALSE),""))</f>
        <v/>
      </c>
    </row>
    <row r="275" ht="72" customHeight="1" s="209">
      <c r="A275" s="13" t="inlineStr">
        <is>
          <t>SALE-021</t>
        </is>
      </c>
      <c r="B275" s="13" t="inlineStr">
        <is>
          <t>Sales CRM</t>
        </is>
      </c>
      <c r="C275" s="13" t="inlineStr">
        <is>
          <t>Revenue controls</t>
        </is>
      </c>
      <c r="D275" s="13" t="inlineStr">
        <is>
          <t>Revenue, sales pipeline and CRM continuity</t>
        </is>
      </c>
      <c r="E275" s="13" t="inlineStr">
        <is>
          <t>How mature is the organization in managing ecommerce continuity for payments, logistics, website, stock and customer support where relevant, including ownership, evidence, metrics, fallback procedures and crisis stress testing?</t>
        </is>
      </c>
      <c r="F275" s="13" t="inlineStr">
        <is>
          <t>Immature capability for ecommerce continuity for payments, logistics, website, stock and customer support where relevant may lead to pipeline loss, poor customer retention, weak forecasting and inability to protect revenue channels during Demand shock; Revenue loss; Reputation crisis.</t>
        </is>
      </c>
      <c r="G275" s="13" t="inlineStr">
        <is>
          <t>Low maturity, weak ownership, incomplete evidence, insufficient testing and poor integration with crisis-management routines for ecommerce continuity for payments, logistics, website, stock and customer support where relevant.</t>
        </is>
      </c>
      <c r="H275" s="13" t="inlineStr">
        <is>
          <t>Severe risk: ecommerce continuity for payments, logistics, website, stock and customer support where relevant is not reliably controlled. During Demand shock; Revenue loss; Reputation crisis, the organization may face pipeline loss, poor customer retention, weak forecasting and inability to protect revenue channels with limited visibility or accountability.</t>
        </is>
      </c>
      <c r="I275" s="13" t="inlineStr">
        <is>
          <t>High risk: ecommerce continuity for payments, logistics, website, stock and customer support where relevant depends on informal practices or individual knowledge. Disruption may expose pipeline loss, poor customer retention, weak forecasting and inability to protect revenue channels and slow recovery.</t>
        </is>
      </c>
      <c r="J275" s="13" t="inlineStr">
        <is>
          <t>Elevated risk: ecommerce continuity for payments, logistics, website, stock and customer support where relevant is partially controlled, but coverage, evidence or testing is inconsistent. Crisis response may be fragmented.</t>
        </is>
      </c>
      <c r="K275" s="13" t="inlineStr">
        <is>
          <t>Moderate risk: ecommerce continuity for payments, logistics, website, stock and customer support where relevant is documented and owned, but measurement, stress testing and integration with dependent processes need strengthening.</t>
        </is>
      </c>
      <c r="L275" s="13" t="inlineStr">
        <is>
          <t>Residual risk: ecommerce continuity for payments, logistics, website, stock and customer support where relevant is measured and reviewed, but monitoring, automation or scenario testing should be improved to prevent maturity drift.</t>
        </is>
      </c>
      <c r="M275" s="13" t="inlineStr">
        <is>
          <t>Low residual risk: ecommerce continuity for payments, logistics, website, stock and customer support where relevant is mature and crisis-tested. Maintain monitoring, evidence, ownership and periodic stress testing.</t>
        </is>
      </c>
      <c r="N275" s="13" t="inlineStr">
        <is>
          <t>Create an immediate risk owner, minimum control baseline and fallback procedure for ecommerce continuity for payments, logistics, website, stock and customer support where relevant. Add it to the crisis risk register and collect first evidence.</t>
        </is>
      </c>
      <c r="O275" s="13" t="inlineStr">
        <is>
          <t>Document ecommerce continuity for payments, logistics, website, stock and customer support where relevant, assign RACI, define minimum controls and KPIs, and validate coverage across key sites, teams or systems.</t>
        </is>
      </c>
      <c r="P275" s="13" t="inlineStr">
        <is>
          <t>Standardize ecommerce continuity for payments, logistics, website, stock and customer support where relevant, close coverage gaps, train accountable roles and connect controls to the relevant crisis scenarios and continuity plans.</t>
        </is>
      </c>
      <c r="Q275" s="13" t="inlineStr">
        <is>
          <t>Measure and test ecommerce continuity for payments, logistics, website, stock and customer support where relevant, run tabletop or operational stress tests, integrate it with dependent processes and update crisis playbooks.</t>
        </is>
      </c>
      <c r="R275" s="13" t="inlineStr">
        <is>
          <t>Automate monitoring where practical, define leading indicators, run periodic scenario tests and track residual risk after each major change.</t>
        </is>
      </c>
      <c r="S275" s="13" t="inlineStr">
        <is>
          <t>Sustain maturity for ecommerce continuity for payments, logistics, website, stock and customer support where relevant: keep evidence current, monitor drift, benchmark externally and refresh risk tests after organizational, system or market changes.</t>
        </is>
      </c>
      <c r="T275" s="13" t="n">
        <v>3</v>
      </c>
      <c r="U275" s="13" t="n">
        <v>3</v>
      </c>
      <c r="V275" s="13" t="n">
        <v>2</v>
      </c>
      <c r="W275" s="13" t="n">
        <v>2</v>
      </c>
      <c r="X275" s="13" t="n">
        <v>1</v>
      </c>
      <c r="Y275" s="13" t="n">
        <v>1</v>
      </c>
      <c r="Z275" s="13" t="inlineStr">
        <is>
          <t>ISO 9001; ISO 10002; ISO 10004; RevOps; MEDDICC; customer success best practices</t>
        </is>
      </c>
      <c r="AA275" s="13" t="inlineStr">
        <is>
          <t>Policy/SOP; owner/RACI; system report; dashboard; contracts; test records; incident history; interview evidence related to ecommerce continuity for payments, logistics, website, stock and customer support where relevant.</t>
        </is>
      </c>
      <c r="AB275" s="13" t="inlineStr">
        <is>
          <t>Demand shock; Revenue loss; Reputation crisis</t>
        </is>
      </c>
      <c r="AC275" s="13" t="inlineStr">
        <is>
          <t>CCO / Sales Ops</t>
        </is>
      </c>
      <c r="AD275" s="13" t="inlineStr">
        <is>
          <t>Sales CRM!23</t>
        </is>
      </c>
      <c r="AE275">
        <f>IF($A275="","",IF(OR(ISNUMBER(SEARCH("cyber",$D275)),ISNUMBER(SEARCH("security",$D275)),ISNUMBER(SEARCH("safety",$D275)),ISNUMBER(SEARCH("liquidity",$D275)),ISNUMBER(SEARCH("cash",$D275)),ISNUMBER(SEARCH("continuity",$D275)),ISNUMBER(SEARCH("infrastructure",$D275)),ISNUMBER(SEARCH("outage",$D275))),"Fast",IF(OR(ISNUMBER(SEARCH("compliance",$D275)),ISNUMBER(SEARCH("regulat",$D275)),ISNUMBER(SEARCH("data",$D275)),ISNUMBER(SEARCH("talent",$D275)),ISNUMBER(SEARCH("knowledge",$D275)),ISNUMBER(SEARCH("portfolio",$D275)),ISNUMBER(SEARCH("quality",$D275))),"Slow","Medium")))</f>
        <v/>
      </c>
      <c r="AF275">
        <f>IF($A275="","",IFERROR(VLOOKUP($B275,'_CONFIG_Risk_Calibration'!$A$5:$H$21,2,FALSE),3))</f>
        <v/>
      </c>
      <c r="AG275">
        <f>IF($A275="","",IFERROR(VLOOKUP($B275,'_CONFIG_Risk_Calibration'!$A$5:$H$21,3,FALSE),0))</f>
        <v/>
      </c>
      <c r="AH275">
        <f>IF($A275="","",IFERROR(VLOOKUP($B275,'_CONFIG_Risk_Calibration'!$A$5:$H$21,4,FALSE),3))</f>
        <v/>
      </c>
      <c r="AI275">
        <f>IF($A275="","",IFERROR(VLOOKUP($B275,'_CONFIG_Risk_Calibration'!$A$5:$H$21,5,FALSE),3))</f>
        <v/>
      </c>
      <c r="AJ275">
        <f>IF($A275="","",IFERROR(VLOOKUP($B275,'_CONFIG_Risk_Calibration'!$A$5:$H$21,6,FALSE),"No"))</f>
        <v/>
      </c>
      <c r="AK275">
        <f>IF($A275="","",IFERROR(VLOOKUP($B275,'_CONFIG_Risk_Calibration'!$A$5:$H$21,7,FALSE),1))</f>
        <v/>
      </c>
      <c r="AL275">
        <f>IF($A275="","",IFERROR(VLOOKUP($B275,'_CONFIG_Risk_Calibration'!$A$5:$H$21,8,FALSE),""))</f>
        <v/>
      </c>
    </row>
    <row r="276" ht="72" customHeight="1" s="209">
      <c r="A276" s="13" t="inlineStr">
        <is>
          <t>SALE-022</t>
        </is>
      </c>
      <c r="B276" s="13" t="inlineStr">
        <is>
          <t>Sales CRM</t>
        </is>
      </c>
      <c r="C276" s="13" t="inlineStr">
        <is>
          <t>Customer service</t>
        </is>
      </c>
      <c r="D276" s="13" t="inlineStr">
        <is>
          <t>Customer service continuity and experience</t>
        </is>
      </c>
      <c r="E276" s="13" t="inlineStr">
        <is>
          <t>How mature is the organization in managing customer service operating model with channels, coverage hours, tiers and service levels, including ownership, evidence, metrics, fallback procedures and crisis stress testing?</t>
        </is>
      </c>
      <c r="F276" s="13" t="inlineStr">
        <is>
          <t>Immature capability for customer service operating model with channels, coverage hours, tiers and service levels may lead to uncontrolled response times, inconsistent customer experience and SLA breaches during disruption during Demand shock; Reputation crisis; Workforce disruption.</t>
        </is>
      </c>
      <c r="G276" s="13" t="inlineStr">
        <is>
          <t>Low maturity, weak ownership, incomplete evidence, insufficient testing and poor integration with crisis-management routines for customer service operating model with channels, coverage hours, tiers and service levels.</t>
        </is>
      </c>
      <c r="H276" s="13" t="inlineStr">
        <is>
          <t>Severe risk: customer service operating model with channels, coverage hours, tiers and service levels is not reliably controlled. During Demand shock; Reputation crisis; Workforce disruption, the organization may face uncontrolled response times, inconsistent customer experience and SLA breaches during disruption with limited visibility or accountability.</t>
        </is>
      </c>
      <c r="I276" s="13" t="inlineStr">
        <is>
          <t>High risk: customer service operating model with channels, coverage hours, tiers and service levels depends on informal practices or individual knowledge. Disruption may expose uncontrolled response times, inconsistent customer experience and SLA breaches during disruption and slow recovery.</t>
        </is>
      </c>
      <c r="J276" s="13" t="inlineStr">
        <is>
          <t>Elevated risk: customer service operating model with channels, coverage hours, tiers and service levels is partially controlled, but coverage, evidence or testing is inconsistent. Crisis response may be fragmented.</t>
        </is>
      </c>
      <c r="K276" s="13" t="inlineStr">
        <is>
          <t>Moderate risk: customer service operating model with channels, coverage hours, tiers and service levels is documented and owned, but measurement, stress testing and integration with dependent processes need strengthening.</t>
        </is>
      </c>
      <c r="L276" s="13" t="inlineStr">
        <is>
          <t>Residual risk: customer service operating model with channels, coverage hours, tiers and service levels is measured and reviewed, but monitoring, automation or scenario testing should be improved to prevent maturity drift.</t>
        </is>
      </c>
      <c r="M276" s="13" t="inlineStr">
        <is>
          <t>Low residual risk: customer service operating model with channels, coverage hours, tiers and service levels is mature and crisis-tested. Maintain monitoring, evidence, ownership and periodic stress testing.</t>
        </is>
      </c>
      <c r="N276" s="13" t="inlineStr">
        <is>
          <t>Create an immediate risk owner, minimum control baseline and fallback procedure for customer service operating model with channels, coverage hours, tiers and service levels. Add it to the crisis risk register and collect first evidence.</t>
        </is>
      </c>
      <c r="O276" s="13" t="inlineStr">
        <is>
          <t>Document customer service operating model with channels, coverage hours, tiers and service levels, assign RACI, define minimum controls and KPIs, and validate coverage across key sites, teams or systems.</t>
        </is>
      </c>
      <c r="P276" s="13" t="inlineStr">
        <is>
          <t>Standardize customer service operating model with channels, coverage hours, tiers and service levels, close coverage gaps, train accountable roles and connect controls to the relevant crisis scenarios and continuity plans.</t>
        </is>
      </c>
      <c r="Q276" s="13" t="inlineStr">
        <is>
          <t>Measure and test customer service operating model with channels, coverage hours, tiers and service levels, run tabletop or operational stress tests, integrate it with dependent processes and update crisis playbooks.</t>
        </is>
      </c>
      <c r="R276" s="13" t="inlineStr">
        <is>
          <t>Automate monitoring where practical, define leading indicators, run periodic scenario tests and track residual risk after each major change.</t>
        </is>
      </c>
      <c r="S276" s="13" t="inlineStr">
        <is>
          <t>Sustain maturity for customer service operating model with channels, coverage hours, tiers and service levels: keep evidence current, monitor drift, benchmark externally and refresh risk tests after organizational, system or market changes.</t>
        </is>
      </c>
      <c r="T276" s="13" t="n">
        <v>3</v>
      </c>
      <c r="U276" s="13" t="n">
        <v>3</v>
      </c>
      <c r="V276" s="13" t="n">
        <v>2</v>
      </c>
      <c r="W276" s="13" t="n">
        <v>2</v>
      </c>
      <c r="X276" s="13" t="n">
        <v>1</v>
      </c>
      <c r="Y276" s="13" t="n">
        <v>1</v>
      </c>
      <c r="Z276" s="13" t="inlineStr">
        <is>
          <t>APQC PCF 6.0; ITIL; ISO 10002; ISO 22301</t>
        </is>
      </c>
      <c r="AA276" s="13" t="inlineStr">
        <is>
          <t>Policy/SOP; owner/RACI; system report; dashboard; contracts; test records; incident history; interview evidence related to customer service operating model with channels, coverage hours, tiers and service levels</t>
        </is>
      </c>
      <c r="AB276" s="13" t="inlineStr">
        <is>
          <t>Demand shock; Reputation crisis; Workforce disruption</t>
        </is>
      </c>
      <c r="AC276" s="13" t="inlineStr">
        <is>
          <t>Head of Customer Service / COO</t>
        </is>
      </c>
      <c r="AD276" s="13" t="inlineStr">
        <is>
          <t>Sales CRM!24</t>
        </is>
      </c>
      <c r="AE276">
        <f>IF($A276="","",IF(OR(ISNUMBER(SEARCH("cyber",$D276)),ISNUMBER(SEARCH("security",$D276)),ISNUMBER(SEARCH("safety",$D276)),ISNUMBER(SEARCH("liquidity",$D276)),ISNUMBER(SEARCH("cash",$D276)),ISNUMBER(SEARCH("continuity",$D276)),ISNUMBER(SEARCH("infrastructure",$D276)),ISNUMBER(SEARCH("outage",$D276))),"Fast",IF(OR(ISNUMBER(SEARCH("compliance",$D276)),ISNUMBER(SEARCH("regulat",$D276)),ISNUMBER(SEARCH("data",$D276)),ISNUMBER(SEARCH("talent",$D276)),ISNUMBER(SEARCH("knowledge",$D276)),ISNUMBER(SEARCH("portfolio",$D276)),ISNUMBER(SEARCH("quality",$D276))),"Slow","Medium")))</f>
        <v/>
      </c>
      <c r="AF276">
        <f>IF($A276="","",IFERROR(VLOOKUP($B276,'_CONFIG_Risk_Calibration'!$A$5:$H$21,2,FALSE),3))</f>
        <v/>
      </c>
      <c r="AG276">
        <f>IF($A276="","",IFERROR(VLOOKUP($B276,'_CONFIG_Risk_Calibration'!$A$5:$H$21,3,FALSE),0))</f>
        <v/>
      </c>
      <c r="AH276">
        <f>IF($A276="","",IFERROR(VLOOKUP($B276,'_CONFIG_Risk_Calibration'!$A$5:$H$21,4,FALSE),3))</f>
        <v/>
      </c>
      <c r="AI276">
        <f>IF($A276="","",IFERROR(VLOOKUP($B276,'_CONFIG_Risk_Calibration'!$A$5:$H$21,5,FALSE),3))</f>
        <v/>
      </c>
      <c r="AJ276">
        <f>IF($A276="","",IFERROR(VLOOKUP($B276,'_CONFIG_Risk_Calibration'!$A$5:$H$21,6,FALSE),"No"))</f>
        <v/>
      </c>
      <c r="AK276">
        <f>IF($A276="","",IFERROR(VLOOKUP($B276,'_CONFIG_Risk_Calibration'!$A$5:$H$21,7,FALSE),1))</f>
        <v/>
      </c>
      <c r="AL276">
        <f>IF($A276="","",IFERROR(VLOOKUP($B276,'_CONFIG_Risk_Calibration'!$A$5:$H$21,8,FALSE),""))</f>
        <v/>
      </c>
    </row>
    <row r="277" ht="84" customHeight="1" s="209">
      <c r="A277" s="13" t="inlineStr">
        <is>
          <t>SALE-023</t>
        </is>
      </c>
      <c r="B277" s="13" t="inlineStr">
        <is>
          <t>Sales CRM</t>
        </is>
      </c>
      <c r="C277" s="13" t="inlineStr">
        <is>
          <t>Customer service</t>
        </is>
      </c>
      <c r="D277" s="13" t="inlineStr">
        <is>
          <t>Customer service continuity and experience</t>
        </is>
      </c>
      <c r="E277" s="13" t="inlineStr">
        <is>
          <t>How mature is the organization in managing case and ticket management with logging, categorization, prioritization, escalation and backlog control, including ownership, evidence, metrics, fallback procedures and crisis stress testing?</t>
        </is>
      </c>
      <c r="F277" s="13" t="inlineStr">
        <is>
          <t>Immature capability for case and ticket management with logging, categorization, prioritization, escalation and backlog control may lead to lost or delayed customer issues, escalation chaos and invisible service backlogs during incidents during Demand shock; Reputation crisis; Cyberattack/ransomware.</t>
        </is>
      </c>
      <c r="G277" s="13" t="inlineStr">
        <is>
          <t>Low maturity, weak ownership, incomplete evidence, insufficient testing and poor integration with crisis-management routines for case and ticket management with logging, categorization, prioritization, escalation and backlog control.</t>
        </is>
      </c>
      <c r="H277" s="13" t="inlineStr">
        <is>
          <t>Severe risk: case and ticket management with logging, categorization, prioritization, escalation and backlog control is not reliably controlled. During Demand shock; Reputation crisis; Cyberattack/ransomware, the organization may face lost or delayed customer issues, escalation chaos and invisible service backlogs during incidents with limited visibility or accountability.</t>
        </is>
      </c>
      <c r="I277" s="13" t="inlineStr">
        <is>
          <t>High risk: case and ticket management with logging, categorization, prioritization, escalation and backlog control depends on informal practices or individual knowledge. Disruption may expose lost or delayed customer issues, escalation chaos and invisible service backlogs during incidents and slow recovery.</t>
        </is>
      </c>
      <c r="J277" s="13" t="inlineStr">
        <is>
          <t>Elevated risk: case and ticket management with logging, categorization, prioritization, escalation and backlog control is partially controlled, but coverage, evidence or testing is inconsistent. Crisis response may be fragmented.</t>
        </is>
      </c>
      <c r="K277" s="13" t="inlineStr">
        <is>
          <t>Moderate risk: case and ticket management with logging, categorization, prioritization, escalation and backlog control is documented and owned, but measurement, stress testing and integration with dependent processes need strengthening.</t>
        </is>
      </c>
      <c r="L277" s="13" t="inlineStr">
        <is>
          <t>Residual risk: case and ticket management with logging, categorization, prioritization, escalation and backlog control is measured and reviewed, but monitoring, automation or scenario testing should be improved to prevent maturity drift.</t>
        </is>
      </c>
      <c r="M277" s="13" t="inlineStr">
        <is>
          <t>Low residual risk: case and ticket management with logging, categorization, prioritization, escalation and backlog control is mature and crisis-tested. Maintain monitoring, evidence, ownership and periodic stress testing.</t>
        </is>
      </c>
      <c r="N277" s="13" t="inlineStr">
        <is>
          <t>Create an immediate risk owner, minimum control baseline and fallback procedure for case and ticket management with logging, categorization, prioritization, escalation and backlog control. Add it to the crisis risk register and collect first evidence.</t>
        </is>
      </c>
      <c r="O277" s="13" t="inlineStr">
        <is>
          <t>Document case and ticket management with logging, categorization, prioritization, escalation and backlog control, assign RACI, define minimum controls and KPIs, and validate coverage across key sites, teams or systems.</t>
        </is>
      </c>
      <c r="P277" s="13" t="inlineStr">
        <is>
          <t>Standardize case and ticket management with logging, categorization, prioritization, escalation and backlog control, close coverage gaps, train accountable roles and connect controls to the relevant crisis scenarios and continuity plans.</t>
        </is>
      </c>
      <c r="Q277" s="13" t="inlineStr">
        <is>
          <t>Measure and test case and ticket management with logging, categorization, prioritization, escalation and backlog control, run tabletop or operational stress tests, integrate it with dependent processes and update crisis playbooks.</t>
        </is>
      </c>
      <c r="R277" s="13" t="inlineStr">
        <is>
          <t>Automate monitoring where practical, define leading indicators, run periodic scenario tests and track residual risk after each major change.</t>
        </is>
      </c>
      <c r="S277" s="13" t="inlineStr">
        <is>
          <t>Sustain maturity for case and ticket management with logging, categorization, prioritization, escalation and backlog control: keep evidence current, monitor drift, benchmark externally and refresh risk tests after organizational, system or market changes.</t>
        </is>
      </c>
      <c r="T277" s="13" t="n">
        <v>3</v>
      </c>
      <c r="U277" s="13" t="n">
        <v>3</v>
      </c>
      <c r="V277" s="13" t="n">
        <v>2</v>
      </c>
      <c r="W277" s="13" t="n">
        <v>2</v>
      </c>
      <c r="X277" s="13" t="n">
        <v>1</v>
      </c>
      <c r="Y277" s="13" t="n">
        <v>1</v>
      </c>
      <c r="Z277" s="13" t="inlineStr">
        <is>
          <t>APQC PCF 6.2; ITIL; ISO 10002</t>
        </is>
      </c>
      <c r="AA277" s="13" t="inlineStr">
        <is>
          <t>Policy/SOP; owner/RACI; system report; dashboard; contracts; test records; incident history; interview evidence related to case and ticket management with logging, categorization, prioritization, escalation and backlog control</t>
        </is>
      </c>
      <c r="AB277" s="13" t="inlineStr">
        <is>
          <t>Demand shock; Reputation crisis; Cyberattack/ransomware</t>
        </is>
      </c>
      <c r="AC277" s="13" t="inlineStr">
        <is>
          <t>Head of Customer Service</t>
        </is>
      </c>
      <c r="AD277" s="13" t="inlineStr">
        <is>
          <t>Sales CRM!25</t>
        </is>
      </c>
      <c r="AE277">
        <f>IF($A277="","",IF(OR(ISNUMBER(SEARCH("cyber",$D277)),ISNUMBER(SEARCH("security",$D277)),ISNUMBER(SEARCH("safety",$D277)),ISNUMBER(SEARCH("liquidity",$D277)),ISNUMBER(SEARCH("cash",$D277)),ISNUMBER(SEARCH("continuity",$D277)),ISNUMBER(SEARCH("infrastructure",$D277)),ISNUMBER(SEARCH("outage",$D277))),"Fast",IF(OR(ISNUMBER(SEARCH("compliance",$D277)),ISNUMBER(SEARCH("regulat",$D277)),ISNUMBER(SEARCH("data",$D277)),ISNUMBER(SEARCH("talent",$D277)),ISNUMBER(SEARCH("knowledge",$D277)),ISNUMBER(SEARCH("portfolio",$D277)),ISNUMBER(SEARCH("quality",$D277))),"Slow","Medium")))</f>
        <v/>
      </c>
      <c r="AF277">
        <f>IF($A277="","",IFERROR(VLOOKUP($B277,'_CONFIG_Risk_Calibration'!$A$5:$H$21,2,FALSE),3))</f>
        <v/>
      </c>
      <c r="AG277">
        <f>IF($A277="","",IFERROR(VLOOKUP($B277,'_CONFIG_Risk_Calibration'!$A$5:$H$21,3,FALSE),0))</f>
        <v/>
      </c>
      <c r="AH277">
        <f>IF($A277="","",IFERROR(VLOOKUP($B277,'_CONFIG_Risk_Calibration'!$A$5:$H$21,4,FALSE),3))</f>
        <v/>
      </c>
      <c r="AI277">
        <f>IF($A277="","",IFERROR(VLOOKUP($B277,'_CONFIG_Risk_Calibration'!$A$5:$H$21,5,FALSE),3))</f>
        <v/>
      </c>
      <c r="AJ277">
        <f>IF($A277="","",IFERROR(VLOOKUP($B277,'_CONFIG_Risk_Calibration'!$A$5:$H$21,6,FALSE),"No"))</f>
        <v/>
      </c>
      <c r="AK277">
        <f>IF($A277="","",IFERROR(VLOOKUP($B277,'_CONFIG_Risk_Calibration'!$A$5:$H$21,7,FALSE),1))</f>
        <v/>
      </c>
      <c r="AL277">
        <f>IF($A277="","",IFERROR(VLOOKUP($B277,'_CONFIG_Risk_Calibration'!$A$5:$H$21,8,FALSE),""))</f>
        <v/>
      </c>
    </row>
    <row r="278" ht="72" customHeight="1" s="209">
      <c r="A278" s="13" t="inlineStr">
        <is>
          <t>SALE-024</t>
        </is>
      </c>
      <c r="B278" s="13" t="inlineStr">
        <is>
          <t>Sales CRM</t>
        </is>
      </c>
      <c r="C278" s="13" t="inlineStr">
        <is>
          <t>Customer service</t>
        </is>
      </c>
      <c r="D278" s="13" t="inlineStr">
        <is>
          <t>Customer service continuity and experience</t>
        </is>
      </c>
      <c r="E278" s="13" t="inlineStr">
        <is>
          <t>How mature is the organization in managing customer service continuity with surge handling, channel failover and after-hours emergency coverage, including ownership, evidence, metrics, fallback procedures and crisis stress testing?</t>
        </is>
      </c>
      <c r="F278" s="13" t="inlineStr">
        <is>
          <t>Immature capability for customer service continuity with surge handling, channel failover and after-hours emergency coverage may lead to service collapse under demand spikes, channel outages or staff unavailability during Demand shock; Workforce disruption; Cloud/SaaS outage.</t>
        </is>
      </c>
      <c r="G278" s="13" t="inlineStr">
        <is>
          <t>Low maturity, weak ownership, incomplete evidence, insufficient testing and poor integration with crisis-management routines for customer service continuity with surge handling, channel failover and after-hours emergency coverage.</t>
        </is>
      </c>
      <c r="H278" s="13" t="inlineStr">
        <is>
          <t>Severe risk: customer service continuity with surge handling, channel failover and after-hours emergency coverage is not reliably controlled. During Demand shock; Workforce disruption; Cloud/SaaS outage, the organization may face service collapse under demand spikes, channel outages or staff unavailability with limited visibility or accountability.</t>
        </is>
      </c>
      <c r="I278" s="13" t="inlineStr">
        <is>
          <t>High risk: customer service continuity with surge handling, channel failover and after-hours emergency coverage depends on informal practices or individual knowledge. Disruption may expose service collapse under demand spikes, channel outages or staff unavailability and slow recovery.</t>
        </is>
      </c>
      <c r="J278" s="13" t="inlineStr">
        <is>
          <t>Elevated risk: customer service continuity with surge handling, channel failover and after-hours emergency coverage is partially controlled, but coverage, evidence or testing is inconsistent. Crisis response may be fragmented.</t>
        </is>
      </c>
      <c r="K278" s="13" t="inlineStr">
        <is>
          <t>Moderate risk: customer service continuity with surge handling, channel failover and after-hours emergency coverage is documented and owned, but measurement, stress testing and integration with dependent processes need strengthening.</t>
        </is>
      </c>
      <c r="L278" s="13" t="inlineStr">
        <is>
          <t>Residual risk: customer service continuity with surge handling, channel failover and after-hours emergency coverage is measured and reviewed, but monitoring, automation or scenario testing should be improved to prevent maturity drift.</t>
        </is>
      </c>
      <c r="M278" s="13" t="inlineStr">
        <is>
          <t>Low residual risk: customer service continuity with surge handling, channel failover and after-hours emergency coverage is mature and crisis-tested. Maintain monitoring, evidence, ownership and periodic stress testing.</t>
        </is>
      </c>
      <c r="N278" s="13" t="inlineStr">
        <is>
          <t>Create an immediate risk owner, minimum control baseline and fallback procedure for customer service continuity with surge handling, channel failover and after-hours emergency coverage. Add it to the crisis risk register and collect first evidence.</t>
        </is>
      </c>
      <c r="O278" s="13" t="inlineStr">
        <is>
          <t>Document customer service continuity with surge handling, channel failover and after-hours emergency coverage, assign RACI, define minimum controls and KPIs, and validate coverage across key sites, teams or systems.</t>
        </is>
      </c>
      <c r="P278" s="13" t="inlineStr">
        <is>
          <t>Standardize customer service continuity with surge handling, channel failover and after-hours emergency coverage, close coverage gaps, train accountable roles and connect controls to the relevant crisis scenarios and continuity plans.</t>
        </is>
      </c>
      <c r="Q278" s="13" t="inlineStr">
        <is>
          <t>Measure and test customer service continuity with surge handling, channel failover and after-hours emergency coverage, run tabletop or operational stress tests, integrate it with dependent processes and update crisis playbooks.</t>
        </is>
      </c>
      <c r="R278" s="13" t="inlineStr">
        <is>
          <t>Automate monitoring where practical, define leading indicators, run periodic scenario tests and track residual risk after each major change.</t>
        </is>
      </c>
      <c r="S278" s="13" t="inlineStr">
        <is>
          <t>Sustain maturity for customer service continuity with surge handling, channel failover and after-hours emergency coverage: keep evidence current, monitor drift, benchmark externally and refresh risk tests after organizational, system or market changes.</t>
        </is>
      </c>
      <c r="T278" s="13" t="n">
        <v>3</v>
      </c>
      <c r="U278" s="13" t="n">
        <v>3</v>
      </c>
      <c r="V278" s="13" t="n">
        <v>3</v>
      </c>
      <c r="W278" s="13" t="n">
        <v>2</v>
      </c>
      <c r="X278" s="13" t="n">
        <v>2</v>
      </c>
      <c r="Y278" s="13" t="n">
        <v>1</v>
      </c>
      <c r="Z278" s="13" t="inlineStr">
        <is>
          <t>ISO 22301; ITIL; APQC PCF 6.0</t>
        </is>
      </c>
      <c r="AA278" s="13" t="inlineStr">
        <is>
          <t>Policy/SOP; owner/RACI; system report; dashboard; contracts; test records; incident history; interview evidence related to customer service continuity with surge handling, channel failover and after-hours emergency coverage</t>
        </is>
      </c>
      <c r="AB278" s="13" t="inlineStr">
        <is>
          <t>Demand shock; Workforce disruption; Cloud/SaaS outage</t>
        </is>
      </c>
      <c r="AC278" s="13" t="inlineStr">
        <is>
          <t>Head of Customer Service / COO</t>
        </is>
      </c>
      <c r="AD278" s="13" t="inlineStr">
        <is>
          <t>Sales CRM!26</t>
        </is>
      </c>
      <c r="AE278">
        <f>IF($A278="","",IF(OR(ISNUMBER(SEARCH("cyber",$D278)),ISNUMBER(SEARCH("security",$D278)),ISNUMBER(SEARCH("safety",$D278)),ISNUMBER(SEARCH("liquidity",$D278)),ISNUMBER(SEARCH("cash",$D278)),ISNUMBER(SEARCH("continuity",$D278)),ISNUMBER(SEARCH("infrastructure",$D278)),ISNUMBER(SEARCH("outage",$D278))),"Fast",IF(OR(ISNUMBER(SEARCH("compliance",$D278)),ISNUMBER(SEARCH("regulat",$D278)),ISNUMBER(SEARCH("data",$D278)),ISNUMBER(SEARCH("talent",$D278)),ISNUMBER(SEARCH("knowledge",$D278)),ISNUMBER(SEARCH("portfolio",$D278)),ISNUMBER(SEARCH("quality",$D278))),"Slow","Medium")))</f>
        <v/>
      </c>
      <c r="AF278">
        <f>IF($A278="","",IFERROR(VLOOKUP($B278,'_CONFIG_Risk_Calibration'!$A$5:$H$21,2,FALSE),3))</f>
        <v/>
      </c>
      <c r="AG278">
        <f>IF($A278="","",IFERROR(VLOOKUP($B278,'_CONFIG_Risk_Calibration'!$A$5:$H$21,3,FALSE),0))</f>
        <v/>
      </c>
      <c r="AH278">
        <f>IF($A278="","",IFERROR(VLOOKUP($B278,'_CONFIG_Risk_Calibration'!$A$5:$H$21,4,FALSE),3))</f>
        <v/>
      </c>
      <c r="AI278">
        <f>IF($A278="","",IFERROR(VLOOKUP($B278,'_CONFIG_Risk_Calibration'!$A$5:$H$21,5,FALSE),3))</f>
        <v/>
      </c>
      <c r="AJ278">
        <f>IF($A278="","",IFERROR(VLOOKUP($B278,'_CONFIG_Risk_Calibration'!$A$5:$H$21,6,FALSE),"No"))</f>
        <v/>
      </c>
      <c r="AK278">
        <f>IF($A278="","",IFERROR(VLOOKUP($B278,'_CONFIG_Risk_Calibration'!$A$5:$H$21,7,FALSE),1))</f>
        <v/>
      </c>
      <c r="AL278">
        <f>IF($A278="","",IFERROR(VLOOKUP($B278,'_CONFIG_Risk_Calibration'!$A$5:$H$21,8,FALSE),""))</f>
        <v/>
      </c>
    </row>
    <row r="279" ht="72" customHeight="1" s="209">
      <c r="A279" s="13" t="inlineStr">
        <is>
          <t>SALE-025</t>
        </is>
      </c>
      <c r="B279" s="13" t="inlineStr">
        <is>
          <t>Sales CRM</t>
        </is>
      </c>
      <c r="C279" s="13" t="inlineStr">
        <is>
          <t>Customer service</t>
        </is>
      </c>
      <c r="D279" s="13" t="inlineStr">
        <is>
          <t>Customer service continuity and experience</t>
        </is>
      </c>
      <c r="E279" s="13" t="inlineStr">
        <is>
          <t>How mature is the organization in managing voice-of-customer loop converting complaints and feedback into product and process improvements, including ownership, evidence, metrics, fallback procedures and crisis stress testing?</t>
        </is>
      </c>
      <c r="F279" s="13" t="inlineStr">
        <is>
          <t>Immature capability for voice-of-customer loop converting complaints and feedback into product and process improvements may lead to repeated failure causes, silent churn and missed early-warning signals from customers during Reputation crisis; Demand shock.</t>
        </is>
      </c>
      <c r="G279" s="13" t="inlineStr">
        <is>
          <t>Low maturity, weak ownership, incomplete evidence, insufficient testing and poor integration with crisis-management routines for voice-of-customer loop converting complaints and feedback into product and process improvements.</t>
        </is>
      </c>
      <c r="H279" s="13" t="inlineStr">
        <is>
          <t>Severe risk: voice-of-customer loop converting complaints and feedback into product and process improvements is not reliably controlled. During Reputation crisis; Demand shock, the organization may face repeated failure causes, silent churn and missed early-warning signals from customers with limited visibility or accountability.</t>
        </is>
      </c>
      <c r="I279" s="13" t="inlineStr">
        <is>
          <t>High risk: voice-of-customer loop converting complaints and feedback into product and process improvements depends on informal practices or individual knowledge. Disruption may expose repeated failure causes, silent churn and missed early-warning signals from customers and slow recovery.</t>
        </is>
      </c>
      <c r="J279" s="13" t="inlineStr">
        <is>
          <t>Elevated risk: voice-of-customer loop converting complaints and feedback into product and process improvements is partially controlled, but coverage, evidence or testing is inconsistent. Crisis response may be fragmented.</t>
        </is>
      </c>
      <c r="K279" s="13" t="inlineStr">
        <is>
          <t>Moderate risk: voice-of-customer loop converting complaints and feedback into product and process improvements is documented and owned, but measurement, stress testing and integration with dependent processes need strengthening.</t>
        </is>
      </c>
      <c r="L279" s="13" t="inlineStr">
        <is>
          <t>Residual risk: voice-of-customer loop converting complaints and feedback into product and process improvements is measured and reviewed, but monitoring, automation or scenario testing should be improved to prevent maturity drift.</t>
        </is>
      </c>
      <c r="M279" s="13" t="inlineStr">
        <is>
          <t>Low residual risk: voice-of-customer loop converting complaints and feedback into product and process improvements is mature and crisis-tested. Maintain monitoring, evidence, ownership and periodic stress testing.</t>
        </is>
      </c>
      <c r="N279" s="13" t="inlineStr">
        <is>
          <t>Create an immediate risk owner, minimum control baseline and fallback procedure for voice-of-customer loop converting complaints and feedback into product and process improvements. Add it to the crisis risk register and collect first evidence.</t>
        </is>
      </c>
      <c r="O279" s="13" t="inlineStr">
        <is>
          <t>Document voice-of-customer loop converting complaints and feedback into product and process improvements, assign RACI, define minimum controls and KPIs, and validate coverage across key sites, teams or systems.</t>
        </is>
      </c>
      <c r="P279" s="13" t="inlineStr">
        <is>
          <t>Standardize voice-of-customer loop converting complaints and feedback into product and process improvements, close coverage gaps, train accountable roles and connect controls to the relevant crisis scenarios and continuity plans.</t>
        </is>
      </c>
      <c r="Q279" s="13" t="inlineStr">
        <is>
          <t>Measure and test voice-of-customer loop converting complaints and feedback into product and process improvements, run tabletop or operational stress tests, integrate it with dependent processes and update crisis playbooks.</t>
        </is>
      </c>
      <c r="R279" s="13" t="inlineStr">
        <is>
          <t>Automate monitoring where practical, define leading indicators, run periodic scenario tests and track residual risk after each major change.</t>
        </is>
      </c>
      <c r="S279" s="13" t="inlineStr">
        <is>
          <t>Sustain maturity for voice-of-customer loop converting complaints and feedback into product and process improvements: keep evidence current, monitor drift, benchmark externally and refresh risk tests after organizational, system or market changes.</t>
        </is>
      </c>
      <c r="T279" s="13" t="n">
        <v>2</v>
      </c>
      <c r="U279" s="13" t="n">
        <v>2</v>
      </c>
      <c r="V279" s="13" t="n">
        <v>2</v>
      </c>
      <c r="W279" s="13" t="n">
        <v>2</v>
      </c>
      <c r="X279" s="13" t="n">
        <v>1</v>
      </c>
      <c r="Y279" s="13" t="n">
        <v>1</v>
      </c>
      <c r="Z279" s="13" t="inlineStr">
        <is>
          <t>ISO 10002; ISO 10004; APQC PCF 6.3</t>
        </is>
      </c>
      <c r="AA279" s="13" t="inlineStr">
        <is>
          <t>Policy/SOP; owner/RACI; system report; dashboard; contracts; test records; incident history; interview evidence related to voice-of-customer loop converting complaints and feedback into product and process improvements</t>
        </is>
      </c>
      <c r="AB279" s="13" t="inlineStr">
        <is>
          <t>Reputation crisis; Demand shock</t>
        </is>
      </c>
      <c r="AC279" s="13" t="inlineStr">
        <is>
          <t>Head of Customer Service / CMO</t>
        </is>
      </c>
      <c r="AD279" s="13" t="inlineStr">
        <is>
          <t>Sales CRM!27</t>
        </is>
      </c>
      <c r="AE279">
        <f>IF($A279="","",IF(OR(ISNUMBER(SEARCH("cyber",$D279)),ISNUMBER(SEARCH("security",$D279)),ISNUMBER(SEARCH("safety",$D279)),ISNUMBER(SEARCH("liquidity",$D279)),ISNUMBER(SEARCH("cash",$D279)),ISNUMBER(SEARCH("continuity",$D279)),ISNUMBER(SEARCH("infrastructure",$D279)),ISNUMBER(SEARCH("outage",$D279))),"Fast",IF(OR(ISNUMBER(SEARCH("compliance",$D279)),ISNUMBER(SEARCH("regulat",$D279)),ISNUMBER(SEARCH("data",$D279)),ISNUMBER(SEARCH("talent",$D279)),ISNUMBER(SEARCH("knowledge",$D279)),ISNUMBER(SEARCH("portfolio",$D279)),ISNUMBER(SEARCH("quality",$D279))),"Slow","Medium")))</f>
        <v/>
      </c>
      <c r="AF279">
        <f>IF($A279="","",IFERROR(VLOOKUP($B279,'_CONFIG_Risk_Calibration'!$A$5:$H$21,2,FALSE),3))</f>
        <v/>
      </c>
      <c r="AG279">
        <f>IF($A279="","",IFERROR(VLOOKUP($B279,'_CONFIG_Risk_Calibration'!$A$5:$H$21,3,FALSE),0))</f>
        <v/>
      </c>
      <c r="AH279">
        <f>IF($A279="","",IFERROR(VLOOKUP($B279,'_CONFIG_Risk_Calibration'!$A$5:$H$21,4,FALSE),3))</f>
        <v/>
      </c>
      <c r="AI279">
        <f>IF($A279="","",IFERROR(VLOOKUP($B279,'_CONFIG_Risk_Calibration'!$A$5:$H$21,5,FALSE),3))</f>
        <v/>
      </c>
      <c r="AJ279">
        <f>IF($A279="","",IFERROR(VLOOKUP($B279,'_CONFIG_Risk_Calibration'!$A$5:$H$21,6,FALSE),"No"))</f>
        <v/>
      </c>
      <c r="AK279">
        <f>IF($A279="","",IFERROR(VLOOKUP($B279,'_CONFIG_Risk_Calibration'!$A$5:$H$21,7,FALSE),1))</f>
        <v/>
      </c>
      <c r="AL279">
        <f>IF($A279="","",IFERROR(VLOOKUP($B279,'_CONFIG_Risk_Calibration'!$A$5:$H$21,8,FALSE),""))</f>
        <v/>
      </c>
    </row>
    <row r="280" ht="72" customHeight="1" s="209">
      <c r="A280" s="13" t="inlineStr">
        <is>
          <t>SALE-026</t>
        </is>
      </c>
      <c r="B280" s="13" t="inlineStr">
        <is>
          <t>Sales CRM</t>
        </is>
      </c>
      <c r="C280" s="13" t="inlineStr">
        <is>
          <t>Customer service</t>
        </is>
      </c>
      <c r="D280" s="13" t="inlineStr">
        <is>
          <t>Customer service continuity and experience</t>
        </is>
      </c>
      <c r="E280" s="13" t="inlineStr">
        <is>
          <t>How mature is the organization in managing systematic customer perception measurement with NPS or CSAT trends, segmentation and follow-up actions, including ownership, evidence, metrics, fallback procedures and crisis stress testing?</t>
        </is>
      </c>
      <c r="F280" s="13" t="inlineStr">
        <is>
          <t>Immature capability for systematic customer perception measurement with NPS or CSAT trends, segmentation and follow-up actions may lead to blind spots in customer sentiment, late churn detection and unverified service quality claims during Reputation crisis; Demand shock; Key customer loss.</t>
        </is>
      </c>
      <c r="G280" s="13" t="inlineStr">
        <is>
          <t>Low maturity, weak ownership, incomplete evidence, insufficient testing and poor integration with crisis-management routines for systematic customer perception measurement with NPS or CSAT trends, segmentation and follow-up actions.</t>
        </is>
      </c>
      <c r="H280" s="13" t="inlineStr">
        <is>
          <t>Severe risk: systematic customer perception measurement with NPS or CSAT trends, segmentation and follow-up actions is not reliably controlled. During Reputation crisis; Demand shock; Key customer loss, the organization may face blind spots in customer sentiment, late churn detection and unverified service quality claims with limited visibility or accountability.</t>
        </is>
      </c>
      <c r="I280" s="13" t="inlineStr">
        <is>
          <t>High risk: systematic customer perception measurement with NPS or CSAT trends, segmentation and follow-up actions depends on informal practices or individual knowledge. Disruption may expose blind spots in customer sentiment, late churn detection and unverified service quality claims and slow recovery.</t>
        </is>
      </c>
      <c r="J280" s="13" t="inlineStr">
        <is>
          <t>Elevated risk: systematic customer perception measurement with NPS or CSAT trends, segmentation and follow-up actions is partially controlled, but coverage, evidence or testing is inconsistent. Crisis response may be fragmented.</t>
        </is>
      </c>
      <c r="K280" s="13" t="inlineStr">
        <is>
          <t>Moderate risk: systematic customer perception measurement with NPS or CSAT trends, segmentation and follow-up actions is documented and owned, but measurement, stress testing and integration with dependent processes need strengthening.</t>
        </is>
      </c>
      <c r="L280" s="13" t="inlineStr">
        <is>
          <t>Residual risk: systematic customer perception measurement with NPS or CSAT trends, segmentation and follow-up actions is measured and reviewed, but monitoring, automation or scenario testing should be improved to prevent maturity drift.</t>
        </is>
      </c>
      <c r="M280" s="13" t="inlineStr">
        <is>
          <t>Low residual risk: systematic customer perception measurement with NPS or CSAT trends, segmentation and follow-up actions is mature and crisis-tested. Maintain monitoring, evidence, ownership and periodic stress testing.</t>
        </is>
      </c>
      <c r="N280" s="13" t="inlineStr">
        <is>
          <t>Create an immediate risk owner, minimum control baseline and fallback procedure for systematic customer perception measurement with NPS or CSAT trends, segmentation and follow-up actions. Add it to the crisis risk register and collect first evidence.</t>
        </is>
      </c>
      <c r="O280" s="13" t="inlineStr">
        <is>
          <t>Document systematic customer perception measurement with NPS or CSAT trends, segmentation and follow-up actions, assign RACI, define minimum controls and KPIs, and validate coverage across key sites, teams or systems.</t>
        </is>
      </c>
      <c r="P280" s="13" t="inlineStr">
        <is>
          <t>Standardize systematic customer perception measurement with NPS or CSAT trends, segmentation and follow-up actions, close coverage gaps, train accountable roles and connect controls to the relevant crisis scenarios and continuity plans.</t>
        </is>
      </c>
      <c r="Q280" s="13" t="inlineStr">
        <is>
          <t>Measure and test systematic customer perception measurement with NPS or CSAT trends, segmentation and follow-up actions, run tabletop or operational stress tests, integrate it with dependent processes and update crisis playbooks.</t>
        </is>
      </c>
      <c r="R280" s="13" t="inlineStr">
        <is>
          <t>Automate monitoring where practical, define leading indicators, run periodic scenario tests and track residual risk after each major change.</t>
        </is>
      </c>
      <c r="S280" s="13" t="inlineStr">
        <is>
          <t>Sustain maturity for systematic customer perception measurement with NPS or CSAT trends, segmentation and follow-up actions: keep evidence current, monitor drift, benchmark externally and refresh risk tests after organizational, system or market changes.</t>
        </is>
      </c>
      <c r="T280" s="13" t="n">
        <v>2</v>
      </c>
      <c r="U280" s="13" t="n">
        <v>2</v>
      </c>
      <c r="V280" s="13" t="n">
        <v>2</v>
      </c>
      <c r="W280" s="13" t="n">
        <v>2</v>
      </c>
      <c r="X280" s="13" t="n">
        <v>1</v>
      </c>
      <c r="Y280" s="13" t="n">
        <v>1</v>
      </c>
      <c r="Z280" s="13" t="inlineStr">
        <is>
          <t>ISO 10004; EFQM 2025 Results; APQC PCF 3.0</t>
        </is>
      </c>
      <c r="AA280" s="13" t="inlineStr">
        <is>
          <t>Policy/SOP; owner/RACI; system report; dashboard; contracts; test records; incident history; interview evidence related to systematic customer perception measurement with NPS or CSAT trends, segmentation and follow-up actions</t>
        </is>
      </c>
      <c r="AB280" s="13" t="inlineStr">
        <is>
          <t>Reputation crisis; Demand shock; Key customer loss</t>
        </is>
      </c>
      <c r="AC280" s="13" t="inlineStr">
        <is>
          <t>Head of Customer Service / CMO</t>
        </is>
      </c>
      <c r="AD280" s="13" t="inlineStr">
        <is>
          <t>Sales CRM!28</t>
        </is>
      </c>
      <c r="AE280">
        <f>IF($A280="","",IF(OR(ISNUMBER(SEARCH("cyber",$D280)),ISNUMBER(SEARCH("security",$D280)),ISNUMBER(SEARCH("safety",$D280)),ISNUMBER(SEARCH("liquidity",$D280)),ISNUMBER(SEARCH("cash",$D280)),ISNUMBER(SEARCH("continuity",$D280)),ISNUMBER(SEARCH("infrastructure",$D280)),ISNUMBER(SEARCH("outage",$D280))),"Fast",IF(OR(ISNUMBER(SEARCH("compliance",$D280)),ISNUMBER(SEARCH("regulat",$D280)),ISNUMBER(SEARCH("data",$D280)),ISNUMBER(SEARCH("talent",$D280)),ISNUMBER(SEARCH("knowledge",$D280)),ISNUMBER(SEARCH("portfolio",$D280)),ISNUMBER(SEARCH("quality",$D280))),"Slow","Medium")))</f>
        <v/>
      </c>
      <c r="AF280">
        <f>IF($A280="","",IFERROR(VLOOKUP($B280,'_CONFIG_Risk_Calibration'!$A$5:$H$21,2,FALSE),3))</f>
        <v/>
      </c>
      <c r="AG280">
        <f>IF($A280="","",IFERROR(VLOOKUP($B280,'_CONFIG_Risk_Calibration'!$A$5:$H$21,3,FALSE),0))</f>
        <v/>
      </c>
      <c r="AH280">
        <f>IF($A280="","",IFERROR(VLOOKUP($B280,'_CONFIG_Risk_Calibration'!$A$5:$H$21,4,FALSE),3))</f>
        <v/>
      </c>
      <c r="AI280">
        <f>IF($A280="","",IFERROR(VLOOKUP($B280,'_CONFIG_Risk_Calibration'!$A$5:$H$21,5,FALSE),3))</f>
        <v/>
      </c>
      <c r="AJ280">
        <f>IF($A280="","",IFERROR(VLOOKUP($B280,'_CONFIG_Risk_Calibration'!$A$5:$H$21,6,FALSE),"No"))</f>
        <v/>
      </c>
      <c r="AK280">
        <f>IF($A280="","",IFERROR(VLOOKUP($B280,'_CONFIG_Risk_Calibration'!$A$5:$H$21,7,FALSE),1))</f>
        <v/>
      </c>
      <c r="AL280">
        <f>IF($A280="","",IFERROR(VLOOKUP($B280,'_CONFIG_Risk_Calibration'!$A$5:$H$21,8,FALSE),""))</f>
        <v/>
      </c>
    </row>
    <row r="281" ht="72" customHeight="1" s="209">
      <c r="A281" s="13" t="inlineStr">
        <is>
          <t>MARK-001</t>
        </is>
      </c>
      <c r="B281" s="13" t="inlineStr">
        <is>
          <t>Marketing Comms</t>
        </is>
      </c>
      <c r="C281" s="13" t="inlineStr">
        <is>
          <t>Brand and market presence</t>
        </is>
      </c>
      <c r="D281" s="13" t="inlineStr">
        <is>
          <t>Market communication and reputation resilience</t>
        </is>
      </c>
      <c r="E281" s="13" t="inlineStr">
        <is>
          <t>How mature is the organization in managing brand positioning aligned with ICP, offering, differentiation and proof points, including ownership, evidence, metrics, fallback procedures and crisis stress testing?</t>
        </is>
      </c>
      <c r="F281" s="13" t="inlineStr">
        <is>
          <t>Immature capability for brand positioning aligned with ICP, offering, differentiation and proof points may lead to loss of customer trust, reputational damage and inconsistent crisis communication during Reputation crisis; Demand shock; IT outage.</t>
        </is>
      </c>
      <c r="G281" s="13" t="inlineStr">
        <is>
          <t>Low maturity, weak ownership, incomplete evidence, insufficient testing and poor integration with crisis-management routines for brand positioning aligned with ICP, offering, differentiation and proof points.</t>
        </is>
      </c>
      <c r="H281" s="13" t="inlineStr">
        <is>
          <t>Severe risk: brand positioning aligned with ICP, offering, differentiation and proof points is not reliably controlled. During Reputation crisis; Demand shock; IT outage, the organization may face loss of customer trust, reputational damage and inconsistent crisis communication with limited visibility or accountability.</t>
        </is>
      </c>
      <c r="I281" s="13" t="inlineStr">
        <is>
          <t>High risk: brand positioning aligned with ICP, offering, differentiation and proof points depends on informal practices or individual knowledge. Disruption may expose loss of customer trust, reputational damage and inconsistent crisis communication and slow recovery.</t>
        </is>
      </c>
      <c r="J281" s="13" t="inlineStr">
        <is>
          <t>Elevated risk: brand positioning aligned with ICP, offering, differentiation and proof points is partially controlled, but coverage, evidence or testing is inconsistent. Crisis response may be fragmented.</t>
        </is>
      </c>
      <c r="K281" s="13" t="inlineStr">
        <is>
          <t>Moderate risk: brand positioning aligned with ICP, offering, differentiation and proof points is documented and owned, but measurement, stress testing and integration with dependent processes need strengthening.</t>
        </is>
      </c>
      <c r="L281" s="13" t="inlineStr">
        <is>
          <t>Residual risk: brand positioning aligned with ICP, offering, differentiation and proof points is measured and reviewed, but monitoring, automation or scenario testing should be improved to prevent maturity drift.</t>
        </is>
      </c>
      <c r="M281" s="13" t="inlineStr">
        <is>
          <t>Low residual risk: brand positioning aligned with ICP, offering, differentiation and proof points is mature and crisis-tested. Maintain monitoring, evidence, ownership and periodic stress testing.</t>
        </is>
      </c>
      <c r="N281" s="13" t="inlineStr">
        <is>
          <t>Create an immediate risk owner, minimum control baseline and fallback procedure for brand positioning aligned with ICP, offering, differentiation and proof points. Add it to the crisis risk register and collect first evidence.</t>
        </is>
      </c>
      <c r="O281" s="13" t="inlineStr">
        <is>
          <t>Document brand positioning aligned with ICP, offering, differentiation and proof points, assign RACI, define minimum controls and KPIs, and validate coverage across key sites, teams or systems.</t>
        </is>
      </c>
      <c r="P281" s="13" t="inlineStr">
        <is>
          <t>Standardize brand positioning aligned with ICP, offering, differentiation and proof points, close coverage gaps, train accountable roles and connect controls to the relevant crisis scenarios and continuity plans.</t>
        </is>
      </c>
      <c r="Q281" s="13" t="inlineStr">
        <is>
          <t>Measure and test brand positioning aligned with ICP, offering, differentiation and proof points, run tabletop or operational stress tests, integrate it with dependent processes and update crisis playbooks.</t>
        </is>
      </c>
      <c r="R281" s="13" t="inlineStr">
        <is>
          <t>Automate monitoring where practical, define leading indicators, run periodic scenario tests and track residual risk after each major change.</t>
        </is>
      </c>
      <c r="S281" s="13" t="inlineStr">
        <is>
          <t>Sustain maturity for brand positioning aligned with ICP, offering, differentiation and proof points: keep evidence current, monitor drift, benchmark externally and refresh risk tests after organizational, system or market changes.</t>
        </is>
      </c>
      <c r="T281" s="13" t="n">
        <v>3</v>
      </c>
      <c r="U281" s="13" t="n">
        <v>3</v>
      </c>
      <c r="V281" s="13" t="n">
        <v>2</v>
      </c>
      <c r="W281" s="13" t="n">
        <v>2</v>
      </c>
      <c r="X281" s="13" t="n">
        <v>1</v>
      </c>
      <c r="Y281" s="13" t="n">
        <v>1</v>
      </c>
      <c r="Z281" s="13" t="inlineStr">
        <is>
          <t>ISO 10002; ISO 10004; ISO 20671-1; ISO 22301; AMEC; crisis communication best practices</t>
        </is>
      </c>
      <c r="AA281" s="13" t="inlineStr">
        <is>
          <t>Policy/SOP; owner/RACI; system report; dashboard; contracts; test records; incident history; interview evidence related to brand positioning aligned with ICP, offering, differentiation and proof points.</t>
        </is>
      </c>
      <c r="AB281" s="13" t="inlineStr">
        <is>
          <t>Reputation crisis; Demand shock; IT outage</t>
        </is>
      </c>
      <c r="AC281" s="13" t="inlineStr">
        <is>
          <t>CMO / Communications</t>
        </is>
      </c>
      <c r="AD281" s="13" t="inlineStr">
        <is>
          <t>Marketing Comms!5</t>
        </is>
      </c>
      <c r="AE281">
        <f>IF($A281="","",IF(OR(ISNUMBER(SEARCH("cyber",$D281)),ISNUMBER(SEARCH("security",$D281)),ISNUMBER(SEARCH("safety",$D281)),ISNUMBER(SEARCH("liquidity",$D281)),ISNUMBER(SEARCH("cash",$D281)),ISNUMBER(SEARCH("continuity",$D281)),ISNUMBER(SEARCH("infrastructure",$D281)),ISNUMBER(SEARCH("outage",$D281))),"Fast",IF(OR(ISNUMBER(SEARCH("compliance",$D281)),ISNUMBER(SEARCH("regulat",$D281)),ISNUMBER(SEARCH("data",$D281)),ISNUMBER(SEARCH("talent",$D281)),ISNUMBER(SEARCH("knowledge",$D281)),ISNUMBER(SEARCH("portfolio",$D281)),ISNUMBER(SEARCH("quality",$D281))),"Slow","Medium")))</f>
        <v/>
      </c>
      <c r="AF281">
        <f>IF($A281="","",IFERROR(VLOOKUP($B281,'_CONFIG_Risk_Calibration'!$A$5:$H$21,2,FALSE),3))</f>
        <v/>
      </c>
      <c r="AG281">
        <f>IF($A281="","",IFERROR(VLOOKUP($B281,'_CONFIG_Risk_Calibration'!$A$5:$H$21,3,FALSE),0))</f>
        <v/>
      </c>
      <c r="AH281">
        <f>IF($A281="","",IFERROR(VLOOKUP($B281,'_CONFIG_Risk_Calibration'!$A$5:$H$21,4,FALSE),3))</f>
        <v/>
      </c>
      <c r="AI281">
        <f>IF($A281="","",IFERROR(VLOOKUP($B281,'_CONFIG_Risk_Calibration'!$A$5:$H$21,5,FALSE),3))</f>
        <v/>
      </c>
      <c r="AJ281">
        <f>IF($A281="","",IFERROR(VLOOKUP($B281,'_CONFIG_Risk_Calibration'!$A$5:$H$21,6,FALSE),"No"))</f>
        <v/>
      </c>
      <c r="AK281">
        <f>IF($A281="","",IFERROR(VLOOKUP($B281,'_CONFIG_Risk_Calibration'!$A$5:$H$21,7,FALSE),1))</f>
        <v/>
      </c>
      <c r="AL281">
        <f>IF($A281="","",IFERROR(VLOOKUP($B281,'_CONFIG_Risk_Calibration'!$A$5:$H$21,8,FALSE),""))</f>
        <v/>
      </c>
    </row>
    <row r="282" ht="72" customHeight="1" s="209">
      <c r="A282" s="13" t="inlineStr">
        <is>
          <t>MARK-002</t>
        </is>
      </c>
      <c r="B282" s="13" t="inlineStr">
        <is>
          <t>Marketing Comms</t>
        </is>
      </c>
      <c r="C282" s="13" t="inlineStr">
        <is>
          <t>Brand and market presence</t>
        </is>
      </c>
      <c r="D282" s="13" t="inlineStr">
        <is>
          <t>Market communication and reputation resilience</t>
        </is>
      </c>
      <c r="E282" s="13" t="inlineStr">
        <is>
          <t>How mature is the organization in managing digital channel dependency across website, search, paid media, social, events and partners, including ownership, evidence, metrics, fallback procedures and crisis stress testing?</t>
        </is>
      </c>
      <c r="F282" s="13" t="inlineStr">
        <is>
          <t>Immature capability for digital channel dependency across website, search, paid media, social, events and partners may lead to loss of customer trust, reputational damage and inconsistent crisis communication during Reputation crisis; Demand shock; IT outage.</t>
        </is>
      </c>
      <c r="G282" s="13" t="inlineStr">
        <is>
          <t>Low maturity, weak ownership, incomplete evidence, insufficient testing and poor integration with crisis-management routines for digital channel dependency across website, search, paid media, social, events and partners.</t>
        </is>
      </c>
      <c r="H282" s="13" t="inlineStr">
        <is>
          <t>Severe risk: digital channel dependency across website, search, paid media, social, events and partners is not reliably controlled. During Reputation crisis; Demand shock; IT outage, the organization may face loss of customer trust, reputational damage and inconsistent crisis communication with limited visibility or accountability.</t>
        </is>
      </c>
      <c r="I282" s="13" t="inlineStr">
        <is>
          <t>High risk: digital channel dependency across website, search, paid media, social, events and partners depends on informal practices or individual knowledge. Disruption may expose loss of customer trust, reputational damage and inconsistent crisis communication and slow recovery.</t>
        </is>
      </c>
      <c r="J282" s="13" t="inlineStr">
        <is>
          <t>Elevated risk: digital channel dependency across website, search, paid media, social, events and partners is partially controlled, but coverage, evidence or testing is inconsistent. Crisis response may be fragmented.</t>
        </is>
      </c>
      <c r="K282" s="13" t="inlineStr">
        <is>
          <t>Moderate risk: digital channel dependency across website, search, paid media, social, events and partners is documented and owned, but measurement, stress testing and integration with dependent processes need strengthening.</t>
        </is>
      </c>
      <c r="L282" s="13" t="inlineStr">
        <is>
          <t>Residual risk: digital channel dependency across website, search, paid media, social, events and partners is measured and reviewed, but monitoring, automation or scenario testing should be improved to prevent maturity drift.</t>
        </is>
      </c>
      <c r="M282" s="13" t="inlineStr">
        <is>
          <t>Low residual risk: digital channel dependency across website, search, paid media, social, events and partners is mature and crisis-tested. Maintain monitoring, evidence, ownership and periodic stress testing.</t>
        </is>
      </c>
      <c r="N282" s="13" t="inlineStr">
        <is>
          <t>Create an immediate risk owner, minimum control baseline and fallback procedure for digital channel dependency across website, search, paid media, social, events and partners. Add it to the crisis risk register and collect first evidence.</t>
        </is>
      </c>
      <c r="O282" s="13" t="inlineStr">
        <is>
          <t>Document digital channel dependency across website, search, paid media, social, events and partners, assign RACI, define minimum controls and KPIs, and validate coverage across key sites, teams or systems.</t>
        </is>
      </c>
      <c r="P282" s="13" t="inlineStr">
        <is>
          <t>Standardize digital channel dependency across website, search, paid media, social, events and partners, close coverage gaps, train accountable roles and connect controls to the relevant crisis scenarios and continuity plans.</t>
        </is>
      </c>
      <c r="Q282" s="13" t="inlineStr">
        <is>
          <t>Measure and test digital channel dependency across website, search, paid media, social, events and partners, run tabletop or operational stress tests, integrate it with dependent processes and update crisis playbooks.</t>
        </is>
      </c>
      <c r="R282" s="13" t="inlineStr">
        <is>
          <t>Automate monitoring where practical, define leading indicators, run periodic scenario tests and track residual risk after each major change.</t>
        </is>
      </c>
      <c r="S282" s="13" t="inlineStr">
        <is>
          <t>Sustain maturity for digital channel dependency across website, search, paid media, social, events and partners: keep evidence current, monitor drift, benchmark externally and refresh risk tests after organizational, system or market changes.</t>
        </is>
      </c>
      <c r="T282" s="13" t="n">
        <v>3</v>
      </c>
      <c r="U282" s="13" t="n">
        <v>3</v>
      </c>
      <c r="V282" s="13" t="n">
        <v>2</v>
      </c>
      <c r="W282" s="13" t="n">
        <v>2</v>
      </c>
      <c r="X282" s="13" t="n">
        <v>1</v>
      </c>
      <c r="Y282" s="13" t="n">
        <v>1</v>
      </c>
      <c r="Z282" s="13" t="inlineStr">
        <is>
          <t>ISO 10002; ISO 10004; ISO 20671-1; ISO 22301; AMEC; crisis communication best practices</t>
        </is>
      </c>
      <c r="AA282" s="13" t="inlineStr">
        <is>
          <t>Policy/SOP; owner/RACI; system report; dashboard; contracts; test records; incident history; interview evidence related to digital channel dependency across website, search, paid media, social, events and partners.</t>
        </is>
      </c>
      <c r="AB282" s="13" t="inlineStr">
        <is>
          <t>Reputation crisis; Demand shock; IT outage</t>
        </is>
      </c>
      <c r="AC282" s="13" t="inlineStr">
        <is>
          <t>CMO / Communications</t>
        </is>
      </c>
      <c r="AD282" s="13" t="inlineStr">
        <is>
          <t>Marketing Comms!6</t>
        </is>
      </c>
      <c r="AE282">
        <f>IF($A282="","",IF(OR(ISNUMBER(SEARCH("cyber",$D282)),ISNUMBER(SEARCH("security",$D282)),ISNUMBER(SEARCH("safety",$D282)),ISNUMBER(SEARCH("liquidity",$D282)),ISNUMBER(SEARCH("cash",$D282)),ISNUMBER(SEARCH("continuity",$D282)),ISNUMBER(SEARCH("infrastructure",$D282)),ISNUMBER(SEARCH("outage",$D282))),"Fast",IF(OR(ISNUMBER(SEARCH("compliance",$D282)),ISNUMBER(SEARCH("regulat",$D282)),ISNUMBER(SEARCH("data",$D282)),ISNUMBER(SEARCH("talent",$D282)),ISNUMBER(SEARCH("knowledge",$D282)),ISNUMBER(SEARCH("portfolio",$D282)),ISNUMBER(SEARCH("quality",$D282))),"Slow","Medium")))</f>
        <v/>
      </c>
      <c r="AF282">
        <f>IF($A282="","",IFERROR(VLOOKUP($B282,'_CONFIG_Risk_Calibration'!$A$5:$H$21,2,FALSE),3))</f>
        <v/>
      </c>
      <c r="AG282">
        <f>IF($A282="","",IFERROR(VLOOKUP($B282,'_CONFIG_Risk_Calibration'!$A$5:$H$21,3,FALSE),0))</f>
        <v/>
      </c>
      <c r="AH282">
        <f>IF($A282="","",IFERROR(VLOOKUP($B282,'_CONFIG_Risk_Calibration'!$A$5:$H$21,4,FALSE),3))</f>
        <v/>
      </c>
      <c r="AI282">
        <f>IF($A282="","",IFERROR(VLOOKUP($B282,'_CONFIG_Risk_Calibration'!$A$5:$H$21,5,FALSE),3))</f>
        <v/>
      </c>
      <c r="AJ282">
        <f>IF($A282="","",IFERROR(VLOOKUP($B282,'_CONFIG_Risk_Calibration'!$A$5:$H$21,6,FALSE),"No"))</f>
        <v/>
      </c>
      <c r="AK282">
        <f>IF($A282="","",IFERROR(VLOOKUP($B282,'_CONFIG_Risk_Calibration'!$A$5:$H$21,7,FALSE),1))</f>
        <v/>
      </c>
      <c r="AL282">
        <f>IF($A282="","",IFERROR(VLOOKUP($B282,'_CONFIG_Risk_Calibration'!$A$5:$H$21,8,FALSE),""))</f>
        <v/>
      </c>
    </row>
    <row r="283" ht="72" customHeight="1" s="209">
      <c r="A283" s="13" t="inlineStr">
        <is>
          <t>MARK-003</t>
        </is>
      </c>
      <c r="B283" s="13" t="inlineStr">
        <is>
          <t>Marketing Comms</t>
        </is>
      </c>
      <c r="C283" s="13" t="inlineStr">
        <is>
          <t>Brand and market presence</t>
        </is>
      </c>
      <c r="D283" s="13" t="inlineStr">
        <is>
          <t>Market communication and reputation resilience</t>
        </is>
      </c>
      <c r="E283" s="13" t="inlineStr">
        <is>
          <t>How mature is the organization in managing website and lead-form availability during traffic spikes, cyberattacks or hosting outages, including ownership, evidence, metrics, fallback procedures and crisis stress testing?</t>
        </is>
      </c>
      <c r="F283" s="13" t="inlineStr">
        <is>
          <t>Immature capability for website and lead-form availability during traffic spikes, cyberattacks or hosting outages may lead to loss of customer trust, reputational damage and inconsistent crisis communication during Reputation crisis; Demand shock; IT outage.</t>
        </is>
      </c>
      <c r="G283" s="13" t="inlineStr">
        <is>
          <t>Low maturity, weak ownership, incomplete evidence, insufficient testing and poor integration with crisis-management routines for website and lead-form availability during traffic spikes, cyberattacks or hosting outages.</t>
        </is>
      </c>
      <c r="H283" s="13" t="inlineStr">
        <is>
          <t>Severe risk: website and lead-form availability during traffic spikes, cyberattacks or hosting outages is not reliably controlled. During Reputation crisis; Demand shock; IT outage, the organization may face loss of customer trust, reputational damage and inconsistent crisis communication with limited visibility or accountability.</t>
        </is>
      </c>
      <c r="I283" s="13" t="inlineStr">
        <is>
          <t>High risk: website and lead-form availability during traffic spikes, cyberattacks or hosting outages depends on informal practices or individual knowledge. Disruption may expose loss of customer trust, reputational damage and inconsistent crisis communication and slow recovery.</t>
        </is>
      </c>
      <c r="J283" s="13" t="inlineStr">
        <is>
          <t>Elevated risk: website and lead-form availability during traffic spikes, cyberattacks or hosting outages is partially controlled, but coverage, evidence or testing is inconsistent. Crisis response may be fragmented.</t>
        </is>
      </c>
      <c r="K283" s="13" t="inlineStr">
        <is>
          <t>Moderate risk: website and lead-form availability during traffic spikes, cyberattacks or hosting outages is documented and owned, but measurement, stress testing and integration with dependent processes need strengthening.</t>
        </is>
      </c>
      <c r="L283" s="13" t="inlineStr">
        <is>
          <t>Residual risk: website and lead-form availability during traffic spikes, cyberattacks or hosting outages is measured and reviewed, but monitoring, automation or scenario testing should be improved to prevent maturity drift.</t>
        </is>
      </c>
      <c r="M283" s="13" t="inlineStr">
        <is>
          <t>Low residual risk: website and lead-form availability during traffic spikes, cyberattacks or hosting outages is mature and crisis-tested. Maintain monitoring, evidence, ownership and periodic stress testing.</t>
        </is>
      </c>
      <c r="N283" s="13" t="inlineStr">
        <is>
          <t>Create an immediate risk owner, minimum control baseline and fallback procedure for website and lead-form availability during traffic spikes, cyberattacks or hosting outages. Add it to the crisis risk register and collect first evidence.</t>
        </is>
      </c>
      <c r="O283" s="13" t="inlineStr">
        <is>
          <t>Document website and lead-form availability during traffic spikes, cyberattacks or hosting outages, assign RACI, define minimum controls and KPIs, and validate coverage across key sites, teams or systems.</t>
        </is>
      </c>
      <c r="P283" s="13" t="inlineStr">
        <is>
          <t>Standardize website and lead-form availability during traffic spikes, cyberattacks or hosting outages, close coverage gaps, train accountable roles and connect controls to the relevant crisis scenarios and continuity plans.</t>
        </is>
      </c>
      <c r="Q283" s="13" t="inlineStr">
        <is>
          <t>Measure and test website and lead-form availability during traffic spikes, cyberattacks or hosting outages, run tabletop or operational stress tests, integrate it with dependent processes and update crisis playbooks.</t>
        </is>
      </c>
      <c r="R283" s="13" t="inlineStr">
        <is>
          <t>Automate monitoring where practical, define leading indicators, run periodic scenario tests and track residual risk after each major change.</t>
        </is>
      </c>
      <c r="S283" s="13" t="inlineStr">
        <is>
          <t>Sustain maturity for website and lead-form availability during traffic spikes, cyberattacks or hosting outages: keep evidence current, monitor drift, benchmark externally and refresh risk tests after organizational, system or market changes.</t>
        </is>
      </c>
      <c r="T283" s="13" t="n">
        <v>3</v>
      </c>
      <c r="U283" s="13" t="n">
        <v>3</v>
      </c>
      <c r="V283" s="13" t="n">
        <v>2</v>
      </c>
      <c r="W283" s="13" t="n">
        <v>2</v>
      </c>
      <c r="X283" s="13" t="n">
        <v>1</v>
      </c>
      <c r="Y283" s="13" t="n">
        <v>1</v>
      </c>
      <c r="Z283" s="13" t="inlineStr">
        <is>
          <t>ISO 10002; ISO 10004; ISO 20671-1; ISO 22301; AMEC; crisis communication best practices</t>
        </is>
      </c>
      <c r="AA283" s="13" t="inlineStr">
        <is>
          <t>Policy/SOP; owner/RACI; system report; dashboard; contracts; test records; incident history; interview evidence related to website and lead-form availability during traffic spikes, cyberattacks or hosting outages.</t>
        </is>
      </c>
      <c r="AB283" s="13" t="inlineStr">
        <is>
          <t>Reputation crisis; Demand shock; IT outage</t>
        </is>
      </c>
      <c r="AC283" s="13" t="inlineStr">
        <is>
          <t>CMO / Communications</t>
        </is>
      </c>
      <c r="AD283" s="13" t="inlineStr">
        <is>
          <t>Marketing Comms!7</t>
        </is>
      </c>
      <c r="AE283">
        <f>IF($A283="","",IF(OR(ISNUMBER(SEARCH("cyber",$D283)),ISNUMBER(SEARCH("security",$D283)),ISNUMBER(SEARCH("safety",$D283)),ISNUMBER(SEARCH("liquidity",$D283)),ISNUMBER(SEARCH("cash",$D283)),ISNUMBER(SEARCH("continuity",$D283)),ISNUMBER(SEARCH("infrastructure",$D283)),ISNUMBER(SEARCH("outage",$D283))),"Fast",IF(OR(ISNUMBER(SEARCH("compliance",$D283)),ISNUMBER(SEARCH("regulat",$D283)),ISNUMBER(SEARCH("data",$D283)),ISNUMBER(SEARCH("talent",$D283)),ISNUMBER(SEARCH("knowledge",$D283)),ISNUMBER(SEARCH("portfolio",$D283)),ISNUMBER(SEARCH("quality",$D283))),"Slow","Medium")))</f>
        <v/>
      </c>
      <c r="AF283">
        <f>IF($A283="","",IFERROR(VLOOKUP($B283,'_CONFIG_Risk_Calibration'!$A$5:$H$21,2,FALSE),3))</f>
        <v/>
      </c>
      <c r="AG283">
        <f>IF($A283="","",IFERROR(VLOOKUP($B283,'_CONFIG_Risk_Calibration'!$A$5:$H$21,3,FALSE),0))</f>
        <v/>
      </c>
      <c r="AH283">
        <f>IF($A283="","",IFERROR(VLOOKUP($B283,'_CONFIG_Risk_Calibration'!$A$5:$H$21,4,FALSE),3))</f>
        <v/>
      </c>
      <c r="AI283">
        <f>IF($A283="","",IFERROR(VLOOKUP($B283,'_CONFIG_Risk_Calibration'!$A$5:$H$21,5,FALSE),3))</f>
        <v/>
      </c>
      <c r="AJ283">
        <f>IF($A283="","",IFERROR(VLOOKUP($B283,'_CONFIG_Risk_Calibration'!$A$5:$H$21,6,FALSE),"No"))</f>
        <v/>
      </c>
      <c r="AK283">
        <f>IF($A283="","",IFERROR(VLOOKUP($B283,'_CONFIG_Risk_Calibration'!$A$5:$H$21,7,FALSE),1))</f>
        <v/>
      </c>
      <c r="AL283">
        <f>IF($A283="","",IFERROR(VLOOKUP($B283,'_CONFIG_Risk_Calibration'!$A$5:$H$21,8,FALSE),""))</f>
        <v/>
      </c>
    </row>
    <row r="284" ht="72" customHeight="1" s="209">
      <c r="A284" s="13" t="inlineStr">
        <is>
          <t>MARK-004</t>
        </is>
      </c>
      <c r="B284" s="13" t="inlineStr">
        <is>
          <t>Marketing Comms</t>
        </is>
      </c>
      <c r="C284" s="13" t="inlineStr">
        <is>
          <t>Brand and market presence</t>
        </is>
      </c>
      <c r="D284" s="13" t="inlineStr">
        <is>
          <t>Market communication and reputation resilience</t>
        </is>
      </c>
      <c r="E284" s="13" t="inlineStr">
        <is>
          <t>How mature is the organization in managing campaign performance, attribution, conversion, CAC and channel ROI measurement, including ownership, evidence, metrics, fallback procedures and crisis stress testing?</t>
        </is>
      </c>
      <c r="F284" s="13" t="inlineStr">
        <is>
          <t>Immature capability for campaign performance, attribution, conversion, CAC and channel ROI measurement may lead to loss of customer trust, reputational damage and inconsistent crisis communication during Reputation crisis; Demand shock; IT outage.</t>
        </is>
      </c>
      <c r="G284" s="13" t="inlineStr">
        <is>
          <t>Low maturity, weak ownership, incomplete evidence, insufficient testing and poor integration with crisis-management routines for campaign performance, attribution, conversion, CAC and channel ROI measurement.</t>
        </is>
      </c>
      <c r="H284" s="13" t="inlineStr">
        <is>
          <t>Severe risk: campaign performance, attribution, conversion, CAC and channel ROI measurement is not reliably controlled. During Reputation crisis; Demand shock; IT outage, the organization may face loss of customer trust, reputational damage and inconsistent crisis communication with limited visibility or accountability.</t>
        </is>
      </c>
      <c r="I284" s="13" t="inlineStr">
        <is>
          <t>High risk: campaign performance, attribution, conversion, CAC and channel ROI measurement depends on informal practices or individual knowledge. Disruption may expose loss of customer trust, reputational damage and inconsistent crisis communication and slow recovery.</t>
        </is>
      </c>
      <c r="J284" s="13" t="inlineStr">
        <is>
          <t>Elevated risk: campaign performance, attribution, conversion, CAC and channel ROI measurement is partially controlled, but coverage, evidence or testing is inconsistent. Crisis response may be fragmented.</t>
        </is>
      </c>
      <c r="K284" s="13" t="inlineStr">
        <is>
          <t>Moderate risk: campaign performance, attribution, conversion, CAC and channel ROI measurement is documented and owned, but measurement, stress testing and integration with dependent processes need strengthening.</t>
        </is>
      </c>
      <c r="L284" s="13" t="inlineStr">
        <is>
          <t>Residual risk: campaign performance, attribution, conversion, CAC and channel ROI measurement is measured and reviewed, but monitoring, automation or scenario testing should be improved to prevent maturity drift.</t>
        </is>
      </c>
      <c r="M284" s="13" t="inlineStr">
        <is>
          <t>Low residual risk: campaign performance, attribution, conversion, CAC and channel ROI measurement is mature and crisis-tested. Maintain monitoring, evidence, ownership and periodic stress testing.</t>
        </is>
      </c>
      <c r="N284" s="13" t="inlineStr">
        <is>
          <t>Create an immediate risk owner, minimum control baseline and fallback procedure for campaign performance, attribution, conversion, CAC and channel ROI measurement. Add it to the crisis risk register and collect first evidence.</t>
        </is>
      </c>
      <c r="O284" s="13" t="inlineStr">
        <is>
          <t>Document campaign performance, attribution, conversion, CAC and channel ROI measurement, assign RACI, define minimum controls and KPIs, and validate coverage across key sites, teams or systems.</t>
        </is>
      </c>
      <c r="P284" s="13" t="inlineStr">
        <is>
          <t>Standardize campaign performance, attribution, conversion, CAC and channel ROI measurement, close coverage gaps, train accountable roles and connect controls to the relevant crisis scenarios and continuity plans.</t>
        </is>
      </c>
      <c r="Q284" s="13" t="inlineStr">
        <is>
          <t>Measure and test campaign performance, attribution, conversion, CAC and channel ROI measurement, run tabletop or operational stress tests, integrate it with dependent processes and update crisis playbooks.</t>
        </is>
      </c>
      <c r="R284" s="13" t="inlineStr">
        <is>
          <t>Automate monitoring where practical, define leading indicators, run periodic scenario tests and track residual risk after each major change.</t>
        </is>
      </c>
      <c r="S284" s="13" t="inlineStr">
        <is>
          <t>Sustain maturity for campaign performance, attribution, conversion, CAC and channel ROI measurement: keep evidence current, monitor drift, benchmark externally and refresh risk tests after organizational, system or market changes.</t>
        </is>
      </c>
      <c r="T284" s="13" t="n">
        <v>3</v>
      </c>
      <c r="U284" s="13" t="n">
        <v>3</v>
      </c>
      <c r="V284" s="13" t="n">
        <v>2</v>
      </c>
      <c r="W284" s="13" t="n">
        <v>2</v>
      </c>
      <c r="X284" s="13" t="n">
        <v>1</v>
      </c>
      <c r="Y284" s="13" t="n">
        <v>1</v>
      </c>
      <c r="Z284" s="13" t="inlineStr">
        <is>
          <t>ISO 10002; ISO 10004; ISO 20671-1; ISO 22301; AMEC; crisis communication best practices</t>
        </is>
      </c>
      <c r="AA284" s="13" t="inlineStr">
        <is>
          <t>Policy/SOP; owner/RACI; system report; dashboard; contracts; test records; incident history; interview evidence related to campaign performance, attribution, conversion, CAC and channel ROI measurement.</t>
        </is>
      </c>
      <c r="AB284" s="13" t="inlineStr">
        <is>
          <t>Reputation crisis; Demand shock; IT outage</t>
        </is>
      </c>
      <c r="AC284" s="13" t="inlineStr">
        <is>
          <t>CMO / Communications</t>
        </is>
      </c>
      <c r="AD284" s="13" t="inlineStr">
        <is>
          <t>Marketing Comms!8</t>
        </is>
      </c>
      <c r="AE284">
        <f>IF($A284="","",IF(OR(ISNUMBER(SEARCH("cyber",$D284)),ISNUMBER(SEARCH("security",$D284)),ISNUMBER(SEARCH("safety",$D284)),ISNUMBER(SEARCH("liquidity",$D284)),ISNUMBER(SEARCH("cash",$D284)),ISNUMBER(SEARCH("continuity",$D284)),ISNUMBER(SEARCH("infrastructure",$D284)),ISNUMBER(SEARCH("outage",$D284))),"Fast",IF(OR(ISNUMBER(SEARCH("compliance",$D284)),ISNUMBER(SEARCH("regulat",$D284)),ISNUMBER(SEARCH("data",$D284)),ISNUMBER(SEARCH("talent",$D284)),ISNUMBER(SEARCH("knowledge",$D284)),ISNUMBER(SEARCH("portfolio",$D284)),ISNUMBER(SEARCH("quality",$D284))),"Slow","Medium")))</f>
        <v/>
      </c>
      <c r="AF284">
        <f>IF($A284="","",IFERROR(VLOOKUP($B284,'_CONFIG_Risk_Calibration'!$A$5:$H$21,2,FALSE),3))</f>
        <v/>
      </c>
      <c r="AG284">
        <f>IF($A284="","",IFERROR(VLOOKUP($B284,'_CONFIG_Risk_Calibration'!$A$5:$H$21,3,FALSE),0))</f>
        <v/>
      </c>
      <c r="AH284">
        <f>IF($A284="","",IFERROR(VLOOKUP($B284,'_CONFIG_Risk_Calibration'!$A$5:$H$21,4,FALSE),3))</f>
        <v/>
      </c>
      <c r="AI284">
        <f>IF($A284="","",IFERROR(VLOOKUP($B284,'_CONFIG_Risk_Calibration'!$A$5:$H$21,5,FALSE),3))</f>
        <v/>
      </c>
      <c r="AJ284">
        <f>IF($A284="","",IFERROR(VLOOKUP($B284,'_CONFIG_Risk_Calibration'!$A$5:$H$21,6,FALSE),"No"))</f>
        <v/>
      </c>
      <c r="AK284">
        <f>IF($A284="","",IFERROR(VLOOKUP($B284,'_CONFIG_Risk_Calibration'!$A$5:$H$21,7,FALSE),1))</f>
        <v/>
      </c>
      <c r="AL284">
        <f>IF($A284="","",IFERROR(VLOOKUP($B284,'_CONFIG_Risk_Calibration'!$A$5:$H$21,8,FALSE),""))</f>
        <v/>
      </c>
    </row>
    <row r="285" ht="60" customHeight="1" s="209">
      <c r="A285" s="13" t="inlineStr">
        <is>
          <t>MARK-005</t>
        </is>
      </c>
      <c r="B285" s="13" t="inlineStr">
        <is>
          <t>Marketing Comms</t>
        </is>
      </c>
      <c r="C285" s="13" t="inlineStr">
        <is>
          <t>Brand and market presence</t>
        </is>
      </c>
      <c r="D285" s="13" t="inlineStr">
        <is>
          <t>Market communication and reputation resilience</t>
        </is>
      </c>
      <c r="E285" s="13" t="inlineStr">
        <is>
          <t>How mature is the organization in managing lead capture, routing, qualification and follow-up resilience, including ownership, evidence, metrics, fallback procedures and crisis stress testing?</t>
        </is>
      </c>
      <c r="F285" s="13" t="inlineStr">
        <is>
          <t>Immature capability for lead capture, routing, qualification and follow-up resilience may lead to loss of customer trust, reputational damage and inconsistent crisis communication during Reputation crisis; Demand shock; IT outage.</t>
        </is>
      </c>
      <c r="G285" s="13" t="inlineStr">
        <is>
          <t>Low maturity, weak ownership, incomplete evidence, insufficient testing and poor integration with crisis-management routines for lead capture, routing, qualification and follow-up resilience.</t>
        </is>
      </c>
      <c r="H285" s="13" t="inlineStr">
        <is>
          <t>Severe risk: lead capture, routing, qualification and follow-up resilience is not reliably controlled. During Reputation crisis; Demand shock; IT outage, the organization may face loss of customer trust, reputational damage and inconsistent crisis communication with limited visibility or accountability.</t>
        </is>
      </c>
      <c r="I285" s="13" t="inlineStr">
        <is>
          <t>High risk: lead capture, routing, qualification and follow-up resilience depends on informal practices or individual knowledge. Disruption may expose loss of customer trust, reputational damage and inconsistent crisis communication and slow recovery.</t>
        </is>
      </c>
      <c r="J285" s="13" t="inlineStr">
        <is>
          <t>Elevated risk: lead capture, routing, qualification and follow-up resilience is partially controlled, but coverage, evidence or testing is inconsistent. Crisis response may be fragmented.</t>
        </is>
      </c>
      <c r="K285" s="13" t="inlineStr">
        <is>
          <t>Moderate risk: lead capture, routing, qualification and follow-up resilience is documented and owned, but measurement, stress testing and integration with dependent processes need strengthening.</t>
        </is>
      </c>
      <c r="L285" s="13" t="inlineStr">
        <is>
          <t>Residual risk: lead capture, routing, qualification and follow-up resilience is measured and reviewed, but monitoring, automation or scenario testing should be improved to prevent maturity drift.</t>
        </is>
      </c>
      <c r="M285" s="13" t="inlineStr">
        <is>
          <t>Low residual risk: lead capture, routing, qualification and follow-up resilience is mature and crisis-tested. Maintain monitoring, evidence, ownership and periodic stress testing.</t>
        </is>
      </c>
      <c r="N285" s="13" t="inlineStr">
        <is>
          <t>Create an immediate risk owner, minimum control baseline and fallback procedure for lead capture, routing, qualification and follow-up resilience. Add it to the crisis risk register and collect first evidence.</t>
        </is>
      </c>
      <c r="O285" s="13" t="inlineStr">
        <is>
          <t>Document lead capture, routing, qualification and follow-up resilience, assign RACI, define minimum controls and KPIs, and validate coverage across key sites, teams or systems.</t>
        </is>
      </c>
      <c r="P285" s="13" t="inlineStr">
        <is>
          <t>Standardize lead capture, routing, qualification and follow-up resilience, close coverage gaps, train accountable roles and connect controls to the relevant crisis scenarios and continuity plans.</t>
        </is>
      </c>
      <c r="Q285" s="13" t="inlineStr">
        <is>
          <t>Measure and test lead capture, routing, qualification and follow-up resilience, run tabletop or operational stress tests, integrate it with dependent processes and update crisis playbooks.</t>
        </is>
      </c>
      <c r="R285" s="13" t="inlineStr">
        <is>
          <t>Automate monitoring where practical, define leading indicators, run periodic scenario tests and track residual risk after each major change.</t>
        </is>
      </c>
      <c r="S285" s="13" t="inlineStr">
        <is>
          <t>Sustain maturity for lead capture, routing, qualification and follow-up resilience: keep evidence current, monitor drift, benchmark externally and refresh risk tests after organizational, system or market changes.</t>
        </is>
      </c>
      <c r="T285" s="13" t="n">
        <v>3</v>
      </c>
      <c r="U285" s="13" t="n">
        <v>3</v>
      </c>
      <c r="V285" s="13" t="n">
        <v>2</v>
      </c>
      <c r="W285" s="13" t="n">
        <v>2</v>
      </c>
      <c r="X285" s="13" t="n">
        <v>1</v>
      </c>
      <c r="Y285" s="13" t="n">
        <v>1</v>
      </c>
      <c r="Z285" s="13" t="inlineStr">
        <is>
          <t>ISO 10002; ISO 10004; ISO 20671-1; ISO 22301; AMEC; crisis communication best practices</t>
        </is>
      </c>
      <c r="AA285" s="13" t="inlineStr">
        <is>
          <t>Policy/SOP; owner/RACI; system report; dashboard; contracts; test records; incident history; interview evidence related to lead capture, routing, qualification and follow-up resilience.</t>
        </is>
      </c>
      <c r="AB285" s="13" t="inlineStr">
        <is>
          <t>Reputation crisis; Demand shock; IT outage</t>
        </is>
      </c>
      <c r="AC285" s="13" t="inlineStr">
        <is>
          <t>CMO / Communications</t>
        </is>
      </c>
      <c r="AD285" s="13" t="inlineStr">
        <is>
          <t>Marketing Comms!9</t>
        </is>
      </c>
      <c r="AE285">
        <f>IF($A285="","",IF(OR(ISNUMBER(SEARCH("cyber",$D285)),ISNUMBER(SEARCH("security",$D285)),ISNUMBER(SEARCH("safety",$D285)),ISNUMBER(SEARCH("liquidity",$D285)),ISNUMBER(SEARCH("cash",$D285)),ISNUMBER(SEARCH("continuity",$D285)),ISNUMBER(SEARCH("infrastructure",$D285)),ISNUMBER(SEARCH("outage",$D285))),"Fast",IF(OR(ISNUMBER(SEARCH("compliance",$D285)),ISNUMBER(SEARCH("regulat",$D285)),ISNUMBER(SEARCH("data",$D285)),ISNUMBER(SEARCH("talent",$D285)),ISNUMBER(SEARCH("knowledge",$D285)),ISNUMBER(SEARCH("portfolio",$D285)),ISNUMBER(SEARCH("quality",$D285))),"Slow","Medium")))</f>
        <v/>
      </c>
      <c r="AF285">
        <f>IF($A285="","",IFERROR(VLOOKUP($B285,'_CONFIG_Risk_Calibration'!$A$5:$H$21,2,FALSE),3))</f>
        <v/>
      </c>
      <c r="AG285">
        <f>IF($A285="","",IFERROR(VLOOKUP($B285,'_CONFIG_Risk_Calibration'!$A$5:$H$21,3,FALSE),0))</f>
        <v/>
      </c>
      <c r="AH285">
        <f>IF($A285="","",IFERROR(VLOOKUP($B285,'_CONFIG_Risk_Calibration'!$A$5:$H$21,4,FALSE),3))</f>
        <v/>
      </c>
      <c r="AI285">
        <f>IF($A285="","",IFERROR(VLOOKUP($B285,'_CONFIG_Risk_Calibration'!$A$5:$H$21,5,FALSE),3))</f>
        <v/>
      </c>
      <c r="AJ285">
        <f>IF($A285="","",IFERROR(VLOOKUP($B285,'_CONFIG_Risk_Calibration'!$A$5:$H$21,6,FALSE),"No"))</f>
        <v/>
      </c>
      <c r="AK285">
        <f>IF($A285="","",IFERROR(VLOOKUP($B285,'_CONFIG_Risk_Calibration'!$A$5:$H$21,7,FALSE),1))</f>
        <v/>
      </c>
      <c r="AL285">
        <f>IF($A285="","",IFERROR(VLOOKUP($B285,'_CONFIG_Risk_Calibration'!$A$5:$H$21,8,FALSE),""))</f>
        <v/>
      </c>
    </row>
    <row r="286" ht="72" customHeight="1" s="209">
      <c r="A286" s="13" t="inlineStr">
        <is>
          <t>MARK-006</t>
        </is>
      </c>
      <c r="B286" s="13" t="inlineStr">
        <is>
          <t>Marketing Comms</t>
        </is>
      </c>
      <c r="C286" s="13" t="inlineStr">
        <is>
          <t>Crisis communication</t>
        </is>
      </c>
      <c r="D286" s="13" t="inlineStr">
        <is>
          <t>Market communication and reputation resilience</t>
        </is>
      </c>
      <c r="E286" s="13" t="inlineStr">
        <is>
          <t>How mature is the organization in managing approved crisis communication templates for customers, employees, media, regulators and partners, including ownership, evidence, metrics, fallback procedures and crisis stress testing?</t>
        </is>
      </c>
      <c r="F286" s="13" t="inlineStr">
        <is>
          <t>Immature capability for approved crisis communication templates for customers, employees, media, regulators and partners may lead to loss of customer trust, reputational damage and inconsistent crisis communication during Reputation crisis; Demand shock; IT outage.</t>
        </is>
      </c>
      <c r="G286" s="13" t="inlineStr">
        <is>
          <t>Low maturity, weak ownership, incomplete evidence, insufficient testing and poor integration with crisis-management routines for approved crisis communication templates for customers, employees, media, regulators and partners.</t>
        </is>
      </c>
      <c r="H286" s="13" t="inlineStr">
        <is>
          <t>Severe risk: approved crisis communication templates for customers, employees, media, regulators and partners is not reliably controlled. During Reputation crisis; Demand shock; IT outage, the organization may face loss of customer trust, reputational damage and inconsistent crisis communication with limited visibility or accountability.</t>
        </is>
      </c>
      <c r="I286" s="13" t="inlineStr">
        <is>
          <t>High risk: approved crisis communication templates for customers, employees, media, regulators and partners depends on informal practices or individual knowledge. Disruption may expose loss of customer trust, reputational damage and inconsistent crisis communication and slow recovery.</t>
        </is>
      </c>
      <c r="J286" s="13" t="inlineStr">
        <is>
          <t>Elevated risk: approved crisis communication templates for customers, employees, media, regulators and partners is partially controlled, but coverage, evidence or testing is inconsistent. Crisis response may be fragmented.</t>
        </is>
      </c>
      <c r="K286" s="13" t="inlineStr">
        <is>
          <t>Moderate risk: approved crisis communication templates for customers, employees, media, regulators and partners is documented and owned, but measurement, stress testing and integration with dependent processes need strengthening.</t>
        </is>
      </c>
      <c r="L286" s="13" t="inlineStr">
        <is>
          <t>Residual risk: approved crisis communication templates for customers, employees, media, regulators and partners is measured and reviewed, but monitoring, automation or scenario testing should be improved to prevent maturity drift.</t>
        </is>
      </c>
      <c r="M286" s="13" t="inlineStr">
        <is>
          <t>Low residual risk: approved crisis communication templates for customers, employees, media, regulators and partners is mature and crisis-tested. Maintain monitoring, evidence, ownership and periodic stress testing.</t>
        </is>
      </c>
      <c r="N286" s="13" t="inlineStr">
        <is>
          <t>Create an immediate risk owner, minimum control baseline and fallback procedure for approved crisis communication templates for customers, employees, media, regulators and partners. Add it to the crisis risk register and collect first evidence.</t>
        </is>
      </c>
      <c r="O286" s="13" t="inlineStr">
        <is>
          <t>Document approved crisis communication templates for customers, employees, media, regulators and partners, assign RACI, define minimum controls and KPIs, and validate coverage across key sites, teams or systems.</t>
        </is>
      </c>
      <c r="P286" s="13" t="inlineStr">
        <is>
          <t>Standardize approved crisis communication templates for customers, employees, media, regulators and partners, close coverage gaps, train accountable roles and connect controls to the relevant crisis scenarios and continuity plans.</t>
        </is>
      </c>
      <c r="Q286" s="13" t="inlineStr">
        <is>
          <t>Measure and test approved crisis communication templates for customers, employees, media, regulators and partners, run tabletop or operational stress tests, integrate it with dependent processes and update crisis playbooks.</t>
        </is>
      </c>
      <c r="R286" s="13" t="inlineStr">
        <is>
          <t>Automate monitoring where practical, define leading indicators, run periodic scenario tests and track residual risk after each major change.</t>
        </is>
      </c>
      <c r="S286" s="13" t="inlineStr">
        <is>
          <t>Sustain maturity for approved crisis communication templates for customers, employees, media, regulators and partners: keep evidence current, monitor drift, benchmark externally and refresh risk tests after organizational, system or market changes.</t>
        </is>
      </c>
      <c r="T286" s="13" t="n">
        <v>3</v>
      </c>
      <c r="U286" s="13" t="n">
        <v>3</v>
      </c>
      <c r="V286" s="13" t="n">
        <v>2</v>
      </c>
      <c r="W286" s="13" t="n">
        <v>2</v>
      </c>
      <c r="X286" s="13" t="n">
        <v>1</v>
      </c>
      <c r="Y286" s="13" t="n">
        <v>1</v>
      </c>
      <c r="Z286" s="13" t="inlineStr">
        <is>
          <t>ISO 10002; ISO 10004; ISO 20671-1; ISO 22301; AMEC; crisis communication best practices</t>
        </is>
      </c>
      <c r="AA286" s="13" t="inlineStr">
        <is>
          <t>Policy/SOP; owner/RACI; system report; dashboard; contracts; test records; incident history; interview evidence related to approved crisis communication templates for customers, employees, media, regulators and partners.</t>
        </is>
      </c>
      <c r="AB286" s="13" t="inlineStr">
        <is>
          <t>Reputation crisis; Demand shock; IT outage</t>
        </is>
      </c>
      <c r="AC286" s="13" t="inlineStr">
        <is>
          <t>CMO / Communications</t>
        </is>
      </c>
      <c r="AD286" s="13" t="inlineStr">
        <is>
          <t>Marketing Comms!10</t>
        </is>
      </c>
      <c r="AE286">
        <f>IF($A286="","",IF(OR(ISNUMBER(SEARCH("cyber",$D286)),ISNUMBER(SEARCH("security",$D286)),ISNUMBER(SEARCH("safety",$D286)),ISNUMBER(SEARCH("liquidity",$D286)),ISNUMBER(SEARCH("cash",$D286)),ISNUMBER(SEARCH("continuity",$D286)),ISNUMBER(SEARCH("infrastructure",$D286)),ISNUMBER(SEARCH("outage",$D286))),"Fast",IF(OR(ISNUMBER(SEARCH("compliance",$D286)),ISNUMBER(SEARCH("regulat",$D286)),ISNUMBER(SEARCH("data",$D286)),ISNUMBER(SEARCH("talent",$D286)),ISNUMBER(SEARCH("knowledge",$D286)),ISNUMBER(SEARCH("portfolio",$D286)),ISNUMBER(SEARCH("quality",$D286))),"Slow","Medium")))</f>
        <v/>
      </c>
      <c r="AF286">
        <f>IF($A286="","",IFERROR(VLOOKUP($B286,'_CONFIG_Risk_Calibration'!$A$5:$H$21,2,FALSE),3))</f>
        <v/>
      </c>
      <c r="AG286">
        <f>IF($A286="","",IFERROR(VLOOKUP($B286,'_CONFIG_Risk_Calibration'!$A$5:$H$21,3,FALSE),0))</f>
        <v/>
      </c>
      <c r="AH286">
        <f>IF($A286="","",IFERROR(VLOOKUP($B286,'_CONFIG_Risk_Calibration'!$A$5:$H$21,4,FALSE),3))</f>
        <v/>
      </c>
      <c r="AI286">
        <f>IF($A286="","",IFERROR(VLOOKUP($B286,'_CONFIG_Risk_Calibration'!$A$5:$H$21,5,FALSE),3))</f>
        <v/>
      </c>
      <c r="AJ286">
        <f>IF($A286="","",IFERROR(VLOOKUP($B286,'_CONFIG_Risk_Calibration'!$A$5:$H$21,6,FALSE),"No"))</f>
        <v/>
      </c>
      <c r="AK286">
        <f>IF($A286="","",IFERROR(VLOOKUP($B286,'_CONFIG_Risk_Calibration'!$A$5:$H$21,7,FALSE),1))</f>
        <v/>
      </c>
      <c r="AL286">
        <f>IF($A286="","",IFERROR(VLOOKUP($B286,'_CONFIG_Risk_Calibration'!$A$5:$H$21,8,FALSE),""))</f>
        <v/>
      </c>
    </row>
    <row r="287" ht="60" customHeight="1" s="209">
      <c r="A287" s="13" t="inlineStr">
        <is>
          <t>MARK-007</t>
        </is>
      </c>
      <c r="B287" s="13" t="inlineStr">
        <is>
          <t>Marketing Comms</t>
        </is>
      </c>
      <c r="C287" s="13" t="inlineStr">
        <is>
          <t>Crisis communication</t>
        </is>
      </c>
      <c r="D287" s="13" t="inlineStr">
        <is>
          <t>Market communication and reputation resilience</t>
        </is>
      </c>
      <c r="E287" s="13" t="inlineStr">
        <is>
          <t>How mature is the organization in managing spokesperson identification, media training and backup coverage, including ownership, evidence, metrics, fallback procedures and crisis stress testing?</t>
        </is>
      </c>
      <c r="F287" s="13" t="inlineStr">
        <is>
          <t>Immature capability for spokesperson identification, media training and backup coverage may lead to loss of customer trust, reputational damage and inconsistent crisis communication during Reputation crisis; Demand shock; IT outage.</t>
        </is>
      </c>
      <c r="G287" s="13" t="inlineStr">
        <is>
          <t>Low maturity, weak ownership, incomplete evidence, insufficient testing and poor integration with crisis-management routines for spokesperson identification, media training and backup coverage.</t>
        </is>
      </c>
      <c r="H287" s="13" t="inlineStr">
        <is>
          <t>Severe risk: spokesperson identification, media training and backup coverage is not reliably controlled. During Reputation crisis; Demand shock; IT outage, the organization may face loss of customer trust, reputational damage and inconsistent crisis communication with limited visibility or accountability.</t>
        </is>
      </c>
      <c r="I287" s="13" t="inlineStr">
        <is>
          <t>High risk: spokesperson identification, media training and backup coverage depends on informal practices or individual knowledge. Disruption may expose loss of customer trust, reputational damage and inconsistent crisis communication and slow recovery.</t>
        </is>
      </c>
      <c r="J287" s="13" t="inlineStr">
        <is>
          <t>Elevated risk: spokesperson identification, media training and backup coverage is partially controlled, but coverage, evidence or testing is inconsistent. Crisis response may be fragmented.</t>
        </is>
      </c>
      <c r="K287" s="13" t="inlineStr">
        <is>
          <t>Moderate risk: spokesperson identification, media training and backup coverage is documented and owned, but measurement, stress testing and integration with dependent processes need strengthening.</t>
        </is>
      </c>
      <c r="L287" s="13" t="inlineStr">
        <is>
          <t>Residual risk: spokesperson identification, media training and backup coverage is measured and reviewed, but monitoring, automation or scenario testing should be improved to prevent maturity drift.</t>
        </is>
      </c>
      <c r="M287" s="13" t="inlineStr">
        <is>
          <t>Low residual risk: spokesperson identification, media training and backup coverage is mature and crisis-tested. Maintain monitoring, evidence, ownership and periodic stress testing.</t>
        </is>
      </c>
      <c r="N287" s="13" t="inlineStr">
        <is>
          <t>Create an immediate risk owner, minimum control baseline and fallback procedure for spokesperson identification, media training and backup coverage. Add it to the crisis risk register and collect first evidence.</t>
        </is>
      </c>
      <c r="O287" s="13" t="inlineStr">
        <is>
          <t>Document spokesperson identification, media training and backup coverage, assign RACI, define minimum controls and KPIs, and validate coverage across key sites, teams or systems.</t>
        </is>
      </c>
      <c r="P287" s="13" t="inlineStr">
        <is>
          <t>Standardize spokesperson identification, media training and backup coverage, close coverage gaps, train accountable roles and connect controls to the relevant crisis scenarios and continuity plans.</t>
        </is>
      </c>
      <c r="Q287" s="13" t="inlineStr">
        <is>
          <t>Measure and test spokesperson identification, media training and backup coverage, run tabletop or operational stress tests, integrate it with dependent processes and update crisis playbooks.</t>
        </is>
      </c>
      <c r="R287" s="13" t="inlineStr">
        <is>
          <t>Automate monitoring where practical, define leading indicators, run periodic scenario tests and track residual risk after each major change.</t>
        </is>
      </c>
      <c r="S287" s="13" t="inlineStr">
        <is>
          <t>Sustain maturity for spokesperson identification, media training and backup coverage: keep evidence current, monitor drift, benchmark externally and refresh risk tests after organizational, system or market changes.</t>
        </is>
      </c>
      <c r="T287" s="13" t="n">
        <v>3</v>
      </c>
      <c r="U287" s="13" t="n">
        <v>3</v>
      </c>
      <c r="V287" s="13" t="n">
        <v>2</v>
      </c>
      <c r="W287" s="13" t="n">
        <v>2</v>
      </c>
      <c r="X287" s="13" t="n">
        <v>1</v>
      </c>
      <c r="Y287" s="13" t="n">
        <v>1</v>
      </c>
      <c r="Z287" s="13" t="inlineStr">
        <is>
          <t>ISO 10002; ISO 10004; ISO 20671-1; ISO 22301; AMEC; crisis communication best practices</t>
        </is>
      </c>
      <c r="AA287" s="13" t="inlineStr">
        <is>
          <t>Policy/SOP; owner/RACI; system report; dashboard; contracts; test records; incident history; interview evidence related to spokesperson identification, media training and backup coverage.</t>
        </is>
      </c>
      <c r="AB287" s="13" t="inlineStr">
        <is>
          <t>Reputation crisis; Demand shock; IT outage</t>
        </is>
      </c>
      <c r="AC287" s="13" t="inlineStr">
        <is>
          <t>CMO / Communications</t>
        </is>
      </c>
      <c r="AD287" s="13" t="inlineStr">
        <is>
          <t>Marketing Comms!11</t>
        </is>
      </c>
      <c r="AE287">
        <f>IF($A287="","",IF(OR(ISNUMBER(SEARCH("cyber",$D287)),ISNUMBER(SEARCH("security",$D287)),ISNUMBER(SEARCH("safety",$D287)),ISNUMBER(SEARCH("liquidity",$D287)),ISNUMBER(SEARCH("cash",$D287)),ISNUMBER(SEARCH("continuity",$D287)),ISNUMBER(SEARCH("infrastructure",$D287)),ISNUMBER(SEARCH("outage",$D287))),"Fast",IF(OR(ISNUMBER(SEARCH("compliance",$D287)),ISNUMBER(SEARCH("regulat",$D287)),ISNUMBER(SEARCH("data",$D287)),ISNUMBER(SEARCH("talent",$D287)),ISNUMBER(SEARCH("knowledge",$D287)),ISNUMBER(SEARCH("portfolio",$D287)),ISNUMBER(SEARCH("quality",$D287))),"Slow","Medium")))</f>
        <v/>
      </c>
      <c r="AF287">
        <f>IF($A287="","",IFERROR(VLOOKUP($B287,'_CONFIG_Risk_Calibration'!$A$5:$H$21,2,FALSE),3))</f>
        <v/>
      </c>
      <c r="AG287">
        <f>IF($A287="","",IFERROR(VLOOKUP($B287,'_CONFIG_Risk_Calibration'!$A$5:$H$21,3,FALSE),0))</f>
        <v/>
      </c>
      <c r="AH287">
        <f>IF($A287="","",IFERROR(VLOOKUP($B287,'_CONFIG_Risk_Calibration'!$A$5:$H$21,4,FALSE),3))</f>
        <v/>
      </c>
      <c r="AI287">
        <f>IF($A287="","",IFERROR(VLOOKUP($B287,'_CONFIG_Risk_Calibration'!$A$5:$H$21,5,FALSE),3))</f>
        <v/>
      </c>
      <c r="AJ287">
        <f>IF($A287="","",IFERROR(VLOOKUP($B287,'_CONFIG_Risk_Calibration'!$A$5:$H$21,6,FALSE),"No"))</f>
        <v/>
      </c>
      <c r="AK287">
        <f>IF($A287="","",IFERROR(VLOOKUP($B287,'_CONFIG_Risk_Calibration'!$A$5:$H$21,7,FALSE),1))</f>
        <v/>
      </c>
      <c r="AL287">
        <f>IF($A287="","",IFERROR(VLOOKUP($B287,'_CONFIG_Risk_Calibration'!$A$5:$H$21,8,FALSE),""))</f>
        <v/>
      </c>
    </row>
    <row r="288" ht="60" customHeight="1" s="209">
      <c r="A288" s="13" t="inlineStr">
        <is>
          <t>MARK-008</t>
        </is>
      </c>
      <c r="B288" s="13" t="inlineStr">
        <is>
          <t>Marketing Comms</t>
        </is>
      </c>
      <c r="C288" s="13" t="inlineStr">
        <is>
          <t>Crisis communication</t>
        </is>
      </c>
      <c r="D288" s="13" t="inlineStr">
        <is>
          <t>Market communication and reputation resilience</t>
        </is>
      </c>
      <c r="E288" s="13" t="inlineStr">
        <is>
          <t>How mature is the organization in managing media, social, review and customer sentiment monitoring, including ownership, evidence, metrics, fallback procedures and crisis stress testing?</t>
        </is>
      </c>
      <c r="F288" s="13" t="inlineStr">
        <is>
          <t>Immature capability for media, social, review and customer sentiment monitoring may lead to loss of customer trust, reputational damage and inconsistent crisis communication during Reputation crisis; Demand shock; IT outage.</t>
        </is>
      </c>
      <c r="G288" s="13" t="inlineStr">
        <is>
          <t>Low maturity, weak ownership, incomplete evidence, insufficient testing and poor integration with crisis-management routines for media, social, review and customer sentiment monitoring.</t>
        </is>
      </c>
      <c r="H288" s="13" t="inlineStr">
        <is>
          <t>Severe risk: media, social, review and customer sentiment monitoring is not reliably controlled. During Reputation crisis; Demand shock; IT outage, the organization may face loss of customer trust, reputational damage and inconsistent crisis communication with limited visibility or accountability.</t>
        </is>
      </c>
      <c r="I288" s="13" t="inlineStr">
        <is>
          <t>High risk: media, social, review and customer sentiment monitoring depends on informal practices or individual knowledge. Disruption may expose loss of customer trust, reputational damage and inconsistent crisis communication and slow recovery.</t>
        </is>
      </c>
      <c r="J288" s="13" t="inlineStr">
        <is>
          <t>Elevated risk: media, social, review and customer sentiment monitoring is partially controlled, but coverage, evidence or testing is inconsistent. Crisis response may be fragmented.</t>
        </is>
      </c>
      <c r="K288" s="13" t="inlineStr">
        <is>
          <t>Moderate risk: media, social, review and customer sentiment monitoring is documented and owned, but measurement, stress testing and integration with dependent processes need strengthening.</t>
        </is>
      </c>
      <c r="L288" s="13" t="inlineStr">
        <is>
          <t>Residual risk: media, social, review and customer sentiment monitoring is measured and reviewed, but monitoring, automation or scenario testing should be improved to prevent maturity drift.</t>
        </is>
      </c>
      <c r="M288" s="13" t="inlineStr">
        <is>
          <t>Low residual risk: media, social, review and customer sentiment monitoring is mature and crisis-tested. Maintain monitoring, evidence, ownership and periodic stress testing.</t>
        </is>
      </c>
      <c r="N288" s="13" t="inlineStr">
        <is>
          <t>Create an immediate risk owner, minimum control baseline and fallback procedure for media, social, review and customer sentiment monitoring. Add it to the crisis risk register and collect first evidence.</t>
        </is>
      </c>
      <c r="O288" s="13" t="inlineStr">
        <is>
          <t>Document media, social, review and customer sentiment monitoring, assign RACI, define minimum controls and KPIs, and validate coverage across key sites, teams or systems.</t>
        </is>
      </c>
      <c r="P288" s="13" t="inlineStr">
        <is>
          <t>Standardize media, social, review and customer sentiment monitoring, close coverage gaps, train accountable roles and connect controls to the relevant crisis scenarios and continuity plans.</t>
        </is>
      </c>
      <c r="Q288" s="13" t="inlineStr">
        <is>
          <t>Measure and test media, social, review and customer sentiment monitoring, run tabletop or operational stress tests, integrate it with dependent processes and update crisis playbooks.</t>
        </is>
      </c>
      <c r="R288" s="13" t="inlineStr">
        <is>
          <t>Automate monitoring where practical, define leading indicators, run periodic scenario tests and track residual risk after each major change.</t>
        </is>
      </c>
      <c r="S288" s="13" t="inlineStr">
        <is>
          <t>Sustain maturity for media, social, review and customer sentiment monitoring: keep evidence current, monitor drift, benchmark externally and refresh risk tests after organizational, system or market changes.</t>
        </is>
      </c>
      <c r="T288" s="13" t="n">
        <v>3</v>
      </c>
      <c r="U288" s="13" t="n">
        <v>3</v>
      </c>
      <c r="V288" s="13" t="n">
        <v>2</v>
      </c>
      <c r="W288" s="13" t="n">
        <v>2</v>
      </c>
      <c r="X288" s="13" t="n">
        <v>1</v>
      </c>
      <c r="Y288" s="13" t="n">
        <v>1</v>
      </c>
      <c r="Z288" s="13" t="inlineStr">
        <is>
          <t>ISO 10002; ISO 10004; ISO 20671-1; ISO 22301; AMEC; crisis communication best practices</t>
        </is>
      </c>
      <c r="AA288" s="13" t="inlineStr">
        <is>
          <t>Policy/SOP; owner/RACI; system report; dashboard; contracts; test records; incident history; interview evidence related to media, social, review and customer sentiment monitoring.</t>
        </is>
      </c>
      <c r="AB288" s="13" t="inlineStr">
        <is>
          <t>Reputation crisis; Demand shock; IT outage</t>
        </is>
      </c>
      <c r="AC288" s="13" t="inlineStr">
        <is>
          <t>CMO / Communications</t>
        </is>
      </c>
      <c r="AD288" s="13" t="inlineStr">
        <is>
          <t>Marketing Comms!12</t>
        </is>
      </c>
      <c r="AE288">
        <f>IF($A288="","",IF(OR(ISNUMBER(SEARCH("cyber",$D288)),ISNUMBER(SEARCH("security",$D288)),ISNUMBER(SEARCH("safety",$D288)),ISNUMBER(SEARCH("liquidity",$D288)),ISNUMBER(SEARCH("cash",$D288)),ISNUMBER(SEARCH("continuity",$D288)),ISNUMBER(SEARCH("infrastructure",$D288)),ISNUMBER(SEARCH("outage",$D288))),"Fast",IF(OR(ISNUMBER(SEARCH("compliance",$D288)),ISNUMBER(SEARCH("regulat",$D288)),ISNUMBER(SEARCH("data",$D288)),ISNUMBER(SEARCH("talent",$D288)),ISNUMBER(SEARCH("knowledge",$D288)),ISNUMBER(SEARCH("portfolio",$D288)),ISNUMBER(SEARCH("quality",$D288))),"Slow","Medium")))</f>
        <v/>
      </c>
      <c r="AF288">
        <f>IF($A288="","",IFERROR(VLOOKUP($B288,'_CONFIG_Risk_Calibration'!$A$5:$H$21,2,FALSE),3))</f>
        <v/>
      </c>
      <c r="AG288">
        <f>IF($A288="","",IFERROR(VLOOKUP($B288,'_CONFIG_Risk_Calibration'!$A$5:$H$21,3,FALSE),0))</f>
        <v/>
      </c>
      <c r="AH288">
        <f>IF($A288="","",IFERROR(VLOOKUP($B288,'_CONFIG_Risk_Calibration'!$A$5:$H$21,4,FALSE),3))</f>
        <v/>
      </c>
      <c r="AI288">
        <f>IF($A288="","",IFERROR(VLOOKUP($B288,'_CONFIG_Risk_Calibration'!$A$5:$H$21,5,FALSE),3))</f>
        <v/>
      </c>
      <c r="AJ288">
        <f>IF($A288="","",IFERROR(VLOOKUP($B288,'_CONFIG_Risk_Calibration'!$A$5:$H$21,6,FALSE),"No"))</f>
        <v/>
      </c>
      <c r="AK288">
        <f>IF($A288="","",IFERROR(VLOOKUP($B288,'_CONFIG_Risk_Calibration'!$A$5:$H$21,7,FALSE),1))</f>
        <v/>
      </c>
      <c r="AL288">
        <f>IF($A288="","",IFERROR(VLOOKUP($B288,'_CONFIG_Risk_Calibration'!$A$5:$H$21,8,FALSE),""))</f>
        <v/>
      </c>
    </row>
    <row r="289" ht="60" customHeight="1" s="209">
      <c r="A289" s="13" t="inlineStr">
        <is>
          <t>MARK-009</t>
        </is>
      </c>
      <c r="B289" s="13" t="inlineStr">
        <is>
          <t>Marketing Comms</t>
        </is>
      </c>
      <c r="C289" s="13" t="inlineStr">
        <is>
          <t>Crisis communication</t>
        </is>
      </c>
      <c r="D289" s="13" t="inlineStr">
        <is>
          <t>Market communication and reputation resilience</t>
        </is>
      </c>
      <c r="E289" s="13" t="inlineStr">
        <is>
          <t>How mature is the organization in managing escalation and approval rules for sensitive public responses, including ownership, evidence, metrics, fallback procedures and crisis stress testing?</t>
        </is>
      </c>
      <c r="F289" s="13" t="inlineStr">
        <is>
          <t>Immature capability for escalation and approval rules for sensitive public responses may lead to loss of customer trust, reputational damage and inconsistent crisis communication during Reputation crisis; Demand shock; IT outage.</t>
        </is>
      </c>
      <c r="G289" s="13" t="inlineStr">
        <is>
          <t>Low maturity, weak ownership, incomplete evidence, insufficient testing and poor integration with crisis-management routines for escalation and approval rules for sensitive public responses.</t>
        </is>
      </c>
      <c r="H289" s="13" t="inlineStr">
        <is>
          <t>Severe risk: escalation and approval rules for sensitive public responses is not reliably controlled. During Reputation crisis; Demand shock; IT outage, the organization may face loss of customer trust, reputational damage and inconsistent crisis communication with limited visibility or accountability.</t>
        </is>
      </c>
      <c r="I289" s="13" t="inlineStr">
        <is>
          <t>High risk: escalation and approval rules for sensitive public responses depends on informal practices or individual knowledge. Disruption may expose loss of customer trust, reputational damage and inconsistent crisis communication and slow recovery.</t>
        </is>
      </c>
      <c r="J289" s="13" t="inlineStr">
        <is>
          <t>Elevated risk: escalation and approval rules for sensitive public responses is partially controlled, but coverage, evidence or testing is inconsistent. Crisis response may be fragmented.</t>
        </is>
      </c>
      <c r="K289" s="13" t="inlineStr">
        <is>
          <t>Moderate risk: escalation and approval rules for sensitive public responses is documented and owned, but measurement, stress testing and integration with dependent processes need strengthening.</t>
        </is>
      </c>
      <c r="L289" s="13" t="inlineStr">
        <is>
          <t>Residual risk: escalation and approval rules for sensitive public responses is measured and reviewed, but monitoring, automation or scenario testing should be improved to prevent maturity drift.</t>
        </is>
      </c>
      <c r="M289" s="13" t="inlineStr">
        <is>
          <t>Low residual risk: escalation and approval rules for sensitive public responses is mature and crisis-tested. Maintain monitoring, evidence, ownership and periodic stress testing.</t>
        </is>
      </c>
      <c r="N289" s="13" t="inlineStr">
        <is>
          <t>Create an immediate risk owner, minimum control baseline and fallback procedure for escalation and approval rules for sensitive public responses. Add it to the crisis risk register and collect first evidence.</t>
        </is>
      </c>
      <c r="O289" s="13" t="inlineStr">
        <is>
          <t>Document escalation and approval rules for sensitive public responses, assign RACI, define minimum controls and KPIs, and validate coverage across key sites, teams or systems.</t>
        </is>
      </c>
      <c r="P289" s="13" t="inlineStr">
        <is>
          <t>Standardize escalation and approval rules for sensitive public responses, close coverage gaps, train accountable roles and connect controls to the relevant crisis scenarios and continuity plans.</t>
        </is>
      </c>
      <c r="Q289" s="13" t="inlineStr">
        <is>
          <t>Measure and test escalation and approval rules for sensitive public responses, run tabletop or operational stress tests, integrate it with dependent processes and update crisis playbooks.</t>
        </is>
      </c>
      <c r="R289" s="13" t="inlineStr">
        <is>
          <t>Automate monitoring where practical, define leading indicators, run periodic scenario tests and track residual risk after each major change.</t>
        </is>
      </c>
      <c r="S289" s="13" t="inlineStr">
        <is>
          <t>Sustain maturity for escalation and approval rules for sensitive public responses: keep evidence current, monitor drift, benchmark externally and refresh risk tests after organizational, system or market changes.</t>
        </is>
      </c>
      <c r="T289" s="13" t="n">
        <v>3</v>
      </c>
      <c r="U289" s="13" t="n">
        <v>3</v>
      </c>
      <c r="V289" s="13" t="n">
        <v>2</v>
      </c>
      <c r="W289" s="13" t="n">
        <v>2</v>
      </c>
      <c r="X289" s="13" t="n">
        <v>1</v>
      </c>
      <c r="Y289" s="13" t="n">
        <v>1</v>
      </c>
      <c r="Z289" s="13" t="inlineStr">
        <is>
          <t>ISO 10002; ISO 10004; ISO 20671-1; ISO 22301; AMEC; crisis communication best practices</t>
        </is>
      </c>
      <c r="AA289" s="13" t="inlineStr">
        <is>
          <t>Policy/SOP; owner/RACI; system report; dashboard; contracts; test records; incident history; interview evidence related to escalation and approval rules for sensitive public responses.</t>
        </is>
      </c>
      <c r="AB289" s="13" t="inlineStr">
        <is>
          <t>Reputation crisis; Demand shock; IT outage</t>
        </is>
      </c>
      <c r="AC289" s="13" t="inlineStr">
        <is>
          <t>CMO / Communications</t>
        </is>
      </c>
      <c r="AD289" s="13" t="inlineStr">
        <is>
          <t>Marketing Comms!13</t>
        </is>
      </c>
      <c r="AE289">
        <f>IF($A289="","",IF(OR(ISNUMBER(SEARCH("cyber",$D289)),ISNUMBER(SEARCH("security",$D289)),ISNUMBER(SEARCH("safety",$D289)),ISNUMBER(SEARCH("liquidity",$D289)),ISNUMBER(SEARCH("cash",$D289)),ISNUMBER(SEARCH("continuity",$D289)),ISNUMBER(SEARCH("infrastructure",$D289)),ISNUMBER(SEARCH("outage",$D289))),"Fast",IF(OR(ISNUMBER(SEARCH("compliance",$D289)),ISNUMBER(SEARCH("regulat",$D289)),ISNUMBER(SEARCH("data",$D289)),ISNUMBER(SEARCH("talent",$D289)),ISNUMBER(SEARCH("knowledge",$D289)),ISNUMBER(SEARCH("portfolio",$D289)),ISNUMBER(SEARCH("quality",$D289))),"Slow","Medium")))</f>
        <v/>
      </c>
      <c r="AF289">
        <f>IF($A289="","",IFERROR(VLOOKUP($B289,'_CONFIG_Risk_Calibration'!$A$5:$H$21,2,FALSE),3))</f>
        <v/>
      </c>
      <c r="AG289">
        <f>IF($A289="","",IFERROR(VLOOKUP($B289,'_CONFIG_Risk_Calibration'!$A$5:$H$21,3,FALSE),0))</f>
        <v/>
      </c>
      <c r="AH289">
        <f>IF($A289="","",IFERROR(VLOOKUP($B289,'_CONFIG_Risk_Calibration'!$A$5:$H$21,4,FALSE),3))</f>
        <v/>
      </c>
      <c r="AI289">
        <f>IF($A289="","",IFERROR(VLOOKUP($B289,'_CONFIG_Risk_Calibration'!$A$5:$H$21,5,FALSE),3))</f>
        <v/>
      </c>
      <c r="AJ289">
        <f>IF($A289="","",IFERROR(VLOOKUP($B289,'_CONFIG_Risk_Calibration'!$A$5:$H$21,6,FALSE),"No"))</f>
        <v/>
      </c>
      <c r="AK289">
        <f>IF($A289="","",IFERROR(VLOOKUP($B289,'_CONFIG_Risk_Calibration'!$A$5:$H$21,7,FALSE),1))</f>
        <v/>
      </c>
      <c r="AL289">
        <f>IF($A289="","",IFERROR(VLOOKUP($B289,'_CONFIG_Risk_Calibration'!$A$5:$H$21,8,FALSE),""))</f>
        <v/>
      </c>
    </row>
    <row r="290" ht="72" customHeight="1" s="209">
      <c r="A290" s="13" t="inlineStr">
        <is>
          <t>MARK-010</t>
        </is>
      </c>
      <c r="B290" s="13" t="inlineStr">
        <is>
          <t>Marketing Comms</t>
        </is>
      </c>
      <c r="C290" s="13" t="inlineStr">
        <is>
          <t>Crisis communication</t>
        </is>
      </c>
      <c r="D290" s="13" t="inlineStr">
        <is>
          <t>Market communication and reputation resilience</t>
        </is>
      </c>
      <c r="E290" s="13" t="inlineStr">
        <is>
          <t>How mature is the organization in managing customer communication channel diversity across email, phone, portal, SMS, account managers and social media, including ownership, evidence, metrics, fallback procedures and crisis stress testing?</t>
        </is>
      </c>
      <c r="F290" s="13" t="inlineStr">
        <is>
          <t>Immature capability for customer communication channel diversity across email, phone, portal, SMS, account managers and social media may lead to loss of customer trust, reputational damage and inconsistent crisis communication during Reputation crisis; Demand shock; IT outage.</t>
        </is>
      </c>
      <c r="G290" s="13" t="inlineStr">
        <is>
          <t>Low maturity, weak ownership, incomplete evidence, insufficient testing and poor integration with crisis-management routines for customer communication channel diversity across email, phone, portal, SMS, account managers and social media.</t>
        </is>
      </c>
      <c r="H290" s="13" t="inlineStr">
        <is>
          <t>Severe risk: customer communication channel diversity across email, phone, portal, SMS, account managers and social media is not reliably controlled. During Reputation crisis; Demand shock; IT outage, the organization may face loss of customer trust, reputational damage and inconsistent crisis communication with limited visibility or accountability.</t>
        </is>
      </c>
      <c r="I290" s="13" t="inlineStr">
        <is>
          <t>High risk: customer communication channel diversity across email, phone, portal, SMS, account managers and social media depends on informal practices or individual knowledge. Disruption may expose loss of customer trust, reputational damage and inconsistent crisis communication and slow recovery.</t>
        </is>
      </c>
      <c r="J290" s="13" t="inlineStr">
        <is>
          <t>Elevated risk: customer communication channel diversity across email, phone, portal, SMS, account managers and social media is partially controlled, but coverage, evidence or testing is inconsistent. Crisis response may be fragmented.</t>
        </is>
      </c>
      <c r="K290" s="13" t="inlineStr">
        <is>
          <t>Moderate risk: customer communication channel diversity across email, phone, portal, SMS, account managers and social media is documented and owned, but measurement, stress testing and integration with dependent processes need strengthening.</t>
        </is>
      </c>
      <c r="L290" s="13" t="inlineStr">
        <is>
          <t>Residual risk: customer communication channel diversity across email, phone, portal, SMS, account managers and social media is measured and reviewed, but monitoring, automation or scenario testing should be improved to prevent maturity drift.</t>
        </is>
      </c>
      <c r="M290" s="13" t="inlineStr">
        <is>
          <t>Low residual risk: customer communication channel diversity across email, phone, portal, SMS, account managers and social media is mature and crisis-tested. Maintain monitoring, evidence, ownership and periodic stress testing.</t>
        </is>
      </c>
      <c r="N290" s="13" t="inlineStr">
        <is>
          <t>Create an immediate risk owner, minimum control baseline and fallback procedure for customer communication channel diversity across email, phone, portal, SMS, account managers and social media. Add it to the crisis risk register and collect first evidence.</t>
        </is>
      </c>
      <c r="O290" s="13" t="inlineStr">
        <is>
          <t>Document customer communication channel diversity across email, phone, portal, SMS, account managers and social media, assign RACI, define minimum controls and KPIs, and validate coverage across key sites, teams or systems.</t>
        </is>
      </c>
      <c r="P290" s="13" t="inlineStr">
        <is>
          <t>Standardize customer communication channel diversity across email, phone, portal, SMS, account managers and social media, close coverage gaps, train accountable roles and connect controls to the relevant crisis scenarios and continuity plans.</t>
        </is>
      </c>
      <c r="Q290" s="13" t="inlineStr">
        <is>
          <t>Measure and test customer communication channel diversity across email, phone, portal, SMS, account managers and social media, run tabletop or operational stress tests, integrate it with dependent processes and update crisis playbooks.</t>
        </is>
      </c>
      <c r="R290" s="13" t="inlineStr">
        <is>
          <t>Automate monitoring where practical, define leading indicators, run periodic scenario tests and track residual risk after each major change.</t>
        </is>
      </c>
      <c r="S290" s="13" t="inlineStr">
        <is>
          <t>Sustain maturity for customer communication channel diversity across email, phone, portal, SMS, account managers and social media: keep evidence current, monitor drift, benchmark externally and refresh risk tests after organizational, system or market changes.</t>
        </is>
      </c>
      <c r="T290" s="13" t="n">
        <v>3</v>
      </c>
      <c r="U290" s="13" t="n">
        <v>3</v>
      </c>
      <c r="V290" s="13" t="n">
        <v>2</v>
      </c>
      <c r="W290" s="13" t="n">
        <v>2</v>
      </c>
      <c r="X290" s="13" t="n">
        <v>1</v>
      </c>
      <c r="Y290" s="13" t="n">
        <v>1</v>
      </c>
      <c r="Z290" s="13" t="inlineStr">
        <is>
          <t>ISO 10002; ISO 10004; ISO 20671-1; ISO 22301; AMEC; crisis communication best practices</t>
        </is>
      </c>
      <c r="AA290" s="13" t="inlineStr">
        <is>
          <t>Policy/SOP; owner/RACI; system report; dashboard; contracts; test records; incident history; interview evidence related to customer communication channel diversity across email, phone, portal, SMS, account managers and social media.</t>
        </is>
      </c>
      <c r="AB290" s="13" t="inlineStr">
        <is>
          <t>Reputation crisis; Demand shock; IT outage</t>
        </is>
      </c>
      <c r="AC290" s="13" t="inlineStr">
        <is>
          <t>CMO / Communications</t>
        </is>
      </c>
      <c r="AD290" s="13" t="inlineStr">
        <is>
          <t>Marketing Comms!14</t>
        </is>
      </c>
      <c r="AE290">
        <f>IF($A290="","",IF(OR(ISNUMBER(SEARCH("cyber",$D290)),ISNUMBER(SEARCH("security",$D290)),ISNUMBER(SEARCH("safety",$D290)),ISNUMBER(SEARCH("liquidity",$D290)),ISNUMBER(SEARCH("cash",$D290)),ISNUMBER(SEARCH("continuity",$D290)),ISNUMBER(SEARCH("infrastructure",$D290)),ISNUMBER(SEARCH("outage",$D290))),"Fast",IF(OR(ISNUMBER(SEARCH("compliance",$D290)),ISNUMBER(SEARCH("regulat",$D290)),ISNUMBER(SEARCH("data",$D290)),ISNUMBER(SEARCH("talent",$D290)),ISNUMBER(SEARCH("knowledge",$D290)),ISNUMBER(SEARCH("portfolio",$D290)),ISNUMBER(SEARCH("quality",$D290))),"Slow","Medium")))</f>
        <v/>
      </c>
      <c r="AF290">
        <f>IF($A290="","",IFERROR(VLOOKUP($B290,'_CONFIG_Risk_Calibration'!$A$5:$H$21,2,FALSE),3))</f>
        <v/>
      </c>
      <c r="AG290">
        <f>IF($A290="","",IFERROR(VLOOKUP($B290,'_CONFIG_Risk_Calibration'!$A$5:$H$21,3,FALSE),0))</f>
        <v/>
      </c>
      <c r="AH290">
        <f>IF($A290="","",IFERROR(VLOOKUP($B290,'_CONFIG_Risk_Calibration'!$A$5:$H$21,4,FALSE),3))</f>
        <v/>
      </c>
      <c r="AI290">
        <f>IF($A290="","",IFERROR(VLOOKUP($B290,'_CONFIG_Risk_Calibration'!$A$5:$H$21,5,FALSE),3))</f>
        <v/>
      </c>
      <c r="AJ290">
        <f>IF($A290="","",IFERROR(VLOOKUP($B290,'_CONFIG_Risk_Calibration'!$A$5:$H$21,6,FALSE),"No"))</f>
        <v/>
      </c>
      <c r="AK290">
        <f>IF($A290="","",IFERROR(VLOOKUP($B290,'_CONFIG_Risk_Calibration'!$A$5:$H$21,7,FALSE),1))</f>
        <v/>
      </c>
      <c r="AL290">
        <f>IF($A290="","",IFERROR(VLOOKUP($B290,'_CONFIG_Risk_Calibration'!$A$5:$H$21,8,FALSE),""))</f>
        <v/>
      </c>
    </row>
    <row r="291" ht="72" customHeight="1" s="209">
      <c r="A291" s="13" t="inlineStr">
        <is>
          <t>MARK-011</t>
        </is>
      </c>
      <c r="B291" s="13" t="inlineStr">
        <is>
          <t>Marketing Comms</t>
        </is>
      </c>
      <c r="C291" s="13" t="inlineStr">
        <is>
          <t>Crisis communication</t>
        </is>
      </c>
      <c r="D291" s="13" t="inlineStr">
        <is>
          <t>Market communication and reputation resilience</t>
        </is>
      </c>
      <c r="E291" s="13" t="inlineStr">
        <is>
          <t>How mature is the organization in managing misinformation, impersonation, fake invoice and brand-abuse response process, including ownership, evidence, metrics, fallback procedures and crisis stress testing?</t>
        </is>
      </c>
      <c r="F291" s="13" t="inlineStr">
        <is>
          <t>Immature capability for misinformation, impersonation, fake invoice and brand-abuse response process may lead to loss of customer trust, reputational damage and inconsistent crisis communication during Reputation crisis; Demand shock; IT outage.</t>
        </is>
      </c>
      <c r="G291" s="13" t="inlineStr">
        <is>
          <t>Low maturity, weak ownership, incomplete evidence, insufficient testing and poor integration with crisis-management routines for misinformation, impersonation, fake invoice and brand-abuse response process.</t>
        </is>
      </c>
      <c r="H291" s="13" t="inlineStr">
        <is>
          <t>Severe risk: misinformation, impersonation, fake invoice and brand-abuse response process is not reliably controlled. During Reputation crisis; Demand shock; IT outage, the organization may face loss of customer trust, reputational damage and inconsistent crisis communication with limited visibility or accountability.</t>
        </is>
      </c>
      <c r="I291" s="13" t="inlineStr">
        <is>
          <t>High risk: misinformation, impersonation, fake invoice and brand-abuse response process depends on informal practices or individual knowledge. Disruption may expose loss of customer trust, reputational damage and inconsistent crisis communication and slow recovery.</t>
        </is>
      </c>
      <c r="J291" s="13" t="inlineStr">
        <is>
          <t>Elevated risk: misinformation, impersonation, fake invoice and brand-abuse response process is partially controlled, but coverage, evidence or testing is inconsistent. Crisis response may be fragmented.</t>
        </is>
      </c>
      <c r="K291" s="13" t="inlineStr">
        <is>
          <t>Moderate risk: misinformation, impersonation, fake invoice and brand-abuse response process is documented and owned, but measurement, stress testing and integration with dependent processes need strengthening.</t>
        </is>
      </c>
      <c r="L291" s="13" t="inlineStr">
        <is>
          <t>Residual risk: misinformation, impersonation, fake invoice and brand-abuse response process is measured and reviewed, but monitoring, automation or scenario testing should be improved to prevent maturity drift.</t>
        </is>
      </c>
      <c r="M291" s="13" t="inlineStr">
        <is>
          <t>Low residual risk: misinformation, impersonation, fake invoice and brand-abuse response process is mature and crisis-tested. Maintain monitoring, evidence, ownership and periodic stress testing.</t>
        </is>
      </c>
      <c r="N291" s="13" t="inlineStr">
        <is>
          <t>Create an immediate risk owner, minimum control baseline and fallback procedure for misinformation, impersonation, fake invoice and brand-abuse response process. Add it to the crisis risk register and collect first evidence.</t>
        </is>
      </c>
      <c r="O291" s="13" t="inlineStr">
        <is>
          <t>Document misinformation, impersonation, fake invoice and brand-abuse response process, assign RACI, define minimum controls and KPIs, and validate coverage across key sites, teams or systems.</t>
        </is>
      </c>
      <c r="P291" s="13" t="inlineStr">
        <is>
          <t>Standardize misinformation, impersonation, fake invoice and brand-abuse response process, close coverage gaps, train accountable roles and connect controls to the relevant crisis scenarios and continuity plans.</t>
        </is>
      </c>
      <c r="Q291" s="13" t="inlineStr">
        <is>
          <t>Measure and test misinformation, impersonation, fake invoice and brand-abuse response process, run tabletop or operational stress tests, integrate it with dependent processes and update crisis playbooks.</t>
        </is>
      </c>
      <c r="R291" s="13" t="inlineStr">
        <is>
          <t>Automate monitoring where practical, define leading indicators, run periodic scenario tests and track residual risk after each major change.</t>
        </is>
      </c>
      <c r="S291" s="13" t="inlineStr">
        <is>
          <t>Sustain maturity for misinformation, impersonation, fake invoice and brand-abuse response process: keep evidence current, monitor drift, benchmark externally and refresh risk tests after organizational, system or market changes.</t>
        </is>
      </c>
      <c r="T291" s="13" t="n">
        <v>3</v>
      </c>
      <c r="U291" s="13" t="n">
        <v>3</v>
      </c>
      <c r="V291" s="13" t="n">
        <v>2</v>
      </c>
      <c r="W291" s="13" t="n">
        <v>2</v>
      </c>
      <c r="X291" s="13" t="n">
        <v>1</v>
      </c>
      <c r="Y291" s="13" t="n">
        <v>1</v>
      </c>
      <c r="Z291" s="13" t="inlineStr">
        <is>
          <t>ISO 10002; ISO 10004; ISO 20671-1; ISO 22301; AMEC; crisis communication best practices</t>
        </is>
      </c>
      <c r="AA291" s="13" t="inlineStr">
        <is>
          <t>Policy/SOP; owner/RACI; system report; dashboard; contracts; test records; incident history; interview evidence related to misinformation, impersonation, fake invoice and brand-abuse response process.</t>
        </is>
      </c>
      <c r="AB291" s="13" t="inlineStr">
        <is>
          <t>Reputation crisis; Demand shock; IT outage</t>
        </is>
      </c>
      <c r="AC291" s="13" t="inlineStr">
        <is>
          <t>CMO / Communications</t>
        </is>
      </c>
      <c r="AD291" s="13" t="inlineStr">
        <is>
          <t>Marketing Comms!15</t>
        </is>
      </c>
      <c r="AE291">
        <f>IF($A291="","",IF(OR(ISNUMBER(SEARCH("cyber",$D291)),ISNUMBER(SEARCH("security",$D291)),ISNUMBER(SEARCH("safety",$D291)),ISNUMBER(SEARCH("liquidity",$D291)),ISNUMBER(SEARCH("cash",$D291)),ISNUMBER(SEARCH("continuity",$D291)),ISNUMBER(SEARCH("infrastructure",$D291)),ISNUMBER(SEARCH("outage",$D291))),"Fast",IF(OR(ISNUMBER(SEARCH("compliance",$D291)),ISNUMBER(SEARCH("regulat",$D291)),ISNUMBER(SEARCH("data",$D291)),ISNUMBER(SEARCH("talent",$D291)),ISNUMBER(SEARCH("knowledge",$D291)),ISNUMBER(SEARCH("portfolio",$D291)),ISNUMBER(SEARCH("quality",$D291))),"Slow","Medium")))</f>
        <v/>
      </c>
      <c r="AF291">
        <f>IF($A291="","",IFERROR(VLOOKUP($B291,'_CONFIG_Risk_Calibration'!$A$5:$H$21,2,FALSE),3))</f>
        <v/>
      </c>
      <c r="AG291">
        <f>IF($A291="","",IFERROR(VLOOKUP($B291,'_CONFIG_Risk_Calibration'!$A$5:$H$21,3,FALSE),0))</f>
        <v/>
      </c>
      <c r="AH291">
        <f>IF($A291="","",IFERROR(VLOOKUP($B291,'_CONFIG_Risk_Calibration'!$A$5:$H$21,4,FALSE),3))</f>
        <v/>
      </c>
      <c r="AI291">
        <f>IF($A291="","",IFERROR(VLOOKUP($B291,'_CONFIG_Risk_Calibration'!$A$5:$H$21,5,FALSE),3))</f>
        <v/>
      </c>
      <c r="AJ291">
        <f>IF($A291="","",IFERROR(VLOOKUP($B291,'_CONFIG_Risk_Calibration'!$A$5:$H$21,6,FALSE),"No"))</f>
        <v/>
      </c>
      <c r="AK291">
        <f>IF($A291="","",IFERROR(VLOOKUP($B291,'_CONFIG_Risk_Calibration'!$A$5:$H$21,7,FALSE),1))</f>
        <v/>
      </c>
      <c r="AL291">
        <f>IF($A291="","",IFERROR(VLOOKUP($B291,'_CONFIG_Risk_Calibration'!$A$5:$H$21,8,FALSE),""))</f>
        <v/>
      </c>
    </row>
    <row r="292" ht="72" customHeight="1" s="209">
      <c r="A292" s="13" t="inlineStr">
        <is>
          <t>MARK-012</t>
        </is>
      </c>
      <c r="B292" s="13" t="inlineStr">
        <is>
          <t>Marketing Comms</t>
        </is>
      </c>
      <c r="C292" s="13" t="inlineStr">
        <is>
          <t>Marketing operations</t>
        </is>
      </c>
      <c r="D292" s="13" t="inlineStr">
        <is>
          <t>Market communication and reputation resilience</t>
        </is>
      </c>
      <c r="E292" s="13" t="inlineStr">
        <is>
          <t>How mature is the organization in managing critical marketing and communication asset access if cloud tools or key people are unavailable, including ownership, evidence, metrics, fallback procedures and crisis stress testing?</t>
        </is>
      </c>
      <c r="F292" s="13" t="inlineStr">
        <is>
          <t>Immature capability for critical marketing and communication asset access if cloud tools or key people are unavailable may lead to loss of customer trust, reputational damage and inconsistent crisis communication during Reputation crisis; Demand shock; IT outage.</t>
        </is>
      </c>
      <c r="G292" s="13" t="inlineStr">
        <is>
          <t>Low maturity, weak ownership, incomplete evidence, insufficient testing and poor integration with crisis-management routines for critical marketing and communication asset access if cloud tools or key people are unavailable.</t>
        </is>
      </c>
      <c r="H292" s="13" t="inlineStr">
        <is>
          <t>Severe risk: critical marketing and communication asset access if cloud tools or key people are unavailable is not reliably controlled. During Reputation crisis; Demand shock; IT outage, the organization may face loss of customer trust, reputational damage and inconsistent crisis communication with limited visibility or accountability.</t>
        </is>
      </c>
      <c r="I292" s="13" t="inlineStr">
        <is>
          <t>High risk: critical marketing and communication asset access if cloud tools or key people are unavailable depends on informal practices or individual knowledge. Disruption may expose loss of customer trust, reputational damage and inconsistent crisis communication and slow recovery.</t>
        </is>
      </c>
      <c r="J292" s="13" t="inlineStr">
        <is>
          <t>Elevated risk: critical marketing and communication asset access if cloud tools or key people are unavailable is partially controlled, but coverage, evidence or testing is inconsistent. Crisis response may be fragmented.</t>
        </is>
      </c>
      <c r="K292" s="13" t="inlineStr">
        <is>
          <t>Moderate risk: critical marketing and communication asset access if cloud tools or key people are unavailable is documented and owned, but measurement, stress testing and integration with dependent processes need strengthening.</t>
        </is>
      </c>
      <c r="L292" s="13" t="inlineStr">
        <is>
          <t>Residual risk: critical marketing and communication asset access if cloud tools or key people are unavailable is measured and reviewed, but monitoring, automation or scenario testing should be improved to prevent maturity drift.</t>
        </is>
      </c>
      <c r="M292" s="13" t="inlineStr">
        <is>
          <t>Low residual risk: critical marketing and communication asset access if cloud tools or key people are unavailable is mature and crisis-tested. Maintain monitoring, evidence, ownership and periodic stress testing.</t>
        </is>
      </c>
      <c r="N292" s="13" t="inlineStr">
        <is>
          <t>Create an immediate risk owner, minimum control baseline and fallback procedure for critical marketing and communication asset access if cloud tools or key people are unavailable. Add it to the crisis risk register and collect first evidence.</t>
        </is>
      </c>
      <c r="O292" s="13" t="inlineStr">
        <is>
          <t>Document critical marketing and communication asset access if cloud tools or key people are unavailable, assign RACI, define minimum controls and KPIs, and validate coverage across key sites, teams or systems.</t>
        </is>
      </c>
      <c r="P292" s="13" t="inlineStr">
        <is>
          <t>Standardize critical marketing and communication asset access if cloud tools or key people are unavailable, close coverage gaps, train accountable roles and connect controls to the relevant crisis scenarios and continuity plans.</t>
        </is>
      </c>
      <c r="Q292" s="13" t="inlineStr">
        <is>
          <t>Measure and test critical marketing and communication asset access if cloud tools or key people are unavailable, run tabletop or operational stress tests, integrate it with dependent processes and update crisis playbooks.</t>
        </is>
      </c>
      <c r="R292" s="13" t="inlineStr">
        <is>
          <t>Automate monitoring where practical, define leading indicators, run periodic scenario tests and track residual risk after each major change.</t>
        </is>
      </c>
      <c r="S292" s="13" t="inlineStr">
        <is>
          <t>Sustain maturity for critical marketing and communication asset access if cloud tools or key people are unavailable: keep evidence current, monitor drift, benchmark externally and refresh risk tests after organizational, system or market changes.</t>
        </is>
      </c>
      <c r="T292" s="13" t="n">
        <v>3</v>
      </c>
      <c r="U292" s="13" t="n">
        <v>3</v>
      </c>
      <c r="V292" s="13" t="n">
        <v>2</v>
      </c>
      <c r="W292" s="13" t="n">
        <v>2</v>
      </c>
      <c r="X292" s="13" t="n">
        <v>1</v>
      </c>
      <c r="Y292" s="13" t="n">
        <v>1</v>
      </c>
      <c r="Z292" s="13" t="inlineStr">
        <is>
          <t>ISO 10002; ISO 10004; ISO 20671-1; ISO 22301; AMEC; crisis communication best practices</t>
        </is>
      </c>
      <c r="AA292" s="13" t="inlineStr">
        <is>
          <t>Policy/SOP; owner/RACI; system report; dashboard; contracts; test records; incident history; interview evidence related to critical marketing and communication asset access if cloud tools or key people are unavailable.</t>
        </is>
      </c>
      <c r="AB292" s="13" t="inlineStr">
        <is>
          <t>Reputation crisis; Demand shock; IT outage</t>
        </is>
      </c>
      <c r="AC292" s="13" t="inlineStr">
        <is>
          <t>CMO / Communications</t>
        </is>
      </c>
      <c r="AD292" s="13" t="inlineStr">
        <is>
          <t>Marketing Comms!16</t>
        </is>
      </c>
      <c r="AE292">
        <f>IF($A292="","",IF(OR(ISNUMBER(SEARCH("cyber",$D292)),ISNUMBER(SEARCH("security",$D292)),ISNUMBER(SEARCH("safety",$D292)),ISNUMBER(SEARCH("liquidity",$D292)),ISNUMBER(SEARCH("cash",$D292)),ISNUMBER(SEARCH("continuity",$D292)),ISNUMBER(SEARCH("infrastructure",$D292)),ISNUMBER(SEARCH("outage",$D292))),"Fast",IF(OR(ISNUMBER(SEARCH("compliance",$D292)),ISNUMBER(SEARCH("regulat",$D292)),ISNUMBER(SEARCH("data",$D292)),ISNUMBER(SEARCH("talent",$D292)),ISNUMBER(SEARCH("knowledge",$D292)),ISNUMBER(SEARCH("portfolio",$D292)),ISNUMBER(SEARCH("quality",$D292))),"Slow","Medium")))</f>
        <v/>
      </c>
      <c r="AF292">
        <f>IF($A292="","",IFERROR(VLOOKUP($B292,'_CONFIG_Risk_Calibration'!$A$5:$H$21,2,FALSE),3))</f>
        <v/>
      </c>
      <c r="AG292">
        <f>IF($A292="","",IFERROR(VLOOKUP($B292,'_CONFIG_Risk_Calibration'!$A$5:$H$21,3,FALSE),0))</f>
        <v/>
      </c>
      <c r="AH292">
        <f>IF($A292="","",IFERROR(VLOOKUP($B292,'_CONFIG_Risk_Calibration'!$A$5:$H$21,4,FALSE),3))</f>
        <v/>
      </c>
      <c r="AI292">
        <f>IF($A292="","",IFERROR(VLOOKUP($B292,'_CONFIG_Risk_Calibration'!$A$5:$H$21,5,FALSE),3))</f>
        <v/>
      </c>
      <c r="AJ292">
        <f>IF($A292="","",IFERROR(VLOOKUP($B292,'_CONFIG_Risk_Calibration'!$A$5:$H$21,6,FALSE),"No"))</f>
        <v/>
      </c>
      <c r="AK292">
        <f>IF($A292="","",IFERROR(VLOOKUP($B292,'_CONFIG_Risk_Calibration'!$A$5:$H$21,7,FALSE),1))</f>
        <v/>
      </c>
      <c r="AL292">
        <f>IF($A292="","",IFERROR(VLOOKUP($B292,'_CONFIG_Risk_Calibration'!$A$5:$H$21,8,FALSE),""))</f>
        <v/>
      </c>
    </row>
    <row r="293" ht="72" customHeight="1" s="209">
      <c r="A293" s="13" t="inlineStr">
        <is>
          <t>MARK-013</t>
        </is>
      </c>
      <c r="B293" s="13" t="inlineStr">
        <is>
          <t>Marketing Comms</t>
        </is>
      </c>
      <c r="C293" s="13" t="inlineStr">
        <is>
          <t>Marketing operations</t>
        </is>
      </c>
      <c r="D293" s="13" t="inlineStr">
        <is>
          <t>Market communication and reputation resilience</t>
        </is>
      </c>
      <c r="E293" s="13" t="inlineStr">
        <is>
          <t>How mature is the organization in managing marketing automation, email, analytics, CMS, domain and DNS dependency documentation, including ownership, evidence, metrics, fallback procedures and crisis stress testing?</t>
        </is>
      </c>
      <c r="F293" s="13" t="inlineStr">
        <is>
          <t>Immature capability for marketing automation, email, analytics, CMS, domain and DNS dependency documentation may lead to loss of customer trust, reputational damage and inconsistent crisis communication during Reputation crisis; Demand shock; IT outage.</t>
        </is>
      </c>
      <c r="G293" s="13" t="inlineStr">
        <is>
          <t>Low maturity, weak ownership, incomplete evidence, insufficient testing and poor integration with crisis-management routines for marketing automation, email, analytics, CMS, domain and DNS dependency documentation.</t>
        </is>
      </c>
      <c r="H293" s="13" t="inlineStr">
        <is>
          <t>Severe risk: marketing automation, email, analytics, CMS, domain and DNS dependency documentation is not reliably controlled. During Reputation crisis; Demand shock; IT outage, the organization may face loss of customer trust, reputational damage and inconsistent crisis communication with limited visibility or accountability.</t>
        </is>
      </c>
      <c r="I293" s="13" t="inlineStr">
        <is>
          <t>High risk: marketing automation, email, analytics, CMS, domain and DNS dependency documentation depends on informal practices or individual knowledge. Disruption may expose loss of customer trust, reputational damage and inconsistent crisis communication and slow recovery.</t>
        </is>
      </c>
      <c r="J293" s="13" t="inlineStr">
        <is>
          <t>Elevated risk: marketing automation, email, analytics, CMS, domain and DNS dependency documentation is partially controlled, but coverage, evidence or testing is inconsistent. Crisis response may be fragmented.</t>
        </is>
      </c>
      <c r="K293" s="13" t="inlineStr">
        <is>
          <t>Moderate risk: marketing automation, email, analytics, CMS, domain and DNS dependency documentation is documented and owned, but measurement, stress testing and integration with dependent processes need strengthening.</t>
        </is>
      </c>
      <c r="L293" s="13" t="inlineStr">
        <is>
          <t>Residual risk: marketing automation, email, analytics, CMS, domain and DNS dependency documentation is measured and reviewed, but monitoring, automation or scenario testing should be improved to prevent maturity drift.</t>
        </is>
      </c>
      <c r="M293" s="13" t="inlineStr">
        <is>
          <t>Low residual risk: marketing automation, email, analytics, CMS, domain and DNS dependency documentation is mature and crisis-tested. Maintain monitoring, evidence, ownership and periodic stress testing.</t>
        </is>
      </c>
      <c r="N293" s="13" t="inlineStr">
        <is>
          <t>Create an immediate risk owner, minimum control baseline and fallback procedure for marketing automation, email, analytics, CMS, domain and DNS dependency documentation. Add it to the crisis risk register and collect first evidence.</t>
        </is>
      </c>
      <c r="O293" s="13" t="inlineStr">
        <is>
          <t>Document marketing automation, email, analytics, CMS, domain and DNS dependency documentation, assign RACI, define minimum controls and KPIs, and validate coverage across key sites, teams or systems.</t>
        </is>
      </c>
      <c r="P293" s="13" t="inlineStr">
        <is>
          <t>Standardize marketing automation, email, analytics, CMS, domain and DNS dependency documentation, close coverage gaps, train accountable roles and connect controls to the relevant crisis scenarios and continuity plans.</t>
        </is>
      </c>
      <c r="Q293" s="13" t="inlineStr">
        <is>
          <t>Measure and test marketing automation, email, analytics, CMS, domain and DNS dependency documentation, run tabletop or operational stress tests, integrate it with dependent processes and update crisis playbooks.</t>
        </is>
      </c>
      <c r="R293" s="13" t="inlineStr">
        <is>
          <t>Automate monitoring where practical, define leading indicators, run periodic scenario tests and track residual risk after each major change.</t>
        </is>
      </c>
      <c r="S293" s="13" t="inlineStr">
        <is>
          <t>Sustain maturity for marketing automation, email, analytics, CMS, domain and DNS dependency documentation: keep evidence current, monitor drift, benchmark externally and refresh risk tests after organizational, system or market changes.</t>
        </is>
      </c>
      <c r="T293" s="13" t="n">
        <v>3</v>
      </c>
      <c r="U293" s="13" t="n">
        <v>3</v>
      </c>
      <c r="V293" s="13" t="n">
        <v>2</v>
      </c>
      <c r="W293" s="13" t="n">
        <v>2</v>
      </c>
      <c r="X293" s="13" t="n">
        <v>1</v>
      </c>
      <c r="Y293" s="13" t="n">
        <v>1</v>
      </c>
      <c r="Z293" s="13" t="inlineStr">
        <is>
          <t>ISO 10002; ISO 10004; ISO 20671-1; ISO 22301; AMEC; crisis communication best practices</t>
        </is>
      </c>
      <c r="AA293" s="13" t="inlineStr">
        <is>
          <t>Policy/SOP; owner/RACI; system report; dashboard; contracts; test records; incident history; interview evidence related to marketing automation, email, analytics, CMS, domain and DNS dependency documentation.</t>
        </is>
      </c>
      <c r="AB293" s="13" t="inlineStr">
        <is>
          <t>Reputation crisis; Demand shock; IT outage</t>
        </is>
      </c>
      <c r="AC293" s="13" t="inlineStr">
        <is>
          <t>CMO / Communications</t>
        </is>
      </c>
      <c r="AD293" s="13" t="inlineStr">
        <is>
          <t>Marketing Comms!17</t>
        </is>
      </c>
      <c r="AE293">
        <f>IF($A293="","",IF(OR(ISNUMBER(SEARCH("cyber",$D293)),ISNUMBER(SEARCH("security",$D293)),ISNUMBER(SEARCH("safety",$D293)),ISNUMBER(SEARCH("liquidity",$D293)),ISNUMBER(SEARCH("cash",$D293)),ISNUMBER(SEARCH("continuity",$D293)),ISNUMBER(SEARCH("infrastructure",$D293)),ISNUMBER(SEARCH("outage",$D293))),"Fast",IF(OR(ISNUMBER(SEARCH("compliance",$D293)),ISNUMBER(SEARCH("regulat",$D293)),ISNUMBER(SEARCH("data",$D293)),ISNUMBER(SEARCH("talent",$D293)),ISNUMBER(SEARCH("knowledge",$D293)),ISNUMBER(SEARCH("portfolio",$D293)),ISNUMBER(SEARCH("quality",$D293))),"Slow","Medium")))</f>
        <v/>
      </c>
      <c r="AF293">
        <f>IF($A293="","",IFERROR(VLOOKUP($B293,'_CONFIG_Risk_Calibration'!$A$5:$H$21,2,FALSE),3))</f>
        <v/>
      </c>
      <c r="AG293">
        <f>IF($A293="","",IFERROR(VLOOKUP($B293,'_CONFIG_Risk_Calibration'!$A$5:$H$21,3,FALSE),0))</f>
        <v/>
      </c>
      <c r="AH293">
        <f>IF($A293="","",IFERROR(VLOOKUP($B293,'_CONFIG_Risk_Calibration'!$A$5:$H$21,4,FALSE),3))</f>
        <v/>
      </c>
      <c r="AI293">
        <f>IF($A293="","",IFERROR(VLOOKUP($B293,'_CONFIG_Risk_Calibration'!$A$5:$H$21,5,FALSE),3))</f>
        <v/>
      </c>
      <c r="AJ293">
        <f>IF($A293="","",IFERROR(VLOOKUP($B293,'_CONFIG_Risk_Calibration'!$A$5:$H$21,6,FALSE),"No"))</f>
        <v/>
      </c>
      <c r="AK293">
        <f>IF($A293="","",IFERROR(VLOOKUP($B293,'_CONFIG_Risk_Calibration'!$A$5:$H$21,7,FALSE),1))</f>
        <v/>
      </c>
      <c r="AL293">
        <f>IF($A293="","",IFERROR(VLOOKUP($B293,'_CONFIG_Risk_Calibration'!$A$5:$H$21,8,FALSE),""))</f>
        <v/>
      </c>
    </row>
    <row r="294" ht="72" customHeight="1" s="209">
      <c r="A294" s="13" t="inlineStr">
        <is>
          <t>MARK-014</t>
        </is>
      </c>
      <c r="B294" s="13" t="inlineStr">
        <is>
          <t>Marketing Comms</t>
        </is>
      </c>
      <c r="C294" s="13" t="inlineStr">
        <is>
          <t>Marketing operations</t>
        </is>
      </c>
      <c r="D294" s="13" t="inlineStr">
        <is>
          <t>Market communication and reputation resilience</t>
        </is>
      </c>
      <c r="E294" s="13" t="inlineStr">
        <is>
          <t>How mature is the organization in managing privacy, consent, unsubscribe, advertising claims and industry marketing compliance, including ownership, evidence, metrics, fallback procedures and crisis stress testing?</t>
        </is>
      </c>
      <c r="F294" s="13" t="inlineStr">
        <is>
          <t>Immature capability for privacy, consent, unsubscribe, advertising claims and industry marketing compliance may lead to loss of customer trust, reputational damage and inconsistent crisis communication during Reputation crisis; Demand shock; IT outage.</t>
        </is>
      </c>
      <c r="G294" s="13" t="inlineStr">
        <is>
          <t>Low maturity, weak ownership, incomplete evidence, insufficient testing and poor integration with crisis-management routines for privacy, consent, unsubscribe, advertising claims and industry marketing compliance.</t>
        </is>
      </c>
      <c r="H294" s="13" t="inlineStr">
        <is>
          <t>Severe risk: privacy, consent, unsubscribe, advertising claims and industry marketing compliance is not reliably controlled. During Reputation crisis; Demand shock; IT outage, the organization may face loss of customer trust, reputational damage and inconsistent crisis communication with limited visibility or accountability.</t>
        </is>
      </c>
      <c r="I294" s="13" t="inlineStr">
        <is>
          <t>High risk: privacy, consent, unsubscribe, advertising claims and industry marketing compliance depends on informal practices or individual knowledge. Disruption may expose loss of customer trust, reputational damage and inconsistent crisis communication and slow recovery.</t>
        </is>
      </c>
      <c r="J294" s="13" t="inlineStr">
        <is>
          <t>Elevated risk: privacy, consent, unsubscribe, advertising claims and industry marketing compliance is partially controlled, but coverage, evidence or testing is inconsistent. Crisis response may be fragmented.</t>
        </is>
      </c>
      <c r="K294" s="13" t="inlineStr">
        <is>
          <t>Moderate risk: privacy, consent, unsubscribe, advertising claims and industry marketing compliance is documented and owned, but measurement, stress testing and integration with dependent processes need strengthening.</t>
        </is>
      </c>
      <c r="L294" s="13" t="inlineStr">
        <is>
          <t>Residual risk: privacy, consent, unsubscribe, advertising claims and industry marketing compliance is measured and reviewed, but monitoring, automation or scenario testing should be improved to prevent maturity drift.</t>
        </is>
      </c>
      <c r="M294" s="13" t="inlineStr">
        <is>
          <t>Low residual risk: privacy, consent, unsubscribe, advertising claims and industry marketing compliance is mature and crisis-tested. Maintain monitoring, evidence, ownership and periodic stress testing.</t>
        </is>
      </c>
      <c r="N294" s="13" t="inlineStr">
        <is>
          <t>Create an immediate risk owner, minimum control baseline and fallback procedure for privacy, consent, unsubscribe, advertising claims and industry marketing compliance. Add it to the crisis risk register and collect first evidence.</t>
        </is>
      </c>
      <c r="O294" s="13" t="inlineStr">
        <is>
          <t>Document privacy, consent, unsubscribe, advertising claims and industry marketing compliance, assign RACI, define minimum controls and KPIs, and validate coverage across key sites, teams or systems.</t>
        </is>
      </c>
      <c r="P294" s="13" t="inlineStr">
        <is>
          <t>Standardize privacy, consent, unsubscribe, advertising claims and industry marketing compliance, close coverage gaps, train accountable roles and connect controls to the relevant crisis scenarios and continuity plans.</t>
        </is>
      </c>
      <c r="Q294" s="13" t="inlineStr">
        <is>
          <t>Measure and test privacy, consent, unsubscribe, advertising claims and industry marketing compliance, run tabletop or operational stress tests, integrate it with dependent processes and update crisis playbooks.</t>
        </is>
      </c>
      <c r="R294" s="13" t="inlineStr">
        <is>
          <t>Automate monitoring where practical, define leading indicators, run periodic scenario tests and track residual risk after each major change.</t>
        </is>
      </c>
      <c r="S294" s="13" t="inlineStr">
        <is>
          <t>Sustain maturity for privacy, consent, unsubscribe, advertising claims and industry marketing compliance: keep evidence current, monitor drift, benchmark externally and refresh risk tests after organizational, system or market changes.</t>
        </is>
      </c>
      <c r="T294" s="13" t="n">
        <v>3</v>
      </c>
      <c r="U294" s="13" t="n">
        <v>3</v>
      </c>
      <c r="V294" s="13" t="n">
        <v>2</v>
      </c>
      <c r="W294" s="13" t="n">
        <v>2</v>
      </c>
      <c r="X294" s="13" t="n">
        <v>1</v>
      </c>
      <c r="Y294" s="13" t="n">
        <v>1</v>
      </c>
      <c r="Z294" s="13" t="inlineStr">
        <is>
          <t>ISO 10002; ISO 10004; ISO 20671-1; ISO 22301; AMEC; crisis communication best practices</t>
        </is>
      </c>
      <c r="AA294" s="13" t="inlineStr">
        <is>
          <t>Policy/SOP; owner/RACI; system report; dashboard; contracts; test records; incident history; interview evidence related to privacy, consent, unsubscribe, advertising claims and industry marketing compliance.</t>
        </is>
      </c>
      <c r="AB294" s="13" t="inlineStr">
        <is>
          <t>Reputation crisis; Demand shock; IT outage</t>
        </is>
      </c>
      <c r="AC294" s="13" t="inlineStr">
        <is>
          <t>CMO / Communications</t>
        </is>
      </c>
      <c r="AD294" s="13" t="inlineStr">
        <is>
          <t>Marketing Comms!18</t>
        </is>
      </c>
      <c r="AE294">
        <f>IF($A294="","",IF(OR(ISNUMBER(SEARCH("cyber",$D294)),ISNUMBER(SEARCH("security",$D294)),ISNUMBER(SEARCH("safety",$D294)),ISNUMBER(SEARCH("liquidity",$D294)),ISNUMBER(SEARCH("cash",$D294)),ISNUMBER(SEARCH("continuity",$D294)),ISNUMBER(SEARCH("infrastructure",$D294)),ISNUMBER(SEARCH("outage",$D294))),"Fast",IF(OR(ISNUMBER(SEARCH("compliance",$D294)),ISNUMBER(SEARCH("regulat",$D294)),ISNUMBER(SEARCH("data",$D294)),ISNUMBER(SEARCH("talent",$D294)),ISNUMBER(SEARCH("knowledge",$D294)),ISNUMBER(SEARCH("portfolio",$D294)),ISNUMBER(SEARCH("quality",$D294))),"Slow","Medium")))</f>
        <v/>
      </c>
      <c r="AF294">
        <f>IF($A294="","",IFERROR(VLOOKUP($B294,'_CONFIG_Risk_Calibration'!$A$5:$H$21,2,FALSE),3))</f>
        <v/>
      </c>
      <c r="AG294">
        <f>IF($A294="","",IFERROR(VLOOKUP($B294,'_CONFIG_Risk_Calibration'!$A$5:$H$21,3,FALSE),0))</f>
        <v/>
      </c>
      <c r="AH294">
        <f>IF($A294="","",IFERROR(VLOOKUP($B294,'_CONFIG_Risk_Calibration'!$A$5:$H$21,4,FALSE),3))</f>
        <v/>
      </c>
      <c r="AI294">
        <f>IF($A294="","",IFERROR(VLOOKUP($B294,'_CONFIG_Risk_Calibration'!$A$5:$H$21,5,FALSE),3))</f>
        <v/>
      </c>
      <c r="AJ294">
        <f>IF($A294="","",IFERROR(VLOOKUP($B294,'_CONFIG_Risk_Calibration'!$A$5:$H$21,6,FALSE),"No"))</f>
        <v/>
      </c>
      <c r="AK294">
        <f>IF($A294="","",IFERROR(VLOOKUP($B294,'_CONFIG_Risk_Calibration'!$A$5:$H$21,7,FALSE),1))</f>
        <v/>
      </c>
      <c r="AL294">
        <f>IF($A294="","",IFERROR(VLOOKUP($B294,'_CONFIG_Risk_Calibration'!$A$5:$H$21,8,FALSE),""))</f>
        <v/>
      </c>
    </row>
    <row r="295" ht="72" customHeight="1" s="209">
      <c r="A295" s="13" t="inlineStr">
        <is>
          <t>MARK-015</t>
        </is>
      </c>
      <c r="B295" s="13" t="inlineStr">
        <is>
          <t>Marketing Comms</t>
        </is>
      </c>
      <c r="C295" s="13" t="inlineStr">
        <is>
          <t>Marketing operations</t>
        </is>
      </c>
      <c r="D295" s="13" t="inlineStr">
        <is>
          <t>Market communication and reputation resilience</t>
        </is>
      </c>
      <c r="E295" s="13" t="inlineStr">
        <is>
          <t>How mature is the organization in managing demand-generation playbooks for budget cuts, channel failure, competitive pressure or geopolitical restrictions, including ownership, evidence, metrics, fallback procedures and crisis stress testing?</t>
        </is>
      </c>
      <c r="F295" s="13" t="inlineStr">
        <is>
          <t>Immature capability for demand-generation playbooks for budget cuts, channel failure, competitive pressure or geopolitical restrictions may lead to loss of customer trust, reputational damage and inconsistent crisis communication during Reputation crisis; Demand shock; IT outage.</t>
        </is>
      </c>
      <c r="G295" s="13" t="inlineStr">
        <is>
          <t>Low maturity, weak ownership, incomplete evidence, insufficient testing and poor integration with crisis-management routines for demand-generation playbooks for budget cuts, channel failure, competitive pressure or geopolitical restrictions.</t>
        </is>
      </c>
      <c r="H295" s="13" t="inlineStr">
        <is>
          <t>Severe risk: demand-generation playbooks for budget cuts, channel failure, competitive pressure or geopolitical restrictions is not reliably controlled. During Reputation crisis; Demand shock; IT outage, the organization may face loss of customer trust, reputational damage and inconsistent crisis communication with limited visibility or accountability.</t>
        </is>
      </c>
      <c r="I295" s="13" t="inlineStr">
        <is>
          <t>High risk: demand-generation playbooks for budget cuts, channel failure, competitive pressure or geopolitical restrictions depends on informal practices or individual knowledge. Disruption may expose loss of customer trust, reputational damage and inconsistent crisis communication and slow recovery.</t>
        </is>
      </c>
      <c r="J295" s="13" t="inlineStr">
        <is>
          <t>Elevated risk: demand-generation playbooks for budget cuts, channel failure, competitive pressure or geopolitical restrictions is partially controlled, but coverage, evidence or testing is inconsistent. Crisis response may be fragmented.</t>
        </is>
      </c>
      <c r="K295" s="13" t="inlineStr">
        <is>
          <t>Moderate risk: demand-generation playbooks for budget cuts, channel failure, competitive pressure or geopolitical restrictions is documented and owned, but measurement, stress testing and integration with dependent processes need strengthening.</t>
        </is>
      </c>
      <c r="L295" s="13" t="inlineStr">
        <is>
          <t>Residual risk: demand-generation playbooks for budget cuts, channel failure, competitive pressure or geopolitical restrictions is measured and reviewed, but monitoring, automation or scenario testing should be improved to prevent maturity drift.</t>
        </is>
      </c>
      <c r="M295" s="13" t="inlineStr">
        <is>
          <t>Low residual risk: demand-generation playbooks for budget cuts, channel failure, competitive pressure or geopolitical restrictions is mature and crisis-tested. Maintain monitoring, evidence, ownership and periodic stress testing.</t>
        </is>
      </c>
      <c r="N295" s="13" t="inlineStr">
        <is>
          <t>Create an immediate risk owner, minimum control baseline and fallback procedure for demand-generation playbooks for budget cuts, channel failure, competitive pressure or geopolitical restrictions. Add it to the crisis risk register and collect first evidence.</t>
        </is>
      </c>
      <c r="O295" s="13" t="inlineStr">
        <is>
          <t>Document demand-generation playbooks for budget cuts, channel failure, competitive pressure or geopolitical restrictions, assign RACI, define minimum controls and KPIs, and validate coverage across key sites, teams or systems.</t>
        </is>
      </c>
      <c r="P295" s="13" t="inlineStr">
        <is>
          <t>Standardize demand-generation playbooks for budget cuts, channel failure, competitive pressure or geopolitical restrictions, close coverage gaps, train accountable roles and connect controls to the relevant crisis scenarios and continuity plans.</t>
        </is>
      </c>
      <c r="Q295" s="13" t="inlineStr">
        <is>
          <t>Measure and test demand-generation playbooks for budget cuts, channel failure, competitive pressure or geopolitical restrictions, run tabletop or operational stress tests, integrate it with dependent processes and update crisis playbooks.</t>
        </is>
      </c>
      <c r="R295" s="13" t="inlineStr">
        <is>
          <t>Automate monitoring where practical, define leading indicators, run periodic scenario tests and track residual risk after each major change.</t>
        </is>
      </c>
      <c r="S295" s="13" t="inlineStr">
        <is>
          <t>Sustain maturity for demand-generation playbooks for budget cuts, channel failure, competitive pressure or geopolitical restrictions: keep evidence current, monitor drift, benchmark externally and refresh risk tests after organizational, system or market changes.</t>
        </is>
      </c>
      <c r="T295" s="13" t="n">
        <v>3</v>
      </c>
      <c r="U295" s="13" t="n">
        <v>3</v>
      </c>
      <c r="V295" s="13" t="n">
        <v>2</v>
      </c>
      <c r="W295" s="13" t="n">
        <v>2</v>
      </c>
      <c r="X295" s="13" t="n">
        <v>1</v>
      </c>
      <c r="Y295" s="13" t="n">
        <v>1</v>
      </c>
      <c r="Z295" s="13" t="inlineStr">
        <is>
          <t>ISO 10002; ISO 10004; ISO 20671-1; ISO 22301; AMEC; crisis communication best practices</t>
        </is>
      </c>
      <c r="AA295" s="13" t="inlineStr">
        <is>
          <t>Policy/SOP; owner/RACI; system report; dashboard; contracts; test records; incident history; interview evidence related to demand-generation playbooks for budget cuts, channel failure, competitive pressure or geopolitical restrictions.</t>
        </is>
      </c>
      <c r="AB295" s="13" t="inlineStr">
        <is>
          <t>Reputation crisis; Demand shock; IT outage</t>
        </is>
      </c>
      <c r="AC295" s="13" t="inlineStr">
        <is>
          <t>CMO / Communications</t>
        </is>
      </c>
      <c r="AD295" s="13" t="inlineStr">
        <is>
          <t>Marketing Comms!19</t>
        </is>
      </c>
      <c r="AE295">
        <f>IF($A295="","",IF(OR(ISNUMBER(SEARCH("cyber",$D295)),ISNUMBER(SEARCH("security",$D295)),ISNUMBER(SEARCH("safety",$D295)),ISNUMBER(SEARCH("liquidity",$D295)),ISNUMBER(SEARCH("cash",$D295)),ISNUMBER(SEARCH("continuity",$D295)),ISNUMBER(SEARCH("infrastructure",$D295)),ISNUMBER(SEARCH("outage",$D295))),"Fast",IF(OR(ISNUMBER(SEARCH("compliance",$D295)),ISNUMBER(SEARCH("regulat",$D295)),ISNUMBER(SEARCH("data",$D295)),ISNUMBER(SEARCH("talent",$D295)),ISNUMBER(SEARCH("knowledge",$D295)),ISNUMBER(SEARCH("portfolio",$D295)),ISNUMBER(SEARCH("quality",$D295))),"Slow","Medium")))</f>
        <v/>
      </c>
      <c r="AF295">
        <f>IF($A295="","",IFERROR(VLOOKUP($B295,'_CONFIG_Risk_Calibration'!$A$5:$H$21,2,FALSE),3))</f>
        <v/>
      </c>
      <c r="AG295">
        <f>IF($A295="","",IFERROR(VLOOKUP($B295,'_CONFIG_Risk_Calibration'!$A$5:$H$21,3,FALSE),0))</f>
        <v/>
      </c>
      <c r="AH295">
        <f>IF($A295="","",IFERROR(VLOOKUP($B295,'_CONFIG_Risk_Calibration'!$A$5:$H$21,4,FALSE),3))</f>
        <v/>
      </c>
      <c r="AI295">
        <f>IF($A295="","",IFERROR(VLOOKUP($B295,'_CONFIG_Risk_Calibration'!$A$5:$H$21,5,FALSE),3))</f>
        <v/>
      </c>
      <c r="AJ295">
        <f>IF($A295="","",IFERROR(VLOOKUP($B295,'_CONFIG_Risk_Calibration'!$A$5:$H$21,6,FALSE),"No"))</f>
        <v/>
      </c>
      <c r="AK295">
        <f>IF($A295="","",IFERROR(VLOOKUP($B295,'_CONFIG_Risk_Calibration'!$A$5:$H$21,7,FALSE),1))</f>
        <v/>
      </c>
      <c r="AL295">
        <f>IF($A295="","",IFERROR(VLOOKUP($B295,'_CONFIG_Risk_Calibration'!$A$5:$H$21,8,FALSE),""))</f>
        <v/>
      </c>
    </row>
    <row r="296" ht="72" customHeight="1" s="209">
      <c r="A296" s="13" t="inlineStr">
        <is>
          <t>MARK-016</t>
        </is>
      </c>
      <c r="B296" s="13" t="inlineStr">
        <is>
          <t>Marketing Comms</t>
        </is>
      </c>
      <c r="C296" s="13" t="inlineStr">
        <is>
          <t>Marketing operations</t>
        </is>
      </c>
      <c r="D296" s="13" t="inlineStr">
        <is>
          <t>Market communication and reputation resilience</t>
        </is>
      </c>
      <c r="E296" s="13" t="inlineStr">
        <is>
          <t>How mature is the organization in managing sales-marketing alignment on ICP, lead definitions, messages, offers and crisis concerns, including ownership, evidence, metrics, fallback procedures and crisis stress testing?</t>
        </is>
      </c>
      <c r="F296" s="13" t="inlineStr">
        <is>
          <t>Immature capability for sales-marketing alignment on ICP, lead definitions, messages, offers and crisis concerns may lead to loss of customer trust, reputational damage and inconsistent crisis communication during Reputation crisis; Demand shock; IT outage.</t>
        </is>
      </c>
      <c r="G296" s="13" t="inlineStr">
        <is>
          <t>Low maturity, weak ownership, incomplete evidence, insufficient testing and poor integration with crisis-management routines for sales-marketing alignment on ICP, lead definitions, messages, offers and crisis concerns.</t>
        </is>
      </c>
      <c r="H296" s="13" t="inlineStr">
        <is>
          <t>Severe risk: sales-marketing alignment on ICP, lead definitions, messages, offers and crisis concerns is not reliably controlled. During Reputation crisis; Demand shock; IT outage, the organization may face loss of customer trust, reputational damage and inconsistent crisis communication with limited visibility or accountability.</t>
        </is>
      </c>
      <c r="I296" s="13" t="inlineStr">
        <is>
          <t>High risk: sales-marketing alignment on ICP, lead definitions, messages, offers and crisis concerns depends on informal practices or individual knowledge. Disruption may expose loss of customer trust, reputational damage and inconsistent crisis communication and slow recovery.</t>
        </is>
      </c>
      <c r="J296" s="13" t="inlineStr">
        <is>
          <t>Elevated risk: sales-marketing alignment on ICP, lead definitions, messages, offers and crisis concerns is partially controlled, but coverage, evidence or testing is inconsistent. Crisis response may be fragmented.</t>
        </is>
      </c>
      <c r="K296" s="13" t="inlineStr">
        <is>
          <t>Moderate risk: sales-marketing alignment on ICP, lead definitions, messages, offers and crisis concerns is documented and owned, but measurement, stress testing and integration with dependent processes need strengthening.</t>
        </is>
      </c>
      <c r="L296" s="13" t="inlineStr">
        <is>
          <t>Residual risk: sales-marketing alignment on ICP, lead definitions, messages, offers and crisis concerns is measured and reviewed, but monitoring, automation or scenario testing should be improved to prevent maturity drift.</t>
        </is>
      </c>
      <c r="M296" s="13" t="inlineStr">
        <is>
          <t>Low residual risk: sales-marketing alignment on ICP, lead definitions, messages, offers and crisis concerns is mature and crisis-tested. Maintain monitoring, evidence, ownership and periodic stress testing.</t>
        </is>
      </c>
      <c r="N296" s="13" t="inlineStr">
        <is>
          <t>Create an immediate risk owner, minimum control baseline and fallback procedure for sales-marketing alignment on ICP, lead definitions, messages, offers and crisis concerns. Add it to the crisis risk register and collect first evidence.</t>
        </is>
      </c>
      <c r="O296" s="13" t="inlineStr">
        <is>
          <t>Document sales-marketing alignment on ICP, lead definitions, messages, offers and crisis concerns, assign RACI, define minimum controls and KPIs, and validate coverage across key sites, teams or systems.</t>
        </is>
      </c>
      <c r="P296" s="13" t="inlineStr">
        <is>
          <t>Standardize sales-marketing alignment on ICP, lead definitions, messages, offers and crisis concerns, close coverage gaps, train accountable roles and connect controls to the relevant crisis scenarios and continuity plans.</t>
        </is>
      </c>
      <c r="Q296" s="13" t="inlineStr">
        <is>
          <t>Measure and test sales-marketing alignment on ICP, lead definitions, messages, offers and crisis concerns, run tabletop or operational stress tests, integrate it with dependent processes and update crisis playbooks.</t>
        </is>
      </c>
      <c r="R296" s="13" t="inlineStr">
        <is>
          <t>Automate monitoring where practical, define leading indicators, run periodic scenario tests and track residual risk after each major change.</t>
        </is>
      </c>
      <c r="S296" s="13" t="inlineStr">
        <is>
          <t>Sustain maturity for sales-marketing alignment on ICP, lead definitions, messages, offers and crisis concerns: keep evidence current, monitor drift, benchmark externally and refresh risk tests after organizational, system or market changes.</t>
        </is>
      </c>
      <c r="T296" s="13" t="n">
        <v>3</v>
      </c>
      <c r="U296" s="13" t="n">
        <v>3</v>
      </c>
      <c r="V296" s="13" t="n">
        <v>2</v>
      </c>
      <c r="W296" s="13" t="n">
        <v>2</v>
      </c>
      <c r="X296" s="13" t="n">
        <v>1</v>
      </c>
      <c r="Y296" s="13" t="n">
        <v>1</v>
      </c>
      <c r="Z296" s="13" t="inlineStr">
        <is>
          <t>ISO 10002; ISO 10004; ISO 20671-1; ISO 22301; AMEC; crisis communication best practices</t>
        </is>
      </c>
      <c r="AA296" s="13" t="inlineStr">
        <is>
          <t>Policy/SOP; owner/RACI; system report; dashboard; contracts; test records; incident history; interview evidence related to sales-marketing alignment on ICP, lead definitions, messages, offers and crisis concerns.</t>
        </is>
      </c>
      <c r="AB296" s="13" t="inlineStr">
        <is>
          <t>Reputation crisis; Demand shock; IT outage</t>
        </is>
      </c>
      <c r="AC296" s="13" t="inlineStr">
        <is>
          <t>CMO / Communications</t>
        </is>
      </c>
      <c r="AD296" s="13" t="inlineStr">
        <is>
          <t>Marketing Comms!20</t>
        </is>
      </c>
      <c r="AE296">
        <f>IF($A296="","",IF(OR(ISNUMBER(SEARCH("cyber",$D296)),ISNUMBER(SEARCH("security",$D296)),ISNUMBER(SEARCH("safety",$D296)),ISNUMBER(SEARCH("liquidity",$D296)),ISNUMBER(SEARCH("cash",$D296)),ISNUMBER(SEARCH("continuity",$D296)),ISNUMBER(SEARCH("infrastructure",$D296)),ISNUMBER(SEARCH("outage",$D296))),"Fast",IF(OR(ISNUMBER(SEARCH("compliance",$D296)),ISNUMBER(SEARCH("regulat",$D296)),ISNUMBER(SEARCH("data",$D296)),ISNUMBER(SEARCH("talent",$D296)),ISNUMBER(SEARCH("knowledge",$D296)),ISNUMBER(SEARCH("portfolio",$D296)),ISNUMBER(SEARCH("quality",$D296))),"Slow","Medium")))</f>
        <v/>
      </c>
      <c r="AF296">
        <f>IF($A296="","",IFERROR(VLOOKUP($B296,'_CONFIG_Risk_Calibration'!$A$5:$H$21,2,FALSE),3))</f>
        <v/>
      </c>
      <c r="AG296">
        <f>IF($A296="","",IFERROR(VLOOKUP($B296,'_CONFIG_Risk_Calibration'!$A$5:$H$21,3,FALSE),0))</f>
        <v/>
      </c>
      <c r="AH296">
        <f>IF($A296="","",IFERROR(VLOOKUP($B296,'_CONFIG_Risk_Calibration'!$A$5:$H$21,4,FALSE),3))</f>
        <v/>
      </c>
      <c r="AI296">
        <f>IF($A296="","",IFERROR(VLOOKUP($B296,'_CONFIG_Risk_Calibration'!$A$5:$H$21,5,FALSE),3))</f>
        <v/>
      </c>
      <c r="AJ296">
        <f>IF($A296="","",IFERROR(VLOOKUP($B296,'_CONFIG_Risk_Calibration'!$A$5:$H$21,6,FALSE),"No"))</f>
        <v/>
      </c>
      <c r="AK296">
        <f>IF($A296="","",IFERROR(VLOOKUP($B296,'_CONFIG_Risk_Calibration'!$A$5:$H$21,7,FALSE),1))</f>
        <v/>
      </c>
      <c r="AL296">
        <f>IF($A296="","",IFERROR(VLOOKUP($B296,'_CONFIG_Risk_Calibration'!$A$5:$H$21,8,FALSE),""))</f>
        <v/>
      </c>
    </row>
    <row r="297" ht="72" customHeight="1" s="209">
      <c r="A297" s="13" t="inlineStr">
        <is>
          <t>ITCL-001</t>
        </is>
      </c>
      <c r="B297" s="13" t="inlineStr">
        <is>
          <t>IT Cloud DR</t>
        </is>
      </c>
      <c r="C297" s="13" t="inlineStr">
        <is>
          <t>IT inventory and architecture</t>
        </is>
      </c>
      <c r="D297" s="13" t="inlineStr">
        <is>
          <t>IT, cloud and disaster recovery</t>
        </is>
      </c>
      <c r="E297" s="13" t="inlineStr">
        <is>
          <t>How mature is the organization in managing complete inventory of applications, infrastructure, cloud accounts, integrations, data stores and owners, including ownership, evidence, metrics, fallback procedures and crisis stress testing?</t>
        </is>
      </c>
      <c r="F297" s="13" t="inlineStr">
        <is>
          <t>Immature capability for complete inventory of applications, infrastructure, cloud accounts, integrations, data stores and owners may lead to system outage, data unavailability, excessive RTO/RPO and inability to restore critical technology services during IT outage; Cloud outage; Data loss; Cyberattack.</t>
        </is>
      </c>
      <c r="G297" s="13" t="inlineStr">
        <is>
          <t>Low maturity, weak ownership, incomplete evidence, insufficient testing and poor integration with crisis-management routines for complete inventory of applications, infrastructure, cloud accounts, integrations, data stores and owners.</t>
        </is>
      </c>
      <c r="H297" s="13" t="inlineStr">
        <is>
          <t>Severe risk: complete inventory of applications, infrastructure, cloud accounts, integrations, data stores and owners is not reliably controlled. During IT outage; Cloud outage; Data loss; Cyberattack, the organization may face system outage, data unavailability, excessive RTO/RPO and inability to restore critical technology services with limited visibility or accountability.</t>
        </is>
      </c>
      <c r="I297" s="13" t="inlineStr">
        <is>
          <t>High risk: complete inventory of applications, infrastructure, cloud accounts, integrations, data stores and owners depends on informal practices or individual knowledge. Disruption may expose system outage, data unavailability, excessive RTO/RPO and inability to restore critical technology services and slow recovery.</t>
        </is>
      </c>
      <c r="J297" s="13" t="inlineStr">
        <is>
          <t>Elevated risk: complete inventory of applications, infrastructure, cloud accounts, integrations, data stores and owners is partially controlled, but coverage, evidence or testing is inconsistent. Crisis response may be fragmented.</t>
        </is>
      </c>
      <c r="K297" s="13" t="inlineStr">
        <is>
          <t>Moderate risk: complete inventory of applications, infrastructure, cloud accounts, integrations, data stores and owners is documented and owned, but measurement, stress testing and integration with dependent processes need strengthening.</t>
        </is>
      </c>
      <c r="L297" s="13" t="inlineStr">
        <is>
          <t>Residual risk: complete inventory of applications, infrastructure, cloud accounts, integrations, data stores and owners is measured and reviewed, but monitoring, automation or scenario testing should be improved to prevent maturity drift.</t>
        </is>
      </c>
      <c r="M297" s="13" t="inlineStr">
        <is>
          <t>Low residual risk: complete inventory of applications, infrastructure, cloud accounts, integrations, data stores and owners is mature and crisis-tested. Maintain monitoring, evidence, ownership and periodic stress testing.</t>
        </is>
      </c>
      <c r="N297" s="13" t="inlineStr">
        <is>
          <t>Create an immediate risk owner, minimum control baseline and fallback procedure for complete inventory of applications, infrastructure, cloud accounts, integrations, data stores and owners. Add it to the crisis risk register and collect first evidence.</t>
        </is>
      </c>
      <c r="O297" s="13" t="inlineStr">
        <is>
          <t>Document complete inventory of applications, infrastructure, cloud accounts, integrations, data stores and owners, assign RACI, define minimum controls and KPIs, and validate coverage across key sites, teams or systems.</t>
        </is>
      </c>
      <c r="P297" s="13" t="inlineStr">
        <is>
          <t>Standardize complete inventory of applications, infrastructure, cloud accounts, integrations, data stores and owners, close coverage gaps, train accountable roles and connect controls to the relevant crisis scenarios and continuity plans.</t>
        </is>
      </c>
      <c r="Q297" s="13" t="inlineStr">
        <is>
          <t>Measure and test complete inventory of applications, infrastructure, cloud accounts, integrations, data stores and owners, run tabletop or operational stress tests, integrate it with dependent processes and update crisis playbooks.</t>
        </is>
      </c>
      <c r="R297" s="13" t="inlineStr">
        <is>
          <t>Automate monitoring where practical, define leading indicators, run periodic scenario tests and track residual risk after each major change.</t>
        </is>
      </c>
      <c r="S297" s="13" t="inlineStr">
        <is>
          <t>Sustain maturity for complete inventory of applications, infrastructure, cloud accounts, integrations, data stores and owners: keep evidence current, monitor drift, benchmark externally and refresh risk tests after organizational, system or market changes.</t>
        </is>
      </c>
      <c r="T297" s="13" t="n">
        <v>4</v>
      </c>
      <c r="U297" s="13" t="n">
        <v>3</v>
      </c>
      <c r="V297" s="13" t="n">
        <v>3</v>
      </c>
      <c r="W297" s="13" t="n">
        <v>2</v>
      </c>
      <c r="X297" s="13" t="n">
        <v>1</v>
      </c>
      <c r="Y297" s="13" t="n">
        <v>1</v>
      </c>
      <c r="Z297" s="13" t="inlineStr">
        <is>
          <t>ISO/IEC 27001; ISO/IEC 20000-1; NIST CSF 2.0; NIST SP 800-34; COBIT; ITIL 4; FinOps</t>
        </is>
      </c>
      <c r="AA297" s="13" t="inlineStr">
        <is>
          <t>Policy/SOP; owner/RACI; system report; dashboard; contracts; test records; incident history; interview evidence related to complete inventory of applications, infrastructure, cloud accounts, integrations, data stores and owners.</t>
        </is>
      </c>
      <c r="AB297" s="13" t="inlineStr">
        <is>
          <t>IT outage; Cloud outage; Data loss; Cyberattack</t>
        </is>
      </c>
      <c r="AC297" s="13" t="inlineStr">
        <is>
          <t>CIO / CTO / IT Ops</t>
        </is>
      </c>
      <c r="AD297" s="13" t="inlineStr">
        <is>
          <t>IT Cloud DR!5</t>
        </is>
      </c>
      <c r="AE297">
        <f>IF($A297="","",IF(OR(ISNUMBER(SEARCH("cyber",$D297)),ISNUMBER(SEARCH("security",$D297)),ISNUMBER(SEARCH("safety",$D297)),ISNUMBER(SEARCH("liquidity",$D297)),ISNUMBER(SEARCH("cash",$D297)),ISNUMBER(SEARCH("continuity",$D297)),ISNUMBER(SEARCH("infrastructure",$D297)),ISNUMBER(SEARCH("outage",$D297))),"Fast",IF(OR(ISNUMBER(SEARCH("compliance",$D297)),ISNUMBER(SEARCH("regulat",$D297)),ISNUMBER(SEARCH("data",$D297)),ISNUMBER(SEARCH("talent",$D297)),ISNUMBER(SEARCH("knowledge",$D297)),ISNUMBER(SEARCH("portfolio",$D297)),ISNUMBER(SEARCH("quality",$D297))),"Slow","Medium")))</f>
        <v/>
      </c>
      <c r="AF297">
        <f>IF($A297="","",IFERROR(VLOOKUP($B297,'_CONFIG_Risk_Calibration'!$A$5:$H$21,2,FALSE),3))</f>
        <v/>
      </c>
      <c r="AG297">
        <f>IF($A297="","",IFERROR(VLOOKUP($B297,'_CONFIG_Risk_Calibration'!$A$5:$H$21,3,FALSE),0))</f>
        <v/>
      </c>
      <c r="AH297">
        <f>IF($A297="","",IFERROR(VLOOKUP($B297,'_CONFIG_Risk_Calibration'!$A$5:$H$21,4,FALSE),3))</f>
        <v/>
      </c>
      <c r="AI297">
        <f>IF($A297="","",IFERROR(VLOOKUP($B297,'_CONFIG_Risk_Calibration'!$A$5:$H$21,5,FALSE),3))</f>
        <v/>
      </c>
      <c r="AJ297">
        <f>IF($A297="","",IFERROR(VLOOKUP($B297,'_CONFIG_Risk_Calibration'!$A$5:$H$21,6,FALSE),"No"))</f>
        <v/>
      </c>
      <c r="AK297">
        <f>IF($A297="","",IFERROR(VLOOKUP($B297,'_CONFIG_Risk_Calibration'!$A$5:$H$21,7,FALSE),1))</f>
        <v/>
      </c>
      <c r="AL297">
        <f>IF($A297="","",IFERROR(VLOOKUP($B297,'_CONFIG_Risk_Calibration'!$A$5:$H$21,8,FALSE),""))</f>
        <v/>
      </c>
    </row>
    <row r="298" ht="72" customHeight="1" s="209">
      <c r="A298" s="13" t="inlineStr">
        <is>
          <t>ITCL-002</t>
        </is>
      </c>
      <c r="B298" s="13" t="inlineStr">
        <is>
          <t>IT Cloud DR</t>
        </is>
      </c>
      <c r="C298" s="13" t="inlineStr">
        <is>
          <t>IT inventory and architecture</t>
        </is>
      </c>
      <c r="D298" s="13" t="inlineStr">
        <is>
          <t>IT, cloud and disaster recovery</t>
        </is>
      </c>
      <c r="E298" s="13" t="inlineStr">
        <is>
          <t>How mature is the organization in managing system criticality tiering by business process, RTO, RPO, users and data sensitivity, including ownership, evidence, metrics, fallback procedures and crisis stress testing?</t>
        </is>
      </c>
      <c r="F298" s="13" t="inlineStr">
        <is>
          <t>Immature capability for system criticality tiering by business process, RTO, RPO, users and data sensitivity may lead to system outage, data unavailability, excessive RTO/RPO and inability to restore critical technology services during IT outage; Cloud outage; Data loss; Cyberattack.</t>
        </is>
      </c>
      <c r="G298" s="13" t="inlineStr">
        <is>
          <t>Low maturity, weak ownership, incomplete evidence, insufficient testing and poor integration with crisis-management routines for system criticality tiering by business process, RTO, RPO, users and data sensitivity.</t>
        </is>
      </c>
      <c r="H298" s="13" t="inlineStr">
        <is>
          <t>Severe risk: system criticality tiering by business process, RTO, RPO, users and data sensitivity is not reliably controlled. During IT outage; Cloud outage; Data loss; Cyberattack, the organization may face system outage, data unavailability, excessive RTO/RPO and inability to restore critical technology services with limited visibility or accountability.</t>
        </is>
      </c>
      <c r="I298" s="13" t="inlineStr">
        <is>
          <t>High risk: system criticality tiering by business process, RTO, RPO, users and data sensitivity depends on informal practices or individual knowledge. Disruption may expose system outage, data unavailability, excessive RTO/RPO and inability to restore critical technology services and slow recovery.</t>
        </is>
      </c>
      <c r="J298" s="13" t="inlineStr">
        <is>
          <t>Elevated risk: system criticality tiering by business process, RTO, RPO, users and data sensitivity is partially controlled, but coverage, evidence or testing is inconsistent. Crisis response may be fragmented.</t>
        </is>
      </c>
      <c r="K298" s="13" t="inlineStr">
        <is>
          <t>Moderate risk: system criticality tiering by business process, RTO, RPO, users and data sensitivity is documented and owned, but measurement, stress testing and integration with dependent processes need strengthening.</t>
        </is>
      </c>
      <c r="L298" s="13" t="inlineStr">
        <is>
          <t>Residual risk: system criticality tiering by business process, RTO, RPO, users and data sensitivity is measured and reviewed, but monitoring, automation or scenario testing should be improved to prevent maturity drift.</t>
        </is>
      </c>
      <c r="M298" s="13" t="inlineStr">
        <is>
          <t>Low residual risk: system criticality tiering by business process, RTO, RPO, users and data sensitivity is mature and crisis-tested. Maintain monitoring, evidence, ownership and periodic stress testing.</t>
        </is>
      </c>
      <c r="N298" s="13" t="inlineStr">
        <is>
          <t>Create an immediate risk owner, minimum control baseline and fallback procedure for system criticality tiering by business process, RTO, RPO, users and data sensitivity. Add it to the crisis risk register and collect first evidence.</t>
        </is>
      </c>
      <c r="O298" s="13" t="inlineStr">
        <is>
          <t>Document system criticality tiering by business process, RTO, RPO, users and data sensitivity, assign RACI, define minimum controls and KPIs, and validate coverage across key sites, teams or systems.</t>
        </is>
      </c>
      <c r="P298" s="13" t="inlineStr">
        <is>
          <t>Standardize system criticality tiering by business process, RTO, RPO, users and data sensitivity, close coverage gaps, train accountable roles and connect controls to the relevant crisis scenarios and continuity plans.</t>
        </is>
      </c>
      <c r="Q298" s="13" t="inlineStr">
        <is>
          <t>Measure and test system criticality tiering by business process, RTO, RPO, users and data sensitivity, run tabletop or operational stress tests, integrate it with dependent processes and update crisis playbooks.</t>
        </is>
      </c>
      <c r="R298" s="13" t="inlineStr">
        <is>
          <t>Automate monitoring where practical, define leading indicators, run periodic scenario tests and track residual risk after each major change.</t>
        </is>
      </c>
      <c r="S298" s="13" t="inlineStr">
        <is>
          <t>Sustain maturity for system criticality tiering by business process, RTO, RPO, users and data sensitivity: keep evidence current, monitor drift, benchmark externally and refresh risk tests after organizational, system or market changes.</t>
        </is>
      </c>
      <c r="T298" s="13" t="n">
        <v>4</v>
      </c>
      <c r="U298" s="13" t="n">
        <v>3</v>
      </c>
      <c r="V298" s="13" t="n">
        <v>3</v>
      </c>
      <c r="W298" s="13" t="n">
        <v>2</v>
      </c>
      <c r="X298" s="13" t="n">
        <v>1</v>
      </c>
      <c r="Y298" s="13" t="n">
        <v>1</v>
      </c>
      <c r="Z298" s="13" t="inlineStr">
        <is>
          <t>ISO/IEC 27001; ISO/IEC 20000-1; NIST CSF 2.0; NIST SP 800-34; COBIT; ITIL 4; FinOps</t>
        </is>
      </c>
      <c r="AA298" s="13" t="inlineStr">
        <is>
          <t>Policy/SOP; owner/RACI; system report; dashboard; contracts; test records; incident history; interview evidence related to system criticality tiering by business process, RTO, RPO, users and data sensitivity.</t>
        </is>
      </c>
      <c r="AB298" s="13" t="inlineStr">
        <is>
          <t>IT outage; Cloud outage; Data loss; Cyberattack</t>
        </is>
      </c>
      <c r="AC298" s="13" t="inlineStr">
        <is>
          <t>CIO / CTO / IT Ops</t>
        </is>
      </c>
      <c r="AD298" s="13" t="inlineStr">
        <is>
          <t>IT Cloud DR!6</t>
        </is>
      </c>
      <c r="AE298">
        <f>IF($A298="","",IF(OR(ISNUMBER(SEARCH("cyber",$D298)),ISNUMBER(SEARCH("security",$D298)),ISNUMBER(SEARCH("safety",$D298)),ISNUMBER(SEARCH("liquidity",$D298)),ISNUMBER(SEARCH("cash",$D298)),ISNUMBER(SEARCH("continuity",$D298)),ISNUMBER(SEARCH("infrastructure",$D298)),ISNUMBER(SEARCH("outage",$D298))),"Fast",IF(OR(ISNUMBER(SEARCH("compliance",$D298)),ISNUMBER(SEARCH("regulat",$D298)),ISNUMBER(SEARCH("data",$D298)),ISNUMBER(SEARCH("talent",$D298)),ISNUMBER(SEARCH("knowledge",$D298)),ISNUMBER(SEARCH("portfolio",$D298)),ISNUMBER(SEARCH("quality",$D298))),"Slow","Medium")))</f>
        <v/>
      </c>
      <c r="AF298">
        <f>IF($A298="","",IFERROR(VLOOKUP($B298,'_CONFIG_Risk_Calibration'!$A$5:$H$21,2,FALSE),3))</f>
        <v/>
      </c>
      <c r="AG298">
        <f>IF($A298="","",IFERROR(VLOOKUP($B298,'_CONFIG_Risk_Calibration'!$A$5:$H$21,3,FALSE),0))</f>
        <v/>
      </c>
      <c r="AH298">
        <f>IF($A298="","",IFERROR(VLOOKUP($B298,'_CONFIG_Risk_Calibration'!$A$5:$H$21,4,FALSE),3))</f>
        <v/>
      </c>
      <c r="AI298">
        <f>IF($A298="","",IFERROR(VLOOKUP($B298,'_CONFIG_Risk_Calibration'!$A$5:$H$21,5,FALSE),3))</f>
        <v/>
      </c>
      <c r="AJ298">
        <f>IF($A298="","",IFERROR(VLOOKUP($B298,'_CONFIG_Risk_Calibration'!$A$5:$H$21,6,FALSE),"No"))</f>
        <v/>
      </c>
      <c r="AK298">
        <f>IF($A298="","",IFERROR(VLOOKUP($B298,'_CONFIG_Risk_Calibration'!$A$5:$H$21,7,FALSE),1))</f>
        <v/>
      </c>
      <c r="AL298">
        <f>IF($A298="","",IFERROR(VLOOKUP($B298,'_CONFIG_Risk_Calibration'!$A$5:$H$21,8,FALSE),""))</f>
        <v/>
      </c>
    </row>
    <row r="299" ht="72" customHeight="1" s="209">
      <c r="A299" s="13" t="inlineStr">
        <is>
          <t>ITCL-003</t>
        </is>
      </c>
      <c r="B299" s="13" t="inlineStr">
        <is>
          <t>IT Cloud DR</t>
        </is>
      </c>
      <c r="C299" s="13" t="inlineStr">
        <is>
          <t>IT inventory and architecture</t>
        </is>
      </c>
      <c r="D299" s="13" t="inlineStr">
        <is>
          <t>IT, cloud and disaster recovery</t>
        </is>
      </c>
      <c r="E299" s="13" t="inlineStr">
        <is>
          <t>How mature is the organization in managing current-state and target-state IT architecture documentation, including ownership, evidence, metrics, fallback procedures and crisis stress testing?</t>
        </is>
      </c>
      <c r="F299" s="13" t="inlineStr">
        <is>
          <t>Immature capability for current-state and target-state IT architecture documentation may lead to system outage, data unavailability, excessive RTO/RPO and inability to restore critical technology services during IT outage; Cloud outage; Data loss; Cyberattack.</t>
        </is>
      </c>
      <c r="G299" s="13" t="inlineStr">
        <is>
          <t>Low maturity, weak ownership, incomplete evidence, insufficient testing and poor integration with crisis-management routines for current-state and target-state IT architecture documentation.</t>
        </is>
      </c>
      <c r="H299" s="13" t="inlineStr">
        <is>
          <t>Severe risk: current-state and target-state IT architecture documentation is not reliably controlled. During IT outage; Cloud outage; Data loss; Cyberattack, the organization may face system outage, data unavailability, excessive RTO/RPO and inability to restore critical technology services with limited visibility or accountability.</t>
        </is>
      </c>
      <c r="I299" s="13" t="inlineStr">
        <is>
          <t>High risk: current-state and target-state IT architecture documentation depends on informal practices or individual knowledge. Disruption may expose system outage, data unavailability, excessive RTO/RPO and inability to restore critical technology services and slow recovery.</t>
        </is>
      </c>
      <c r="J299" s="13" t="inlineStr">
        <is>
          <t>Elevated risk: current-state and target-state IT architecture documentation is partially controlled, but coverage, evidence or testing is inconsistent. Crisis response may be fragmented.</t>
        </is>
      </c>
      <c r="K299" s="13" t="inlineStr">
        <is>
          <t>Moderate risk: current-state and target-state IT architecture documentation is documented and owned, but measurement, stress testing and integration with dependent processes need strengthening.</t>
        </is>
      </c>
      <c r="L299" s="13" t="inlineStr">
        <is>
          <t>Residual risk: current-state and target-state IT architecture documentation is measured and reviewed, but monitoring, automation or scenario testing should be improved to prevent maturity drift.</t>
        </is>
      </c>
      <c r="M299" s="13" t="inlineStr">
        <is>
          <t>Low residual risk: current-state and target-state IT architecture documentation is mature and crisis-tested. Maintain monitoring, evidence, ownership and periodic stress testing.</t>
        </is>
      </c>
      <c r="N299" s="13" t="inlineStr">
        <is>
          <t>Create an immediate risk owner, minimum control baseline and fallback procedure for current-state and target-state IT architecture documentation. Add it to the crisis risk register and collect first evidence.</t>
        </is>
      </c>
      <c r="O299" s="13" t="inlineStr">
        <is>
          <t>Document current-state and target-state IT architecture documentation, assign RACI, define minimum controls and KPIs, and validate coverage across key sites, teams or systems.</t>
        </is>
      </c>
      <c r="P299" s="13" t="inlineStr">
        <is>
          <t>Standardize current-state and target-state IT architecture documentation, close coverage gaps, train accountable roles and connect controls to the relevant crisis scenarios and continuity plans.</t>
        </is>
      </c>
      <c r="Q299" s="13" t="inlineStr">
        <is>
          <t>Measure and test current-state and target-state IT architecture documentation, run tabletop or operational stress tests, integrate it with dependent processes and update crisis playbooks.</t>
        </is>
      </c>
      <c r="R299" s="13" t="inlineStr">
        <is>
          <t>Automate monitoring where practical, define leading indicators, run periodic scenario tests and track residual risk after each major change.</t>
        </is>
      </c>
      <c r="S299" s="13" t="inlineStr">
        <is>
          <t>Sustain maturity for current-state and target-state IT architecture documentation: keep evidence current, monitor drift, benchmark externally and refresh risk tests after organizational, system or market changes.</t>
        </is>
      </c>
      <c r="T299" s="13" t="n">
        <v>4</v>
      </c>
      <c r="U299" s="13" t="n">
        <v>3</v>
      </c>
      <c r="V299" s="13" t="n">
        <v>3</v>
      </c>
      <c r="W299" s="13" t="n">
        <v>2</v>
      </c>
      <c r="X299" s="13" t="n">
        <v>1</v>
      </c>
      <c r="Y299" s="13" t="n">
        <v>1</v>
      </c>
      <c r="Z299" s="13" t="inlineStr">
        <is>
          <t>ISO/IEC 27001; ISO/IEC 20000-1; NIST CSF 2.0; NIST SP 800-34; COBIT; ITIL 4; FinOps</t>
        </is>
      </c>
      <c r="AA299" s="13" t="inlineStr">
        <is>
          <t>Policy/SOP; owner/RACI; system report; dashboard; contracts; test records; incident history; interview evidence related to current-state and target-state IT architecture documentation.</t>
        </is>
      </c>
      <c r="AB299" s="13" t="inlineStr">
        <is>
          <t>IT outage; Cloud outage; Data loss; Cyberattack</t>
        </is>
      </c>
      <c r="AC299" s="13" t="inlineStr">
        <is>
          <t>CIO / CTO / IT Ops</t>
        </is>
      </c>
      <c r="AD299" s="13" t="inlineStr">
        <is>
          <t>IT Cloud DR!7</t>
        </is>
      </c>
      <c r="AE299">
        <f>IF($A299="","",IF(OR(ISNUMBER(SEARCH("cyber",$D299)),ISNUMBER(SEARCH("security",$D299)),ISNUMBER(SEARCH("safety",$D299)),ISNUMBER(SEARCH("liquidity",$D299)),ISNUMBER(SEARCH("cash",$D299)),ISNUMBER(SEARCH("continuity",$D299)),ISNUMBER(SEARCH("infrastructure",$D299)),ISNUMBER(SEARCH("outage",$D299))),"Fast",IF(OR(ISNUMBER(SEARCH("compliance",$D299)),ISNUMBER(SEARCH("regulat",$D299)),ISNUMBER(SEARCH("data",$D299)),ISNUMBER(SEARCH("talent",$D299)),ISNUMBER(SEARCH("knowledge",$D299)),ISNUMBER(SEARCH("portfolio",$D299)),ISNUMBER(SEARCH("quality",$D299))),"Slow","Medium")))</f>
        <v/>
      </c>
      <c r="AF299">
        <f>IF($A299="","",IFERROR(VLOOKUP($B299,'_CONFIG_Risk_Calibration'!$A$5:$H$21,2,FALSE),3))</f>
        <v/>
      </c>
      <c r="AG299">
        <f>IF($A299="","",IFERROR(VLOOKUP($B299,'_CONFIG_Risk_Calibration'!$A$5:$H$21,3,FALSE),0))</f>
        <v/>
      </c>
      <c r="AH299">
        <f>IF($A299="","",IFERROR(VLOOKUP($B299,'_CONFIG_Risk_Calibration'!$A$5:$H$21,4,FALSE),3))</f>
        <v/>
      </c>
      <c r="AI299">
        <f>IF($A299="","",IFERROR(VLOOKUP($B299,'_CONFIG_Risk_Calibration'!$A$5:$H$21,5,FALSE),3))</f>
        <v/>
      </c>
      <c r="AJ299">
        <f>IF($A299="","",IFERROR(VLOOKUP($B299,'_CONFIG_Risk_Calibration'!$A$5:$H$21,6,FALSE),"No"))</f>
        <v/>
      </c>
      <c r="AK299">
        <f>IF($A299="","",IFERROR(VLOOKUP($B299,'_CONFIG_Risk_Calibration'!$A$5:$H$21,7,FALSE),1))</f>
        <v/>
      </c>
      <c r="AL299">
        <f>IF($A299="","",IFERROR(VLOOKUP($B299,'_CONFIG_Risk_Calibration'!$A$5:$H$21,8,FALSE),""))</f>
        <v/>
      </c>
    </row>
    <row r="300" ht="72" customHeight="1" s="209">
      <c r="A300" s="13" t="inlineStr">
        <is>
          <t>ITCL-004</t>
        </is>
      </c>
      <c r="B300" s="13" t="inlineStr">
        <is>
          <t>IT Cloud DR</t>
        </is>
      </c>
      <c r="C300" s="13" t="inlineStr">
        <is>
          <t>IT inventory and architecture</t>
        </is>
      </c>
      <c r="D300" s="13" t="inlineStr">
        <is>
          <t>IT, cloud and disaster recovery</t>
        </is>
      </c>
      <c r="E300" s="13" t="inlineStr">
        <is>
          <t>How mature is the organization in managing technical single points of failure across network, identity, DNS, cloud, databases, integrations and support teams, including ownership, evidence, metrics, fallback procedures and crisis stress testing?</t>
        </is>
      </c>
      <c r="F300" s="13" t="inlineStr">
        <is>
          <t>Immature capability for technical single points of failure across network, identity, DNS, cloud, databases, integrations and support teams may lead to system outage, data unavailability, excessive RTO/RPO and inability to restore critical technology services during IT outage; Cloud outage; Data loss; Cyberattack.</t>
        </is>
      </c>
      <c r="G300" s="13" t="inlineStr">
        <is>
          <t>Low maturity, weak ownership, incomplete evidence, insufficient testing and poor integration with crisis-management routines for technical single points of failure across network, identity, DNS, cloud, databases, integrations and support teams.</t>
        </is>
      </c>
      <c r="H300" s="13" t="inlineStr">
        <is>
          <t>Severe risk: technical single points of failure across network, identity, DNS, cloud, databases, integrations and support teams is not reliably controlled. During IT outage; Cloud outage; Data loss; Cyberattack, the organization may face system outage, data unavailability, excessive RTO/RPO and inability to restore critical technology services with limited visibility or accountability.</t>
        </is>
      </c>
      <c r="I300" s="13" t="inlineStr">
        <is>
          <t>High risk: technical single points of failure across network, identity, DNS, cloud, databases, integrations and support teams depends on informal practices or individual knowledge. Disruption may expose system outage, data unavailability, excessive RTO/RPO and inability to restore critical technology services and slow recovery.</t>
        </is>
      </c>
      <c r="J300" s="13" t="inlineStr">
        <is>
          <t>Elevated risk: technical single points of failure across network, identity, DNS, cloud, databases, integrations and support teams is partially controlled, but coverage, evidence or testing is inconsistent. Crisis response may be fragmented.</t>
        </is>
      </c>
      <c r="K300" s="13" t="inlineStr">
        <is>
          <t>Moderate risk: technical single points of failure across network, identity, DNS, cloud, databases, integrations and support teams is documented and owned, but measurement, stress testing and integration with dependent processes need strengthening.</t>
        </is>
      </c>
      <c r="L300" s="13" t="inlineStr">
        <is>
          <t>Residual risk: technical single points of failure across network, identity, DNS, cloud, databases, integrations and support teams is measured and reviewed, but monitoring, automation or scenario testing should be improved to prevent maturity drift.</t>
        </is>
      </c>
      <c r="M300" s="13" t="inlineStr">
        <is>
          <t>Low residual risk: technical single points of failure across network, identity, DNS, cloud, databases, integrations and support teams is mature and crisis-tested. Maintain monitoring, evidence, ownership and periodic stress testing.</t>
        </is>
      </c>
      <c r="N300" s="13" t="inlineStr">
        <is>
          <t>Create an immediate risk owner, minimum control baseline and fallback procedure for technical single points of failure across network, identity, DNS, cloud, databases, integrations and support teams. Add it to the crisis risk register and collect first evidence.</t>
        </is>
      </c>
      <c r="O300" s="13" t="inlineStr">
        <is>
          <t>Document technical single points of failure across network, identity, DNS, cloud, databases, integrations and support teams, assign RACI, define minimum controls and KPIs, and validate coverage across key sites, teams or systems.</t>
        </is>
      </c>
      <c r="P300" s="13" t="inlineStr">
        <is>
          <t>Standardize technical single points of failure across network, identity, DNS, cloud, databases, integrations and support teams, close coverage gaps, train accountable roles and connect controls to the relevant crisis scenarios and continuity plans.</t>
        </is>
      </c>
      <c r="Q300" s="13" t="inlineStr">
        <is>
          <t>Measure and test technical single points of failure across network, identity, DNS, cloud, databases, integrations and support teams, run tabletop or operational stress tests, integrate it with dependent processes and update crisis playbooks.</t>
        </is>
      </c>
      <c r="R300" s="13" t="inlineStr">
        <is>
          <t>Automate monitoring where practical, define leading indicators, run periodic scenario tests and track residual risk after each major change.</t>
        </is>
      </c>
      <c r="S300" s="13" t="inlineStr">
        <is>
          <t>Sustain maturity for technical single points of failure across network, identity, DNS, cloud, databases, integrations and support teams: keep evidence current, monitor drift, benchmark externally and refresh risk tests after organizational, system or market changes.</t>
        </is>
      </c>
      <c r="T300" s="13" t="n">
        <v>4</v>
      </c>
      <c r="U300" s="13" t="n">
        <v>3</v>
      </c>
      <c r="V300" s="13" t="n">
        <v>3</v>
      </c>
      <c r="W300" s="13" t="n">
        <v>2</v>
      </c>
      <c r="X300" s="13" t="n">
        <v>1</v>
      </c>
      <c r="Y300" s="13" t="n">
        <v>1</v>
      </c>
      <c r="Z300" s="13" t="inlineStr">
        <is>
          <t>ISO/IEC 27001; ISO/IEC 20000-1; NIST CSF 2.0; NIST SP 800-34; COBIT; ITIL 4; FinOps</t>
        </is>
      </c>
      <c r="AA300" s="13" t="inlineStr">
        <is>
          <t>Policy/SOP; owner/RACI; system report; dashboard; contracts; test records; incident history; interview evidence related to technical single points of failure across network, identity, DNS, cloud, databases, integrations and support teams.</t>
        </is>
      </c>
      <c r="AB300" s="13" t="inlineStr">
        <is>
          <t>IT outage; Cloud outage; Data loss; Cyberattack</t>
        </is>
      </c>
      <c r="AC300" s="13" t="inlineStr">
        <is>
          <t>CIO / CTO / IT Ops</t>
        </is>
      </c>
      <c r="AD300" s="13" t="inlineStr">
        <is>
          <t>IT Cloud DR!8</t>
        </is>
      </c>
      <c r="AE300">
        <f>IF($A300="","",IF(OR(ISNUMBER(SEARCH("cyber",$D300)),ISNUMBER(SEARCH("security",$D300)),ISNUMBER(SEARCH("safety",$D300)),ISNUMBER(SEARCH("liquidity",$D300)),ISNUMBER(SEARCH("cash",$D300)),ISNUMBER(SEARCH("continuity",$D300)),ISNUMBER(SEARCH("infrastructure",$D300)),ISNUMBER(SEARCH("outage",$D300))),"Fast",IF(OR(ISNUMBER(SEARCH("compliance",$D300)),ISNUMBER(SEARCH("regulat",$D300)),ISNUMBER(SEARCH("data",$D300)),ISNUMBER(SEARCH("talent",$D300)),ISNUMBER(SEARCH("knowledge",$D300)),ISNUMBER(SEARCH("portfolio",$D300)),ISNUMBER(SEARCH("quality",$D300))),"Slow","Medium")))</f>
        <v/>
      </c>
      <c r="AF300">
        <f>IF($A300="","",IFERROR(VLOOKUP($B300,'_CONFIG_Risk_Calibration'!$A$5:$H$21,2,FALSE),3))</f>
        <v/>
      </c>
      <c r="AG300">
        <f>IF($A300="","",IFERROR(VLOOKUP($B300,'_CONFIG_Risk_Calibration'!$A$5:$H$21,3,FALSE),0))</f>
        <v/>
      </c>
      <c r="AH300">
        <f>IF($A300="","",IFERROR(VLOOKUP($B300,'_CONFIG_Risk_Calibration'!$A$5:$H$21,4,FALSE),3))</f>
        <v/>
      </c>
      <c r="AI300">
        <f>IF($A300="","",IFERROR(VLOOKUP($B300,'_CONFIG_Risk_Calibration'!$A$5:$H$21,5,FALSE),3))</f>
        <v/>
      </c>
      <c r="AJ300">
        <f>IF($A300="","",IFERROR(VLOOKUP($B300,'_CONFIG_Risk_Calibration'!$A$5:$H$21,6,FALSE),"No"))</f>
        <v/>
      </c>
      <c r="AK300">
        <f>IF($A300="","",IFERROR(VLOOKUP($B300,'_CONFIG_Risk_Calibration'!$A$5:$H$21,7,FALSE),1))</f>
        <v/>
      </c>
      <c r="AL300">
        <f>IF($A300="","",IFERROR(VLOOKUP($B300,'_CONFIG_Risk_Calibration'!$A$5:$H$21,8,FALSE),""))</f>
        <v/>
      </c>
    </row>
    <row r="301" ht="72" customHeight="1" s="209">
      <c r="A301" s="13" t="inlineStr">
        <is>
          <t>ITCL-005</t>
        </is>
      </c>
      <c r="B301" s="13" t="inlineStr">
        <is>
          <t>IT Cloud DR</t>
        </is>
      </c>
      <c r="C301" s="13" t="inlineStr">
        <is>
          <t>IT inventory and architecture</t>
        </is>
      </c>
      <c r="D301" s="13" t="inlineStr">
        <is>
          <t>IT, cloud and disaster recovery</t>
        </is>
      </c>
      <c r="E301" s="13" t="inlineStr">
        <is>
          <t>How mature is the organization in managing legacy system risk for vendor support, skills, security, integration and replacement options, including ownership, evidence, metrics, fallback procedures and crisis stress testing?</t>
        </is>
      </c>
      <c r="F301" s="13" t="inlineStr">
        <is>
          <t>Immature capability for legacy system risk for vendor support, skills, security, integration and replacement options may lead to system outage, data unavailability, excessive RTO/RPO and inability to restore critical technology services during IT outage; Cloud outage; Data loss; Cyberattack.</t>
        </is>
      </c>
      <c r="G301" s="13" t="inlineStr">
        <is>
          <t>Low maturity, weak ownership, incomplete evidence, insufficient testing and poor integration with crisis-management routines for legacy system risk for vendor support, skills, security, integration and replacement options.</t>
        </is>
      </c>
      <c r="H301" s="13" t="inlineStr">
        <is>
          <t>Severe risk: legacy system risk for vendor support, skills, security, integration and replacement options is not reliably controlled. During IT outage; Cloud outage; Data loss; Cyberattack, the organization may face system outage, data unavailability, excessive RTO/RPO and inability to restore critical technology services with limited visibility or accountability.</t>
        </is>
      </c>
      <c r="I301" s="13" t="inlineStr">
        <is>
          <t>High risk: legacy system risk for vendor support, skills, security, integration and replacement options depends on informal practices or individual knowledge. Disruption may expose system outage, data unavailability, excessive RTO/RPO and inability to restore critical technology services and slow recovery.</t>
        </is>
      </c>
      <c r="J301" s="13" t="inlineStr">
        <is>
          <t>Elevated risk: legacy system risk for vendor support, skills, security, integration and replacement options is partially controlled, but coverage, evidence or testing is inconsistent. Crisis response may be fragmented.</t>
        </is>
      </c>
      <c r="K301" s="13" t="inlineStr">
        <is>
          <t>Moderate risk: legacy system risk for vendor support, skills, security, integration and replacement options is documented and owned, but measurement, stress testing and integration with dependent processes need strengthening.</t>
        </is>
      </c>
      <c r="L301" s="13" t="inlineStr">
        <is>
          <t>Residual risk: legacy system risk for vendor support, skills, security, integration and replacement options is measured and reviewed, but monitoring, automation or scenario testing should be improved to prevent maturity drift.</t>
        </is>
      </c>
      <c r="M301" s="13" t="inlineStr">
        <is>
          <t>Low residual risk: legacy system risk for vendor support, skills, security, integration and replacement options is mature and crisis-tested. Maintain monitoring, evidence, ownership and periodic stress testing.</t>
        </is>
      </c>
      <c r="N301" s="13" t="inlineStr">
        <is>
          <t>Create an immediate risk owner, minimum control baseline and fallback procedure for legacy system risk for vendor support, skills, security, integration and replacement options. Add it to the crisis risk register and collect first evidence.</t>
        </is>
      </c>
      <c r="O301" s="13" t="inlineStr">
        <is>
          <t>Document legacy system risk for vendor support, skills, security, integration and replacement options, assign RACI, define minimum controls and KPIs, and validate coverage across key sites, teams or systems.</t>
        </is>
      </c>
      <c r="P301" s="13" t="inlineStr">
        <is>
          <t>Standardize legacy system risk for vendor support, skills, security, integration and replacement options, close coverage gaps, train accountable roles and connect controls to the relevant crisis scenarios and continuity plans.</t>
        </is>
      </c>
      <c r="Q301" s="13" t="inlineStr">
        <is>
          <t>Measure and test legacy system risk for vendor support, skills, security, integration and replacement options, run tabletop or operational stress tests, integrate it with dependent processes and update crisis playbooks.</t>
        </is>
      </c>
      <c r="R301" s="13" t="inlineStr">
        <is>
          <t>Automate monitoring where practical, define leading indicators, run periodic scenario tests and track residual risk after each major change.</t>
        </is>
      </c>
      <c r="S301" s="13" t="inlineStr">
        <is>
          <t>Sustain maturity for legacy system risk for vendor support, skills, security, integration and replacement options: keep evidence current, monitor drift, benchmark externally and refresh risk tests after organizational, system or market changes.</t>
        </is>
      </c>
      <c r="T301" s="13" t="n">
        <v>4</v>
      </c>
      <c r="U301" s="13" t="n">
        <v>3</v>
      </c>
      <c r="V301" s="13" t="n">
        <v>3</v>
      </c>
      <c r="W301" s="13" t="n">
        <v>2</v>
      </c>
      <c r="X301" s="13" t="n">
        <v>1</v>
      </c>
      <c r="Y301" s="13" t="n">
        <v>1</v>
      </c>
      <c r="Z301" s="13" t="inlineStr">
        <is>
          <t>ISO/IEC 27001; ISO/IEC 20000-1; NIST CSF 2.0; NIST SP 800-34; COBIT; ITIL 4; FinOps</t>
        </is>
      </c>
      <c r="AA301" s="13" t="inlineStr">
        <is>
          <t>Policy/SOP; owner/RACI; system report; dashboard; contracts; test records; incident history; interview evidence related to legacy system risk for vendor support, skills, security, integration and replacement options.</t>
        </is>
      </c>
      <c r="AB301" s="13" t="inlineStr">
        <is>
          <t>IT outage; Cloud outage; Data loss; Cyberattack</t>
        </is>
      </c>
      <c r="AC301" s="13" t="inlineStr">
        <is>
          <t>CIO / CTO / IT Ops</t>
        </is>
      </c>
      <c r="AD301" s="13" t="inlineStr">
        <is>
          <t>IT Cloud DR!9</t>
        </is>
      </c>
      <c r="AE301">
        <f>IF($A301="","",IF(OR(ISNUMBER(SEARCH("cyber",$D301)),ISNUMBER(SEARCH("security",$D301)),ISNUMBER(SEARCH("safety",$D301)),ISNUMBER(SEARCH("liquidity",$D301)),ISNUMBER(SEARCH("cash",$D301)),ISNUMBER(SEARCH("continuity",$D301)),ISNUMBER(SEARCH("infrastructure",$D301)),ISNUMBER(SEARCH("outage",$D301))),"Fast",IF(OR(ISNUMBER(SEARCH("compliance",$D301)),ISNUMBER(SEARCH("regulat",$D301)),ISNUMBER(SEARCH("data",$D301)),ISNUMBER(SEARCH("talent",$D301)),ISNUMBER(SEARCH("knowledge",$D301)),ISNUMBER(SEARCH("portfolio",$D301)),ISNUMBER(SEARCH("quality",$D301))),"Slow","Medium")))</f>
        <v/>
      </c>
      <c r="AF301">
        <f>IF($A301="","",IFERROR(VLOOKUP($B301,'_CONFIG_Risk_Calibration'!$A$5:$H$21,2,FALSE),3))</f>
        <v/>
      </c>
      <c r="AG301">
        <f>IF($A301="","",IFERROR(VLOOKUP($B301,'_CONFIG_Risk_Calibration'!$A$5:$H$21,3,FALSE),0))</f>
        <v/>
      </c>
      <c r="AH301">
        <f>IF($A301="","",IFERROR(VLOOKUP($B301,'_CONFIG_Risk_Calibration'!$A$5:$H$21,4,FALSE),3))</f>
        <v/>
      </c>
      <c r="AI301">
        <f>IF($A301="","",IFERROR(VLOOKUP($B301,'_CONFIG_Risk_Calibration'!$A$5:$H$21,5,FALSE),3))</f>
        <v/>
      </c>
      <c r="AJ301">
        <f>IF($A301="","",IFERROR(VLOOKUP($B301,'_CONFIG_Risk_Calibration'!$A$5:$H$21,6,FALSE),"No"))</f>
        <v/>
      </c>
      <c r="AK301">
        <f>IF($A301="","",IFERROR(VLOOKUP($B301,'_CONFIG_Risk_Calibration'!$A$5:$H$21,7,FALSE),1))</f>
        <v/>
      </c>
      <c r="AL301">
        <f>IF($A301="","",IFERROR(VLOOKUP($B301,'_CONFIG_Risk_Calibration'!$A$5:$H$21,8,FALSE),""))</f>
        <v/>
      </c>
    </row>
    <row r="302" ht="72" customHeight="1" s="209">
      <c r="A302" s="13" t="inlineStr">
        <is>
          <t>ITCL-006</t>
        </is>
      </c>
      <c r="B302" s="13" t="inlineStr">
        <is>
          <t>IT Cloud DR</t>
        </is>
      </c>
      <c r="C302" s="13" t="inlineStr">
        <is>
          <t>IT inventory and architecture</t>
        </is>
      </c>
      <c r="D302" s="13" t="inlineStr">
        <is>
          <t>IT, cloud and disaster recovery</t>
        </is>
      </c>
      <c r="E302" s="13" t="inlineStr">
        <is>
          <t>How mature is the organization in managing technical debt register linked to resilience, security and business impact, including ownership, evidence, metrics, fallback procedures and crisis stress testing?</t>
        </is>
      </c>
      <c r="F302" s="13" t="inlineStr">
        <is>
          <t>Immature capability for technical debt register linked to resilience, security and business impact may lead to system outage, data unavailability, excessive RTO/RPO and inability to restore critical technology services during IT outage; Cloud outage; Data loss; Cyberattack.</t>
        </is>
      </c>
      <c r="G302" s="13" t="inlineStr">
        <is>
          <t>Low maturity, weak ownership, incomplete evidence, insufficient testing and poor integration with crisis-management routines for technical debt register linked to resilience, security and business impact.</t>
        </is>
      </c>
      <c r="H302" s="13" t="inlineStr">
        <is>
          <t>Severe risk: technical debt register linked to resilience, security and business impact is not reliably controlled. During IT outage; Cloud outage; Data loss; Cyberattack, the organization may face system outage, data unavailability, excessive RTO/RPO and inability to restore critical technology services with limited visibility or accountability.</t>
        </is>
      </c>
      <c r="I302" s="13" t="inlineStr">
        <is>
          <t>High risk: technical debt register linked to resilience, security and business impact depends on informal practices or individual knowledge. Disruption may expose system outage, data unavailability, excessive RTO/RPO and inability to restore critical technology services and slow recovery.</t>
        </is>
      </c>
      <c r="J302" s="13" t="inlineStr">
        <is>
          <t>Elevated risk: technical debt register linked to resilience, security and business impact is partially controlled, but coverage, evidence or testing is inconsistent. Crisis response may be fragmented.</t>
        </is>
      </c>
      <c r="K302" s="13" t="inlineStr">
        <is>
          <t>Moderate risk: technical debt register linked to resilience, security and business impact is documented and owned, but measurement, stress testing and integration with dependent processes need strengthening.</t>
        </is>
      </c>
      <c r="L302" s="13" t="inlineStr">
        <is>
          <t>Residual risk: technical debt register linked to resilience, security and business impact is measured and reviewed, but monitoring, automation or scenario testing should be improved to prevent maturity drift.</t>
        </is>
      </c>
      <c r="M302" s="13" t="inlineStr">
        <is>
          <t>Low residual risk: technical debt register linked to resilience, security and business impact is mature and crisis-tested. Maintain monitoring, evidence, ownership and periodic stress testing.</t>
        </is>
      </c>
      <c r="N302" s="13" t="inlineStr">
        <is>
          <t>Create an immediate risk owner, minimum control baseline and fallback procedure for technical debt register linked to resilience, security and business impact. Add it to the crisis risk register and collect first evidence.</t>
        </is>
      </c>
      <c r="O302" s="13" t="inlineStr">
        <is>
          <t>Document technical debt register linked to resilience, security and business impact, assign RACI, define minimum controls and KPIs, and validate coverage across key sites, teams or systems.</t>
        </is>
      </c>
      <c r="P302" s="13" t="inlineStr">
        <is>
          <t>Standardize technical debt register linked to resilience, security and business impact, close coverage gaps, train accountable roles and connect controls to the relevant crisis scenarios and continuity plans.</t>
        </is>
      </c>
      <c r="Q302" s="13" t="inlineStr">
        <is>
          <t>Measure and test technical debt register linked to resilience, security and business impact, run tabletop or operational stress tests, integrate it with dependent processes and update crisis playbooks.</t>
        </is>
      </c>
      <c r="R302" s="13" t="inlineStr">
        <is>
          <t>Automate monitoring where practical, define leading indicators, run periodic scenario tests and track residual risk after each major change.</t>
        </is>
      </c>
      <c r="S302" s="13" t="inlineStr">
        <is>
          <t>Sustain maturity for technical debt register linked to resilience, security and business impact: keep evidence current, monitor drift, benchmark externally and refresh risk tests after organizational, system or market changes.</t>
        </is>
      </c>
      <c r="T302" s="13" t="n">
        <v>4</v>
      </c>
      <c r="U302" s="13" t="n">
        <v>3</v>
      </c>
      <c r="V302" s="13" t="n">
        <v>3</v>
      </c>
      <c r="W302" s="13" t="n">
        <v>2</v>
      </c>
      <c r="X302" s="13" t="n">
        <v>1</v>
      </c>
      <c r="Y302" s="13" t="n">
        <v>1</v>
      </c>
      <c r="Z302" s="13" t="inlineStr">
        <is>
          <t>ISO/IEC 27001; ISO/IEC 20000-1; NIST CSF 2.0; NIST SP 800-34; COBIT; ITIL 4; FinOps</t>
        </is>
      </c>
      <c r="AA302" s="13" t="inlineStr">
        <is>
          <t>Policy/SOP; owner/RACI; system report; dashboard; contracts; test records; incident history; interview evidence related to technical debt register linked to resilience, security and business impact.</t>
        </is>
      </c>
      <c r="AB302" s="13" t="inlineStr">
        <is>
          <t>IT outage; Cloud outage; Data loss; Cyberattack</t>
        </is>
      </c>
      <c r="AC302" s="13" t="inlineStr">
        <is>
          <t>CIO / CTO / IT Ops</t>
        </is>
      </c>
      <c r="AD302" s="13" t="inlineStr">
        <is>
          <t>IT Cloud DR!10</t>
        </is>
      </c>
      <c r="AE302">
        <f>IF($A302="","",IF(OR(ISNUMBER(SEARCH("cyber",$D302)),ISNUMBER(SEARCH("security",$D302)),ISNUMBER(SEARCH("safety",$D302)),ISNUMBER(SEARCH("liquidity",$D302)),ISNUMBER(SEARCH("cash",$D302)),ISNUMBER(SEARCH("continuity",$D302)),ISNUMBER(SEARCH("infrastructure",$D302)),ISNUMBER(SEARCH("outage",$D302))),"Fast",IF(OR(ISNUMBER(SEARCH("compliance",$D302)),ISNUMBER(SEARCH("regulat",$D302)),ISNUMBER(SEARCH("data",$D302)),ISNUMBER(SEARCH("talent",$D302)),ISNUMBER(SEARCH("knowledge",$D302)),ISNUMBER(SEARCH("portfolio",$D302)),ISNUMBER(SEARCH("quality",$D302))),"Slow","Medium")))</f>
        <v/>
      </c>
      <c r="AF302">
        <f>IF($A302="","",IFERROR(VLOOKUP($B302,'_CONFIG_Risk_Calibration'!$A$5:$H$21,2,FALSE),3))</f>
        <v/>
      </c>
      <c r="AG302">
        <f>IF($A302="","",IFERROR(VLOOKUP($B302,'_CONFIG_Risk_Calibration'!$A$5:$H$21,3,FALSE),0))</f>
        <v/>
      </c>
      <c r="AH302">
        <f>IF($A302="","",IFERROR(VLOOKUP($B302,'_CONFIG_Risk_Calibration'!$A$5:$H$21,4,FALSE),3))</f>
        <v/>
      </c>
      <c r="AI302">
        <f>IF($A302="","",IFERROR(VLOOKUP($B302,'_CONFIG_Risk_Calibration'!$A$5:$H$21,5,FALSE),3))</f>
        <v/>
      </c>
      <c r="AJ302">
        <f>IF($A302="","",IFERROR(VLOOKUP($B302,'_CONFIG_Risk_Calibration'!$A$5:$H$21,6,FALSE),"No"))</f>
        <v/>
      </c>
      <c r="AK302">
        <f>IF($A302="","",IFERROR(VLOOKUP($B302,'_CONFIG_Risk_Calibration'!$A$5:$H$21,7,FALSE),1))</f>
        <v/>
      </c>
      <c r="AL302">
        <f>IF($A302="","",IFERROR(VLOOKUP($B302,'_CONFIG_Risk_Calibration'!$A$5:$H$21,8,FALSE),""))</f>
        <v/>
      </c>
    </row>
    <row r="303" ht="72" customHeight="1" s="209">
      <c r="A303" s="13" t="inlineStr">
        <is>
          <t>ITCL-007</t>
        </is>
      </c>
      <c r="B303" s="13" t="inlineStr">
        <is>
          <t>IT Cloud DR</t>
        </is>
      </c>
      <c r="C303" s="13" t="inlineStr">
        <is>
          <t>Cloud usage</t>
        </is>
      </c>
      <c r="D303" s="13" t="inlineStr">
        <is>
          <t>IT, cloud and disaster recovery</t>
        </is>
      </c>
      <c r="E303" s="13" t="inlineStr">
        <is>
          <t>How mature is the organization in managing cloud account, subscription or project governance with ownership, billing, IAM, tagging and guardrails, including ownership, evidence, metrics, fallback procedures and crisis stress testing?</t>
        </is>
      </c>
      <c r="F303" s="13" t="inlineStr">
        <is>
          <t>Immature capability for cloud account, subscription or project governance with ownership, billing, IAM, tagging and guardrails may lead to system outage, data unavailability, excessive RTO/RPO and inability to restore critical technology services during IT outage; Cloud outage; Data loss; Cyberattack.</t>
        </is>
      </c>
      <c r="G303" s="13" t="inlineStr">
        <is>
          <t>Low maturity, weak ownership, incomplete evidence, insufficient testing and poor integration with crisis-management routines for cloud account, subscription or project governance with ownership, billing, IAM, tagging and guardrails.</t>
        </is>
      </c>
      <c r="H303" s="13" t="inlineStr">
        <is>
          <t>Severe risk: cloud account, subscription or project governance with ownership, billing, IAM, tagging and guardrails is not reliably controlled. During IT outage; Cloud outage; Data loss; Cyberattack, the organization may face system outage, data unavailability, excessive RTO/RPO and inability to restore critical technology services with limited visibility or accountability.</t>
        </is>
      </c>
      <c r="I303" s="13" t="inlineStr">
        <is>
          <t>High risk: cloud account, subscription or project governance with ownership, billing, IAM, tagging and guardrails depends on informal practices or individual knowledge. Disruption may expose system outage, data unavailability, excessive RTO/RPO and inability to restore critical technology services and slow recovery.</t>
        </is>
      </c>
      <c r="J303" s="13" t="inlineStr">
        <is>
          <t>Elevated risk: cloud account, subscription or project governance with ownership, billing, IAM, tagging and guardrails is partially controlled, but coverage, evidence or testing is inconsistent. Crisis response may be fragmented.</t>
        </is>
      </c>
      <c r="K303" s="13" t="inlineStr">
        <is>
          <t>Moderate risk: cloud account, subscription or project governance with ownership, billing, IAM, tagging and guardrails is documented and owned, but measurement, stress testing and integration with dependent processes need strengthening.</t>
        </is>
      </c>
      <c r="L303" s="13" t="inlineStr">
        <is>
          <t>Residual risk: cloud account, subscription or project governance with ownership, billing, IAM, tagging and guardrails is measured and reviewed, but monitoring, automation or scenario testing should be improved to prevent maturity drift.</t>
        </is>
      </c>
      <c r="M303" s="13" t="inlineStr">
        <is>
          <t>Low residual risk: cloud account, subscription or project governance with ownership, billing, IAM, tagging and guardrails is mature and crisis-tested. Maintain monitoring, evidence, ownership and periodic stress testing.</t>
        </is>
      </c>
      <c r="N303" s="13" t="inlineStr">
        <is>
          <t>Create an immediate risk owner, minimum control baseline and fallback procedure for cloud account, subscription or project governance with ownership, billing, IAM, tagging and guardrails. Add it to the crisis risk register and collect first evidence.</t>
        </is>
      </c>
      <c r="O303" s="13" t="inlineStr">
        <is>
          <t>Document cloud account, subscription or project governance with ownership, billing, IAM, tagging and guardrails, assign RACI, define minimum controls and KPIs, and validate coverage across key sites, teams or systems.</t>
        </is>
      </c>
      <c r="P303" s="13" t="inlineStr">
        <is>
          <t>Standardize cloud account, subscription or project governance with ownership, billing, IAM, tagging and guardrails, close coverage gaps, train accountable roles and connect controls to the relevant crisis scenarios and continuity plans.</t>
        </is>
      </c>
      <c r="Q303" s="13" t="inlineStr">
        <is>
          <t>Measure and test cloud account, subscription or project governance with ownership, billing, IAM, tagging and guardrails, run tabletop or operational stress tests, integrate it with dependent processes and update crisis playbooks.</t>
        </is>
      </c>
      <c r="R303" s="13" t="inlineStr">
        <is>
          <t>Automate monitoring where practical, define leading indicators, run periodic scenario tests and track residual risk after each major change.</t>
        </is>
      </c>
      <c r="S303" s="13" t="inlineStr">
        <is>
          <t>Sustain maturity for cloud account, subscription or project governance with ownership, billing, IAM, tagging and guardrails: keep evidence current, monitor drift, benchmark externally and refresh risk tests after organizational, system or market changes.</t>
        </is>
      </c>
      <c r="T303" s="13" t="n">
        <v>4</v>
      </c>
      <c r="U303" s="13" t="n">
        <v>3</v>
      </c>
      <c r="V303" s="13" t="n">
        <v>3</v>
      </c>
      <c r="W303" s="13" t="n">
        <v>2</v>
      </c>
      <c r="X303" s="13" t="n">
        <v>1</v>
      </c>
      <c r="Y303" s="13" t="n">
        <v>1</v>
      </c>
      <c r="Z303" s="13" t="inlineStr">
        <is>
          <t>ISO/IEC 27001; ISO/IEC 20000-1; NIST CSF 2.0; NIST SP 800-34; COBIT; ITIL 4; FinOps</t>
        </is>
      </c>
      <c r="AA303" s="13" t="inlineStr">
        <is>
          <t>Policy/SOP; owner/RACI; system report; dashboard; contracts; test records; incident history; interview evidence related to cloud account, subscription or project governance with ownership, billing, IAM, tagging and guardrails.</t>
        </is>
      </c>
      <c r="AB303" s="13" t="inlineStr">
        <is>
          <t>IT outage; Cloud outage; Data loss; Cyberattack</t>
        </is>
      </c>
      <c r="AC303" s="13" t="inlineStr">
        <is>
          <t>CIO / CTO / IT Ops</t>
        </is>
      </c>
      <c r="AD303" s="13" t="inlineStr">
        <is>
          <t>IT Cloud DR!11</t>
        </is>
      </c>
      <c r="AE303">
        <f>IF($A303="","",IF(OR(ISNUMBER(SEARCH("cyber",$D303)),ISNUMBER(SEARCH("security",$D303)),ISNUMBER(SEARCH("safety",$D303)),ISNUMBER(SEARCH("liquidity",$D303)),ISNUMBER(SEARCH("cash",$D303)),ISNUMBER(SEARCH("continuity",$D303)),ISNUMBER(SEARCH("infrastructure",$D303)),ISNUMBER(SEARCH("outage",$D303))),"Fast",IF(OR(ISNUMBER(SEARCH("compliance",$D303)),ISNUMBER(SEARCH("regulat",$D303)),ISNUMBER(SEARCH("data",$D303)),ISNUMBER(SEARCH("talent",$D303)),ISNUMBER(SEARCH("knowledge",$D303)),ISNUMBER(SEARCH("portfolio",$D303)),ISNUMBER(SEARCH("quality",$D303))),"Slow","Medium")))</f>
        <v/>
      </c>
      <c r="AF303">
        <f>IF($A303="","",IFERROR(VLOOKUP($B303,'_CONFIG_Risk_Calibration'!$A$5:$H$21,2,FALSE),3))</f>
        <v/>
      </c>
      <c r="AG303">
        <f>IF($A303="","",IFERROR(VLOOKUP($B303,'_CONFIG_Risk_Calibration'!$A$5:$H$21,3,FALSE),0))</f>
        <v/>
      </c>
      <c r="AH303">
        <f>IF($A303="","",IFERROR(VLOOKUP($B303,'_CONFIG_Risk_Calibration'!$A$5:$H$21,4,FALSE),3))</f>
        <v/>
      </c>
      <c r="AI303">
        <f>IF($A303="","",IFERROR(VLOOKUP($B303,'_CONFIG_Risk_Calibration'!$A$5:$H$21,5,FALSE),3))</f>
        <v/>
      </c>
      <c r="AJ303">
        <f>IF($A303="","",IFERROR(VLOOKUP($B303,'_CONFIG_Risk_Calibration'!$A$5:$H$21,6,FALSE),"No"))</f>
        <v/>
      </c>
      <c r="AK303">
        <f>IF($A303="","",IFERROR(VLOOKUP($B303,'_CONFIG_Risk_Calibration'!$A$5:$H$21,7,FALSE),1))</f>
        <v/>
      </c>
      <c r="AL303">
        <f>IF($A303="","",IFERROR(VLOOKUP($B303,'_CONFIG_Risk_Calibration'!$A$5:$H$21,8,FALSE),""))</f>
        <v/>
      </c>
    </row>
    <row r="304" ht="72" customHeight="1" s="209">
      <c r="A304" s="13" t="inlineStr">
        <is>
          <t>ITCL-008</t>
        </is>
      </c>
      <c r="B304" s="13" t="inlineStr">
        <is>
          <t>IT Cloud DR</t>
        </is>
      </c>
      <c r="C304" s="13" t="inlineStr">
        <is>
          <t>Cloud usage</t>
        </is>
      </c>
      <c r="D304" s="13" t="inlineStr">
        <is>
          <t>IT, cloud and disaster recovery</t>
        </is>
      </c>
      <c r="E304" s="13" t="inlineStr">
        <is>
          <t>How mature is the organization in managing cloud provider, SaaS, region and managed-service concentration risk, including ownership, evidence, metrics, fallback procedures and crisis stress testing?</t>
        </is>
      </c>
      <c r="F304" s="13" t="inlineStr">
        <is>
          <t>Immature capability for cloud provider, SaaS, region and managed-service concentration risk may lead to system outage, data unavailability, excessive RTO/RPO and inability to restore critical technology services during IT outage; Cloud outage; Data loss; Cyberattack.</t>
        </is>
      </c>
      <c r="G304" s="13" t="inlineStr">
        <is>
          <t>Low maturity, weak ownership, incomplete evidence, insufficient testing and poor integration with crisis-management routines for cloud provider, SaaS, region and managed-service concentration risk.</t>
        </is>
      </c>
      <c r="H304" s="13" t="inlineStr">
        <is>
          <t>Severe risk: cloud provider, SaaS, region and managed-service concentration risk is not reliably controlled. During IT outage; Cloud outage; Data loss; Cyberattack, the organization may face system outage, data unavailability, excessive RTO/RPO and inability to restore critical technology services with limited visibility or accountability.</t>
        </is>
      </c>
      <c r="I304" s="13" t="inlineStr">
        <is>
          <t>High risk: cloud provider, SaaS, region and managed-service concentration risk depends on informal practices or individual knowledge. Disruption may expose system outage, data unavailability, excessive RTO/RPO and inability to restore critical technology services and slow recovery.</t>
        </is>
      </c>
      <c r="J304" s="13" t="inlineStr">
        <is>
          <t>Elevated risk: cloud provider, SaaS, region and managed-service concentration risk is partially controlled, but coverage, evidence or testing is inconsistent. Crisis response may be fragmented.</t>
        </is>
      </c>
      <c r="K304" s="13" t="inlineStr">
        <is>
          <t>Moderate risk: cloud provider, SaaS, region and managed-service concentration risk is documented and owned, but measurement, stress testing and integration with dependent processes need strengthening.</t>
        </is>
      </c>
      <c r="L304" s="13" t="inlineStr">
        <is>
          <t>Residual risk: cloud provider, SaaS, region and managed-service concentration risk is measured and reviewed, but monitoring, automation or scenario testing should be improved to prevent maturity drift.</t>
        </is>
      </c>
      <c r="M304" s="13" t="inlineStr">
        <is>
          <t>Low residual risk: cloud provider, SaaS, region and managed-service concentration risk is mature and crisis-tested. Maintain monitoring, evidence, ownership and periodic stress testing.</t>
        </is>
      </c>
      <c r="N304" s="13" t="inlineStr">
        <is>
          <t>Create an immediate risk owner, minimum control baseline and fallback procedure for cloud provider, SaaS, region and managed-service concentration risk. Add it to the crisis risk register and collect first evidence.</t>
        </is>
      </c>
      <c r="O304" s="13" t="inlineStr">
        <is>
          <t>Document cloud provider, SaaS, region and managed-service concentration risk, assign RACI, define minimum controls and KPIs, and validate coverage across key sites, teams or systems.</t>
        </is>
      </c>
      <c r="P304" s="13" t="inlineStr">
        <is>
          <t>Standardize cloud provider, SaaS, region and managed-service concentration risk, close coverage gaps, train accountable roles and connect controls to the relevant crisis scenarios and continuity plans.</t>
        </is>
      </c>
      <c r="Q304" s="13" t="inlineStr">
        <is>
          <t>Measure and test cloud provider, SaaS, region and managed-service concentration risk, run tabletop or operational stress tests, integrate it with dependent processes and update crisis playbooks.</t>
        </is>
      </c>
      <c r="R304" s="13" t="inlineStr">
        <is>
          <t>Automate monitoring where practical, define leading indicators, run periodic scenario tests and track residual risk after each major change.</t>
        </is>
      </c>
      <c r="S304" s="13" t="inlineStr">
        <is>
          <t>Sustain maturity for cloud provider, SaaS, region and managed-service concentration risk: keep evidence current, monitor drift, benchmark externally and refresh risk tests after organizational, system or market changes.</t>
        </is>
      </c>
      <c r="T304" s="13" t="n">
        <v>4</v>
      </c>
      <c r="U304" s="13" t="n">
        <v>3</v>
      </c>
      <c r="V304" s="13" t="n">
        <v>3</v>
      </c>
      <c r="W304" s="13" t="n">
        <v>2</v>
      </c>
      <c r="X304" s="13" t="n">
        <v>1</v>
      </c>
      <c r="Y304" s="13" t="n">
        <v>1</v>
      </c>
      <c r="Z304" s="13" t="inlineStr">
        <is>
          <t>ISO/IEC 27001; ISO/IEC 20000-1; NIST CSF 2.0; NIST SP 800-34; COBIT; ITIL 4; FinOps</t>
        </is>
      </c>
      <c r="AA304" s="13" t="inlineStr">
        <is>
          <t>Policy/SOP; owner/RACI; system report; dashboard; contracts; test records; incident history; interview evidence related to cloud provider, SaaS, region and managed-service concentration risk.</t>
        </is>
      </c>
      <c r="AB304" s="13" t="inlineStr">
        <is>
          <t>IT outage; Cloud outage; Data loss; Cyberattack</t>
        </is>
      </c>
      <c r="AC304" s="13" t="inlineStr">
        <is>
          <t>CIO / CTO / IT Ops</t>
        </is>
      </c>
      <c r="AD304" s="13" t="inlineStr">
        <is>
          <t>IT Cloud DR!12</t>
        </is>
      </c>
      <c r="AE304">
        <f>IF($A304="","",IF(OR(ISNUMBER(SEARCH("cyber",$D304)),ISNUMBER(SEARCH("security",$D304)),ISNUMBER(SEARCH("safety",$D304)),ISNUMBER(SEARCH("liquidity",$D304)),ISNUMBER(SEARCH("cash",$D304)),ISNUMBER(SEARCH("continuity",$D304)),ISNUMBER(SEARCH("infrastructure",$D304)),ISNUMBER(SEARCH("outage",$D304))),"Fast",IF(OR(ISNUMBER(SEARCH("compliance",$D304)),ISNUMBER(SEARCH("regulat",$D304)),ISNUMBER(SEARCH("data",$D304)),ISNUMBER(SEARCH("talent",$D304)),ISNUMBER(SEARCH("knowledge",$D304)),ISNUMBER(SEARCH("portfolio",$D304)),ISNUMBER(SEARCH("quality",$D304))),"Slow","Medium")))</f>
        <v/>
      </c>
      <c r="AF304">
        <f>IF($A304="","",IFERROR(VLOOKUP($B304,'_CONFIG_Risk_Calibration'!$A$5:$H$21,2,FALSE),3))</f>
        <v/>
      </c>
      <c r="AG304">
        <f>IF($A304="","",IFERROR(VLOOKUP($B304,'_CONFIG_Risk_Calibration'!$A$5:$H$21,3,FALSE),0))</f>
        <v/>
      </c>
      <c r="AH304">
        <f>IF($A304="","",IFERROR(VLOOKUP($B304,'_CONFIG_Risk_Calibration'!$A$5:$H$21,4,FALSE),3))</f>
        <v/>
      </c>
      <c r="AI304">
        <f>IF($A304="","",IFERROR(VLOOKUP($B304,'_CONFIG_Risk_Calibration'!$A$5:$H$21,5,FALSE),3))</f>
        <v/>
      </c>
      <c r="AJ304">
        <f>IF($A304="","",IFERROR(VLOOKUP($B304,'_CONFIG_Risk_Calibration'!$A$5:$H$21,6,FALSE),"No"))</f>
        <v/>
      </c>
      <c r="AK304">
        <f>IF($A304="","",IFERROR(VLOOKUP($B304,'_CONFIG_Risk_Calibration'!$A$5:$H$21,7,FALSE),1))</f>
        <v/>
      </c>
      <c r="AL304">
        <f>IF($A304="","",IFERROR(VLOOKUP($B304,'_CONFIG_Risk_Calibration'!$A$5:$H$21,8,FALSE),""))</f>
        <v/>
      </c>
    </row>
    <row r="305" ht="72" customHeight="1" s="209">
      <c r="A305" s="13" t="inlineStr">
        <is>
          <t>ITCL-009</t>
        </is>
      </c>
      <c r="B305" s="13" t="inlineStr">
        <is>
          <t>IT Cloud DR</t>
        </is>
      </c>
      <c r="C305" s="13" t="inlineStr">
        <is>
          <t>Cloud usage</t>
        </is>
      </c>
      <c r="D305" s="13" t="inlineStr">
        <is>
          <t>IT, cloud and disaster recovery</t>
        </is>
      </c>
      <c r="E305" s="13" t="inlineStr">
        <is>
          <t>How mature is the organization in managing multi-region, multi-zone or failover design for critical cloud services where justified, including ownership, evidence, metrics, fallback procedures and crisis stress testing?</t>
        </is>
      </c>
      <c r="F305" s="13" t="inlineStr">
        <is>
          <t>Immature capability for multi-region, multi-zone or failover design for critical cloud services where justified may lead to system outage, data unavailability, excessive RTO/RPO and inability to restore critical technology services during IT outage; Cloud outage; Data loss; Cyberattack.</t>
        </is>
      </c>
      <c r="G305" s="13" t="inlineStr">
        <is>
          <t>Low maturity, weak ownership, incomplete evidence, insufficient testing and poor integration with crisis-management routines for multi-region, multi-zone or failover design for critical cloud services where justified.</t>
        </is>
      </c>
      <c r="H305" s="13" t="inlineStr">
        <is>
          <t>Severe risk: multi-region, multi-zone or failover design for critical cloud services where justified is not reliably controlled. During IT outage; Cloud outage; Data loss; Cyberattack, the organization may face system outage, data unavailability, excessive RTO/RPO and inability to restore critical technology services with limited visibility or accountability.</t>
        </is>
      </c>
      <c r="I305" s="13" t="inlineStr">
        <is>
          <t>High risk: multi-region, multi-zone or failover design for critical cloud services where justified depends on informal practices or individual knowledge. Disruption may expose system outage, data unavailability, excessive RTO/RPO and inability to restore critical technology services and slow recovery.</t>
        </is>
      </c>
      <c r="J305" s="13" t="inlineStr">
        <is>
          <t>Elevated risk: multi-region, multi-zone or failover design for critical cloud services where justified is partially controlled, but coverage, evidence or testing is inconsistent. Crisis response may be fragmented.</t>
        </is>
      </c>
      <c r="K305" s="13" t="inlineStr">
        <is>
          <t>Moderate risk: multi-region, multi-zone or failover design for critical cloud services where justified is documented and owned, but measurement, stress testing and integration with dependent processes need strengthening.</t>
        </is>
      </c>
      <c r="L305" s="13" t="inlineStr">
        <is>
          <t>Residual risk: multi-region, multi-zone or failover design for critical cloud services where justified is measured and reviewed, but monitoring, automation or scenario testing should be improved to prevent maturity drift.</t>
        </is>
      </c>
      <c r="M305" s="13" t="inlineStr">
        <is>
          <t>Low residual risk: multi-region, multi-zone or failover design for critical cloud services where justified is mature and crisis-tested. Maintain monitoring, evidence, ownership and periodic stress testing.</t>
        </is>
      </c>
      <c r="N305" s="13" t="inlineStr">
        <is>
          <t>Create an immediate risk owner, minimum control baseline and fallback procedure for multi-region, multi-zone or failover design for critical cloud services where justified. Add it to the crisis risk register and collect first evidence.</t>
        </is>
      </c>
      <c r="O305" s="13" t="inlineStr">
        <is>
          <t>Document multi-region, multi-zone or failover design for critical cloud services where justified, assign RACI, define minimum controls and KPIs, and validate coverage across key sites, teams or systems.</t>
        </is>
      </c>
      <c r="P305" s="13" t="inlineStr">
        <is>
          <t>Standardize multi-region, multi-zone or failover design for critical cloud services where justified, close coverage gaps, train accountable roles and connect controls to the relevant crisis scenarios and continuity plans.</t>
        </is>
      </c>
      <c r="Q305" s="13" t="inlineStr">
        <is>
          <t>Measure and test multi-region, multi-zone or failover design for critical cloud services where justified, run tabletop or operational stress tests, integrate it with dependent processes and update crisis playbooks.</t>
        </is>
      </c>
      <c r="R305" s="13" t="inlineStr">
        <is>
          <t>Automate monitoring where practical, define leading indicators, run periodic scenario tests and track residual risk after each major change.</t>
        </is>
      </c>
      <c r="S305" s="13" t="inlineStr">
        <is>
          <t>Sustain maturity for multi-region, multi-zone or failover design for critical cloud services where justified: keep evidence current, monitor drift, benchmark externally and refresh risk tests after organizational, system or market changes.</t>
        </is>
      </c>
      <c r="T305" s="13" t="n">
        <v>4</v>
      </c>
      <c r="U305" s="13" t="n">
        <v>3</v>
      </c>
      <c r="V305" s="13" t="n">
        <v>3</v>
      </c>
      <c r="W305" s="13" t="n">
        <v>2</v>
      </c>
      <c r="X305" s="13" t="n">
        <v>1</v>
      </c>
      <c r="Y305" s="13" t="n">
        <v>1</v>
      </c>
      <c r="Z305" s="13" t="inlineStr">
        <is>
          <t>ISO/IEC 27001; ISO/IEC 20000-1; NIST CSF 2.0; NIST SP 800-34; COBIT; ITIL 4; FinOps</t>
        </is>
      </c>
      <c r="AA305" s="13" t="inlineStr">
        <is>
          <t>Policy/SOP; owner/RACI; system report; dashboard; contracts; test records; incident history; interview evidence related to multi-region, multi-zone or failover design for critical cloud services where justified.</t>
        </is>
      </c>
      <c r="AB305" s="13" t="inlineStr">
        <is>
          <t>IT outage; Cloud outage; Data loss; Cyberattack</t>
        </is>
      </c>
      <c r="AC305" s="13" t="inlineStr">
        <is>
          <t>CIO / CTO / IT Ops</t>
        </is>
      </c>
      <c r="AD305" s="13" t="inlineStr">
        <is>
          <t>IT Cloud DR!13</t>
        </is>
      </c>
      <c r="AE305">
        <f>IF($A305="","",IF(OR(ISNUMBER(SEARCH("cyber",$D305)),ISNUMBER(SEARCH("security",$D305)),ISNUMBER(SEARCH("safety",$D305)),ISNUMBER(SEARCH("liquidity",$D305)),ISNUMBER(SEARCH("cash",$D305)),ISNUMBER(SEARCH("continuity",$D305)),ISNUMBER(SEARCH("infrastructure",$D305)),ISNUMBER(SEARCH("outage",$D305))),"Fast",IF(OR(ISNUMBER(SEARCH("compliance",$D305)),ISNUMBER(SEARCH("regulat",$D305)),ISNUMBER(SEARCH("data",$D305)),ISNUMBER(SEARCH("talent",$D305)),ISNUMBER(SEARCH("knowledge",$D305)),ISNUMBER(SEARCH("portfolio",$D305)),ISNUMBER(SEARCH("quality",$D305))),"Slow","Medium")))</f>
        <v/>
      </c>
      <c r="AF305">
        <f>IF($A305="","",IFERROR(VLOOKUP($B305,'_CONFIG_Risk_Calibration'!$A$5:$H$21,2,FALSE),3))</f>
        <v/>
      </c>
      <c r="AG305">
        <f>IF($A305="","",IFERROR(VLOOKUP($B305,'_CONFIG_Risk_Calibration'!$A$5:$H$21,3,FALSE),0))</f>
        <v/>
      </c>
      <c r="AH305">
        <f>IF($A305="","",IFERROR(VLOOKUP($B305,'_CONFIG_Risk_Calibration'!$A$5:$H$21,4,FALSE),3))</f>
        <v/>
      </c>
      <c r="AI305">
        <f>IF($A305="","",IFERROR(VLOOKUP($B305,'_CONFIG_Risk_Calibration'!$A$5:$H$21,5,FALSE),3))</f>
        <v/>
      </c>
      <c r="AJ305">
        <f>IF($A305="","",IFERROR(VLOOKUP($B305,'_CONFIG_Risk_Calibration'!$A$5:$H$21,6,FALSE),"No"))</f>
        <v/>
      </c>
      <c r="AK305">
        <f>IF($A305="","",IFERROR(VLOOKUP($B305,'_CONFIG_Risk_Calibration'!$A$5:$H$21,7,FALSE),1))</f>
        <v/>
      </c>
      <c r="AL305">
        <f>IF($A305="","",IFERROR(VLOOKUP($B305,'_CONFIG_Risk_Calibration'!$A$5:$H$21,8,FALSE),""))</f>
        <v/>
      </c>
    </row>
    <row r="306" ht="72" customHeight="1" s="209">
      <c r="A306" s="13" t="inlineStr">
        <is>
          <t>ITCL-010</t>
        </is>
      </c>
      <c r="B306" s="13" t="inlineStr">
        <is>
          <t>IT Cloud DR</t>
        </is>
      </c>
      <c r="C306" s="13" t="inlineStr">
        <is>
          <t>Cloud usage</t>
        </is>
      </c>
      <c r="D306" s="13" t="inlineStr">
        <is>
          <t>IT, cloud and disaster recovery</t>
        </is>
      </c>
      <c r="E306" s="13" t="inlineStr">
        <is>
          <t>How mature is the organization in managing cloud cost monitoring, budgets, alerts, forecasting and FinOps practices, including ownership, evidence, metrics, fallback procedures and crisis stress testing?</t>
        </is>
      </c>
      <c r="F306" s="13" t="inlineStr">
        <is>
          <t>Immature capability for cloud cost monitoring, budgets, alerts, forecasting and FinOps practices may lead to system outage, data unavailability, excessive RTO/RPO and inability to restore critical technology services during IT outage; Cloud outage; Data loss; Cyberattack.</t>
        </is>
      </c>
      <c r="G306" s="13" t="inlineStr">
        <is>
          <t>Low maturity, weak ownership, incomplete evidence, insufficient testing and poor integration with crisis-management routines for cloud cost monitoring, budgets, alerts, forecasting and FinOps practices.</t>
        </is>
      </c>
      <c r="H306" s="13" t="inlineStr">
        <is>
          <t>Severe risk: cloud cost monitoring, budgets, alerts, forecasting and FinOps practices is not reliably controlled. During IT outage; Cloud outage; Data loss; Cyberattack, the organization may face system outage, data unavailability, excessive RTO/RPO and inability to restore critical technology services with limited visibility or accountability.</t>
        </is>
      </c>
      <c r="I306" s="13" t="inlineStr">
        <is>
          <t>High risk: cloud cost monitoring, budgets, alerts, forecasting and FinOps practices depends on informal practices or individual knowledge. Disruption may expose system outage, data unavailability, excessive RTO/RPO and inability to restore critical technology services and slow recovery.</t>
        </is>
      </c>
      <c r="J306" s="13" t="inlineStr">
        <is>
          <t>Elevated risk: cloud cost monitoring, budgets, alerts, forecasting and FinOps practices is partially controlled, but coverage, evidence or testing is inconsistent. Crisis response may be fragmented.</t>
        </is>
      </c>
      <c r="K306" s="13" t="inlineStr">
        <is>
          <t>Moderate risk: cloud cost monitoring, budgets, alerts, forecasting and FinOps practices is documented and owned, but measurement, stress testing and integration with dependent processes need strengthening.</t>
        </is>
      </c>
      <c r="L306" s="13" t="inlineStr">
        <is>
          <t>Residual risk: cloud cost monitoring, budgets, alerts, forecasting and FinOps practices is measured and reviewed, but monitoring, automation or scenario testing should be improved to prevent maturity drift.</t>
        </is>
      </c>
      <c r="M306" s="13" t="inlineStr">
        <is>
          <t>Low residual risk: cloud cost monitoring, budgets, alerts, forecasting and FinOps practices is mature and crisis-tested. Maintain monitoring, evidence, ownership and periodic stress testing.</t>
        </is>
      </c>
      <c r="N306" s="13" t="inlineStr">
        <is>
          <t>Create an immediate risk owner, minimum control baseline and fallback procedure for cloud cost monitoring, budgets, alerts, forecasting and FinOps practices. Add it to the crisis risk register and collect first evidence.</t>
        </is>
      </c>
      <c r="O306" s="13" t="inlineStr">
        <is>
          <t>Document cloud cost monitoring, budgets, alerts, forecasting and FinOps practices, assign RACI, define minimum controls and KPIs, and validate coverage across key sites, teams or systems.</t>
        </is>
      </c>
      <c r="P306" s="13" t="inlineStr">
        <is>
          <t>Standardize cloud cost monitoring, budgets, alerts, forecasting and FinOps practices, close coverage gaps, train accountable roles and connect controls to the relevant crisis scenarios and continuity plans.</t>
        </is>
      </c>
      <c r="Q306" s="13" t="inlineStr">
        <is>
          <t>Measure and test cloud cost monitoring, budgets, alerts, forecasting and FinOps practices, run tabletop or operational stress tests, integrate it with dependent processes and update crisis playbooks.</t>
        </is>
      </c>
      <c r="R306" s="13" t="inlineStr">
        <is>
          <t>Automate monitoring where practical, define leading indicators, run periodic scenario tests and track residual risk after each major change.</t>
        </is>
      </c>
      <c r="S306" s="13" t="inlineStr">
        <is>
          <t>Sustain maturity for cloud cost monitoring, budgets, alerts, forecasting and FinOps practices: keep evidence current, monitor drift, benchmark externally and refresh risk tests after organizational, system or market changes.</t>
        </is>
      </c>
      <c r="T306" s="13" t="n">
        <v>4</v>
      </c>
      <c r="U306" s="13" t="n">
        <v>3</v>
      </c>
      <c r="V306" s="13" t="n">
        <v>3</v>
      </c>
      <c r="W306" s="13" t="n">
        <v>2</v>
      </c>
      <c r="X306" s="13" t="n">
        <v>1</v>
      </c>
      <c r="Y306" s="13" t="n">
        <v>1</v>
      </c>
      <c r="Z306" s="13" t="inlineStr">
        <is>
          <t>ISO/IEC 27001; ISO/IEC 20000-1; NIST CSF 2.0; NIST SP 800-34; COBIT; ITIL 4; FinOps</t>
        </is>
      </c>
      <c r="AA306" s="13" t="inlineStr">
        <is>
          <t>Policy/SOP; owner/RACI; system report; dashboard; contracts; test records; incident history; interview evidence related to cloud cost monitoring, budgets, alerts, forecasting and FinOps practices.</t>
        </is>
      </c>
      <c r="AB306" s="13" t="inlineStr">
        <is>
          <t>IT outage; Cloud outage; Data loss; Cyberattack</t>
        </is>
      </c>
      <c r="AC306" s="13" t="inlineStr">
        <is>
          <t>CIO / CTO / IT Ops</t>
        </is>
      </c>
      <c r="AD306" s="13" t="inlineStr">
        <is>
          <t>IT Cloud DR!14</t>
        </is>
      </c>
      <c r="AE306">
        <f>IF($A306="","",IF(OR(ISNUMBER(SEARCH("cyber",$D306)),ISNUMBER(SEARCH("security",$D306)),ISNUMBER(SEARCH("safety",$D306)),ISNUMBER(SEARCH("liquidity",$D306)),ISNUMBER(SEARCH("cash",$D306)),ISNUMBER(SEARCH("continuity",$D306)),ISNUMBER(SEARCH("infrastructure",$D306)),ISNUMBER(SEARCH("outage",$D306))),"Fast",IF(OR(ISNUMBER(SEARCH("compliance",$D306)),ISNUMBER(SEARCH("regulat",$D306)),ISNUMBER(SEARCH("data",$D306)),ISNUMBER(SEARCH("talent",$D306)),ISNUMBER(SEARCH("knowledge",$D306)),ISNUMBER(SEARCH("portfolio",$D306)),ISNUMBER(SEARCH("quality",$D306))),"Slow","Medium")))</f>
        <v/>
      </c>
      <c r="AF306">
        <f>IF($A306="","",IFERROR(VLOOKUP($B306,'_CONFIG_Risk_Calibration'!$A$5:$H$21,2,FALSE),3))</f>
        <v/>
      </c>
      <c r="AG306">
        <f>IF($A306="","",IFERROR(VLOOKUP($B306,'_CONFIG_Risk_Calibration'!$A$5:$H$21,3,FALSE),0))</f>
        <v/>
      </c>
      <c r="AH306">
        <f>IF($A306="","",IFERROR(VLOOKUP($B306,'_CONFIG_Risk_Calibration'!$A$5:$H$21,4,FALSE),3))</f>
        <v/>
      </c>
      <c r="AI306">
        <f>IF($A306="","",IFERROR(VLOOKUP($B306,'_CONFIG_Risk_Calibration'!$A$5:$H$21,5,FALSE),3))</f>
        <v/>
      </c>
      <c r="AJ306">
        <f>IF($A306="","",IFERROR(VLOOKUP($B306,'_CONFIG_Risk_Calibration'!$A$5:$H$21,6,FALSE),"No"))</f>
        <v/>
      </c>
      <c r="AK306">
        <f>IF($A306="","",IFERROR(VLOOKUP($B306,'_CONFIG_Risk_Calibration'!$A$5:$H$21,7,FALSE),1))</f>
        <v/>
      </c>
      <c r="AL306">
        <f>IF($A306="","",IFERROR(VLOOKUP($B306,'_CONFIG_Risk_Calibration'!$A$5:$H$21,8,FALSE),""))</f>
        <v/>
      </c>
    </row>
    <row r="307" ht="72" customHeight="1" s="209">
      <c r="A307" s="13" t="inlineStr">
        <is>
          <t>ITCL-012</t>
        </is>
      </c>
      <c r="B307" s="13" t="inlineStr">
        <is>
          <t>IT Cloud DR</t>
        </is>
      </c>
      <c r="C307" s="13" t="inlineStr">
        <is>
          <t>Cloud usage</t>
        </is>
      </c>
      <c r="D307" s="13" t="inlineStr">
        <is>
          <t>IT, cloud and disaster recovery</t>
        </is>
      </c>
      <c r="E307" s="13" t="inlineStr">
        <is>
          <t>How mature is the organization in managing cloud backup and restore of configurations, data, infrastructure-as-code and managed services, including ownership, evidence, metrics, fallback procedures and crisis stress testing?</t>
        </is>
      </c>
      <c r="F307" s="13" t="inlineStr">
        <is>
          <t>Immature capability for cloud backup and restore of configurations, data, infrastructure-as-code and managed services may lead to system outage, data unavailability, excessive RTO/RPO and inability to restore critical technology services during IT outage; Cloud outage; Data loss; Cyberattack.</t>
        </is>
      </c>
      <c r="G307" s="13" t="inlineStr">
        <is>
          <t>Low maturity, weak ownership, incomplete evidence, insufficient testing and poor integration with crisis-management routines for cloud backup and restore of configurations, data, infrastructure-as-code and managed services.</t>
        </is>
      </c>
      <c r="H307" s="13" t="inlineStr">
        <is>
          <t>Severe risk: cloud backup and restore of configurations, data, infrastructure-as-code and managed services is not reliably controlled. During IT outage; Cloud outage; Data loss; Cyberattack, the organization may face system outage, data unavailability, excessive RTO/RPO and inability to restore critical technology services with limited visibility or accountability.</t>
        </is>
      </c>
      <c r="I307" s="13" t="inlineStr">
        <is>
          <t>High risk: cloud backup and restore of configurations, data, infrastructure-as-code and managed services depends on informal practices or individual knowledge. Disruption may expose system outage, data unavailability, excessive RTO/RPO and inability to restore critical technology services and slow recovery.</t>
        </is>
      </c>
      <c r="J307" s="13" t="inlineStr">
        <is>
          <t>Elevated risk: cloud backup and restore of configurations, data, infrastructure-as-code and managed services is partially controlled, but coverage, evidence or testing is inconsistent. Crisis response may be fragmented.</t>
        </is>
      </c>
      <c r="K307" s="13" t="inlineStr">
        <is>
          <t>Moderate risk: cloud backup and restore of configurations, data, infrastructure-as-code and managed services is documented and owned, but measurement, stress testing and integration with dependent processes need strengthening.</t>
        </is>
      </c>
      <c r="L307" s="13" t="inlineStr">
        <is>
          <t>Residual risk: cloud backup and restore of configurations, data, infrastructure-as-code and managed services is measured and reviewed, but monitoring, automation or scenario testing should be improved to prevent maturity drift.</t>
        </is>
      </c>
      <c r="M307" s="13" t="inlineStr">
        <is>
          <t>Low residual risk: cloud backup and restore of configurations, data, infrastructure-as-code and managed services is mature and crisis-tested. Maintain monitoring, evidence, ownership and periodic stress testing.</t>
        </is>
      </c>
      <c r="N307" s="13" t="inlineStr">
        <is>
          <t>Create an immediate risk owner, minimum control baseline and fallback procedure for cloud backup and restore of configurations, data, infrastructure-as-code and managed services. Add it to the crisis risk register and collect first evidence.</t>
        </is>
      </c>
      <c r="O307" s="13" t="inlineStr">
        <is>
          <t>Document cloud backup and restore of configurations, data, infrastructure-as-code and managed services, assign RACI, define minimum controls and KPIs, and validate coverage across key sites, teams or systems.</t>
        </is>
      </c>
      <c r="P307" s="13" t="inlineStr">
        <is>
          <t>Standardize cloud backup and restore of configurations, data, infrastructure-as-code and managed services, close coverage gaps, train accountable roles and connect controls to the relevant crisis scenarios and continuity plans.</t>
        </is>
      </c>
      <c r="Q307" s="13" t="inlineStr">
        <is>
          <t>Measure and test cloud backup and restore of configurations, data, infrastructure-as-code and managed services, run tabletop or operational stress tests, integrate it with dependent processes and update crisis playbooks.</t>
        </is>
      </c>
      <c r="R307" s="13" t="inlineStr">
        <is>
          <t>Automate monitoring where practical, define leading indicators, run periodic scenario tests and track residual risk after each major change.</t>
        </is>
      </c>
      <c r="S307" s="13" t="inlineStr">
        <is>
          <t>Sustain maturity for cloud backup and restore of configurations, data, infrastructure-as-code and managed services: keep evidence current, monitor drift, benchmark externally and refresh risk tests after organizational, system or market changes.</t>
        </is>
      </c>
      <c r="T307" s="13" t="n">
        <v>4</v>
      </c>
      <c r="U307" s="13" t="n">
        <v>3</v>
      </c>
      <c r="V307" s="13" t="n">
        <v>3</v>
      </c>
      <c r="W307" s="13" t="n">
        <v>2</v>
      </c>
      <c r="X307" s="13" t="n">
        <v>1</v>
      </c>
      <c r="Y307" s="13" t="n">
        <v>1</v>
      </c>
      <c r="Z307" s="13" t="inlineStr">
        <is>
          <t>ISO/IEC 27001; ISO/IEC 20000-1; NIST CSF 2.0; NIST SP 800-34; COBIT; ITIL 4; FinOps</t>
        </is>
      </c>
      <c r="AA307" s="13" t="inlineStr">
        <is>
          <t>Policy/SOP; owner/RACI; system report; dashboard; contracts; test records; incident history; interview evidence related to cloud backup and restore of configurations, data, infrastructure-as-code and managed services.</t>
        </is>
      </c>
      <c r="AB307" s="13" t="inlineStr">
        <is>
          <t>IT outage; Cloud outage; Data loss; Cyberattack</t>
        </is>
      </c>
      <c r="AC307" s="13" t="inlineStr">
        <is>
          <t>CIO / CTO / IT Ops</t>
        </is>
      </c>
      <c r="AD307" s="13" t="inlineStr">
        <is>
          <t>IT Cloud DR!15</t>
        </is>
      </c>
      <c r="AE307">
        <f>IF($A307="","",IF(OR(ISNUMBER(SEARCH("cyber",$D307)),ISNUMBER(SEARCH("security",$D307)),ISNUMBER(SEARCH("safety",$D307)),ISNUMBER(SEARCH("liquidity",$D307)),ISNUMBER(SEARCH("cash",$D307)),ISNUMBER(SEARCH("continuity",$D307)),ISNUMBER(SEARCH("infrastructure",$D307)),ISNUMBER(SEARCH("outage",$D307))),"Fast",IF(OR(ISNUMBER(SEARCH("compliance",$D307)),ISNUMBER(SEARCH("regulat",$D307)),ISNUMBER(SEARCH("data",$D307)),ISNUMBER(SEARCH("talent",$D307)),ISNUMBER(SEARCH("knowledge",$D307)),ISNUMBER(SEARCH("portfolio",$D307)),ISNUMBER(SEARCH("quality",$D307))),"Slow","Medium")))</f>
        <v/>
      </c>
      <c r="AF307">
        <f>IF($A307="","",IFERROR(VLOOKUP($B307,'_CONFIG_Risk_Calibration'!$A$5:$H$21,2,FALSE),3))</f>
        <v/>
      </c>
      <c r="AG307">
        <f>IF($A307="","",IFERROR(VLOOKUP($B307,'_CONFIG_Risk_Calibration'!$A$5:$H$21,3,FALSE),0))</f>
        <v/>
      </c>
      <c r="AH307">
        <f>IF($A307="","",IFERROR(VLOOKUP($B307,'_CONFIG_Risk_Calibration'!$A$5:$H$21,4,FALSE),3))</f>
        <v/>
      </c>
      <c r="AI307">
        <f>IF($A307="","",IFERROR(VLOOKUP($B307,'_CONFIG_Risk_Calibration'!$A$5:$H$21,5,FALSE),3))</f>
        <v/>
      </c>
      <c r="AJ307">
        <f>IF($A307="","",IFERROR(VLOOKUP($B307,'_CONFIG_Risk_Calibration'!$A$5:$H$21,6,FALSE),"No"))</f>
        <v/>
      </c>
      <c r="AK307">
        <f>IF($A307="","",IFERROR(VLOOKUP($B307,'_CONFIG_Risk_Calibration'!$A$5:$H$21,7,FALSE),1))</f>
        <v/>
      </c>
      <c r="AL307">
        <f>IF($A307="","",IFERROR(VLOOKUP($B307,'_CONFIG_Risk_Calibration'!$A$5:$H$21,8,FALSE),""))</f>
        <v/>
      </c>
    </row>
    <row r="308" ht="72" customHeight="1" s="209">
      <c r="A308" s="13" t="inlineStr">
        <is>
          <t>ITCL-013</t>
        </is>
      </c>
      <c r="B308" s="13" t="inlineStr">
        <is>
          <t>IT Cloud DR</t>
        </is>
      </c>
      <c r="C308" s="13" t="inlineStr">
        <is>
          <t>Resilience and DR</t>
        </is>
      </c>
      <c r="D308" s="13" t="inlineStr">
        <is>
          <t>IT, cloud and disaster recovery</t>
        </is>
      </c>
      <c r="E308" s="13" t="inlineStr">
        <is>
          <t>How mature is the organization in managing backup coverage for systems, databases, files, SaaS data, configurations and cloud resources, including ownership, evidence, metrics, fallback procedures and crisis stress testing?</t>
        </is>
      </c>
      <c r="F308" s="13" t="inlineStr">
        <is>
          <t>Immature capability for backup coverage for systems, databases, files, SaaS data, configurations and cloud resources may lead to system outage, data unavailability, excessive RTO/RPO and inability to restore critical technology services during IT outage; Cloud outage; Data loss; Cyberattack.</t>
        </is>
      </c>
      <c r="G308" s="13" t="inlineStr">
        <is>
          <t>Low maturity, weak ownership, incomplete evidence, insufficient testing and poor integration with crisis-management routines for backup coverage for systems, databases, files, SaaS data, configurations and cloud resources.</t>
        </is>
      </c>
      <c r="H308" s="13" t="inlineStr">
        <is>
          <t>Severe risk: backup coverage for systems, databases, files, SaaS data, configurations and cloud resources is not reliably controlled. During IT outage; Cloud outage; Data loss; Cyberattack, the organization may face system outage, data unavailability, excessive RTO/RPO and inability to restore critical technology services with limited visibility or accountability.</t>
        </is>
      </c>
      <c r="I308" s="13" t="inlineStr">
        <is>
          <t>High risk: backup coverage for systems, databases, files, SaaS data, configurations and cloud resources depends on informal practices or individual knowledge. Disruption may expose system outage, data unavailability, excessive RTO/RPO and inability to restore critical technology services and slow recovery.</t>
        </is>
      </c>
      <c r="J308" s="13" t="inlineStr">
        <is>
          <t>Elevated risk: backup coverage for systems, databases, files, SaaS data, configurations and cloud resources is partially controlled, but coverage, evidence or testing is inconsistent. Crisis response may be fragmented.</t>
        </is>
      </c>
      <c r="K308" s="13" t="inlineStr">
        <is>
          <t>Moderate risk: backup coverage for systems, databases, files, SaaS data, configurations and cloud resources is documented and owned, but measurement, stress testing and integration with dependent processes need strengthening.</t>
        </is>
      </c>
      <c r="L308" s="13" t="inlineStr">
        <is>
          <t>Residual risk: backup coverage for systems, databases, files, SaaS data, configurations and cloud resources is measured and reviewed, but monitoring, automation or scenario testing should be improved to prevent maturity drift.</t>
        </is>
      </c>
      <c r="M308" s="13" t="inlineStr">
        <is>
          <t>Low residual risk: backup coverage for systems, databases, files, SaaS data, configurations and cloud resources is mature and crisis-tested. Maintain monitoring, evidence, ownership and periodic stress testing.</t>
        </is>
      </c>
      <c r="N308" s="13" t="inlineStr">
        <is>
          <t>Create an immediate risk owner, minimum control baseline and fallback procedure for backup coverage for systems, databases, files, SaaS data, configurations and cloud resources. Add it to the crisis risk register and collect first evidence.</t>
        </is>
      </c>
      <c r="O308" s="13" t="inlineStr">
        <is>
          <t>Document backup coverage for systems, databases, files, SaaS data, configurations and cloud resources, assign RACI, define minimum controls and KPIs, and validate coverage across key sites, teams or systems.</t>
        </is>
      </c>
      <c r="P308" s="13" t="inlineStr">
        <is>
          <t>Standardize backup coverage for systems, databases, files, SaaS data, configurations and cloud resources, close coverage gaps, train accountable roles and connect controls to the relevant crisis scenarios and continuity plans.</t>
        </is>
      </c>
      <c r="Q308" s="13" t="inlineStr">
        <is>
          <t>Measure and test backup coverage for systems, databases, files, SaaS data, configurations and cloud resources, run tabletop or operational stress tests, integrate it with dependent processes and update crisis playbooks.</t>
        </is>
      </c>
      <c r="R308" s="13" t="inlineStr">
        <is>
          <t>Automate monitoring where practical, define leading indicators, run periodic scenario tests and track residual risk after each major change.</t>
        </is>
      </c>
      <c r="S308" s="13" t="inlineStr">
        <is>
          <t>Sustain maturity for backup coverage for systems, databases, files, SaaS data, configurations and cloud resources: keep evidence current, monitor drift, benchmark externally and refresh risk tests after organizational, system or market changes.</t>
        </is>
      </c>
      <c r="T308" s="13" t="n">
        <v>4</v>
      </c>
      <c r="U308" s="13" t="n">
        <v>3</v>
      </c>
      <c r="V308" s="13" t="n">
        <v>3</v>
      </c>
      <c r="W308" s="13" t="n">
        <v>2</v>
      </c>
      <c r="X308" s="13" t="n">
        <v>1</v>
      </c>
      <c r="Y308" s="13" t="n">
        <v>1</v>
      </c>
      <c r="Z308" s="13" t="inlineStr">
        <is>
          <t>ISO/IEC 27001; ISO/IEC 20000-1; NIST CSF 2.0; NIST SP 800-34; COBIT; ITIL 4; FinOps</t>
        </is>
      </c>
      <c r="AA308" s="13" t="inlineStr">
        <is>
          <t>Policy/SOP; owner/RACI; system report; dashboard; contracts; test records; incident history; interview evidence related to backup coverage for systems, databases, files, SaaS data, configurations and cloud resources.</t>
        </is>
      </c>
      <c r="AB308" s="13" t="inlineStr">
        <is>
          <t>IT outage; Cloud outage; Data loss; Cyberattack</t>
        </is>
      </c>
      <c r="AC308" s="13" t="inlineStr">
        <is>
          <t>CIO / CTO / IT Ops</t>
        </is>
      </c>
      <c r="AD308" s="13" t="inlineStr">
        <is>
          <t>IT Cloud DR!16</t>
        </is>
      </c>
      <c r="AE308">
        <f>IF($A308="","",IF(OR(ISNUMBER(SEARCH("cyber",$D308)),ISNUMBER(SEARCH("security",$D308)),ISNUMBER(SEARCH("safety",$D308)),ISNUMBER(SEARCH("liquidity",$D308)),ISNUMBER(SEARCH("cash",$D308)),ISNUMBER(SEARCH("continuity",$D308)),ISNUMBER(SEARCH("infrastructure",$D308)),ISNUMBER(SEARCH("outage",$D308))),"Fast",IF(OR(ISNUMBER(SEARCH("compliance",$D308)),ISNUMBER(SEARCH("regulat",$D308)),ISNUMBER(SEARCH("data",$D308)),ISNUMBER(SEARCH("talent",$D308)),ISNUMBER(SEARCH("knowledge",$D308)),ISNUMBER(SEARCH("portfolio",$D308)),ISNUMBER(SEARCH("quality",$D308))),"Slow","Medium")))</f>
        <v/>
      </c>
      <c r="AF308">
        <f>IF($A308="","",IFERROR(VLOOKUP($B308,'_CONFIG_Risk_Calibration'!$A$5:$H$21,2,FALSE),3))</f>
        <v/>
      </c>
      <c r="AG308">
        <f>IF($A308="","",IFERROR(VLOOKUP($B308,'_CONFIG_Risk_Calibration'!$A$5:$H$21,3,FALSE),0))</f>
        <v/>
      </c>
      <c r="AH308">
        <f>IF($A308="","",IFERROR(VLOOKUP($B308,'_CONFIG_Risk_Calibration'!$A$5:$H$21,4,FALSE),3))</f>
        <v/>
      </c>
      <c r="AI308">
        <f>IF($A308="","",IFERROR(VLOOKUP($B308,'_CONFIG_Risk_Calibration'!$A$5:$H$21,5,FALSE),3))</f>
        <v/>
      </c>
      <c r="AJ308">
        <f>IF($A308="","",IFERROR(VLOOKUP($B308,'_CONFIG_Risk_Calibration'!$A$5:$H$21,6,FALSE),"No"))</f>
        <v/>
      </c>
      <c r="AK308">
        <f>IF($A308="","",IFERROR(VLOOKUP($B308,'_CONFIG_Risk_Calibration'!$A$5:$H$21,7,FALSE),1))</f>
        <v/>
      </c>
      <c r="AL308">
        <f>IF($A308="","",IFERROR(VLOOKUP($B308,'_CONFIG_Risk_Calibration'!$A$5:$H$21,8,FALSE),""))</f>
        <v/>
      </c>
    </row>
    <row r="309" ht="72" customHeight="1" s="209">
      <c r="A309" s="13" t="inlineStr">
        <is>
          <t>ITCL-014</t>
        </is>
      </c>
      <c r="B309" s="13" t="inlineStr">
        <is>
          <t>IT Cloud DR</t>
        </is>
      </c>
      <c r="C309" s="13" t="inlineStr">
        <is>
          <t>Resilience and DR</t>
        </is>
      </c>
      <c r="D309" s="13" t="inlineStr">
        <is>
          <t>IT, cloud and disaster recovery</t>
        </is>
      </c>
      <c r="E309" s="13" t="inlineStr">
        <is>
          <t>How mature is the organization in managing regular restore testing against defined RTO and RPO, including ownership, evidence, metrics, fallback procedures and crisis stress testing?</t>
        </is>
      </c>
      <c r="F309" s="13" t="inlineStr">
        <is>
          <t>Immature capability for regular restore testing against defined RTO and RPO may lead to system outage, data unavailability, excessive RTO/RPO and inability to restore critical technology services during IT outage; Cloud outage; Data loss; Cyberattack.</t>
        </is>
      </c>
      <c r="G309" s="13" t="inlineStr">
        <is>
          <t>Low maturity, weak ownership, incomplete evidence, insufficient testing and poor integration with crisis-management routines for regular restore testing against defined RTO and RPO.</t>
        </is>
      </c>
      <c r="H309" s="13" t="inlineStr">
        <is>
          <t>Severe risk: regular restore testing against defined RTO and RPO is not reliably controlled. During IT outage; Cloud outage; Data loss; Cyberattack, the organization may face system outage, data unavailability, excessive RTO/RPO and inability to restore critical technology services with limited visibility or accountability.</t>
        </is>
      </c>
      <c r="I309" s="13" t="inlineStr">
        <is>
          <t>High risk: regular restore testing against defined RTO and RPO depends on informal practices or individual knowledge. Disruption may expose system outage, data unavailability, excessive RTO/RPO and inability to restore critical technology services and slow recovery.</t>
        </is>
      </c>
      <c r="J309" s="13" t="inlineStr">
        <is>
          <t>Elevated risk: regular restore testing against defined RTO and RPO is partially controlled, but coverage, evidence or testing is inconsistent. Crisis response may be fragmented.</t>
        </is>
      </c>
      <c r="K309" s="13" t="inlineStr">
        <is>
          <t>Moderate risk: regular restore testing against defined RTO and RPO is documented and owned, but measurement, stress testing and integration with dependent processes need strengthening.</t>
        </is>
      </c>
      <c r="L309" s="13" t="inlineStr">
        <is>
          <t>Residual risk: regular restore testing against defined RTO and RPO is measured and reviewed, but monitoring, automation or scenario testing should be improved to prevent maturity drift.</t>
        </is>
      </c>
      <c r="M309" s="13" t="inlineStr">
        <is>
          <t>Low residual risk: regular restore testing against defined RTO and RPO is mature and crisis-tested. Maintain monitoring, evidence, ownership and periodic stress testing.</t>
        </is>
      </c>
      <c r="N309" s="13" t="inlineStr">
        <is>
          <t>Create an immediate risk owner, minimum control baseline and fallback procedure for regular restore testing against defined RTO and RPO. Add it to the crisis risk register and collect first evidence.</t>
        </is>
      </c>
      <c r="O309" s="13" t="inlineStr">
        <is>
          <t>Document regular restore testing against defined RTO and RPO, assign RACI, define minimum controls and KPIs, and validate coverage across key sites, teams or systems.</t>
        </is>
      </c>
      <c r="P309" s="13" t="inlineStr">
        <is>
          <t>Standardize regular restore testing against defined RTO and RPO, close coverage gaps, train accountable roles and connect controls to the relevant crisis scenarios and continuity plans.</t>
        </is>
      </c>
      <c r="Q309" s="13" t="inlineStr">
        <is>
          <t>Measure and test regular restore testing against defined RTO and RPO, run tabletop or operational stress tests, integrate it with dependent processes and update crisis playbooks.</t>
        </is>
      </c>
      <c r="R309" s="13" t="inlineStr">
        <is>
          <t>Automate monitoring where practical, define leading indicators, run periodic scenario tests and track residual risk after each major change.</t>
        </is>
      </c>
      <c r="S309" s="13" t="inlineStr">
        <is>
          <t>Sustain maturity for regular restore testing against defined RTO and RPO: keep evidence current, monitor drift, benchmark externally and refresh risk tests after organizational, system or market changes.</t>
        </is>
      </c>
      <c r="T309" s="13" t="n">
        <v>4</v>
      </c>
      <c r="U309" s="13" t="n">
        <v>3</v>
      </c>
      <c r="V309" s="13" t="n">
        <v>3</v>
      </c>
      <c r="W309" s="13" t="n">
        <v>2</v>
      </c>
      <c r="X309" s="13" t="n">
        <v>1</v>
      </c>
      <c r="Y309" s="13" t="n">
        <v>1</v>
      </c>
      <c r="Z309" s="13" t="inlineStr">
        <is>
          <t>ISO/IEC 27001; ISO/IEC 20000-1; NIST CSF 2.0; NIST SP 800-34; COBIT; ITIL 4; FinOps</t>
        </is>
      </c>
      <c r="AA309" s="13" t="inlineStr">
        <is>
          <t>Policy/SOP; owner/RACI; system report; dashboard; contracts; test records; incident history; interview evidence related to regular restore testing against defined RTO and RPO.</t>
        </is>
      </c>
      <c r="AB309" s="13" t="inlineStr">
        <is>
          <t>IT outage; Cloud outage; Data loss; Cyberattack</t>
        </is>
      </c>
      <c r="AC309" s="13" t="inlineStr">
        <is>
          <t>CIO / CTO / IT Ops</t>
        </is>
      </c>
      <c r="AD309" s="13" t="inlineStr">
        <is>
          <t>IT Cloud DR!17</t>
        </is>
      </c>
      <c r="AE309">
        <f>IF($A309="","",IF(OR(ISNUMBER(SEARCH("cyber",$D309)),ISNUMBER(SEARCH("security",$D309)),ISNUMBER(SEARCH("safety",$D309)),ISNUMBER(SEARCH("liquidity",$D309)),ISNUMBER(SEARCH("cash",$D309)),ISNUMBER(SEARCH("continuity",$D309)),ISNUMBER(SEARCH("infrastructure",$D309)),ISNUMBER(SEARCH("outage",$D309))),"Fast",IF(OR(ISNUMBER(SEARCH("compliance",$D309)),ISNUMBER(SEARCH("regulat",$D309)),ISNUMBER(SEARCH("data",$D309)),ISNUMBER(SEARCH("talent",$D309)),ISNUMBER(SEARCH("knowledge",$D309)),ISNUMBER(SEARCH("portfolio",$D309)),ISNUMBER(SEARCH("quality",$D309))),"Slow","Medium")))</f>
        <v/>
      </c>
      <c r="AF309">
        <f>IF($A309="","",IFERROR(VLOOKUP($B309,'_CONFIG_Risk_Calibration'!$A$5:$H$21,2,FALSE),3))</f>
        <v/>
      </c>
      <c r="AG309">
        <f>IF($A309="","",IFERROR(VLOOKUP($B309,'_CONFIG_Risk_Calibration'!$A$5:$H$21,3,FALSE),0))</f>
        <v/>
      </c>
      <c r="AH309">
        <f>IF($A309="","",IFERROR(VLOOKUP($B309,'_CONFIG_Risk_Calibration'!$A$5:$H$21,4,FALSE),3))</f>
        <v/>
      </c>
      <c r="AI309">
        <f>IF($A309="","",IFERROR(VLOOKUP($B309,'_CONFIG_Risk_Calibration'!$A$5:$H$21,5,FALSE),3))</f>
        <v/>
      </c>
      <c r="AJ309">
        <f>IF($A309="","",IFERROR(VLOOKUP($B309,'_CONFIG_Risk_Calibration'!$A$5:$H$21,6,FALSE),"No"))</f>
        <v/>
      </c>
      <c r="AK309">
        <f>IF($A309="","",IFERROR(VLOOKUP($B309,'_CONFIG_Risk_Calibration'!$A$5:$H$21,7,FALSE),1))</f>
        <v/>
      </c>
      <c r="AL309">
        <f>IF($A309="","",IFERROR(VLOOKUP($B309,'_CONFIG_Risk_Calibration'!$A$5:$H$21,8,FALSE),""))</f>
        <v/>
      </c>
    </row>
    <row r="310" ht="72" customHeight="1" s="209">
      <c r="A310" s="13" t="inlineStr">
        <is>
          <t>ITCL-015</t>
        </is>
      </c>
      <c r="B310" s="13" t="inlineStr">
        <is>
          <t>IT Cloud DR</t>
        </is>
      </c>
      <c r="C310" s="13" t="inlineStr">
        <is>
          <t>Resilience and DR</t>
        </is>
      </c>
      <c r="D310" s="13" t="inlineStr">
        <is>
          <t>IT, cloud and disaster recovery</t>
        </is>
      </c>
      <c r="E310" s="13" t="inlineStr">
        <is>
          <t>How mature is the organization in managing DR runbooks for critical systems with owners, dependencies and communication rules, including ownership, evidence, metrics, fallback procedures and crisis stress testing?</t>
        </is>
      </c>
      <c r="F310" s="13" t="inlineStr">
        <is>
          <t>Immature capability for DR runbooks for critical systems with owners, dependencies and communication rules may lead to system outage, data unavailability, excessive RTO/RPO and inability to restore critical technology services during IT outage; Cloud outage; Data loss; Cyberattack.</t>
        </is>
      </c>
      <c r="G310" s="13" t="inlineStr">
        <is>
          <t>Low maturity, weak ownership, incomplete evidence, insufficient testing and poor integration with crisis-management routines for DR runbooks for critical systems with owners, dependencies and communication rules.</t>
        </is>
      </c>
      <c r="H310" s="13" t="inlineStr">
        <is>
          <t>Severe risk: DR runbooks for critical systems with owners, dependencies and communication rules is not reliably controlled. During IT outage; Cloud outage; Data loss; Cyberattack, the organization may face system outage, data unavailability, excessive RTO/RPO and inability to restore critical technology services with limited visibility or accountability.</t>
        </is>
      </c>
      <c r="I310" s="13" t="inlineStr">
        <is>
          <t>High risk: DR runbooks for critical systems with owners, dependencies and communication rules depends on informal practices or individual knowledge. Disruption may expose system outage, data unavailability, excessive RTO/RPO and inability to restore critical technology services and slow recovery.</t>
        </is>
      </c>
      <c r="J310" s="13" t="inlineStr">
        <is>
          <t>Elevated risk: DR runbooks for critical systems with owners, dependencies and communication rules is partially controlled, but coverage, evidence or testing is inconsistent. Crisis response may be fragmented.</t>
        </is>
      </c>
      <c r="K310" s="13" t="inlineStr">
        <is>
          <t>Moderate risk: DR runbooks for critical systems with owners, dependencies and communication rules is documented and owned, but measurement, stress testing and integration with dependent processes need strengthening.</t>
        </is>
      </c>
      <c r="L310" s="13" t="inlineStr">
        <is>
          <t>Residual risk: DR runbooks for critical systems with owners, dependencies and communication rules is measured and reviewed, but monitoring, automation or scenario testing should be improved to prevent maturity drift.</t>
        </is>
      </c>
      <c r="M310" s="13" t="inlineStr">
        <is>
          <t>Low residual risk: DR runbooks for critical systems with owners, dependencies and communication rules is mature and crisis-tested. Maintain monitoring, evidence, ownership and periodic stress testing.</t>
        </is>
      </c>
      <c r="N310" s="13" t="inlineStr">
        <is>
          <t>Create an immediate risk owner, minimum control baseline and fallback procedure for DR runbooks for critical systems with owners, dependencies and communication rules. Add it to the crisis risk register and collect first evidence.</t>
        </is>
      </c>
      <c r="O310" s="13" t="inlineStr">
        <is>
          <t>Document DR runbooks for critical systems with owners, dependencies and communication rules, assign RACI, define minimum controls and KPIs, and validate coverage across key sites, teams or systems.</t>
        </is>
      </c>
      <c r="P310" s="13" t="inlineStr">
        <is>
          <t>Standardize DR runbooks for critical systems with owners, dependencies and communication rules, close coverage gaps, train accountable roles and connect controls to the relevant crisis scenarios and continuity plans.</t>
        </is>
      </c>
      <c r="Q310" s="13" t="inlineStr">
        <is>
          <t>Measure and test DR runbooks for critical systems with owners, dependencies and communication rules, run tabletop or operational stress tests, integrate it with dependent processes and update crisis playbooks.</t>
        </is>
      </c>
      <c r="R310" s="13" t="inlineStr">
        <is>
          <t>Automate monitoring where practical, define leading indicators, run periodic scenario tests and track residual risk after each major change.</t>
        </is>
      </c>
      <c r="S310" s="13" t="inlineStr">
        <is>
          <t>Sustain maturity for DR runbooks for critical systems with owners, dependencies and communication rules: keep evidence current, monitor drift, benchmark externally and refresh risk tests after organizational, system or market changes.</t>
        </is>
      </c>
      <c r="T310" s="13" t="n">
        <v>4</v>
      </c>
      <c r="U310" s="13" t="n">
        <v>3</v>
      </c>
      <c r="V310" s="13" t="n">
        <v>3</v>
      </c>
      <c r="W310" s="13" t="n">
        <v>2</v>
      </c>
      <c r="X310" s="13" t="n">
        <v>1</v>
      </c>
      <c r="Y310" s="13" t="n">
        <v>1</v>
      </c>
      <c r="Z310" s="13" t="inlineStr">
        <is>
          <t>ISO/IEC 27001; ISO/IEC 20000-1; NIST CSF 2.0; NIST SP 800-34; COBIT; ITIL 4; FinOps</t>
        </is>
      </c>
      <c r="AA310" s="13" t="inlineStr">
        <is>
          <t>Policy/SOP; owner/RACI; system report; dashboard; contracts; test records; incident history; interview evidence related to DR runbooks for critical systems with owners, dependencies and communication rules.</t>
        </is>
      </c>
      <c r="AB310" s="13" t="inlineStr">
        <is>
          <t>IT outage; Cloud outage; Data loss; Cyberattack</t>
        </is>
      </c>
      <c r="AC310" s="13" t="inlineStr">
        <is>
          <t>CIO / CTO / IT Ops</t>
        </is>
      </c>
      <c r="AD310" s="13" t="inlineStr">
        <is>
          <t>IT Cloud DR!18</t>
        </is>
      </c>
      <c r="AE310">
        <f>IF($A310="","",IF(OR(ISNUMBER(SEARCH("cyber",$D310)),ISNUMBER(SEARCH("security",$D310)),ISNUMBER(SEARCH("safety",$D310)),ISNUMBER(SEARCH("liquidity",$D310)),ISNUMBER(SEARCH("cash",$D310)),ISNUMBER(SEARCH("continuity",$D310)),ISNUMBER(SEARCH("infrastructure",$D310)),ISNUMBER(SEARCH("outage",$D310))),"Fast",IF(OR(ISNUMBER(SEARCH("compliance",$D310)),ISNUMBER(SEARCH("regulat",$D310)),ISNUMBER(SEARCH("data",$D310)),ISNUMBER(SEARCH("talent",$D310)),ISNUMBER(SEARCH("knowledge",$D310)),ISNUMBER(SEARCH("portfolio",$D310)),ISNUMBER(SEARCH("quality",$D310))),"Slow","Medium")))</f>
        <v/>
      </c>
      <c r="AF310">
        <f>IF($A310="","",IFERROR(VLOOKUP($B310,'_CONFIG_Risk_Calibration'!$A$5:$H$21,2,FALSE),3))</f>
        <v/>
      </c>
      <c r="AG310">
        <f>IF($A310="","",IFERROR(VLOOKUP($B310,'_CONFIG_Risk_Calibration'!$A$5:$H$21,3,FALSE),0))</f>
        <v/>
      </c>
      <c r="AH310">
        <f>IF($A310="","",IFERROR(VLOOKUP($B310,'_CONFIG_Risk_Calibration'!$A$5:$H$21,4,FALSE),3))</f>
        <v/>
      </c>
      <c r="AI310">
        <f>IF($A310="","",IFERROR(VLOOKUP($B310,'_CONFIG_Risk_Calibration'!$A$5:$H$21,5,FALSE),3))</f>
        <v/>
      </c>
      <c r="AJ310">
        <f>IF($A310="","",IFERROR(VLOOKUP($B310,'_CONFIG_Risk_Calibration'!$A$5:$H$21,6,FALSE),"No"))</f>
        <v/>
      </c>
      <c r="AK310">
        <f>IF($A310="","",IFERROR(VLOOKUP($B310,'_CONFIG_Risk_Calibration'!$A$5:$H$21,7,FALSE),1))</f>
        <v/>
      </c>
      <c r="AL310">
        <f>IF($A310="","",IFERROR(VLOOKUP($B310,'_CONFIG_Risk_Calibration'!$A$5:$H$21,8,FALSE),""))</f>
        <v/>
      </c>
    </row>
    <row r="311" ht="72" customHeight="1" s="209">
      <c r="A311" s="13" t="inlineStr">
        <is>
          <t>ITCL-016</t>
        </is>
      </c>
      <c r="B311" s="13" t="inlineStr">
        <is>
          <t>IT Cloud DR</t>
        </is>
      </c>
      <c r="C311" s="13" t="inlineStr">
        <is>
          <t>Resilience and DR</t>
        </is>
      </c>
      <c r="D311" s="13" t="inlineStr">
        <is>
          <t>IT, cloud and disaster recovery</t>
        </is>
      </c>
      <c r="E311" s="13" t="inlineStr">
        <is>
          <t>How mature is the organization in managing DR exercises for ransomware, cloud region failure, identity outage and data corruption, including ownership, evidence, metrics, fallback procedures and crisis stress testing?</t>
        </is>
      </c>
      <c r="F311" s="13" t="inlineStr">
        <is>
          <t>Immature capability for DR exercises for ransomware, cloud region failure, identity outage and data corruption may lead to system outage, data unavailability, excessive RTO/RPO and inability to restore critical technology services during IT outage; Cloud outage; Data loss; Cyberattack.</t>
        </is>
      </c>
      <c r="G311" s="13" t="inlineStr">
        <is>
          <t>Low maturity, weak ownership, incomplete evidence, insufficient testing and poor integration with crisis-management routines for DR exercises for ransomware, cloud region failure, identity outage and data corruption.</t>
        </is>
      </c>
      <c r="H311" s="13" t="inlineStr">
        <is>
          <t>Severe risk: DR exercises for ransomware, cloud region failure, identity outage and data corruption is not reliably controlled. During IT outage; Cloud outage; Data loss; Cyberattack, the organization may face system outage, data unavailability, excessive RTO/RPO and inability to restore critical technology services with limited visibility or accountability.</t>
        </is>
      </c>
      <c r="I311" s="13" t="inlineStr">
        <is>
          <t>High risk: DR exercises for ransomware, cloud region failure, identity outage and data corruption depends on informal practices or individual knowledge. Disruption may expose system outage, data unavailability, excessive RTO/RPO and inability to restore critical technology services and slow recovery.</t>
        </is>
      </c>
      <c r="J311" s="13" t="inlineStr">
        <is>
          <t>Elevated risk: DR exercises for ransomware, cloud region failure, identity outage and data corruption is partially controlled, but coverage, evidence or testing is inconsistent. Crisis response may be fragmented.</t>
        </is>
      </c>
      <c r="K311" s="13" t="inlineStr">
        <is>
          <t>Moderate risk: DR exercises for ransomware, cloud region failure, identity outage and data corruption is documented and owned, but measurement, stress testing and integration with dependent processes need strengthening.</t>
        </is>
      </c>
      <c r="L311" s="13" t="inlineStr">
        <is>
          <t>Residual risk: DR exercises for ransomware, cloud region failure, identity outage and data corruption is measured and reviewed, but monitoring, automation or scenario testing should be improved to prevent maturity drift.</t>
        </is>
      </c>
      <c r="M311" s="13" t="inlineStr">
        <is>
          <t>Low residual risk: DR exercises for ransomware, cloud region failure, identity outage and data corruption is mature and crisis-tested. Maintain monitoring, evidence, ownership and periodic stress testing.</t>
        </is>
      </c>
      <c r="N311" s="13" t="inlineStr">
        <is>
          <t>Create an immediate risk owner, minimum control baseline and fallback procedure for DR exercises for ransomware, cloud region failure, identity outage and data corruption. Add it to the crisis risk register and collect first evidence.</t>
        </is>
      </c>
      <c r="O311" s="13" t="inlineStr">
        <is>
          <t>Document DR exercises for ransomware, cloud region failure, identity outage and data corruption, assign RACI, define minimum controls and KPIs, and validate coverage across key sites, teams or systems.</t>
        </is>
      </c>
      <c r="P311" s="13" t="inlineStr">
        <is>
          <t>Standardize DR exercises for ransomware, cloud region failure, identity outage and data corruption, close coverage gaps, train accountable roles and connect controls to the relevant crisis scenarios and continuity plans.</t>
        </is>
      </c>
      <c r="Q311" s="13" t="inlineStr">
        <is>
          <t>Measure and test DR exercises for ransomware, cloud region failure, identity outage and data corruption, run tabletop or operational stress tests, integrate it with dependent processes and update crisis playbooks.</t>
        </is>
      </c>
      <c r="R311" s="13" t="inlineStr">
        <is>
          <t>Automate monitoring where practical, define leading indicators, run periodic scenario tests and track residual risk after each major change.</t>
        </is>
      </c>
      <c r="S311" s="13" t="inlineStr">
        <is>
          <t>Sustain maturity for DR exercises for ransomware, cloud region failure, identity outage and data corruption: keep evidence current, monitor drift, benchmark externally and refresh risk tests after organizational, system or market changes.</t>
        </is>
      </c>
      <c r="T311" s="13" t="n">
        <v>4</v>
      </c>
      <c r="U311" s="13" t="n">
        <v>3</v>
      </c>
      <c r="V311" s="13" t="n">
        <v>3</v>
      </c>
      <c r="W311" s="13" t="n">
        <v>2</v>
      </c>
      <c r="X311" s="13" t="n">
        <v>1</v>
      </c>
      <c r="Y311" s="13" t="n">
        <v>1</v>
      </c>
      <c r="Z311" s="13" t="inlineStr">
        <is>
          <t>ISO/IEC 27001; ISO/IEC 20000-1; NIST CSF 2.0; NIST SP 800-34; COBIT; ITIL 4; FinOps</t>
        </is>
      </c>
      <c r="AA311" s="13" t="inlineStr">
        <is>
          <t>Policy/SOP; owner/RACI; system report; dashboard; contracts; test records; incident history; interview evidence related to DR exercises for ransomware, cloud region failure, identity outage and data corruption.</t>
        </is>
      </c>
      <c r="AB311" s="13" t="inlineStr">
        <is>
          <t>IT outage; Cloud outage; Data loss; Cyberattack</t>
        </is>
      </c>
      <c r="AC311" s="13" t="inlineStr">
        <is>
          <t>CIO / CTO / IT Ops</t>
        </is>
      </c>
      <c r="AD311" s="13" t="inlineStr">
        <is>
          <t>IT Cloud DR!19</t>
        </is>
      </c>
      <c r="AE311">
        <f>IF($A311="","",IF(OR(ISNUMBER(SEARCH("cyber",$D311)),ISNUMBER(SEARCH("security",$D311)),ISNUMBER(SEARCH("safety",$D311)),ISNUMBER(SEARCH("liquidity",$D311)),ISNUMBER(SEARCH("cash",$D311)),ISNUMBER(SEARCH("continuity",$D311)),ISNUMBER(SEARCH("infrastructure",$D311)),ISNUMBER(SEARCH("outage",$D311))),"Fast",IF(OR(ISNUMBER(SEARCH("compliance",$D311)),ISNUMBER(SEARCH("regulat",$D311)),ISNUMBER(SEARCH("data",$D311)),ISNUMBER(SEARCH("talent",$D311)),ISNUMBER(SEARCH("knowledge",$D311)),ISNUMBER(SEARCH("portfolio",$D311)),ISNUMBER(SEARCH("quality",$D311))),"Slow","Medium")))</f>
        <v/>
      </c>
      <c r="AF311">
        <f>IF($A311="","",IFERROR(VLOOKUP($B311,'_CONFIG_Risk_Calibration'!$A$5:$H$21,2,FALSE),3))</f>
        <v/>
      </c>
      <c r="AG311">
        <f>IF($A311="","",IFERROR(VLOOKUP($B311,'_CONFIG_Risk_Calibration'!$A$5:$H$21,3,FALSE),0))</f>
        <v/>
      </c>
      <c r="AH311">
        <f>IF($A311="","",IFERROR(VLOOKUP($B311,'_CONFIG_Risk_Calibration'!$A$5:$H$21,4,FALSE),3))</f>
        <v/>
      </c>
      <c r="AI311">
        <f>IF($A311="","",IFERROR(VLOOKUP($B311,'_CONFIG_Risk_Calibration'!$A$5:$H$21,5,FALSE),3))</f>
        <v/>
      </c>
      <c r="AJ311">
        <f>IF($A311="","",IFERROR(VLOOKUP($B311,'_CONFIG_Risk_Calibration'!$A$5:$H$21,6,FALSE),"No"))</f>
        <v/>
      </c>
      <c r="AK311">
        <f>IF($A311="","",IFERROR(VLOOKUP($B311,'_CONFIG_Risk_Calibration'!$A$5:$H$21,7,FALSE),1))</f>
        <v/>
      </c>
      <c r="AL311">
        <f>IF($A311="","",IFERROR(VLOOKUP($B311,'_CONFIG_Risk_Calibration'!$A$5:$H$21,8,FALSE),""))</f>
        <v/>
      </c>
    </row>
    <row r="312" ht="72" customHeight="1" s="209">
      <c r="A312" s="13" t="inlineStr">
        <is>
          <t>ITCL-017</t>
        </is>
      </c>
      <c r="B312" s="13" t="inlineStr">
        <is>
          <t>IT Cloud DR</t>
        </is>
      </c>
      <c r="C312" s="13" t="inlineStr">
        <is>
          <t>Resilience and DR</t>
        </is>
      </c>
      <c r="D312" s="13" t="inlineStr">
        <is>
          <t>IT, cloud and disaster recovery</t>
        </is>
      </c>
      <c r="E312" s="13" t="inlineStr">
        <is>
          <t>How mature is the organization in managing manual fallback for critical IT-dependent business processes, including ownership, evidence, metrics, fallback procedures and crisis stress testing?</t>
        </is>
      </c>
      <c r="F312" s="13" t="inlineStr">
        <is>
          <t>Immature capability for manual fallback for critical IT-dependent business processes may lead to system outage, data unavailability, excessive RTO/RPO and inability to restore critical technology services during IT outage; Cloud outage; Data loss; Cyberattack.</t>
        </is>
      </c>
      <c r="G312" s="13" t="inlineStr">
        <is>
          <t>Low maturity, weak ownership, incomplete evidence, insufficient testing and poor integration with crisis-management routines for manual fallback for critical IT-dependent business processes.</t>
        </is>
      </c>
      <c r="H312" s="13" t="inlineStr">
        <is>
          <t>Severe risk: manual fallback for critical IT-dependent business processes is not reliably controlled. During IT outage; Cloud outage; Data loss; Cyberattack, the organization may face system outage, data unavailability, excessive RTO/RPO and inability to restore critical technology services with limited visibility or accountability.</t>
        </is>
      </c>
      <c r="I312" s="13" t="inlineStr">
        <is>
          <t>High risk: manual fallback for critical IT-dependent business processes depends on informal practices or individual knowledge. Disruption may expose system outage, data unavailability, excessive RTO/RPO and inability to restore critical technology services and slow recovery.</t>
        </is>
      </c>
      <c r="J312" s="13" t="inlineStr">
        <is>
          <t>Elevated risk: manual fallback for critical IT-dependent business processes is partially controlled, but coverage, evidence or testing is inconsistent. Crisis response may be fragmented.</t>
        </is>
      </c>
      <c r="K312" s="13" t="inlineStr">
        <is>
          <t>Moderate risk: manual fallback for critical IT-dependent business processes is documented and owned, but measurement, stress testing and integration with dependent processes need strengthening.</t>
        </is>
      </c>
      <c r="L312" s="13" t="inlineStr">
        <is>
          <t>Residual risk: manual fallback for critical IT-dependent business processes is measured and reviewed, but monitoring, automation or scenario testing should be improved to prevent maturity drift.</t>
        </is>
      </c>
      <c r="M312" s="13" t="inlineStr">
        <is>
          <t>Low residual risk: manual fallback for critical IT-dependent business processes is mature and crisis-tested. Maintain monitoring, evidence, ownership and periodic stress testing.</t>
        </is>
      </c>
      <c r="N312" s="13" t="inlineStr">
        <is>
          <t>Create an immediate risk owner, minimum control baseline and fallback procedure for manual fallback for critical IT-dependent business processes. Add it to the crisis risk register and collect first evidence.</t>
        </is>
      </c>
      <c r="O312" s="13" t="inlineStr">
        <is>
          <t>Document manual fallback for critical IT-dependent business processes, assign RACI, define minimum controls and KPIs, and validate coverage across key sites, teams or systems.</t>
        </is>
      </c>
      <c r="P312" s="13" t="inlineStr">
        <is>
          <t>Standardize manual fallback for critical IT-dependent business processes, close coverage gaps, train accountable roles and connect controls to the relevant crisis scenarios and continuity plans.</t>
        </is>
      </c>
      <c r="Q312" s="13" t="inlineStr">
        <is>
          <t>Measure and test manual fallback for critical IT-dependent business processes, run tabletop or operational stress tests, integrate it with dependent processes and update crisis playbooks.</t>
        </is>
      </c>
      <c r="R312" s="13" t="inlineStr">
        <is>
          <t>Automate monitoring where practical, define leading indicators, run periodic scenario tests and track residual risk after each major change.</t>
        </is>
      </c>
      <c r="S312" s="13" t="inlineStr">
        <is>
          <t>Sustain maturity for manual fallback for critical IT-dependent business processes: keep evidence current, monitor drift, benchmark externally and refresh risk tests after organizational, system or market changes.</t>
        </is>
      </c>
      <c r="T312" s="13" t="n">
        <v>4</v>
      </c>
      <c r="U312" s="13" t="n">
        <v>3</v>
      </c>
      <c r="V312" s="13" t="n">
        <v>3</v>
      </c>
      <c r="W312" s="13" t="n">
        <v>2</v>
      </c>
      <c r="X312" s="13" t="n">
        <v>1</v>
      </c>
      <c r="Y312" s="13" t="n">
        <v>1</v>
      </c>
      <c r="Z312" s="13" t="inlineStr">
        <is>
          <t>ISO/IEC 27001; ISO/IEC 20000-1; NIST CSF 2.0; NIST SP 800-34; COBIT; ITIL 4; FinOps</t>
        </is>
      </c>
      <c r="AA312" s="13" t="inlineStr">
        <is>
          <t>Policy/SOP; owner/RACI; system report; dashboard; contracts; test records; incident history; interview evidence related to manual fallback for critical IT-dependent business processes.</t>
        </is>
      </c>
      <c r="AB312" s="13" t="inlineStr">
        <is>
          <t>IT outage; Cloud outage; Data loss; Cyberattack</t>
        </is>
      </c>
      <c r="AC312" s="13" t="inlineStr">
        <is>
          <t>CIO / CTO / IT Ops</t>
        </is>
      </c>
      <c r="AD312" s="13" t="inlineStr">
        <is>
          <t>IT Cloud DR!20</t>
        </is>
      </c>
      <c r="AE312">
        <f>IF($A312="","",IF(OR(ISNUMBER(SEARCH("cyber",$D312)),ISNUMBER(SEARCH("security",$D312)),ISNUMBER(SEARCH("safety",$D312)),ISNUMBER(SEARCH("liquidity",$D312)),ISNUMBER(SEARCH("cash",$D312)),ISNUMBER(SEARCH("continuity",$D312)),ISNUMBER(SEARCH("infrastructure",$D312)),ISNUMBER(SEARCH("outage",$D312))),"Fast",IF(OR(ISNUMBER(SEARCH("compliance",$D312)),ISNUMBER(SEARCH("regulat",$D312)),ISNUMBER(SEARCH("data",$D312)),ISNUMBER(SEARCH("talent",$D312)),ISNUMBER(SEARCH("knowledge",$D312)),ISNUMBER(SEARCH("portfolio",$D312)),ISNUMBER(SEARCH("quality",$D312))),"Slow","Medium")))</f>
        <v/>
      </c>
      <c r="AF312">
        <f>IF($A312="","",IFERROR(VLOOKUP($B312,'_CONFIG_Risk_Calibration'!$A$5:$H$21,2,FALSE),3))</f>
        <v/>
      </c>
      <c r="AG312">
        <f>IF($A312="","",IFERROR(VLOOKUP($B312,'_CONFIG_Risk_Calibration'!$A$5:$H$21,3,FALSE),0))</f>
        <v/>
      </c>
      <c r="AH312">
        <f>IF($A312="","",IFERROR(VLOOKUP($B312,'_CONFIG_Risk_Calibration'!$A$5:$H$21,4,FALSE),3))</f>
        <v/>
      </c>
      <c r="AI312">
        <f>IF($A312="","",IFERROR(VLOOKUP($B312,'_CONFIG_Risk_Calibration'!$A$5:$H$21,5,FALSE),3))</f>
        <v/>
      </c>
      <c r="AJ312">
        <f>IF($A312="","",IFERROR(VLOOKUP($B312,'_CONFIG_Risk_Calibration'!$A$5:$H$21,6,FALSE),"No"))</f>
        <v/>
      </c>
      <c r="AK312">
        <f>IF($A312="","",IFERROR(VLOOKUP($B312,'_CONFIG_Risk_Calibration'!$A$5:$H$21,7,FALSE),1))</f>
        <v/>
      </c>
      <c r="AL312">
        <f>IF($A312="","",IFERROR(VLOOKUP($B312,'_CONFIG_Risk_Calibration'!$A$5:$H$21,8,FALSE),""))</f>
        <v/>
      </c>
    </row>
    <row r="313" ht="72" customHeight="1" s="209">
      <c r="A313" s="13" t="inlineStr">
        <is>
          <t>ITCL-018</t>
        </is>
      </c>
      <c r="B313" s="13" t="inlineStr">
        <is>
          <t>IT Cloud DR</t>
        </is>
      </c>
      <c r="C313" s="13" t="inlineStr">
        <is>
          <t>Resilience and DR</t>
        </is>
      </c>
      <c r="D313" s="13" t="inlineStr">
        <is>
          <t>IT, cloud and disaster recovery</t>
        </is>
      </c>
      <c r="E313" s="13" t="inlineStr">
        <is>
          <t>How mature is the organization in managing on-call coverage, escalation and vendor support for critical systems, including ownership, evidence, metrics, fallback procedures and crisis stress testing?</t>
        </is>
      </c>
      <c r="F313" s="13" t="inlineStr">
        <is>
          <t>Immature capability for on-call coverage, escalation and vendor support for critical systems may lead to system outage, data unavailability, excessive RTO/RPO and inability to restore critical technology services during IT outage; Cloud outage; Data loss; Cyberattack.</t>
        </is>
      </c>
      <c r="G313" s="13" t="inlineStr">
        <is>
          <t>Low maturity, weak ownership, incomplete evidence, insufficient testing and poor integration with crisis-management routines for on-call coverage, escalation and vendor support for critical systems.</t>
        </is>
      </c>
      <c r="H313" s="13" t="inlineStr">
        <is>
          <t>Severe risk: on-call coverage, escalation and vendor support for critical systems is not reliably controlled. During IT outage; Cloud outage; Data loss; Cyberattack, the organization may face system outage, data unavailability, excessive RTO/RPO and inability to restore critical technology services with limited visibility or accountability.</t>
        </is>
      </c>
      <c r="I313" s="13" t="inlineStr">
        <is>
          <t>High risk: on-call coverage, escalation and vendor support for critical systems depends on informal practices or individual knowledge. Disruption may expose system outage, data unavailability, excessive RTO/RPO and inability to restore critical technology services and slow recovery.</t>
        </is>
      </c>
      <c r="J313" s="13" t="inlineStr">
        <is>
          <t>Elevated risk: on-call coverage, escalation and vendor support for critical systems is partially controlled, but coverage, evidence or testing is inconsistent. Crisis response may be fragmented.</t>
        </is>
      </c>
      <c r="K313" s="13" t="inlineStr">
        <is>
          <t>Moderate risk: on-call coverage, escalation and vendor support for critical systems is documented and owned, but measurement, stress testing and integration with dependent processes need strengthening.</t>
        </is>
      </c>
      <c r="L313" s="13" t="inlineStr">
        <is>
          <t>Residual risk: on-call coverage, escalation and vendor support for critical systems is measured and reviewed, but monitoring, automation or scenario testing should be improved to prevent maturity drift.</t>
        </is>
      </c>
      <c r="M313" s="13" t="inlineStr">
        <is>
          <t>Low residual risk: on-call coverage, escalation and vendor support for critical systems is mature and crisis-tested. Maintain monitoring, evidence, ownership and periodic stress testing.</t>
        </is>
      </c>
      <c r="N313" s="13" t="inlineStr">
        <is>
          <t>Create an immediate risk owner, minimum control baseline and fallback procedure for on-call coverage, escalation and vendor support for critical systems. Add it to the crisis risk register and collect first evidence.</t>
        </is>
      </c>
      <c r="O313" s="13" t="inlineStr">
        <is>
          <t>Document on-call coverage, escalation and vendor support for critical systems, assign RACI, define minimum controls and KPIs, and validate coverage across key sites, teams or systems.</t>
        </is>
      </c>
      <c r="P313" s="13" t="inlineStr">
        <is>
          <t>Standardize on-call coverage, escalation and vendor support for critical systems, close coverage gaps, train accountable roles and connect controls to the relevant crisis scenarios and continuity plans.</t>
        </is>
      </c>
      <c r="Q313" s="13" t="inlineStr">
        <is>
          <t>Measure and test on-call coverage, escalation and vendor support for critical systems, run tabletop or operational stress tests, integrate it with dependent processes and update crisis playbooks.</t>
        </is>
      </c>
      <c r="R313" s="13" t="inlineStr">
        <is>
          <t>Automate monitoring where practical, define leading indicators, run periodic scenario tests and track residual risk after each major change.</t>
        </is>
      </c>
      <c r="S313" s="13" t="inlineStr">
        <is>
          <t>Sustain maturity for on-call coverage, escalation and vendor support for critical systems: keep evidence current, monitor drift, benchmark externally and refresh risk tests after organizational, system or market changes.</t>
        </is>
      </c>
      <c r="T313" s="13" t="n">
        <v>4</v>
      </c>
      <c r="U313" s="13" t="n">
        <v>3</v>
      </c>
      <c r="V313" s="13" t="n">
        <v>3</v>
      </c>
      <c r="W313" s="13" t="n">
        <v>2</v>
      </c>
      <c r="X313" s="13" t="n">
        <v>1</v>
      </c>
      <c r="Y313" s="13" t="n">
        <v>1</v>
      </c>
      <c r="Z313" s="13" t="inlineStr">
        <is>
          <t>ISO/IEC 27001; ISO/IEC 20000-1; NIST CSF 2.0; NIST SP 800-34; COBIT; ITIL 4; FinOps</t>
        </is>
      </c>
      <c r="AA313" s="13" t="inlineStr">
        <is>
          <t>Policy/SOP; owner/RACI; system report; dashboard; contracts; test records; incident history; interview evidence related to on-call coverage, escalation and vendor support for critical systems.</t>
        </is>
      </c>
      <c r="AB313" s="13" t="inlineStr">
        <is>
          <t>IT outage; Cloud outage; Data loss; Cyberattack</t>
        </is>
      </c>
      <c r="AC313" s="13" t="inlineStr">
        <is>
          <t>CIO / CTO / IT Ops</t>
        </is>
      </c>
      <c r="AD313" s="13" t="inlineStr">
        <is>
          <t>IT Cloud DR!21</t>
        </is>
      </c>
      <c r="AE313">
        <f>IF($A313="","",IF(OR(ISNUMBER(SEARCH("cyber",$D313)),ISNUMBER(SEARCH("security",$D313)),ISNUMBER(SEARCH("safety",$D313)),ISNUMBER(SEARCH("liquidity",$D313)),ISNUMBER(SEARCH("cash",$D313)),ISNUMBER(SEARCH("continuity",$D313)),ISNUMBER(SEARCH("infrastructure",$D313)),ISNUMBER(SEARCH("outage",$D313))),"Fast",IF(OR(ISNUMBER(SEARCH("compliance",$D313)),ISNUMBER(SEARCH("regulat",$D313)),ISNUMBER(SEARCH("data",$D313)),ISNUMBER(SEARCH("talent",$D313)),ISNUMBER(SEARCH("knowledge",$D313)),ISNUMBER(SEARCH("portfolio",$D313)),ISNUMBER(SEARCH("quality",$D313))),"Slow","Medium")))</f>
        <v/>
      </c>
      <c r="AF313">
        <f>IF($A313="","",IFERROR(VLOOKUP($B313,'_CONFIG_Risk_Calibration'!$A$5:$H$21,2,FALSE),3))</f>
        <v/>
      </c>
      <c r="AG313">
        <f>IF($A313="","",IFERROR(VLOOKUP($B313,'_CONFIG_Risk_Calibration'!$A$5:$H$21,3,FALSE),0))</f>
        <v/>
      </c>
      <c r="AH313">
        <f>IF($A313="","",IFERROR(VLOOKUP($B313,'_CONFIG_Risk_Calibration'!$A$5:$H$21,4,FALSE),3))</f>
        <v/>
      </c>
      <c r="AI313">
        <f>IF($A313="","",IFERROR(VLOOKUP($B313,'_CONFIG_Risk_Calibration'!$A$5:$H$21,5,FALSE),3))</f>
        <v/>
      </c>
      <c r="AJ313">
        <f>IF($A313="","",IFERROR(VLOOKUP($B313,'_CONFIG_Risk_Calibration'!$A$5:$H$21,6,FALSE),"No"))</f>
        <v/>
      </c>
      <c r="AK313">
        <f>IF($A313="","",IFERROR(VLOOKUP($B313,'_CONFIG_Risk_Calibration'!$A$5:$H$21,7,FALSE),1))</f>
        <v/>
      </c>
      <c r="AL313">
        <f>IF($A313="","",IFERROR(VLOOKUP($B313,'_CONFIG_Risk_Calibration'!$A$5:$H$21,8,FALSE),""))</f>
        <v/>
      </c>
    </row>
    <row r="314" ht="72" customHeight="1" s="209">
      <c r="A314" s="13" t="inlineStr">
        <is>
          <t>ITCL-019</t>
        </is>
      </c>
      <c r="B314" s="13" t="inlineStr">
        <is>
          <t>IT Cloud DR</t>
        </is>
      </c>
      <c r="C314" s="13" t="inlineStr">
        <is>
          <t>Operations</t>
        </is>
      </c>
      <c r="D314" s="13" t="inlineStr">
        <is>
          <t>IT, cloud and disaster recovery</t>
        </is>
      </c>
      <c r="E314" s="13" t="inlineStr">
        <is>
          <t>How mature is the organization in managing IT service management for incidents, requests, problems, changes and assets, including ownership, evidence, metrics, fallback procedures and crisis stress testing?</t>
        </is>
      </c>
      <c r="F314" s="13" t="inlineStr">
        <is>
          <t>Immature capability for IT service management for incidents, requests, problems, changes and assets may lead to system outage, data unavailability, excessive RTO/RPO and inability to restore critical technology services during IT outage; Cloud outage; Data loss; Cyberattack.</t>
        </is>
      </c>
      <c r="G314" s="13" t="inlineStr">
        <is>
          <t>Low maturity, weak ownership, incomplete evidence, insufficient testing and poor integration with crisis-management routines for IT service management for incidents, requests, problems, changes and assets.</t>
        </is>
      </c>
      <c r="H314" s="13" t="inlineStr">
        <is>
          <t>Severe risk: IT service management for incidents, requests, problems, changes and assets is not reliably controlled. During IT outage; Cloud outage; Data loss; Cyberattack, the organization may face system outage, data unavailability, excessive RTO/RPO and inability to restore critical technology services with limited visibility or accountability.</t>
        </is>
      </c>
      <c r="I314" s="13" t="inlineStr">
        <is>
          <t>High risk: IT service management for incidents, requests, problems, changes and assets depends on informal practices or individual knowledge. Disruption may expose system outage, data unavailability, excessive RTO/RPO and inability to restore critical technology services and slow recovery.</t>
        </is>
      </c>
      <c r="J314" s="13" t="inlineStr">
        <is>
          <t>Elevated risk: IT service management for incidents, requests, problems, changes and assets is partially controlled, but coverage, evidence or testing is inconsistent. Crisis response may be fragmented.</t>
        </is>
      </c>
      <c r="K314" s="13" t="inlineStr">
        <is>
          <t>Moderate risk: IT service management for incidents, requests, problems, changes and assets is documented and owned, but measurement, stress testing and integration with dependent processes need strengthening.</t>
        </is>
      </c>
      <c r="L314" s="13" t="inlineStr">
        <is>
          <t>Residual risk: IT service management for incidents, requests, problems, changes and assets is measured and reviewed, but monitoring, automation or scenario testing should be improved to prevent maturity drift.</t>
        </is>
      </c>
      <c r="M314" s="13" t="inlineStr">
        <is>
          <t>Low residual risk: IT service management for incidents, requests, problems, changes and assets is mature and crisis-tested. Maintain monitoring, evidence, ownership and periodic stress testing.</t>
        </is>
      </c>
      <c r="N314" s="13" t="inlineStr">
        <is>
          <t>Create an immediate risk owner, minimum control baseline and fallback procedure for IT service management for incidents, requests, problems, changes and assets. Add it to the crisis risk register and collect first evidence.</t>
        </is>
      </c>
      <c r="O314" s="13" t="inlineStr">
        <is>
          <t>Document IT service management for incidents, requests, problems, changes and assets, assign RACI, define minimum controls and KPIs, and validate coverage across key sites, teams or systems.</t>
        </is>
      </c>
      <c r="P314" s="13" t="inlineStr">
        <is>
          <t>Standardize IT service management for incidents, requests, problems, changes and assets, close coverage gaps, train accountable roles and connect controls to the relevant crisis scenarios and continuity plans.</t>
        </is>
      </c>
      <c r="Q314" s="13" t="inlineStr">
        <is>
          <t>Measure and test IT service management for incidents, requests, problems, changes and assets, run tabletop or operational stress tests, integrate it with dependent processes and update crisis playbooks.</t>
        </is>
      </c>
      <c r="R314" s="13" t="inlineStr">
        <is>
          <t>Automate monitoring where practical, define leading indicators, run periodic scenario tests and track residual risk after each major change.</t>
        </is>
      </c>
      <c r="S314" s="13" t="inlineStr">
        <is>
          <t>Sustain maturity for IT service management for incidents, requests, problems, changes and assets: keep evidence current, monitor drift, benchmark externally and refresh risk tests after organizational, system or market changes.</t>
        </is>
      </c>
      <c r="T314" s="13" t="n">
        <v>4</v>
      </c>
      <c r="U314" s="13" t="n">
        <v>3</v>
      </c>
      <c r="V314" s="13" t="n">
        <v>3</v>
      </c>
      <c r="W314" s="13" t="n">
        <v>2</v>
      </c>
      <c r="X314" s="13" t="n">
        <v>1</v>
      </c>
      <c r="Y314" s="13" t="n">
        <v>1</v>
      </c>
      <c r="Z314" s="13" t="inlineStr">
        <is>
          <t>ISO/IEC 27001; ISO/IEC 20000-1; NIST CSF 2.0; NIST SP 800-34; COBIT; ITIL 4; FinOps</t>
        </is>
      </c>
      <c r="AA314" s="13" t="inlineStr">
        <is>
          <t>Policy/SOP; owner/RACI; system report; dashboard; contracts; test records; incident history; interview evidence related to IT service management for incidents, requests, problems, changes and assets.</t>
        </is>
      </c>
      <c r="AB314" s="13" t="inlineStr">
        <is>
          <t>IT outage; Cloud outage; Data loss; Cyberattack</t>
        </is>
      </c>
      <c r="AC314" s="13" t="inlineStr">
        <is>
          <t>CIO / CTO / IT Ops</t>
        </is>
      </c>
      <c r="AD314" s="13" t="inlineStr">
        <is>
          <t>IT Cloud DR!22</t>
        </is>
      </c>
      <c r="AE314">
        <f>IF($A314="","",IF(OR(ISNUMBER(SEARCH("cyber",$D314)),ISNUMBER(SEARCH("security",$D314)),ISNUMBER(SEARCH("safety",$D314)),ISNUMBER(SEARCH("liquidity",$D314)),ISNUMBER(SEARCH("cash",$D314)),ISNUMBER(SEARCH("continuity",$D314)),ISNUMBER(SEARCH("infrastructure",$D314)),ISNUMBER(SEARCH("outage",$D314))),"Fast",IF(OR(ISNUMBER(SEARCH("compliance",$D314)),ISNUMBER(SEARCH("regulat",$D314)),ISNUMBER(SEARCH("data",$D314)),ISNUMBER(SEARCH("talent",$D314)),ISNUMBER(SEARCH("knowledge",$D314)),ISNUMBER(SEARCH("portfolio",$D314)),ISNUMBER(SEARCH("quality",$D314))),"Slow","Medium")))</f>
        <v/>
      </c>
      <c r="AF314">
        <f>IF($A314="","",IFERROR(VLOOKUP($B314,'_CONFIG_Risk_Calibration'!$A$5:$H$21,2,FALSE),3))</f>
        <v/>
      </c>
      <c r="AG314">
        <f>IF($A314="","",IFERROR(VLOOKUP($B314,'_CONFIG_Risk_Calibration'!$A$5:$H$21,3,FALSE),0))</f>
        <v/>
      </c>
      <c r="AH314">
        <f>IF($A314="","",IFERROR(VLOOKUP($B314,'_CONFIG_Risk_Calibration'!$A$5:$H$21,4,FALSE),3))</f>
        <v/>
      </c>
      <c r="AI314">
        <f>IF($A314="","",IFERROR(VLOOKUP($B314,'_CONFIG_Risk_Calibration'!$A$5:$H$21,5,FALSE),3))</f>
        <v/>
      </c>
      <c r="AJ314">
        <f>IF($A314="","",IFERROR(VLOOKUP($B314,'_CONFIG_Risk_Calibration'!$A$5:$H$21,6,FALSE),"No"))</f>
        <v/>
      </c>
      <c r="AK314">
        <f>IF($A314="","",IFERROR(VLOOKUP($B314,'_CONFIG_Risk_Calibration'!$A$5:$H$21,7,FALSE),1))</f>
        <v/>
      </c>
      <c r="AL314">
        <f>IF($A314="","",IFERROR(VLOOKUP($B314,'_CONFIG_Risk_Calibration'!$A$5:$H$21,8,FALSE),""))</f>
        <v/>
      </c>
    </row>
    <row r="315" ht="72" customHeight="1" s="209">
      <c r="A315" s="13" t="inlineStr">
        <is>
          <t>ITCL-020</t>
        </is>
      </c>
      <c r="B315" s="13" t="inlineStr">
        <is>
          <t>IT Cloud DR</t>
        </is>
      </c>
      <c r="C315" s="13" t="inlineStr">
        <is>
          <t>Operations</t>
        </is>
      </c>
      <c r="D315" s="13" t="inlineStr">
        <is>
          <t>IT, cloud and disaster recovery</t>
        </is>
      </c>
      <c r="E315" s="13" t="inlineStr">
        <is>
          <t>How mature is the organization in managing monitoring and alerting for availability, performance, capacity, security and user impact, including ownership, evidence, metrics, fallback procedures and crisis stress testing?</t>
        </is>
      </c>
      <c r="F315" s="13" t="inlineStr">
        <is>
          <t>Immature capability for monitoring and alerting for availability, performance, capacity, security and user impact may lead to system outage, data unavailability, excessive RTO/RPO and inability to restore critical technology services during IT outage; Cloud outage; Data loss; Cyberattack.</t>
        </is>
      </c>
      <c r="G315" s="13" t="inlineStr">
        <is>
          <t>Low maturity, weak ownership, incomplete evidence, insufficient testing and poor integration with crisis-management routines for monitoring and alerting for availability, performance, capacity, security and user impact.</t>
        </is>
      </c>
      <c r="H315" s="13" t="inlineStr">
        <is>
          <t>Severe risk: monitoring and alerting for availability, performance, capacity, security and user impact is not reliably controlled. During IT outage; Cloud outage; Data loss; Cyberattack, the organization may face system outage, data unavailability, excessive RTO/RPO and inability to restore critical technology services with limited visibility or accountability.</t>
        </is>
      </c>
      <c r="I315" s="13" t="inlineStr">
        <is>
          <t>High risk: monitoring and alerting for availability, performance, capacity, security and user impact depends on informal practices or individual knowledge. Disruption may expose system outage, data unavailability, excessive RTO/RPO and inability to restore critical technology services and slow recovery.</t>
        </is>
      </c>
      <c r="J315" s="13" t="inlineStr">
        <is>
          <t>Elevated risk: monitoring and alerting for availability, performance, capacity, security and user impact is partially controlled, but coverage, evidence or testing is inconsistent. Crisis response may be fragmented.</t>
        </is>
      </c>
      <c r="K315" s="13" t="inlineStr">
        <is>
          <t>Moderate risk: monitoring and alerting for availability, performance, capacity, security and user impact is documented and owned, but measurement, stress testing and integration with dependent processes need strengthening.</t>
        </is>
      </c>
      <c r="L315" s="13" t="inlineStr">
        <is>
          <t>Residual risk: monitoring and alerting for availability, performance, capacity, security and user impact is measured and reviewed, but monitoring, automation or scenario testing should be improved to prevent maturity drift.</t>
        </is>
      </c>
      <c r="M315" s="13" t="inlineStr">
        <is>
          <t>Low residual risk: monitoring and alerting for availability, performance, capacity, security and user impact is mature and crisis-tested. Maintain monitoring, evidence, ownership and periodic stress testing.</t>
        </is>
      </c>
      <c r="N315" s="13" t="inlineStr">
        <is>
          <t>Create an immediate risk owner, minimum control baseline and fallback procedure for monitoring and alerting for availability, performance, capacity, security and user impact. Add it to the crisis risk register and collect first evidence.</t>
        </is>
      </c>
      <c r="O315" s="13" t="inlineStr">
        <is>
          <t>Document monitoring and alerting for availability, performance, capacity, security and user impact, assign RACI, define minimum controls and KPIs, and validate coverage across key sites, teams or systems.</t>
        </is>
      </c>
      <c r="P315" s="13" t="inlineStr">
        <is>
          <t>Standardize monitoring and alerting for availability, performance, capacity, security and user impact, close coverage gaps, train accountable roles and connect controls to the relevant crisis scenarios and continuity plans.</t>
        </is>
      </c>
      <c r="Q315" s="13" t="inlineStr">
        <is>
          <t>Measure and test monitoring and alerting for availability, performance, capacity, security and user impact, run tabletop or operational stress tests, integrate it with dependent processes and update crisis playbooks.</t>
        </is>
      </c>
      <c r="R315" s="13" t="inlineStr">
        <is>
          <t>Automate monitoring where practical, define leading indicators, run periodic scenario tests and track residual risk after each major change.</t>
        </is>
      </c>
      <c r="S315" s="13" t="inlineStr">
        <is>
          <t>Sustain maturity for monitoring and alerting for availability, performance, capacity, security and user impact: keep evidence current, monitor drift, benchmark externally and refresh risk tests after organizational, system or market changes.</t>
        </is>
      </c>
      <c r="T315" s="13" t="n">
        <v>4</v>
      </c>
      <c r="U315" s="13" t="n">
        <v>3</v>
      </c>
      <c r="V315" s="13" t="n">
        <v>3</v>
      </c>
      <c r="W315" s="13" t="n">
        <v>2</v>
      </c>
      <c r="X315" s="13" t="n">
        <v>1</v>
      </c>
      <c r="Y315" s="13" t="n">
        <v>1</v>
      </c>
      <c r="Z315" s="13" t="inlineStr">
        <is>
          <t>ISO/IEC 27001; ISO/IEC 20000-1; NIST CSF 2.0; NIST SP 800-34; COBIT; ITIL 4; FinOps</t>
        </is>
      </c>
      <c r="AA315" s="13" t="inlineStr">
        <is>
          <t>Policy/SOP; owner/RACI; system report; dashboard; contracts; test records; incident history; interview evidence related to monitoring and alerting for availability, performance, capacity, security and user impact.</t>
        </is>
      </c>
      <c r="AB315" s="13" t="inlineStr">
        <is>
          <t>IT outage; Cloud outage; Data loss; Cyberattack</t>
        </is>
      </c>
      <c r="AC315" s="13" t="inlineStr">
        <is>
          <t>CIO / CTO / IT Ops</t>
        </is>
      </c>
      <c r="AD315" s="13" t="inlineStr">
        <is>
          <t>IT Cloud DR!23</t>
        </is>
      </c>
      <c r="AE315">
        <f>IF($A315="","",IF(OR(ISNUMBER(SEARCH("cyber",$D315)),ISNUMBER(SEARCH("security",$D315)),ISNUMBER(SEARCH("safety",$D315)),ISNUMBER(SEARCH("liquidity",$D315)),ISNUMBER(SEARCH("cash",$D315)),ISNUMBER(SEARCH("continuity",$D315)),ISNUMBER(SEARCH("infrastructure",$D315)),ISNUMBER(SEARCH("outage",$D315))),"Fast",IF(OR(ISNUMBER(SEARCH("compliance",$D315)),ISNUMBER(SEARCH("regulat",$D315)),ISNUMBER(SEARCH("data",$D315)),ISNUMBER(SEARCH("talent",$D315)),ISNUMBER(SEARCH("knowledge",$D315)),ISNUMBER(SEARCH("portfolio",$D315)),ISNUMBER(SEARCH("quality",$D315))),"Slow","Medium")))</f>
        <v/>
      </c>
      <c r="AF315">
        <f>IF($A315="","",IFERROR(VLOOKUP($B315,'_CONFIG_Risk_Calibration'!$A$5:$H$21,2,FALSE),3))</f>
        <v/>
      </c>
      <c r="AG315">
        <f>IF($A315="","",IFERROR(VLOOKUP($B315,'_CONFIG_Risk_Calibration'!$A$5:$H$21,3,FALSE),0))</f>
        <v/>
      </c>
      <c r="AH315">
        <f>IF($A315="","",IFERROR(VLOOKUP($B315,'_CONFIG_Risk_Calibration'!$A$5:$H$21,4,FALSE),3))</f>
        <v/>
      </c>
      <c r="AI315">
        <f>IF($A315="","",IFERROR(VLOOKUP($B315,'_CONFIG_Risk_Calibration'!$A$5:$H$21,5,FALSE),3))</f>
        <v/>
      </c>
      <c r="AJ315">
        <f>IF($A315="","",IFERROR(VLOOKUP($B315,'_CONFIG_Risk_Calibration'!$A$5:$H$21,6,FALSE),"No"))</f>
        <v/>
      </c>
      <c r="AK315">
        <f>IF($A315="","",IFERROR(VLOOKUP($B315,'_CONFIG_Risk_Calibration'!$A$5:$H$21,7,FALSE),1))</f>
        <v/>
      </c>
      <c r="AL315">
        <f>IF($A315="","",IFERROR(VLOOKUP($B315,'_CONFIG_Risk_Calibration'!$A$5:$H$21,8,FALSE),""))</f>
        <v/>
      </c>
    </row>
    <row r="316" ht="72" customHeight="1" s="209">
      <c r="A316" s="13" t="inlineStr">
        <is>
          <t>ITCL-021</t>
        </is>
      </c>
      <c r="B316" s="13" t="inlineStr">
        <is>
          <t>IT Cloud DR</t>
        </is>
      </c>
      <c r="C316" s="13" t="inlineStr">
        <is>
          <t>Operations</t>
        </is>
      </c>
      <c r="D316" s="13" t="inlineStr">
        <is>
          <t>IT, cloud and disaster recovery</t>
        </is>
      </c>
      <c r="E316" s="13" t="inlineStr">
        <is>
          <t>How mature is the organization in managing network resilience for internet, DNS, firewalls, VPN/ZTNA, routing and telecom, including ownership, evidence, metrics, fallback procedures and crisis stress testing?</t>
        </is>
      </c>
      <c r="F316" s="13" t="inlineStr">
        <is>
          <t>Immature capability for network resilience for internet, DNS, firewalls, VPN/ZTNA, routing and telecom may lead to system outage, data unavailability, excessive RTO/RPO and inability to restore critical technology services during IT outage; Cloud outage; Data loss; Cyberattack.</t>
        </is>
      </c>
      <c r="G316" s="13" t="inlineStr">
        <is>
          <t>Low maturity, weak ownership, incomplete evidence, insufficient testing and poor integration with crisis-management routines for network resilience for internet, DNS, firewalls, VPN/ZTNA, routing and telecom.</t>
        </is>
      </c>
      <c r="H316" s="13" t="inlineStr">
        <is>
          <t>Severe risk: network resilience for internet, DNS, firewalls, VPN/ZTNA, routing and telecom is not reliably controlled. During IT outage; Cloud outage; Data loss; Cyberattack, the organization may face system outage, data unavailability, excessive RTO/RPO and inability to restore critical technology services with limited visibility or accountability.</t>
        </is>
      </c>
      <c r="I316" s="13" t="inlineStr">
        <is>
          <t>High risk: network resilience for internet, DNS, firewalls, VPN/ZTNA, routing and telecom depends on informal practices or individual knowledge. Disruption may expose system outage, data unavailability, excessive RTO/RPO and inability to restore critical technology services and slow recovery.</t>
        </is>
      </c>
      <c r="J316" s="13" t="inlineStr">
        <is>
          <t>Elevated risk: network resilience for internet, DNS, firewalls, VPN/ZTNA, routing and telecom is partially controlled, but coverage, evidence or testing is inconsistent. Crisis response may be fragmented.</t>
        </is>
      </c>
      <c r="K316" s="13" t="inlineStr">
        <is>
          <t>Moderate risk: network resilience for internet, DNS, firewalls, VPN/ZTNA, routing and telecom is documented and owned, but measurement, stress testing and integration with dependent processes need strengthening.</t>
        </is>
      </c>
      <c r="L316" s="13" t="inlineStr">
        <is>
          <t>Residual risk: network resilience for internet, DNS, firewalls, VPN/ZTNA, routing and telecom is measured and reviewed, but monitoring, automation or scenario testing should be improved to prevent maturity drift.</t>
        </is>
      </c>
      <c r="M316" s="13" t="inlineStr">
        <is>
          <t>Low residual risk: network resilience for internet, DNS, firewalls, VPN/ZTNA, routing and telecom is mature and crisis-tested. Maintain monitoring, evidence, ownership and periodic stress testing.</t>
        </is>
      </c>
      <c r="N316" s="13" t="inlineStr">
        <is>
          <t>Create an immediate risk owner, minimum control baseline and fallback procedure for network resilience for internet, DNS, firewalls, VPN/ZTNA, routing and telecom. Add it to the crisis risk register and collect first evidence.</t>
        </is>
      </c>
      <c r="O316" s="13" t="inlineStr">
        <is>
          <t>Document network resilience for internet, DNS, firewalls, VPN/ZTNA, routing and telecom, assign RACI, define minimum controls and KPIs, and validate coverage across key sites, teams or systems.</t>
        </is>
      </c>
      <c r="P316" s="13" t="inlineStr">
        <is>
          <t>Standardize network resilience for internet, DNS, firewalls, VPN/ZTNA, routing and telecom, close coverage gaps, train accountable roles and connect controls to the relevant crisis scenarios and continuity plans.</t>
        </is>
      </c>
      <c r="Q316" s="13" t="inlineStr">
        <is>
          <t>Measure and test network resilience for internet, DNS, firewalls, VPN/ZTNA, routing and telecom, run tabletop or operational stress tests, integrate it with dependent processes and update crisis playbooks.</t>
        </is>
      </c>
      <c r="R316" s="13" t="inlineStr">
        <is>
          <t>Automate monitoring where practical, define leading indicators, run periodic scenario tests and track residual risk after each major change.</t>
        </is>
      </c>
      <c r="S316" s="13" t="inlineStr">
        <is>
          <t>Sustain maturity for network resilience for internet, DNS, firewalls, VPN/ZTNA, routing and telecom: keep evidence current, monitor drift, benchmark externally and refresh risk tests after organizational, system or market changes.</t>
        </is>
      </c>
      <c r="T316" s="13" t="n">
        <v>4</v>
      </c>
      <c r="U316" s="13" t="n">
        <v>3</v>
      </c>
      <c r="V316" s="13" t="n">
        <v>3</v>
      </c>
      <c r="W316" s="13" t="n">
        <v>2</v>
      </c>
      <c r="X316" s="13" t="n">
        <v>1</v>
      </c>
      <c r="Y316" s="13" t="n">
        <v>1</v>
      </c>
      <c r="Z316" s="13" t="inlineStr">
        <is>
          <t>ISO/IEC 27001; ISO/IEC 20000-1; NIST CSF 2.0; NIST SP 800-34; COBIT; ITIL 4; FinOps</t>
        </is>
      </c>
      <c r="AA316" s="13" t="inlineStr">
        <is>
          <t>Policy/SOP; owner/RACI; system report; dashboard; contracts; test records; incident history; interview evidence related to network resilience for internet, DNS, firewalls, VPN/ZTNA, routing and telecom.</t>
        </is>
      </c>
      <c r="AB316" s="13" t="inlineStr">
        <is>
          <t>IT outage; Cloud outage; Data loss; Cyberattack</t>
        </is>
      </c>
      <c r="AC316" s="13" t="inlineStr">
        <is>
          <t>CIO / CTO / IT Ops</t>
        </is>
      </c>
      <c r="AD316" s="13" t="inlineStr">
        <is>
          <t>IT Cloud DR!24</t>
        </is>
      </c>
      <c r="AE316">
        <f>IF($A316="","",IF(OR(ISNUMBER(SEARCH("cyber",$D316)),ISNUMBER(SEARCH("security",$D316)),ISNUMBER(SEARCH("safety",$D316)),ISNUMBER(SEARCH("liquidity",$D316)),ISNUMBER(SEARCH("cash",$D316)),ISNUMBER(SEARCH("continuity",$D316)),ISNUMBER(SEARCH("infrastructure",$D316)),ISNUMBER(SEARCH("outage",$D316))),"Fast",IF(OR(ISNUMBER(SEARCH("compliance",$D316)),ISNUMBER(SEARCH("regulat",$D316)),ISNUMBER(SEARCH("data",$D316)),ISNUMBER(SEARCH("talent",$D316)),ISNUMBER(SEARCH("knowledge",$D316)),ISNUMBER(SEARCH("portfolio",$D316)),ISNUMBER(SEARCH("quality",$D316))),"Slow","Medium")))</f>
        <v/>
      </c>
      <c r="AF316">
        <f>IF($A316="","",IFERROR(VLOOKUP($B316,'_CONFIG_Risk_Calibration'!$A$5:$H$21,2,FALSE),3))</f>
        <v/>
      </c>
      <c r="AG316">
        <f>IF($A316="","",IFERROR(VLOOKUP($B316,'_CONFIG_Risk_Calibration'!$A$5:$H$21,3,FALSE),0))</f>
        <v/>
      </c>
      <c r="AH316">
        <f>IF($A316="","",IFERROR(VLOOKUP($B316,'_CONFIG_Risk_Calibration'!$A$5:$H$21,4,FALSE),3))</f>
        <v/>
      </c>
      <c r="AI316">
        <f>IF($A316="","",IFERROR(VLOOKUP($B316,'_CONFIG_Risk_Calibration'!$A$5:$H$21,5,FALSE),3))</f>
        <v/>
      </c>
      <c r="AJ316">
        <f>IF($A316="","",IFERROR(VLOOKUP($B316,'_CONFIG_Risk_Calibration'!$A$5:$H$21,6,FALSE),"No"))</f>
        <v/>
      </c>
      <c r="AK316">
        <f>IF($A316="","",IFERROR(VLOOKUP($B316,'_CONFIG_Risk_Calibration'!$A$5:$H$21,7,FALSE),1))</f>
        <v/>
      </c>
      <c r="AL316">
        <f>IF($A316="","",IFERROR(VLOOKUP($B316,'_CONFIG_Risk_Calibration'!$A$5:$H$21,8,FALSE),""))</f>
        <v/>
      </c>
    </row>
    <row r="317" ht="72" customHeight="1" s="209">
      <c r="A317" s="13" t="inlineStr">
        <is>
          <t>ITCL-022</t>
        </is>
      </c>
      <c r="B317" s="13" t="inlineStr">
        <is>
          <t>IT Cloud DR</t>
        </is>
      </c>
      <c r="C317" s="13" t="inlineStr">
        <is>
          <t>Operations</t>
        </is>
      </c>
      <c r="D317" s="13" t="inlineStr">
        <is>
          <t>IT, cloud and disaster recovery</t>
        </is>
      </c>
      <c r="E317" s="13" t="inlineStr">
        <is>
          <t>How mature is the organization in managing secure remote access for critical users during remote-only operations, including ownership, evidence, metrics, fallback procedures and crisis stress testing?</t>
        </is>
      </c>
      <c r="F317" s="13" t="inlineStr">
        <is>
          <t>Immature capability for secure remote access for critical users during remote-only operations may lead to system outage, data unavailability, excessive RTO/RPO and inability to restore critical technology services during IT outage; Cloud outage; Data loss; Cyberattack.</t>
        </is>
      </c>
      <c r="G317" s="13" t="inlineStr">
        <is>
          <t>Low maturity, weak ownership, incomplete evidence, insufficient testing and poor integration with crisis-management routines for secure remote access for critical users during remote-only operations.</t>
        </is>
      </c>
      <c r="H317" s="13" t="inlineStr">
        <is>
          <t>Severe risk: secure remote access for critical users during remote-only operations is not reliably controlled. During IT outage; Cloud outage; Data loss; Cyberattack, the organization may face system outage, data unavailability, excessive RTO/RPO and inability to restore critical technology services with limited visibility or accountability.</t>
        </is>
      </c>
      <c r="I317" s="13" t="inlineStr">
        <is>
          <t>High risk: secure remote access for critical users during remote-only operations depends on informal practices or individual knowledge. Disruption may expose system outage, data unavailability, excessive RTO/RPO and inability to restore critical technology services and slow recovery.</t>
        </is>
      </c>
      <c r="J317" s="13" t="inlineStr">
        <is>
          <t>Elevated risk: secure remote access for critical users during remote-only operations is partially controlled, but coverage, evidence or testing is inconsistent. Crisis response may be fragmented.</t>
        </is>
      </c>
      <c r="K317" s="13" t="inlineStr">
        <is>
          <t>Moderate risk: secure remote access for critical users during remote-only operations is documented and owned, but measurement, stress testing and integration with dependent processes need strengthening.</t>
        </is>
      </c>
      <c r="L317" s="13" t="inlineStr">
        <is>
          <t>Residual risk: secure remote access for critical users during remote-only operations is measured and reviewed, but monitoring, automation or scenario testing should be improved to prevent maturity drift.</t>
        </is>
      </c>
      <c r="M317" s="13" t="inlineStr">
        <is>
          <t>Low residual risk: secure remote access for critical users during remote-only operations is mature and crisis-tested. Maintain monitoring, evidence, ownership and periodic stress testing.</t>
        </is>
      </c>
      <c r="N317" s="13" t="inlineStr">
        <is>
          <t>Create an immediate risk owner, minimum control baseline and fallback procedure for secure remote access for critical users during remote-only operations. Add it to the crisis risk register and collect first evidence.</t>
        </is>
      </c>
      <c r="O317" s="13" t="inlineStr">
        <is>
          <t>Document secure remote access for critical users during remote-only operations, assign RACI, define minimum controls and KPIs, and validate coverage across key sites, teams or systems.</t>
        </is>
      </c>
      <c r="P317" s="13" t="inlineStr">
        <is>
          <t>Standardize secure remote access for critical users during remote-only operations, close coverage gaps, train accountable roles and connect controls to the relevant crisis scenarios and continuity plans.</t>
        </is>
      </c>
      <c r="Q317" s="13" t="inlineStr">
        <is>
          <t>Measure and test secure remote access for critical users during remote-only operations, run tabletop or operational stress tests, integrate it with dependent processes and update crisis playbooks.</t>
        </is>
      </c>
      <c r="R317" s="13" t="inlineStr">
        <is>
          <t>Automate monitoring where practical, define leading indicators, run periodic scenario tests and track residual risk after each major change.</t>
        </is>
      </c>
      <c r="S317" s="13" t="inlineStr">
        <is>
          <t>Sustain maturity for secure remote access for critical users during remote-only operations: keep evidence current, monitor drift, benchmark externally and refresh risk tests after organizational, system or market changes.</t>
        </is>
      </c>
      <c r="T317" s="13" t="n">
        <v>4</v>
      </c>
      <c r="U317" s="13" t="n">
        <v>3</v>
      </c>
      <c r="V317" s="13" t="n">
        <v>3</v>
      </c>
      <c r="W317" s="13" t="n">
        <v>2</v>
      </c>
      <c r="X317" s="13" t="n">
        <v>1</v>
      </c>
      <c r="Y317" s="13" t="n">
        <v>1</v>
      </c>
      <c r="Z317" s="13" t="inlineStr">
        <is>
          <t>ISO/IEC 27001; ISO/IEC 20000-1; NIST CSF 2.0; NIST SP 800-34; COBIT; ITIL 4; FinOps</t>
        </is>
      </c>
      <c r="AA317" s="13" t="inlineStr">
        <is>
          <t>Policy/SOP; owner/RACI; system report; dashboard; contracts; test records; incident history; interview evidence related to secure remote access for critical users during remote-only operations.</t>
        </is>
      </c>
      <c r="AB317" s="13" t="inlineStr">
        <is>
          <t>IT outage; Cloud outage; Data loss; Cyberattack</t>
        </is>
      </c>
      <c r="AC317" s="13" t="inlineStr">
        <is>
          <t>CIO / CTO / IT Ops</t>
        </is>
      </c>
      <c r="AD317" s="13" t="inlineStr">
        <is>
          <t>IT Cloud DR!25</t>
        </is>
      </c>
      <c r="AE317">
        <f>IF($A317="","",IF(OR(ISNUMBER(SEARCH("cyber",$D317)),ISNUMBER(SEARCH("security",$D317)),ISNUMBER(SEARCH("safety",$D317)),ISNUMBER(SEARCH("liquidity",$D317)),ISNUMBER(SEARCH("cash",$D317)),ISNUMBER(SEARCH("continuity",$D317)),ISNUMBER(SEARCH("infrastructure",$D317)),ISNUMBER(SEARCH("outage",$D317))),"Fast",IF(OR(ISNUMBER(SEARCH("compliance",$D317)),ISNUMBER(SEARCH("regulat",$D317)),ISNUMBER(SEARCH("data",$D317)),ISNUMBER(SEARCH("talent",$D317)),ISNUMBER(SEARCH("knowledge",$D317)),ISNUMBER(SEARCH("portfolio",$D317)),ISNUMBER(SEARCH("quality",$D317))),"Slow","Medium")))</f>
        <v/>
      </c>
      <c r="AF317">
        <f>IF($A317="","",IFERROR(VLOOKUP($B317,'_CONFIG_Risk_Calibration'!$A$5:$H$21,2,FALSE),3))</f>
        <v/>
      </c>
      <c r="AG317">
        <f>IF($A317="","",IFERROR(VLOOKUP($B317,'_CONFIG_Risk_Calibration'!$A$5:$H$21,3,FALSE),0))</f>
        <v/>
      </c>
      <c r="AH317">
        <f>IF($A317="","",IFERROR(VLOOKUP($B317,'_CONFIG_Risk_Calibration'!$A$5:$H$21,4,FALSE),3))</f>
        <v/>
      </c>
      <c r="AI317">
        <f>IF($A317="","",IFERROR(VLOOKUP($B317,'_CONFIG_Risk_Calibration'!$A$5:$H$21,5,FALSE),3))</f>
        <v/>
      </c>
      <c r="AJ317">
        <f>IF($A317="","",IFERROR(VLOOKUP($B317,'_CONFIG_Risk_Calibration'!$A$5:$H$21,6,FALSE),"No"))</f>
        <v/>
      </c>
      <c r="AK317">
        <f>IF($A317="","",IFERROR(VLOOKUP($B317,'_CONFIG_Risk_Calibration'!$A$5:$H$21,7,FALSE),1))</f>
        <v/>
      </c>
      <c r="AL317">
        <f>IF($A317="","",IFERROR(VLOOKUP($B317,'_CONFIG_Risk_Calibration'!$A$5:$H$21,8,FALSE),""))</f>
        <v/>
      </c>
    </row>
    <row r="318" ht="72" customHeight="1" s="209">
      <c r="A318" s="13" t="inlineStr">
        <is>
          <t>ITCL-023</t>
        </is>
      </c>
      <c r="B318" s="13" t="inlineStr">
        <is>
          <t>IT Cloud DR</t>
        </is>
      </c>
      <c r="C318" s="13" t="inlineStr">
        <is>
          <t>Operations</t>
        </is>
      </c>
      <c r="D318" s="13" t="inlineStr">
        <is>
          <t>IT, cloud and disaster recovery</t>
        </is>
      </c>
      <c r="E318" s="13" t="inlineStr">
        <is>
          <t>How mature is the organization in managing endpoint inventory, patching, encryption, backup and remote management, including ownership, evidence, metrics, fallback procedures and crisis stress testing?</t>
        </is>
      </c>
      <c r="F318" s="13" t="inlineStr">
        <is>
          <t>Immature capability for endpoint inventory, patching, encryption, backup and remote management may lead to system outage, data unavailability, excessive RTO/RPO and inability to restore critical technology services during IT outage; Cloud outage; Data loss; Cyberattack.</t>
        </is>
      </c>
      <c r="G318" s="13" t="inlineStr">
        <is>
          <t>Low maturity, weak ownership, incomplete evidence, insufficient testing and poor integration with crisis-management routines for endpoint inventory, patching, encryption, backup and remote management.</t>
        </is>
      </c>
      <c r="H318" s="13" t="inlineStr">
        <is>
          <t>Severe risk: endpoint inventory, patching, encryption, backup and remote management is not reliably controlled. During IT outage; Cloud outage; Data loss; Cyberattack, the organization may face system outage, data unavailability, excessive RTO/RPO and inability to restore critical technology services with limited visibility or accountability.</t>
        </is>
      </c>
      <c r="I318" s="13" t="inlineStr">
        <is>
          <t>High risk: endpoint inventory, patching, encryption, backup and remote management depends on informal practices or individual knowledge. Disruption may expose system outage, data unavailability, excessive RTO/RPO and inability to restore critical technology services and slow recovery.</t>
        </is>
      </c>
      <c r="J318" s="13" t="inlineStr">
        <is>
          <t>Elevated risk: endpoint inventory, patching, encryption, backup and remote management is partially controlled, but coverage, evidence or testing is inconsistent. Crisis response may be fragmented.</t>
        </is>
      </c>
      <c r="K318" s="13" t="inlineStr">
        <is>
          <t>Moderate risk: endpoint inventory, patching, encryption, backup and remote management is documented and owned, but measurement, stress testing and integration with dependent processes need strengthening.</t>
        </is>
      </c>
      <c r="L318" s="13" t="inlineStr">
        <is>
          <t>Residual risk: endpoint inventory, patching, encryption, backup and remote management is measured and reviewed, but monitoring, automation or scenario testing should be improved to prevent maturity drift.</t>
        </is>
      </c>
      <c r="M318" s="13" t="inlineStr">
        <is>
          <t>Low residual risk: endpoint inventory, patching, encryption, backup and remote management is mature and crisis-tested. Maintain monitoring, evidence, ownership and periodic stress testing.</t>
        </is>
      </c>
      <c r="N318" s="13" t="inlineStr">
        <is>
          <t>Create an immediate risk owner, minimum control baseline and fallback procedure for endpoint inventory, patching, encryption, backup and remote management. Add it to the crisis risk register and collect first evidence.</t>
        </is>
      </c>
      <c r="O318" s="13" t="inlineStr">
        <is>
          <t>Document endpoint inventory, patching, encryption, backup and remote management, assign RACI, define minimum controls and KPIs, and validate coverage across key sites, teams or systems.</t>
        </is>
      </c>
      <c r="P318" s="13" t="inlineStr">
        <is>
          <t>Standardize endpoint inventory, patching, encryption, backup and remote management, close coverage gaps, train accountable roles and connect controls to the relevant crisis scenarios and continuity plans.</t>
        </is>
      </c>
      <c r="Q318" s="13" t="inlineStr">
        <is>
          <t>Measure and test endpoint inventory, patching, encryption, backup and remote management, run tabletop or operational stress tests, integrate it with dependent processes and update crisis playbooks.</t>
        </is>
      </c>
      <c r="R318" s="13" t="inlineStr">
        <is>
          <t>Automate monitoring where practical, define leading indicators, run periodic scenario tests and track residual risk after each major change.</t>
        </is>
      </c>
      <c r="S318" s="13" t="inlineStr">
        <is>
          <t>Sustain maturity for endpoint inventory, patching, encryption, backup and remote management: keep evidence current, monitor drift, benchmark externally and refresh risk tests after organizational, system or market changes.</t>
        </is>
      </c>
      <c r="T318" s="13" t="n">
        <v>4</v>
      </c>
      <c r="U318" s="13" t="n">
        <v>3</v>
      </c>
      <c r="V318" s="13" t="n">
        <v>3</v>
      </c>
      <c r="W318" s="13" t="n">
        <v>2</v>
      </c>
      <c r="X318" s="13" t="n">
        <v>1</v>
      </c>
      <c r="Y318" s="13" t="n">
        <v>1</v>
      </c>
      <c r="Z318" s="13" t="inlineStr">
        <is>
          <t>ISO/IEC 27001; ISO/IEC 20000-1; NIST CSF 2.0; NIST SP 800-34; COBIT; ITIL 4; FinOps</t>
        </is>
      </c>
      <c r="AA318" s="13" t="inlineStr">
        <is>
          <t>Policy/SOP; owner/RACI; system report; dashboard; contracts; test records; incident history; interview evidence related to endpoint inventory, patching, encryption, backup and remote management.</t>
        </is>
      </c>
      <c r="AB318" s="13" t="inlineStr">
        <is>
          <t>IT outage; Cloud outage; Data loss; Cyberattack</t>
        </is>
      </c>
      <c r="AC318" s="13" t="inlineStr">
        <is>
          <t>CIO / CTO / IT Ops</t>
        </is>
      </c>
      <c r="AD318" s="13" t="inlineStr">
        <is>
          <t>IT Cloud DR!26</t>
        </is>
      </c>
      <c r="AE318">
        <f>IF($A318="","",IF(OR(ISNUMBER(SEARCH("cyber",$D318)),ISNUMBER(SEARCH("security",$D318)),ISNUMBER(SEARCH("safety",$D318)),ISNUMBER(SEARCH("liquidity",$D318)),ISNUMBER(SEARCH("cash",$D318)),ISNUMBER(SEARCH("continuity",$D318)),ISNUMBER(SEARCH("infrastructure",$D318)),ISNUMBER(SEARCH("outage",$D318))),"Fast",IF(OR(ISNUMBER(SEARCH("compliance",$D318)),ISNUMBER(SEARCH("regulat",$D318)),ISNUMBER(SEARCH("data",$D318)),ISNUMBER(SEARCH("talent",$D318)),ISNUMBER(SEARCH("knowledge",$D318)),ISNUMBER(SEARCH("portfolio",$D318)),ISNUMBER(SEARCH("quality",$D318))),"Slow","Medium")))</f>
        <v/>
      </c>
      <c r="AF318">
        <f>IF($A318="","",IFERROR(VLOOKUP($B318,'_CONFIG_Risk_Calibration'!$A$5:$H$21,2,FALSE),3))</f>
        <v/>
      </c>
      <c r="AG318">
        <f>IF($A318="","",IFERROR(VLOOKUP($B318,'_CONFIG_Risk_Calibration'!$A$5:$H$21,3,FALSE),0))</f>
        <v/>
      </c>
      <c r="AH318">
        <f>IF($A318="","",IFERROR(VLOOKUP($B318,'_CONFIG_Risk_Calibration'!$A$5:$H$21,4,FALSE),3))</f>
        <v/>
      </c>
      <c r="AI318">
        <f>IF($A318="","",IFERROR(VLOOKUP($B318,'_CONFIG_Risk_Calibration'!$A$5:$H$21,5,FALSE),3))</f>
        <v/>
      </c>
      <c r="AJ318">
        <f>IF($A318="","",IFERROR(VLOOKUP($B318,'_CONFIG_Risk_Calibration'!$A$5:$H$21,6,FALSE),"No"))</f>
        <v/>
      </c>
      <c r="AK318">
        <f>IF($A318="","",IFERROR(VLOOKUP($B318,'_CONFIG_Risk_Calibration'!$A$5:$H$21,7,FALSE),1))</f>
        <v/>
      </c>
      <c r="AL318">
        <f>IF($A318="","",IFERROR(VLOOKUP($B318,'_CONFIG_Risk_Calibration'!$A$5:$H$21,8,FALSE),""))</f>
        <v/>
      </c>
    </row>
    <row r="319" ht="72" customHeight="1" s="209">
      <c r="A319" s="13" t="inlineStr">
        <is>
          <t>ITCL-024</t>
        </is>
      </c>
      <c r="B319" s="13" t="inlineStr">
        <is>
          <t>IT Cloud DR</t>
        </is>
      </c>
      <c r="C319" s="13" t="inlineStr">
        <is>
          <t>Operations</t>
        </is>
      </c>
      <c r="D319" s="13" t="inlineStr">
        <is>
          <t>IT, cloud and disaster recovery</t>
        </is>
      </c>
      <c r="E319" s="13" t="inlineStr">
        <is>
          <t>How mature is the organization in managing license continuity for software, cloud services and critical SaaS tools, including ownership, evidence, metrics, fallback procedures and crisis stress testing?</t>
        </is>
      </c>
      <c r="F319" s="13" t="inlineStr">
        <is>
          <t>Immature capability for license continuity for software, cloud services and critical SaaS tools may lead to system outage, data unavailability, excessive RTO/RPO and inability to restore critical technology services during IT outage; Cloud outage; Data loss; Cyberattack.</t>
        </is>
      </c>
      <c r="G319" s="13" t="inlineStr">
        <is>
          <t>Low maturity, weak ownership, incomplete evidence, insufficient testing and poor integration with crisis-management routines for license continuity for software, cloud services and critical SaaS tools.</t>
        </is>
      </c>
      <c r="H319" s="13" t="inlineStr">
        <is>
          <t>Severe risk: license continuity for software, cloud services and critical SaaS tools is not reliably controlled. During IT outage; Cloud outage; Data loss; Cyberattack, the organization may face system outage, data unavailability, excessive RTO/RPO and inability to restore critical technology services with limited visibility or accountability.</t>
        </is>
      </c>
      <c r="I319" s="13" t="inlineStr">
        <is>
          <t>High risk: license continuity for software, cloud services and critical SaaS tools depends on informal practices or individual knowledge. Disruption may expose system outage, data unavailability, excessive RTO/RPO and inability to restore critical technology services and slow recovery.</t>
        </is>
      </c>
      <c r="J319" s="13" t="inlineStr">
        <is>
          <t>Elevated risk: license continuity for software, cloud services and critical SaaS tools is partially controlled, but coverage, evidence or testing is inconsistent. Crisis response may be fragmented.</t>
        </is>
      </c>
      <c r="K319" s="13" t="inlineStr">
        <is>
          <t>Moderate risk: license continuity for software, cloud services and critical SaaS tools is documented and owned, but measurement, stress testing and integration with dependent processes need strengthening.</t>
        </is>
      </c>
      <c r="L319" s="13" t="inlineStr">
        <is>
          <t>Residual risk: license continuity for software, cloud services and critical SaaS tools is measured and reviewed, but monitoring, automation or scenario testing should be improved to prevent maturity drift.</t>
        </is>
      </c>
      <c r="M319" s="13" t="inlineStr">
        <is>
          <t>Low residual risk: license continuity for software, cloud services and critical SaaS tools is mature and crisis-tested. Maintain monitoring, evidence, ownership and periodic stress testing.</t>
        </is>
      </c>
      <c r="N319" s="13" t="inlineStr">
        <is>
          <t>Create an immediate risk owner, minimum control baseline and fallback procedure for license continuity for software, cloud services and critical SaaS tools. Add it to the crisis risk register and collect first evidence.</t>
        </is>
      </c>
      <c r="O319" s="13" t="inlineStr">
        <is>
          <t>Document license continuity for software, cloud services and critical SaaS tools, assign RACI, define minimum controls and KPIs, and validate coverage across key sites, teams or systems.</t>
        </is>
      </c>
      <c r="P319" s="13" t="inlineStr">
        <is>
          <t>Standardize license continuity for software, cloud services and critical SaaS tools, close coverage gaps, train accountable roles and connect controls to the relevant crisis scenarios and continuity plans.</t>
        </is>
      </c>
      <c r="Q319" s="13" t="inlineStr">
        <is>
          <t>Measure and test license continuity for software, cloud services and critical SaaS tools, run tabletop or operational stress tests, integrate it with dependent processes and update crisis playbooks.</t>
        </is>
      </c>
      <c r="R319" s="13" t="inlineStr">
        <is>
          <t>Automate monitoring where practical, define leading indicators, run periodic scenario tests and track residual risk after each major change.</t>
        </is>
      </c>
      <c r="S319" s="13" t="inlineStr">
        <is>
          <t>Sustain maturity for license continuity for software, cloud services and critical SaaS tools: keep evidence current, monitor drift, benchmark externally and refresh risk tests after organizational, system or market changes.</t>
        </is>
      </c>
      <c r="T319" s="13" t="n">
        <v>4</v>
      </c>
      <c r="U319" s="13" t="n">
        <v>3</v>
      </c>
      <c r="V319" s="13" t="n">
        <v>3</v>
      </c>
      <c r="W319" s="13" t="n">
        <v>2</v>
      </c>
      <c r="X319" s="13" t="n">
        <v>1</v>
      </c>
      <c r="Y319" s="13" t="n">
        <v>1</v>
      </c>
      <c r="Z319" s="13" t="inlineStr">
        <is>
          <t>ISO/IEC 27001; ISO/IEC 20000-1; NIST CSF 2.0; NIST SP 800-34; COBIT; ITIL 4; FinOps</t>
        </is>
      </c>
      <c r="AA319" s="13" t="inlineStr">
        <is>
          <t>Policy/SOP; owner/RACI; system report; dashboard; contracts; test records; incident history; interview evidence related to license continuity for software, cloud services and critical SaaS tools.</t>
        </is>
      </c>
      <c r="AB319" s="13" t="inlineStr">
        <is>
          <t>IT outage; Cloud outage; Data loss; Cyberattack</t>
        </is>
      </c>
      <c r="AC319" s="13" t="inlineStr">
        <is>
          <t>CIO / CTO / IT Ops</t>
        </is>
      </c>
      <c r="AD319" s="13" t="inlineStr">
        <is>
          <t>IT Cloud DR!27</t>
        </is>
      </c>
      <c r="AE319">
        <f>IF($A319="","",IF(OR(ISNUMBER(SEARCH("cyber",$D319)),ISNUMBER(SEARCH("security",$D319)),ISNUMBER(SEARCH("safety",$D319)),ISNUMBER(SEARCH("liquidity",$D319)),ISNUMBER(SEARCH("cash",$D319)),ISNUMBER(SEARCH("continuity",$D319)),ISNUMBER(SEARCH("infrastructure",$D319)),ISNUMBER(SEARCH("outage",$D319))),"Fast",IF(OR(ISNUMBER(SEARCH("compliance",$D319)),ISNUMBER(SEARCH("regulat",$D319)),ISNUMBER(SEARCH("data",$D319)),ISNUMBER(SEARCH("talent",$D319)),ISNUMBER(SEARCH("knowledge",$D319)),ISNUMBER(SEARCH("portfolio",$D319)),ISNUMBER(SEARCH("quality",$D319))),"Slow","Medium")))</f>
        <v/>
      </c>
      <c r="AF319">
        <f>IF($A319="","",IFERROR(VLOOKUP($B319,'_CONFIG_Risk_Calibration'!$A$5:$H$21,2,FALSE),3))</f>
        <v/>
      </c>
      <c r="AG319">
        <f>IF($A319="","",IFERROR(VLOOKUP($B319,'_CONFIG_Risk_Calibration'!$A$5:$H$21,3,FALSE),0))</f>
        <v/>
      </c>
      <c r="AH319">
        <f>IF($A319="","",IFERROR(VLOOKUP($B319,'_CONFIG_Risk_Calibration'!$A$5:$H$21,4,FALSE),3))</f>
        <v/>
      </c>
      <c r="AI319">
        <f>IF($A319="","",IFERROR(VLOOKUP($B319,'_CONFIG_Risk_Calibration'!$A$5:$H$21,5,FALSE),3))</f>
        <v/>
      </c>
      <c r="AJ319">
        <f>IF($A319="","",IFERROR(VLOOKUP($B319,'_CONFIG_Risk_Calibration'!$A$5:$H$21,6,FALSE),"No"))</f>
        <v/>
      </c>
      <c r="AK319">
        <f>IF($A319="","",IFERROR(VLOOKUP($B319,'_CONFIG_Risk_Calibration'!$A$5:$H$21,7,FALSE),1))</f>
        <v/>
      </c>
      <c r="AL319">
        <f>IF($A319="","",IFERROR(VLOOKUP($B319,'_CONFIG_Risk_Calibration'!$A$5:$H$21,8,FALSE),""))</f>
        <v/>
      </c>
    </row>
    <row r="320" ht="72" customHeight="1" s="209">
      <c r="A320" s="13" t="inlineStr">
        <is>
          <t>ITCL-025</t>
        </is>
      </c>
      <c r="B320" s="13" t="inlineStr">
        <is>
          <t>IT Cloud DR</t>
        </is>
      </c>
      <c r="C320" s="13" t="inlineStr">
        <is>
          <t>SaaS and integrations</t>
        </is>
      </c>
      <c r="D320" s="13" t="inlineStr">
        <is>
          <t>IT, cloud and disaster recovery</t>
        </is>
      </c>
      <c r="E320" s="13" t="inlineStr">
        <is>
          <t>How mature is the organization in managing critical SaaS assessment for availability, export, backup, admin access, integrations and contract continuity, including ownership, evidence, metrics, fallback procedures and crisis stress testing?</t>
        </is>
      </c>
      <c r="F320" s="13" t="inlineStr">
        <is>
          <t>Immature capability for critical SaaS assessment for availability, export, backup, admin access, integrations and contract continuity may lead to system outage, data unavailability, excessive RTO/RPO and inability to restore critical technology services during IT outage; Cloud outage; Data loss; Cyberattack.</t>
        </is>
      </c>
      <c r="G320" s="13" t="inlineStr">
        <is>
          <t>Low maturity, weak ownership, incomplete evidence, insufficient testing and poor integration with crisis-management routines for critical SaaS assessment for availability, export, backup, admin access, integrations and contract continuity.</t>
        </is>
      </c>
      <c r="H320" s="13" t="inlineStr">
        <is>
          <t>Severe risk: critical SaaS assessment for availability, export, backup, admin access, integrations and contract continuity is not reliably controlled. During IT outage; Cloud outage; Data loss; Cyberattack, the organization may face system outage, data unavailability, excessive RTO/RPO and inability to restore critical technology services with limited visibility or accountability.</t>
        </is>
      </c>
      <c r="I320" s="13" t="inlineStr">
        <is>
          <t>High risk: critical SaaS assessment for availability, export, backup, admin access, integrations and contract continuity depends on informal practices or individual knowledge. Disruption may expose system outage, data unavailability, excessive RTO/RPO and inability to restore critical technology services and slow recovery.</t>
        </is>
      </c>
      <c r="J320" s="13" t="inlineStr">
        <is>
          <t>Elevated risk: critical SaaS assessment for availability, export, backup, admin access, integrations and contract continuity is partially controlled, but coverage, evidence or testing is inconsistent. Crisis response may be fragmented.</t>
        </is>
      </c>
      <c r="K320" s="13" t="inlineStr">
        <is>
          <t>Moderate risk: critical SaaS assessment for availability, export, backup, admin access, integrations and contract continuity is documented and owned, but measurement, stress testing and integration with dependent processes need strengthening.</t>
        </is>
      </c>
      <c r="L320" s="13" t="inlineStr">
        <is>
          <t>Residual risk: critical SaaS assessment for availability, export, backup, admin access, integrations and contract continuity is measured and reviewed, but monitoring, automation or scenario testing should be improved to prevent maturity drift.</t>
        </is>
      </c>
      <c r="M320" s="13" t="inlineStr">
        <is>
          <t>Low residual risk: critical SaaS assessment for availability, export, backup, admin access, integrations and contract continuity is mature and crisis-tested. Maintain monitoring, evidence, ownership and periodic stress testing.</t>
        </is>
      </c>
      <c r="N320" s="13" t="inlineStr">
        <is>
          <t>Create an immediate risk owner, minimum control baseline and fallback procedure for critical SaaS assessment for availability, export, backup, admin access, integrations and contract continuity. Add it to the crisis risk register and collect first evidence.</t>
        </is>
      </c>
      <c r="O320" s="13" t="inlineStr">
        <is>
          <t>Document critical SaaS assessment for availability, export, backup, admin access, integrations and contract continuity, assign RACI, define minimum controls and KPIs, and validate coverage across key sites, teams or systems.</t>
        </is>
      </c>
      <c r="P320" s="13" t="inlineStr">
        <is>
          <t>Standardize critical SaaS assessment for availability, export, backup, admin access, integrations and contract continuity, close coverage gaps, train accountable roles and connect controls to the relevant crisis scenarios and continuity plans.</t>
        </is>
      </c>
      <c r="Q320" s="13" t="inlineStr">
        <is>
          <t>Measure and test critical SaaS assessment for availability, export, backup, admin access, integrations and contract continuity, run tabletop or operational stress tests, integrate it with dependent processes and update crisis playbooks.</t>
        </is>
      </c>
      <c r="R320" s="13" t="inlineStr">
        <is>
          <t>Automate monitoring where practical, define leading indicators, run periodic scenario tests and track residual risk after each major change.</t>
        </is>
      </c>
      <c r="S320" s="13" t="inlineStr">
        <is>
          <t>Sustain maturity for critical SaaS assessment for availability, export, backup, admin access, integrations and contract continuity: keep evidence current, monitor drift, benchmark externally and refresh risk tests after organizational, system or market changes.</t>
        </is>
      </c>
      <c r="T320" s="13" t="n">
        <v>4</v>
      </c>
      <c r="U320" s="13" t="n">
        <v>3</v>
      </c>
      <c r="V320" s="13" t="n">
        <v>3</v>
      </c>
      <c r="W320" s="13" t="n">
        <v>2</v>
      </c>
      <c r="X320" s="13" t="n">
        <v>1</v>
      </c>
      <c r="Y320" s="13" t="n">
        <v>1</v>
      </c>
      <c r="Z320" s="13" t="inlineStr">
        <is>
          <t>ISO/IEC 27001; ISO/IEC 20000-1; NIST CSF 2.0; NIST SP 800-34; COBIT; ITIL 4; FinOps</t>
        </is>
      </c>
      <c r="AA320" s="13" t="inlineStr">
        <is>
          <t>Policy/SOP; owner/RACI; system report; dashboard; contracts; test records; incident history; interview evidence related to critical SaaS assessment for availability, export, backup, admin access, integrations and contract continuity.</t>
        </is>
      </c>
      <c r="AB320" s="13" t="inlineStr">
        <is>
          <t>IT outage; Cloud outage; Data loss; Cyberattack</t>
        </is>
      </c>
      <c r="AC320" s="13" t="inlineStr">
        <is>
          <t>CIO / CTO / IT Ops</t>
        </is>
      </c>
      <c r="AD320" s="13" t="inlineStr">
        <is>
          <t>IT Cloud DR!28</t>
        </is>
      </c>
      <c r="AE320">
        <f>IF($A320="","",IF(OR(ISNUMBER(SEARCH("cyber",$D320)),ISNUMBER(SEARCH("security",$D320)),ISNUMBER(SEARCH("safety",$D320)),ISNUMBER(SEARCH("liquidity",$D320)),ISNUMBER(SEARCH("cash",$D320)),ISNUMBER(SEARCH("continuity",$D320)),ISNUMBER(SEARCH("infrastructure",$D320)),ISNUMBER(SEARCH("outage",$D320))),"Fast",IF(OR(ISNUMBER(SEARCH("compliance",$D320)),ISNUMBER(SEARCH("regulat",$D320)),ISNUMBER(SEARCH("data",$D320)),ISNUMBER(SEARCH("talent",$D320)),ISNUMBER(SEARCH("knowledge",$D320)),ISNUMBER(SEARCH("portfolio",$D320)),ISNUMBER(SEARCH("quality",$D320))),"Slow","Medium")))</f>
        <v/>
      </c>
      <c r="AF320">
        <f>IF($A320="","",IFERROR(VLOOKUP($B320,'_CONFIG_Risk_Calibration'!$A$5:$H$21,2,FALSE),3))</f>
        <v/>
      </c>
      <c r="AG320">
        <f>IF($A320="","",IFERROR(VLOOKUP($B320,'_CONFIG_Risk_Calibration'!$A$5:$H$21,3,FALSE),0))</f>
        <v/>
      </c>
      <c r="AH320">
        <f>IF($A320="","",IFERROR(VLOOKUP($B320,'_CONFIG_Risk_Calibration'!$A$5:$H$21,4,FALSE),3))</f>
        <v/>
      </c>
      <c r="AI320">
        <f>IF($A320="","",IFERROR(VLOOKUP($B320,'_CONFIG_Risk_Calibration'!$A$5:$H$21,5,FALSE),3))</f>
        <v/>
      </c>
      <c r="AJ320">
        <f>IF($A320="","",IFERROR(VLOOKUP($B320,'_CONFIG_Risk_Calibration'!$A$5:$H$21,6,FALSE),"No"))</f>
        <v/>
      </c>
      <c r="AK320">
        <f>IF($A320="","",IFERROR(VLOOKUP($B320,'_CONFIG_Risk_Calibration'!$A$5:$H$21,7,FALSE),1))</f>
        <v/>
      </c>
      <c r="AL320">
        <f>IF($A320="","",IFERROR(VLOOKUP($B320,'_CONFIG_Risk_Calibration'!$A$5:$H$21,8,FALSE),""))</f>
        <v/>
      </c>
    </row>
    <row r="321" ht="72" customHeight="1" s="209">
      <c r="A321" s="13" t="inlineStr">
        <is>
          <t>ITCL-026</t>
        </is>
      </c>
      <c r="B321" s="13" t="inlineStr">
        <is>
          <t>IT Cloud DR</t>
        </is>
      </c>
      <c r="C321" s="13" t="inlineStr">
        <is>
          <t>SaaS and integrations</t>
        </is>
      </c>
      <c r="D321" s="13" t="inlineStr">
        <is>
          <t>IT, cloud and disaster recovery</t>
        </is>
      </c>
      <c r="E321" s="13" t="inlineStr">
        <is>
          <t>How mature is the organization in managing SaaS data backup or exportability if provider or account becomes unavailable, including ownership, evidence, metrics, fallback procedures and crisis stress testing?</t>
        </is>
      </c>
      <c r="F321" s="13" t="inlineStr">
        <is>
          <t>Immature capability for SaaS data backup or exportability if provider or account becomes unavailable may lead to system outage, data unavailability, excessive RTO/RPO and inability to restore critical technology services during IT outage; Cloud outage; Data loss; Cyberattack.</t>
        </is>
      </c>
      <c r="G321" s="13" t="inlineStr">
        <is>
          <t>Low maturity, weak ownership, incomplete evidence, insufficient testing and poor integration with crisis-management routines for SaaS data backup or exportability if provider or account becomes unavailable.</t>
        </is>
      </c>
      <c r="H321" s="13" t="inlineStr">
        <is>
          <t>Severe risk: SaaS data backup or exportability if provider or account becomes unavailable is not reliably controlled. During IT outage; Cloud outage; Data loss; Cyberattack, the organization may face system outage, data unavailability, excessive RTO/RPO and inability to restore critical technology services with limited visibility or accountability.</t>
        </is>
      </c>
      <c r="I321" s="13" t="inlineStr">
        <is>
          <t>High risk: SaaS data backup or exportability if provider or account becomes unavailable depends on informal practices or individual knowledge. Disruption may expose system outage, data unavailability, excessive RTO/RPO and inability to restore critical technology services and slow recovery.</t>
        </is>
      </c>
      <c r="J321" s="13" t="inlineStr">
        <is>
          <t>Elevated risk: SaaS data backup or exportability if provider or account becomes unavailable is partially controlled, but coverage, evidence or testing is inconsistent. Crisis response may be fragmented.</t>
        </is>
      </c>
      <c r="K321" s="13" t="inlineStr">
        <is>
          <t>Moderate risk: SaaS data backup or exportability if provider or account becomes unavailable is documented and owned, but measurement, stress testing and integration with dependent processes need strengthening.</t>
        </is>
      </c>
      <c r="L321" s="13" t="inlineStr">
        <is>
          <t>Residual risk: SaaS data backup or exportability if provider or account becomes unavailable is measured and reviewed, but monitoring, automation or scenario testing should be improved to prevent maturity drift.</t>
        </is>
      </c>
      <c r="M321" s="13" t="inlineStr">
        <is>
          <t>Low residual risk: SaaS data backup or exportability if provider or account becomes unavailable is mature and crisis-tested. Maintain monitoring, evidence, ownership and periodic stress testing.</t>
        </is>
      </c>
      <c r="N321" s="13" t="inlineStr">
        <is>
          <t>Create an immediate risk owner, minimum control baseline and fallback procedure for SaaS data backup or exportability if provider or account becomes unavailable. Add it to the crisis risk register and collect first evidence.</t>
        </is>
      </c>
      <c r="O321" s="13" t="inlineStr">
        <is>
          <t>Document SaaS data backup or exportability if provider or account becomes unavailable, assign RACI, define minimum controls and KPIs, and validate coverage across key sites, teams or systems.</t>
        </is>
      </c>
      <c r="P321" s="13" t="inlineStr">
        <is>
          <t>Standardize SaaS data backup or exportability if provider or account becomes unavailable, close coverage gaps, train accountable roles and connect controls to the relevant crisis scenarios and continuity plans.</t>
        </is>
      </c>
      <c r="Q321" s="13" t="inlineStr">
        <is>
          <t>Measure and test SaaS data backup or exportability if provider or account becomes unavailable, run tabletop or operational stress tests, integrate it with dependent processes and update crisis playbooks.</t>
        </is>
      </c>
      <c r="R321" s="13" t="inlineStr">
        <is>
          <t>Automate monitoring where practical, define leading indicators, run periodic scenario tests and track residual risk after each major change.</t>
        </is>
      </c>
      <c r="S321" s="13" t="inlineStr">
        <is>
          <t>Sustain maturity for SaaS data backup or exportability if provider or account becomes unavailable: keep evidence current, monitor drift, benchmark externally and refresh risk tests after organizational, system or market changes.</t>
        </is>
      </c>
      <c r="T321" s="13" t="n">
        <v>4</v>
      </c>
      <c r="U321" s="13" t="n">
        <v>3</v>
      </c>
      <c r="V321" s="13" t="n">
        <v>3</v>
      </c>
      <c r="W321" s="13" t="n">
        <v>2</v>
      </c>
      <c r="X321" s="13" t="n">
        <v>1</v>
      </c>
      <c r="Y321" s="13" t="n">
        <v>1</v>
      </c>
      <c r="Z321" s="13" t="inlineStr">
        <is>
          <t>ISO/IEC 27001; ISO/IEC 20000-1; NIST CSF 2.0; NIST SP 800-34; COBIT; ITIL 4; FinOps</t>
        </is>
      </c>
      <c r="AA321" s="13" t="inlineStr">
        <is>
          <t>Policy/SOP; owner/RACI; system report; dashboard; contracts; test records; incident history; interview evidence related to SaaS data backup or exportability if provider or account becomes unavailable.</t>
        </is>
      </c>
      <c r="AB321" s="13" t="inlineStr">
        <is>
          <t>IT outage; Cloud outage; Data loss; Cyberattack</t>
        </is>
      </c>
      <c r="AC321" s="13" t="inlineStr">
        <is>
          <t>CIO / CTO / IT Ops</t>
        </is>
      </c>
      <c r="AD321" s="13" t="inlineStr">
        <is>
          <t>IT Cloud DR!29</t>
        </is>
      </c>
      <c r="AE321">
        <f>IF($A321="","",IF(OR(ISNUMBER(SEARCH("cyber",$D321)),ISNUMBER(SEARCH("security",$D321)),ISNUMBER(SEARCH("safety",$D321)),ISNUMBER(SEARCH("liquidity",$D321)),ISNUMBER(SEARCH("cash",$D321)),ISNUMBER(SEARCH("continuity",$D321)),ISNUMBER(SEARCH("infrastructure",$D321)),ISNUMBER(SEARCH("outage",$D321))),"Fast",IF(OR(ISNUMBER(SEARCH("compliance",$D321)),ISNUMBER(SEARCH("regulat",$D321)),ISNUMBER(SEARCH("data",$D321)),ISNUMBER(SEARCH("talent",$D321)),ISNUMBER(SEARCH("knowledge",$D321)),ISNUMBER(SEARCH("portfolio",$D321)),ISNUMBER(SEARCH("quality",$D321))),"Slow","Medium")))</f>
        <v/>
      </c>
      <c r="AF321">
        <f>IF($A321="","",IFERROR(VLOOKUP($B321,'_CONFIG_Risk_Calibration'!$A$5:$H$21,2,FALSE),3))</f>
        <v/>
      </c>
      <c r="AG321">
        <f>IF($A321="","",IFERROR(VLOOKUP($B321,'_CONFIG_Risk_Calibration'!$A$5:$H$21,3,FALSE),0))</f>
        <v/>
      </c>
      <c r="AH321">
        <f>IF($A321="","",IFERROR(VLOOKUP($B321,'_CONFIG_Risk_Calibration'!$A$5:$H$21,4,FALSE),3))</f>
        <v/>
      </c>
      <c r="AI321">
        <f>IF($A321="","",IFERROR(VLOOKUP($B321,'_CONFIG_Risk_Calibration'!$A$5:$H$21,5,FALSE),3))</f>
        <v/>
      </c>
      <c r="AJ321">
        <f>IF($A321="","",IFERROR(VLOOKUP($B321,'_CONFIG_Risk_Calibration'!$A$5:$H$21,6,FALSE),"No"))</f>
        <v/>
      </c>
      <c r="AK321">
        <f>IF($A321="","",IFERROR(VLOOKUP($B321,'_CONFIG_Risk_Calibration'!$A$5:$H$21,7,FALSE),1))</f>
        <v/>
      </c>
      <c r="AL321">
        <f>IF($A321="","",IFERROR(VLOOKUP($B321,'_CONFIG_Risk_Calibration'!$A$5:$H$21,8,FALSE),""))</f>
        <v/>
      </c>
    </row>
    <row r="322" ht="72" customHeight="1" s="209">
      <c r="A322" s="13" t="inlineStr">
        <is>
          <t>ITCL-027</t>
        </is>
      </c>
      <c r="B322" s="13" t="inlineStr">
        <is>
          <t>IT Cloud DR</t>
        </is>
      </c>
      <c r="C322" s="13" t="inlineStr">
        <is>
          <t>SaaS and integrations</t>
        </is>
      </c>
      <c r="D322" s="13" t="inlineStr">
        <is>
          <t>IT, cloud and disaster recovery</t>
        </is>
      </c>
      <c r="E322" s="13" t="inlineStr">
        <is>
          <t>How mature is the organization in managing API, ETL, middleware, file exchange and manual integration catalog, including ownership, evidence, metrics, fallback procedures and crisis stress testing?</t>
        </is>
      </c>
      <c r="F322" s="13" t="inlineStr">
        <is>
          <t>Immature capability for API, ETL, middleware, file exchange and manual integration catalog may lead to system outage, data unavailability, excessive RTO/RPO and inability to restore critical technology services during IT outage; Cloud outage; Data loss; Cyberattack.</t>
        </is>
      </c>
      <c r="G322" s="13" t="inlineStr">
        <is>
          <t>Low maturity, weak ownership, incomplete evidence, insufficient testing and poor integration with crisis-management routines for API, ETL, middleware, file exchange and manual integration catalog.</t>
        </is>
      </c>
      <c r="H322" s="13" t="inlineStr">
        <is>
          <t>Severe risk: API, ETL, middleware, file exchange and manual integration catalog is not reliably controlled. During IT outage; Cloud outage; Data loss; Cyberattack, the organization may face system outage, data unavailability, excessive RTO/RPO and inability to restore critical technology services with limited visibility or accountability.</t>
        </is>
      </c>
      <c r="I322" s="13" t="inlineStr">
        <is>
          <t>High risk: API, ETL, middleware, file exchange and manual integration catalog depends on informal practices or individual knowledge. Disruption may expose system outage, data unavailability, excessive RTO/RPO and inability to restore critical technology services and slow recovery.</t>
        </is>
      </c>
      <c r="J322" s="13" t="inlineStr">
        <is>
          <t>Elevated risk: API, ETL, middleware, file exchange and manual integration catalog is partially controlled, but coverage, evidence or testing is inconsistent. Crisis response may be fragmented.</t>
        </is>
      </c>
      <c r="K322" s="13" t="inlineStr">
        <is>
          <t>Moderate risk: API, ETL, middleware, file exchange and manual integration catalog is documented and owned, but measurement, stress testing and integration with dependent processes need strengthening.</t>
        </is>
      </c>
      <c r="L322" s="13" t="inlineStr">
        <is>
          <t>Residual risk: API, ETL, middleware, file exchange and manual integration catalog is measured and reviewed, but monitoring, automation or scenario testing should be improved to prevent maturity drift.</t>
        </is>
      </c>
      <c r="M322" s="13" t="inlineStr">
        <is>
          <t>Low residual risk: API, ETL, middleware, file exchange and manual integration catalog is mature and crisis-tested. Maintain monitoring, evidence, ownership and periodic stress testing.</t>
        </is>
      </c>
      <c r="N322" s="13" t="inlineStr">
        <is>
          <t>Create an immediate risk owner, minimum control baseline and fallback procedure for API, ETL, middleware, file exchange and manual integration catalog. Add it to the crisis risk register and collect first evidence.</t>
        </is>
      </c>
      <c r="O322" s="13" t="inlineStr">
        <is>
          <t>Document API, ETL, middleware, file exchange and manual integration catalog, assign RACI, define minimum controls and KPIs, and validate coverage across key sites, teams or systems.</t>
        </is>
      </c>
      <c r="P322" s="13" t="inlineStr">
        <is>
          <t>Standardize API, ETL, middleware, file exchange and manual integration catalog, close coverage gaps, train accountable roles and connect controls to the relevant crisis scenarios and continuity plans.</t>
        </is>
      </c>
      <c r="Q322" s="13" t="inlineStr">
        <is>
          <t>Measure and test API, ETL, middleware, file exchange and manual integration catalog, run tabletop or operational stress tests, integrate it with dependent processes and update crisis playbooks.</t>
        </is>
      </c>
      <c r="R322" s="13" t="inlineStr">
        <is>
          <t>Automate monitoring where practical, define leading indicators, run periodic scenario tests and track residual risk after each major change.</t>
        </is>
      </c>
      <c r="S322" s="13" t="inlineStr">
        <is>
          <t>Sustain maturity for API, ETL, middleware, file exchange and manual integration catalog: keep evidence current, monitor drift, benchmark externally and refresh risk tests after organizational, system or market changes.</t>
        </is>
      </c>
      <c r="T322" s="13" t="n">
        <v>4</v>
      </c>
      <c r="U322" s="13" t="n">
        <v>3</v>
      </c>
      <c r="V322" s="13" t="n">
        <v>3</v>
      </c>
      <c r="W322" s="13" t="n">
        <v>2</v>
      </c>
      <c r="X322" s="13" t="n">
        <v>1</v>
      </c>
      <c r="Y322" s="13" t="n">
        <v>1</v>
      </c>
      <c r="Z322" s="13" t="inlineStr">
        <is>
          <t>ISO/IEC 27001; ISO/IEC 20000-1; NIST CSF 2.0; NIST SP 800-34; COBIT; ITIL 4; FinOps</t>
        </is>
      </c>
      <c r="AA322" s="13" t="inlineStr">
        <is>
          <t>Policy/SOP; owner/RACI; system report; dashboard; contracts; test records; incident history; interview evidence related to API, ETL, middleware, file exchange and manual integration catalog.</t>
        </is>
      </c>
      <c r="AB322" s="13" t="inlineStr">
        <is>
          <t>IT outage; Cloud outage; Data loss; Cyberattack</t>
        </is>
      </c>
      <c r="AC322" s="13" t="inlineStr">
        <is>
          <t>CIO / CTO / IT Ops</t>
        </is>
      </c>
      <c r="AD322" s="13" t="inlineStr">
        <is>
          <t>IT Cloud DR!30</t>
        </is>
      </c>
      <c r="AE322">
        <f>IF($A322="","",IF(OR(ISNUMBER(SEARCH("cyber",$D322)),ISNUMBER(SEARCH("security",$D322)),ISNUMBER(SEARCH("safety",$D322)),ISNUMBER(SEARCH("liquidity",$D322)),ISNUMBER(SEARCH("cash",$D322)),ISNUMBER(SEARCH("continuity",$D322)),ISNUMBER(SEARCH("infrastructure",$D322)),ISNUMBER(SEARCH("outage",$D322))),"Fast",IF(OR(ISNUMBER(SEARCH("compliance",$D322)),ISNUMBER(SEARCH("regulat",$D322)),ISNUMBER(SEARCH("data",$D322)),ISNUMBER(SEARCH("talent",$D322)),ISNUMBER(SEARCH("knowledge",$D322)),ISNUMBER(SEARCH("portfolio",$D322)),ISNUMBER(SEARCH("quality",$D322))),"Slow","Medium")))</f>
        <v/>
      </c>
      <c r="AF322">
        <f>IF($A322="","",IFERROR(VLOOKUP($B322,'_CONFIG_Risk_Calibration'!$A$5:$H$21,2,FALSE),3))</f>
        <v/>
      </c>
      <c r="AG322">
        <f>IF($A322="","",IFERROR(VLOOKUP($B322,'_CONFIG_Risk_Calibration'!$A$5:$H$21,3,FALSE),0))</f>
        <v/>
      </c>
      <c r="AH322">
        <f>IF($A322="","",IFERROR(VLOOKUP($B322,'_CONFIG_Risk_Calibration'!$A$5:$H$21,4,FALSE),3))</f>
        <v/>
      </c>
      <c r="AI322">
        <f>IF($A322="","",IFERROR(VLOOKUP($B322,'_CONFIG_Risk_Calibration'!$A$5:$H$21,5,FALSE),3))</f>
        <v/>
      </c>
      <c r="AJ322">
        <f>IF($A322="","",IFERROR(VLOOKUP($B322,'_CONFIG_Risk_Calibration'!$A$5:$H$21,6,FALSE),"No"))</f>
        <v/>
      </c>
      <c r="AK322">
        <f>IF($A322="","",IFERROR(VLOOKUP($B322,'_CONFIG_Risk_Calibration'!$A$5:$H$21,7,FALSE),1))</f>
        <v/>
      </c>
      <c r="AL322">
        <f>IF($A322="","",IFERROR(VLOOKUP($B322,'_CONFIG_Risk_Calibration'!$A$5:$H$21,8,FALSE),""))</f>
        <v/>
      </c>
    </row>
    <row r="323" ht="72" customHeight="1" s="209">
      <c r="A323" s="13" t="inlineStr">
        <is>
          <t>ITCL-028</t>
        </is>
      </c>
      <c r="B323" s="13" t="inlineStr">
        <is>
          <t>IT Cloud DR</t>
        </is>
      </c>
      <c r="C323" s="13" t="inlineStr">
        <is>
          <t>SaaS and integrations</t>
        </is>
      </c>
      <c r="D323" s="13" t="inlineStr">
        <is>
          <t>IT, cloud and disaster recovery</t>
        </is>
      </c>
      <c r="E323" s="13" t="inlineStr">
        <is>
          <t>How mature is the organization in managing integration monitoring, retry, queue, reconciliation and fallback procedures, including ownership, evidence, metrics, fallback procedures and crisis stress testing?</t>
        </is>
      </c>
      <c r="F323" s="13" t="inlineStr">
        <is>
          <t>Immature capability for integration monitoring, retry, queue, reconciliation and fallback procedures may lead to system outage, data unavailability, excessive RTO/RPO and inability to restore critical technology services during IT outage; Cloud outage; Data loss; Cyberattack.</t>
        </is>
      </c>
      <c r="G323" s="13" t="inlineStr">
        <is>
          <t>Low maturity, weak ownership, incomplete evidence, insufficient testing and poor integration with crisis-management routines for integration monitoring, retry, queue, reconciliation and fallback procedures.</t>
        </is>
      </c>
      <c r="H323" s="13" t="inlineStr">
        <is>
          <t>Severe risk: integration monitoring, retry, queue, reconciliation and fallback procedures is not reliably controlled. During IT outage; Cloud outage; Data loss; Cyberattack, the organization may face system outage, data unavailability, excessive RTO/RPO and inability to restore critical technology services with limited visibility or accountability.</t>
        </is>
      </c>
      <c r="I323" s="13" t="inlineStr">
        <is>
          <t>High risk: integration monitoring, retry, queue, reconciliation and fallback procedures depends on informal practices or individual knowledge. Disruption may expose system outage, data unavailability, excessive RTO/RPO and inability to restore critical technology services and slow recovery.</t>
        </is>
      </c>
      <c r="J323" s="13" t="inlineStr">
        <is>
          <t>Elevated risk: integration monitoring, retry, queue, reconciliation and fallback procedures is partially controlled, but coverage, evidence or testing is inconsistent. Crisis response may be fragmented.</t>
        </is>
      </c>
      <c r="K323" s="13" t="inlineStr">
        <is>
          <t>Moderate risk: integration monitoring, retry, queue, reconciliation and fallback procedures is documented and owned, but measurement, stress testing and integration with dependent processes need strengthening.</t>
        </is>
      </c>
      <c r="L323" s="13" t="inlineStr">
        <is>
          <t>Residual risk: integration monitoring, retry, queue, reconciliation and fallback procedures is measured and reviewed, but monitoring, automation or scenario testing should be improved to prevent maturity drift.</t>
        </is>
      </c>
      <c r="M323" s="13" t="inlineStr">
        <is>
          <t>Low residual risk: integration monitoring, retry, queue, reconciliation and fallback procedures is mature and crisis-tested. Maintain monitoring, evidence, ownership and periodic stress testing.</t>
        </is>
      </c>
      <c r="N323" s="13" t="inlineStr">
        <is>
          <t>Create an immediate risk owner, minimum control baseline and fallback procedure for integration monitoring, retry, queue, reconciliation and fallback procedures. Add it to the crisis risk register and collect first evidence.</t>
        </is>
      </c>
      <c r="O323" s="13" t="inlineStr">
        <is>
          <t>Document integration monitoring, retry, queue, reconciliation and fallback procedures, assign RACI, define minimum controls and KPIs, and validate coverage across key sites, teams or systems.</t>
        </is>
      </c>
      <c r="P323" s="13" t="inlineStr">
        <is>
          <t>Standardize integration monitoring, retry, queue, reconciliation and fallback procedures, close coverage gaps, train accountable roles and connect controls to the relevant crisis scenarios and continuity plans.</t>
        </is>
      </c>
      <c r="Q323" s="13" t="inlineStr">
        <is>
          <t>Measure and test integration monitoring, retry, queue, reconciliation and fallback procedures, run tabletop or operational stress tests, integrate it with dependent processes and update crisis playbooks.</t>
        </is>
      </c>
      <c r="R323" s="13" t="inlineStr">
        <is>
          <t>Automate monitoring where practical, define leading indicators, run periodic scenario tests and track residual risk after each major change.</t>
        </is>
      </c>
      <c r="S323" s="13" t="inlineStr">
        <is>
          <t>Sustain maturity for integration monitoring, retry, queue, reconciliation and fallback procedures: keep evidence current, monitor drift, benchmark externally and refresh risk tests after organizational, system or market changes.</t>
        </is>
      </c>
      <c r="T323" s="13" t="n">
        <v>4</v>
      </c>
      <c r="U323" s="13" t="n">
        <v>3</v>
      </c>
      <c r="V323" s="13" t="n">
        <v>3</v>
      </c>
      <c r="W323" s="13" t="n">
        <v>2</v>
      </c>
      <c r="X323" s="13" t="n">
        <v>1</v>
      </c>
      <c r="Y323" s="13" t="n">
        <v>1</v>
      </c>
      <c r="Z323" s="13" t="inlineStr">
        <is>
          <t>ISO/IEC 27001; ISO/IEC 20000-1; NIST CSF 2.0; NIST SP 800-34; COBIT; ITIL 4; FinOps</t>
        </is>
      </c>
      <c r="AA323" s="13" t="inlineStr">
        <is>
          <t>Policy/SOP; owner/RACI; system report; dashboard; contracts; test records; incident history; interview evidence related to integration monitoring, retry, queue, reconciliation and fallback procedures.</t>
        </is>
      </c>
      <c r="AB323" s="13" t="inlineStr">
        <is>
          <t>IT outage; Cloud outage; Data loss; Cyberattack</t>
        </is>
      </c>
      <c r="AC323" s="13" t="inlineStr">
        <is>
          <t>CIO / CTO / IT Ops</t>
        </is>
      </c>
      <c r="AD323" s="13" t="inlineStr">
        <is>
          <t>IT Cloud DR!31</t>
        </is>
      </c>
      <c r="AE323">
        <f>IF($A323="","",IF(OR(ISNUMBER(SEARCH("cyber",$D323)),ISNUMBER(SEARCH("security",$D323)),ISNUMBER(SEARCH("safety",$D323)),ISNUMBER(SEARCH("liquidity",$D323)),ISNUMBER(SEARCH("cash",$D323)),ISNUMBER(SEARCH("continuity",$D323)),ISNUMBER(SEARCH("infrastructure",$D323)),ISNUMBER(SEARCH("outage",$D323))),"Fast",IF(OR(ISNUMBER(SEARCH("compliance",$D323)),ISNUMBER(SEARCH("regulat",$D323)),ISNUMBER(SEARCH("data",$D323)),ISNUMBER(SEARCH("talent",$D323)),ISNUMBER(SEARCH("knowledge",$D323)),ISNUMBER(SEARCH("portfolio",$D323)),ISNUMBER(SEARCH("quality",$D323))),"Slow","Medium")))</f>
        <v/>
      </c>
      <c r="AF323">
        <f>IF($A323="","",IFERROR(VLOOKUP($B323,'_CONFIG_Risk_Calibration'!$A$5:$H$21,2,FALSE),3))</f>
        <v/>
      </c>
      <c r="AG323">
        <f>IF($A323="","",IFERROR(VLOOKUP($B323,'_CONFIG_Risk_Calibration'!$A$5:$H$21,3,FALSE),0))</f>
        <v/>
      </c>
      <c r="AH323">
        <f>IF($A323="","",IFERROR(VLOOKUP($B323,'_CONFIG_Risk_Calibration'!$A$5:$H$21,4,FALSE),3))</f>
        <v/>
      </c>
      <c r="AI323">
        <f>IF($A323="","",IFERROR(VLOOKUP($B323,'_CONFIG_Risk_Calibration'!$A$5:$H$21,5,FALSE),3))</f>
        <v/>
      </c>
      <c r="AJ323">
        <f>IF($A323="","",IFERROR(VLOOKUP($B323,'_CONFIG_Risk_Calibration'!$A$5:$H$21,6,FALSE),"No"))</f>
        <v/>
      </c>
      <c r="AK323">
        <f>IF($A323="","",IFERROR(VLOOKUP($B323,'_CONFIG_Risk_Calibration'!$A$5:$H$21,7,FALSE),1))</f>
        <v/>
      </c>
      <c r="AL323">
        <f>IF($A323="","",IFERROR(VLOOKUP($B323,'_CONFIG_Risk_Calibration'!$A$5:$H$21,8,FALSE),""))</f>
        <v/>
      </c>
    </row>
    <row r="324" ht="72" customHeight="1" s="209">
      <c r="A324" s="13" t="inlineStr">
        <is>
          <t>ITCL-029</t>
        </is>
      </c>
      <c r="B324" s="13" t="inlineStr">
        <is>
          <t>IT Cloud DR</t>
        </is>
      </c>
      <c r="C324" s="13" t="inlineStr">
        <is>
          <t>SaaS and integrations</t>
        </is>
      </c>
      <c r="D324" s="13" t="inlineStr">
        <is>
          <t>IT, cloud and disaster recovery</t>
        </is>
      </c>
      <c r="E324" s="13" t="inlineStr">
        <is>
          <t>How mature is the organization in managing configuration management and version control for infrastructure, cloud and applications, including ownership, evidence, metrics, fallback procedures and crisis stress testing?</t>
        </is>
      </c>
      <c r="F324" s="13" t="inlineStr">
        <is>
          <t>Immature capability for configuration management and version control for infrastructure, cloud and applications may lead to system outage, data unavailability, excessive RTO/RPO and inability to restore critical technology services during IT outage; Cloud outage; Data loss; Cyberattack.</t>
        </is>
      </c>
      <c r="G324" s="13" t="inlineStr">
        <is>
          <t>Low maturity, weak ownership, incomplete evidence, insufficient testing and poor integration with crisis-management routines for configuration management and version control for infrastructure, cloud and applications.</t>
        </is>
      </c>
      <c r="H324" s="13" t="inlineStr">
        <is>
          <t>Severe risk: configuration management and version control for infrastructure, cloud and applications is not reliably controlled. During IT outage; Cloud outage; Data loss; Cyberattack, the organization may face system outage, data unavailability, excessive RTO/RPO and inability to restore critical technology services with limited visibility or accountability.</t>
        </is>
      </c>
      <c r="I324" s="13" t="inlineStr">
        <is>
          <t>High risk: configuration management and version control for infrastructure, cloud and applications depends on informal practices or individual knowledge. Disruption may expose system outage, data unavailability, excessive RTO/RPO and inability to restore critical technology services and slow recovery.</t>
        </is>
      </c>
      <c r="J324" s="13" t="inlineStr">
        <is>
          <t>Elevated risk: configuration management and version control for infrastructure, cloud and applications is partially controlled, but coverage, evidence or testing is inconsistent. Crisis response may be fragmented.</t>
        </is>
      </c>
      <c r="K324" s="13" t="inlineStr">
        <is>
          <t>Moderate risk: configuration management and version control for infrastructure, cloud and applications is documented and owned, but measurement, stress testing and integration with dependent processes need strengthening.</t>
        </is>
      </c>
      <c r="L324" s="13" t="inlineStr">
        <is>
          <t>Residual risk: configuration management and version control for infrastructure, cloud and applications is measured and reviewed, but monitoring, automation or scenario testing should be improved to prevent maturity drift.</t>
        </is>
      </c>
      <c r="M324" s="13" t="inlineStr">
        <is>
          <t>Low residual risk: configuration management and version control for infrastructure, cloud and applications is mature and crisis-tested. Maintain monitoring, evidence, ownership and periodic stress testing.</t>
        </is>
      </c>
      <c r="N324" s="13" t="inlineStr">
        <is>
          <t>Create an immediate risk owner, minimum control baseline and fallback procedure for configuration management and version control for infrastructure, cloud and applications. Add it to the crisis risk register and collect first evidence.</t>
        </is>
      </c>
      <c r="O324" s="13" t="inlineStr">
        <is>
          <t>Document configuration management and version control for infrastructure, cloud and applications, assign RACI, define minimum controls and KPIs, and validate coverage across key sites, teams or systems.</t>
        </is>
      </c>
      <c r="P324" s="13" t="inlineStr">
        <is>
          <t>Standardize configuration management and version control for infrastructure, cloud and applications, close coverage gaps, train accountable roles and connect controls to the relevant crisis scenarios and continuity plans.</t>
        </is>
      </c>
      <c r="Q324" s="13" t="inlineStr">
        <is>
          <t>Measure and test configuration management and version control for infrastructure, cloud and applications, run tabletop or operational stress tests, integrate it with dependent processes and update crisis playbooks.</t>
        </is>
      </c>
      <c r="R324" s="13" t="inlineStr">
        <is>
          <t>Automate monitoring where practical, define leading indicators, run periodic scenario tests and track residual risk after each major change.</t>
        </is>
      </c>
      <c r="S324" s="13" t="inlineStr">
        <is>
          <t>Sustain maturity for configuration management and version control for infrastructure, cloud and applications: keep evidence current, monitor drift, benchmark externally and refresh risk tests after organizational, system or market changes.</t>
        </is>
      </c>
      <c r="T324" s="13" t="n">
        <v>4</v>
      </c>
      <c r="U324" s="13" t="n">
        <v>3</v>
      </c>
      <c r="V324" s="13" t="n">
        <v>3</v>
      </c>
      <c r="W324" s="13" t="n">
        <v>2</v>
      </c>
      <c r="X324" s="13" t="n">
        <v>1</v>
      </c>
      <c r="Y324" s="13" t="n">
        <v>1</v>
      </c>
      <c r="Z324" s="13" t="inlineStr">
        <is>
          <t>ISO/IEC 27001; ISO/IEC 20000-1; NIST CSF 2.0; NIST SP 800-34; COBIT; ITIL 4; FinOps</t>
        </is>
      </c>
      <c r="AA324" s="13" t="inlineStr">
        <is>
          <t>Policy/SOP; owner/RACI; system report; dashboard; contracts; test records; incident history; interview evidence related to configuration management and version control for infrastructure, cloud and applications.</t>
        </is>
      </c>
      <c r="AB324" s="13" t="inlineStr">
        <is>
          <t>IT outage; Cloud outage; Data loss; Cyberattack</t>
        </is>
      </c>
      <c r="AC324" s="13" t="inlineStr">
        <is>
          <t>CIO / CTO / IT Ops</t>
        </is>
      </c>
      <c r="AD324" s="13" t="inlineStr">
        <is>
          <t>IT Cloud DR!32</t>
        </is>
      </c>
      <c r="AE324">
        <f>IF($A324="","",IF(OR(ISNUMBER(SEARCH("cyber",$D324)),ISNUMBER(SEARCH("security",$D324)),ISNUMBER(SEARCH("safety",$D324)),ISNUMBER(SEARCH("liquidity",$D324)),ISNUMBER(SEARCH("cash",$D324)),ISNUMBER(SEARCH("continuity",$D324)),ISNUMBER(SEARCH("infrastructure",$D324)),ISNUMBER(SEARCH("outage",$D324))),"Fast",IF(OR(ISNUMBER(SEARCH("compliance",$D324)),ISNUMBER(SEARCH("regulat",$D324)),ISNUMBER(SEARCH("data",$D324)),ISNUMBER(SEARCH("talent",$D324)),ISNUMBER(SEARCH("knowledge",$D324)),ISNUMBER(SEARCH("portfolio",$D324)),ISNUMBER(SEARCH("quality",$D324))),"Slow","Medium")))</f>
        <v/>
      </c>
      <c r="AF324">
        <f>IF($A324="","",IFERROR(VLOOKUP($B324,'_CONFIG_Risk_Calibration'!$A$5:$H$21,2,FALSE),3))</f>
        <v/>
      </c>
      <c r="AG324">
        <f>IF($A324="","",IFERROR(VLOOKUP($B324,'_CONFIG_Risk_Calibration'!$A$5:$H$21,3,FALSE),0))</f>
        <v/>
      </c>
      <c r="AH324">
        <f>IF($A324="","",IFERROR(VLOOKUP($B324,'_CONFIG_Risk_Calibration'!$A$5:$H$21,4,FALSE),3))</f>
        <v/>
      </c>
      <c r="AI324">
        <f>IF($A324="","",IFERROR(VLOOKUP($B324,'_CONFIG_Risk_Calibration'!$A$5:$H$21,5,FALSE),3))</f>
        <v/>
      </c>
      <c r="AJ324">
        <f>IF($A324="","",IFERROR(VLOOKUP($B324,'_CONFIG_Risk_Calibration'!$A$5:$H$21,6,FALSE),"No"))</f>
        <v/>
      </c>
      <c r="AK324">
        <f>IF($A324="","",IFERROR(VLOOKUP($B324,'_CONFIG_Risk_Calibration'!$A$5:$H$21,7,FALSE),1))</f>
        <v/>
      </c>
      <c r="AL324">
        <f>IF($A324="","",IFERROR(VLOOKUP($B324,'_CONFIG_Risk_Calibration'!$A$5:$H$21,8,FALSE),""))</f>
        <v/>
      </c>
    </row>
    <row r="325" ht="72" customHeight="1" s="209">
      <c r="A325" s="13" t="inlineStr">
        <is>
          <t>BUSI-001</t>
        </is>
      </c>
      <c r="B325" s="13" t="inlineStr">
        <is>
          <t>Business Systems</t>
        </is>
      </c>
      <c r="C325" s="13" t="inlineStr">
        <is>
          <t>ERP</t>
        </is>
      </c>
      <c r="D325" s="13" t="inlineStr">
        <is>
          <t>Enterprise systems and application continuity</t>
        </is>
      </c>
      <c r="E325" s="13" t="inlineStr">
        <is>
          <t>How mature is the organization in managing ERP process coverage for finance, procurement, inventory, orders, production or project accounting, including ownership, evidence, metrics, fallback procedures and crisis stress testing?</t>
        </is>
      </c>
      <c r="F325" s="13" t="inlineStr">
        <is>
          <t>Immature capability for ERP process coverage for finance, procurement, inventory, orders, production or project accounting may lead to ERP, CRM, MES or HRMS disruption, broken integrations and manual workarounds that fail under stress during IT outage; Decision failure; Process disruption.</t>
        </is>
      </c>
      <c r="G325" s="13" t="inlineStr">
        <is>
          <t>Low maturity, weak ownership, incomplete evidence, insufficient testing and poor integration with crisis-management routines for ERP process coverage for finance, procurement, inventory, orders, production or project accounting.</t>
        </is>
      </c>
      <c r="H325" s="13" t="inlineStr">
        <is>
          <t>Severe risk: ERP process coverage for finance, procurement, inventory, orders, production or project accounting is not reliably controlled. During IT outage; Decision failure; Process disruption, the organization may face ERP, CRM, MES or HRMS disruption, broken integrations and manual workarounds that fail under stress with limited visibility or accountability.</t>
        </is>
      </c>
      <c r="I325" s="13" t="inlineStr">
        <is>
          <t>High risk: ERP process coverage for finance, procurement, inventory, orders, production or project accounting depends on informal practices or individual knowledge. Disruption may expose ERP, CRM, MES or HRMS disruption, broken integrations and manual workarounds that fail under stress and slow recovery.</t>
        </is>
      </c>
      <c r="J325" s="13" t="inlineStr">
        <is>
          <t>Elevated risk: ERP process coverage for finance, procurement, inventory, orders, production or project accounting is partially controlled, but coverage, evidence or testing is inconsistent. Crisis response may be fragmented.</t>
        </is>
      </c>
      <c r="K325" s="13" t="inlineStr">
        <is>
          <t>Moderate risk: ERP process coverage for finance, procurement, inventory, orders, production or project accounting is documented and owned, but measurement, stress testing and integration with dependent processes need strengthening.</t>
        </is>
      </c>
      <c r="L325" s="13" t="inlineStr">
        <is>
          <t>Residual risk: ERP process coverage for finance, procurement, inventory, orders, production or project accounting is measured and reviewed, but monitoring, automation or scenario testing should be improved to prevent maturity drift.</t>
        </is>
      </c>
      <c r="M325" s="13" t="inlineStr">
        <is>
          <t>Low residual risk: ERP process coverage for finance, procurement, inventory, orders, production or project accounting is mature and crisis-tested. Maintain monitoring, evidence, ownership and periodic stress testing.</t>
        </is>
      </c>
      <c r="N325" s="13" t="inlineStr">
        <is>
          <t>Create an immediate risk owner, minimum control baseline and fallback procedure for ERP process coverage for finance, procurement, inventory, orders, production or project accounting. Add it to the crisis risk register and collect first evidence.</t>
        </is>
      </c>
      <c r="O325" s="13" t="inlineStr">
        <is>
          <t>Document ERP process coverage for finance, procurement, inventory, orders, production or project accounting, assign RACI, define minimum controls and KPIs, and validate coverage across key sites, teams or systems.</t>
        </is>
      </c>
      <c r="P325" s="13" t="inlineStr">
        <is>
          <t>Standardize ERP process coverage for finance, procurement, inventory, orders, production or project accounting, close coverage gaps, train accountable roles and connect controls to the relevant crisis scenarios and continuity plans.</t>
        </is>
      </c>
      <c r="Q325" s="13" t="inlineStr">
        <is>
          <t>Measure and test ERP process coverage for finance, procurement, inventory, orders, production or project accounting, run tabletop or operational stress tests, integrate it with dependent processes and update crisis playbooks.</t>
        </is>
      </c>
      <c r="R325" s="13" t="inlineStr">
        <is>
          <t>Automate monitoring where practical, define leading indicators, run periodic scenario tests and track residual risk after each major change.</t>
        </is>
      </c>
      <c r="S325" s="13" t="inlineStr">
        <is>
          <t>Sustain maturity for ERP process coverage for finance, procurement, inventory, orders, production or project accounting: keep evidence current, monitor drift, benchmark externally and refresh risk tests after organizational, system or market changes.</t>
        </is>
      </c>
      <c r="T325" s="13" t="n">
        <v>4</v>
      </c>
      <c r="U325" s="13" t="n">
        <v>3</v>
      </c>
      <c r="V325" s="13" t="n">
        <v>3</v>
      </c>
      <c r="W325" s="13" t="n">
        <v>2</v>
      </c>
      <c r="X325" s="13" t="n">
        <v>1</v>
      </c>
      <c r="Y325" s="13" t="n">
        <v>1</v>
      </c>
      <c r="Z325" s="13" t="inlineStr">
        <is>
          <t>COBIT; ITIL 4; ISO/IEC 27001; ISO/IEC 20000-1; ERP/CRM/MES/HRMS implementation practices</t>
        </is>
      </c>
      <c r="AA325" s="13" t="inlineStr">
        <is>
          <t>Policy/SOP; owner/RACI; system report; dashboard; contracts; test records; incident history; interview evidence related to ERP process coverage for finance, procurement, inventory, orders, production or project accounting.</t>
        </is>
      </c>
      <c r="AB325" s="13" t="inlineStr">
        <is>
          <t>IT outage; Decision failure; Process disruption</t>
        </is>
      </c>
      <c r="AC325" s="13" t="inlineStr">
        <is>
          <t>CIO / Business Systems</t>
        </is>
      </c>
      <c r="AD325" s="13" t="inlineStr">
        <is>
          <t>Business Systems!5</t>
        </is>
      </c>
      <c r="AE325">
        <f>IF($A325="","",IF(OR(ISNUMBER(SEARCH("cyber",$D325)),ISNUMBER(SEARCH("security",$D325)),ISNUMBER(SEARCH("safety",$D325)),ISNUMBER(SEARCH("liquidity",$D325)),ISNUMBER(SEARCH("cash",$D325)),ISNUMBER(SEARCH("continuity",$D325)),ISNUMBER(SEARCH("infrastructure",$D325)),ISNUMBER(SEARCH("outage",$D325))),"Fast",IF(OR(ISNUMBER(SEARCH("compliance",$D325)),ISNUMBER(SEARCH("regulat",$D325)),ISNUMBER(SEARCH("data",$D325)),ISNUMBER(SEARCH("talent",$D325)),ISNUMBER(SEARCH("knowledge",$D325)),ISNUMBER(SEARCH("portfolio",$D325)),ISNUMBER(SEARCH("quality",$D325))),"Slow","Medium")))</f>
        <v/>
      </c>
      <c r="AF325">
        <f>IF($A325="","",IFERROR(VLOOKUP($B325,'_CONFIG_Risk_Calibration'!$A$5:$H$21,2,FALSE),3))</f>
        <v/>
      </c>
      <c r="AG325">
        <f>IF($A325="","",IFERROR(VLOOKUP($B325,'_CONFIG_Risk_Calibration'!$A$5:$H$21,3,FALSE),0))</f>
        <v/>
      </c>
      <c r="AH325">
        <f>IF($A325="","",IFERROR(VLOOKUP($B325,'_CONFIG_Risk_Calibration'!$A$5:$H$21,4,FALSE),3))</f>
        <v/>
      </c>
      <c r="AI325">
        <f>IF($A325="","",IFERROR(VLOOKUP($B325,'_CONFIG_Risk_Calibration'!$A$5:$H$21,5,FALSE),3))</f>
        <v/>
      </c>
      <c r="AJ325">
        <f>IF($A325="","",IFERROR(VLOOKUP($B325,'_CONFIG_Risk_Calibration'!$A$5:$H$21,6,FALSE),"No"))</f>
        <v/>
      </c>
      <c r="AK325">
        <f>IF($A325="","",IFERROR(VLOOKUP($B325,'_CONFIG_Risk_Calibration'!$A$5:$H$21,7,FALSE),1))</f>
        <v/>
      </c>
      <c r="AL325">
        <f>IF($A325="","",IFERROR(VLOOKUP($B325,'_CONFIG_Risk_Calibration'!$A$5:$H$21,8,FALSE),""))</f>
        <v/>
      </c>
    </row>
    <row r="326" ht="84" customHeight="1" s="209">
      <c r="A326" s="13" t="inlineStr">
        <is>
          <t>BUSI-002</t>
        </is>
      </c>
      <c r="B326" s="13" t="inlineStr">
        <is>
          <t>Business Systems</t>
        </is>
      </c>
      <c r="C326" s="13" t="inlineStr">
        <is>
          <t>ERP</t>
        </is>
      </c>
      <c r="D326" s="13" t="inlineStr">
        <is>
          <t>Enterprise systems and application continuity</t>
        </is>
      </c>
      <c r="E326" s="13" t="inlineStr">
        <is>
          <t>How mature is the organization in managing ERP master data governance for customers, suppliers, items, BOMs, chart of accounts, cost centers and pricing, including ownership, evidence, metrics, fallback procedures and crisis stress testing?</t>
        </is>
      </c>
      <c r="F326" s="13" t="inlineStr">
        <is>
          <t>Immature capability for ERP master data governance for customers, suppliers, items, BOMs, chart of accounts, cost centers and pricing may lead to ERP, CRM, MES or HRMS disruption, broken integrations and manual workarounds that fail under stress during IT outage; Decision failure; Process disruption.</t>
        </is>
      </c>
      <c r="G326" s="13" t="inlineStr">
        <is>
          <t>Low maturity, weak ownership, incomplete evidence, insufficient testing and poor integration with crisis-management routines for ERP master data governance for customers, suppliers, items, BOMs, chart of accounts, cost centers and pricing.</t>
        </is>
      </c>
      <c r="H326" s="13" t="inlineStr">
        <is>
          <t>Severe risk: ERP master data governance for customers, suppliers, items, BOMs, chart of accounts, cost centers and pricing is not reliably controlled. During IT outage; Decision failure; Process disruption, the organization may face ERP, CRM, MES or HRMS disruption, broken integrations and manual workarounds that fail under stress with limited visibility or accountability.</t>
        </is>
      </c>
      <c r="I326" s="13" t="inlineStr">
        <is>
          <t>High risk: ERP master data governance for customers, suppliers, items, BOMs, chart of accounts, cost centers and pricing depends on informal practices or individual knowledge. Disruption may expose ERP, CRM, MES or HRMS disruption, broken integrations and manual workarounds that fail under stress and slow recovery.</t>
        </is>
      </c>
      <c r="J326" s="13" t="inlineStr">
        <is>
          <t>Elevated risk: ERP master data governance for customers, suppliers, items, BOMs, chart of accounts, cost centers and pricing is partially controlled, but coverage, evidence or testing is inconsistent. Crisis response may be fragmented.</t>
        </is>
      </c>
      <c r="K326" s="13" t="inlineStr">
        <is>
          <t>Moderate risk: ERP master data governance for customers, suppliers, items, BOMs, chart of accounts, cost centers and pricing is documented and owned, but measurement, stress testing and integration with dependent processes need strengthening.</t>
        </is>
      </c>
      <c r="L326" s="13" t="inlineStr">
        <is>
          <t>Residual risk: ERP master data governance for customers, suppliers, items, BOMs, chart of accounts, cost centers and pricing is measured and reviewed, but monitoring, automation or scenario testing should be improved to prevent maturity drift.</t>
        </is>
      </c>
      <c r="M326" s="13" t="inlineStr">
        <is>
          <t>Low residual risk: ERP master data governance for customers, suppliers, items, BOMs, chart of accounts, cost centers and pricing is mature and crisis-tested. Maintain monitoring, evidence, ownership and periodic stress testing.</t>
        </is>
      </c>
      <c r="N326" s="13" t="inlineStr">
        <is>
          <t>Create an immediate risk owner, minimum control baseline and fallback procedure for ERP master data governance for customers, suppliers, items, BOMs, chart of accounts, cost centers and pricing. Add it to the crisis risk register and collect first evidence.</t>
        </is>
      </c>
      <c r="O326" s="13" t="inlineStr">
        <is>
          <t>Document ERP master data governance for customers, suppliers, items, BOMs, chart of accounts, cost centers and pricing, assign RACI, define minimum controls and KPIs, and validate coverage across key sites, teams or systems.</t>
        </is>
      </c>
      <c r="P326" s="13" t="inlineStr">
        <is>
          <t>Standardize ERP master data governance for customers, suppliers, items, BOMs, chart of accounts, cost centers and pricing, close coverage gaps, train accountable roles and connect controls to the relevant crisis scenarios and continuity plans.</t>
        </is>
      </c>
      <c r="Q326" s="13" t="inlineStr">
        <is>
          <t>Measure and test ERP master data governance for customers, suppliers, items, BOMs, chart of accounts, cost centers and pricing, run tabletop or operational stress tests, integrate it with dependent processes and update crisis playbooks.</t>
        </is>
      </c>
      <c r="R326" s="13" t="inlineStr">
        <is>
          <t>Automate monitoring where practical, define leading indicators, run periodic scenario tests and track residual risk after each major change.</t>
        </is>
      </c>
      <c r="S326" s="13" t="inlineStr">
        <is>
          <t>Sustain maturity for ERP master data governance for customers, suppliers, items, BOMs, chart of accounts, cost centers and pricing: keep evidence current, monitor drift, benchmark externally and refresh risk tests after organizational, system or market changes.</t>
        </is>
      </c>
      <c r="T326" s="13" t="n">
        <v>4</v>
      </c>
      <c r="U326" s="13" t="n">
        <v>3</v>
      </c>
      <c r="V326" s="13" t="n">
        <v>3</v>
      </c>
      <c r="W326" s="13" t="n">
        <v>2</v>
      </c>
      <c r="X326" s="13" t="n">
        <v>1</v>
      </c>
      <c r="Y326" s="13" t="n">
        <v>1</v>
      </c>
      <c r="Z326" s="13" t="inlineStr">
        <is>
          <t>COBIT; ITIL 4; ISO/IEC 27001; ISO/IEC 20000-1; ERP/CRM/MES/HRMS implementation practices</t>
        </is>
      </c>
      <c r="AA326" s="13" t="inlineStr">
        <is>
          <t>Policy/SOP; owner/RACI; system report; dashboard; contracts; test records; incident history; interview evidence related to ERP master data governance for customers, suppliers, items, BOMs, chart of accounts, cost centers and pricing.</t>
        </is>
      </c>
      <c r="AB326" s="13" t="inlineStr">
        <is>
          <t>IT outage; Decision failure; Process disruption</t>
        </is>
      </c>
      <c r="AC326" s="13" t="inlineStr">
        <is>
          <t>CIO / Business Systems</t>
        </is>
      </c>
      <c r="AD326" s="13" t="inlineStr">
        <is>
          <t>Business Systems!6</t>
        </is>
      </c>
      <c r="AE326">
        <f>IF($A326="","",IF(OR(ISNUMBER(SEARCH("cyber",$D326)),ISNUMBER(SEARCH("security",$D326)),ISNUMBER(SEARCH("safety",$D326)),ISNUMBER(SEARCH("liquidity",$D326)),ISNUMBER(SEARCH("cash",$D326)),ISNUMBER(SEARCH("continuity",$D326)),ISNUMBER(SEARCH("infrastructure",$D326)),ISNUMBER(SEARCH("outage",$D326))),"Fast",IF(OR(ISNUMBER(SEARCH("compliance",$D326)),ISNUMBER(SEARCH("regulat",$D326)),ISNUMBER(SEARCH("data",$D326)),ISNUMBER(SEARCH("talent",$D326)),ISNUMBER(SEARCH("knowledge",$D326)),ISNUMBER(SEARCH("portfolio",$D326)),ISNUMBER(SEARCH("quality",$D326))),"Slow","Medium")))</f>
        <v/>
      </c>
      <c r="AF326">
        <f>IF($A326="","",IFERROR(VLOOKUP($B326,'_CONFIG_Risk_Calibration'!$A$5:$H$21,2,FALSE),3))</f>
        <v/>
      </c>
      <c r="AG326">
        <f>IF($A326="","",IFERROR(VLOOKUP($B326,'_CONFIG_Risk_Calibration'!$A$5:$H$21,3,FALSE),0))</f>
        <v/>
      </c>
      <c r="AH326">
        <f>IF($A326="","",IFERROR(VLOOKUP($B326,'_CONFIG_Risk_Calibration'!$A$5:$H$21,4,FALSE),3))</f>
        <v/>
      </c>
      <c r="AI326">
        <f>IF($A326="","",IFERROR(VLOOKUP($B326,'_CONFIG_Risk_Calibration'!$A$5:$H$21,5,FALSE),3))</f>
        <v/>
      </c>
      <c r="AJ326">
        <f>IF($A326="","",IFERROR(VLOOKUP($B326,'_CONFIG_Risk_Calibration'!$A$5:$H$21,6,FALSE),"No"))</f>
        <v/>
      </c>
      <c r="AK326">
        <f>IF($A326="","",IFERROR(VLOOKUP($B326,'_CONFIG_Risk_Calibration'!$A$5:$H$21,7,FALSE),1))</f>
        <v/>
      </c>
      <c r="AL326">
        <f>IF($A326="","",IFERROR(VLOOKUP($B326,'_CONFIG_Risk_Calibration'!$A$5:$H$21,8,FALSE),""))</f>
        <v/>
      </c>
    </row>
    <row r="327" ht="72" customHeight="1" s="209">
      <c r="A327" s="13" t="inlineStr">
        <is>
          <t>BUSI-003</t>
        </is>
      </c>
      <c r="B327" s="13" t="inlineStr">
        <is>
          <t>Business Systems</t>
        </is>
      </c>
      <c r="C327" s="13" t="inlineStr">
        <is>
          <t>ERP</t>
        </is>
      </c>
      <c r="D327" s="13" t="inlineStr">
        <is>
          <t>Enterprise systems and application continuity</t>
        </is>
      </c>
      <c r="E327" s="13" t="inlineStr">
        <is>
          <t>How mature is the organization in managing ERP access controls, approvals and segregation of duties, including ownership, evidence, metrics, fallback procedures and crisis stress testing?</t>
        </is>
      </c>
      <c r="F327" s="13" t="inlineStr">
        <is>
          <t>Immature capability for ERP access controls, approvals and segregation of duties may lead to ERP, CRM, MES or HRMS disruption, broken integrations and manual workarounds that fail under stress during IT outage; Decision failure; Process disruption.</t>
        </is>
      </c>
      <c r="G327" s="13" t="inlineStr">
        <is>
          <t>Low maturity, weak ownership, incomplete evidence, insufficient testing and poor integration with crisis-management routines for ERP access controls, approvals and segregation of duties.</t>
        </is>
      </c>
      <c r="H327" s="13" t="inlineStr">
        <is>
          <t>Severe risk: ERP access controls, approvals and segregation of duties is not reliably controlled. During IT outage; Decision failure; Process disruption, the organization may face ERP, CRM, MES or HRMS disruption, broken integrations and manual workarounds that fail under stress with limited visibility or accountability.</t>
        </is>
      </c>
      <c r="I327" s="13" t="inlineStr">
        <is>
          <t>High risk: ERP access controls, approvals and segregation of duties depends on informal practices or individual knowledge. Disruption may expose ERP, CRM, MES or HRMS disruption, broken integrations and manual workarounds that fail under stress and slow recovery.</t>
        </is>
      </c>
      <c r="J327" s="13" t="inlineStr">
        <is>
          <t>Elevated risk: ERP access controls, approvals and segregation of duties is partially controlled, but coverage, evidence or testing is inconsistent. Crisis response may be fragmented.</t>
        </is>
      </c>
      <c r="K327" s="13" t="inlineStr">
        <is>
          <t>Moderate risk: ERP access controls, approvals and segregation of duties is documented and owned, but measurement, stress testing and integration with dependent processes need strengthening.</t>
        </is>
      </c>
      <c r="L327" s="13" t="inlineStr">
        <is>
          <t>Residual risk: ERP access controls, approvals and segregation of duties is measured and reviewed, but monitoring, automation or scenario testing should be improved to prevent maturity drift.</t>
        </is>
      </c>
      <c r="M327" s="13" t="inlineStr">
        <is>
          <t>Low residual risk: ERP access controls, approvals and segregation of duties is mature and crisis-tested. Maintain monitoring, evidence, ownership and periodic stress testing.</t>
        </is>
      </c>
      <c r="N327" s="13" t="inlineStr">
        <is>
          <t>Create an immediate risk owner, minimum control baseline and fallback procedure for ERP access controls, approvals and segregation of duties. Add it to the crisis risk register and collect first evidence.</t>
        </is>
      </c>
      <c r="O327" s="13" t="inlineStr">
        <is>
          <t>Document ERP access controls, approvals and segregation of duties, assign RACI, define minimum controls and KPIs, and validate coverage across key sites, teams or systems.</t>
        </is>
      </c>
      <c r="P327" s="13" t="inlineStr">
        <is>
          <t>Standardize ERP access controls, approvals and segregation of duties, close coverage gaps, train accountable roles and connect controls to the relevant crisis scenarios and continuity plans.</t>
        </is>
      </c>
      <c r="Q327" s="13" t="inlineStr">
        <is>
          <t>Measure and test ERP access controls, approvals and segregation of duties, run tabletop or operational stress tests, integrate it with dependent processes and update crisis playbooks.</t>
        </is>
      </c>
      <c r="R327" s="13" t="inlineStr">
        <is>
          <t>Automate monitoring where practical, define leading indicators, run periodic scenario tests and track residual risk after each major change.</t>
        </is>
      </c>
      <c r="S327" s="13" t="inlineStr">
        <is>
          <t>Sustain maturity for ERP access controls, approvals and segregation of duties: keep evidence current, monitor drift, benchmark externally and refresh risk tests after organizational, system or market changes.</t>
        </is>
      </c>
      <c r="T327" s="13" t="n">
        <v>4</v>
      </c>
      <c r="U327" s="13" t="n">
        <v>3</v>
      </c>
      <c r="V327" s="13" t="n">
        <v>3</v>
      </c>
      <c r="W327" s="13" t="n">
        <v>2</v>
      </c>
      <c r="X327" s="13" t="n">
        <v>1</v>
      </c>
      <c r="Y327" s="13" t="n">
        <v>1</v>
      </c>
      <c r="Z327" s="13" t="inlineStr">
        <is>
          <t>COBIT; ITIL 4; ISO/IEC 27001; ISO/IEC 20000-1; ERP/CRM/MES/HRMS implementation practices</t>
        </is>
      </c>
      <c r="AA327" s="13" t="inlineStr">
        <is>
          <t>Policy/SOP; owner/RACI; system report; dashboard; contracts; test records; incident history; interview evidence related to ERP access controls, approvals and segregation of duties.</t>
        </is>
      </c>
      <c r="AB327" s="13" t="inlineStr">
        <is>
          <t>IT outage; Decision failure; Process disruption</t>
        </is>
      </c>
      <c r="AC327" s="13" t="inlineStr">
        <is>
          <t>CIO / Business Systems</t>
        </is>
      </c>
      <c r="AD327" s="13" t="inlineStr">
        <is>
          <t>Business Systems!7</t>
        </is>
      </c>
      <c r="AE327">
        <f>IF($A327="","",IF(OR(ISNUMBER(SEARCH("cyber",$D327)),ISNUMBER(SEARCH("security",$D327)),ISNUMBER(SEARCH("safety",$D327)),ISNUMBER(SEARCH("liquidity",$D327)),ISNUMBER(SEARCH("cash",$D327)),ISNUMBER(SEARCH("continuity",$D327)),ISNUMBER(SEARCH("infrastructure",$D327)),ISNUMBER(SEARCH("outage",$D327))),"Fast",IF(OR(ISNUMBER(SEARCH("compliance",$D327)),ISNUMBER(SEARCH("regulat",$D327)),ISNUMBER(SEARCH("data",$D327)),ISNUMBER(SEARCH("talent",$D327)),ISNUMBER(SEARCH("knowledge",$D327)),ISNUMBER(SEARCH("portfolio",$D327)),ISNUMBER(SEARCH("quality",$D327))),"Slow","Medium")))</f>
        <v/>
      </c>
      <c r="AF327">
        <f>IF($A327="","",IFERROR(VLOOKUP($B327,'_CONFIG_Risk_Calibration'!$A$5:$H$21,2,FALSE),3))</f>
        <v/>
      </c>
      <c r="AG327">
        <f>IF($A327="","",IFERROR(VLOOKUP($B327,'_CONFIG_Risk_Calibration'!$A$5:$H$21,3,FALSE),0))</f>
        <v/>
      </c>
      <c r="AH327">
        <f>IF($A327="","",IFERROR(VLOOKUP($B327,'_CONFIG_Risk_Calibration'!$A$5:$H$21,4,FALSE),3))</f>
        <v/>
      </c>
      <c r="AI327">
        <f>IF($A327="","",IFERROR(VLOOKUP($B327,'_CONFIG_Risk_Calibration'!$A$5:$H$21,5,FALSE),3))</f>
        <v/>
      </c>
      <c r="AJ327">
        <f>IF($A327="","",IFERROR(VLOOKUP($B327,'_CONFIG_Risk_Calibration'!$A$5:$H$21,6,FALSE),"No"))</f>
        <v/>
      </c>
      <c r="AK327">
        <f>IF($A327="","",IFERROR(VLOOKUP($B327,'_CONFIG_Risk_Calibration'!$A$5:$H$21,7,FALSE),1))</f>
        <v/>
      </c>
      <c r="AL327">
        <f>IF($A327="","",IFERROR(VLOOKUP($B327,'_CONFIG_Risk_Calibration'!$A$5:$H$21,8,FALSE),""))</f>
        <v/>
      </c>
    </row>
    <row r="328" ht="72" customHeight="1" s="209">
      <c r="A328" s="13" t="inlineStr">
        <is>
          <t>BUSI-004</t>
        </is>
      </c>
      <c r="B328" s="13" t="inlineStr">
        <is>
          <t>Business Systems</t>
        </is>
      </c>
      <c r="C328" s="13" t="inlineStr">
        <is>
          <t>ERP</t>
        </is>
      </c>
      <c r="D328" s="13" t="inlineStr">
        <is>
          <t>Enterprise systems and application continuity</t>
        </is>
      </c>
      <c r="E328" s="13" t="inlineStr">
        <is>
          <t>How mature is the organization in managing ERP continuity with RTO, RPO, backup, vendor support and manual fallback, including ownership, evidence, metrics, fallback procedures and crisis stress testing?</t>
        </is>
      </c>
      <c r="F328" s="13" t="inlineStr">
        <is>
          <t>Immature capability for ERP continuity with RTO, RPO, backup, vendor support and manual fallback may lead to ERP, CRM, MES or HRMS disruption, broken integrations and manual workarounds that fail under stress during IT outage; Decision failure; Process disruption.</t>
        </is>
      </c>
      <c r="G328" s="13" t="inlineStr">
        <is>
          <t>Low maturity, weak ownership, incomplete evidence, insufficient testing and poor integration with crisis-management routines for ERP continuity with RTO, RPO, backup, vendor support and manual fallback.</t>
        </is>
      </c>
      <c r="H328" s="13" t="inlineStr">
        <is>
          <t>Severe risk: ERP continuity with RTO, RPO, backup, vendor support and manual fallback is not reliably controlled. During IT outage; Decision failure; Process disruption, the organization may face ERP, CRM, MES or HRMS disruption, broken integrations and manual workarounds that fail under stress with limited visibility or accountability.</t>
        </is>
      </c>
      <c r="I328" s="13" t="inlineStr">
        <is>
          <t>High risk: ERP continuity with RTO, RPO, backup, vendor support and manual fallback depends on informal practices or individual knowledge. Disruption may expose ERP, CRM, MES or HRMS disruption, broken integrations and manual workarounds that fail under stress and slow recovery.</t>
        </is>
      </c>
      <c r="J328" s="13" t="inlineStr">
        <is>
          <t>Elevated risk: ERP continuity with RTO, RPO, backup, vendor support and manual fallback is partially controlled, but coverage, evidence or testing is inconsistent. Crisis response may be fragmented.</t>
        </is>
      </c>
      <c r="K328" s="13" t="inlineStr">
        <is>
          <t>Moderate risk: ERP continuity with RTO, RPO, backup, vendor support and manual fallback is documented and owned, but measurement, stress testing and integration with dependent processes need strengthening.</t>
        </is>
      </c>
      <c r="L328" s="13" t="inlineStr">
        <is>
          <t>Residual risk: ERP continuity with RTO, RPO, backup, vendor support and manual fallback is measured and reviewed, but monitoring, automation or scenario testing should be improved to prevent maturity drift.</t>
        </is>
      </c>
      <c r="M328" s="13" t="inlineStr">
        <is>
          <t>Low residual risk: ERP continuity with RTO, RPO, backup, vendor support and manual fallback is mature and crisis-tested. Maintain monitoring, evidence, ownership and periodic stress testing.</t>
        </is>
      </c>
      <c r="N328" s="13" t="inlineStr">
        <is>
          <t>Create an immediate risk owner, minimum control baseline and fallback procedure for ERP continuity with RTO, RPO, backup, vendor support and manual fallback. Add it to the crisis risk register and collect first evidence.</t>
        </is>
      </c>
      <c r="O328" s="13" t="inlineStr">
        <is>
          <t>Document ERP continuity with RTO, RPO, backup, vendor support and manual fallback, assign RACI, define minimum controls and KPIs, and validate coverage across key sites, teams or systems.</t>
        </is>
      </c>
      <c r="P328" s="13" t="inlineStr">
        <is>
          <t>Standardize ERP continuity with RTO, RPO, backup, vendor support and manual fallback, close coverage gaps, train accountable roles and connect controls to the relevant crisis scenarios and continuity plans.</t>
        </is>
      </c>
      <c r="Q328" s="13" t="inlineStr">
        <is>
          <t>Measure and test ERP continuity with RTO, RPO, backup, vendor support and manual fallback, run tabletop or operational stress tests, integrate it with dependent processes and update crisis playbooks.</t>
        </is>
      </c>
      <c r="R328" s="13" t="inlineStr">
        <is>
          <t>Automate monitoring where practical, define leading indicators, run periodic scenario tests and track residual risk after each major change.</t>
        </is>
      </c>
      <c r="S328" s="13" t="inlineStr">
        <is>
          <t>Sustain maturity for ERP continuity with RTO, RPO, backup, vendor support and manual fallback: keep evidence current, monitor drift, benchmark externally and refresh risk tests after organizational, system or market changes.</t>
        </is>
      </c>
      <c r="T328" s="13" t="n">
        <v>4</v>
      </c>
      <c r="U328" s="13" t="n">
        <v>3</v>
      </c>
      <c r="V328" s="13" t="n">
        <v>3</v>
      </c>
      <c r="W328" s="13" t="n">
        <v>2</v>
      </c>
      <c r="X328" s="13" t="n">
        <v>1</v>
      </c>
      <c r="Y328" s="13" t="n">
        <v>1</v>
      </c>
      <c r="Z328" s="13" t="inlineStr">
        <is>
          <t>COBIT; ITIL 4; ISO/IEC 27001; ISO/IEC 20000-1; ERP/CRM/MES/HRMS implementation practices</t>
        </is>
      </c>
      <c r="AA328" s="13" t="inlineStr">
        <is>
          <t>Policy/SOP; owner/RACI; system report; dashboard; contracts; test records; incident history; interview evidence related to ERP continuity with RTO, RPO, backup, vendor support and manual fallback.</t>
        </is>
      </c>
      <c r="AB328" s="13" t="inlineStr">
        <is>
          <t>IT outage; Decision failure; Process disruption</t>
        </is>
      </c>
      <c r="AC328" s="13" t="inlineStr">
        <is>
          <t>CIO / Business Systems</t>
        </is>
      </c>
      <c r="AD328" s="13" t="inlineStr">
        <is>
          <t>Business Systems!8</t>
        </is>
      </c>
      <c r="AE328">
        <f>IF($A328="","",IF(OR(ISNUMBER(SEARCH("cyber",$D328)),ISNUMBER(SEARCH("security",$D328)),ISNUMBER(SEARCH("safety",$D328)),ISNUMBER(SEARCH("liquidity",$D328)),ISNUMBER(SEARCH("cash",$D328)),ISNUMBER(SEARCH("continuity",$D328)),ISNUMBER(SEARCH("infrastructure",$D328)),ISNUMBER(SEARCH("outage",$D328))),"Fast",IF(OR(ISNUMBER(SEARCH("compliance",$D328)),ISNUMBER(SEARCH("regulat",$D328)),ISNUMBER(SEARCH("data",$D328)),ISNUMBER(SEARCH("talent",$D328)),ISNUMBER(SEARCH("knowledge",$D328)),ISNUMBER(SEARCH("portfolio",$D328)),ISNUMBER(SEARCH("quality",$D328))),"Slow","Medium")))</f>
        <v/>
      </c>
      <c r="AF328">
        <f>IF($A328="","",IFERROR(VLOOKUP($B328,'_CONFIG_Risk_Calibration'!$A$5:$H$21,2,FALSE),3))</f>
        <v/>
      </c>
      <c r="AG328">
        <f>IF($A328="","",IFERROR(VLOOKUP($B328,'_CONFIG_Risk_Calibration'!$A$5:$H$21,3,FALSE),0))</f>
        <v/>
      </c>
      <c r="AH328">
        <f>IF($A328="","",IFERROR(VLOOKUP($B328,'_CONFIG_Risk_Calibration'!$A$5:$H$21,4,FALSE),3))</f>
        <v/>
      </c>
      <c r="AI328">
        <f>IF($A328="","",IFERROR(VLOOKUP($B328,'_CONFIG_Risk_Calibration'!$A$5:$H$21,5,FALSE),3))</f>
        <v/>
      </c>
      <c r="AJ328">
        <f>IF($A328="","",IFERROR(VLOOKUP($B328,'_CONFIG_Risk_Calibration'!$A$5:$H$21,6,FALSE),"No"))</f>
        <v/>
      </c>
      <c r="AK328">
        <f>IF($A328="","",IFERROR(VLOOKUP($B328,'_CONFIG_Risk_Calibration'!$A$5:$H$21,7,FALSE),1))</f>
        <v/>
      </c>
      <c r="AL328">
        <f>IF($A328="","",IFERROR(VLOOKUP($B328,'_CONFIG_Risk_Calibration'!$A$5:$H$21,8,FALSE),""))</f>
        <v/>
      </c>
    </row>
    <row r="329" ht="72" customHeight="1" s="209">
      <c r="A329" s="13" t="inlineStr">
        <is>
          <t>BUSI-005</t>
        </is>
      </c>
      <c r="B329" s="13" t="inlineStr">
        <is>
          <t>Business Systems</t>
        </is>
      </c>
      <c r="C329" s="13" t="inlineStr">
        <is>
          <t>ERP</t>
        </is>
      </c>
      <c r="D329" s="13" t="inlineStr">
        <is>
          <t>Enterprise systems and application continuity</t>
        </is>
      </c>
      <c r="E329" s="13" t="inlineStr">
        <is>
          <t>How mature is the organization in managing ERP workflow for procure-to-pay, order-to-cash, record-to-report and plan-to-produce where relevant, including ownership, evidence, metrics, fallback procedures and crisis stress testing?</t>
        </is>
      </c>
      <c r="F329" s="13" t="inlineStr">
        <is>
          <t>Immature capability for ERP workflow for procure-to-pay, order-to-cash, record-to-report and plan-to-produce where relevant may lead to ERP, CRM, MES or HRMS disruption, broken integrations and manual workarounds that fail under stress during IT outage; Decision failure; Process disruption.</t>
        </is>
      </c>
      <c r="G329" s="13" t="inlineStr">
        <is>
          <t>Low maturity, weak ownership, incomplete evidence, insufficient testing and poor integration with crisis-management routines for ERP workflow for procure-to-pay, order-to-cash, record-to-report and plan-to-produce where relevant.</t>
        </is>
      </c>
      <c r="H329" s="13" t="inlineStr">
        <is>
          <t>Severe risk: ERP workflow for procure-to-pay, order-to-cash, record-to-report and plan-to-produce where relevant is not reliably controlled. During IT outage; Decision failure; Process disruption, the organization may face ERP, CRM, MES or HRMS disruption, broken integrations and manual workarounds that fail under stress with limited visibility or accountability.</t>
        </is>
      </c>
      <c r="I329" s="13" t="inlineStr">
        <is>
          <t>High risk: ERP workflow for procure-to-pay, order-to-cash, record-to-report and plan-to-produce where relevant depends on informal practices or individual knowledge. Disruption may expose ERP, CRM, MES or HRMS disruption, broken integrations and manual workarounds that fail under stress and slow recovery.</t>
        </is>
      </c>
      <c r="J329" s="13" t="inlineStr">
        <is>
          <t>Elevated risk: ERP workflow for procure-to-pay, order-to-cash, record-to-report and plan-to-produce where relevant is partially controlled, but coverage, evidence or testing is inconsistent. Crisis response may be fragmented.</t>
        </is>
      </c>
      <c r="K329" s="13" t="inlineStr">
        <is>
          <t>Moderate risk: ERP workflow for procure-to-pay, order-to-cash, record-to-report and plan-to-produce where relevant is documented and owned, but measurement, stress testing and integration with dependent processes need strengthening.</t>
        </is>
      </c>
      <c r="L329" s="13" t="inlineStr">
        <is>
          <t>Residual risk: ERP workflow for procure-to-pay, order-to-cash, record-to-report and plan-to-produce where relevant is measured and reviewed, but monitoring, automation or scenario testing should be improved to prevent maturity drift.</t>
        </is>
      </c>
      <c r="M329" s="13" t="inlineStr">
        <is>
          <t>Low residual risk: ERP workflow for procure-to-pay, order-to-cash, record-to-report and plan-to-produce where relevant is mature and crisis-tested. Maintain monitoring, evidence, ownership and periodic stress testing.</t>
        </is>
      </c>
      <c r="N329" s="13" t="inlineStr">
        <is>
          <t>Create an immediate risk owner, minimum control baseline and fallback procedure for ERP workflow for procure-to-pay, order-to-cash, record-to-report and plan-to-produce where relevant. Add it to the crisis risk register and collect first evidence.</t>
        </is>
      </c>
      <c r="O329" s="13" t="inlineStr">
        <is>
          <t>Document ERP workflow for procure-to-pay, order-to-cash, record-to-report and plan-to-produce where relevant, assign RACI, define minimum controls and KPIs, and validate coverage across key sites, teams or systems.</t>
        </is>
      </c>
      <c r="P329" s="13" t="inlineStr">
        <is>
          <t>Standardize ERP workflow for procure-to-pay, order-to-cash, record-to-report and plan-to-produce where relevant, close coverage gaps, train accountable roles and connect controls to the relevant crisis scenarios and continuity plans.</t>
        </is>
      </c>
      <c r="Q329" s="13" t="inlineStr">
        <is>
          <t>Measure and test ERP workflow for procure-to-pay, order-to-cash, record-to-report and plan-to-produce where relevant, run tabletop or operational stress tests, integrate it with dependent processes and update crisis playbooks.</t>
        </is>
      </c>
      <c r="R329" s="13" t="inlineStr">
        <is>
          <t>Automate monitoring where practical, define leading indicators, run periodic scenario tests and track residual risk after each major change.</t>
        </is>
      </c>
      <c r="S329" s="13" t="inlineStr">
        <is>
          <t>Sustain maturity for ERP workflow for procure-to-pay, order-to-cash, record-to-report and plan-to-produce where relevant: keep evidence current, monitor drift, benchmark externally and refresh risk tests after organizational, system or market changes.</t>
        </is>
      </c>
      <c r="T329" s="13" t="n">
        <v>4</v>
      </c>
      <c r="U329" s="13" t="n">
        <v>3</v>
      </c>
      <c r="V329" s="13" t="n">
        <v>3</v>
      </c>
      <c r="W329" s="13" t="n">
        <v>2</v>
      </c>
      <c r="X329" s="13" t="n">
        <v>1</v>
      </c>
      <c r="Y329" s="13" t="n">
        <v>1</v>
      </c>
      <c r="Z329" s="13" t="inlineStr">
        <is>
          <t>COBIT; ITIL 4; ISO/IEC 27001; ISO/IEC 20000-1; ERP/CRM/MES/HRMS implementation practices</t>
        </is>
      </c>
      <c r="AA329" s="13" t="inlineStr">
        <is>
          <t>Policy/SOP; owner/RACI; system report; dashboard; contracts; test records; incident history; interview evidence related to ERP workflow for procure-to-pay, order-to-cash, record-to-report and plan-to-produce where relevant.</t>
        </is>
      </c>
      <c r="AB329" s="13" t="inlineStr">
        <is>
          <t>IT outage; Decision failure; Process disruption</t>
        </is>
      </c>
      <c r="AC329" s="13" t="inlineStr">
        <is>
          <t>CIO / Business Systems</t>
        </is>
      </c>
      <c r="AD329" s="13" t="inlineStr">
        <is>
          <t>Business Systems!9</t>
        </is>
      </c>
      <c r="AE329">
        <f>IF($A329="","",IF(OR(ISNUMBER(SEARCH("cyber",$D329)),ISNUMBER(SEARCH("security",$D329)),ISNUMBER(SEARCH("safety",$D329)),ISNUMBER(SEARCH("liquidity",$D329)),ISNUMBER(SEARCH("cash",$D329)),ISNUMBER(SEARCH("continuity",$D329)),ISNUMBER(SEARCH("infrastructure",$D329)),ISNUMBER(SEARCH("outage",$D329))),"Fast",IF(OR(ISNUMBER(SEARCH("compliance",$D329)),ISNUMBER(SEARCH("regulat",$D329)),ISNUMBER(SEARCH("data",$D329)),ISNUMBER(SEARCH("talent",$D329)),ISNUMBER(SEARCH("knowledge",$D329)),ISNUMBER(SEARCH("portfolio",$D329)),ISNUMBER(SEARCH("quality",$D329))),"Slow","Medium")))</f>
        <v/>
      </c>
      <c r="AF329">
        <f>IF($A329="","",IFERROR(VLOOKUP($B329,'_CONFIG_Risk_Calibration'!$A$5:$H$21,2,FALSE),3))</f>
        <v/>
      </c>
      <c r="AG329">
        <f>IF($A329="","",IFERROR(VLOOKUP($B329,'_CONFIG_Risk_Calibration'!$A$5:$H$21,3,FALSE),0))</f>
        <v/>
      </c>
      <c r="AH329">
        <f>IF($A329="","",IFERROR(VLOOKUP($B329,'_CONFIG_Risk_Calibration'!$A$5:$H$21,4,FALSE),3))</f>
        <v/>
      </c>
      <c r="AI329">
        <f>IF($A329="","",IFERROR(VLOOKUP($B329,'_CONFIG_Risk_Calibration'!$A$5:$H$21,5,FALSE),3))</f>
        <v/>
      </c>
      <c r="AJ329">
        <f>IF($A329="","",IFERROR(VLOOKUP($B329,'_CONFIG_Risk_Calibration'!$A$5:$H$21,6,FALSE),"No"))</f>
        <v/>
      </c>
      <c r="AK329">
        <f>IF($A329="","",IFERROR(VLOOKUP($B329,'_CONFIG_Risk_Calibration'!$A$5:$H$21,7,FALSE),1))</f>
        <v/>
      </c>
      <c r="AL329">
        <f>IF($A329="","",IFERROR(VLOOKUP($B329,'_CONFIG_Risk_Calibration'!$A$5:$H$21,8,FALSE),""))</f>
        <v/>
      </c>
    </row>
    <row r="330" ht="72" customHeight="1" s="209">
      <c r="A330" s="13" t="inlineStr">
        <is>
          <t>BUSI-006</t>
        </is>
      </c>
      <c r="B330" s="13" t="inlineStr">
        <is>
          <t>Business Systems</t>
        </is>
      </c>
      <c r="C330" s="13" t="inlineStr">
        <is>
          <t>CRM and commerce</t>
        </is>
      </c>
      <c r="D330" s="13" t="inlineStr">
        <is>
          <t>Enterprise systems and application continuity</t>
        </is>
      </c>
      <c r="E330" s="13" t="inlineStr">
        <is>
          <t>How mature is the organization in managing CRM process coverage for lead-to-cash, customer ownership, pipeline, forecast and account management, including ownership, evidence, metrics, fallback procedures and crisis stress testing?</t>
        </is>
      </c>
      <c r="F330" s="13" t="inlineStr">
        <is>
          <t>Immature capability for CRM process coverage for lead-to-cash, customer ownership, pipeline, forecast and account management may lead to ERP, CRM, MES or HRMS disruption, broken integrations and manual workarounds that fail under stress during IT outage; Decision failure; Process disruption.</t>
        </is>
      </c>
      <c r="G330" s="13" t="inlineStr">
        <is>
          <t>Low maturity, weak ownership, incomplete evidence, insufficient testing and poor integration with crisis-management routines for CRM process coverage for lead-to-cash, customer ownership, pipeline, forecast and account management.</t>
        </is>
      </c>
      <c r="H330" s="13" t="inlineStr">
        <is>
          <t>Severe risk: CRM process coverage for lead-to-cash, customer ownership, pipeline, forecast and account management is not reliably controlled. During IT outage; Decision failure; Process disruption, the organization may face ERP, CRM, MES or HRMS disruption, broken integrations and manual workarounds that fail under stress with limited visibility or accountability.</t>
        </is>
      </c>
      <c r="I330" s="13" t="inlineStr">
        <is>
          <t>High risk: CRM process coverage for lead-to-cash, customer ownership, pipeline, forecast and account management depends on informal practices or individual knowledge. Disruption may expose ERP, CRM, MES or HRMS disruption, broken integrations and manual workarounds that fail under stress and slow recovery.</t>
        </is>
      </c>
      <c r="J330" s="13" t="inlineStr">
        <is>
          <t>Elevated risk: CRM process coverage for lead-to-cash, customer ownership, pipeline, forecast and account management is partially controlled, but coverage, evidence or testing is inconsistent. Crisis response may be fragmented.</t>
        </is>
      </c>
      <c r="K330" s="13" t="inlineStr">
        <is>
          <t>Moderate risk: CRM process coverage for lead-to-cash, customer ownership, pipeline, forecast and account management is documented and owned, but measurement, stress testing and integration with dependent processes need strengthening.</t>
        </is>
      </c>
      <c r="L330" s="13" t="inlineStr">
        <is>
          <t>Residual risk: CRM process coverage for lead-to-cash, customer ownership, pipeline, forecast and account management is measured and reviewed, but monitoring, automation or scenario testing should be improved to prevent maturity drift.</t>
        </is>
      </c>
      <c r="M330" s="13" t="inlineStr">
        <is>
          <t>Low residual risk: CRM process coverage for lead-to-cash, customer ownership, pipeline, forecast and account management is mature and crisis-tested. Maintain monitoring, evidence, ownership and periodic stress testing.</t>
        </is>
      </c>
      <c r="N330" s="13" t="inlineStr">
        <is>
          <t>Create an immediate risk owner, minimum control baseline and fallback procedure for CRM process coverage for lead-to-cash, customer ownership, pipeline, forecast and account management. Add it to the crisis risk register and collect first evidence.</t>
        </is>
      </c>
      <c r="O330" s="13" t="inlineStr">
        <is>
          <t>Document CRM process coverage for lead-to-cash, customer ownership, pipeline, forecast and account management, assign RACI, define minimum controls and KPIs, and validate coverage across key sites, teams or systems.</t>
        </is>
      </c>
      <c r="P330" s="13" t="inlineStr">
        <is>
          <t>Standardize CRM process coverage for lead-to-cash, customer ownership, pipeline, forecast and account management, close coverage gaps, train accountable roles and connect controls to the relevant crisis scenarios and continuity plans.</t>
        </is>
      </c>
      <c r="Q330" s="13" t="inlineStr">
        <is>
          <t>Measure and test CRM process coverage for lead-to-cash, customer ownership, pipeline, forecast and account management, run tabletop or operational stress tests, integrate it with dependent processes and update crisis playbooks.</t>
        </is>
      </c>
      <c r="R330" s="13" t="inlineStr">
        <is>
          <t>Automate monitoring where practical, define leading indicators, run periodic scenario tests and track residual risk after each major change.</t>
        </is>
      </c>
      <c r="S330" s="13" t="inlineStr">
        <is>
          <t>Sustain maturity for CRM process coverage for lead-to-cash, customer ownership, pipeline, forecast and account management: keep evidence current, monitor drift, benchmark externally and refresh risk tests after organizational, system or market changes.</t>
        </is>
      </c>
      <c r="T330" s="13" t="n">
        <v>4</v>
      </c>
      <c r="U330" s="13" t="n">
        <v>3</v>
      </c>
      <c r="V330" s="13" t="n">
        <v>3</v>
      </c>
      <c r="W330" s="13" t="n">
        <v>2</v>
      </c>
      <c r="X330" s="13" t="n">
        <v>1</v>
      </c>
      <c r="Y330" s="13" t="n">
        <v>1</v>
      </c>
      <c r="Z330" s="13" t="inlineStr">
        <is>
          <t>COBIT; ITIL 4; ISO/IEC 27001; ISO/IEC 20000-1; ERP/CRM/MES/HRMS implementation practices</t>
        </is>
      </c>
      <c r="AA330" s="13" t="inlineStr">
        <is>
          <t>Policy/SOP; owner/RACI; system report; dashboard; contracts; test records; incident history; interview evidence related to CRM process coverage for lead-to-cash, customer ownership, pipeline, forecast and account management.</t>
        </is>
      </c>
      <c r="AB330" s="13" t="inlineStr">
        <is>
          <t>IT outage; Decision failure; Process disruption</t>
        </is>
      </c>
      <c r="AC330" s="13" t="inlineStr">
        <is>
          <t>CIO / Business Systems</t>
        </is>
      </c>
      <c r="AD330" s="13" t="inlineStr">
        <is>
          <t>Business Systems!10</t>
        </is>
      </c>
      <c r="AE330">
        <f>IF($A330="","",IF(OR(ISNUMBER(SEARCH("cyber",$D330)),ISNUMBER(SEARCH("security",$D330)),ISNUMBER(SEARCH("safety",$D330)),ISNUMBER(SEARCH("liquidity",$D330)),ISNUMBER(SEARCH("cash",$D330)),ISNUMBER(SEARCH("continuity",$D330)),ISNUMBER(SEARCH("infrastructure",$D330)),ISNUMBER(SEARCH("outage",$D330))),"Fast",IF(OR(ISNUMBER(SEARCH("compliance",$D330)),ISNUMBER(SEARCH("regulat",$D330)),ISNUMBER(SEARCH("data",$D330)),ISNUMBER(SEARCH("talent",$D330)),ISNUMBER(SEARCH("knowledge",$D330)),ISNUMBER(SEARCH("portfolio",$D330)),ISNUMBER(SEARCH("quality",$D330))),"Slow","Medium")))</f>
        <v/>
      </c>
      <c r="AF330">
        <f>IF($A330="","",IFERROR(VLOOKUP($B330,'_CONFIG_Risk_Calibration'!$A$5:$H$21,2,FALSE),3))</f>
        <v/>
      </c>
      <c r="AG330">
        <f>IF($A330="","",IFERROR(VLOOKUP($B330,'_CONFIG_Risk_Calibration'!$A$5:$H$21,3,FALSE),0))</f>
        <v/>
      </c>
      <c r="AH330">
        <f>IF($A330="","",IFERROR(VLOOKUP($B330,'_CONFIG_Risk_Calibration'!$A$5:$H$21,4,FALSE),3))</f>
        <v/>
      </c>
      <c r="AI330">
        <f>IF($A330="","",IFERROR(VLOOKUP($B330,'_CONFIG_Risk_Calibration'!$A$5:$H$21,5,FALSE),3))</f>
        <v/>
      </c>
      <c r="AJ330">
        <f>IF($A330="","",IFERROR(VLOOKUP($B330,'_CONFIG_Risk_Calibration'!$A$5:$H$21,6,FALSE),"No"))</f>
        <v/>
      </c>
      <c r="AK330">
        <f>IF($A330="","",IFERROR(VLOOKUP($B330,'_CONFIG_Risk_Calibration'!$A$5:$H$21,7,FALSE),1))</f>
        <v/>
      </c>
      <c r="AL330">
        <f>IF($A330="","",IFERROR(VLOOKUP($B330,'_CONFIG_Risk_Calibration'!$A$5:$H$21,8,FALSE),""))</f>
        <v/>
      </c>
    </row>
    <row r="331" ht="72" customHeight="1" s="209">
      <c r="A331" s="13" t="inlineStr">
        <is>
          <t>BUSI-007</t>
        </is>
      </c>
      <c r="B331" s="13" t="inlineStr">
        <is>
          <t>Business Systems</t>
        </is>
      </c>
      <c r="C331" s="13" t="inlineStr">
        <is>
          <t>CRM and commerce</t>
        </is>
      </c>
      <c r="D331" s="13" t="inlineStr">
        <is>
          <t>Enterprise systems and application continuity</t>
        </is>
      </c>
      <c r="E331" s="13" t="inlineStr">
        <is>
          <t>How mature is the organization in managing CRM integration with ERP, billing, support, ecommerce and marketing automation, including ownership, evidence, metrics, fallback procedures and crisis stress testing?</t>
        </is>
      </c>
      <c r="F331" s="13" t="inlineStr">
        <is>
          <t>Immature capability for CRM integration with ERP, billing, support, ecommerce and marketing automation may lead to ERP, CRM, MES or HRMS disruption, broken integrations and manual workarounds that fail under stress during IT outage; Decision failure; Process disruption.</t>
        </is>
      </c>
      <c r="G331" s="13" t="inlineStr">
        <is>
          <t>Low maturity, weak ownership, incomplete evidence, insufficient testing and poor integration with crisis-management routines for CRM integration with ERP, billing, support, ecommerce and marketing automation.</t>
        </is>
      </c>
      <c r="H331" s="13" t="inlineStr">
        <is>
          <t>Severe risk: CRM integration with ERP, billing, support, ecommerce and marketing automation is not reliably controlled. During IT outage; Decision failure; Process disruption, the organization may face ERP, CRM, MES or HRMS disruption, broken integrations and manual workarounds that fail under stress with limited visibility or accountability.</t>
        </is>
      </c>
      <c r="I331" s="13" t="inlineStr">
        <is>
          <t>High risk: CRM integration with ERP, billing, support, ecommerce and marketing automation depends on informal practices or individual knowledge. Disruption may expose ERP, CRM, MES or HRMS disruption, broken integrations and manual workarounds that fail under stress and slow recovery.</t>
        </is>
      </c>
      <c r="J331" s="13" t="inlineStr">
        <is>
          <t>Elevated risk: CRM integration with ERP, billing, support, ecommerce and marketing automation is partially controlled, but coverage, evidence or testing is inconsistent. Crisis response may be fragmented.</t>
        </is>
      </c>
      <c r="K331" s="13" t="inlineStr">
        <is>
          <t>Moderate risk: CRM integration with ERP, billing, support, ecommerce and marketing automation is documented and owned, but measurement, stress testing and integration with dependent processes need strengthening.</t>
        </is>
      </c>
      <c r="L331" s="13" t="inlineStr">
        <is>
          <t>Residual risk: CRM integration with ERP, billing, support, ecommerce and marketing automation is measured and reviewed, but monitoring, automation or scenario testing should be improved to prevent maturity drift.</t>
        </is>
      </c>
      <c r="M331" s="13" t="inlineStr">
        <is>
          <t>Low residual risk: CRM integration with ERP, billing, support, ecommerce and marketing automation is mature and crisis-tested. Maintain monitoring, evidence, ownership and periodic stress testing.</t>
        </is>
      </c>
      <c r="N331" s="13" t="inlineStr">
        <is>
          <t>Create an immediate risk owner, minimum control baseline and fallback procedure for CRM integration with ERP, billing, support, ecommerce and marketing automation. Add it to the crisis risk register and collect first evidence.</t>
        </is>
      </c>
      <c r="O331" s="13" t="inlineStr">
        <is>
          <t>Document CRM integration with ERP, billing, support, ecommerce and marketing automation, assign RACI, define minimum controls and KPIs, and validate coverage across key sites, teams or systems.</t>
        </is>
      </c>
      <c r="P331" s="13" t="inlineStr">
        <is>
          <t>Standardize CRM integration with ERP, billing, support, ecommerce and marketing automation, close coverage gaps, train accountable roles and connect controls to the relevant crisis scenarios and continuity plans.</t>
        </is>
      </c>
      <c r="Q331" s="13" t="inlineStr">
        <is>
          <t>Measure and test CRM integration with ERP, billing, support, ecommerce and marketing automation, run tabletop or operational stress tests, integrate it with dependent processes and update crisis playbooks.</t>
        </is>
      </c>
      <c r="R331" s="13" t="inlineStr">
        <is>
          <t>Automate monitoring where practical, define leading indicators, run periodic scenario tests and track residual risk after each major change.</t>
        </is>
      </c>
      <c r="S331" s="13" t="inlineStr">
        <is>
          <t>Sustain maturity for CRM integration with ERP, billing, support, ecommerce and marketing automation: keep evidence current, monitor drift, benchmark externally and refresh risk tests after organizational, system or market changes.</t>
        </is>
      </c>
      <c r="T331" s="13" t="n">
        <v>4</v>
      </c>
      <c r="U331" s="13" t="n">
        <v>3</v>
      </c>
      <c r="V331" s="13" t="n">
        <v>3</v>
      </c>
      <c r="W331" s="13" t="n">
        <v>2</v>
      </c>
      <c r="X331" s="13" t="n">
        <v>1</v>
      </c>
      <c r="Y331" s="13" t="n">
        <v>1</v>
      </c>
      <c r="Z331" s="13" t="inlineStr">
        <is>
          <t>COBIT; ITIL 4; ISO/IEC 27001; ISO/IEC 20000-1; ERP/CRM/MES/HRMS implementation practices</t>
        </is>
      </c>
      <c r="AA331" s="13" t="inlineStr">
        <is>
          <t>Policy/SOP; owner/RACI; system report; dashboard; contracts; test records; incident history; interview evidence related to CRM integration with ERP, billing, support, ecommerce and marketing automation.</t>
        </is>
      </c>
      <c r="AB331" s="13" t="inlineStr">
        <is>
          <t>IT outage; Decision failure; Process disruption</t>
        </is>
      </c>
      <c r="AC331" s="13" t="inlineStr">
        <is>
          <t>CIO / Business Systems</t>
        </is>
      </c>
      <c r="AD331" s="13" t="inlineStr">
        <is>
          <t>Business Systems!11</t>
        </is>
      </c>
      <c r="AE331">
        <f>IF($A331="","",IF(OR(ISNUMBER(SEARCH("cyber",$D331)),ISNUMBER(SEARCH("security",$D331)),ISNUMBER(SEARCH("safety",$D331)),ISNUMBER(SEARCH("liquidity",$D331)),ISNUMBER(SEARCH("cash",$D331)),ISNUMBER(SEARCH("continuity",$D331)),ISNUMBER(SEARCH("infrastructure",$D331)),ISNUMBER(SEARCH("outage",$D331))),"Fast",IF(OR(ISNUMBER(SEARCH("compliance",$D331)),ISNUMBER(SEARCH("regulat",$D331)),ISNUMBER(SEARCH("data",$D331)),ISNUMBER(SEARCH("talent",$D331)),ISNUMBER(SEARCH("knowledge",$D331)),ISNUMBER(SEARCH("portfolio",$D331)),ISNUMBER(SEARCH("quality",$D331))),"Slow","Medium")))</f>
        <v/>
      </c>
      <c r="AF331">
        <f>IF($A331="","",IFERROR(VLOOKUP($B331,'_CONFIG_Risk_Calibration'!$A$5:$H$21,2,FALSE),3))</f>
        <v/>
      </c>
      <c r="AG331">
        <f>IF($A331="","",IFERROR(VLOOKUP($B331,'_CONFIG_Risk_Calibration'!$A$5:$H$21,3,FALSE),0))</f>
        <v/>
      </c>
      <c r="AH331">
        <f>IF($A331="","",IFERROR(VLOOKUP($B331,'_CONFIG_Risk_Calibration'!$A$5:$H$21,4,FALSE),3))</f>
        <v/>
      </c>
      <c r="AI331">
        <f>IF($A331="","",IFERROR(VLOOKUP($B331,'_CONFIG_Risk_Calibration'!$A$5:$H$21,5,FALSE),3))</f>
        <v/>
      </c>
      <c r="AJ331">
        <f>IF($A331="","",IFERROR(VLOOKUP($B331,'_CONFIG_Risk_Calibration'!$A$5:$H$21,6,FALSE),"No"))</f>
        <v/>
      </c>
      <c r="AK331">
        <f>IF($A331="","",IFERROR(VLOOKUP($B331,'_CONFIG_Risk_Calibration'!$A$5:$H$21,7,FALSE),1))</f>
        <v/>
      </c>
      <c r="AL331">
        <f>IF($A331="","",IFERROR(VLOOKUP($B331,'_CONFIG_Risk_Calibration'!$A$5:$H$21,8,FALSE),""))</f>
        <v/>
      </c>
    </row>
    <row r="332" ht="72" customHeight="1" s="209">
      <c r="A332" s="13" t="inlineStr">
        <is>
          <t>BUSI-009</t>
        </is>
      </c>
      <c r="B332" s="13" t="inlineStr">
        <is>
          <t>Business Systems</t>
        </is>
      </c>
      <c r="C332" s="13" t="inlineStr">
        <is>
          <t>CRM and commerce</t>
        </is>
      </c>
      <c r="D332" s="13" t="inlineStr">
        <is>
          <t>Enterprise systems and application continuity</t>
        </is>
      </c>
      <c r="E332" s="13" t="inlineStr">
        <is>
          <t>How mature is the organization in managing customer portal availability and data accuracy during disruption, including ownership, evidence, metrics, fallback procedures and crisis stress testing?</t>
        </is>
      </c>
      <c r="F332" s="13" t="inlineStr">
        <is>
          <t>Immature capability for customer portal availability and data accuracy during disruption may lead to ERP, CRM, MES or HRMS disruption, broken integrations and manual workarounds that fail under stress during IT outage; Decision failure; Process disruption.</t>
        </is>
      </c>
      <c r="G332" s="13" t="inlineStr">
        <is>
          <t>Low maturity, weak ownership, incomplete evidence, insufficient testing and poor integration with crisis-management routines for customer portal availability and data accuracy during disruption.</t>
        </is>
      </c>
      <c r="H332" s="13" t="inlineStr">
        <is>
          <t>Severe risk: customer portal availability and data accuracy during disruption is not reliably controlled. During IT outage; Decision failure; Process disruption, the organization may face ERP, CRM, MES or HRMS disruption, broken integrations and manual workarounds that fail under stress with limited visibility or accountability.</t>
        </is>
      </c>
      <c r="I332" s="13" t="inlineStr">
        <is>
          <t>High risk: customer portal availability and data accuracy during disruption depends on informal practices or individual knowledge. Disruption may expose ERP, CRM, MES or HRMS disruption, broken integrations and manual workarounds that fail under stress and slow recovery.</t>
        </is>
      </c>
      <c r="J332" s="13" t="inlineStr">
        <is>
          <t>Elevated risk: customer portal availability and data accuracy during disruption is partially controlled, but coverage, evidence or testing is inconsistent. Crisis response may be fragmented.</t>
        </is>
      </c>
      <c r="K332" s="13" t="inlineStr">
        <is>
          <t>Moderate risk: customer portal availability and data accuracy during disruption is documented and owned, but measurement, stress testing and integration with dependent processes need strengthening.</t>
        </is>
      </c>
      <c r="L332" s="13" t="inlineStr">
        <is>
          <t>Residual risk: customer portal availability and data accuracy during disruption is measured and reviewed, but monitoring, automation or scenario testing should be improved to prevent maturity drift.</t>
        </is>
      </c>
      <c r="M332" s="13" t="inlineStr">
        <is>
          <t>Low residual risk: customer portal availability and data accuracy during disruption is mature and crisis-tested. Maintain monitoring, evidence, ownership and periodic stress testing.</t>
        </is>
      </c>
      <c r="N332" s="13" t="inlineStr">
        <is>
          <t>Create an immediate risk owner, minimum control baseline and fallback procedure for customer portal availability and data accuracy during disruption. Add it to the crisis risk register and collect first evidence.</t>
        </is>
      </c>
      <c r="O332" s="13" t="inlineStr">
        <is>
          <t>Document customer portal availability and data accuracy during disruption, assign RACI, define minimum controls and KPIs, and validate coverage across key sites, teams or systems.</t>
        </is>
      </c>
      <c r="P332" s="13" t="inlineStr">
        <is>
          <t>Standardize customer portal availability and data accuracy during disruption, close coverage gaps, train accountable roles and connect controls to the relevant crisis scenarios and continuity plans.</t>
        </is>
      </c>
      <c r="Q332" s="13" t="inlineStr">
        <is>
          <t>Measure and test customer portal availability and data accuracy during disruption, run tabletop or operational stress tests, integrate it with dependent processes and update crisis playbooks.</t>
        </is>
      </c>
      <c r="R332" s="13" t="inlineStr">
        <is>
          <t>Automate monitoring where practical, define leading indicators, run periodic scenario tests and track residual risk after each major change.</t>
        </is>
      </c>
      <c r="S332" s="13" t="inlineStr">
        <is>
          <t>Sustain maturity for customer portal availability and data accuracy during disruption: keep evidence current, monitor drift, benchmark externally and refresh risk tests after organizational, system or market changes.</t>
        </is>
      </c>
      <c r="T332" s="13" t="n">
        <v>4</v>
      </c>
      <c r="U332" s="13" t="n">
        <v>3</v>
      </c>
      <c r="V332" s="13" t="n">
        <v>3</v>
      </c>
      <c r="W332" s="13" t="n">
        <v>2</v>
      </c>
      <c r="X332" s="13" t="n">
        <v>1</v>
      </c>
      <c r="Y332" s="13" t="n">
        <v>1</v>
      </c>
      <c r="Z332" s="13" t="inlineStr">
        <is>
          <t>COBIT; ITIL 4; ISO/IEC 27001; ISO/IEC 20000-1; ERP/CRM/MES/HRMS implementation practices</t>
        </is>
      </c>
      <c r="AA332" s="13" t="inlineStr">
        <is>
          <t>Policy/SOP; owner/RACI; system report; dashboard; contracts; test records; incident history; interview evidence related to customer portal availability and data accuracy during disruption.</t>
        </is>
      </c>
      <c r="AB332" s="13" t="inlineStr">
        <is>
          <t>IT outage; Decision failure; Process disruption</t>
        </is>
      </c>
      <c r="AC332" s="13" t="inlineStr">
        <is>
          <t>CIO / Business Systems</t>
        </is>
      </c>
      <c r="AD332" s="13" t="inlineStr">
        <is>
          <t>Business Systems!12</t>
        </is>
      </c>
      <c r="AE332">
        <f>IF($A332="","",IF(OR(ISNUMBER(SEARCH("cyber",$D332)),ISNUMBER(SEARCH("security",$D332)),ISNUMBER(SEARCH("safety",$D332)),ISNUMBER(SEARCH("liquidity",$D332)),ISNUMBER(SEARCH("cash",$D332)),ISNUMBER(SEARCH("continuity",$D332)),ISNUMBER(SEARCH("infrastructure",$D332)),ISNUMBER(SEARCH("outage",$D332))),"Fast",IF(OR(ISNUMBER(SEARCH("compliance",$D332)),ISNUMBER(SEARCH("regulat",$D332)),ISNUMBER(SEARCH("data",$D332)),ISNUMBER(SEARCH("talent",$D332)),ISNUMBER(SEARCH("knowledge",$D332)),ISNUMBER(SEARCH("portfolio",$D332)),ISNUMBER(SEARCH("quality",$D332))),"Slow","Medium")))</f>
        <v/>
      </c>
      <c r="AF332">
        <f>IF($A332="","",IFERROR(VLOOKUP($B332,'_CONFIG_Risk_Calibration'!$A$5:$H$21,2,FALSE),3))</f>
        <v/>
      </c>
      <c r="AG332">
        <f>IF($A332="","",IFERROR(VLOOKUP($B332,'_CONFIG_Risk_Calibration'!$A$5:$H$21,3,FALSE),0))</f>
        <v/>
      </c>
      <c r="AH332">
        <f>IF($A332="","",IFERROR(VLOOKUP($B332,'_CONFIG_Risk_Calibration'!$A$5:$H$21,4,FALSE),3))</f>
        <v/>
      </c>
      <c r="AI332">
        <f>IF($A332="","",IFERROR(VLOOKUP($B332,'_CONFIG_Risk_Calibration'!$A$5:$H$21,5,FALSE),3))</f>
        <v/>
      </c>
      <c r="AJ332">
        <f>IF($A332="","",IFERROR(VLOOKUP($B332,'_CONFIG_Risk_Calibration'!$A$5:$H$21,6,FALSE),"No"))</f>
        <v/>
      </c>
      <c r="AK332">
        <f>IF($A332="","",IFERROR(VLOOKUP($B332,'_CONFIG_Risk_Calibration'!$A$5:$H$21,7,FALSE),1))</f>
        <v/>
      </c>
      <c r="AL332">
        <f>IF($A332="","",IFERROR(VLOOKUP($B332,'_CONFIG_Risk_Calibration'!$A$5:$H$21,8,FALSE),""))</f>
        <v/>
      </c>
    </row>
    <row r="333" ht="72" customHeight="1" s="209">
      <c r="A333" s="13" t="inlineStr">
        <is>
          <t>BUSI-010</t>
        </is>
      </c>
      <c r="B333" s="13" t="inlineStr">
        <is>
          <t>Business Systems</t>
        </is>
      </c>
      <c r="C333" s="13" t="inlineStr">
        <is>
          <t>MES WMS TMS</t>
        </is>
      </c>
      <c r="D333" s="13" t="inlineStr">
        <is>
          <t>Enterprise systems and application continuity</t>
        </is>
      </c>
      <c r="E333" s="13" t="inlineStr">
        <is>
          <t>How mature is the organization in managing MES support for production orders, execution, traceability, downtime, quality and labor, including ownership, evidence, metrics, fallback procedures and crisis stress testing?</t>
        </is>
      </c>
      <c r="F333" s="13" t="inlineStr">
        <is>
          <t>Immature capability for MES support for production orders, execution, traceability, downtime, quality and labor may lead to ERP, CRM, MES or HRMS disruption, broken integrations and manual workarounds that fail under stress during IT outage; Decision failure; Process disruption.</t>
        </is>
      </c>
      <c r="G333" s="13" t="inlineStr">
        <is>
          <t>Low maturity, weak ownership, incomplete evidence, insufficient testing and poor integration with crisis-management routines for MES support for production orders, execution, traceability, downtime, quality and labor.</t>
        </is>
      </c>
      <c r="H333" s="13" t="inlineStr">
        <is>
          <t>Severe risk: MES support for production orders, execution, traceability, downtime, quality and labor is not reliably controlled. During IT outage; Decision failure; Process disruption, the organization may face ERP, CRM, MES or HRMS disruption, broken integrations and manual workarounds that fail under stress with limited visibility or accountability.</t>
        </is>
      </c>
      <c r="I333" s="13" t="inlineStr">
        <is>
          <t>High risk: MES support for production orders, execution, traceability, downtime, quality and labor depends on informal practices or individual knowledge. Disruption may expose ERP, CRM, MES or HRMS disruption, broken integrations and manual workarounds that fail under stress and slow recovery.</t>
        </is>
      </c>
      <c r="J333" s="13" t="inlineStr">
        <is>
          <t>Elevated risk: MES support for production orders, execution, traceability, downtime, quality and labor is partially controlled, but coverage, evidence or testing is inconsistent. Crisis response may be fragmented.</t>
        </is>
      </c>
      <c r="K333" s="13" t="inlineStr">
        <is>
          <t>Moderate risk: MES support for production orders, execution, traceability, downtime, quality and labor is documented and owned, but measurement, stress testing and integration with dependent processes need strengthening.</t>
        </is>
      </c>
      <c r="L333" s="13" t="inlineStr">
        <is>
          <t>Residual risk: MES support for production orders, execution, traceability, downtime, quality and labor is measured and reviewed, but monitoring, automation or scenario testing should be improved to prevent maturity drift.</t>
        </is>
      </c>
      <c r="M333" s="13" t="inlineStr">
        <is>
          <t>Low residual risk: MES support for production orders, execution, traceability, downtime, quality and labor is mature and crisis-tested. Maintain monitoring, evidence, ownership and periodic stress testing.</t>
        </is>
      </c>
      <c r="N333" s="13" t="inlineStr">
        <is>
          <t>Create an immediate risk owner, minimum control baseline and fallback procedure for MES support for production orders, execution, traceability, downtime, quality and labor. Add it to the crisis risk register and collect first evidence.</t>
        </is>
      </c>
      <c r="O333" s="13" t="inlineStr">
        <is>
          <t>Document MES support for production orders, execution, traceability, downtime, quality and labor, assign RACI, define minimum controls and KPIs, and validate coverage across key sites, teams or systems.</t>
        </is>
      </c>
      <c r="P333" s="13" t="inlineStr">
        <is>
          <t>Standardize MES support for production orders, execution, traceability, downtime, quality and labor, close coverage gaps, train accountable roles and connect controls to the relevant crisis scenarios and continuity plans.</t>
        </is>
      </c>
      <c r="Q333" s="13" t="inlineStr">
        <is>
          <t>Measure and test MES support for production orders, execution, traceability, downtime, quality and labor, run tabletop or operational stress tests, integrate it with dependent processes and update crisis playbooks.</t>
        </is>
      </c>
      <c r="R333" s="13" t="inlineStr">
        <is>
          <t>Automate monitoring where practical, define leading indicators, run periodic scenario tests and track residual risk after each major change.</t>
        </is>
      </c>
      <c r="S333" s="13" t="inlineStr">
        <is>
          <t>Sustain maturity for MES support for production orders, execution, traceability, downtime, quality and labor: keep evidence current, monitor drift, benchmark externally and refresh risk tests after organizational, system or market changes.</t>
        </is>
      </c>
      <c r="T333" s="13" t="n">
        <v>4</v>
      </c>
      <c r="U333" s="13" t="n">
        <v>3</v>
      </c>
      <c r="V333" s="13" t="n">
        <v>3</v>
      </c>
      <c r="W333" s="13" t="n">
        <v>2</v>
      </c>
      <c r="X333" s="13" t="n">
        <v>1</v>
      </c>
      <c r="Y333" s="13" t="n">
        <v>1</v>
      </c>
      <c r="Z333" s="13" t="inlineStr">
        <is>
          <t>COBIT; ITIL 4; ISO/IEC 27001; ISO/IEC 20000-1; ERP/CRM/MES/HRMS implementation practices</t>
        </is>
      </c>
      <c r="AA333" s="13" t="inlineStr">
        <is>
          <t>Policy/SOP; owner/RACI; system report; dashboard; contracts; test records; incident history; interview evidence related to MES support for production orders, execution, traceability, downtime, quality and labor.</t>
        </is>
      </c>
      <c r="AB333" s="13" t="inlineStr">
        <is>
          <t>IT outage; Decision failure; Process disruption</t>
        </is>
      </c>
      <c r="AC333" s="13" t="inlineStr">
        <is>
          <t>CIO / Business Systems</t>
        </is>
      </c>
      <c r="AD333" s="13" t="inlineStr">
        <is>
          <t>Business Systems!13</t>
        </is>
      </c>
      <c r="AE333">
        <f>IF($A333="","",IF(OR(ISNUMBER(SEARCH("cyber",$D333)),ISNUMBER(SEARCH("security",$D333)),ISNUMBER(SEARCH("safety",$D333)),ISNUMBER(SEARCH("liquidity",$D333)),ISNUMBER(SEARCH("cash",$D333)),ISNUMBER(SEARCH("continuity",$D333)),ISNUMBER(SEARCH("infrastructure",$D333)),ISNUMBER(SEARCH("outage",$D333))),"Fast",IF(OR(ISNUMBER(SEARCH("compliance",$D333)),ISNUMBER(SEARCH("regulat",$D333)),ISNUMBER(SEARCH("data",$D333)),ISNUMBER(SEARCH("talent",$D333)),ISNUMBER(SEARCH("knowledge",$D333)),ISNUMBER(SEARCH("portfolio",$D333)),ISNUMBER(SEARCH("quality",$D333))),"Slow","Medium")))</f>
        <v/>
      </c>
      <c r="AF333">
        <f>IF($A333="","",IFERROR(VLOOKUP($B333,'_CONFIG_Risk_Calibration'!$A$5:$H$21,2,FALSE),3))</f>
        <v/>
      </c>
      <c r="AG333">
        <f>IF($A333="","",IFERROR(VLOOKUP($B333,'_CONFIG_Risk_Calibration'!$A$5:$H$21,3,FALSE),0))</f>
        <v/>
      </c>
      <c r="AH333">
        <f>IF($A333="","",IFERROR(VLOOKUP($B333,'_CONFIG_Risk_Calibration'!$A$5:$H$21,4,FALSE),3))</f>
        <v/>
      </c>
      <c r="AI333">
        <f>IF($A333="","",IFERROR(VLOOKUP($B333,'_CONFIG_Risk_Calibration'!$A$5:$H$21,5,FALSE),3))</f>
        <v/>
      </c>
      <c r="AJ333">
        <f>IF($A333="","",IFERROR(VLOOKUP($B333,'_CONFIG_Risk_Calibration'!$A$5:$H$21,6,FALSE),"No"))</f>
        <v/>
      </c>
      <c r="AK333">
        <f>IF($A333="","",IFERROR(VLOOKUP($B333,'_CONFIG_Risk_Calibration'!$A$5:$H$21,7,FALSE),1))</f>
        <v/>
      </c>
      <c r="AL333">
        <f>IF($A333="","",IFERROR(VLOOKUP($B333,'_CONFIG_Risk_Calibration'!$A$5:$H$21,8,FALSE),""))</f>
        <v/>
      </c>
    </row>
    <row r="334" ht="72" customHeight="1" s="209">
      <c r="A334" s="13" t="inlineStr">
        <is>
          <t>BUSI-011</t>
        </is>
      </c>
      <c r="B334" s="13" t="inlineStr">
        <is>
          <t>Business Systems</t>
        </is>
      </c>
      <c r="C334" s="13" t="inlineStr">
        <is>
          <t>MES WMS TMS</t>
        </is>
      </c>
      <c r="D334" s="13" t="inlineStr">
        <is>
          <t>Enterprise systems and application continuity</t>
        </is>
      </c>
      <c r="E334" s="13" t="inlineStr">
        <is>
          <t>How mature is the organization in managing MES-ERP integration for orders, inventory consumption, output and quality data, including ownership, evidence, metrics, fallback procedures and crisis stress testing?</t>
        </is>
      </c>
      <c r="F334" s="13" t="inlineStr">
        <is>
          <t>Immature capability for MES-ERP integration for orders, inventory consumption, output and quality data may lead to ERP, CRM, MES or HRMS disruption, broken integrations and manual workarounds that fail under stress during IT outage; Decision failure; Process disruption.</t>
        </is>
      </c>
      <c r="G334" s="13" t="inlineStr">
        <is>
          <t>Low maturity, weak ownership, incomplete evidence, insufficient testing and poor integration with crisis-management routines for MES-ERP integration for orders, inventory consumption, output and quality data.</t>
        </is>
      </c>
      <c r="H334" s="13" t="inlineStr">
        <is>
          <t>Severe risk: MES-ERP integration for orders, inventory consumption, output and quality data is not reliably controlled. During IT outage; Decision failure; Process disruption, the organization may face ERP, CRM, MES or HRMS disruption, broken integrations and manual workarounds that fail under stress with limited visibility or accountability.</t>
        </is>
      </c>
      <c r="I334" s="13" t="inlineStr">
        <is>
          <t>High risk: MES-ERP integration for orders, inventory consumption, output and quality data depends on informal practices or individual knowledge. Disruption may expose ERP, CRM, MES or HRMS disruption, broken integrations and manual workarounds that fail under stress and slow recovery.</t>
        </is>
      </c>
      <c r="J334" s="13" t="inlineStr">
        <is>
          <t>Elevated risk: MES-ERP integration for orders, inventory consumption, output and quality data is partially controlled, but coverage, evidence or testing is inconsistent. Crisis response may be fragmented.</t>
        </is>
      </c>
      <c r="K334" s="13" t="inlineStr">
        <is>
          <t>Moderate risk: MES-ERP integration for orders, inventory consumption, output and quality data is documented and owned, but measurement, stress testing and integration with dependent processes need strengthening.</t>
        </is>
      </c>
      <c r="L334" s="13" t="inlineStr">
        <is>
          <t>Residual risk: MES-ERP integration for orders, inventory consumption, output and quality data is measured and reviewed, but monitoring, automation or scenario testing should be improved to prevent maturity drift.</t>
        </is>
      </c>
      <c r="M334" s="13" t="inlineStr">
        <is>
          <t>Low residual risk: MES-ERP integration for orders, inventory consumption, output and quality data is mature and crisis-tested. Maintain monitoring, evidence, ownership and periodic stress testing.</t>
        </is>
      </c>
      <c r="N334" s="13" t="inlineStr">
        <is>
          <t>Create an immediate risk owner, minimum control baseline and fallback procedure for MES-ERP integration for orders, inventory consumption, output and quality data. Add it to the crisis risk register and collect first evidence.</t>
        </is>
      </c>
      <c r="O334" s="13" t="inlineStr">
        <is>
          <t>Document MES-ERP integration for orders, inventory consumption, output and quality data, assign RACI, define minimum controls and KPIs, and validate coverage across key sites, teams or systems.</t>
        </is>
      </c>
      <c r="P334" s="13" t="inlineStr">
        <is>
          <t>Standardize MES-ERP integration for orders, inventory consumption, output and quality data, close coverage gaps, train accountable roles and connect controls to the relevant crisis scenarios and continuity plans.</t>
        </is>
      </c>
      <c r="Q334" s="13" t="inlineStr">
        <is>
          <t>Measure and test MES-ERP integration for orders, inventory consumption, output and quality data, run tabletop or operational stress tests, integrate it with dependent processes and update crisis playbooks.</t>
        </is>
      </c>
      <c r="R334" s="13" t="inlineStr">
        <is>
          <t>Automate monitoring where practical, define leading indicators, run periodic scenario tests and track residual risk after each major change.</t>
        </is>
      </c>
      <c r="S334" s="13" t="inlineStr">
        <is>
          <t>Sustain maturity for MES-ERP integration for orders, inventory consumption, output and quality data: keep evidence current, monitor drift, benchmark externally and refresh risk tests after organizational, system or market changes.</t>
        </is>
      </c>
      <c r="T334" s="13" t="n">
        <v>4</v>
      </c>
      <c r="U334" s="13" t="n">
        <v>3</v>
      </c>
      <c r="V334" s="13" t="n">
        <v>3</v>
      </c>
      <c r="W334" s="13" t="n">
        <v>2</v>
      </c>
      <c r="X334" s="13" t="n">
        <v>1</v>
      </c>
      <c r="Y334" s="13" t="n">
        <v>1</v>
      </c>
      <c r="Z334" s="13" t="inlineStr">
        <is>
          <t>COBIT; ITIL 4; ISO/IEC 27001; ISO/IEC 20000-1; ERP/CRM/MES/HRMS implementation practices</t>
        </is>
      </c>
      <c r="AA334" s="13" t="inlineStr">
        <is>
          <t>Policy/SOP; owner/RACI; system report; dashboard; contracts; test records; incident history; interview evidence related to MES-ERP integration for orders, inventory consumption, output and quality data.</t>
        </is>
      </c>
      <c r="AB334" s="13" t="inlineStr">
        <is>
          <t>IT outage; Decision failure; Process disruption</t>
        </is>
      </c>
      <c r="AC334" s="13" t="inlineStr">
        <is>
          <t>CIO / Business Systems</t>
        </is>
      </c>
      <c r="AD334" s="13" t="inlineStr">
        <is>
          <t>Business Systems!14</t>
        </is>
      </c>
      <c r="AE334">
        <f>IF($A334="","",IF(OR(ISNUMBER(SEARCH("cyber",$D334)),ISNUMBER(SEARCH("security",$D334)),ISNUMBER(SEARCH("safety",$D334)),ISNUMBER(SEARCH("liquidity",$D334)),ISNUMBER(SEARCH("cash",$D334)),ISNUMBER(SEARCH("continuity",$D334)),ISNUMBER(SEARCH("infrastructure",$D334)),ISNUMBER(SEARCH("outage",$D334))),"Fast",IF(OR(ISNUMBER(SEARCH("compliance",$D334)),ISNUMBER(SEARCH("regulat",$D334)),ISNUMBER(SEARCH("data",$D334)),ISNUMBER(SEARCH("talent",$D334)),ISNUMBER(SEARCH("knowledge",$D334)),ISNUMBER(SEARCH("portfolio",$D334)),ISNUMBER(SEARCH("quality",$D334))),"Slow","Medium")))</f>
        <v/>
      </c>
      <c r="AF334">
        <f>IF($A334="","",IFERROR(VLOOKUP($B334,'_CONFIG_Risk_Calibration'!$A$5:$H$21,2,FALSE),3))</f>
        <v/>
      </c>
      <c r="AG334">
        <f>IF($A334="","",IFERROR(VLOOKUP($B334,'_CONFIG_Risk_Calibration'!$A$5:$H$21,3,FALSE),0))</f>
        <v/>
      </c>
      <c r="AH334">
        <f>IF($A334="","",IFERROR(VLOOKUP($B334,'_CONFIG_Risk_Calibration'!$A$5:$H$21,4,FALSE),3))</f>
        <v/>
      </c>
      <c r="AI334">
        <f>IF($A334="","",IFERROR(VLOOKUP($B334,'_CONFIG_Risk_Calibration'!$A$5:$H$21,5,FALSE),3))</f>
        <v/>
      </c>
      <c r="AJ334">
        <f>IF($A334="","",IFERROR(VLOOKUP($B334,'_CONFIG_Risk_Calibration'!$A$5:$H$21,6,FALSE),"No"))</f>
        <v/>
      </c>
      <c r="AK334">
        <f>IF($A334="","",IFERROR(VLOOKUP($B334,'_CONFIG_Risk_Calibration'!$A$5:$H$21,7,FALSE),1))</f>
        <v/>
      </c>
      <c r="AL334">
        <f>IF($A334="","",IFERROR(VLOOKUP($B334,'_CONFIG_Risk_Calibration'!$A$5:$H$21,8,FALSE),""))</f>
        <v/>
      </c>
    </row>
    <row r="335" ht="72" customHeight="1" s="209">
      <c r="A335" s="13" t="inlineStr">
        <is>
          <t>BUSI-012</t>
        </is>
      </c>
      <c r="B335" s="13" t="inlineStr">
        <is>
          <t>Business Systems</t>
        </is>
      </c>
      <c r="C335" s="13" t="inlineStr">
        <is>
          <t>MES WMS TMS</t>
        </is>
      </c>
      <c r="D335" s="13" t="inlineStr">
        <is>
          <t>Enterprise systems and application continuity</t>
        </is>
      </c>
      <c r="E335" s="13" t="inlineStr">
        <is>
          <t>How mature is the organization in managing WMS support for inventory movement, location, status, batch, picking, packing and cycle counts, including ownership, evidence, metrics, fallback procedures and crisis stress testing?</t>
        </is>
      </c>
      <c r="F335" s="13" t="inlineStr">
        <is>
          <t>Immature capability for WMS support for inventory movement, location, status, batch, picking, packing and cycle counts may lead to ERP, CRM, MES or HRMS disruption, broken integrations and manual workarounds that fail under stress during IT outage; Decision failure; Process disruption.</t>
        </is>
      </c>
      <c r="G335" s="13" t="inlineStr">
        <is>
          <t>Low maturity, weak ownership, incomplete evidence, insufficient testing and poor integration with crisis-management routines for WMS support for inventory movement, location, status, batch, picking, packing and cycle counts.</t>
        </is>
      </c>
      <c r="H335" s="13" t="inlineStr">
        <is>
          <t>Severe risk: WMS support for inventory movement, location, status, batch, picking, packing and cycle counts is not reliably controlled. During IT outage; Decision failure; Process disruption, the organization may face ERP, CRM, MES or HRMS disruption, broken integrations and manual workarounds that fail under stress with limited visibility or accountability.</t>
        </is>
      </c>
      <c r="I335" s="13" t="inlineStr">
        <is>
          <t>High risk: WMS support for inventory movement, location, status, batch, picking, packing and cycle counts depends on informal practices or individual knowledge. Disruption may expose ERP, CRM, MES or HRMS disruption, broken integrations and manual workarounds that fail under stress and slow recovery.</t>
        </is>
      </c>
      <c r="J335" s="13" t="inlineStr">
        <is>
          <t>Elevated risk: WMS support for inventory movement, location, status, batch, picking, packing and cycle counts is partially controlled, but coverage, evidence or testing is inconsistent. Crisis response may be fragmented.</t>
        </is>
      </c>
      <c r="K335" s="13" t="inlineStr">
        <is>
          <t>Moderate risk: WMS support for inventory movement, location, status, batch, picking, packing and cycle counts is documented and owned, but measurement, stress testing and integration with dependent processes need strengthening.</t>
        </is>
      </c>
      <c r="L335" s="13" t="inlineStr">
        <is>
          <t>Residual risk: WMS support for inventory movement, location, status, batch, picking, packing and cycle counts is measured and reviewed, but monitoring, automation or scenario testing should be improved to prevent maturity drift.</t>
        </is>
      </c>
      <c r="M335" s="13" t="inlineStr">
        <is>
          <t>Low residual risk: WMS support for inventory movement, location, status, batch, picking, packing and cycle counts is mature and crisis-tested. Maintain monitoring, evidence, ownership and periodic stress testing.</t>
        </is>
      </c>
      <c r="N335" s="13" t="inlineStr">
        <is>
          <t>Create an immediate risk owner, minimum control baseline and fallback procedure for WMS support for inventory movement, location, status, batch, picking, packing and cycle counts. Add it to the crisis risk register and collect first evidence.</t>
        </is>
      </c>
      <c r="O335" s="13" t="inlineStr">
        <is>
          <t>Document WMS support for inventory movement, location, status, batch, picking, packing and cycle counts, assign RACI, define minimum controls and KPIs, and validate coverage across key sites, teams or systems.</t>
        </is>
      </c>
      <c r="P335" s="13" t="inlineStr">
        <is>
          <t>Standardize WMS support for inventory movement, location, status, batch, picking, packing and cycle counts, close coverage gaps, train accountable roles and connect controls to the relevant crisis scenarios and continuity plans.</t>
        </is>
      </c>
      <c r="Q335" s="13" t="inlineStr">
        <is>
          <t>Measure and test WMS support for inventory movement, location, status, batch, picking, packing and cycle counts, run tabletop or operational stress tests, integrate it with dependent processes and update crisis playbooks.</t>
        </is>
      </c>
      <c r="R335" s="13" t="inlineStr">
        <is>
          <t>Automate monitoring where practical, define leading indicators, run periodic scenario tests and track residual risk after each major change.</t>
        </is>
      </c>
      <c r="S335" s="13" t="inlineStr">
        <is>
          <t>Sustain maturity for WMS support for inventory movement, location, status, batch, picking, packing and cycle counts: keep evidence current, monitor drift, benchmark externally and refresh risk tests after organizational, system or market changes.</t>
        </is>
      </c>
      <c r="T335" s="13" t="n">
        <v>4</v>
      </c>
      <c r="U335" s="13" t="n">
        <v>3</v>
      </c>
      <c r="V335" s="13" t="n">
        <v>3</v>
      </c>
      <c r="W335" s="13" t="n">
        <v>2</v>
      </c>
      <c r="X335" s="13" t="n">
        <v>1</v>
      </c>
      <c r="Y335" s="13" t="n">
        <v>1</v>
      </c>
      <c r="Z335" s="13" t="inlineStr">
        <is>
          <t>COBIT; ITIL 4; ISO/IEC 27001; ISO/IEC 20000-1; ERP/CRM/MES/HRMS implementation practices</t>
        </is>
      </c>
      <c r="AA335" s="13" t="inlineStr">
        <is>
          <t>Policy/SOP; owner/RACI; system report; dashboard; contracts; test records; incident history; interview evidence related to WMS support for inventory movement, location, status, batch, picking, packing and cycle counts.</t>
        </is>
      </c>
      <c r="AB335" s="13" t="inlineStr">
        <is>
          <t>IT outage; Decision failure; Process disruption</t>
        </is>
      </c>
      <c r="AC335" s="13" t="inlineStr">
        <is>
          <t>CIO / Business Systems</t>
        </is>
      </c>
      <c r="AD335" s="13" t="inlineStr">
        <is>
          <t>Business Systems!15</t>
        </is>
      </c>
      <c r="AE335">
        <f>IF($A335="","",IF(OR(ISNUMBER(SEARCH("cyber",$D335)),ISNUMBER(SEARCH("security",$D335)),ISNUMBER(SEARCH("safety",$D335)),ISNUMBER(SEARCH("liquidity",$D335)),ISNUMBER(SEARCH("cash",$D335)),ISNUMBER(SEARCH("continuity",$D335)),ISNUMBER(SEARCH("infrastructure",$D335)),ISNUMBER(SEARCH("outage",$D335))),"Fast",IF(OR(ISNUMBER(SEARCH("compliance",$D335)),ISNUMBER(SEARCH("regulat",$D335)),ISNUMBER(SEARCH("data",$D335)),ISNUMBER(SEARCH("talent",$D335)),ISNUMBER(SEARCH("knowledge",$D335)),ISNUMBER(SEARCH("portfolio",$D335)),ISNUMBER(SEARCH("quality",$D335))),"Slow","Medium")))</f>
        <v/>
      </c>
      <c r="AF335">
        <f>IF($A335="","",IFERROR(VLOOKUP($B335,'_CONFIG_Risk_Calibration'!$A$5:$H$21,2,FALSE),3))</f>
        <v/>
      </c>
      <c r="AG335">
        <f>IF($A335="","",IFERROR(VLOOKUP($B335,'_CONFIG_Risk_Calibration'!$A$5:$H$21,3,FALSE),0))</f>
        <v/>
      </c>
      <c r="AH335">
        <f>IF($A335="","",IFERROR(VLOOKUP($B335,'_CONFIG_Risk_Calibration'!$A$5:$H$21,4,FALSE),3))</f>
        <v/>
      </c>
      <c r="AI335">
        <f>IF($A335="","",IFERROR(VLOOKUP($B335,'_CONFIG_Risk_Calibration'!$A$5:$H$21,5,FALSE),3))</f>
        <v/>
      </c>
      <c r="AJ335">
        <f>IF($A335="","",IFERROR(VLOOKUP($B335,'_CONFIG_Risk_Calibration'!$A$5:$H$21,6,FALSE),"No"))</f>
        <v/>
      </c>
      <c r="AK335">
        <f>IF($A335="","",IFERROR(VLOOKUP($B335,'_CONFIG_Risk_Calibration'!$A$5:$H$21,7,FALSE),1))</f>
        <v/>
      </c>
      <c r="AL335">
        <f>IF($A335="","",IFERROR(VLOOKUP($B335,'_CONFIG_Risk_Calibration'!$A$5:$H$21,8,FALSE),""))</f>
        <v/>
      </c>
    </row>
    <row r="336" ht="72" customHeight="1" s="209">
      <c r="A336" s="13" t="inlineStr">
        <is>
          <t>BUSI-013</t>
        </is>
      </c>
      <c r="B336" s="13" t="inlineStr">
        <is>
          <t>Business Systems</t>
        </is>
      </c>
      <c r="C336" s="13" t="inlineStr">
        <is>
          <t>MES WMS TMS</t>
        </is>
      </c>
      <c r="D336" s="13" t="inlineStr">
        <is>
          <t>Enterprise systems and application continuity</t>
        </is>
      </c>
      <c r="E336" s="13" t="inlineStr">
        <is>
          <t>How mature is the organization in managing TMS support for carrier booking, route planning, tracking and delivery visibility, including ownership, evidence, metrics, fallback procedures and crisis stress testing?</t>
        </is>
      </c>
      <c r="F336" s="13" t="inlineStr">
        <is>
          <t>Immature capability for TMS support for carrier booking, route planning, tracking and delivery visibility may lead to ERP, CRM, MES or HRMS disruption, broken integrations and manual workarounds that fail under stress during IT outage; Decision failure; Process disruption.</t>
        </is>
      </c>
      <c r="G336" s="13" t="inlineStr">
        <is>
          <t>Low maturity, weak ownership, incomplete evidence, insufficient testing and poor integration with crisis-management routines for TMS support for carrier booking, route planning, tracking and delivery visibility.</t>
        </is>
      </c>
      <c r="H336" s="13" t="inlineStr">
        <is>
          <t>Severe risk: TMS support for carrier booking, route planning, tracking and delivery visibility is not reliably controlled. During IT outage; Decision failure; Process disruption, the organization may face ERP, CRM, MES or HRMS disruption, broken integrations and manual workarounds that fail under stress with limited visibility or accountability.</t>
        </is>
      </c>
      <c r="I336" s="13" t="inlineStr">
        <is>
          <t>High risk: TMS support for carrier booking, route planning, tracking and delivery visibility depends on informal practices or individual knowledge. Disruption may expose ERP, CRM, MES or HRMS disruption, broken integrations and manual workarounds that fail under stress and slow recovery.</t>
        </is>
      </c>
      <c r="J336" s="13" t="inlineStr">
        <is>
          <t>Elevated risk: TMS support for carrier booking, route planning, tracking and delivery visibility is partially controlled, but coverage, evidence or testing is inconsistent. Crisis response may be fragmented.</t>
        </is>
      </c>
      <c r="K336" s="13" t="inlineStr">
        <is>
          <t>Moderate risk: TMS support for carrier booking, route planning, tracking and delivery visibility is documented and owned, but measurement, stress testing and integration with dependent processes need strengthening.</t>
        </is>
      </c>
      <c r="L336" s="13" t="inlineStr">
        <is>
          <t>Residual risk: TMS support for carrier booking, route planning, tracking and delivery visibility is measured and reviewed, but monitoring, automation or scenario testing should be improved to prevent maturity drift.</t>
        </is>
      </c>
      <c r="M336" s="13" t="inlineStr">
        <is>
          <t>Low residual risk: TMS support for carrier booking, route planning, tracking and delivery visibility is mature and crisis-tested. Maintain monitoring, evidence, ownership and periodic stress testing.</t>
        </is>
      </c>
      <c r="N336" s="13" t="inlineStr">
        <is>
          <t>Create an immediate risk owner, minimum control baseline and fallback procedure for TMS support for carrier booking, route planning, tracking and delivery visibility. Add it to the crisis risk register and collect first evidence.</t>
        </is>
      </c>
      <c r="O336" s="13" t="inlineStr">
        <is>
          <t>Document TMS support for carrier booking, route planning, tracking and delivery visibility, assign RACI, define minimum controls and KPIs, and validate coverage across key sites, teams or systems.</t>
        </is>
      </c>
      <c r="P336" s="13" t="inlineStr">
        <is>
          <t>Standardize TMS support for carrier booking, route planning, tracking and delivery visibility, close coverage gaps, train accountable roles and connect controls to the relevant crisis scenarios and continuity plans.</t>
        </is>
      </c>
      <c r="Q336" s="13" t="inlineStr">
        <is>
          <t>Measure and test TMS support for carrier booking, route planning, tracking and delivery visibility, run tabletop or operational stress tests, integrate it with dependent processes and update crisis playbooks.</t>
        </is>
      </c>
      <c r="R336" s="13" t="inlineStr">
        <is>
          <t>Automate monitoring where practical, define leading indicators, run periodic scenario tests and track residual risk after each major change.</t>
        </is>
      </c>
      <c r="S336" s="13" t="inlineStr">
        <is>
          <t>Sustain maturity for TMS support for carrier booking, route planning, tracking and delivery visibility: keep evidence current, monitor drift, benchmark externally and refresh risk tests after organizational, system or market changes.</t>
        </is>
      </c>
      <c r="T336" s="13" t="n">
        <v>4</v>
      </c>
      <c r="U336" s="13" t="n">
        <v>3</v>
      </c>
      <c r="V336" s="13" t="n">
        <v>3</v>
      </c>
      <c r="W336" s="13" t="n">
        <v>2</v>
      </c>
      <c r="X336" s="13" t="n">
        <v>1</v>
      </c>
      <c r="Y336" s="13" t="n">
        <v>1</v>
      </c>
      <c r="Z336" s="13" t="inlineStr">
        <is>
          <t>COBIT; ITIL 4; ISO/IEC 27001; ISO/IEC 20000-1; ERP/CRM/MES/HRMS implementation practices</t>
        </is>
      </c>
      <c r="AA336" s="13" t="inlineStr">
        <is>
          <t>Policy/SOP; owner/RACI; system report; dashboard; contracts; test records; incident history; interview evidence related to TMS support for carrier booking, route planning, tracking and delivery visibility.</t>
        </is>
      </c>
      <c r="AB336" s="13" t="inlineStr">
        <is>
          <t>IT outage; Decision failure; Process disruption</t>
        </is>
      </c>
      <c r="AC336" s="13" t="inlineStr">
        <is>
          <t>CIO / Business Systems</t>
        </is>
      </c>
      <c r="AD336" s="13" t="inlineStr">
        <is>
          <t>Business Systems!16</t>
        </is>
      </c>
      <c r="AE336">
        <f>IF($A336="","",IF(OR(ISNUMBER(SEARCH("cyber",$D336)),ISNUMBER(SEARCH("security",$D336)),ISNUMBER(SEARCH("safety",$D336)),ISNUMBER(SEARCH("liquidity",$D336)),ISNUMBER(SEARCH("cash",$D336)),ISNUMBER(SEARCH("continuity",$D336)),ISNUMBER(SEARCH("infrastructure",$D336)),ISNUMBER(SEARCH("outage",$D336))),"Fast",IF(OR(ISNUMBER(SEARCH("compliance",$D336)),ISNUMBER(SEARCH("regulat",$D336)),ISNUMBER(SEARCH("data",$D336)),ISNUMBER(SEARCH("talent",$D336)),ISNUMBER(SEARCH("knowledge",$D336)),ISNUMBER(SEARCH("portfolio",$D336)),ISNUMBER(SEARCH("quality",$D336))),"Slow","Medium")))</f>
        <v/>
      </c>
      <c r="AF336">
        <f>IF($A336="","",IFERROR(VLOOKUP($B336,'_CONFIG_Risk_Calibration'!$A$5:$H$21,2,FALSE),3))</f>
        <v/>
      </c>
      <c r="AG336">
        <f>IF($A336="","",IFERROR(VLOOKUP($B336,'_CONFIG_Risk_Calibration'!$A$5:$H$21,3,FALSE),0))</f>
        <v/>
      </c>
      <c r="AH336">
        <f>IF($A336="","",IFERROR(VLOOKUP($B336,'_CONFIG_Risk_Calibration'!$A$5:$H$21,4,FALSE),3))</f>
        <v/>
      </c>
      <c r="AI336">
        <f>IF($A336="","",IFERROR(VLOOKUP($B336,'_CONFIG_Risk_Calibration'!$A$5:$H$21,5,FALSE),3))</f>
        <v/>
      </c>
      <c r="AJ336">
        <f>IF($A336="","",IFERROR(VLOOKUP($B336,'_CONFIG_Risk_Calibration'!$A$5:$H$21,6,FALSE),"No"))</f>
        <v/>
      </c>
      <c r="AK336">
        <f>IF($A336="","",IFERROR(VLOOKUP($B336,'_CONFIG_Risk_Calibration'!$A$5:$H$21,7,FALSE),1))</f>
        <v/>
      </c>
      <c r="AL336">
        <f>IF($A336="","",IFERROR(VLOOKUP($B336,'_CONFIG_Risk_Calibration'!$A$5:$H$21,8,FALSE),""))</f>
        <v/>
      </c>
    </row>
    <row r="337" ht="72" customHeight="1" s="209">
      <c r="A337" s="13" t="inlineStr">
        <is>
          <t>BUSI-014</t>
        </is>
      </c>
      <c r="B337" s="13" t="inlineStr">
        <is>
          <t>Business Systems</t>
        </is>
      </c>
      <c r="C337" s="13" t="inlineStr">
        <is>
          <t>HRMS and finance systems</t>
        </is>
      </c>
      <c r="D337" s="13" t="inlineStr">
        <is>
          <t>Enterprise systems and application continuity</t>
        </is>
      </c>
      <c r="E337" s="13" t="inlineStr">
        <is>
          <t>How mature is the organization in managing HRMS coverage for employee records, roles, skills, absence, payroll inputs and emergency contacts, including ownership, evidence, metrics, fallback procedures and crisis stress testing?</t>
        </is>
      </c>
      <c r="F337" s="13" t="inlineStr">
        <is>
          <t>Immature capability for HRMS coverage for employee records, roles, skills, absence, payroll inputs and emergency contacts may lead to ERP, CRM, MES or HRMS disruption, broken integrations and manual workarounds that fail under stress during IT outage; Decision failure; Process disruption.</t>
        </is>
      </c>
      <c r="G337" s="13" t="inlineStr">
        <is>
          <t>Low maturity, weak ownership, incomplete evidence, insufficient testing and poor integration with crisis-management routines for HRMS coverage for employee records, roles, skills, absence, payroll inputs and emergency contacts.</t>
        </is>
      </c>
      <c r="H337" s="13" t="inlineStr">
        <is>
          <t>Severe risk: HRMS coverage for employee records, roles, skills, absence, payroll inputs and emergency contacts is not reliably controlled. During IT outage; Decision failure; Process disruption, the organization may face ERP, CRM, MES or HRMS disruption, broken integrations and manual workarounds that fail under stress with limited visibility or accountability.</t>
        </is>
      </c>
      <c r="I337" s="13" t="inlineStr">
        <is>
          <t>High risk: HRMS coverage for employee records, roles, skills, absence, payroll inputs and emergency contacts depends on informal practices or individual knowledge. Disruption may expose ERP, CRM, MES or HRMS disruption, broken integrations and manual workarounds that fail under stress and slow recovery.</t>
        </is>
      </c>
      <c r="J337" s="13" t="inlineStr">
        <is>
          <t>Elevated risk: HRMS coverage for employee records, roles, skills, absence, payroll inputs and emergency contacts is partially controlled, but coverage, evidence or testing is inconsistent. Crisis response may be fragmented.</t>
        </is>
      </c>
      <c r="K337" s="13" t="inlineStr">
        <is>
          <t>Moderate risk: HRMS coverage for employee records, roles, skills, absence, payroll inputs and emergency contacts is documented and owned, but measurement, stress testing and integration with dependent processes need strengthening.</t>
        </is>
      </c>
      <c r="L337" s="13" t="inlineStr">
        <is>
          <t>Residual risk: HRMS coverage for employee records, roles, skills, absence, payroll inputs and emergency contacts is measured and reviewed, but monitoring, automation or scenario testing should be improved to prevent maturity drift.</t>
        </is>
      </c>
      <c r="M337" s="13" t="inlineStr">
        <is>
          <t>Low residual risk: HRMS coverage for employee records, roles, skills, absence, payroll inputs and emergency contacts is mature and crisis-tested. Maintain monitoring, evidence, ownership and periodic stress testing.</t>
        </is>
      </c>
      <c r="N337" s="13" t="inlineStr">
        <is>
          <t>Create an immediate risk owner, minimum control baseline and fallback procedure for HRMS coverage for employee records, roles, skills, absence, payroll inputs and emergency contacts. Add it to the crisis risk register and collect first evidence.</t>
        </is>
      </c>
      <c r="O337" s="13" t="inlineStr">
        <is>
          <t>Document HRMS coverage for employee records, roles, skills, absence, payroll inputs and emergency contacts, assign RACI, define minimum controls and KPIs, and validate coverage across key sites, teams or systems.</t>
        </is>
      </c>
      <c r="P337" s="13" t="inlineStr">
        <is>
          <t>Standardize HRMS coverage for employee records, roles, skills, absence, payroll inputs and emergency contacts, close coverage gaps, train accountable roles and connect controls to the relevant crisis scenarios and continuity plans.</t>
        </is>
      </c>
      <c r="Q337" s="13" t="inlineStr">
        <is>
          <t>Measure and test HRMS coverage for employee records, roles, skills, absence, payroll inputs and emergency contacts, run tabletop or operational stress tests, integrate it with dependent processes and update crisis playbooks.</t>
        </is>
      </c>
      <c r="R337" s="13" t="inlineStr">
        <is>
          <t>Automate monitoring where practical, define leading indicators, run periodic scenario tests and track residual risk after each major change.</t>
        </is>
      </c>
      <c r="S337" s="13" t="inlineStr">
        <is>
          <t>Sustain maturity for HRMS coverage for employee records, roles, skills, absence, payroll inputs and emergency contacts: keep evidence current, monitor drift, benchmark externally and refresh risk tests after organizational, system or market changes.</t>
        </is>
      </c>
      <c r="T337" s="13" t="n">
        <v>4</v>
      </c>
      <c r="U337" s="13" t="n">
        <v>3</v>
      </c>
      <c r="V337" s="13" t="n">
        <v>3</v>
      </c>
      <c r="W337" s="13" t="n">
        <v>2</v>
      </c>
      <c r="X337" s="13" t="n">
        <v>1</v>
      </c>
      <c r="Y337" s="13" t="n">
        <v>1</v>
      </c>
      <c r="Z337" s="13" t="inlineStr">
        <is>
          <t>COBIT; ITIL 4; ISO/IEC 27001; ISO/IEC 20000-1; ERP/CRM/MES/HRMS implementation practices</t>
        </is>
      </c>
      <c r="AA337" s="13" t="inlineStr">
        <is>
          <t>Policy/SOP; owner/RACI; system report; dashboard; contracts; test records; incident history; interview evidence related to HRMS coverage for employee records, roles, skills, absence, payroll inputs and emergency contacts.</t>
        </is>
      </c>
      <c r="AB337" s="13" t="inlineStr">
        <is>
          <t>IT outage; Decision failure; Process disruption</t>
        </is>
      </c>
      <c r="AC337" s="13" t="inlineStr">
        <is>
          <t>CIO / Business Systems</t>
        </is>
      </c>
      <c r="AD337" s="13" t="inlineStr">
        <is>
          <t>Business Systems!17</t>
        </is>
      </c>
      <c r="AE337">
        <f>IF($A337="","",IF(OR(ISNUMBER(SEARCH("cyber",$D337)),ISNUMBER(SEARCH("security",$D337)),ISNUMBER(SEARCH("safety",$D337)),ISNUMBER(SEARCH("liquidity",$D337)),ISNUMBER(SEARCH("cash",$D337)),ISNUMBER(SEARCH("continuity",$D337)),ISNUMBER(SEARCH("infrastructure",$D337)),ISNUMBER(SEARCH("outage",$D337))),"Fast",IF(OR(ISNUMBER(SEARCH("compliance",$D337)),ISNUMBER(SEARCH("regulat",$D337)),ISNUMBER(SEARCH("data",$D337)),ISNUMBER(SEARCH("talent",$D337)),ISNUMBER(SEARCH("knowledge",$D337)),ISNUMBER(SEARCH("portfolio",$D337)),ISNUMBER(SEARCH("quality",$D337))),"Slow","Medium")))</f>
        <v/>
      </c>
      <c r="AF337">
        <f>IF($A337="","",IFERROR(VLOOKUP($B337,'_CONFIG_Risk_Calibration'!$A$5:$H$21,2,FALSE),3))</f>
        <v/>
      </c>
      <c r="AG337">
        <f>IF($A337="","",IFERROR(VLOOKUP($B337,'_CONFIG_Risk_Calibration'!$A$5:$H$21,3,FALSE),0))</f>
        <v/>
      </c>
      <c r="AH337">
        <f>IF($A337="","",IFERROR(VLOOKUP($B337,'_CONFIG_Risk_Calibration'!$A$5:$H$21,4,FALSE),3))</f>
        <v/>
      </c>
      <c r="AI337">
        <f>IF($A337="","",IFERROR(VLOOKUP($B337,'_CONFIG_Risk_Calibration'!$A$5:$H$21,5,FALSE),3))</f>
        <v/>
      </c>
      <c r="AJ337">
        <f>IF($A337="","",IFERROR(VLOOKUP($B337,'_CONFIG_Risk_Calibration'!$A$5:$H$21,6,FALSE),"No"))</f>
        <v/>
      </c>
      <c r="AK337">
        <f>IF($A337="","",IFERROR(VLOOKUP($B337,'_CONFIG_Risk_Calibration'!$A$5:$H$21,7,FALSE),1))</f>
        <v/>
      </c>
      <c r="AL337">
        <f>IF($A337="","",IFERROR(VLOOKUP($B337,'_CONFIG_Risk_Calibration'!$A$5:$H$21,8,FALSE),""))</f>
        <v/>
      </c>
    </row>
    <row r="338" ht="72" customHeight="1" s="209">
      <c r="A338" s="13" t="inlineStr">
        <is>
          <t>BUSI-015</t>
        </is>
      </c>
      <c r="B338" s="13" t="inlineStr">
        <is>
          <t>Business Systems</t>
        </is>
      </c>
      <c r="C338" s="13" t="inlineStr">
        <is>
          <t>HRMS and finance systems</t>
        </is>
      </c>
      <c r="D338" s="13" t="inlineStr">
        <is>
          <t>Enterprise systems and application continuity</t>
        </is>
      </c>
      <c r="E338" s="13" t="inlineStr">
        <is>
          <t>How mature is the organization in managing HRMS data quality for employee location, manager, emergency contacts and criticality, including ownership, evidence, metrics, fallback procedures and crisis stress testing?</t>
        </is>
      </c>
      <c r="F338" s="13" t="inlineStr">
        <is>
          <t>Immature capability for HRMS data quality for employee location, manager, emergency contacts and criticality may lead to ERP, CRM, MES or HRMS disruption, broken integrations and manual workarounds that fail under stress during IT outage; Decision failure; Process disruption.</t>
        </is>
      </c>
      <c r="G338" s="13" t="inlineStr">
        <is>
          <t>Low maturity, weak ownership, incomplete evidence, insufficient testing and poor integration with crisis-management routines for HRMS data quality for employee location, manager, emergency contacts and criticality.</t>
        </is>
      </c>
      <c r="H338" s="13" t="inlineStr">
        <is>
          <t>Severe risk: HRMS data quality for employee location, manager, emergency contacts and criticality is not reliably controlled. During IT outage; Decision failure; Process disruption, the organization may face ERP, CRM, MES or HRMS disruption, broken integrations and manual workarounds that fail under stress with limited visibility or accountability.</t>
        </is>
      </c>
      <c r="I338" s="13" t="inlineStr">
        <is>
          <t>High risk: HRMS data quality for employee location, manager, emergency contacts and criticality depends on informal practices or individual knowledge. Disruption may expose ERP, CRM, MES or HRMS disruption, broken integrations and manual workarounds that fail under stress and slow recovery.</t>
        </is>
      </c>
      <c r="J338" s="13" t="inlineStr">
        <is>
          <t>Elevated risk: HRMS data quality for employee location, manager, emergency contacts and criticality is partially controlled, but coverage, evidence or testing is inconsistent. Crisis response may be fragmented.</t>
        </is>
      </c>
      <c r="K338" s="13" t="inlineStr">
        <is>
          <t>Moderate risk: HRMS data quality for employee location, manager, emergency contacts and criticality is documented and owned, but measurement, stress testing and integration with dependent processes need strengthening.</t>
        </is>
      </c>
      <c r="L338" s="13" t="inlineStr">
        <is>
          <t>Residual risk: HRMS data quality for employee location, manager, emergency contacts and criticality is measured and reviewed, but monitoring, automation or scenario testing should be improved to prevent maturity drift.</t>
        </is>
      </c>
      <c r="M338" s="13" t="inlineStr">
        <is>
          <t>Low residual risk: HRMS data quality for employee location, manager, emergency contacts and criticality is mature and crisis-tested. Maintain monitoring, evidence, ownership and periodic stress testing.</t>
        </is>
      </c>
      <c r="N338" s="13" t="inlineStr">
        <is>
          <t>Create an immediate risk owner, minimum control baseline and fallback procedure for HRMS data quality for employee location, manager, emergency contacts and criticality. Add it to the crisis risk register and collect first evidence.</t>
        </is>
      </c>
      <c r="O338" s="13" t="inlineStr">
        <is>
          <t>Document HRMS data quality for employee location, manager, emergency contacts and criticality, assign RACI, define minimum controls and KPIs, and validate coverage across key sites, teams or systems.</t>
        </is>
      </c>
      <c r="P338" s="13" t="inlineStr">
        <is>
          <t>Standardize HRMS data quality for employee location, manager, emergency contacts and criticality, close coverage gaps, train accountable roles and connect controls to the relevant crisis scenarios and continuity plans.</t>
        </is>
      </c>
      <c r="Q338" s="13" t="inlineStr">
        <is>
          <t>Measure and test HRMS data quality for employee location, manager, emergency contacts and criticality, run tabletop or operational stress tests, integrate it with dependent processes and update crisis playbooks.</t>
        </is>
      </c>
      <c r="R338" s="13" t="inlineStr">
        <is>
          <t>Automate monitoring where practical, define leading indicators, run periodic scenario tests and track residual risk after each major change.</t>
        </is>
      </c>
      <c r="S338" s="13" t="inlineStr">
        <is>
          <t>Sustain maturity for HRMS data quality for employee location, manager, emergency contacts and criticality: keep evidence current, monitor drift, benchmark externally and refresh risk tests after organizational, system or market changes.</t>
        </is>
      </c>
      <c r="T338" s="13" t="n">
        <v>4</v>
      </c>
      <c r="U338" s="13" t="n">
        <v>3</v>
      </c>
      <c r="V338" s="13" t="n">
        <v>3</v>
      </c>
      <c r="W338" s="13" t="n">
        <v>2</v>
      </c>
      <c r="X338" s="13" t="n">
        <v>1</v>
      </c>
      <c r="Y338" s="13" t="n">
        <v>1</v>
      </c>
      <c r="Z338" s="13" t="inlineStr">
        <is>
          <t>COBIT; ITIL 4; ISO/IEC 27001; ISO/IEC 20000-1; ERP/CRM/MES/HRMS implementation practices</t>
        </is>
      </c>
      <c r="AA338" s="13" t="inlineStr">
        <is>
          <t>Policy/SOP; owner/RACI; system report; dashboard; contracts; test records; incident history; interview evidence related to HRMS data quality for employee location, manager, emergency contacts and criticality.</t>
        </is>
      </c>
      <c r="AB338" s="13" t="inlineStr">
        <is>
          <t>IT outage; Decision failure; Process disruption</t>
        </is>
      </c>
      <c r="AC338" s="13" t="inlineStr">
        <is>
          <t>CIO / Business Systems</t>
        </is>
      </c>
      <c r="AD338" s="13" t="inlineStr">
        <is>
          <t>Business Systems!18</t>
        </is>
      </c>
      <c r="AE338">
        <f>IF($A338="","",IF(OR(ISNUMBER(SEARCH("cyber",$D338)),ISNUMBER(SEARCH("security",$D338)),ISNUMBER(SEARCH("safety",$D338)),ISNUMBER(SEARCH("liquidity",$D338)),ISNUMBER(SEARCH("cash",$D338)),ISNUMBER(SEARCH("continuity",$D338)),ISNUMBER(SEARCH("infrastructure",$D338)),ISNUMBER(SEARCH("outage",$D338))),"Fast",IF(OR(ISNUMBER(SEARCH("compliance",$D338)),ISNUMBER(SEARCH("regulat",$D338)),ISNUMBER(SEARCH("data",$D338)),ISNUMBER(SEARCH("talent",$D338)),ISNUMBER(SEARCH("knowledge",$D338)),ISNUMBER(SEARCH("portfolio",$D338)),ISNUMBER(SEARCH("quality",$D338))),"Slow","Medium")))</f>
        <v/>
      </c>
      <c r="AF338">
        <f>IF($A338="","",IFERROR(VLOOKUP($B338,'_CONFIG_Risk_Calibration'!$A$5:$H$21,2,FALSE),3))</f>
        <v/>
      </c>
      <c r="AG338">
        <f>IF($A338="","",IFERROR(VLOOKUP($B338,'_CONFIG_Risk_Calibration'!$A$5:$H$21,3,FALSE),0))</f>
        <v/>
      </c>
      <c r="AH338">
        <f>IF($A338="","",IFERROR(VLOOKUP($B338,'_CONFIG_Risk_Calibration'!$A$5:$H$21,4,FALSE),3))</f>
        <v/>
      </c>
      <c r="AI338">
        <f>IF($A338="","",IFERROR(VLOOKUP($B338,'_CONFIG_Risk_Calibration'!$A$5:$H$21,5,FALSE),3))</f>
        <v/>
      </c>
      <c r="AJ338">
        <f>IF($A338="","",IFERROR(VLOOKUP($B338,'_CONFIG_Risk_Calibration'!$A$5:$H$21,6,FALSE),"No"))</f>
        <v/>
      </c>
      <c r="AK338">
        <f>IF($A338="","",IFERROR(VLOOKUP($B338,'_CONFIG_Risk_Calibration'!$A$5:$H$21,7,FALSE),1))</f>
        <v/>
      </c>
      <c r="AL338">
        <f>IF($A338="","",IFERROR(VLOOKUP($B338,'_CONFIG_Risk_Calibration'!$A$5:$H$21,8,FALSE),""))</f>
        <v/>
      </c>
    </row>
    <row r="339" ht="72" customHeight="1" s="209">
      <c r="A339" s="13" t="inlineStr">
        <is>
          <t>BUSI-016</t>
        </is>
      </c>
      <c r="B339" s="13" t="inlineStr">
        <is>
          <t>Business Systems</t>
        </is>
      </c>
      <c r="C339" s="13" t="inlineStr">
        <is>
          <t>HRMS and finance systems</t>
        </is>
      </c>
      <c r="D339" s="13" t="inlineStr">
        <is>
          <t>Enterprise systems and application continuity</t>
        </is>
      </c>
      <c r="E339" s="13" t="inlineStr">
        <is>
          <t>How mature is the organization in managing finance, banking, expense, payroll and procurement system integration or reconciliation, including ownership, evidence, metrics, fallback procedures and crisis stress testing?</t>
        </is>
      </c>
      <c r="F339" s="13" t="inlineStr">
        <is>
          <t>Immature capability for finance, banking, expense, payroll and procurement system integration or reconciliation may lead to ERP, CRM, MES or HRMS disruption, broken integrations and manual workarounds that fail under stress during IT outage; Decision failure; Process disruption.</t>
        </is>
      </c>
      <c r="G339" s="13" t="inlineStr">
        <is>
          <t>Low maturity, weak ownership, incomplete evidence, insufficient testing and poor integration with crisis-management routines for finance, banking, expense, payroll and procurement system integration or reconciliation.</t>
        </is>
      </c>
      <c r="H339" s="13" t="inlineStr">
        <is>
          <t>Severe risk: finance, banking, expense, payroll and procurement system integration or reconciliation is not reliably controlled. During IT outage; Decision failure; Process disruption, the organization may face ERP, CRM, MES or HRMS disruption, broken integrations and manual workarounds that fail under stress with limited visibility or accountability.</t>
        </is>
      </c>
      <c r="I339" s="13" t="inlineStr">
        <is>
          <t>High risk: finance, banking, expense, payroll and procurement system integration or reconciliation depends on informal practices or individual knowledge. Disruption may expose ERP, CRM, MES or HRMS disruption, broken integrations and manual workarounds that fail under stress and slow recovery.</t>
        </is>
      </c>
      <c r="J339" s="13" t="inlineStr">
        <is>
          <t>Elevated risk: finance, banking, expense, payroll and procurement system integration or reconciliation is partially controlled, but coverage, evidence or testing is inconsistent. Crisis response may be fragmented.</t>
        </is>
      </c>
      <c r="K339" s="13" t="inlineStr">
        <is>
          <t>Moderate risk: finance, banking, expense, payroll and procurement system integration or reconciliation is documented and owned, but measurement, stress testing and integration with dependent processes need strengthening.</t>
        </is>
      </c>
      <c r="L339" s="13" t="inlineStr">
        <is>
          <t>Residual risk: finance, banking, expense, payroll and procurement system integration or reconciliation is measured and reviewed, but monitoring, automation or scenario testing should be improved to prevent maturity drift.</t>
        </is>
      </c>
      <c r="M339" s="13" t="inlineStr">
        <is>
          <t>Low residual risk: finance, banking, expense, payroll and procurement system integration or reconciliation is mature and crisis-tested. Maintain monitoring, evidence, ownership and periodic stress testing.</t>
        </is>
      </c>
      <c r="N339" s="13" t="inlineStr">
        <is>
          <t>Create an immediate risk owner, minimum control baseline and fallback procedure for finance, banking, expense, payroll and procurement system integration or reconciliation. Add it to the crisis risk register and collect first evidence.</t>
        </is>
      </c>
      <c r="O339" s="13" t="inlineStr">
        <is>
          <t>Document finance, banking, expense, payroll and procurement system integration or reconciliation, assign RACI, define minimum controls and KPIs, and validate coverage across key sites, teams or systems.</t>
        </is>
      </c>
      <c r="P339" s="13" t="inlineStr">
        <is>
          <t>Standardize finance, banking, expense, payroll and procurement system integration or reconciliation, close coverage gaps, train accountable roles and connect controls to the relevant crisis scenarios and continuity plans.</t>
        </is>
      </c>
      <c r="Q339" s="13" t="inlineStr">
        <is>
          <t>Measure and test finance, banking, expense, payroll and procurement system integration or reconciliation, run tabletop or operational stress tests, integrate it with dependent processes and update crisis playbooks.</t>
        </is>
      </c>
      <c r="R339" s="13" t="inlineStr">
        <is>
          <t>Automate monitoring where practical, define leading indicators, run periodic scenario tests and track residual risk after each major change.</t>
        </is>
      </c>
      <c r="S339" s="13" t="inlineStr">
        <is>
          <t>Sustain maturity for finance, banking, expense, payroll and procurement system integration or reconciliation: keep evidence current, monitor drift, benchmark externally and refresh risk tests after organizational, system or market changes.</t>
        </is>
      </c>
      <c r="T339" s="13" t="n">
        <v>4</v>
      </c>
      <c r="U339" s="13" t="n">
        <v>3</v>
      </c>
      <c r="V339" s="13" t="n">
        <v>3</v>
      </c>
      <c r="W339" s="13" t="n">
        <v>2</v>
      </c>
      <c r="X339" s="13" t="n">
        <v>1</v>
      </c>
      <c r="Y339" s="13" t="n">
        <v>1</v>
      </c>
      <c r="Z339" s="13" t="inlineStr">
        <is>
          <t>COBIT; ITIL 4; ISO/IEC 27001; ISO/IEC 20000-1; ERP/CRM/MES/HRMS implementation practices</t>
        </is>
      </c>
      <c r="AA339" s="13" t="inlineStr">
        <is>
          <t>Policy/SOP; owner/RACI; system report; dashboard; contracts; test records; incident history; interview evidence related to finance, banking, expense, payroll and procurement system integration or reconciliation.</t>
        </is>
      </c>
      <c r="AB339" s="13" t="inlineStr">
        <is>
          <t>IT outage; Decision failure; Process disruption</t>
        </is>
      </c>
      <c r="AC339" s="13" t="inlineStr">
        <is>
          <t>CIO / Business Systems</t>
        </is>
      </c>
      <c r="AD339" s="13" t="inlineStr">
        <is>
          <t>Business Systems!19</t>
        </is>
      </c>
      <c r="AE339">
        <f>IF($A339="","",IF(OR(ISNUMBER(SEARCH("cyber",$D339)),ISNUMBER(SEARCH("security",$D339)),ISNUMBER(SEARCH("safety",$D339)),ISNUMBER(SEARCH("liquidity",$D339)),ISNUMBER(SEARCH("cash",$D339)),ISNUMBER(SEARCH("continuity",$D339)),ISNUMBER(SEARCH("infrastructure",$D339)),ISNUMBER(SEARCH("outage",$D339))),"Fast",IF(OR(ISNUMBER(SEARCH("compliance",$D339)),ISNUMBER(SEARCH("regulat",$D339)),ISNUMBER(SEARCH("data",$D339)),ISNUMBER(SEARCH("talent",$D339)),ISNUMBER(SEARCH("knowledge",$D339)),ISNUMBER(SEARCH("portfolio",$D339)),ISNUMBER(SEARCH("quality",$D339))),"Slow","Medium")))</f>
        <v/>
      </c>
      <c r="AF339">
        <f>IF($A339="","",IFERROR(VLOOKUP($B339,'_CONFIG_Risk_Calibration'!$A$5:$H$21,2,FALSE),3))</f>
        <v/>
      </c>
      <c r="AG339">
        <f>IF($A339="","",IFERROR(VLOOKUP($B339,'_CONFIG_Risk_Calibration'!$A$5:$H$21,3,FALSE),0))</f>
        <v/>
      </c>
      <c r="AH339">
        <f>IF($A339="","",IFERROR(VLOOKUP($B339,'_CONFIG_Risk_Calibration'!$A$5:$H$21,4,FALSE),3))</f>
        <v/>
      </c>
      <c r="AI339">
        <f>IF($A339="","",IFERROR(VLOOKUP($B339,'_CONFIG_Risk_Calibration'!$A$5:$H$21,5,FALSE),3))</f>
        <v/>
      </c>
      <c r="AJ339">
        <f>IF($A339="","",IFERROR(VLOOKUP($B339,'_CONFIG_Risk_Calibration'!$A$5:$H$21,6,FALSE),"No"))</f>
        <v/>
      </c>
      <c r="AK339">
        <f>IF($A339="","",IFERROR(VLOOKUP($B339,'_CONFIG_Risk_Calibration'!$A$5:$H$21,7,FALSE),1))</f>
        <v/>
      </c>
      <c r="AL339">
        <f>IF($A339="","",IFERROR(VLOOKUP($B339,'_CONFIG_Risk_Calibration'!$A$5:$H$21,8,FALSE),""))</f>
        <v/>
      </c>
    </row>
    <row r="340" ht="72" customHeight="1" s="209">
      <c r="A340" s="13" t="inlineStr">
        <is>
          <t>BUSI-018</t>
        </is>
      </c>
      <c r="B340" s="13" t="inlineStr">
        <is>
          <t>Business Systems</t>
        </is>
      </c>
      <c r="C340" s="13" t="inlineStr">
        <is>
          <t>Governance and lifecycle</t>
        </is>
      </c>
      <c r="D340" s="13" t="inlineStr">
        <is>
          <t>Enterprise systems and application continuity</t>
        </is>
      </c>
      <c r="E340" s="13" t="inlineStr">
        <is>
          <t>How mature is the organization in managing system ownership with business owner, technical owner, data owner and support owner, including ownership, evidence, metrics, fallback procedures and crisis stress testing?</t>
        </is>
      </c>
      <c r="F340" s="13" t="inlineStr">
        <is>
          <t>Immature capability for system ownership with business owner, technical owner, data owner and support owner may lead to ERP, CRM, MES or HRMS disruption, broken integrations and manual workarounds that fail under stress during IT outage; Decision failure; Process disruption.</t>
        </is>
      </c>
      <c r="G340" s="13" t="inlineStr">
        <is>
          <t>Low maturity, weak ownership, incomplete evidence, insufficient testing and poor integration with crisis-management routines for system ownership with business owner, technical owner, data owner and support owner.</t>
        </is>
      </c>
      <c r="H340" s="13" t="inlineStr">
        <is>
          <t>Severe risk: system ownership with business owner, technical owner, data owner and support owner is not reliably controlled. During IT outage; Decision failure; Process disruption, the organization may face ERP, CRM, MES or HRMS disruption, broken integrations and manual workarounds that fail under stress with limited visibility or accountability.</t>
        </is>
      </c>
      <c r="I340" s="13" t="inlineStr">
        <is>
          <t>High risk: system ownership with business owner, technical owner, data owner and support owner depends on informal practices or individual knowledge. Disruption may expose ERP, CRM, MES or HRMS disruption, broken integrations and manual workarounds that fail under stress and slow recovery.</t>
        </is>
      </c>
      <c r="J340" s="13" t="inlineStr">
        <is>
          <t>Elevated risk: system ownership with business owner, technical owner, data owner and support owner is partially controlled, but coverage, evidence or testing is inconsistent. Crisis response may be fragmented.</t>
        </is>
      </c>
      <c r="K340" s="13" t="inlineStr">
        <is>
          <t>Moderate risk: system ownership with business owner, technical owner, data owner and support owner is documented and owned, but measurement, stress testing and integration with dependent processes need strengthening.</t>
        </is>
      </c>
      <c r="L340" s="13" t="inlineStr">
        <is>
          <t>Residual risk: system ownership with business owner, technical owner, data owner and support owner is measured and reviewed, but monitoring, automation or scenario testing should be improved to prevent maturity drift.</t>
        </is>
      </c>
      <c r="M340" s="13" t="inlineStr">
        <is>
          <t>Low residual risk: system ownership with business owner, technical owner, data owner and support owner is mature and crisis-tested. Maintain monitoring, evidence, ownership and periodic stress testing.</t>
        </is>
      </c>
      <c r="N340" s="13" t="inlineStr">
        <is>
          <t>Create an immediate risk owner, minimum control baseline and fallback procedure for system ownership with business owner, technical owner, data owner and support owner. Add it to the crisis risk register and collect first evidence.</t>
        </is>
      </c>
      <c r="O340" s="13" t="inlineStr">
        <is>
          <t>Document system ownership with business owner, technical owner, data owner and support owner, assign RACI, define minimum controls and KPIs, and validate coverage across key sites, teams or systems.</t>
        </is>
      </c>
      <c r="P340" s="13" t="inlineStr">
        <is>
          <t>Standardize system ownership with business owner, technical owner, data owner and support owner, close coverage gaps, train accountable roles and connect controls to the relevant crisis scenarios and continuity plans.</t>
        </is>
      </c>
      <c r="Q340" s="13" t="inlineStr">
        <is>
          <t>Measure and test system ownership with business owner, technical owner, data owner and support owner, run tabletop or operational stress tests, integrate it with dependent processes and update crisis playbooks.</t>
        </is>
      </c>
      <c r="R340" s="13" t="inlineStr">
        <is>
          <t>Automate monitoring where practical, define leading indicators, run periodic scenario tests and track residual risk after each major change.</t>
        </is>
      </c>
      <c r="S340" s="13" t="inlineStr">
        <is>
          <t>Sustain maturity for system ownership with business owner, technical owner, data owner and support owner: keep evidence current, monitor drift, benchmark externally and refresh risk tests after organizational, system or market changes.</t>
        </is>
      </c>
      <c r="T340" s="13" t="n">
        <v>4</v>
      </c>
      <c r="U340" s="13" t="n">
        <v>3</v>
      </c>
      <c r="V340" s="13" t="n">
        <v>3</v>
      </c>
      <c r="W340" s="13" t="n">
        <v>2</v>
      </c>
      <c r="X340" s="13" t="n">
        <v>1</v>
      </c>
      <c r="Y340" s="13" t="n">
        <v>1</v>
      </c>
      <c r="Z340" s="13" t="inlineStr">
        <is>
          <t>COBIT; ITIL 4; ISO/IEC 27001; ISO/IEC 20000-1; ERP/CRM/MES/HRMS implementation practices</t>
        </is>
      </c>
      <c r="AA340" s="13" t="inlineStr">
        <is>
          <t>Policy/SOP; owner/RACI; system report; dashboard; contracts; test records; incident history; interview evidence related to system ownership with business owner, technical owner, data owner and support owner.</t>
        </is>
      </c>
      <c r="AB340" s="13" t="inlineStr">
        <is>
          <t>IT outage; Decision failure; Process disruption</t>
        </is>
      </c>
      <c r="AC340" s="13" t="inlineStr">
        <is>
          <t>CIO / Business Systems</t>
        </is>
      </c>
      <c r="AD340" s="13" t="inlineStr">
        <is>
          <t>Business Systems!20</t>
        </is>
      </c>
      <c r="AE340">
        <f>IF($A340="","",IF(OR(ISNUMBER(SEARCH("cyber",$D340)),ISNUMBER(SEARCH("security",$D340)),ISNUMBER(SEARCH("safety",$D340)),ISNUMBER(SEARCH("liquidity",$D340)),ISNUMBER(SEARCH("cash",$D340)),ISNUMBER(SEARCH("continuity",$D340)),ISNUMBER(SEARCH("infrastructure",$D340)),ISNUMBER(SEARCH("outage",$D340))),"Fast",IF(OR(ISNUMBER(SEARCH("compliance",$D340)),ISNUMBER(SEARCH("regulat",$D340)),ISNUMBER(SEARCH("data",$D340)),ISNUMBER(SEARCH("talent",$D340)),ISNUMBER(SEARCH("knowledge",$D340)),ISNUMBER(SEARCH("portfolio",$D340)),ISNUMBER(SEARCH("quality",$D340))),"Slow","Medium")))</f>
        <v/>
      </c>
      <c r="AF340">
        <f>IF($A340="","",IFERROR(VLOOKUP($B340,'_CONFIG_Risk_Calibration'!$A$5:$H$21,2,FALSE),3))</f>
        <v/>
      </c>
      <c r="AG340">
        <f>IF($A340="","",IFERROR(VLOOKUP($B340,'_CONFIG_Risk_Calibration'!$A$5:$H$21,3,FALSE),0))</f>
        <v/>
      </c>
      <c r="AH340">
        <f>IF($A340="","",IFERROR(VLOOKUP($B340,'_CONFIG_Risk_Calibration'!$A$5:$H$21,4,FALSE),3))</f>
        <v/>
      </c>
      <c r="AI340">
        <f>IF($A340="","",IFERROR(VLOOKUP($B340,'_CONFIG_Risk_Calibration'!$A$5:$H$21,5,FALSE),3))</f>
        <v/>
      </c>
      <c r="AJ340">
        <f>IF($A340="","",IFERROR(VLOOKUP($B340,'_CONFIG_Risk_Calibration'!$A$5:$H$21,6,FALSE),"No"))</f>
        <v/>
      </c>
      <c r="AK340">
        <f>IF($A340="","",IFERROR(VLOOKUP($B340,'_CONFIG_Risk_Calibration'!$A$5:$H$21,7,FALSE),1))</f>
        <v/>
      </c>
      <c r="AL340">
        <f>IF($A340="","",IFERROR(VLOOKUP($B340,'_CONFIG_Risk_Calibration'!$A$5:$H$21,8,FALSE),""))</f>
        <v/>
      </c>
    </row>
    <row r="341" ht="72" customHeight="1" s="209">
      <c r="A341" s="13" t="inlineStr">
        <is>
          <t>BUSI-019</t>
        </is>
      </c>
      <c r="B341" s="13" t="inlineStr">
        <is>
          <t>Business Systems</t>
        </is>
      </c>
      <c r="C341" s="13" t="inlineStr">
        <is>
          <t>Governance and lifecycle</t>
        </is>
      </c>
      <c r="D341" s="13" t="inlineStr">
        <is>
          <t>Enterprise systems and application continuity</t>
        </is>
      </c>
      <c r="E341" s="13" t="inlineStr">
        <is>
          <t>How mature is the organization in managing critical system lifecycle review for fit, cost, risk, security, scalability and replacement needs, including ownership, evidence, metrics, fallback procedures and crisis stress testing?</t>
        </is>
      </c>
      <c r="F341" s="13" t="inlineStr">
        <is>
          <t>Immature capability for critical system lifecycle review for fit, cost, risk, security, scalability and replacement needs may lead to ERP, CRM, MES or HRMS disruption, broken integrations and manual workarounds that fail under stress during IT outage; Decision failure; Process disruption.</t>
        </is>
      </c>
      <c r="G341" s="13" t="inlineStr">
        <is>
          <t>Low maturity, weak ownership, incomplete evidence, insufficient testing and poor integration with crisis-management routines for critical system lifecycle review for fit, cost, risk, security, scalability and replacement needs.</t>
        </is>
      </c>
      <c r="H341" s="13" t="inlineStr">
        <is>
          <t>Severe risk: critical system lifecycle review for fit, cost, risk, security, scalability and replacement needs is not reliably controlled. During IT outage; Decision failure; Process disruption, the organization may face ERP, CRM, MES or HRMS disruption, broken integrations and manual workarounds that fail under stress with limited visibility or accountability.</t>
        </is>
      </c>
      <c r="I341" s="13" t="inlineStr">
        <is>
          <t>High risk: critical system lifecycle review for fit, cost, risk, security, scalability and replacement needs depends on informal practices or individual knowledge. Disruption may expose ERP, CRM, MES or HRMS disruption, broken integrations and manual workarounds that fail under stress and slow recovery.</t>
        </is>
      </c>
      <c r="J341" s="13" t="inlineStr">
        <is>
          <t>Elevated risk: critical system lifecycle review for fit, cost, risk, security, scalability and replacement needs is partially controlled, but coverage, evidence or testing is inconsistent. Crisis response may be fragmented.</t>
        </is>
      </c>
      <c r="K341" s="13" t="inlineStr">
        <is>
          <t>Moderate risk: critical system lifecycle review for fit, cost, risk, security, scalability and replacement needs is documented and owned, but measurement, stress testing and integration with dependent processes need strengthening.</t>
        </is>
      </c>
      <c r="L341" s="13" t="inlineStr">
        <is>
          <t>Residual risk: critical system lifecycle review for fit, cost, risk, security, scalability and replacement needs is measured and reviewed, but monitoring, automation or scenario testing should be improved to prevent maturity drift.</t>
        </is>
      </c>
      <c r="M341" s="13" t="inlineStr">
        <is>
          <t>Low residual risk: critical system lifecycle review for fit, cost, risk, security, scalability and replacement needs is mature and crisis-tested. Maintain monitoring, evidence, ownership and periodic stress testing.</t>
        </is>
      </c>
      <c r="N341" s="13" t="inlineStr">
        <is>
          <t>Create an immediate risk owner, minimum control baseline and fallback procedure for critical system lifecycle review for fit, cost, risk, security, scalability and replacement needs. Add it to the crisis risk register and collect first evidence.</t>
        </is>
      </c>
      <c r="O341" s="13" t="inlineStr">
        <is>
          <t>Document critical system lifecycle review for fit, cost, risk, security, scalability and replacement needs, assign RACI, define minimum controls and KPIs, and validate coverage across key sites, teams or systems.</t>
        </is>
      </c>
      <c r="P341" s="13" t="inlineStr">
        <is>
          <t>Standardize critical system lifecycle review for fit, cost, risk, security, scalability and replacement needs, close coverage gaps, train accountable roles and connect controls to the relevant crisis scenarios and continuity plans.</t>
        </is>
      </c>
      <c r="Q341" s="13" t="inlineStr">
        <is>
          <t>Measure and test critical system lifecycle review for fit, cost, risk, security, scalability and replacement needs, run tabletop or operational stress tests, integrate it with dependent processes and update crisis playbooks.</t>
        </is>
      </c>
      <c r="R341" s="13" t="inlineStr">
        <is>
          <t>Automate monitoring where practical, define leading indicators, run periodic scenario tests and track residual risk after each major change.</t>
        </is>
      </c>
      <c r="S341" s="13" t="inlineStr">
        <is>
          <t>Sustain maturity for critical system lifecycle review for fit, cost, risk, security, scalability and replacement needs: keep evidence current, monitor drift, benchmark externally and refresh risk tests after organizational, system or market changes.</t>
        </is>
      </c>
      <c r="T341" s="13" t="n">
        <v>4</v>
      </c>
      <c r="U341" s="13" t="n">
        <v>3</v>
      </c>
      <c r="V341" s="13" t="n">
        <v>3</v>
      </c>
      <c r="W341" s="13" t="n">
        <v>2</v>
      </c>
      <c r="X341" s="13" t="n">
        <v>1</v>
      </c>
      <c r="Y341" s="13" t="n">
        <v>1</v>
      </c>
      <c r="Z341" s="13" t="inlineStr">
        <is>
          <t>COBIT; ITIL 4; ISO/IEC 27001; ISO/IEC 20000-1; ERP/CRM/MES/HRMS implementation practices</t>
        </is>
      </c>
      <c r="AA341" s="13" t="inlineStr">
        <is>
          <t>Policy/SOP; owner/RACI; system report; dashboard; contracts; test records; incident history; interview evidence related to critical system lifecycle review for fit, cost, risk, security, scalability and replacement needs.</t>
        </is>
      </c>
      <c r="AB341" s="13" t="inlineStr">
        <is>
          <t>IT outage; Decision failure; Process disruption</t>
        </is>
      </c>
      <c r="AC341" s="13" t="inlineStr">
        <is>
          <t>CIO / Business Systems</t>
        </is>
      </c>
      <c r="AD341" s="13" t="inlineStr">
        <is>
          <t>Business Systems!21</t>
        </is>
      </c>
      <c r="AE341">
        <f>IF($A341="","",IF(OR(ISNUMBER(SEARCH("cyber",$D341)),ISNUMBER(SEARCH("security",$D341)),ISNUMBER(SEARCH("safety",$D341)),ISNUMBER(SEARCH("liquidity",$D341)),ISNUMBER(SEARCH("cash",$D341)),ISNUMBER(SEARCH("continuity",$D341)),ISNUMBER(SEARCH("infrastructure",$D341)),ISNUMBER(SEARCH("outage",$D341))),"Fast",IF(OR(ISNUMBER(SEARCH("compliance",$D341)),ISNUMBER(SEARCH("regulat",$D341)),ISNUMBER(SEARCH("data",$D341)),ISNUMBER(SEARCH("talent",$D341)),ISNUMBER(SEARCH("knowledge",$D341)),ISNUMBER(SEARCH("portfolio",$D341)),ISNUMBER(SEARCH("quality",$D341))),"Slow","Medium")))</f>
        <v/>
      </c>
      <c r="AF341">
        <f>IF($A341="","",IFERROR(VLOOKUP($B341,'_CONFIG_Risk_Calibration'!$A$5:$H$21,2,FALSE),3))</f>
        <v/>
      </c>
      <c r="AG341">
        <f>IF($A341="","",IFERROR(VLOOKUP($B341,'_CONFIG_Risk_Calibration'!$A$5:$H$21,3,FALSE),0))</f>
        <v/>
      </c>
      <c r="AH341">
        <f>IF($A341="","",IFERROR(VLOOKUP($B341,'_CONFIG_Risk_Calibration'!$A$5:$H$21,4,FALSE),3))</f>
        <v/>
      </c>
      <c r="AI341">
        <f>IF($A341="","",IFERROR(VLOOKUP($B341,'_CONFIG_Risk_Calibration'!$A$5:$H$21,5,FALSE),3))</f>
        <v/>
      </c>
      <c r="AJ341">
        <f>IF($A341="","",IFERROR(VLOOKUP($B341,'_CONFIG_Risk_Calibration'!$A$5:$H$21,6,FALSE),"No"))</f>
        <v/>
      </c>
      <c r="AK341">
        <f>IF($A341="","",IFERROR(VLOOKUP($B341,'_CONFIG_Risk_Calibration'!$A$5:$H$21,7,FALSE),1))</f>
        <v/>
      </c>
      <c r="AL341">
        <f>IF($A341="","",IFERROR(VLOOKUP($B341,'_CONFIG_Risk_Calibration'!$A$5:$H$21,8,FALSE),""))</f>
        <v/>
      </c>
    </row>
    <row r="342" ht="84" customHeight="1" s="209">
      <c r="A342" s="13" t="inlineStr">
        <is>
          <t>BUSI-020</t>
        </is>
      </c>
      <c r="B342" s="13" t="inlineStr">
        <is>
          <t>Business Systems</t>
        </is>
      </c>
      <c r="C342" s="13" t="inlineStr">
        <is>
          <t>Governance and lifecycle</t>
        </is>
      </c>
      <c r="D342" s="13" t="inlineStr">
        <is>
          <t>Enterprise systems and application continuity</t>
        </is>
      </c>
      <c r="E342" s="13" t="inlineStr">
        <is>
          <t>How mature is the organization in managing shadow IT inventory for business-critical spreadsheets, scripts, low-code apps and unmanaged SaaS, including ownership, evidence, metrics, fallback procedures and crisis stress testing?</t>
        </is>
      </c>
      <c r="F342" s="13" t="inlineStr">
        <is>
          <t>Immature capability for shadow IT inventory for business-critical spreadsheets, scripts, low-code apps and unmanaged SaaS may lead to ERP, CRM, MES or HRMS disruption, broken integrations and manual workarounds that fail under stress during IT outage; Decision failure; Process disruption.</t>
        </is>
      </c>
      <c r="G342" s="13" t="inlineStr">
        <is>
          <t>Low maturity, weak ownership, incomplete evidence, insufficient testing and poor integration with crisis-management routines for shadow IT inventory for business-critical spreadsheets, scripts, low-code apps and unmanaged SaaS.</t>
        </is>
      </c>
      <c r="H342" s="13" t="inlineStr">
        <is>
          <t>Severe risk: shadow IT inventory for business-critical spreadsheets, scripts, low-code apps and unmanaged SaaS is not reliably controlled. During IT outage; Decision failure; Process disruption, the organization may face ERP, CRM, MES or HRMS disruption, broken integrations and manual workarounds that fail under stress with limited visibility or accountability.</t>
        </is>
      </c>
      <c r="I342" s="13" t="inlineStr">
        <is>
          <t>High risk: shadow IT inventory for business-critical spreadsheets, scripts, low-code apps and unmanaged SaaS depends on informal practices or individual knowledge. Disruption may expose ERP, CRM, MES or HRMS disruption, broken integrations and manual workarounds that fail under stress and slow recovery.</t>
        </is>
      </c>
      <c r="J342" s="13" t="inlineStr">
        <is>
          <t>Elevated risk: shadow IT inventory for business-critical spreadsheets, scripts, low-code apps and unmanaged SaaS is partially controlled, but coverage, evidence or testing is inconsistent. Crisis response may be fragmented.</t>
        </is>
      </c>
      <c r="K342" s="13" t="inlineStr">
        <is>
          <t>Moderate risk: shadow IT inventory for business-critical spreadsheets, scripts, low-code apps and unmanaged SaaS is documented and owned, but measurement, stress testing and integration with dependent processes need strengthening.</t>
        </is>
      </c>
      <c r="L342" s="13" t="inlineStr">
        <is>
          <t>Residual risk: shadow IT inventory for business-critical spreadsheets, scripts, low-code apps and unmanaged SaaS is measured and reviewed, but monitoring, automation or scenario testing should be improved to prevent maturity drift.</t>
        </is>
      </c>
      <c r="M342" s="13" t="inlineStr">
        <is>
          <t>Low residual risk: shadow IT inventory for business-critical spreadsheets, scripts, low-code apps and unmanaged SaaS is mature and crisis-tested. Maintain monitoring, evidence, ownership and periodic stress testing.</t>
        </is>
      </c>
      <c r="N342" s="13" t="inlineStr">
        <is>
          <t>Create an immediate risk owner, minimum control baseline and fallback procedure for shadow IT inventory for business-critical spreadsheets, scripts, low-code apps and unmanaged SaaS. Add it to the crisis risk register and collect first evidence.</t>
        </is>
      </c>
      <c r="O342" s="13" t="inlineStr">
        <is>
          <t>Document shadow IT inventory for business-critical spreadsheets, scripts, low-code apps and unmanaged SaaS, assign RACI, define minimum controls and KPIs, and validate coverage across key sites, teams or systems.</t>
        </is>
      </c>
      <c r="P342" s="13" t="inlineStr">
        <is>
          <t>Standardize shadow IT inventory for business-critical spreadsheets, scripts, low-code apps and unmanaged SaaS, close coverage gaps, train accountable roles and connect controls to the relevant crisis scenarios and continuity plans.</t>
        </is>
      </c>
      <c r="Q342" s="13" t="inlineStr">
        <is>
          <t>Measure and test shadow IT inventory for business-critical spreadsheets, scripts, low-code apps and unmanaged SaaS, run tabletop or operational stress tests, integrate it with dependent processes and update crisis playbooks.</t>
        </is>
      </c>
      <c r="R342" s="13" t="inlineStr">
        <is>
          <t>Automate monitoring where practical, define leading indicators, run periodic scenario tests and track residual risk after each major change.</t>
        </is>
      </c>
      <c r="S342" s="13" t="inlineStr">
        <is>
          <t>Sustain maturity for shadow IT inventory for business-critical spreadsheets, scripts, low-code apps and unmanaged SaaS: keep evidence current, monitor drift, benchmark externally and refresh risk tests after organizational, system or market changes.</t>
        </is>
      </c>
      <c r="T342" s="13" t="n">
        <v>4</v>
      </c>
      <c r="U342" s="13" t="n">
        <v>3</v>
      </c>
      <c r="V342" s="13" t="n">
        <v>3</v>
      </c>
      <c r="W342" s="13" t="n">
        <v>2</v>
      </c>
      <c r="X342" s="13" t="n">
        <v>1</v>
      </c>
      <c r="Y342" s="13" t="n">
        <v>1</v>
      </c>
      <c r="Z342" s="13" t="inlineStr">
        <is>
          <t>COBIT; ITIL 4; ISO/IEC 27001; ISO/IEC 20000-1; ERP/CRM/MES/HRMS implementation practices</t>
        </is>
      </c>
      <c r="AA342" s="13" t="inlineStr">
        <is>
          <t>Policy/SOP; owner/RACI; system report; dashboard; contracts; test records; incident history; interview evidence related to shadow IT inventory for business-critical spreadsheets, scripts, low-code apps and unmanaged SaaS.</t>
        </is>
      </c>
      <c r="AB342" s="13" t="inlineStr">
        <is>
          <t>IT outage; Decision failure; Process disruption</t>
        </is>
      </c>
      <c r="AC342" s="13" t="inlineStr">
        <is>
          <t>CIO / Business Systems</t>
        </is>
      </c>
      <c r="AD342" s="13" t="inlineStr">
        <is>
          <t>Business Systems!22</t>
        </is>
      </c>
      <c r="AE342">
        <f>IF($A342="","",IF(OR(ISNUMBER(SEARCH("cyber",$D342)),ISNUMBER(SEARCH("security",$D342)),ISNUMBER(SEARCH("safety",$D342)),ISNUMBER(SEARCH("liquidity",$D342)),ISNUMBER(SEARCH("cash",$D342)),ISNUMBER(SEARCH("continuity",$D342)),ISNUMBER(SEARCH("infrastructure",$D342)),ISNUMBER(SEARCH("outage",$D342))),"Fast",IF(OR(ISNUMBER(SEARCH("compliance",$D342)),ISNUMBER(SEARCH("regulat",$D342)),ISNUMBER(SEARCH("data",$D342)),ISNUMBER(SEARCH("talent",$D342)),ISNUMBER(SEARCH("knowledge",$D342)),ISNUMBER(SEARCH("portfolio",$D342)),ISNUMBER(SEARCH("quality",$D342))),"Slow","Medium")))</f>
        <v/>
      </c>
      <c r="AF342">
        <f>IF($A342="","",IFERROR(VLOOKUP($B342,'_CONFIG_Risk_Calibration'!$A$5:$H$21,2,FALSE),3))</f>
        <v/>
      </c>
      <c r="AG342">
        <f>IF($A342="","",IFERROR(VLOOKUP($B342,'_CONFIG_Risk_Calibration'!$A$5:$H$21,3,FALSE),0))</f>
        <v/>
      </c>
      <c r="AH342">
        <f>IF($A342="","",IFERROR(VLOOKUP($B342,'_CONFIG_Risk_Calibration'!$A$5:$H$21,4,FALSE),3))</f>
        <v/>
      </c>
      <c r="AI342">
        <f>IF($A342="","",IFERROR(VLOOKUP($B342,'_CONFIG_Risk_Calibration'!$A$5:$H$21,5,FALSE),3))</f>
        <v/>
      </c>
      <c r="AJ342">
        <f>IF($A342="","",IFERROR(VLOOKUP($B342,'_CONFIG_Risk_Calibration'!$A$5:$H$21,6,FALSE),"No"))</f>
        <v/>
      </c>
      <c r="AK342">
        <f>IF($A342="","",IFERROR(VLOOKUP($B342,'_CONFIG_Risk_Calibration'!$A$5:$H$21,7,FALSE),1))</f>
        <v/>
      </c>
      <c r="AL342">
        <f>IF($A342="","",IFERROR(VLOOKUP($B342,'_CONFIG_Risk_Calibration'!$A$5:$H$21,8,FALSE),""))</f>
        <v/>
      </c>
    </row>
    <row r="343" ht="72" customHeight="1" s="209">
      <c r="A343" s="13" t="inlineStr">
        <is>
          <t>BUSI-021</t>
        </is>
      </c>
      <c r="B343" s="13" t="inlineStr">
        <is>
          <t>Business Systems</t>
        </is>
      </c>
      <c r="C343" s="13" t="inlineStr">
        <is>
          <t>Governance and lifecycle</t>
        </is>
      </c>
      <c r="D343" s="13" t="inlineStr">
        <is>
          <t>Enterprise systems and application continuity</t>
        </is>
      </c>
      <c r="E343" s="13" t="inlineStr">
        <is>
          <t>How mature is the organization in managing admin account governance across ERP, CRM, HRMS, MES, BI and SaaS tools, including ownership, evidence, metrics, fallback procedures and crisis stress testing?</t>
        </is>
      </c>
      <c r="F343" s="13" t="inlineStr">
        <is>
          <t>Immature capability for admin account governance across ERP, CRM, HRMS, MES, BI and SaaS tools may lead to ERP, CRM, MES or HRMS disruption, broken integrations and manual workarounds that fail under stress during IT outage; Decision failure; Process disruption.</t>
        </is>
      </c>
      <c r="G343" s="13" t="inlineStr">
        <is>
          <t>Low maturity, weak ownership, incomplete evidence, insufficient testing and poor integration with crisis-management routines for admin account governance across ERP, CRM, HRMS, MES, BI and SaaS tools.</t>
        </is>
      </c>
      <c r="H343" s="13" t="inlineStr">
        <is>
          <t>Severe risk: admin account governance across ERP, CRM, HRMS, MES, BI and SaaS tools is not reliably controlled. During IT outage; Decision failure; Process disruption, the organization may face ERP, CRM, MES or HRMS disruption, broken integrations and manual workarounds that fail under stress with limited visibility or accountability.</t>
        </is>
      </c>
      <c r="I343" s="13" t="inlineStr">
        <is>
          <t>High risk: admin account governance across ERP, CRM, HRMS, MES, BI and SaaS tools depends on informal practices or individual knowledge. Disruption may expose ERP, CRM, MES or HRMS disruption, broken integrations and manual workarounds that fail under stress and slow recovery.</t>
        </is>
      </c>
      <c r="J343" s="13" t="inlineStr">
        <is>
          <t>Elevated risk: admin account governance across ERP, CRM, HRMS, MES, BI and SaaS tools is partially controlled, but coverage, evidence or testing is inconsistent. Crisis response may be fragmented.</t>
        </is>
      </c>
      <c r="K343" s="13" t="inlineStr">
        <is>
          <t>Moderate risk: admin account governance across ERP, CRM, HRMS, MES, BI and SaaS tools is documented and owned, but measurement, stress testing and integration with dependent processes need strengthening.</t>
        </is>
      </c>
      <c r="L343" s="13" t="inlineStr">
        <is>
          <t>Residual risk: admin account governance across ERP, CRM, HRMS, MES, BI and SaaS tools is measured and reviewed, but monitoring, automation or scenario testing should be improved to prevent maturity drift.</t>
        </is>
      </c>
      <c r="M343" s="13" t="inlineStr">
        <is>
          <t>Low residual risk: admin account governance across ERP, CRM, HRMS, MES, BI and SaaS tools is mature and crisis-tested. Maintain monitoring, evidence, ownership and periodic stress testing.</t>
        </is>
      </c>
      <c r="N343" s="13" t="inlineStr">
        <is>
          <t>Create an immediate risk owner, minimum control baseline and fallback procedure for admin account governance across ERP, CRM, HRMS, MES, BI and SaaS tools. Add it to the crisis risk register and collect first evidence.</t>
        </is>
      </c>
      <c r="O343" s="13" t="inlineStr">
        <is>
          <t>Document admin account governance across ERP, CRM, HRMS, MES, BI and SaaS tools, assign RACI, define minimum controls and KPIs, and validate coverage across key sites, teams or systems.</t>
        </is>
      </c>
      <c r="P343" s="13" t="inlineStr">
        <is>
          <t>Standardize admin account governance across ERP, CRM, HRMS, MES, BI and SaaS tools, close coverage gaps, train accountable roles and connect controls to the relevant crisis scenarios and continuity plans.</t>
        </is>
      </c>
      <c r="Q343" s="13" t="inlineStr">
        <is>
          <t>Measure and test admin account governance across ERP, CRM, HRMS, MES, BI and SaaS tools, run tabletop or operational stress tests, integrate it with dependent processes and update crisis playbooks.</t>
        </is>
      </c>
      <c r="R343" s="13" t="inlineStr">
        <is>
          <t>Automate monitoring where practical, define leading indicators, run periodic scenario tests and track residual risk after each major change.</t>
        </is>
      </c>
      <c r="S343" s="13" t="inlineStr">
        <is>
          <t>Sustain maturity for admin account governance across ERP, CRM, HRMS, MES, BI and SaaS tools: keep evidence current, monitor drift, benchmark externally and refresh risk tests after organizational, system or market changes.</t>
        </is>
      </c>
      <c r="T343" s="13" t="n">
        <v>4</v>
      </c>
      <c r="U343" s="13" t="n">
        <v>3</v>
      </c>
      <c r="V343" s="13" t="n">
        <v>3</v>
      </c>
      <c r="W343" s="13" t="n">
        <v>2</v>
      </c>
      <c r="X343" s="13" t="n">
        <v>1</v>
      </c>
      <c r="Y343" s="13" t="n">
        <v>1</v>
      </c>
      <c r="Z343" s="13" t="inlineStr">
        <is>
          <t>COBIT; ITIL 4; ISO/IEC 27001; ISO/IEC 20000-1; ERP/CRM/MES/HRMS implementation practices</t>
        </is>
      </c>
      <c r="AA343" s="13" t="inlineStr">
        <is>
          <t>Policy/SOP; owner/RACI; system report; dashboard; contracts; test records; incident history; interview evidence related to admin account governance across ERP, CRM, HRMS, MES, BI and SaaS tools.</t>
        </is>
      </c>
      <c r="AB343" s="13" t="inlineStr">
        <is>
          <t>IT outage; Decision failure; Process disruption</t>
        </is>
      </c>
      <c r="AC343" s="13" t="inlineStr">
        <is>
          <t>CIO / Business Systems</t>
        </is>
      </c>
      <c r="AD343" s="13" t="inlineStr">
        <is>
          <t>Business Systems!23</t>
        </is>
      </c>
      <c r="AE343">
        <f>IF($A343="","",IF(OR(ISNUMBER(SEARCH("cyber",$D343)),ISNUMBER(SEARCH("security",$D343)),ISNUMBER(SEARCH("safety",$D343)),ISNUMBER(SEARCH("liquidity",$D343)),ISNUMBER(SEARCH("cash",$D343)),ISNUMBER(SEARCH("continuity",$D343)),ISNUMBER(SEARCH("infrastructure",$D343)),ISNUMBER(SEARCH("outage",$D343))),"Fast",IF(OR(ISNUMBER(SEARCH("compliance",$D343)),ISNUMBER(SEARCH("regulat",$D343)),ISNUMBER(SEARCH("data",$D343)),ISNUMBER(SEARCH("talent",$D343)),ISNUMBER(SEARCH("knowledge",$D343)),ISNUMBER(SEARCH("portfolio",$D343)),ISNUMBER(SEARCH("quality",$D343))),"Slow","Medium")))</f>
        <v/>
      </c>
      <c r="AF343">
        <f>IF($A343="","",IFERROR(VLOOKUP($B343,'_CONFIG_Risk_Calibration'!$A$5:$H$21,2,FALSE),3))</f>
        <v/>
      </c>
      <c r="AG343">
        <f>IF($A343="","",IFERROR(VLOOKUP($B343,'_CONFIG_Risk_Calibration'!$A$5:$H$21,3,FALSE),0))</f>
        <v/>
      </c>
      <c r="AH343">
        <f>IF($A343="","",IFERROR(VLOOKUP($B343,'_CONFIG_Risk_Calibration'!$A$5:$H$21,4,FALSE),3))</f>
        <v/>
      </c>
      <c r="AI343">
        <f>IF($A343="","",IFERROR(VLOOKUP($B343,'_CONFIG_Risk_Calibration'!$A$5:$H$21,5,FALSE),3))</f>
        <v/>
      </c>
      <c r="AJ343">
        <f>IF($A343="","",IFERROR(VLOOKUP($B343,'_CONFIG_Risk_Calibration'!$A$5:$H$21,6,FALSE),"No"))</f>
        <v/>
      </c>
      <c r="AK343">
        <f>IF($A343="","",IFERROR(VLOOKUP($B343,'_CONFIG_Risk_Calibration'!$A$5:$H$21,7,FALSE),1))</f>
        <v/>
      </c>
      <c r="AL343">
        <f>IF($A343="","",IFERROR(VLOOKUP($B343,'_CONFIG_Risk_Calibration'!$A$5:$H$21,8,FALSE),""))</f>
        <v/>
      </c>
    </row>
    <row r="344" ht="72" customHeight="1" s="209">
      <c r="A344" s="13" t="inlineStr">
        <is>
          <t>BUSI-022</t>
        </is>
      </c>
      <c r="B344" s="13" t="inlineStr">
        <is>
          <t>Business Systems</t>
        </is>
      </c>
      <c r="C344" s="13" t="inlineStr">
        <is>
          <t>Governance and lifecycle</t>
        </is>
      </c>
      <c r="D344" s="13" t="inlineStr">
        <is>
          <t>Enterprise systems and application continuity</t>
        </is>
      </c>
      <c r="E344" s="13" t="inlineStr">
        <is>
          <t>How mature is the organization in managing data portability and export procedures for critical systems, including ownership, evidence, metrics, fallback procedures and crisis stress testing?</t>
        </is>
      </c>
      <c r="F344" s="13" t="inlineStr">
        <is>
          <t>Immature capability for data portability and export procedures for critical systems may lead to ERP, CRM, MES or HRMS disruption, broken integrations and manual workarounds that fail under stress during IT outage; Decision failure; Process disruption.</t>
        </is>
      </c>
      <c r="G344" s="13" t="inlineStr">
        <is>
          <t>Low maturity, weak ownership, incomplete evidence, insufficient testing and poor integration with crisis-management routines for data portability and export procedures for critical systems.</t>
        </is>
      </c>
      <c r="H344" s="13" t="inlineStr">
        <is>
          <t>Severe risk: data portability and export procedures for critical systems is not reliably controlled. During IT outage; Decision failure; Process disruption, the organization may face ERP, CRM, MES or HRMS disruption, broken integrations and manual workarounds that fail under stress with limited visibility or accountability.</t>
        </is>
      </c>
      <c r="I344" s="13" t="inlineStr">
        <is>
          <t>High risk: data portability and export procedures for critical systems depends on informal practices or individual knowledge. Disruption may expose ERP, CRM, MES or HRMS disruption, broken integrations and manual workarounds that fail under stress and slow recovery.</t>
        </is>
      </c>
      <c r="J344" s="13" t="inlineStr">
        <is>
          <t>Elevated risk: data portability and export procedures for critical systems is partially controlled, but coverage, evidence or testing is inconsistent. Crisis response may be fragmented.</t>
        </is>
      </c>
      <c r="K344" s="13" t="inlineStr">
        <is>
          <t>Moderate risk: data portability and export procedures for critical systems is documented and owned, but measurement, stress testing and integration with dependent processes need strengthening.</t>
        </is>
      </c>
      <c r="L344" s="13" t="inlineStr">
        <is>
          <t>Residual risk: data portability and export procedures for critical systems is measured and reviewed, but monitoring, automation or scenario testing should be improved to prevent maturity drift.</t>
        </is>
      </c>
      <c r="M344" s="13" t="inlineStr">
        <is>
          <t>Low residual risk: data portability and export procedures for critical systems is mature and crisis-tested. Maintain monitoring, evidence, ownership and periodic stress testing.</t>
        </is>
      </c>
      <c r="N344" s="13" t="inlineStr">
        <is>
          <t>Create an immediate risk owner, minimum control baseline and fallback procedure for data portability and export procedures for critical systems. Add it to the crisis risk register and collect first evidence.</t>
        </is>
      </c>
      <c r="O344" s="13" t="inlineStr">
        <is>
          <t>Document data portability and export procedures for critical systems, assign RACI, define minimum controls and KPIs, and validate coverage across key sites, teams or systems.</t>
        </is>
      </c>
      <c r="P344" s="13" t="inlineStr">
        <is>
          <t>Standardize data portability and export procedures for critical systems, close coverage gaps, train accountable roles and connect controls to the relevant crisis scenarios and continuity plans.</t>
        </is>
      </c>
      <c r="Q344" s="13" t="inlineStr">
        <is>
          <t>Measure and test data portability and export procedures for critical systems, run tabletop or operational stress tests, integrate it with dependent processes and update crisis playbooks.</t>
        </is>
      </c>
      <c r="R344" s="13" t="inlineStr">
        <is>
          <t>Automate monitoring where practical, define leading indicators, run periodic scenario tests and track residual risk after each major change.</t>
        </is>
      </c>
      <c r="S344" s="13" t="inlineStr">
        <is>
          <t>Sustain maturity for data portability and export procedures for critical systems: keep evidence current, monitor drift, benchmark externally and refresh risk tests after organizational, system or market changes.</t>
        </is>
      </c>
      <c r="T344" s="13" t="n">
        <v>4</v>
      </c>
      <c r="U344" s="13" t="n">
        <v>3</v>
      </c>
      <c r="V344" s="13" t="n">
        <v>3</v>
      </c>
      <c r="W344" s="13" t="n">
        <v>2</v>
      </c>
      <c r="X344" s="13" t="n">
        <v>1</v>
      </c>
      <c r="Y344" s="13" t="n">
        <v>1</v>
      </c>
      <c r="Z344" s="13" t="inlineStr">
        <is>
          <t>COBIT; ITIL 4; ISO/IEC 27001; ISO/IEC 20000-1; ERP/CRM/MES/HRMS implementation practices</t>
        </is>
      </c>
      <c r="AA344" s="13" t="inlineStr">
        <is>
          <t>Policy/SOP; owner/RACI; system report; dashboard; contracts; test records; incident history; interview evidence related to data portability and export procedures for critical systems.</t>
        </is>
      </c>
      <c r="AB344" s="13" t="inlineStr">
        <is>
          <t>IT outage; Decision failure; Process disruption</t>
        </is>
      </c>
      <c r="AC344" s="13" t="inlineStr">
        <is>
          <t>CIO / Business Systems</t>
        </is>
      </c>
      <c r="AD344" s="13" t="inlineStr">
        <is>
          <t>Business Systems!24</t>
        </is>
      </c>
      <c r="AE344">
        <f>IF($A344="","",IF(OR(ISNUMBER(SEARCH("cyber",$D344)),ISNUMBER(SEARCH("security",$D344)),ISNUMBER(SEARCH("safety",$D344)),ISNUMBER(SEARCH("liquidity",$D344)),ISNUMBER(SEARCH("cash",$D344)),ISNUMBER(SEARCH("continuity",$D344)),ISNUMBER(SEARCH("infrastructure",$D344)),ISNUMBER(SEARCH("outage",$D344))),"Fast",IF(OR(ISNUMBER(SEARCH("compliance",$D344)),ISNUMBER(SEARCH("regulat",$D344)),ISNUMBER(SEARCH("data",$D344)),ISNUMBER(SEARCH("talent",$D344)),ISNUMBER(SEARCH("knowledge",$D344)),ISNUMBER(SEARCH("portfolio",$D344)),ISNUMBER(SEARCH("quality",$D344))),"Slow","Medium")))</f>
        <v/>
      </c>
      <c r="AF344">
        <f>IF($A344="","",IFERROR(VLOOKUP($B344,'_CONFIG_Risk_Calibration'!$A$5:$H$21,2,FALSE),3))</f>
        <v/>
      </c>
      <c r="AG344">
        <f>IF($A344="","",IFERROR(VLOOKUP($B344,'_CONFIG_Risk_Calibration'!$A$5:$H$21,3,FALSE),0))</f>
        <v/>
      </c>
      <c r="AH344">
        <f>IF($A344="","",IFERROR(VLOOKUP($B344,'_CONFIG_Risk_Calibration'!$A$5:$H$21,4,FALSE),3))</f>
        <v/>
      </c>
      <c r="AI344">
        <f>IF($A344="","",IFERROR(VLOOKUP($B344,'_CONFIG_Risk_Calibration'!$A$5:$H$21,5,FALSE),3))</f>
        <v/>
      </c>
      <c r="AJ344">
        <f>IF($A344="","",IFERROR(VLOOKUP($B344,'_CONFIG_Risk_Calibration'!$A$5:$H$21,6,FALSE),"No"))</f>
        <v/>
      </c>
      <c r="AK344">
        <f>IF($A344="","",IFERROR(VLOOKUP($B344,'_CONFIG_Risk_Calibration'!$A$5:$H$21,7,FALSE),1))</f>
        <v/>
      </c>
      <c r="AL344">
        <f>IF($A344="","",IFERROR(VLOOKUP($B344,'_CONFIG_Risk_Calibration'!$A$5:$H$21,8,FALSE),""))</f>
        <v/>
      </c>
    </row>
    <row r="345" ht="72" customHeight="1" s="209">
      <c r="A345" s="13" t="inlineStr">
        <is>
          <t>BUSI-023</t>
        </is>
      </c>
      <c r="B345" s="13" t="inlineStr">
        <is>
          <t>Business Systems</t>
        </is>
      </c>
      <c r="C345" s="13" t="inlineStr">
        <is>
          <t>Governance and lifecycle</t>
        </is>
      </c>
      <c r="D345" s="13" t="inlineStr">
        <is>
          <t>Enterprise systems and application continuity</t>
        </is>
      </c>
      <c r="E345" s="13" t="inlineStr">
        <is>
          <t>How mature is the organization in managing configuration and customization documentation for critical business systems, including ownership, evidence, metrics, fallback procedures and crisis stress testing?</t>
        </is>
      </c>
      <c r="F345" s="13" t="inlineStr">
        <is>
          <t>Immature capability for configuration and customization documentation for critical business systems may lead to ERP, CRM, MES or HRMS disruption, broken integrations and manual workarounds that fail under stress during IT outage; Decision failure; Process disruption.</t>
        </is>
      </c>
      <c r="G345" s="13" t="inlineStr">
        <is>
          <t>Low maturity, weak ownership, incomplete evidence, insufficient testing and poor integration with crisis-management routines for configuration and customization documentation for critical business systems.</t>
        </is>
      </c>
      <c r="H345" s="13" t="inlineStr">
        <is>
          <t>Severe risk: configuration and customization documentation for critical business systems is not reliably controlled. During IT outage; Decision failure; Process disruption, the organization may face ERP, CRM, MES or HRMS disruption, broken integrations and manual workarounds that fail under stress with limited visibility or accountability.</t>
        </is>
      </c>
      <c r="I345" s="13" t="inlineStr">
        <is>
          <t>High risk: configuration and customization documentation for critical business systems depends on informal practices or individual knowledge. Disruption may expose ERP, CRM, MES or HRMS disruption, broken integrations and manual workarounds that fail under stress and slow recovery.</t>
        </is>
      </c>
      <c r="J345" s="13" t="inlineStr">
        <is>
          <t>Elevated risk: configuration and customization documentation for critical business systems is partially controlled, but coverage, evidence or testing is inconsistent. Crisis response may be fragmented.</t>
        </is>
      </c>
      <c r="K345" s="13" t="inlineStr">
        <is>
          <t>Moderate risk: configuration and customization documentation for critical business systems is documented and owned, but measurement, stress testing and integration with dependent processes need strengthening.</t>
        </is>
      </c>
      <c r="L345" s="13" t="inlineStr">
        <is>
          <t>Residual risk: configuration and customization documentation for critical business systems is measured and reviewed, but monitoring, automation or scenario testing should be improved to prevent maturity drift.</t>
        </is>
      </c>
      <c r="M345" s="13" t="inlineStr">
        <is>
          <t>Low residual risk: configuration and customization documentation for critical business systems is mature and crisis-tested. Maintain monitoring, evidence, ownership and periodic stress testing.</t>
        </is>
      </c>
      <c r="N345" s="13" t="inlineStr">
        <is>
          <t>Create an immediate risk owner, minimum control baseline and fallback procedure for configuration and customization documentation for critical business systems. Add it to the crisis risk register and collect first evidence.</t>
        </is>
      </c>
      <c r="O345" s="13" t="inlineStr">
        <is>
          <t>Document configuration and customization documentation for critical business systems, assign RACI, define minimum controls and KPIs, and validate coverage across key sites, teams or systems.</t>
        </is>
      </c>
      <c r="P345" s="13" t="inlineStr">
        <is>
          <t>Standardize configuration and customization documentation for critical business systems, close coverage gaps, train accountable roles and connect controls to the relevant crisis scenarios and continuity plans.</t>
        </is>
      </c>
      <c r="Q345" s="13" t="inlineStr">
        <is>
          <t>Measure and test configuration and customization documentation for critical business systems, run tabletop or operational stress tests, integrate it with dependent processes and update crisis playbooks.</t>
        </is>
      </c>
      <c r="R345" s="13" t="inlineStr">
        <is>
          <t>Automate monitoring where practical, define leading indicators, run periodic scenario tests and track residual risk after each major change.</t>
        </is>
      </c>
      <c r="S345" s="13" t="inlineStr">
        <is>
          <t>Sustain maturity for configuration and customization documentation for critical business systems: keep evidence current, monitor drift, benchmark externally and refresh risk tests after organizational, system or market changes.</t>
        </is>
      </c>
      <c r="T345" s="13" t="n">
        <v>4</v>
      </c>
      <c r="U345" s="13" t="n">
        <v>3</v>
      </c>
      <c r="V345" s="13" t="n">
        <v>3</v>
      </c>
      <c r="W345" s="13" t="n">
        <v>2</v>
      </c>
      <c r="X345" s="13" t="n">
        <v>1</v>
      </c>
      <c r="Y345" s="13" t="n">
        <v>1</v>
      </c>
      <c r="Z345" s="13" t="inlineStr">
        <is>
          <t>COBIT; ITIL 4; ISO/IEC 27001; ISO/IEC 20000-1; ERP/CRM/MES/HRMS implementation practices</t>
        </is>
      </c>
      <c r="AA345" s="13" t="inlineStr">
        <is>
          <t>Policy/SOP; owner/RACI; system report; dashboard; contracts; test records; incident history; interview evidence related to configuration and customization documentation for critical business systems.</t>
        </is>
      </c>
      <c r="AB345" s="13" t="inlineStr">
        <is>
          <t>IT outage; Decision failure; Process disruption</t>
        </is>
      </c>
      <c r="AC345" s="13" t="inlineStr">
        <is>
          <t>CIO / Business Systems</t>
        </is>
      </c>
      <c r="AD345" s="13" t="inlineStr">
        <is>
          <t>Business Systems!25</t>
        </is>
      </c>
      <c r="AE345">
        <f>IF($A345="","",IF(OR(ISNUMBER(SEARCH("cyber",$D345)),ISNUMBER(SEARCH("security",$D345)),ISNUMBER(SEARCH("safety",$D345)),ISNUMBER(SEARCH("liquidity",$D345)),ISNUMBER(SEARCH("cash",$D345)),ISNUMBER(SEARCH("continuity",$D345)),ISNUMBER(SEARCH("infrastructure",$D345)),ISNUMBER(SEARCH("outage",$D345))),"Fast",IF(OR(ISNUMBER(SEARCH("compliance",$D345)),ISNUMBER(SEARCH("regulat",$D345)),ISNUMBER(SEARCH("data",$D345)),ISNUMBER(SEARCH("talent",$D345)),ISNUMBER(SEARCH("knowledge",$D345)),ISNUMBER(SEARCH("portfolio",$D345)),ISNUMBER(SEARCH("quality",$D345))),"Slow","Medium")))</f>
        <v/>
      </c>
      <c r="AF345">
        <f>IF($A345="","",IFERROR(VLOOKUP($B345,'_CONFIG_Risk_Calibration'!$A$5:$H$21,2,FALSE),3))</f>
        <v/>
      </c>
      <c r="AG345">
        <f>IF($A345="","",IFERROR(VLOOKUP($B345,'_CONFIG_Risk_Calibration'!$A$5:$H$21,3,FALSE),0))</f>
        <v/>
      </c>
      <c r="AH345">
        <f>IF($A345="","",IFERROR(VLOOKUP($B345,'_CONFIG_Risk_Calibration'!$A$5:$H$21,4,FALSE),3))</f>
        <v/>
      </c>
      <c r="AI345">
        <f>IF($A345="","",IFERROR(VLOOKUP($B345,'_CONFIG_Risk_Calibration'!$A$5:$H$21,5,FALSE),3))</f>
        <v/>
      </c>
      <c r="AJ345">
        <f>IF($A345="","",IFERROR(VLOOKUP($B345,'_CONFIG_Risk_Calibration'!$A$5:$H$21,6,FALSE),"No"))</f>
        <v/>
      </c>
      <c r="AK345">
        <f>IF($A345="","",IFERROR(VLOOKUP($B345,'_CONFIG_Risk_Calibration'!$A$5:$H$21,7,FALSE),1))</f>
        <v/>
      </c>
      <c r="AL345">
        <f>IF($A345="","",IFERROR(VLOOKUP($B345,'_CONFIG_Risk_Calibration'!$A$5:$H$21,8,FALSE),""))</f>
        <v/>
      </c>
    </row>
    <row r="346" ht="72" customHeight="1" s="209">
      <c r="A346" s="13" t="inlineStr">
        <is>
          <t>DATA-001</t>
        </is>
      </c>
      <c r="B346" s="13" t="inlineStr">
        <is>
          <t>Data BI AI</t>
        </is>
      </c>
      <c r="C346" s="13" t="inlineStr">
        <is>
          <t>Data governance</t>
        </is>
      </c>
      <c r="D346" s="13" t="inlineStr">
        <is>
          <t>Data, BI, analytics and AI governance</t>
        </is>
      </c>
      <c r="E346" s="13" t="inlineStr">
        <is>
          <t>How mature is the organization in managing data owners and stewards for critical data domains, including ownership, evidence, metrics, fallback procedures and crisis stress testing?</t>
        </is>
      </c>
      <c r="F346" s="13" t="inlineStr">
        <is>
          <t>Immature capability for data owners and stewards for critical data domains may lead to poor decisions, unreliable reporting, data quality problems and unsafe or ineffective AI usage during Decision failure; Data loss; Regulatory/legal shock.</t>
        </is>
      </c>
      <c r="G346" s="13" t="inlineStr">
        <is>
          <t>Low maturity, weak ownership, incomplete evidence, insufficient testing and poor integration with crisis-management routines for data owners and stewards for critical data domains.</t>
        </is>
      </c>
      <c r="H346" s="13" t="inlineStr">
        <is>
          <t>Severe risk: data owners and stewards for critical data domains is not reliably controlled. During Decision failure; Data loss; Regulatory/legal shock, the organization may face poor decisions, unreliable reporting, data quality problems and unsafe or ineffective AI usage with limited visibility or accountability.</t>
        </is>
      </c>
      <c r="I346" s="13" t="inlineStr">
        <is>
          <t>High risk: data owners and stewards for critical data domains depends on informal practices or individual knowledge. Disruption may expose poor decisions, unreliable reporting, data quality problems and unsafe or ineffective AI usage and slow recovery.</t>
        </is>
      </c>
      <c r="J346" s="13" t="inlineStr">
        <is>
          <t>Elevated risk: data owners and stewards for critical data domains is partially controlled, but coverage, evidence or testing is inconsistent. Crisis response may be fragmented.</t>
        </is>
      </c>
      <c r="K346" s="13" t="inlineStr">
        <is>
          <t>Moderate risk: data owners and stewards for critical data domains is documented and owned, but measurement, stress testing and integration with dependent processes need strengthening.</t>
        </is>
      </c>
      <c r="L346" s="13" t="inlineStr">
        <is>
          <t>Residual risk: data owners and stewards for critical data domains is measured and reviewed, but monitoring, automation or scenario testing should be improved to prevent maturity drift.</t>
        </is>
      </c>
      <c r="M346" s="13" t="inlineStr">
        <is>
          <t>Low residual risk: data owners and stewards for critical data domains is mature and crisis-tested. Maintain monitoring, evidence, ownership and periodic stress testing.</t>
        </is>
      </c>
      <c r="N346" s="13" t="inlineStr">
        <is>
          <t>Create an immediate risk owner, minimum control baseline and fallback procedure for data owners and stewards for critical data domains. Add it to the crisis risk register and collect first evidence.</t>
        </is>
      </c>
      <c r="O346" s="13" t="inlineStr">
        <is>
          <t>Document data owners and stewards for critical data domains, assign RACI, define minimum controls and KPIs, and validate coverage across key sites, teams or systems.</t>
        </is>
      </c>
      <c r="P346" s="13" t="inlineStr">
        <is>
          <t>Standardize data owners and stewards for critical data domains, close coverage gaps, train accountable roles and connect controls to the relevant crisis scenarios and continuity plans.</t>
        </is>
      </c>
      <c r="Q346" s="13" t="inlineStr">
        <is>
          <t>Measure and test data owners and stewards for critical data domains, run tabletop or operational stress tests, integrate it with dependent processes and update crisis playbooks.</t>
        </is>
      </c>
      <c r="R346" s="13" t="inlineStr">
        <is>
          <t>Automate monitoring where practical, define leading indicators, run periodic scenario tests and track residual risk after each major change.</t>
        </is>
      </c>
      <c r="S346" s="13" t="inlineStr">
        <is>
          <t>Sustain maturity for data owners and stewards for critical data domains: keep evidence current, monitor drift, benchmark externally and refresh risk tests after organizational, system or market changes.</t>
        </is>
      </c>
      <c r="T346" s="13" t="n">
        <v>4</v>
      </c>
      <c r="U346" s="13" t="n">
        <v>3</v>
      </c>
      <c r="V346" s="13" t="n">
        <v>3</v>
      </c>
      <c r="W346" s="13" t="n">
        <v>2</v>
      </c>
      <c r="X346" s="13" t="n">
        <v>1</v>
      </c>
      <c r="Y346" s="13" t="n">
        <v>1</v>
      </c>
      <c r="Z346" s="13" t="inlineStr">
        <is>
          <t>DAMA-DMBOK; ISO/IEC 38505; ISO/IEC 42001; ISO/IEC 23894; NIST AI RMF; DCAM</t>
        </is>
      </c>
      <c r="AA346" s="13" t="inlineStr">
        <is>
          <t>Policy/SOP; owner/RACI; system report; dashboard; contracts; test records; incident history; interview evidence related to data owners and stewards for critical data domains.</t>
        </is>
      </c>
      <c r="AB346" s="13" t="inlineStr">
        <is>
          <t>Decision failure; Data loss; Regulatory/legal shock</t>
        </is>
      </c>
      <c r="AC346" s="13" t="inlineStr">
        <is>
          <t>CDO / BI / Analytics</t>
        </is>
      </c>
      <c r="AD346" s="13" t="inlineStr">
        <is>
          <t>Data BI AI!5</t>
        </is>
      </c>
      <c r="AE346">
        <f>IF($A346="","",IF(OR(ISNUMBER(SEARCH("cyber",$D346)),ISNUMBER(SEARCH("security",$D346)),ISNUMBER(SEARCH("safety",$D346)),ISNUMBER(SEARCH("liquidity",$D346)),ISNUMBER(SEARCH("cash",$D346)),ISNUMBER(SEARCH("continuity",$D346)),ISNUMBER(SEARCH("infrastructure",$D346)),ISNUMBER(SEARCH("outage",$D346))),"Fast",IF(OR(ISNUMBER(SEARCH("compliance",$D346)),ISNUMBER(SEARCH("regulat",$D346)),ISNUMBER(SEARCH("data",$D346)),ISNUMBER(SEARCH("talent",$D346)),ISNUMBER(SEARCH("knowledge",$D346)),ISNUMBER(SEARCH("portfolio",$D346)),ISNUMBER(SEARCH("quality",$D346))),"Slow","Medium")))</f>
        <v/>
      </c>
      <c r="AF346">
        <f>IF($A346="","",IFERROR(VLOOKUP($B346,'_CONFIG_Risk_Calibration'!$A$5:$H$21,2,FALSE),3))</f>
        <v/>
      </c>
      <c r="AG346">
        <f>IF($A346="","",IFERROR(VLOOKUP($B346,'_CONFIG_Risk_Calibration'!$A$5:$H$21,3,FALSE),0))</f>
        <v/>
      </c>
      <c r="AH346">
        <f>IF($A346="","",IFERROR(VLOOKUP($B346,'_CONFIG_Risk_Calibration'!$A$5:$H$21,4,FALSE),3))</f>
        <v/>
      </c>
      <c r="AI346">
        <f>IF($A346="","",IFERROR(VLOOKUP($B346,'_CONFIG_Risk_Calibration'!$A$5:$H$21,5,FALSE),3))</f>
        <v/>
      </c>
      <c r="AJ346">
        <f>IF($A346="","",IFERROR(VLOOKUP($B346,'_CONFIG_Risk_Calibration'!$A$5:$H$21,6,FALSE),"No"))</f>
        <v/>
      </c>
      <c r="AK346">
        <f>IF($A346="","",IFERROR(VLOOKUP($B346,'_CONFIG_Risk_Calibration'!$A$5:$H$21,7,FALSE),1))</f>
        <v/>
      </c>
      <c r="AL346">
        <f>IF($A346="","",IFERROR(VLOOKUP($B346,'_CONFIG_Risk_Calibration'!$A$5:$H$21,8,FALSE),""))</f>
        <v/>
      </c>
    </row>
    <row r="347" ht="72" customHeight="1" s="209">
      <c r="A347" s="13" t="inlineStr">
        <is>
          <t>DATA-002</t>
        </is>
      </c>
      <c r="B347" s="13" t="inlineStr">
        <is>
          <t>Data BI AI</t>
        </is>
      </c>
      <c r="C347" s="13" t="inlineStr">
        <is>
          <t>Data governance</t>
        </is>
      </c>
      <c r="D347" s="13" t="inlineStr">
        <is>
          <t>Data, BI, analytics and AI governance</t>
        </is>
      </c>
      <c r="E347" s="13" t="inlineStr">
        <is>
          <t>How mature is the organization in managing data catalog of critical datasets, reports, dashboards, data sources and users, including ownership, evidence, metrics, fallback procedures and crisis stress testing?</t>
        </is>
      </c>
      <c r="F347" s="13" t="inlineStr">
        <is>
          <t>Immature capability for data catalog of critical datasets, reports, dashboards, data sources and users may lead to poor decisions, unreliable reporting, data quality problems and unsafe or ineffective AI usage during Decision failure; Data loss; Regulatory/legal shock.</t>
        </is>
      </c>
      <c r="G347" s="13" t="inlineStr">
        <is>
          <t>Low maturity, weak ownership, incomplete evidence, insufficient testing and poor integration with crisis-management routines for data catalog of critical datasets, reports, dashboards, data sources and users.</t>
        </is>
      </c>
      <c r="H347" s="13" t="inlineStr">
        <is>
          <t>Severe risk: data catalog of critical datasets, reports, dashboards, data sources and users is not reliably controlled. During Decision failure; Data loss; Regulatory/legal shock, the organization may face poor decisions, unreliable reporting, data quality problems and unsafe or ineffective AI usage with limited visibility or accountability.</t>
        </is>
      </c>
      <c r="I347" s="13" t="inlineStr">
        <is>
          <t>High risk: data catalog of critical datasets, reports, dashboards, data sources and users depends on informal practices or individual knowledge. Disruption may expose poor decisions, unreliable reporting, data quality problems and unsafe or ineffective AI usage and slow recovery.</t>
        </is>
      </c>
      <c r="J347" s="13" t="inlineStr">
        <is>
          <t>Elevated risk: data catalog of critical datasets, reports, dashboards, data sources and users is partially controlled, but coverage, evidence or testing is inconsistent. Crisis response may be fragmented.</t>
        </is>
      </c>
      <c r="K347" s="13" t="inlineStr">
        <is>
          <t>Moderate risk: data catalog of critical datasets, reports, dashboards, data sources and users is documented and owned, but measurement, stress testing and integration with dependent processes need strengthening.</t>
        </is>
      </c>
      <c r="L347" s="13" t="inlineStr">
        <is>
          <t>Residual risk: data catalog of critical datasets, reports, dashboards, data sources and users is measured and reviewed, but monitoring, automation or scenario testing should be improved to prevent maturity drift.</t>
        </is>
      </c>
      <c r="M347" s="13" t="inlineStr">
        <is>
          <t>Low residual risk: data catalog of critical datasets, reports, dashboards, data sources and users is mature and crisis-tested. Maintain monitoring, evidence, ownership and periodic stress testing.</t>
        </is>
      </c>
      <c r="N347" s="13" t="inlineStr">
        <is>
          <t>Create an immediate risk owner, minimum control baseline and fallback procedure for data catalog of critical datasets, reports, dashboards, data sources and users. Add it to the crisis risk register and collect first evidence.</t>
        </is>
      </c>
      <c r="O347" s="13" t="inlineStr">
        <is>
          <t>Document data catalog of critical datasets, reports, dashboards, data sources and users, assign RACI, define minimum controls and KPIs, and validate coverage across key sites, teams or systems.</t>
        </is>
      </c>
      <c r="P347" s="13" t="inlineStr">
        <is>
          <t>Standardize data catalog of critical datasets, reports, dashboards, data sources and users, close coverage gaps, train accountable roles and connect controls to the relevant crisis scenarios and continuity plans.</t>
        </is>
      </c>
      <c r="Q347" s="13" t="inlineStr">
        <is>
          <t>Measure and test data catalog of critical datasets, reports, dashboards, data sources and users, run tabletop or operational stress tests, integrate it with dependent processes and update crisis playbooks.</t>
        </is>
      </c>
      <c r="R347" s="13" t="inlineStr">
        <is>
          <t>Automate monitoring where practical, define leading indicators, run periodic scenario tests and track residual risk after each major change.</t>
        </is>
      </c>
      <c r="S347" s="13" t="inlineStr">
        <is>
          <t>Sustain maturity for data catalog of critical datasets, reports, dashboards, data sources and users: keep evidence current, monitor drift, benchmark externally and refresh risk tests after organizational, system or market changes.</t>
        </is>
      </c>
      <c r="T347" s="13" t="n">
        <v>4</v>
      </c>
      <c r="U347" s="13" t="n">
        <v>3</v>
      </c>
      <c r="V347" s="13" t="n">
        <v>3</v>
      </c>
      <c r="W347" s="13" t="n">
        <v>2</v>
      </c>
      <c r="X347" s="13" t="n">
        <v>1</v>
      </c>
      <c r="Y347" s="13" t="n">
        <v>1</v>
      </c>
      <c r="Z347" s="13" t="inlineStr">
        <is>
          <t>DAMA-DMBOK; ISO/IEC 38505; ISO/IEC 42001; ISO/IEC 23894; NIST AI RMF; DCAM</t>
        </is>
      </c>
      <c r="AA347" s="13" t="inlineStr">
        <is>
          <t>Policy/SOP; owner/RACI; system report; dashboard; contracts; test records; incident history; interview evidence related to data catalog of critical datasets, reports, dashboards, data sources and users.</t>
        </is>
      </c>
      <c r="AB347" s="13" t="inlineStr">
        <is>
          <t>Decision failure; Data loss; Regulatory/legal shock</t>
        </is>
      </c>
      <c r="AC347" s="13" t="inlineStr">
        <is>
          <t>CDO / BI / Analytics</t>
        </is>
      </c>
      <c r="AD347" s="13" t="inlineStr">
        <is>
          <t>Data BI AI!6</t>
        </is>
      </c>
      <c r="AE347">
        <f>IF($A347="","",IF(OR(ISNUMBER(SEARCH("cyber",$D347)),ISNUMBER(SEARCH("security",$D347)),ISNUMBER(SEARCH("safety",$D347)),ISNUMBER(SEARCH("liquidity",$D347)),ISNUMBER(SEARCH("cash",$D347)),ISNUMBER(SEARCH("continuity",$D347)),ISNUMBER(SEARCH("infrastructure",$D347)),ISNUMBER(SEARCH("outage",$D347))),"Fast",IF(OR(ISNUMBER(SEARCH("compliance",$D347)),ISNUMBER(SEARCH("regulat",$D347)),ISNUMBER(SEARCH("data",$D347)),ISNUMBER(SEARCH("talent",$D347)),ISNUMBER(SEARCH("knowledge",$D347)),ISNUMBER(SEARCH("portfolio",$D347)),ISNUMBER(SEARCH("quality",$D347))),"Slow","Medium")))</f>
        <v/>
      </c>
      <c r="AF347">
        <f>IF($A347="","",IFERROR(VLOOKUP($B347,'_CONFIG_Risk_Calibration'!$A$5:$H$21,2,FALSE),3))</f>
        <v/>
      </c>
      <c r="AG347">
        <f>IF($A347="","",IFERROR(VLOOKUP($B347,'_CONFIG_Risk_Calibration'!$A$5:$H$21,3,FALSE),0))</f>
        <v/>
      </c>
      <c r="AH347">
        <f>IF($A347="","",IFERROR(VLOOKUP($B347,'_CONFIG_Risk_Calibration'!$A$5:$H$21,4,FALSE),3))</f>
        <v/>
      </c>
      <c r="AI347">
        <f>IF($A347="","",IFERROR(VLOOKUP($B347,'_CONFIG_Risk_Calibration'!$A$5:$H$21,5,FALSE),3))</f>
        <v/>
      </c>
      <c r="AJ347">
        <f>IF($A347="","",IFERROR(VLOOKUP($B347,'_CONFIG_Risk_Calibration'!$A$5:$H$21,6,FALSE),"No"))</f>
        <v/>
      </c>
      <c r="AK347">
        <f>IF($A347="","",IFERROR(VLOOKUP($B347,'_CONFIG_Risk_Calibration'!$A$5:$H$21,7,FALSE),1))</f>
        <v/>
      </c>
      <c r="AL347">
        <f>IF($A347="","",IFERROR(VLOOKUP($B347,'_CONFIG_Risk_Calibration'!$A$5:$H$21,8,FALSE),""))</f>
        <v/>
      </c>
    </row>
    <row r="348" ht="72" customHeight="1" s="209">
      <c r="A348" s="13" t="inlineStr">
        <is>
          <t>DATA-003</t>
        </is>
      </c>
      <c r="B348" s="13" t="inlineStr">
        <is>
          <t>Data BI AI</t>
        </is>
      </c>
      <c r="C348" s="13" t="inlineStr">
        <is>
          <t>Data governance</t>
        </is>
      </c>
      <c r="D348" s="13" t="inlineStr">
        <is>
          <t>Data, BI, analytics and AI governance</t>
        </is>
      </c>
      <c r="E348" s="13" t="inlineStr">
        <is>
          <t>How mature is the organization in managing consistent metric definitions across finance, sales, operations, HR, supply chain and manufacturing, including ownership, evidence, metrics, fallback procedures and crisis stress testing?</t>
        </is>
      </c>
      <c r="F348" s="13" t="inlineStr">
        <is>
          <t>Immature capability for consistent metric definitions across finance, sales, operations, HR, supply chain and manufacturing may lead to poor decisions, unreliable reporting, data quality problems and unsafe or ineffective AI usage during Decision failure; Data loss; Regulatory/legal shock.</t>
        </is>
      </c>
      <c r="G348" s="13" t="inlineStr">
        <is>
          <t>Low maturity, weak ownership, incomplete evidence, insufficient testing and poor integration with crisis-management routines for consistent metric definitions across finance, sales, operations, HR, supply chain and manufacturing.</t>
        </is>
      </c>
      <c r="H348" s="13" t="inlineStr">
        <is>
          <t>Severe risk: consistent metric definitions across finance, sales, operations, HR, supply chain and manufacturing is not reliably controlled. During Decision failure; Data loss; Regulatory/legal shock, the organization may face poor decisions, unreliable reporting, data quality problems and unsafe or ineffective AI usage with limited visibility or accountability.</t>
        </is>
      </c>
      <c r="I348" s="13" t="inlineStr">
        <is>
          <t>High risk: consistent metric definitions across finance, sales, operations, HR, supply chain and manufacturing depends on informal practices or individual knowledge. Disruption may expose poor decisions, unreliable reporting, data quality problems and unsafe or ineffective AI usage and slow recovery.</t>
        </is>
      </c>
      <c r="J348" s="13" t="inlineStr">
        <is>
          <t>Elevated risk: consistent metric definitions across finance, sales, operations, HR, supply chain and manufacturing is partially controlled, but coverage, evidence or testing is inconsistent. Crisis response may be fragmented.</t>
        </is>
      </c>
      <c r="K348" s="13" t="inlineStr">
        <is>
          <t>Moderate risk: consistent metric definitions across finance, sales, operations, HR, supply chain and manufacturing is documented and owned, but measurement, stress testing and integration with dependent processes need strengthening.</t>
        </is>
      </c>
      <c r="L348" s="13" t="inlineStr">
        <is>
          <t>Residual risk: consistent metric definitions across finance, sales, operations, HR, supply chain and manufacturing is measured and reviewed, but monitoring, automation or scenario testing should be improved to prevent maturity drift.</t>
        </is>
      </c>
      <c r="M348" s="13" t="inlineStr">
        <is>
          <t>Low residual risk: consistent metric definitions across finance, sales, operations, HR, supply chain and manufacturing is mature and crisis-tested. Maintain monitoring, evidence, ownership and periodic stress testing.</t>
        </is>
      </c>
      <c r="N348" s="13" t="inlineStr">
        <is>
          <t>Create an immediate risk owner, minimum control baseline and fallback procedure for consistent metric definitions across finance, sales, operations, HR, supply chain and manufacturing. Add it to the crisis risk register and collect first evidence.</t>
        </is>
      </c>
      <c r="O348" s="13" t="inlineStr">
        <is>
          <t>Document consistent metric definitions across finance, sales, operations, HR, supply chain and manufacturing, assign RACI, define minimum controls and KPIs, and validate coverage across key sites, teams or systems.</t>
        </is>
      </c>
      <c r="P348" s="13" t="inlineStr">
        <is>
          <t>Standardize consistent metric definitions across finance, sales, operations, HR, supply chain and manufacturing, close coverage gaps, train accountable roles and connect controls to the relevant crisis scenarios and continuity plans.</t>
        </is>
      </c>
      <c r="Q348" s="13" t="inlineStr">
        <is>
          <t>Measure and test consistent metric definitions across finance, sales, operations, HR, supply chain and manufacturing, run tabletop or operational stress tests, integrate it with dependent processes and update crisis playbooks.</t>
        </is>
      </c>
      <c r="R348" s="13" t="inlineStr">
        <is>
          <t>Automate monitoring where practical, define leading indicators, run periodic scenario tests and track residual risk after each major change.</t>
        </is>
      </c>
      <c r="S348" s="13" t="inlineStr">
        <is>
          <t>Sustain maturity for consistent metric definitions across finance, sales, operations, HR, supply chain and manufacturing: keep evidence current, monitor drift, benchmark externally and refresh risk tests after organizational, system or market changes.</t>
        </is>
      </c>
      <c r="T348" s="13" t="n">
        <v>4</v>
      </c>
      <c r="U348" s="13" t="n">
        <v>3</v>
      </c>
      <c r="V348" s="13" t="n">
        <v>3</v>
      </c>
      <c r="W348" s="13" t="n">
        <v>2</v>
      </c>
      <c r="X348" s="13" t="n">
        <v>1</v>
      </c>
      <c r="Y348" s="13" t="n">
        <v>1</v>
      </c>
      <c r="Z348" s="13" t="inlineStr">
        <is>
          <t>DAMA-DMBOK; ISO/IEC 38505; ISO/IEC 42001; ISO/IEC 23894; NIST AI RMF; DCAM</t>
        </is>
      </c>
      <c r="AA348" s="13" t="inlineStr">
        <is>
          <t>Policy/SOP; owner/RACI; system report; dashboard; contracts; test records; incident history; interview evidence related to consistent metric definitions across finance, sales, operations, HR, supply chain and manufacturing.</t>
        </is>
      </c>
      <c r="AB348" s="13" t="inlineStr">
        <is>
          <t>Decision failure; Data loss; Regulatory/legal shock</t>
        </is>
      </c>
      <c r="AC348" s="13" t="inlineStr">
        <is>
          <t>CDO / BI / Analytics</t>
        </is>
      </c>
      <c r="AD348" s="13" t="inlineStr">
        <is>
          <t>Data BI AI!7</t>
        </is>
      </c>
      <c r="AE348">
        <f>IF($A348="","",IF(OR(ISNUMBER(SEARCH("cyber",$D348)),ISNUMBER(SEARCH("security",$D348)),ISNUMBER(SEARCH("safety",$D348)),ISNUMBER(SEARCH("liquidity",$D348)),ISNUMBER(SEARCH("cash",$D348)),ISNUMBER(SEARCH("continuity",$D348)),ISNUMBER(SEARCH("infrastructure",$D348)),ISNUMBER(SEARCH("outage",$D348))),"Fast",IF(OR(ISNUMBER(SEARCH("compliance",$D348)),ISNUMBER(SEARCH("regulat",$D348)),ISNUMBER(SEARCH("data",$D348)),ISNUMBER(SEARCH("talent",$D348)),ISNUMBER(SEARCH("knowledge",$D348)),ISNUMBER(SEARCH("portfolio",$D348)),ISNUMBER(SEARCH("quality",$D348))),"Slow","Medium")))</f>
        <v/>
      </c>
      <c r="AF348">
        <f>IF($A348="","",IFERROR(VLOOKUP($B348,'_CONFIG_Risk_Calibration'!$A$5:$H$21,2,FALSE),3))</f>
        <v/>
      </c>
      <c r="AG348">
        <f>IF($A348="","",IFERROR(VLOOKUP($B348,'_CONFIG_Risk_Calibration'!$A$5:$H$21,3,FALSE),0))</f>
        <v/>
      </c>
      <c r="AH348">
        <f>IF($A348="","",IFERROR(VLOOKUP($B348,'_CONFIG_Risk_Calibration'!$A$5:$H$21,4,FALSE),3))</f>
        <v/>
      </c>
      <c r="AI348">
        <f>IF($A348="","",IFERROR(VLOOKUP($B348,'_CONFIG_Risk_Calibration'!$A$5:$H$21,5,FALSE),3))</f>
        <v/>
      </c>
      <c r="AJ348">
        <f>IF($A348="","",IFERROR(VLOOKUP($B348,'_CONFIG_Risk_Calibration'!$A$5:$H$21,6,FALSE),"No"))</f>
        <v/>
      </c>
      <c r="AK348">
        <f>IF($A348="","",IFERROR(VLOOKUP($B348,'_CONFIG_Risk_Calibration'!$A$5:$H$21,7,FALSE),1))</f>
        <v/>
      </c>
      <c r="AL348">
        <f>IF($A348="","",IFERROR(VLOOKUP($B348,'_CONFIG_Risk_Calibration'!$A$5:$H$21,8,FALSE),""))</f>
        <v/>
      </c>
    </row>
    <row r="349" ht="72" customHeight="1" s="209">
      <c r="A349" s="13" t="inlineStr">
        <is>
          <t>DATA-004</t>
        </is>
      </c>
      <c r="B349" s="13" t="inlineStr">
        <is>
          <t>Data BI AI</t>
        </is>
      </c>
      <c r="C349" s="13" t="inlineStr">
        <is>
          <t>Data governance</t>
        </is>
      </c>
      <c r="D349" s="13" t="inlineStr">
        <is>
          <t>Data, BI, analytics and AI governance</t>
        </is>
      </c>
      <c r="E349" s="13" t="inlineStr">
        <is>
          <t>How mature is the organization in managing data quality rules, monitoring and issue resolution process, including ownership, evidence, metrics, fallback procedures and crisis stress testing?</t>
        </is>
      </c>
      <c r="F349" s="13" t="inlineStr">
        <is>
          <t>Immature capability for data quality rules, monitoring and issue resolution process may lead to poor decisions, unreliable reporting, data quality problems and unsafe or ineffective AI usage during Decision failure; Data loss; Regulatory/legal shock.</t>
        </is>
      </c>
      <c r="G349" s="13" t="inlineStr">
        <is>
          <t>Low maturity, weak ownership, incomplete evidence, insufficient testing and poor integration with crisis-management routines for data quality rules, monitoring and issue resolution process.</t>
        </is>
      </c>
      <c r="H349" s="13" t="inlineStr">
        <is>
          <t>Severe risk: data quality rules, monitoring and issue resolution process is not reliably controlled. During Decision failure; Data loss; Regulatory/legal shock, the organization may face poor decisions, unreliable reporting, data quality problems and unsafe or ineffective AI usage with limited visibility or accountability.</t>
        </is>
      </c>
      <c r="I349" s="13" t="inlineStr">
        <is>
          <t>High risk: data quality rules, monitoring and issue resolution process depends on informal practices or individual knowledge. Disruption may expose poor decisions, unreliable reporting, data quality problems and unsafe or ineffective AI usage and slow recovery.</t>
        </is>
      </c>
      <c r="J349" s="13" t="inlineStr">
        <is>
          <t>Elevated risk: data quality rules, monitoring and issue resolution process is partially controlled, but coverage, evidence or testing is inconsistent. Crisis response may be fragmented.</t>
        </is>
      </c>
      <c r="K349" s="13" t="inlineStr">
        <is>
          <t>Moderate risk: data quality rules, monitoring and issue resolution process is documented and owned, but measurement, stress testing and integration with dependent processes need strengthening.</t>
        </is>
      </c>
      <c r="L349" s="13" t="inlineStr">
        <is>
          <t>Residual risk: data quality rules, monitoring and issue resolution process is measured and reviewed, but monitoring, automation or scenario testing should be improved to prevent maturity drift.</t>
        </is>
      </c>
      <c r="M349" s="13" t="inlineStr">
        <is>
          <t>Low residual risk: data quality rules, monitoring and issue resolution process is mature and crisis-tested. Maintain monitoring, evidence, ownership and periodic stress testing.</t>
        </is>
      </c>
      <c r="N349" s="13" t="inlineStr">
        <is>
          <t>Create an immediate risk owner, minimum control baseline and fallback procedure for data quality rules, monitoring and issue resolution process. Add it to the crisis risk register and collect first evidence.</t>
        </is>
      </c>
      <c r="O349" s="13" t="inlineStr">
        <is>
          <t>Document data quality rules, monitoring and issue resolution process, assign RACI, define minimum controls and KPIs, and validate coverage across key sites, teams or systems.</t>
        </is>
      </c>
      <c r="P349" s="13" t="inlineStr">
        <is>
          <t>Standardize data quality rules, monitoring and issue resolution process, close coverage gaps, train accountable roles and connect controls to the relevant crisis scenarios and continuity plans.</t>
        </is>
      </c>
      <c r="Q349" s="13" t="inlineStr">
        <is>
          <t>Measure and test data quality rules, monitoring and issue resolution process, run tabletop or operational stress tests, integrate it with dependent processes and update crisis playbooks.</t>
        </is>
      </c>
      <c r="R349" s="13" t="inlineStr">
        <is>
          <t>Automate monitoring where practical, define leading indicators, run periodic scenario tests and track residual risk after each major change.</t>
        </is>
      </c>
      <c r="S349" s="13" t="inlineStr">
        <is>
          <t>Sustain maturity for data quality rules, monitoring and issue resolution process: keep evidence current, monitor drift, benchmark externally and refresh risk tests after organizational, system or market changes.</t>
        </is>
      </c>
      <c r="T349" s="13" t="n">
        <v>4</v>
      </c>
      <c r="U349" s="13" t="n">
        <v>3</v>
      </c>
      <c r="V349" s="13" t="n">
        <v>3</v>
      </c>
      <c r="W349" s="13" t="n">
        <v>2</v>
      </c>
      <c r="X349" s="13" t="n">
        <v>1</v>
      </c>
      <c r="Y349" s="13" t="n">
        <v>1</v>
      </c>
      <c r="Z349" s="13" t="inlineStr">
        <is>
          <t>DAMA-DMBOK; ISO/IEC 38505; ISO/IEC 42001; ISO/IEC 23894; NIST AI RMF; DCAM</t>
        </is>
      </c>
      <c r="AA349" s="13" t="inlineStr">
        <is>
          <t>Policy/SOP; owner/RACI; system report; dashboard; contracts; test records; incident history; interview evidence related to data quality rules, monitoring and issue resolution process.</t>
        </is>
      </c>
      <c r="AB349" s="13" t="inlineStr">
        <is>
          <t>Decision failure; Data loss; Regulatory/legal shock</t>
        </is>
      </c>
      <c r="AC349" s="13" t="inlineStr">
        <is>
          <t>CDO / BI / Analytics</t>
        </is>
      </c>
      <c r="AD349" s="13" t="inlineStr">
        <is>
          <t>Data BI AI!8</t>
        </is>
      </c>
      <c r="AE349">
        <f>IF($A349="","",IF(OR(ISNUMBER(SEARCH("cyber",$D349)),ISNUMBER(SEARCH("security",$D349)),ISNUMBER(SEARCH("safety",$D349)),ISNUMBER(SEARCH("liquidity",$D349)),ISNUMBER(SEARCH("cash",$D349)),ISNUMBER(SEARCH("continuity",$D349)),ISNUMBER(SEARCH("infrastructure",$D349)),ISNUMBER(SEARCH("outage",$D349))),"Fast",IF(OR(ISNUMBER(SEARCH("compliance",$D349)),ISNUMBER(SEARCH("regulat",$D349)),ISNUMBER(SEARCH("data",$D349)),ISNUMBER(SEARCH("talent",$D349)),ISNUMBER(SEARCH("knowledge",$D349)),ISNUMBER(SEARCH("portfolio",$D349)),ISNUMBER(SEARCH("quality",$D349))),"Slow","Medium")))</f>
        <v/>
      </c>
      <c r="AF349">
        <f>IF($A349="","",IFERROR(VLOOKUP($B349,'_CONFIG_Risk_Calibration'!$A$5:$H$21,2,FALSE),3))</f>
        <v/>
      </c>
      <c r="AG349">
        <f>IF($A349="","",IFERROR(VLOOKUP($B349,'_CONFIG_Risk_Calibration'!$A$5:$H$21,3,FALSE),0))</f>
        <v/>
      </c>
      <c r="AH349">
        <f>IF($A349="","",IFERROR(VLOOKUP($B349,'_CONFIG_Risk_Calibration'!$A$5:$H$21,4,FALSE),3))</f>
        <v/>
      </c>
      <c r="AI349">
        <f>IF($A349="","",IFERROR(VLOOKUP($B349,'_CONFIG_Risk_Calibration'!$A$5:$H$21,5,FALSE),3))</f>
        <v/>
      </c>
      <c r="AJ349">
        <f>IF($A349="","",IFERROR(VLOOKUP($B349,'_CONFIG_Risk_Calibration'!$A$5:$H$21,6,FALSE),"No"))</f>
        <v/>
      </c>
      <c r="AK349">
        <f>IF($A349="","",IFERROR(VLOOKUP($B349,'_CONFIG_Risk_Calibration'!$A$5:$H$21,7,FALSE),1))</f>
        <v/>
      </c>
      <c r="AL349">
        <f>IF($A349="","",IFERROR(VLOOKUP($B349,'_CONFIG_Risk_Calibration'!$A$5:$H$21,8,FALSE),""))</f>
        <v/>
      </c>
    </row>
    <row r="350" ht="72" customHeight="1" s="209">
      <c r="A350" s="13" t="inlineStr">
        <is>
          <t>DATA-005</t>
        </is>
      </c>
      <c r="B350" s="13" t="inlineStr">
        <is>
          <t>Data BI AI</t>
        </is>
      </c>
      <c r="C350" s="13" t="inlineStr">
        <is>
          <t>Data governance</t>
        </is>
      </c>
      <c r="D350" s="13" t="inlineStr">
        <is>
          <t>Data, BI, analytics and AI governance</t>
        </is>
      </c>
      <c r="E350" s="13" t="inlineStr">
        <is>
          <t>How mature is the organization in managing data classification by sensitivity, business criticality, privacy and retention requirement, including ownership, evidence, metrics, fallback procedures and crisis stress testing?</t>
        </is>
      </c>
      <c r="F350" s="13" t="inlineStr">
        <is>
          <t>Immature capability for data classification by sensitivity, business criticality, privacy and retention requirement may lead to poor decisions, unreliable reporting, data quality problems and unsafe or ineffective AI usage during Decision failure; Data loss; Regulatory/legal shock.</t>
        </is>
      </c>
      <c r="G350" s="13" t="inlineStr">
        <is>
          <t>Low maturity, weak ownership, incomplete evidence, insufficient testing and poor integration with crisis-management routines for data classification by sensitivity, business criticality, privacy and retention requirement.</t>
        </is>
      </c>
      <c r="H350" s="13" t="inlineStr">
        <is>
          <t>Severe risk: data classification by sensitivity, business criticality, privacy and retention requirement is not reliably controlled. During Decision failure; Data loss; Regulatory/legal shock, the organization may face poor decisions, unreliable reporting, data quality problems and unsafe or ineffective AI usage with limited visibility or accountability.</t>
        </is>
      </c>
      <c r="I350" s="13" t="inlineStr">
        <is>
          <t>High risk: data classification by sensitivity, business criticality, privacy and retention requirement depends on informal practices or individual knowledge. Disruption may expose poor decisions, unreliable reporting, data quality problems and unsafe or ineffective AI usage and slow recovery.</t>
        </is>
      </c>
      <c r="J350" s="13" t="inlineStr">
        <is>
          <t>Elevated risk: data classification by sensitivity, business criticality, privacy and retention requirement is partially controlled, but coverage, evidence or testing is inconsistent. Crisis response may be fragmented.</t>
        </is>
      </c>
      <c r="K350" s="13" t="inlineStr">
        <is>
          <t>Moderate risk: data classification by sensitivity, business criticality, privacy and retention requirement is documented and owned, but measurement, stress testing and integration with dependent processes need strengthening.</t>
        </is>
      </c>
      <c r="L350" s="13" t="inlineStr">
        <is>
          <t>Residual risk: data classification by sensitivity, business criticality, privacy and retention requirement is measured and reviewed, but monitoring, automation or scenario testing should be improved to prevent maturity drift.</t>
        </is>
      </c>
      <c r="M350" s="13" t="inlineStr">
        <is>
          <t>Low residual risk: data classification by sensitivity, business criticality, privacy and retention requirement is mature and crisis-tested. Maintain monitoring, evidence, ownership and periodic stress testing.</t>
        </is>
      </c>
      <c r="N350" s="13" t="inlineStr">
        <is>
          <t>Create an immediate risk owner, minimum control baseline and fallback procedure for data classification by sensitivity, business criticality, privacy and retention requirement. Add it to the crisis risk register and collect first evidence.</t>
        </is>
      </c>
      <c r="O350" s="13" t="inlineStr">
        <is>
          <t>Document data classification by sensitivity, business criticality, privacy and retention requirement, assign RACI, define minimum controls and KPIs, and validate coverage across key sites, teams or systems.</t>
        </is>
      </c>
      <c r="P350" s="13" t="inlineStr">
        <is>
          <t>Standardize data classification by sensitivity, business criticality, privacy and retention requirement, close coverage gaps, train accountable roles and connect controls to the relevant crisis scenarios and continuity plans.</t>
        </is>
      </c>
      <c r="Q350" s="13" t="inlineStr">
        <is>
          <t>Measure and test data classification by sensitivity, business criticality, privacy and retention requirement, run tabletop or operational stress tests, integrate it with dependent processes and update crisis playbooks.</t>
        </is>
      </c>
      <c r="R350" s="13" t="inlineStr">
        <is>
          <t>Automate monitoring where practical, define leading indicators, run periodic scenario tests and track residual risk after each major change.</t>
        </is>
      </c>
      <c r="S350" s="13" t="inlineStr">
        <is>
          <t>Sustain maturity for data classification by sensitivity, business criticality, privacy and retention requirement: keep evidence current, monitor drift, benchmark externally and refresh risk tests after organizational, system or market changes.</t>
        </is>
      </c>
      <c r="T350" s="13" t="n">
        <v>4</v>
      </c>
      <c r="U350" s="13" t="n">
        <v>3</v>
      </c>
      <c r="V350" s="13" t="n">
        <v>3</v>
      </c>
      <c r="W350" s="13" t="n">
        <v>2</v>
      </c>
      <c r="X350" s="13" t="n">
        <v>1</v>
      </c>
      <c r="Y350" s="13" t="n">
        <v>1</v>
      </c>
      <c r="Z350" s="13" t="inlineStr">
        <is>
          <t>DAMA-DMBOK; ISO/IEC 38505; ISO/IEC 42001; ISO/IEC 23894; NIST AI RMF; DCAM</t>
        </is>
      </c>
      <c r="AA350" s="13" t="inlineStr">
        <is>
          <t>Policy/SOP; owner/RACI; system report; dashboard; contracts; test records; incident history; interview evidence related to data classification by sensitivity, business criticality, privacy and retention requirement.</t>
        </is>
      </c>
      <c r="AB350" s="13" t="inlineStr">
        <is>
          <t>Decision failure; Data loss; Regulatory/legal shock</t>
        </is>
      </c>
      <c r="AC350" s="13" t="inlineStr">
        <is>
          <t>CDO / BI / Analytics</t>
        </is>
      </c>
      <c r="AD350" s="13" t="inlineStr">
        <is>
          <t>Data BI AI!9</t>
        </is>
      </c>
      <c r="AE350">
        <f>IF($A350="","",IF(OR(ISNUMBER(SEARCH("cyber",$D350)),ISNUMBER(SEARCH("security",$D350)),ISNUMBER(SEARCH("safety",$D350)),ISNUMBER(SEARCH("liquidity",$D350)),ISNUMBER(SEARCH("cash",$D350)),ISNUMBER(SEARCH("continuity",$D350)),ISNUMBER(SEARCH("infrastructure",$D350)),ISNUMBER(SEARCH("outage",$D350))),"Fast",IF(OR(ISNUMBER(SEARCH("compliance",$D350)),ISNUMBER(SEARCH("regulat",$D350)),ISNUMBER(SEARCH("data",$D350)),ISNUMBER(SEARCH("talent",$D350)),ISNUMBER(SEARCH("knowledge",$D350)),ISNUMBER(SEARCH("portfolio",$D350)),ISNUMBER(SEARCH("quality",$D350))),"Slow","Medium")))</f>
        <v/>
      </c>
      <c r="AF350">
        <f>IF($A350="","",IFERROR(VLOOKUP($B350,'_CONFIG_Risk_Calibration'!$A$5:$H$21,2,FALSE),3))</f>
        <v/>
      </c>
      <c r="AG350">
        <f>IF($A350="","",IFERROR(VLOOKUP($B350,'_CONFIG_Risk_Calibration'!$A$5:$H$21,3,FALSE),0))</f>
        <v/>
      </c>
      <c r="AH350">
        <f>IF($A350="","",IFERROR(VLOOKUP($B350,'_CONFIG_Risk_Calibration'!$A$5:$H$21,4,FALSE),3))</f>
        <v/>
      </c>
      <c r="AI350">
        <f>IF($A350="","",IFERROR(VLOOKUP($B350,'_CONFIG_Risk_Calibration'!$A$5:$H$21,5,FALSE),3))</f>
        <v/>
      </c>
      <c r="AJ350">
        <f>IF($A350="","",IFERROR(VLOOKUP($B350,'_CONFIG_Risk_Calibration'!$A$5:$H$21,6,FALSE),"No"))</f>
        <v/>
      </c>
      <c r="AK350">
        <f>IF($A350="","",IFERROR(VLOOKUP($B350,'_CONFIG_Risk_Calibration'!$A$5:$H$21,7,FALSE),1))</f>
        <v/>
      </c>
      <c r="AL350">
        <f>IF($A350="","",IFERROR(VLOOKUP($B350,'_CONFIG_Risk_Calibration'!$A$5:$H$21,8,FALSE),""))</f>
        <v/>
      </c>
    </row>
    <row r="351" ht="72" customHeight="1" s="209">
      <c r="A351" s="13" t="inlineStr">
        <is>
          <t>DATA-006</t>
        </is>
      </c>
      <c r="B351" s="13" t="inlineStr">
        <is>
          <t>Data BI AI</t>
        </is>
      </c>
      <c r="C351" s="13" t="inlineStr">
        <is>
          <t>Data governance</t>
        </is>
      </c>
      <c r="D351" s="13" t="inlineStr">
        <is>
          <t>Data, BI, analytics and AI governance</t>
        </is>
      </c>
      <c r="E351" s="13" t="inlineStr">
        <is>
          <t>How mature is the organization in managing data access governance for datasets, warehouses, BI reports and analytics workspaces, including ownership, evidence, metrics, fallback procedures and crisis stress testing?</t>
        </is>
      </c>
      <c r="F351" s="13" t="inlineStr">
        <is>
          <t>Immature capability for data access governance for datasets, warehouses, BI reports and analytics workspaces may lead to poor decisions, unreliable reporting, data quality problems and unsafe or ineffective AI usage during Decision failure; Data loss; Regulatory/legal shock.</t>
        </is>
      </c>
      <c r="G351" s="13" t="inlineStr">
        <is>
          <t>Low maturity, weak ownership, incomplete evidence, insufficient testing and poor integration with crisis-management routines for data access governance for datasets, warehouses, BI reports and analytics workspaces.</t>
        </is>
      </c>
      <c r="H351" s="13" t="inlineStr">
        <is>
          <t>Severe risk: data access governance for datasets, warehouses, BI reports and analytics workspaces is not reliably controlled. During Decision failure; Data loss; Regulatory/legal shock, the organization may face poor decisions, unreliable reporting, data quality problems and unsafe or ineffective AI usage with limited visibility or accountability.</t>
        </is>
      </c>
      <c r="I351" s="13" t="inlineStr">
        <is>
          <t>High risk: data access governance for datasets, warehouses, BI reports and analytics workspaces depends on informal practices or individual knowledge. Disruption may expose poor decisions, unreliable reporting, data quality problems and unsafe or ineffective AI usage and slow recovery.</t>
        </is>
      </c>
      <c r="J351" s="13" t="inlineStr">
        <is>
          <t>Elevated risk: data access governance for datasets, warehouses, BI reports and analytics workspaces is partially controlled, but coverage, evidence or testing is inconsistent. Crisis response may be fragmented.</t>
        </is>
      </c>
      <c r="K351" s="13" t="inlineStr">
        <is>
          <t>Moderate risk: data access governance for datasets, warehouses, BI reports and analytics workspaces is documented and owned, but measurement, stress testing and integration with dependent processes need strengthening.</t>
        </is>
      </c>
      <c r="L351" s="13" t="inlineStr">
        <is>
          <t>Residual risk: data access governance for datasets, warehouses, BI reports and analytics workspaces is measured and reviewed, but monitoring, automation or scenario testing should be improved to prevent maturity drift.</t>
        </is>
      </c>
      <c r="M351" s="13" t="inlineStr">
        <is>
          <t>Low residual risk: data access governance for datasets, warehouses, BI reports and analytics workspaces is mature and crisis-tested. Maintain monitoring, evidence, ownership and periodic stress testing.</t>
        </is>
      </c>
      <c r="N351" s="13" t="inlineStr">
        <is>
          <t>Create an immediate risk owner, minimum control baseline and fallback procedure for data access governance for datasets, warehouses, BI reports and analytics workspaces. Add it to the crisis risk register and collect first evidence.</t>
        </is>
      </c>
      <c r="O351" s="13" t="inlineStr">
        <is>
          <t>Document data access governance for datasets, warehouses, BI reports and analytics workspaces, assign RACI, define minimum controls and KPIs, and validate coverage across key sites, teams or systems.</t>
        </is>
      </c>
      <c r="P351" s="13" t="inlineStr">
        <is>
          <t>Standardize data access governance for datasets, warehouses, BI reports and analytics workspaces, close coverage gaps, train accountable roles and connect controls to the relevant crisis scenarios and continuity plans.</t>
        </is>
      </c>
      <c r="Q351" s="13" t="inlineStr">
        <is>
          <t>Measure and test data access governance for datasets, warehouses, BI reports and analytics workspaces, run tabletop or operational stress tests, integrate it with dependent processes and update crisis playbooks.</t>
        </is>
      </c>
      <c r="R351" s="13" t="inlineStr">
        <is>
          <t>Automate monitoring where practical, define leading indicators, run periodic scenario tests and track residual risk after each major change.</t>
        </is>
      </c>
      <c r="S351" s="13" t="inlineStr">
        <is>
          <t>Sustain maturity for data access governance for datasets, warehouses, BI reports and analytics workspaces: keep evidence current, monitor drift, benchmark externally and refresh risk tests after organizational, system or market changes.</t>
        </is>
      </c>
      <c r="T351" s="13" t="n">
        <v>4</v>
      </c>
      <c r="U351" s="13" t="n">
        <v>3</v>
      </c>
      <c r="V351" s="13" t="n">
        <v>3</v>
      </c>
      <c r="W351" s="13" t="n">
        <v>2</v>
      </c>
      <c r="X351" s="13" t="n">
        <v>1</v>
      </c>
      <c r="Y351" s="13" t="n">
        <v>1</v>
      </c>
      <c r="Z351" s="13" t="inlineStr">
        <is>
          <t>DAMA-DMBOK; ISO/IEC 38505; ISO/IEC 42001; ISO/IEC 23894; NIST AI RMF; DCAM</t>
        </is>
      </c>
      <c r="AA351" s="13" t="inlineStr">
        <is>
          <t>Policy/SOP; owner/RACI; system report; dashboard; contracts; test records; incident history; interview evidence related to data access governance for datasets, warehouses, BI reports and analytics workspaces.</t>
        </is>
      </c>
      <c r="AB351" s="13" t="inlineStr">
        <is>
          <t>Decision failure; Data loss; Regulatory/legal shock</t>
        </is>
      </c>
      <c r="AC351" s="13" t="inlineStr">
        <is>
          <t>CDO / BI / Analytics</t>
        </is>
      </c>
      <c r="AD351" s="13" t="inlineStr">
        <is>
          <t>Data BI AI!10</t>
        </is>
      </c>
      <c r="AE351">
        <f>IF($A351="","",IF(OR(ISNUMBER(SEARCH("cyber",$D351)),ISNUMBER(SEARCH("security",$D351)),ISNUMBER(SEARCH("safety",$D351)),ISNUMBER(SEARCH("liquidity",$D351)),ISNUMBER(SEARCH("cash",$D351)),ISNUMBER(SEARCH("continuity",$D351)),ISNUMBER(SEARCH("infrastructure",$D351)),ISNUMBER(SEARCH("outage",$D351))),"Fast",IF(OR(ISNUMBER(SEARCH("compliance",$D351)),ISNUMBER(SEARCH("regulat",$D351)),ISNUMBER(SEARCH("data",$D351)),ISNUMBER(SEARCH("talent",$D351)),ISNUMBER(SEARCH("knowledge",$D351)),ISNUMBER(SEARCH("portfolio",$D351)),ISNUMBER(SEARCH("quality",$D351))),"Slow","Medium")))</f>
        <v/>
      </c>
      <c r="AF351">
        <f>IF($A351="","",IFERROR(VLOOKUP($B351,'_CONFIG_Risk_Calibration'!$A$5:$H$21,2,FALSE),3))</f>
        <v/>
      </c>
      <c r="AG351">
        <f>IF($A351="","",IFERROR(VLOOKUP($B351,'_CONFIG_Risk_Calibration'!$A$5:$H$21,3,FALSE),0))</f>
        <v/>
      </c>
      <c r="AH351">
        <f>IF($A351="","",IFERROR(VLOOKUP($B351,'_CONFIG_Risk_Calibration'!$A$5:$H$21,4,FALSE),3))</f>
        <v/>
      </c>
      <c r="AI351">
        <f>IF($A351="","",IFERROR(VLOOKUP($B351,'_CONFIG_Risk_Calibration'!$A$5:$H$21,5,FALSE),3))</f>
        <v/>
      </c>
      <c r="AJ351">
        <f>IF($A351="","",IFERROR(VLOOKUP($B351,'_CONFIG_Risk_Calibration'!$A$5:$H$21,6,FALSE),"No"))</f>
        <v/>
      </c>
      <c r="AK351">
        <f>IF($A351="","",IFERROR(VLOOKUP($B351,'_CONFIG_Risk_Calibration'!$A$5:$H$21,7,FALSE),1))</f>
        <v/>
      </c>
      <c r="AL351">
        <f>IF($A351="","",IFERROR(VLOOKUP($B351,'_CONFIG_Risk_Calibration'!$A$5:$H$21,8,FALSE),""))</f>
        <v/>
      </c>
    </row>
    <row r="352" ht="72" customHeight="1" s="209">
      <c r="A352" s="13" t="inlineStr">
        <is>
          <t>DATA-007</t>
        </is>
      </c>
      <c r="B352" s="13" t="inlineStr">
        <is>
          <t>Data BI AI</t>
        </is>
      </c>
      <c r="C352" s="13" t="inlineStr">
        <is>
          <t>Data architecture</t>
        </is>
      </c>
      <c r="D352" s="13" t="inlineStr">
        <is>
          <t>Data, BI, analytics and AI governance</t>
        </is>
      </c>
      <c r="E352" s="13" t="inlineStr">
        <is>
          <t>How mature is the organization in managing data architecture from source systems to warehouse, lake, BI, AI models and reports, including ownership, evidence, metrics, fallback procedures and crisis stress testing?</t>
        </is>
      </c>
      <c r="F352" s="13" t="inlineStr">
        <is>
          <t>Immature capability for data architecture from source systems to warehouse, lake, BI, AI models and reports may lead to poor decisions, unreliable reporting, data quality problems and unsafe or ineffective AI usage during Decision failure; Data loss; Regulatory/legal shock.</t>
        </is>
      </c>
      <c r="G352" s="13" t="inlineStr">
        <is>
          <t>Low maturity, weak ownership, incomplete evidence, insufficient testing and poor integration with crisis-management routines for data architecture from source systems to warehouse, lake, BI, AI models and reports.</t>
        </is>
      </c>
      <c r="H352" s="13" t="inlineStr">
        <is>
          <t>Severe risk: data architecture from source systems to warehouse, lake, BI, AI models and reports is not reliably controlled. During Decision failure; Data loss; Regulatory/legal shock, the organization may face poor decisions, unreliable reporting, data quality problems and unsafe or ineffective AI usage with limited visibility or accountability.</t>
        </is>
      </c>
      <c r="I352" s="13" t="inlineStr">
        <is>
          <t>High risk: data architecture from source systems to warehouse, lake, BI, AI models and reports depends on informal practices or individual knowledge. Disruption may expose poor decisions, unreliable reporting, data quality problems and unsafe or ineffective AI usage and slow recovery.</t>
        </is>
      </c>
      <c r="J352" s="13" t="inlineStr">
        <is>
          <t>Elevated risk: data architecture from source systems to warehouse, lake, BI, AI models and reports is partially controlled, but coverage, evidence or testing is inconsistent. Crisis response may be fragmented.</t>
        </is>
      </c>
      <c r="K352" s="13" t="inlineStr">
        <is>
          <t>Moderate risk: data architecture from source systems to warehouse, lake, BI, AI models and reports is documented and owned, but measurement, stress testing and integration with dependent processes need strengthening.</t>
        </is>
      </c>
      <c r="L352" s="13" t="inlineStr">
        <is>
          <t>Residual risk: data architecture from source systems to warehouse, lake, BI, AI models and reports is measured and reviewed, but monitoring, automation or scenario testing should be improved to prevent maturity drift.</t>
        </is>
      </c>
      <c r="M352" s="13" t="inlineStr">
        <is>
          <t>Low residual risk: data architecture from source systems to warehouse, lake, BI, AI models and reports is mature and crisis-tested. Maintain monitoring, evidence, ownership and periodic stress testing.</t>
        </is>
      </c>
      <c r="N352" s="13" t="inlineStr">
        <is>
          <t>Create an immediate risk owner, minimum control baseline and fallback procedure for data architecture from source systems to warehouse, lake, BI, AI models and reports. Add it to the crisis risk register and collect first evidence.</t>
        </is>
      </c>
      <c r="O352" s="13" t="inlineStr">
        <is>
          <t>Document data architecture from source systems to warehouse, lake, BI, AI models and reports, assign RACI, define minimum controls and KPIs, and validate coverage across key sites, teams or systems.</t>
        </is>
      </c>
      <c r="P352" s="13" t="inlineStr">
        <is>
          <t>Standardize data architecture from source systems to warehouse, lake, BI, AI models and reports, close coverage gaps, train accountable roles and connect controls to the relevant crisis scenarios and continuity plans.</t>
        </is>
      </c>
      <c r="Q352" s="13" t="inlineStr">
        <is>
          <t>Measure and test data architecture from source systems to warehouse, lake, BI, AI models and reports, run tabletop or operational stress tests, integrate it with dependent processes and update crisis playbooks.</t>
        </is>
      </c>
      <c r="R352" s="13" t="inlineStr">
        <is>
          <t>Automate monitoring where practical, define leading indicators, run periodic scenario tests and track residual risk after each major change.</t>
        </is>
      </c>
      <c r="S352" s="13" t="inlineStr">
        <is>
          <t>Sustain maturity for data architecture from source systems to warehouse, lake, BI, AI models and reports: keep evidence current, monitor drift, benchmark externally and refresh risk tests after organizational, system or market changes.</t>
        </is>
      </c>
      <c r="T352" s="13" t="n">
        <v>4</v>
      </c>
      <c r="U352" s="13" t="n">
        <v>3</v>
      </c>
      <c r="V352" s="13" t="n">
        <v>3</v>
      </c>
      <c r="W352" s="13" t="n">
        <v>2</v>
      </c>
      <c r="X352" s="13" t="n">
        <v>1</v>
      </c>
      <c r="Y352" s="13" t="n">
        <v>1</v>
      </c>
      <c r="Z352" s="13" t="inlineStr">
        <is>
          <t>DAMA-DMBOK; ISO/IEC 38505; ISO/IEC 42001; ISO/IEC 23894; NIST AI RMF; DCAM</t>
        </is>
      </c>
      <c r="AA352" s="13" t="inlineStr">
        <is>
          <t>Policy/SOP; owner/RACI; system report; dashboard; contracts; test records; incident history; interview evidence related to data architecture from source systems to warehouse, lake, BI, AI models and reports.</t>
        </is>
      </c>
      <c r="AB352" s="13" t="inlineStr">
        <is>
          <t>Decision failure; Data loss; Regulatory/legal shock</t>
        </is>
      </c>
      <c r="AC352" s="13" t="inlineStr">
        <is>
          <t>CDO / BI / Analytics</t>
        </is>
      </c>
      <c r="AD352" s="13" t="inlineStr">
        <is>
          <t>Data BI AI!11</t>
        </is>
      </c>
      <c r="AE352">
        <f>IF($A352="","",IF(OR(ISNUMBER(SEARCH("cyber",$D352)),ISNUMBER(SEARCH("security",$D352)),ISNUMBER(SEARCH("safety",$D352)),ISNUMBER(SEARCH("liquidity",$D352)),ISNUMBER(SEARCH("cash",$D352)),ISNUMBER(SEARCH("continuity",$D352)),ISNUMBER(SEARCH("infrastructure",$D352)),ISNUMBER(SEARCH("outage",$D352))),"Fast",IF(OR(ISNUMBER(SEARCH("compliance",$D352)),ISNUMBER(SEARCH("regulat",$D352)),ISNUMBER(SEARCH("data",$D352)),ISNUMBER(SEARCH("talent",$D352)),ISNUMBER(SEARCH("knowledge",$D352)),ISNUMBER(SEARCH("portfolio",$D352)),ISNUMBER(SEARCH("quality",$D352))),"Slow","Medium")))</f>
        <v/>
      </c>
      <c r="AF352">
        <f>IF($A352="","",IFERROR(VLOOKUP($B352,'_CONFIG_Risk_Calibration'!$A$5:$H$21,2,FALSE),3))</f>
        <v/>
      </c>
      <c r="AG352">
        <f>IF($A352="","",IFERROR(VLOOKUP($B352,'_CONFIG_Risk_Calibration'!$A$5:$H$21,3,FALSE),0))</f>
        <v/>
      </c>
      <c r="AH352">
        <f>IF($A352="","",IFERROR(VLOOKUP($B352,'_CONFIG_Risk_Calibration'!$A$5:$H$21,4,FALSE),3))</f>
        <v/>
      </c>
      <c r="AI352">
        <f>IF($A352="","",IFERROR(VLOOKUP($B352,'_CONFIG_Risk_Calibration'!$A$5:$H$21,5,FALSE),3))</f>
        <v/>
      </c>
      <c r="AJ352">
        <f>IF($A352="","",IFERROR(VLOOKUP($B352,'_CONFIG_Risk_Calibration'!$A$5:$H$21,6,FALSE),"No"))</f>
        <v/>
      </c>
      <c r="AK352">
        <f>IF($A352="","",IFERROR(VLOOKUP($B352,'_CONFIG_Risk_Calibration'!$A$5:$H$21,7,FALSE),1))</f>
        <v/>
      </c>
      <c r="AL352">
        <f>IF($A352="","",IFERROR(VLOOKUP($B352,'_CONFIG_Risk_Calibration'!$A$5:$H$21,8,FALSE),""))</f>
        <v/>
      </c>
    </row>
    <row r="353" ht="72" customHeight="1" s="209">
      <c r="A353" s="13" t="inlineStr">
        <is>
          <t>DATA-008</t>
        </is>
      </c>
      <c r="B353" s="13" t="inlineStr">
        <is>
          <t>Data BI AI</t>
        </is>
      </c>
      <c r="C353" s="13" t="inlineStr">
        <is>
          <t>Data architecture</t>
        </is>
      </c>
      <c r="D353" s="13" t="inlineStr">
        <is>
          <t>Data, BI, analytics and AI governance</t>
        </is>
      </c>
      <c r="E353" s="13" t="inlineStr">
        <is>
          <t>How mature is the organization in managing ETL or ELT monitoring for failures, latency, completeness and reconciliation, including ownership, evidence, metrics, fallback procedures and crisis stress testing?</t>
        </is>
      </c>
      <c r="F353" s="13" t="inlineStr">
        <is>
          <t>Immature capability for ETL or ELT monitoring for failures, latency, completeness and reconciliation may lead to poor decisions, unreliable reporting, data quality problems and unsafe or ineffective AI usage during Decision failure; Data loss; Regulatory/legal shock.</t>
        </is>
      </c>
      <c r="G353" s="13" t="inlineStr">
        <is>
          <t>Low maturity, weak ownership, incomplete evidence, insufficient testing and poor integration with crisis-management routines for ETL or ELT monitoring for failures, latency, completeness and reconciliation.</t>
        </is>
      </c>
      <c r="H353" s="13" t="inlineStr">
        <is>
          <t>Severe risk: ETL or ELT monitoring for failures, latency, completeness and reconciliation is not reliably controlled. During Decision failure; Data loss; Regulatory/legal shock, the organization may face poor decisions, unreliable reporting, data quality problems and unsafe or ineffective AI usage with limited visibility or accountability.</t>
        </is>
      </c>
      <c r="I353" s="13" t="inlineStr">
        <is>
          <t>High risk: ETL or ELT monitoring for failures, latency, completeness and reconciliation depends on informal practices or individual knowledge. Disruption may expose poor decisions, unreliable reporting, data quality problems and unsafe or ineffective AI usage and slow recovery.</t>
        </is>
      </c>
      <c r="J353" s="13" t="inlineStr">
        <is>
          <t>Elevated risk: ETL or ELT monitoring for failures, latency, completeness and reconciliation is partially controlled, but coverage, evidence or testing is inconsistent. Crisis response may be fragmented.</t>
        </is>
      </c>
      <c r="K353" s="13" t="inlineStr">
        <is>
          <t>Moderate risk: ETL or ELT monitoring for failures, latency, completeness and reconciliation is documented and owned, but measurement, stress testing and integration with dependent processes need strengthening.</t>
        </is>
      </c>
      <c r="L353" s="13" t="inlineStr">
        <is>
          <t>Residual risk: ETL or ELT monitoring for failures, latency, completeness and reconciliation is measured and reviewed, but monitoring, automation or scenario testing should be improved to prevent maturity drift.</t>
        </is>
      </c>
      <c r="M353" s="13" t="inlineStr">
        <is>
          <t>Low residual risk: ETL or ELT monitoring for failures, latency, completeness and reconciliation is mature and crisis-tested. Maintain monitoring, evidence, ownership and periodic stress testing.</t>
        </is>
      </c>
      <c r="N353" s="13" t="inlineStr">
        <is>
          <t>Create an immediate risk owner, minimum control baseline and fallback procedure for ETL or ELT monitoring for failures, latency, completeness and reconciliation. Add it to the crisis risk register and collect first evidence.</t>
        </is>
      </c>
      <c r="O353" s="13" t="inlineStr">
        <is>
          <t>Document ETL or ELT monitoring for failures, latency, completeness and reconciliation, assign RACI, define minimum controls and KPIs, and validate coverage across key sites, teams or systems.</t>
        </is>
      </c>
      <c r="P353" s="13" t="inlineStr">
        <is>
          <t>Standardize ETL or ELT monitoring for failures, latency, completeness and reconciliation, close coverage gaps, train accountable roles and connect controls to the relevant crisis scenarios and continuity plans.</t>
        </is>
      </c>
      <c r="Q353" s="13" t="inlineStr">
        <is>
          <t>Measure and test ETL or ELT monitoring for failures, latency, completeness and reconciliation, run tabletop or operational stress tests, integrate it with dependent processes and update crisis playbooks.</t>
        </is>
      </c>
      <c r="R353" s="13" t="inlineStr">
        <is>
          <t>Automate monitoring where practical, define leading indicators, run periodic scenario tests and track residual risk after each major change.</t>
        </is>
      </c>
      <c r="S353" s="13" t="inlineStr">
        <is>
          <t>Sustain maturity for ETL or ELT monitoring for failures, latency, completeness and reconciliation: keep evidence current, monitor drift, benchmark externally and refresh risk tests after organizational, system or market changes.</t>
        </is>
      </c>
      <c r="T353" s="13" t="n">
        <v>4</v>
      </c>
      <c r="U353" s="13" t="n">
        <v>3</v>
      </c>
      <c r="V353" s="13" t="n">
        <v>3</v>
      </c>
      <c r="W353" s="13" t="n">
        <v>2</v>
      </c>
      <c r="X353" s="13" t="n">
        <v>1</v>
      </c>
      <c r="Y353" s="13" t="n">
        <v>1</v>
      </c>
      <c r="Z353" s="13" t="inlineStr">
        <is>
          <t>DAMA-DMBOK; ISO/IEC 38505; ISO/IEC 42001; ISO/IEC 23894; NIST AI RMF; DCAM</t>
        </is>
      </c>
      <c r="AA353" s="13" t="inlineStr">
        <is>
          <t>Policy/SOP; owner/RACI; system report; dashboard; contracts; test records; incident history; interview evidence related to ETL or ELT monitoring for failures, latency, completeness and reconciliation.</t>
        </is>
      </c>
      <c r="AB353" s="13" t="inlineStr">
        <is>
          <t>Decision failure; Data loss; Regulatory/legal shock</t>
        </is>
      </c>
      <c r="AC353" s="13" t="inlineStr">
        <is>
          <t>CDO / BI / Analytics</t>
        </is>
      </c>
      <c r="AD353" s="13" t="inlineStr">
        <is>
          <t>Data BI AI!12</t>
        </is>
      </c>
      <c r="AE353">
        <f>IF($A353="","",IF(OR(ISNUMBER(SEARCH("cyber",$D353)),ISNUMBER(SEARCH("security",$D353)),ISNUMBER(SEARCH("safety",$D353)),ISNUMBER(SEARCH("liquidity",$D353)),ISNUMBER(SEARCH("cash",$D353)),ISNUMBER(SEARCH("continuity",$D353)),ISNUMBER(SEARCH("infrastructure",$D353)),ISNUMBER(SEARCH("outage",$D353))),"Fast",IF(OR(ISNUMBER(SEARCH("compliance",$D353)),ISNUMBER(SEARCH("regulat",$D353)),ISNUMBER(SEARCH("data",$D353)),ISNUMBER(SEARCH("talent",$D353)),ISNUMBER(SEARCH("knowledge",$D353)),ISNUMBER(SEARCH("portfolio",$D353)),ISNUMBER(SEARCH("quality",$D353))),"Slow","Medium")))</f>
        <v/>
      </c>
      <c r="AF353">
        <f>IF($A353="","",IFERROR(VLOOKUP($B353,'_CONFIG_Risk_Calibration'!$A$5:$H$21,2,FALSE),3))</f>
        <v/>
      </c>
      <c r="AG353">
        <f>IF($A353="","",IFERROR(VLOOKUP($B353,'_CONFIG_Risk_Calibration'!$A$5:$H$21,3,FALSE),0))</f>
        <v/>
      </c>
      <c r="AH353">
        <f>IF($A353="","",IFERROR(VLOOKUP($B353,'_CONFIG_Risk_Calibration'!$A$5:$H$21,4,FALSE),3))</f>
        <v/>
      </c>
      <c r="AI353">
        <f>IF($A353="","",IFERROR(VLOOKUP($B353,'_CONFIG_Risk_Calibration'!$A$5:$H$21,5,FALSE),3))</f>
        <v/>
      </c>
      <c r="AJ353">
        <f>IF($A353="","",IFERROR(VLOOKUP($B353,'_CONFIG_Risk_Calibration'!$A$5:$H$21,6,FALSE),"No"))</f>
        <v/>
      </c>
      <c r="AK353">
        <f>IF($A353="","",IFERROR(VLOOKUP($B353,'_CONFIG_Risk_Calibration'!$A$5:$H$21,7,FALSE),1))</f>
        <v/>
      </c>
      <c r="AL353">
        <f>IF($A353="","",IFERROR(VLOOKUP($B353,'_CONFIG_Risk_Calibration'!$A$5:$H$21,8,FALSE),""))</f>
        <v/>
      </c>
    </row>
    <row r="354" ht="72" customHeight="1" s="209">
      <c r="A354" s="13" t="inlineStr">
        <is>
          <t>DATA-009</t>
        </is>
      </c>
      <c r="B354" s="13" t="inlineStr">
        <is>
          <t>Data BI AI</t>
        </is>
      </c>
      <c r="C354" s="13" t="inlineStr">
        <is>
          <t>Data architecture</t>
        </is>
      </c>
      <c r="D354" s="13" t="inlineStr">
        <is>
          <t>Data, BI, analytics and AI governance</t>
        </is>
      </c>
      <c r="E354" s="13" t="inlineStr">
        <is>
          <t>How mature is the organization in managing data lineage for critical KPIs, regulatory reports and board dashboards, including ownership, evidence, metrics, fallback procedures and crisis stress testing?</t>
        </is>
      </c>
      <c r="F354" s="13" t="inlineStr">
        <is>
          <t>Immature capability for data lineage for critical KPIs, regulatory reports and board dashboards may lead to poor decisions, unreliable reporting, data quality problems and unsafe or ineffective AI usage during Decision failure; Data loss; Regulatory/legal shock.</t>
        </is>
      </c>
      <c r="G354" s="13" t="inlineStr">
        <is>
          <t>Low maturity, weak ownership, incomplete evidence, insufficient testing and poor integration with crisis-management routines for data lineage for critical KPIs, regulatory reports and board dashboards.</t>
        </is>
      </c>
      <c r="H354" s="13" t="inlineStr">
        <is>
          <t>Severe risk: data lineage for critical KPIs, regulatory reports and board dashboards is not reliably controlled. During Decision failure; Data loss; Regulatory/legal shock, the organization may face poor decisions, unreliable reporting, data quality problems and unsafe or ineffective AI usage with limited visibility or accountability.</t>
        </is>
      </c>
      <c r="I354" s="13" t="inlineStr">
        <is>
          <t>High risk: data lineage for critical KPIs, regulatory reports and board dashboards depends on informal practices or individual knowledge. Disruption may expose poor decisions, unreliable reporting, data quality problems and unsafe or ineffective AI usage and slow recovery.</t>
        </is>
      </c>
      <c r="J354" s="13" t="inlineStr">
        <is>
          <t>Elevated risk: data lineage for critical KPIs, regulatory reports and board dashboards is partially controlled, but coverage, evidence or testing is inconsistent. Crisis response may be fragmented.</t>
        </is>
      </c>
      <c r="K354" s="13" t="inlineStr">
        <is>
          <t>Moderate risk: data lineage for critical KPIs, regulatory reports and board dashboards is documented and owned, but measurement, stress testing and integration with dependent processes need strengthening.</t>
        </is>
      </c>
      <c r="L354" s="13" t="inlineStr">
        <is>
          <t>Residual risk: data lineage for critical KPIs, regulatory reports and board dashboards is measured and reviewed, but monitoring, automation or scenario testing should be improved to prevent maturity drift.</t>
        </is>
      </c>
      <c r="M354" s="13" t="inlineStr">
        <is>
          <t>Low residual risk: data lineage for critical KPIs, regulatory reports and board dashboards is mature and crisis-tested. Maintain monitoring, evidence, ownership and periodic stress testing.</t>
        </is>
      </c>
      <c r="N354" s="13" t="inlineStr">
        <is>
          <t>Create an immediate risk owner, minimum control baseline and fallback procedure for data lineage for critical KPIs, regulatory reports and board dashboards. Add it to the crisis risk register and collect first evidence.</t>
        </is>
      </c>
      <c r="O354" s="13" t="inlineStr">
        <is>
          <t>Document data lineage for critical KPIs, regulatory reports and board dashboards, assign RACI, define minimum controls and KPIs, and validate coverage across key sites, teams or systems.</t>
        </is>
      </c>
      <c r="P354" s="13" t="inlineStr">
        <is>
          <t>Standardize data lineage for critical KPIs, regulatory reports and board dashboards, close coverage gaps, train accountable roles and connect controls to the relevant crisis scenarios and continuity plans.</t>
        </is>
      </c>
      <c r="Q354" s="13" t="inlineStr">
        <is>
          <t>Measure and test data lineage for critical KPIs, regulatory reports and board dashboards, run tabletop or operational stress tests, integrate it with dependent processes and update crisis playbooks.</t>
        </is>
      </c>
      <c r="R354" s="13" t="inlineStr">
        <is>
          <t>Automate monitoring where practical, define leading indicators, run periodic scenario tests and track residual risk after each major change.</t>
        </is>
      </c>
      <c r="S354" s="13" t="inlineStr">
        <is>
          <t>Sustain maturity for data lineage for critical KPIs, regulatory reports and board dashboards: keep evidence current, monitor drift, benchmark externally and refresh risk tests after organizational, system or market changes.</t>
        </is>
      </c>
      <c r="T354" s="13" t="n">
        <v>4</v>
      </c>
      <c r="U354" s="13" t="n">
        <v>3</v>
      </c>
      <c r="V354" s="13" t="n">
        <v>3</v>
      </c>
      <c r="W354" s="13" t="n">
        <v>2</v>
      </c>
      <c r="X354" s="13" t="n">
        <v>1</v>
      </c>
      <c r="Y354" s="13" t="n">
        <v>1</v>
      </c>
      <c r="Z354" s="13" t="inlineStr">
        <is>
          <t>DAMA-DMBOK; ISO/IEC 38505; ISO/IEC 42001; ISO/IEC 23894; NIST AI RMF; DCAM</t>
        </is>
      </c>
      <c r="AA354" s="13" t="inlineStr">
        <is>
          <t>Policy/SOP; owner/RACI; system report; dashboard; contracts; test records; incident history; interview evidence related to data lineage for critical KPIs, regulatory reports and board dashboards.</t>
        </is>
      </c>
      <c r="AB354" s="13" t="inlineStr">
        <is>
          <t>Decision failure; Data loss; Regulatory/legal shock</t>
        </is>
      </c>
      <c r="AC354" s="13" t="inlineStr">
        <is>
          <t>CDO / BI / Analytics</t>
        </is>
      </c>
      <c r="AD354" s="13" t="inlineStr">
        <is>
          <t>Data BI AI!13</t>
        </is>
      </c>
      <c r="AE354">
        <f>IF($A354="","",IF(OR(ISNUMBER(SEARCH("cyber",$D354)),ISNUMBER(SEARCH("security",$D354)),ISNUMBER(SEARCH("safety",$D354)),ISNUMBER(SEARCH("liquidity",$D354)),ISNUMBER(SEARCH("cash",$D354)),ISNUMBER(SEARCH("continuity",$D354)),ISNUMBER(SEARCH("infrastructure",$D354)),ISNUMBER(SEARCH("outage",$D354))),"Fast",IF(OR(ISNUMBER(SEARCH("compliance",$D354)),ISNUMBER(SEARCH("regulat",$D354)),ISNUMBER(SEARCH("data",$D354)),ISNUMBER(SEARCH("talent",$D354)),ISNUMBER(SEARCH("knowledge",$D354)),ISNUMBER(SEARCH("portfolio",$D354)),ISNUMBER(SEARCH("quality",$D354))),"Slow","Medium")))</f>
        <v/>
      </c>
      <c r="AF354">
        <f>IF($A354="","",IFERROR(VLOOKUP($B354,'_CONFIG_Risk_Calibration'!$A$5:$H$21,2,FALSE),3))</f>
        <v/>
      </c>
      <c r="AG354">
        <f>IF($A354="","",IFERROR(VLOOKUP($B354,'_CONFIG_Risk_Calibration'!$A$5:$H$21,3,FALSE),0))</f>
        <v/>
      </c>
      <c r="AH354">
        <f>IF($A354="","",IFERROR(VLOOKUP($B354,'_CONFIG_Risk_Calibration'!$A$5:$H$21,4,FALSE),3))</f>
        <v/>
      </c>
      <c r="AI354">
        <f>IF($A354="","",IFERROR(VLOOKUP($B354,'_CONFIG_Risk_Calibration'!$A$5:$H$21,5,FALSE),3))</f>
        <v/>
      </c>
      <c r="AJ354">
        <f>IF($A354="","",IFERROR(VLOOKUP($B354,'_CONFIG_Risk_Calibration'!$A$5:$H$21,6,FALSE),"No"))</f>
        <v/>
      </c>
      <c r="AK354">
        <f>IF($A354="","",IFERROR(VLOOKUP($B354,'_CONFIG_Risk_Calibration'!$A$5:$H$21,7,FALSE),1))</f>
        <v/>
      </c>
      <c r="AL354">
        <f>IF($A354="","",IFERROR(VLOOKUP($B354,'_CONFIG_Risk_Calibration'!$A$5:$H$21,8,FALSE),""))</f>
        <v/>
      </c>
    </row>
    <row r="355" ht="72" customHeight="1" s="209">
      <c r="A355" s="13" t="inlineStr">
        <is>
          <t>DATA-010</t>
        </is>
      </c>
      <c r="B355" s="13" t="inlineStr">
        <is>
          <t>Data BI AI</t>
        </is>
      </c>
      <c r="C355" s="13" t="inlineStr">
        <is>
          <t>Data architecture</t>
        </is>
      </c>
      <c r="D355" s="13" t="inlineStr">
        <is>
          <t>Data, BI, analytics and AI governance</t>
        </is>
      </c>
      <c r="E355" s="13" t="inlineStr">
        <is>
          <t>How mature is the organization in managing backup and recovery for critical datasets, warehouses, BI content and analytics code, including ownership, evidence, metrics, fallback procedures and crisis stress testing?</t>
        </is>
      </c>
      <c r="F355" s="13" t="inlineStr">
        <is>
          <t>Immature capability for backup and recovery for critical datasets, warehouses, BI content and analytics code may lead to poor decisions, unreliable reporting, data quality problems and unsafe or ineffective AI usage during Decision failure; Data loss; Regulatory/legal shock.</t>
        </is>
      </c>
      <c r="G355" s="13" t="inlineStr">
        <is>
          <t>Low maturity, weak ownership, incomplete evidence, insufficient testing and poor integration with crisis-management routines for backup and recovery for critical datasets, warehouses, BI content and analytics code.</t>
        </is>
      </c>
      <c r="H355" s="13" t="inlineStr">
        <is>
          <t>Severe risk: backup and recovery for critical datasets, warehouses, BI content and analytics code is not reliably controlled. During Decision failure; Data loss; Regulatory/legal shock, the organization may face poor decisions, unreliable reporting, data quality problems and unsafe or ineffective AI usage with limited visibility or accountability.</t>
        </is>
      </c>
      <c r="I355" s="13" t="inlineStr">
        <is>
          <t>High risk: backup and recovery for critical datasets, warehouses, BI content and analytics code depends on informal practices or individual knowledge. Disruption may expose poor decisions, unreliable reporting, data quality problems and unsafe or ineffective AI usage and slow recovery.</t>
        </is>
      </c>
      <c r="J355" s="13" t="inlineStr">
        <is>
          <t>Elevated risk: backup and recovery for critical datasets, warehouses, BI content and analytics code is partially controlled, but coverage, evidence or testing is inconsistent. Crisis response may be fragmented.</t>
        </is>
      </c>
      <c r="K355" s="13" t="inlineStr">
        <is>
          <t>Moderate risk: backup and recovery for critical datasets, warehouses, BI content and analytics code is documented and owned, but measurement, stress testing and integration with dependent processes need strengthening.</t>
        </is>
      </c>
      <c r="L355" s="13" t="inlineStr">
        <is>
          <t>Residual risk: backup and recovery for critical datasets, warehouses, BI content and analytics code is measured and reviewed, but monitoring, automation or scenario testing should be improved to prevent maturity drift.</t>
        </is>
      </c>
      <c r="M355" s="13" t="inlineStr">
        <is>
          <t>Low residual risk: backup and recovery for critical datasets, warehouses, BI content and analytics code is mature and crisis-tested. Maintain monitoring, evidence, ownership and periodic stress testing.</t>
        </is>
      </c>
      <c r="N355" s="13" t="inlineStr">
        <is>
          <t>Create an immediate risk owner, minimum control baseline and fallback procedure for backup and recovery for critical datasets, warehouses, BI content and analytics code. Add it to the crisis risk register and collect first evidence.</t>
        </is>
      </c>
      <c r="O355" s="13" t="inlineStr">
        <is>
          <t>Document backup and recovery for critical datasets, warehouses, BI content and analytics code, assign RACI, define minimum controls and KPIs, and validate coverage across key sites, teams or systems.</t>
        </is>
      </c>
      <c r="P355" s="13" t="inlineStr">
        <is>
          <t>Standardize backup and recovery for critical datasets, warehouses, BI content and analytics code, close coverage gaps, train accountable roles and connect controls to the relevant crisis scenarios and continuity plans.</t>
        </is>
      </c>
      <c r="Q355" s="13" t="inlineStr">
        <is>
          <t>Measure and test backup and recovery for critical datasets, warehouses, BI content and analytics code, run tabletop or operational stress tests, integrate it with dependent processes and update crisis playbooks.</t>
        </is>
      </c>
      <c r="R355" s="13" t="inlineStr">
        <is>
          <t>Automate monitoring where practical, define leading indicators, run periodic scenario tests and track residual risk after each major change.</t>
        </is>
      </c>
      <c r="S355" s="13" t="inlineStr">
        <is>
          <t>Sustain maturity for backup and recovery for critical datasets, warehouses, BI content and analytics code: keep evidence current, monitor drift, benchmark externally and refresh risk tests after organizational, system or market changes.</t>
        </is>
      </c>
      <c r="T355" s="13" t="n">
        <v>4</v>
      </c>
      <c r="U355" s="13" t="n">
        <v>3</v>
      </c>
      <c r="V355" s="13" t="n">
        <v>3</v>
      </c>
      <c r="W355" s="13" t="n">
        <v>2</v>
      </c>
      <c r="X355" s="13" t="n">
        <v>1</v>
      </c>
      <c r="Y355" s="13" t="n">
        <v>1</v>
      </c>
      <c r="Z355" s="13" t="inlineStr">
        <is>
          <t>DAMA-DMBOK; ISO/IEC 38505; ISO/IEC 42001; ISO/IEC 23894; NIST AI RMF; DCAM</t>
        </is>
      </c>
      <c r="AA355" s="13" t="inlineStr">
        <is>
          <t>Policy/SOP; owner/RACI; system report; dashboard; contracts; test records; incident history; interview evidence related to backup and recovery for critical datasets, warehouses, BI content and analytics code.</t>
        </is>
      </c>
      <c r="AB355" s="13" t="inlineStr">
        <is>
          <t>Decision failure; Data loss; Regulatory/legal shock</t>
        </is>
      </c>
      <c r="AC355" s="13" t="inlineStr">
        <is>
          <t>CDO / BI / Analytics</t>
        </is>
      </c>
      <c r="AD355" s="13" t="inlineStr">
        <is>
          <t>Data BI AI!14</t>
        </is>
      </c>
      <c r="AE355">
        <f>IF($A355="","",IF(OR(ISNUMBER(SEARCH("cyber",$D355)),ISNUMBER(SEARCH("security",$D355)),ISNUMBER(SEARCH("safety",$D355)),ISNUMBER(SEARCH("liquidity",$D355)),ISNUMBER(SEARCH("cash",$D355)),ISNUMBER(SEARCH("continuity",$D355)),ISNUMBER(SEARCH("infrastructure",$D355)),ISNUMBER(SEARCH("outage",$D355))),"Fast",IF(OR(ISNUMBER(SEARCH("compliance",$D355)),ISNUMBER(SEARCH("regulat",$D355)),ISNUMBER(SEARCH("data",$D355)),ISNUMBER(SEARCH("talent",$D355)),ISNUMBER(SEARCH("knowledge",$D355)),ISNUMBER(SEARCH("portfolio",$D355)),ISNUMBER(SEARCH("quality",$D355))),"Slow","Medium")))</f>
        <v/>
      </c>
      <c r="AF355">
        <f>IF($A355="","",IFERROR(VLOOKUP($B355,'_CONFIG_Risk_Calibration'!$A$5:$H$21,2,FALSE),3))</f>
        <v/>
      </c>
      <c r="AG355">
        <f>IF($A355="","",IFERROR(VLOOKUP($B355,'_CONFIG_Risk_Calibration'!$A$5:$H$21,3,FALSE),0))</f>
        <v/>
      </c>
      <c r="AH355">
        <f>IF($A355="","",IFERROR(VLOOKUP($B355,'_CONFIG_Risk_Calibration'!$A$5:$H$21,4,FALSE),3))</f>
        <v/>
      </c>
      <c r="AI355">
        <f>IF($A355="","",IFERROR(VLOOKUP($B355,'_CONFIG_Risk_Calibration'!$A$5:$H$21,5,FALSE),3))</f>
        <v/>
      </c>
      <c r="AJ355">
        <f>IF($A355="","",IFERROR(VLOOKUP($B355,'_CONFIG_Risk_Calibration'!$A$5:$H$21,6,FALSE),"No"))</f>
        <v/>
      </c>
      <c r="AK355">
        <f>IF($A355="","",IFERROR(VLOOKUP($B355,'_CONFIG_Risk_Calibration'!$A$5:$H$21,7,FALSE),1))</f>
        <v/>
      </c>
      <c r="AL355">
        <f>IF($A355="","",IFERROR(VLOOKUP($B355,'_CONFIG_Risk_Calibration'!$A$5:$H$21,8,FALSE),""))</f>
        <v/>
      </c>
    </row>
    <row r="356" ht="72" customHeight="1" s="209">
      <c r="A356" s="13" t="inlineStr">
        <is>
          <t>DATA-011</t>
        </is>
      </c>
      <c r="B356" s="13" t="inlineStr">
        <is>
          <t>Data BI AI</t>
        </is>
      </c>
      <c r="C356" s="13" t="inlineStr">
        <is>
          <t>Data architecture</t>
        </is>
      </c>
      <c r="D356" s="13" t="inlineStr">
        <is>
          <t>Data, BI, analytics and AI governance</t>
        </is>
      </c>
      <c r="E356" s="13" t="inlineStr">
        <is>
          <t>How mature is the organization in managing retention and deletion rules for structured and unstructured data, including ownership, evidence, metrics, fallback procedures and crisis stress testing?</t>
        </is>
      </c>
      <c r="F356" s="13" t="inlineStr">
        <is>
          <t>Immature capability for retention and deletion rules for structured and unstructured data may lead to poor decisions, unreliable reporting, data quality problems and unsafe or ineffective AI usage during Decision failure; Data loss; Regulatory/legal shock.</t>
        </is>
      </c>
      <c r="G356" s="13" t="inlineStr">
        <is>
          <t>Low maturity, weak ownership, incomplete evidence, insufficient testing and poor integration with crisis-management routines for retention and deletion rules for structured and unstructured data.</t>
        </is>
      </c>
      <c r="H356" s="13" t="inlineStr">
        <is>
          <t>Severe risk: retention and deletion rules for structured and unstructured data is not reliably controlled. During Decision failure; Data loss; Regulatory/legal shock, the organization may face poor decisions, unreliable reporting, data quality problems and unsafe or ineffective AI usage with limited visibility or accountability.</t>
        </is>
      </c>
      <c r="I356" s="13" t="inlineStr">
        <is>
          <t>High risk: retention and deletion rules for structured and unstructured data depends on informal practices or individual knowledge. Disruption may expose poor decisions, unreliable reporting, data quality problems and unsafe or ineffective AI usage and slow recovery.</t>
        </is>
      </c>
      <c r="J356" s="13" t="inlineStr">
        <is>
          <t>Elevated risk: retention and deletion rules for structured and unstructured data is partially controlled, but coverage, evidence or testing is inconsistent. Crisis response may be fragmented.</t>
        </is>
      </c>
      <c r="K356" s="13" t="inlineStr">
        <is>
          <t>Moderate risk: retention and deletion rules for structured and unstructured data is documented and owned, but measurement, stress testing and integration with dependent processes need strengthening.</t>
        </is>
      </c>
      <c r="L356" s="13" t="inlineStr">
        <is>
          <t>Residual risk: retention and deletion rules for structured and unstructured data is measured and reviewed, but monitoring, automation or scenario testing should be improved to prevent maturity drift.</t>
        </is>
      </c>
      <c r="M356" s="13" t="inlineStr">
        <is>
          <t>Low residual risk: retention and deletion rules for structured and unstructured data is mature and crisis-tested. Maintain monitoring, evidence, ownership and periodic stress testing.</t>
        </is>
      </c>
      <c r="N356" s="13" t="inlineStr">
        <is>
          <t>Create an immediate risk owner, minimum control baseline and fallback procedure for retention and deletion rules for structured and unstructured data. Add it to the crisis risk register and collect first evidence.</t>
        </is>
      </c>
      <c r="O356" s="13" t="inlineStr">
        <is>
          <t>Document retention and deletion rules for structured and unstructured data, assign RACI, define minimum controls and KPIs, and validate coverage across key sites, teams or systems.</t>
        </is>
      </c>
      <c r="P356" s="13" t="inlineStr">
        <is>
          <t>Standardize retention and deletion rules for structured and unstructured data, close coverage gaps, train accountable roles and connect controls to the relevant crisis scenarios and continuity plans.</t>
        </is>
      </c>
      <c r="Q356" s="13" t="inlineStr">
        <is>
          <t>Measure and test retention and deletion rules for structured and unstructured data, run tabletop or operational stress tests, integrate it with dependent processes and update crisis playbooks.</t>
        </is>
      </c>
      <c r="R356" s="13" t="inlineStr">
        <is>
          <t>Automate monitoring where practical, define leading indicators, run periodic scenario tests and track residual risk after each major change.</t>
        </is>
      </c>
      <c r="S356" s="13" t="inlineStr">
        <is>
          <t>Sustain maturity for retention and deletion rules for structured and unstructured data: keep evidence current, monitor drift, benchmark externally and refresh risk tests after organizational, system or market changes.</t>
        </is>
      </c>
      <c r="T356" s="13" t="n">
        <v>4</v>
      </c>
      <c r="U356" s="13" t="n">
        <v>3</v>
      </c>
      <c r="V356" s="13" t="n">
        <v>3</v>
      </c>
      <c r="W356" s="13" t="n">
        <v>2</v>
      </c>
      <c r="X356" s="13" t="n">
        <v>1</v>
      </c>
      <c r="Y356" s="13" t="n">
        <v>1</v>
      </c>
      <c r="Z356" s="13" t="inlineStr">
        <is>
          <t>DAMA-DMBOK; ISO/IEC 38505; ISO/IEC 42001; ISO/IEC 23894; NIST AI RMF; DCAM</t>
        </is>
      </c>
      <c r="AA356" s="13" t="inlineStr">
        <is>
          <t>Policy/SOP; owner/RACI; system report; dashboard; contracts; test records; incident history; interview evidence related to retention and deletion rules for structured and unstructured data.</t>
        </is>
      </c>
      <c r="AB356" s="13" t="inlineStr">
        <is>
          <t>Decision failure; Data loss; Regulatory/legal shock</t>
        </is>
      </c>
      <c r="AC356" s="13" t="inlineStr">
        <is>
          <t>CDO / BI / Analytics</t>
        </is>
      </c>
      <c r="AD356" s="13" t="inlineStr">
        <is>
          <t>Data BI AI!15</t>
        </is>
      </c>
      <c r="AE356">
        <f>IF($A356="","",IF(OR(ISNUMBER(SEARCH("cyber",$D356)),ISNUMBER(SEARCH("security",$D356)),ISNUMBER(SEARCH("safety",$D356)),ISNUMBER(SEARCH("liquidity",$D356)),ISNUMBER(SEARCH("cash",$D356)),ISNUMBER(SEARCH("continuity",$D356)),ISNUMBER(SEARCH("infrastructure",$D356)),ISNUMBER(SEARCH("outage",$D356))),"Fast",IF(OR(ISNUMBER(SEARCH("compliance",$D356)),ISNUMBER(SEARCH("regulat",$D356)),ISNUMBER(SEARCH("data",$D356)),ISNUMBER(SEARCH("talent",$D356)),ISNUMBER(SEARCH("knowledge",$D356)),ISNUMBER(SEARCH("portfolio",$D356)),ISNUMBER(SEARCH("quality",$D356))),"Slow","Medium")))</f>
        <v/>
      </c>
      <c r="AF356">
        <f>IF($A356="","",IFERROR(VLOOKUP($B356,'_CONFIG_Risk_Calibration'!$A$5:$H$21,2,FALSE),3))</f>
        <v/>
      </c>
      <c r="AG356">
        <f>IF($A356="","",IFERROR(VLOOKUP($B356,'_CONFIG_Risk_Calibration'!$A$5:$H$21,3,FALSE),0))</f>
        <v/>
      </c>
      <c r="AH356">
        <f>IF($A356="","",IFERROR(VLOOKUP($B356,'_CONFIG_Risk_Calibration'!$A$5:$H$21,4,FALSE),3))</f>
        <v/>
      </c>
      <c r="AI356">
        <f>IF($A356="","",IFERROR(VLOOKUP($B356,'_CONFIG_Risk_Calibration'!$A$5:$H$21,5,FALSE),3))</f>
        <v/>
      </c>
      <c r="AJ356">
        <f>IF($A356="","",IFERROR(VLOOKUP($B356,'_CONFIG_Risk_Calibration'!$A$5:$H$21,6,FALSE),"No"))</f>
        <v/>
      </c>
      <c r="AK356">
        <f>IF($A356="","",IFERROR(VLOOKUP($B356,'_CONFIG_Risk_Calibration'!$A$5:$H$21,7,FALSE),1))</f>
        <v/>
      </c>
      <c r="AL356">
        <f>IF($A356="","",IFERROR(VLOOKUP($B356,'_CONFIG_Risk_Calibration'!$A$5:$H$21,8,FALSE),""))</f>
        <v/>
      </c>
    </row>
    <row r="357" ht="72" customHeight="1" s="209">
      <c r="A357" s="13" t="inlineStr">
        <is>
          <t>DATA-012</t>
        </is>
      </c>
      <c r="B357" s="13" t="inlineStr">
        <is>
          <t>Data BI AI</t>
        </is>
      </c>
      <c r="C357" s="13" t="inlineStr">
        <is>
          <t>Data architecture</t>
        </is>
      </c>
      <c r="D357" s="13" t="inlineStr">
        <is>
          <t>Data, BI, analytics and AI governance</t>
        </is>
      </c>
      <c r="E357" s="13" t="inlineStr">
        <is>
          <t>How mature is the organization in managing external data source validation for quality, licensing, availability and continuity, including ownership, evidence, metrics, fallback procedures and crisis stress testing?</t>
        </is>
      </c>
      <c r="F357" s="13" t="inlineStr">
        <is>
          <t>Immature capability for external data source validation for quality, licensing, availability and continuity may lead to poor decisions, unreliable reporting, data quality problems and unsafe or ineffective AI usage during Decision failure; Data loss; Regulatory/legal shock.</t>
        </is>
      </c>
      <c r="G357" s="13" t="inlineStr">
        <is>
          <t>Low maturity, weak ownership, incomplete evidence, insufficient testing and poor integration with crisis-management routines for external data source validation for quality, licensing, availability and continuity.</t>
        </is>
      </c>
      <c r="H357" s="13" t="inlineStr">
        <is>
          <t>Severe risk: external data source validation for quality, licensing, availability and continuity is not reliably controlled. During Decision failure; Data loss; Regulatory/legal shock, the organization may face poor decisions, unreliable reporting, data quality problems and unsafe or ineffective AI usage with limited visibility or accountability.</t>
        </is>
      </c>
      <c r="I357" s="13" t="inlineStr">
        <is>
          <t>High risk: external data source validation for quality, licensing, availability and continuity depends on informal practices or individual knowledge. Disruption may expose poor decisions, unreliable reporting, data quality problems and unsafe or ineffective AI usage and slow recovery.</t>
        </is>
      </c>
      <c r="J357" s="13" t="inlineStr">
        <is>
          <t>Elevated risk: external data source validation for quality, licensing, availability and continuity is partially controlled, but coverage, evidence or testing is inconsistent. Crisis response may be fragmented.</t>
        </is>
      </c>
      <c r="K357" s="13" t="inlineStr">
        <is>
          <t>Moderate risk: external data source validation for quality, licensing, availability and continuity is documented and owned, but measurement, stress testing and integration with dependent processes need strengthening.</t>
        </is>
      </c>
      <c r="L357" s="13" t="inlineStr">
        <is>
          <t>Residual risk: external data source validation for quality, licensing, availability and continuity is measured and reviewed, but monitoring, automation or scenario testing should be improved to prevent maturity drift.</t>
        </is>
      </c>
      <c r="M357" s="13" t="inlineStr">
        <is>
          <t>Low residual risk: external data source validation for quality, licensing, availability and continuity is mature and crisis-tested. Maintain monitoring, evidence, ownership and periodic stress testing.</t>
        </is>
      </c>
      <c r="N357" s="13" t="inlineStr">
        <is>
          <t>Create an immediate risk owner, minimum control baseline and fallback procedure for external data source validation for quality, licensing, availability and continuity. Add it to the crisis risk register and collect first evidence.</t>
        </is>
      </c>
      <c r="O357" s="13" t="inlineStr">
        <is>
          <t>Document external data source validation for quality, licensing, availability and continuity, assign RACI, define minimum controls and KPIs, and validate coverage across key sites, teams or systems.</t>
        </is>
      </c>
      <c r="P357" s="13" t="inlineStr">
        <is>
          <t>Standardize external data source validation for quality, licensing, availability and continuity, close coverage gaps, train accountable roles and connect controls to the relevant crisis scenarios and continuity plans.</t>
        </is>
      </c>
      <c r="Q357" s="13" t="inlineStr">
        <is>
          <t>Measure and test external data source validation for quality, licensing, availability and continuity, run tabletop or operational stress tests, integrate it with dependent processes and update crisis playbooks.</t>
        </is>
      </c>
      <c r="R357" s="13" t="inlineStr">
        <is>
          <t>Automate monitoring where practical, define leading indicators, run periodic scenario tests and track residual risk after each major change.</t>
        </is>
      </c>
      <c r="S357" s="13" t="inlineStr">
        <is>
          <t>Sustain maturity for external data source validation for quality, licensing, availability and continuity: keep evidence current, monitor drift, benchmark externally and refresh risk tests after organizational, system or market changes.</t>
        </is>
      </c>
      <c r="T357" s="13" t="n">
        <v>4</v>
      </c>
      <c r="U357" s="13" t="n">
        <v>3</v>
      </c>
      <c r="V357" s="13" t="n">
        <v>3</v>
      </c>
      <c r="W357" s="13" t="n">
        <v>2</v>
      </c>
      <c r="X357" s="13" t="n">
        <v>1</v>
      </c>
      <c r="Y357" s="13" t="n">
        <v>1</v>
      </c>
      <c r="Z357" s="13" t="inlineStr">
        <is>
          <t>DAMA-DMBOK; ISO/IEC 38505; ISO/IEC 42001; ISO/IEC 23894; NIST AI RMF; DCAM</t>
        </is>
      </c>
      <c r="AA357" s="13" t="inlineStr">
        <is>
          <t>Policy/SOP; owner/RACI; system report; dashboard; contracts; test records; incident history; interview evidence related to external data source validation for quality, licensing, availability and continuity.</t>
        </is>
      </c>
      <c r="AB357" s="13" t="inlineStr">
        <is>
          <t>Decision failure; Data loss; Regulatory/legal shock</t>
        </is>
      </c>
      <c r="AC357" s="13" t="inlineStr">
        <is>
          <t>CDO / BI / Analytics</t>
        </is>
      </c>
      <c r="AD357" s="13" t="inlineStr">
        <is>
          <t>Data BI AI!16</t>
        </is>
      </c>
      <c r="AE357">
        <f>IF($A357="","",IF(OR(ISNUMBER(SEARCH("cyber",$D357)),ISNUMBER(SEARCH("security",$D357)),ISNUMBER(SEARCH("safety",$D357)),ISNUMBER(SEARCH("liquidity",$D357)),ISNUMBER(SEARCH("cash",$D357)),ISNUMBER(SEARCH("continuity",$D357)),ISNUMBER(SEARCH("infrastructure",$D357)),ISNUMBER(SEARCH("outage",$D357))),"Fast",IF(OR(ISNUMBER(SEARCH("compliance",$D357)),ISNUMBER(SEARCH("regulat",$D357)),ISNUMBER(SEARCH("data",$D357)),ISNUMBER(SEARCH("talent",$D357)),ISNUMBER(SEARCH("knowledge",$D357)),ISNUMBER(SEARCH("portfolio",$D357)),ISNUMBER(SEARCH("quality",$D357))),"Slow","Medium")))</f>
        <v/>
      </c>
      <c r="AF357">
        <f>IF($A357="","",IFERROR(VLOOKUP($B357,'_CONFIG_Risk_Calibration'!$A$5:$H$21,2,FALSE),3))</f>
        <v/>
      </c>
      <c r="AG357">
        <f>IF($A357="","",IFERROR(VLOOKUP($B357,'_CONFIG_Risk_Calibration'!$A$5:$H$21,3,FALSE),0))</f>
        <v/>
      </c>
      <c r="AH357">
        <f>IF($A357="","",IFERROR(VLOOKUP($B357,'_CONFIG_Risk_Calibration'!$A$5:$H$21,4,FALSE),3))</f>
        <v/>
      </c>
      <c r="AI357">
        <f>IF($A357="","",IFERROR(VLOOKUP($B357,'_CONFIG_Risk_Calibration'!$A$5:$H$21,5,FALSE),3))</f>
        <v/>
      </c>
      <c r="AJ357">
        <f>IF($A357="","",IFERROR(VLOOKUP($B357,'_CONFIG_Risk_Calibration'!$A$5:$H$21,6,FALSE),"No"))</f>
        <v/>
      </c>
      <c r="AK357">
        <f>IF($A357="","",IFERROR(VLOOKUP($B357,'_CONFIG_Risk_Calibration'!$A$5:$H$21,7,FALSE),1))</f>
        <v/>
      </c>
      <c r="AL357">
        <f>IF($A357="","",IFERROR(VLOOKUP($B357,'_CONFIG_Risk_Calibration'!$A$5:$H$21,8,FALSE),""))</f>
        <v/>
      </c>
    </row>
    <row r="358" ht="72" customHeight="1" s="209">
      <c r="A358" s="13" t="inlineStr">
        <is>
          <t>DATA-013</t>
        </is>
      </c>
      <c r="B358" s="13" t="inlineStr">
        <is>
          <t>Data BI AI</t>
        </is>
      </c>
      <c r="C358" s="13" t="inlineStr">
        <is>
          <t>BI and analytics</t>
        </is>
      </c>
      <c r="D358" s="13" t="inlineStr">
        <is>
          <t>Data, BI, analytics and AI governance</t>
        </is>
      </c>
      <c r="E358" s="13" t="inlineStr">
        <is>
          <t>How mature is the organization in managing executive dashboards for crisis KPIs such as cash, workforce, supply, delivery, revenue and incidents, including ownership, evidence, metrics, fallback procedures and crisis stress testing?</t>
        </is>
      </c>
      <c r="F358" s="13" t="inlineStr">
        <is>
          <t>Immature capability for executive dashboards for crisis KPIs such as cash, workforce, supply, delivery, revenue and incidents may lead to poor decisions, unreliable reporting, data quality problems and unsafe or ineffective AI usage during Decision failure; Data loss; Regulatory/legal shock.</t>
        </is>
      </c>
      <c r="G358" s="13" t="inlineStr">
        <is>
          <t>Low maturity, weak ownership, incomplete evidence, insufficient testing and poor integration with crisis-management routines for executive dashboards for crisis KPIs such as cash, workforce, supply, delivery, revenue and incidents.</t>
        </is>
      </c>
      <c r="H358" s="13" t="inlineStr">
        <is>
          <t>Severe risk: executive dashboards for crisis KPIs such as cash, workforce, supply, delivery, revenue and incidents is not reliably controlled. During Decision failure; Data loss; Regulatory/legal shock, the organization may face poor decisions, unreliable reporting, data quality problems and unsafe or ineffective AI usage with limited visibility or accountability.</t>
        </is>
      </c>
      <c r="I358" s="13" t="inlineStr">
        <is>
          <t>High risk: executive dashboards for crisis KPIs such as cash, workforce, supply, delivery, revenue and incidents depends on informal practices or individual knowledge. Disruption may expose poor decisions, unreliable reporting, data quality problems and unsafe or ineffective AI usage and slow recovery.</t>
        </is>
      </c>
      <c r="J358" s="13" t="inlineStr">
        <is>
          <t>Elevated risk: executive dashboards for crisis KPIs such as cash, workforce, supply, delivery, revenue and incidents is partially controlled, but coverage, evidence or testing is inconsistent. Crisis response may be fragmented.</t>
        </is>
      </c>
      <c r="K358" s="13" t="inlineStr">
        <is>
          <t>Moderate risk: executive dashboards for crisis KPIs such as cash, workforce, supply, delivery, revenue and incidents is documented and owned, but measurement, stress testing and integration with dependent processes need strengthening.</t>
        </is>
      </c>
      <c r="L358" s="13" t="inlineStr">
        <is>
          <t>Residual risk: executive dashboards for crisis KPIs such as cash, workforce, supply, delivery, revenue and incidents is measured and reviewed, but monitoring, automation or scenario testing should be improved to prevent maturity drift.</t>
        </is>
      </c>
      <c r="M358" s="13" t="inlineStr">
        <is>
          <t>Low residual risk: executive dashboards for crisis KPIs such as cash, workforce, supply, delivery, revenue and incidents is mature and crisis-tested. Maintain monitoring, evidence, ownership and periodic stress testing.</t>
        </is>
      </c>
      <c r="N358" s="13" t="inlineStr">
        <is>
          <t>Create an immediate risk owner, minimum control baseline and fallback procedure for executive dashboards for crisis KPIs such as cash, workforce, supply, delivery, revenue and incidents. Add it to the crisis risk register and collect first evidence.</t>
        </is>
      </c>
      <c r="O358" s="13" t="inlineStr">
        <is>
          <t>Document executive dashboards for crisis KPIs such as cash, workforce, supply, delivery, revenue and incidents, assign RACI, define minimum controls and KPIs, and validate coverage across key sites, teams or systems.</t>
        </is>
      </c>
      <c r="P358" s="13" t="inlineStr">
        <is>
          <t>Standardize executive dashboards for crisis KPIs such as cash, workforce, supply, delivery, revenue and incidents, close coverage gaps, train accountable roles and connect controls to the relevant crisis scenarios and continuity plans.</t>
        </is>
      </c>
      <c r="Q358" s="13" t="inlineStr">
        <is>
          <t>Measure and test executive dashboards for crisis KPIs such as cash, workforce, supply, delivery, revenue and incidents, run tabletop or operational stress tests, integrate it with dependent processes and update crisis playbooks.</t>
        </is>
      </c>
      <c r="R358" s="13" t="inlineStr">
        <is>
          <t>Automate monitoring where practical, define leading indicators, run periodic scenario tests and track residual risk after each major change.</t>
        </is>
      </c>
      <c r="S358" s="13" t="inlineStr">
        <is>
          <t>Sustain maturity for executive dashboards for crisis KPIs such as cash, workforce, supply, delivery, revenue and incidents: keep evidence current, monitor drift, benchmark externally and refresh risk tests after organizational, system or market changes.</t>
        </is>
      </c>
      <c r="T358" s="13" t="n">
        <v>4</v>
      </c>
      <c r="U358" s="13" t="n">
        <v>3</v>
      </c>
      <c r="V358" s="13" t="n">
        <v>3</v>
      </c>
      <c r="W358" s="13" t="n">
        <v>2</v>
      </c>
      <c r="X358" s="13" t="n">
        <v>1</v>
      </c>
      <c r="Y358" s="13" t="n">
        <v>1</v>
      </c>
      <c r="Z358" s="13" t="inlineStr">
        <is>
          <t>DAMA-DMBOK; ISO/IEC 38505; ISO/IEC 42001; ISO/IEC 23894; NIST AI RMF; DCAM</t>
        </is>
      </c>
      <c r="AA358" s="13" t="inlineStr">
        <is>
          <t>Policy/SOP; owner/RACI; system report; dashboard; contracts; test records; incident history; interview evidence related to executive dashboards for crisis KPIs such as cash, workforce, supply, delivery, revenue and incidents.</t>
        </is>
      </c>
      <c r="AB358" s="13" t="inlineStr">
        <is>
          <t>Decision failure; Data loss; Regulatory/legal shock</t>
        </is>
      </c>
      <c r="AC358" s="13" t="inlineStr">
        <is>
          <t>CDO / BI / Analytics</t>
        </is>
      </c>
      <c r="AD358" s="13" t="inlineStr">
        <is>
          <t>Data BI AI!17</t>
        </is>
      </c>
      <c r="AE358">
        <f>IF($A358="","",IF(OR(ISNUMBER(SEARCH("cyber",$D358)),ISNUMBER(SEARCH("security",$D358)),ISNUMBER(SEARCH("safety",$D358)),ISNUMBER(SEARCH("liquidity",$D358)),ISNUMBER(SEARCH("cash",$D358)),ISNUMBER(SEARCH("continuity",$D358)),ISNUMBER(SEARCH("infrastructure",$D358)),ISNUMBER(SEARCH("outage",$D358))),"Fast",IF(OR(ISNUMBER(SEARCH("compliance",$D358)),ISNUMBER(SEARCH("regulat",$D358)),ISNUMBER(SEARCH("data",$D358)),ISNUMBER(SEARCH("talent",$D358)),ISNUMBER(SEARCH("knowledge",$D358)),ISNUMBER(SEARCH("portfolio",$D358)),ISNUMBER(SEARCH("quality",$D358))),"Slow","Medium")))</f>
        <v/>
      </c>
      <c r="AF358">
        <f>IF($A358="","",IFERROR(VLOOKUP($B358,'_CONFIG_Risk_Calibration'!$A$5:$H$21,2,FALSE),3))</f>
        <v/>
      </c>
      <c r="AG358">
        <f>IF($A358="","",IFERROR(VLOOKUP($B358,'_CONFIG_Risk_Calibration'!$A$5:$H$21,3,FALSE),0))</f>
        <v/>
      </c>
      <c r="AH358">
        <f>IF($A358="","",IFERROR(VLOOKUP($B358,'_CONFIG_Risk_Calibration'!$A$5:$H$21,4,FALSE),3))</f>
        <v/>
      </c>
      <c r="AI358">
        <f>IF($A358="","",IFERROR(VLOOKUP($B358,'_CONFIG_Risk_Calibration'!$A$5:$H$21,5,FALSE),3))</f>
        <v/>
      </c>
      <c r="AJ358">
        <f>IF($A358="","",IFERROR(VLOOKUP($B358,'_CONFIG_Risk_Calibration'!$A$5:$H$21,6,FALSE),"No"))</f>
        <v/>
      </c>
      <c r="AK358">
        <f>IF($A358="","",IFERROR(VLOOKUP($B358,'_CONFIG_Risk_Calibration'!$A$5:$H$21,7,FALSE),1))</f>
        <v/>
      </c>
      <c r="AL358">
        <f>IF($A358="","",IFERROR(VLOOKUP($B358,'_CONFIG_Risk_Calibration'!$A$5:$H$21,8,FALSE),""))</f>
        <v/>
      </c>
    </row>
    <row r="359" ht="72" customHeight="1" s="209">
      <c r="A359" s="13" t="inlineStr">
        <is>
          <t>DATA-014</t>
        </is>
      </c>
      <c r="B359" s="13" t="inlineStr">
        <is>
          <t>Data BI AI</t>
        </is>
      </c>
      <c r="C359" s="13" t="inlineStr">
        <is>
          <t>BI and analytics</t>
        </is>
      </c>
      <c r="D359" s="13" t="inlineStr">
        <is>
          <t>Data, BI, analytics and AI governance</t>
        </is>
      </c>
      <c r="E359" s="13" t="inlineStr">
        <is>
          <t>How mature is the organization in managing operational dashboards for daily management and crisis response, including ownership, evidence, metrics, fallback procedures and crisis stress testing?</t>
        </is>
      </c>
      <c r="F359" s="13" t="inlineStr">
        <is>
          <t>Immature capability for operational dashboards for daily management and crisis response may lead to poor decisions, unreliable reporting, data quality problems and unsafe or ineffective AI usage during Decision failure; Data loss; Regulatory/legal shock.</t>
        </is>
      </c>
      <c r="G359" s="13" t="inlineStr">
        <is>
          <t>Low maturity, weak ownership, incomplete evidence, insufficient testing and poor integration with crisis-management routines for operational dashboards for daily management and crisis response.</t>
        </is>
      </c>
      <c r="H359" s="13" t="inlineStr">
        <is>
          <t>Severe risk: operational dashboards for daily management and crisis response is not reliably controlled. During Decision failure; Data loss; Regulatory/legal shock, the organization may face poor decisions, unreliable reporting, data quality problems and unsafe or ineffective AI usage with limited visibility or accountability.</t>
        </is>
      </c>
      <c r="I359" s="13" t="inlineStr">
        <is>
          <t>High risk: operational dashboards for daily management and crisis response depends on informal practices or individual knowledge. Disruption may expose poor decisions, unreliable reporting, data quality problems and unsafe or ineffective AI usage and slow recovery.</t>
        </is>
      </c>
      <c r="J359" s="13" t="inlineStr">
        <is>
          <t>Elevated risk: operational dashboards for daily management and crisis response is partially controlled, but coverage, evidence or testing is inconsistent. Crisis response may be fragmented.</t>
        </is>
      </c>
      <c r="K359" s="13" t="inlineStr">
        <is>
          <t>Moderate risk: operational dashboards for daily management and crisis response is documented and owned, but measurement, stress testing and integration with dependent processes need strengthening.</t>
        </is>
      </c>
      <c r="L359" s="13" t="inlineStr">
        <is>
          <t>Residual risk: operational dashboards for daily management and crisis response is measured and reviewed, but monitoring, automation or scenario testing should be improved to prevent maturity drift.</t>
        </is>
      </c>
      <c r="M359" s="13" t="inlineStr">
        <is>
          <t>Low residual risk: operational dashboards for daily management and crisis response is mature and crisis-tested. Maintain monitoring, evidence, ownership and periodic stress testing.</t>
        </is>
      </c>
      <c r="N359" s="13" t="inlineStr">
        <is>
          <t>Create an immediate risk owner, minimum control baseline and fallback procedure for operational dashboards for daily management and crisis response. Add it to the crisis risk register and collect first evidence.</t>
        </is>
      </c>
      <c r="O359" s="13" t="inlineStr">
        <is>
          <t>Document operational dashboards for daily management and crisis response, assign RACI, define minimum controls and KPIs, and validate coverage across key sites, teams or systems.</t>
        </is>
      </c>
      <c r="P359" s="13" t="inlineStr">
        <is>
          <t>Standardize operational dashboards for daily management and crisis response, close coverage gaps, train accountable roles and connect controls to the relevant crisis scenarios and continuity plans.</t>
        </is>
      </c>
      <c r="Q359" s="13" t="inlineStr">
        <is>
          <t>Measure and test operational dashboards for daily management and crisis response, run tabletop or operational stress tests, integrate it with dependent processes and update crisis playbooks.</t>
        </is>
      </c>
      <c r="R359" s="13" t="inlineStr">
        <is>
          <t>Automate monitoring where practical, define leading indicators, run periodic scenario tests and track residual risk after each major change.</t>
        </is>
      </c>
      <c r="S359" s="13" t="inlineStr">
        <is>
          <t>Sustain maturity for operational dashboards for daily management and crisis response: keep evidence current, monitor drift, benchmark externally and refresh risk tests after organizational, system or market changes.</t>
        </is>
      </c>
      <c r="T359" s="13" t="n">
        <v>4</v>
      </c>
      <c r="U359" s="13" t="n">
        <v>3</v>
      </c>
      <c r="V359" s="13" t="n">
        <v>3</v>
      </c>
      <c r="W359" s="13" t="n">
        <v>2</v>
      </c>
      <c r="X359" s="13" t="n">
        <v>1</v>
      </c>
      <c r="Y359" s="13" t="n">
        <v>1</v>
      </c>
      <c r="Z359" s="13" t="inlineStr">
        <is>
          <t>DAMA-DMBOK; ISO/IEC 38505; ISO/IEC 42001; ISO/IEC 23894; NIST AI RMF; DCAM</t>
        </is>
      </c>
      <c r="AA359" s="13" t="inlineStr">
        <is>
          <t>Policy/SOP; owner/RACI; system report; dashboard; contracts; test records; incident history; interview evidence related to operational dashboards for daily management and crisis response.</t>
        </is>
      </c>
      <c r="AB359" s="13" t="inlineStr">
        <is>
          <t>Decision failure; Data loss; Regulatory/legal shock</t>
        </is>
      </c>
      <c r="AC359" s="13" t="inlineStr">
        <is>
          <t>CDO / BI / Analytics</t>
        </is>
      </c>
      <c r="AD359" s="13" t="inlineStr">
        <is>
          <t>Data BI AI!18</t>
        </is>
      </c>
      <c r="AE359">
        <f>IF($A359="","",IF(OR(ISNUMBER(SEARCH("cyber",$D359)),ISNUMBER(SEARCH("security",$D359)),ISNUMBER(SEARCH("safety",$D359)),ISNUMBER(SEARCH("liquidity",$D359)),ISNUMBER(SEARCH("cash",$D359)),ISNUMBER(SEARCH("continuity",$D359)),ISNUMBER(SEARCH("infrastructure",$D359)),ISNUMBER(SEARCH("outage",$D359))),"Fast",IF(OR(ISNUMBER(SEARCH("compliance",$D359)),ISNUMBER(SEARCH("regulat",$D359)),ISNUMBER(SEARCH("data",$D359)),ISNUMBER(SEARCH("talent",$D359)),ISNUMBER(SEARCH("knowledge",$D359)),ISNUMBER(SEARCH("portfolio",$D359)),ISNUMBER(SEARCH("quality",$D359))),"Slow","Medium")))</f>
        <v/>
      </c>
      <c r="AF359">
        <f>IF($A359="","",IFERROR(VLOOKUP($B359,'_CONFIG_Risk_Calibration'!$A$5:$H$21,2,FALSE),3))</f>
        <v/>
      </c>
      <c r="AG359">
        <f>IF($A359="","",IFERROR(VLOOKUP($B359,'_CONFIG_Risk_Calibration'!$A$5:$H$21,3,FALSE),0))</f>
        <v/>
      </c>
      <c r="AH359">
        <f>IF($A359="","",IFERROR(VLOOKUP($B359,'_CONFIG_Risk_Calibration'!$A$5:$H$21,4,FALSE),3))</f>
        <v/>
      </c>
      <c r="AI359">
        <f>IF($A359="","",IFERROR(VLOOKUP($B359,'_CONFIG_Risk_Calibration'!$A$5:$H$21,5,FALSE),3))</f>
        <v/>
      </c>
      <c r="AJ359">
        <f>IF($A359="","",IFERROR(VLOOKUP($B359,'_CONFIG_Risk_Calibration'!$A$5:$H$21,6,FALSE),"No"))</f>
        <v/>
      </c>
      <c r="AK359">
        <f>IF($A359="","",IFERROR(VLOOKUP($B359,'_CONFIG_Risk_Calibration'!$A$5:$H$21,7,FALSE),1))</f>
        <v/>
      </c>
      <c r="AL359">
        <f>IF($A359="","",IFERROR(VLOOKUP($B359,'_CONFIG_Risk_Calibration'!$A$5:$H$21,8,FALSE),""))</f>
        <v/>
      </c>
    </row>
    <row r="360" ht="72" customHeight="1" s="209">
      <c r="A360" s="13" t="inlineStr">
        <is>
          <t>DATA-015</t>
        </is>
      </c>
      <c r="B360" s="13" t="inlineStr">
        <is>
          <t>Data BI AI</t>
        </is>
      </c>
      <c r="C360" s="13" t="inlineStr">
        <is>
          <t>BI and analytics</t>
        </is>
      </c>
      <c r="D360" s="13" t="inlineStr">
        <is>
          <t>Data, BI, analytics and AI governance</t>
        </is>
      </c>
      <c r="E360" s="13" t="inlineStr">
        <is>
          <t>How mature is the organization in managing single source of truth for critical reports instead of manually reconciled spreadsheets, including ownership, evidence, metrics, fallback procedures and crisis stress testing?</t>
        </is>
      </c>
      <c r="F360" s="13" t="inlineStr">
        <is>
          <t>Immature capability for single source of truth for critical reports instead of manually reconciled spreadsheets may lead to poor decisions, unreliable reporting, data quality problems and unsafe or ineffective AI usage during Decision failure; Data loss; Regulatory/legal shock.</t>
        </is>
      </c>
      <c r="G360" s="13" t="inlineStr">
        <is>
          <t>Low maturity, weak ownership, incomplete evidence, insufficient testing and poor integration with crisis-management routines for single source of truth for critical reports instead of manually reconciled spreadsheets.</t>
        </is>
      </c>
      <c r="H360" s="13" t="inlineStr">
        <is>
          <t>Severe risk: single source of truth for critical reports instead of manually reconciled spreadsheets is not reliably controlled. During Decision failure; Data loss; Regulatory/legal shock, the organization may face poor decisions, unreliable reporting, data quality problems and unsafe or ineffective AI usage with limited visibility or accountability.</t>
        </is>
      </c>
      <c r="I360" s="13" t="inlineStr">
        <is>
          <t>High risk: single source of truth for critical reports instead of manually reconciled spreadsheets depends on informal practices or individual knowledge. Disruption may expose poor decisions, unreliable reporting, data quality problems and unsafe or ineffective AI usage and slow recovery.</t>
        </is>
      </c>
      <c r="J360" s="13" t="inlineStr">
        <is>
          <t>Elevated risk: single source of truth for critical reports instead of manually reconciled spreadsheets is partially controlled, but coverage, evidence or testing is inconsistent. Crisis response may be fragmented.</t>
        </is>
      </c>
      <c r="K360" s="13" t="inlineStr">
        <is>
          <t>Moderate risk: single source of truth for critical reports instead of manually reconciled spreadsheets is documented and owned, but measurement, stress testing and integration with dependent processes need strengthening.</t>
        </is>
      </c>
      <c r="L360" s="13" t="inlineStr">
        <is>
          <t>Residual risk: single source of truth for critical reports instead of manually reconciled spreadsheets is measured and reviewed, but monitoring, automation or scenario testing should be improved to prevent maturity drift.</t>
        </is>
      </c>
      <c r="M360" s="13" t="inlineStr">
        <is>
          <t>Low residual risk: single source of truth for critical reports instead of manually reconciled spreadsheets is mature and crisis-tested. Maintain monitoring, evidence, ownership and periodic stress testing.</t>
        </is>
      </c>
      <c r="N360" s="13" t="inlineStr">
        <is>
          <t>Create an immediate risk owner, minimum control baseline and fallback procedure for single source of truth for critical reports instead of manually reconciled spreadsheets. Add it to the crisis risk register and collect first evidence.</t>
        </is>
      </c>
      <c r="O360" s="13" t="inlineStr">
        <is>
          <t>Document single source of truth for critical reports instead of manually reconciled spreadsheets, assign RACI, define minimum controls and KPIs, and validate coverage across key sites, teams or systems.</t>
        </is>
      </c>
      <c r="P360" s="13" t="inlineStr">
        <is>
          <t>Standardize single source of truth for critical reports instead of manually reconciled spreadsheets, close coverage gaps, train accountable roles and connect controls to the relevant crisis scenarios and continuity plans.</t>
        </is>
      </c>
      <c r="Q360" s="13" t="inlineStr">
        <is>
          <t>Measure and test single source of truth for critical reports instead of manually reconciled spreadsheets, run tabletop or operational stress tests, integrate it with dependent processes and update crisis playbooks.</t>
        </is>
      </c>
      <c r="R360" s="13" t="inlineStr">
        <is>
          <t>Automate monitoring where practical, define leading indicators, run periodic scenario tests and track residual risk after each major change.</t>
        </is>
      </c>
      <c r="S360" s="13" t="inlineStr">
        <is>
          <t>Sustain maturity for single source of truth for critical reports instead of manually reconciled spreadsheets: keep evidence current, monitor drift, benchmark externally and refresh risk tests after organizational, system or market changes.</t>
        </is>
      </c>
      <c r="T360" s="13" t="n">
        <v>4</v>
      </c>
      <c r="U360" s="13" t="n">
        <v>3</v>
      </c>
      <c r="V360" s="13" t="n">
        <v>3</v>
      </c>
      <c r="W360" s="13" t="n">
        <v>2</v>
      </c>
      <c r="X360" s="13" t="n">
        <v>1</v>
      </c>
      <c r="Y360" s="13" t="n">
        <v>1</v>
      </c>
      <c r="Z360" s="13" t="inlineStr">
        <is>
          <t>DAMA-DMBOK; ISO/IEC 38505; ISO/IEC 42001; ISO/IEC 23894; NIST AI RMF; DCAM</t>
        </is>
      </c>
      <c r="AA360" s="13" t="inlineStr">
        <is>
          <t>Policy/SOP; owner/RACI; system report; dashboard; contracts; test records; incident history; interview evidence related to single source of truth for critical reports instead of manually reconciled spreadsheets.</t>
        </is>
      </c>
      <c r="AB360" s="13" t="inlineStr">
        <is>
          <t>Decision failure; Data loss; Regulatory/legal shock</t>
        </is>
      </c>
      <c r="AC360" s="13" t="inlineStr">
        <is>
          <t>CDO / BI / Analytics</t>
        </is>
      </c>
      <c r="AD360" s="13" t="inlineStr">
        <is>
          <t>Data BI AI!19</t>
        </is>
      </c>
      <c r="AE360">
        <f>IF($A360="","",IF(OR(ISNUMBER(SEARCH("cyber",$D360)),ISNUMBER(SEARCH("security",$D360)),ISNUMBER(SEARCH("safety",$D360)),ISNUMBER(SEARCH("liquidity",$D360)),ISNUMBER(SEARCH("cash",$D360)),ISNUMBER(SEARCH("continuity",$D360)),ISNUMBER(SEARCH("infrastructure",$D360)),ISNUMBER(SEARCH("outage",$D360))),"Fast",IF(OR(ISNUMBER(SEARCH("compliance",$D360)),ISNUMBER(SEARCH("regulat",$D360)),ISNUMBER(SEARCH("data",$D360)),ISNUMBER(SEARCH("talent",$D360)),ISNUMBER(SEARCH("knowledge",$D360)),ISNUMBER(SEARCH("portfolio",$D360)),ISNUMBER(SEARCH("quality",$D360))),"Slow","Medium")))</f>
        <v/>
      </c>
      <c r="AF360">
        <f>IF($A360="","",IFERROR(VLOOKUP($B360,'_CONFIG_Risk_Calibration'!$A$5:$H$21,2,FALSE),3))</f>
        <v/>
      </c>
      <c r="AG360">
        <f>IF($A360="","",IFERROR(VLOOKUP($B360,'_CONFIG_Risk_Calibration'!$A$5:$H$21,3,FALSE),0))</f>
        <v/>
      </c>
      <c r="AH360">
        <f>IF($A360="","",IFERROR(VLOOKUP($B360,'_CONFIG_Risk_Calibration'!$A$5:$H$21,4,FALSE),3))</f>
        <v/>
      </c>
      <c r="AI360">
        <f>IF($A360="","",IFERROR(VLOOKUP($B360,'_CONFIG_Risk_Calibration'!$A$5:$H$21,5,FALSE),3))</f>
        <v/>
      </c>
      <c r="AJ360">
        <f>IF($A360="","",IFERROR(VLOOKUP($B360,'_CONFIG_Risk_Calibration'!$A$5:$H$21,6,FALSE),"No"))</f>
        <v/>
      </c>
      <c r="AK360">
        <f>IF($A360="","",IFERROR(VLOOKUP($B360,'_CONFIG_Risk_Calibration'!$A$5:$H$21,7,FALSE),1))</f>
        <v/>
      </c>
      <c r="AL360">
        <f>IF($A360="","",IFERROR(VLOOKUP($B360,'_CONFIG_Risk_Calibration'!$A$5:$H$21,8,FALSE),""))</f>
        <v/>
      </c>
    </row>
    <row r="361" ht="72" customHeight="1" s="209">
      <c r="A361" s="13" t="inlineStr">
        <is>
          <t>DATA-016</t>
        </is>
      </c>
      <c r="B361" s="13" t="inlineStr">
        <is>
          <t>Data BI AI</t>
        </is>
      </c>
      <c r="C361" s="13" t="inlineStr">
        <is>
          <t>BI and analytics</t>
        </is>
      </c>
      <c r="D361" s="13" t="inlineStr">
        <is>
          <t>Data, BI, analytics and AI governance</t>
        </is>
      </c>
      <c r="E361" s="13" t="inlineStr">
        <is>
          <t>How mature is the organization in managing self-service analytics governance to avoid uncontrolled reporting, including ownership, evidence, metrics, fallback procedures and crisis stress testing?</t>
        </is>
      </c>
      <c r="F361" s="13" t="inlineStr">
        <is>
          <t>Immature capability for self-service analytics governance to avoid uncontrolled reporting may lead to poor decisions, unreliable reporting, data quality problems and unsafe or ineffective AI usage during Decision failure; Data loss; Regulatory/legal shock.</t>
        </is>
      </c>
      <c r="G361" s="13" t="inlineStr">
        <is>
          <t>Low maturity, weak ownership, incomplete evidence, insufficient testing and poor integration with crisis-management routines for self-service analytics governance to avoid uncontrolled reporting.</t>
        </is>
      </c>
      <c r="H361" s="13" t="inlineStr">
        <is>
          <t>Severe risk: self-service analytics governance to avoid uncontrolled reporting is not reliably controlled. During Decision failure; Data loss; Regulatory/legal shock, the organization may face poor decisions, unreliable reporting, data quality problems and unsafe or ineffective AI usage with limited visibility or accountability.</t>
        </is>
      </c>
      <c r="I361" s="13" t="inlineStr">
        <is>
          <t>High risk: self-service analytics governance to avoid uncontrolled reporting depends on informal practices or individual knowledge. Disruption may expose poor decisions, unreliable reporting, data quality problems and unsafe or ineffective AI usage and slow recovery.</t>
        </is>
      </c>
      <c r="J361" s="13" t="inlineStr">
        <is>
          <t>Elevated risk: self-service analytics governance to avoid uncontrolled reporting is partially controlled, but coverage, evidence or testing is inconsistent. Crisis response may be fragmented.</t>
        </is>
      </c>
      <c r="K361" s="13" t="inlineStr">
        <is>
          <t>Moderate risk: self-service analytics governance to avoid uncontrolled reporting is documented and owned, but measurement, stress testing and integration with dependent processes need strengthening.</t>
        </is>
      </c>
      <c r="L361" s="13" t="inlineStr">
        <is>
          <t>Residual risk: self-service analytics governance to avoid uncontrolled reporting is measured and reviewed, but monitoring, automation or scenario testing should be improved to prevent maturity drift.</t>
        </is>
      </c>
      <c r="M361" s="13" t="inlineStr">
        <is>
          <t>Low residual risk: self-service analytics governance to avoid uncontrolled reporting is mature and crisis-tested. Maintain monitoring, evidence, ownership and periodic stress testing.</t>
        </is>
      </c>
      <c r="N361" s="13" t="inlineStr">
        <is>
          <t>Create an immediate risk owner, minimum control baseline and fallback procedure for self-service analytics governance to avoid uncontrolled reporting. Add it to the crisis risk register and collect first evidence.</t>
        </is>
      </c>
      <c r="O361" s="13" t="inlineStr">
        <is>
          <t>Document self-service analytics governance to avoid uncontrolled reporting, assign RACI, define minimum controls and KPIs, and validate coverage across key sites, teams or systems.</t>
        </is>
      </c>
      <c r="P361" s="13" t="inlineStr">
        <is>
          <t>Standardize self-service analytics governance to avoid uncontrolled reporting, close coverage gaps, train accountable roles and connect controls to the relevant crisis scenarios and continuity plans.</t>
        </is>
      </c>
      <c r="Q361" s="13" t="inlineStr">
        <is>
          <t>Measure and test self-service analytics governance to avoid uncontrolled reporting, run tabletop or operational stress tests, integrate it with dependent processes and update crisis playbooks.</t>
        </is>
      </c>
      <c r="R361" s="13" t="inlineStr">
        <is>
          <t>Automate monitoring where practical, define leading indicators, run periodic scenario tests and track residual risk after each major change.</t>
        </is>
      </c>
      <c r="S361" s="13" t="inlineStr">
        <is>
          <t>Sustain maturity for self-service analytics governance to avoid uncontrolled reporting: keep evidence current, monitor drift, benchmark externally and refresh risk tests after organizational, system or market changes.</t>
        </is>
      </c>
      <c r="T361" s="13" t="n">
        <v>4</v>
      </c>
      <c r="U361" s="13" t="n">
        <v>3</v>
      </c>
      <c r="V361" s="13" t="n">
        <v>3</v>
      </c>
      <c r="W361" s="13" t="n">
        <v>2</v>
      </c>
      <c r="X361" s="13" t="n">
        <v>1</v>
      </c>
      <c r="Y361" s="13" t="n">
        <v>1</v>
      </c>
      <c r="Z361" s="13" t="inlineStr">
        <is>
          <t>DAMA-DMBOK; ISO/IEC 38505; ISO/IEC 42001; ISO/IEC 23894; NIST AI RMF; DCAM</t>
        </is>
      </c>
      <c r="AA361" s="13" t="inlineStr">
        <is>
          <t>Policy/SOP; owner/RACI; system report; dashboard; contracts; test records; incident history; interview evidence related to self-service analytics governance to avoid uncontrolled reporting.</t>
        </is>
      </c>
      <c r="AB361" s="13" t="inlineStr">
        <is>
          <t>Decision failure; Data loss; Regulatory/legal shock</t>
        </is>
      </c>
      <c r="AC361" s="13" t="inlineStr">
        <is>
          <t>CDO / BI / Analytics</t>
        </is>
      </c>
      <c r="AD361" s="13" t="inlineStr">
        <is>
          <t>Data BI AI!20</t>
        </is>
      </c>
      <c r="AE361">
        <f>IF($A361="","",IF(OR(ISNUMBER(SEARCH("cyber",$D361)),ISNUMBER(SEARCH("security",$D361)),ISNUMBER(SEARCH("safety",$D361)),ISNUMBER(SEARCH("liquidity",$D361)),ISNUMBER(SEARCH("cash",$D361)),ISNUMBER(SEARCH("continuity",$D361)),ISNUMBER(SEARCH("infrastructure",$D361)),ISNUMBER(SEARCH("outage",$D361))),"Fast",IF(OR(ISNUMBER(SEARCH("compliance",$D361)),ISNUMBER(SEARCH("regulat",$D361)),ISNUMBER(SEARCH("data",$D361)),ISNUMBER(SEARCH("talent",$D361)),ISNUMBER(SEARCH("knowledge",$D361)),ISNUMBER(SEARCH("portfolio",$D361)),ISNUMBER(SEARCH("quality",$D361))),"Slow","Medium")))</f>
        <v/>
      </c>
      <c r="AF361">
        <f>IF($A361="","",IFERROR(VLOOKUP($B361,'_CONFIG_Risk_Calibration'!$A$5:$H$21,2,FALSE),3))</f>
        <v/>
      </c>
      <c r="AG361">
        <f>IF($A361="","",IFERROR(VLOOKUP($B361,'_CONFIG_Risk_Calibration'!$A$5:$H$21,3,FALSE),0))</f>
        <v/>
      </c>
      <c r="AH361">
        <f>IF($A361="","",IFERROR(VLOOKUP($B361,'_CONFIG_Risk_Calibration'!$A$5:$H$21,4,FALSE),3))</f>
        <v/>
      </c>
      <c r="AI361">
        <f>IF($A361="","",IFERROR(VLOOKUP($B361,'_CONFIG_Risk_Calibration'!$A$5:$H$21,5,FALSE),3))</f>
        <v/>
      </c>
      <c r="AJ361">
        <f>IF($A361="","",IFERROR(VLOOKUP($B361,'_CONFIG_Risk_Calibration'!$A$5:$H$21,6,FALSE),"No"))</f>
        <v/>
      </c>
      <c r="AK361">
        <f>IF($A361="","",IFERROR(VLOOKUP($B361,'_CONFIG_Risk_Calibration'!$A$5:$H$21,7,FALSE),1))</f>
        <v/>
      </c>
      <c r="AL361">
        <f>IF($A361="","",IFERROR(VLOOKUP($B361,'_CONFIG_Risk_Calibration'!$A$5:$H$21,8,FALSE),""))</f>
        <v/>
      </c>
    </row>
    <row r="362" ht="72" customHeight="1" s="209">
      <c r="A362" s="13" t="inlineStr">
        <is>
          <t>DATA-017</t>
        </is>
      </c>
      <c r="B362" s="13" t="inlineStr">
        <is>
          <t>Data BI AI</t>
        </is>
      </c>
      <c r="C362" s="13" t="inlineStr">
        <is>
          <t>BI and analytics</t>
        </is>
      </c>
      <c r="D362" s="13" t="inlineStr">
        <is>
          <t>Data, BI, analytics and AI governance</t>
        </is>
      </c>
      <c r="E362" s="13" t="inlineStr">
        <is>
          <t>How mature is the organization in managing rapid ad hoc crisis reporting without breaking data controls, including ownership, evidence, metrics, fallback procedures and crisis stress testing?</t>
        </is>
      </c>
      <c r="F362" s="13" t="inlineStr">
        <is>
          <t>Immature capability for rapid ad hoc crisis reporting without breaking data controls may lead to poor decisions, unreliable reporting, data quality problems and unsafe or ineffective AI usage during Decision failure; Data loss; Regulatory/legal shock.</t>
        </is>
      </c>
      <c r="G362" s="13" t="inlineStr">
        <is>
          <t>Low maturity, weak ownership, incomplete evidence, insufficient testing and poor integration with crisis-management routines for rapid ad hoc crisis reporting without breaking data controls.</t>
        </is>
      </c>
      <c r="H362" s="13" t="inlineStr">
        <is>
          <t>Severe risk: rapid ad hoc crisis reporting without breaking data controls is not reliably controlled. During Decision failure; Data loss; Regulatory/legal shock, the organization may face poor decisions, unreliable reporting, data quality problems and unsafe or ineffective AI usage with limited visibility or accountability.</t>
        </is>
      </c>
      <c r="I362" s="13" t="inlineStr">
        <is>
          <t>High risk: rapid ad hoc crisis reporting without breaking data controls depends on informal practices or individual knowledge. Disruption may expose poor decisions, unreliable reporting, data quality problems and unsafe or ineffective AI usage and slow recovery.</t>
        </is>
      </c>
      <c r="J362" s="13" t="inlineStr">
        <is>
          <t>Elevated risk: rapid ad hoc crisis reporting without breaking data controls is partially controlled, but coverage, evidence or testing is inconsistent. Crisis response may be fragmented.</t>
        </is>
      </c>
      <c r="K362" s="13" t="inlineStr">
        <is>
          <t>Moderate risk: rapid ad hoc crisis reporting without breaking data controls is documented and owned, but measurement, stress testing and integration with dependent processes need strengthening.</t>
        </is>
      </c>
      <c r="L362" s="13" t="inlineStr">
        <is>
          <t>Residual risk: rapid ad hoc crisis reporting without breaking data controls is measured and reviewed, but monitoring, automation or scenario testing should be improved to prevent maturity drift.</t>
        </is>
      </c>
      <c r="M362" s="13" t="inlineStr">
        <is>
          <t>Low residual risk: rapid ad hoc crisis reporting without breaking data controls is mature and crisis-tested. Maintain monitoring, evidence, ownership and periodic stress testing.</t>
        </is>
      </c>
      <c r="N362" s="13" t="inlineStr">
        <is>
          <t>Create an immediate risk owner, minimum control baseline and fallback procedure for rapid ad hoc crisis reporting without breaking data controls. Add it to the crisis risk register and collect first evidence.</t>
        </is>
      </c>
      <c r="O362" s="13" t="inlineStr">
        <is>
          <t>Document rapid ad hoc crisis reporting without breaking data controls, assign RACI, define minimum controls and KPIs, and validate coverage across key sites, teams or systems.</t>
        </is>
      </c>
      <c r="P362" s="13" t="inlineStr">
        <is>
          <t>Standardize rapid ad hoc crisis reporting without breaking data controls, close coverage gaps, train accountable roles and connect controls to the relevant crisis scenarios and continuity plans.</t>
        </is>
      </c>
      <c r="Q362" s="13" t="inlineStr">
        <is>
          <t>Measure and test rapid ad hoc crisis reporting without breaking data controls, run tabletop or operational stress tests, integrate it with dependent processes and update crisis playbooks.</t>
        </is>
      </c>
      <c r="R362" s="13" t="inlineStr">
        <is>
          <t>Automate monitoring where practical, define leading indicators, run periodic scenario tests and track residual risk after each major change.</t>
        </is>
      </c>
      <c r="S362" s="13" t="inlineStr">
        <is>
          <t>Sustain maturity for rapid ad hoc crisis reporting without breaking data controls: keep evidence current, monitor drift, benchmark externally and refresh risk tests after organizational, system or market changes.</t>
        </is>
      </c>
      <c r="T362" s="13" t="n">
        <v>4</v>
      </c>
      <c r="U362" s="13" t="n">
        <v>3</v>
      </c>
      <c r="V362" s="13" t="n">
        <v>3</v>
      </c>
      <c r="W362" s="13" t="n">
        <v>2</v>
      </c>
      <c r="X362" s="13" t="n">
        <v>1</v>
      </c>
      <c r="Y362" s="13" t="n">
        <v>1</v>
      </c>
      <c r="Z362" s="13" t="inlineStr">
        <is>
          <t>DAMA-DMBOK; ISO/IEC 38505; ISO/IEC 42001; ISO/IEC 23894; NIST AI RMF; DCAM</t>
        </is>
      </c>
      <c r="AA362" s="13" t="inlineStr">
        <is>
          <t>Policy/SOP; owner/RACI; system report; dashboard; contracts; test records; incident history; interview evidence related to rapid ad hoc crisis reporting without breaking data controls.</t>
        </is>
      </c>
      <c r="AB362" s="13" t="inlineStr">
        <is>
          <t>Decision failure; Data loss; Regulatory/legal shock</t>
        </is>
      </c>
      <c r="AC362" s="13" t="inlineStr">
        <is>
          <t>CDO / BI / Analytics</t>
        </is>
      </c>
      <c r="AD362" s="13" t="inlineStr">
        <is>
          <t>Data BI AI!21</t>
        </is>
      </c>
      <c r="AE362">
        <f>IF($A362="","",IF(OR(ISNUMBER(SEARCH("cyber",$D362)),ISNUMBER(SEARCH("security",$D362)),ISNUMBER(SEARCH("safety",$D362)),ISNUMBER(SEARCH("liquidity",$D362)),ISNUMBER(SEARCH("cash",$D362)),ISNUMBER(SEARCH("continuity",$D362)),ISNUMBER(SEARCH("infrastructure",$D362)),ISNUMBER(SEARCH("outage",$D362))),"Fast",IF(OR(ISNUMBER(SEARCH("compliance",$D362)),ISNUMBER(SEARCH("regulat",$D362)),ISNUMBER(SEARCH("data",$D362)),ISNUMBER(SEARCH("talent",$D362)),ISNUMBER(SEARCH("knowledge",$D362)),ISNUMBER(SEARCH("portfolio",$D362)),ISNUMBER(SEARCH("quality",$D362))),"Slow","Medium")))</f>
        <v/>
      </c>
      <c r="AF362">
        <f>IF($A362="","",IFERROR(VLOOKUP($B362,'_CONFIG_Risk_Calibration'!$A$5:$H$21,2,FALSE),3))</f>
        <v/>
      </c>
      <c r="AG362">
        <f>IF($A362="","",IFERROR(VLOOKUP($B362,'_CONFIG_Risk_Calibration'!$A$5:$H$21,3,FALSE),0))</f>
        <v/>
      </c>
      <c r="AH362">
        <f>IF($A362="","",IFERROR(VLOOKUP($B362,'_CONFIG_Risk_Calibration'!$A$5:$H$21,4,FALSE),3))</f>
        <v/>
      </c>
      <c r="AI362">
        <f>IF($A362="","",IFERROR(VLOOKUP($B362,'_CONFIG_Risk_Calibration'!$A$5:$H$21,5,FALSE),3))</f>
        <v/>
      </c>
      <c r="AJ362">
        <f>IF($A362="","",IFERROR(VLOOKUP($B362,'_CONFIG_Risk_Calibration'!$A$5:$H$21,6,FALSE),"No"))</f>
        <v/>
      </c>
      <c r="AK362">
        <f>IF($A362="","",IFERROR(VLOOKUP($B362,'_CONFIG_Risk_Calibration'!$A$5:$H$21,7,FALSE),1))</f>
        <v/>
      </c>
      <c r="AL362">
        <f>IF($A362="","",IFERROR(VLOOKUP($B362,'_CONFIG_Risk_Calibration'!$A$5:$H$21,8,FALSE),""))</f>
        <v/>
      </c>
    </row>
    <row r="363" ht="72" customHeight="1" s="209">
      <c r="A363" s="13" t="inlineStr">
        <is>
          <t>DATA-018</t>
        </is>
      </c>
      <c r="B363" s="13" t="inlineStr">
        <is>
          <t>Data BI AI</t>
        </is>
      </c>
      <c r="C363" s="13" t="inlineStr">
        <is>
          <t>BI and analytics</t>
        </is>
      </c>
      <c r="D363" s="13" t="inlineStr">
        <is>
          <t>Data, BI, analytics and AI governance</t>
        </is>
      </c>
      <c r="E363" s="13" t="inlineStr">
        <is>
          <t>How mature is the organization in managing data literacy of managers and employees interpreting KPIs, forecasts and analytics, including ownership, evidence, metrics, fallback procedures and crisis stress testing?</t>
        </is>
      </c>
      <c r="F363" s="13" t="inlineStr">
        <is>
          <t>Immature capability for data literacy of managers and employees interpreting KPIs, forecasts and analytics may lead to poor decisions, unreliable reporting, data quality problems and unsafe or ineffective AI usage during Decision failure; Data loss; Regulatory/legal shock.</t>
        </is>
      </c>
      <c r="G363" s="13" t="inlineStr">
        <is>
          <t>Low maturity, weak ownership, incomplete evidence, insufficient testing and poor integration with crisis-management routines for data literacy of managers and employees interpreting KPIs, forecasts and analytics.</t>
        </is>
      </c>
      <c r="H363" s="13" t="inlineStr">
        <is>
          <t>Severe risk: data literacy of managers and employees interpreting KPIs, forecasts and analytics is not reliably controlled. During Decision failure; Data loss; Regulatory/legal shock, the organization may face poor decisions, unreliable reporting, data quality problems and unsafe or ineffective AI usage with limited visibility or accountability.</t>
        </is>
      </c>
      <c r="I363" s="13" t="inlineStr">
        <is>
          <t>High risk: data literacy of managers and employees interpreting KPIs, forecasts and analytics depends on informal practices or individual knowledge. Disruption may expose poor decisions, unreliable reporting, data quality problems and unsafe or ineffective AI usage and slow recovery.</t>
        </is>
      </c>
      <c r="J363" s="13" t="inlineStr">
        <is>
          <t>Elevated risk: data literacy of managers and employees interpreting KPIs, forecasts and analytics is partially controlled, but coverage, evidence or testing is inconsistent. Crisis response may be fragmented.</t>
        </is>
      </c>
      <c r="K363" s="13" t="inlineStr">
        <is>
          <t>Moderate risk: data literacy of managers and employees interpreting KPIs, forecasts and analytics is documented and owned, but measurement, stress testing and integration with dependent processes need strengthening.</t>
        </is>
      </c>
      <c r="L363" s="13" t="inlineStr">
        <is>
          <t>Residual risk: data literacy of managers and employees interpreting KPIs, forecasts and analytics is measured and reviewed, but monitoring, automation or scenario testing should be improved to prevent maturity drift.</t>
        </is>
      </c>
      <c r="M363" s="13" t="inlineStr">
        <is>
          <t>Low residual risk: data literacy of managers and employees interpreting KPIs, forecasts and analytics is mature and crisis-tested. Maintain monitoring, evidence, ownership and periodic stress testing.</t>
        </is>
      </c>
      <c r="N363" s="13" t="inlineStr">
        <is>
          <t>Create an immediate risk owner, minimum control baseline and fallback procedure for data literacy of managers and employees interpreting KPIs, forecasts and analytics. Add it to the crisis risk register and collect first evidence.</t>
        </is>
      </c>
      <c r="O363" s="13" t="inlineStr">
        <is>
          <t>Document data literacy of managers and employees interpreting KPIs, forecasts and analytics, assign RACI, define minimum controls and KPIs, and validate coverage across key sites, teams or systems.</t>
        </is>
      </c>
      <c r="P363" s="13" t="inlineStr">
        <is>
          <t>Standardize data literacy of managers and employees interpreting KPIs, forecasts and analytics, close coverage gaps, train accountable roles and connect controls to the relevant crisis scenarios and continuity plans.</t>
        </is>
      </c>
      <c r="Q363" s="13" t="inlineStr">
        <is>
          <t>Measure and test data literacy of managers and employees interpreting KPIs, forecasts and analytics, run tabletop or operational stress tests, integrate it with dependent processes and update crisis playbooks.</t>
        </is>
      </c>
      <c r="R363" s="13" t="inlineStr">
        <is>
          <t>Automate monitoring where practical, define leading indicators, run periodic scenario tests and track residual risk after each major change.</t>
        </is>
      </c>
      <c r="S363" s="13" t="inlineStr">
        <is>
          <t>Sustain maturity for data literacy of managers and employees interpreting KPIs, forecasts and analytics: keep evidence current, monitor drift, benchmark externally and refresh risk tests after organizational, system or market changes.</t>
        </is>
      </c>
      <c r="T363" s="13" t="n">
        <v>4</v>
      </c>
      <c r="U363" s="13" t="n">
        <v>3</v>
      </c>
      <c r="V363" s="13" t="n">
        <v>3</v>
      </c>
      <c r="W363" s="13" t="n">
        <v>2</v>
      </c>
      <c r="X363" s="13" t="n">
        <v>1</v>
      </c>
      <c r="Y363" s="13" t="n">
        <v>1</v>
      </c>
      <c r="Z363" s="13" t="inlineStr">
        <is>
          <t>DAMA-DMBOK; ISO/IEC 38505; ISO/IEC 42001; ISO/IEC 23894; NIST AI RMF; DCAM</t>
        </is>
      </c>
      <c r="AA363" s="13" t="inlineStr">
        <is>
          <t>Policy/SOP; owner/RACI; system report; dashboard; contracts; test records; incident history; interview evidence related to data literacy of managers and employees interpreting KPIs, forecasts and analytics.</t>
        </is>
      </c>
      <c r="AB363" s="13" t="inlineStr">
        <is>
          <t>Decision failure; Data loss; Regulatory/legal shock</t>
        </is>
      </c>
      <c r="AC363" s="13" t="inlineStr">
        <is>
          <t>CDO / BI / Analytics</t>
        </is>
      </c>
      <c r="AD363" s="13" t="inlineStr">
        <is>
          <t>Data BI AI!22</t>
        </is>
      </c>
      <c r="AE363">
        <f>IF($A363="","",IF(OR(ISNUMBER(SEARCH("cyber",$D363)),ISNUMBER(SEARCH("security",$D363)),ISNUMBER(SEARCH("safety",$D363)),ISNUMBER(SEARCH("liquidity",$D363)),ISNUMBER(SEARCH("cash",$D363)),ISNUMBER(SEARCH("continuity",$D363)),ISNUMBER(SEARCH("infrastructure",$D363)),ISNUMBER(SEARCH("outage",$D363))),"Fast",IF(OR(ISNUMBER(SEARCH("compliance",$D363)),ISNUMBER(SEARCH("regulat",$D363)),ISNUMBER(SEARCH("data",$D363)),ISNUMBER(SEARCH("talent",$D363)),ISNUMBER(SEARCH("knowledge",$D363)),ISNUMBER(SEARCH("portfolio",$D363)),ISNUMBER(SEARCH("quality",$D363))),"Slow","Medium")))</f>
        <v/>
      </c>
      <c r="AF363">
        <f>IF($A363="","",IFERROR(VLOOKUP($B363,'_CONFIG_Risk_Calibration'!$A$5:$H$21,2,FALSE),3))</f>
        <v/>
      </c>
      <c r="AG363">
        <f>IF($A363="","",IFERROR(VLOOKUP($B363,'_CONFIG_Risk_Calibration'!$A$5:$H$21,3,FALSE),0))</f>
        <v/>
      </c>
      <c r="AH363">
        <f>IF($A363="","",IFERROR(VLOOKUP($B363,'_CONFIG_Risk_Calibration'!$A$5:$H$21,4,FALSE),3))</f>
        <v/>
      </c>
      <c r="AI363">
        <f>IF($A363="","",IFERROR(VLOOKUP($B363,'_CONFIG_Risk_Calibration'!$A$5:$H$21,5,FALSE),3))</f>
        <v/>
      </c>
      <c r="AJ363">
        <f>IF($A363="","",IFERROR(VLOOKUP($B363,'_CONFIG_Risk_Calibration'!$A$5:$H$21,6,FALSE),"No"))</f>
        <v/>
      </c>
      <c r="AK363">
        <f>IF($A363="","",IFERROR(VLOOKUP($B363,'_CONFIG_Risk_Calibration'!$A$5:$H$21,7,FALSE),1))</f>
        <v/>
      </c>
      <c r="AL363">
        <f>IF($A363="","",IFERROR(VLOOKUP($B363,'_CONFIG_Risk_Calibration'!$A$5:$H$21,8,FALSE),""))</f>
        <v/>
      </c>
    </row>
    <row r="364" ht="72" customHeight="1" s="209">
      <c r="A364" s="13" t="inlineStr">
        <is>
          <t>DATA-019</t>
        </is>
      </c>
      <c r="B364" s="13" t="inlineStr">
        <is>
          <t>Data BI AI</t>
        </is>
      </c>
      <c r="C364" s="13" t="inlineStr">
        <is>
          <t>Forecasting and scenarios</t>
        </is>
      </c>
      <c r="D364" s="13" t="inlineStr">
        <is>
          <t>Data, BI, analytics and AI governance</t>
        </is>
      </c>
      <c r="E364" s="13" t="inlineStr">
        <is>
          <t>How mature is the organization in managing forecasting capability for demand, cash, inventory, workforce, production, churn or supplier risk, including ownership, evidence, metrics, fallback procedures and crisis stress testing?</t>
        </is>
      </c>
      <c r="F364" s="13" t="inlineStr">
        <is>
          <t>Immature capability for forecasting capability for demand, cash, inventory, workforce, production, churn or supplier risk may lead to poor decisions, unreliable reporting, data quality problems and unsafe or ineffective AI usage during Decision failure; Data loss; Regulatory/legal shock.</t>
        </is>
      </c>
      <c r="G364" s="13" t="inlineStr">
        <is>
          <t>Low maturity, weak ownership, incomplete evidence, insufficient testing and poor integration with crisis-management routines for forecasting capability for demand, cash, inventory, workforce, production, churn or supplier risk.</t>
        </is>
      </c>
      <c r="H364" s="13" t="inlineStr">
        <is>
          <t>Severe risk: forecasting capability for demand, cash, inventory, workforce, production, churn or supplier risk is not reliably controlled. During Decision failure; Data loss; Regulatory/legal shock, the organization may face poor decisions, unreliable reporting, data quality problems and unsafe or ineffective AI usage with limited visibility or accountability.</t>
        </is>
      </c>
      <c r="I364" s="13" t="inlineStr">
        <is>
          <t>High risk: forecasting capability for demand, cash, inventory, workforce, production, churn or supplier risk depends on informal practices or individual knowledge. Disruption may expose poor decisions, unreliable reporting, data quality problems and unsafe or ineffective AI usage and slow recovery.</t>
        </is>
      </c>
      <c r="J364" s="13" t="inlineStr">
        <is>
          <t>Elevated risk: forecasting capability for demand, cash, inventory, workforce, production, churn or supplier risk is partially controlled, but coverage, evidence or testing is inconsistent. Crisis response may be fragmented.</t>
        </is>
      </c>
      <c r="K364" s="13" t="inlineStr">
        <is>
          <t>Moderate risk: forecasting capability for demand, cash, inventory, workforce, production, churn or supplier risk is documented and owned, but measurement, stress testing and integration with dependent processes need strengthening.</t>
        </is>
      </c>
      <c r="L364" s="13" t="inlineStr">
        <is>
          <t>Residual risk: forecasting capability for demand, cash, inventory, workforce, production, churn or supplier risk is measured and reviewed, but monitoring, automation or scenario testing should be improved to prevent maturity drift.</t>
        </is>
      </c>
      <c r="M364" s="13" t="inlineStr">
        <is>
          <t>Low residual risk: forecasting capability for demand, cash, inventory, workforce, production, churn or supplier risk is mature and crisis-tested. Maintain monitoring, evidence, ownership and periodic stress testing.</t>
        </is>
      </c>
      <c r="N364" s="13" t="inlineStr">
        <is>
          <t>Create an immediate risk owner, minimum control baseline and fallback procedure for forecasting capability for demand, cash, inventory, workforce, production, churn or supplier risk. Add it to the crisis risk register and collect first evidence.</t>
        </is>
      </c>
      <c r="O364" s="13" t="inlineStr">
        <is>
          <t>Document forecasting capability for demand, cash, inventory, workforce, production, churn or supplier risk, assign RACI, define minimum controls and KPIs, and validate coverage across key sites, teams or systems.</t>
        </is>
      </c>
      <c r="P364" s="13" t="inlineStr">
        <is>
          <t>Standardize forecasting capability for demand, cash, inventory, workforce, production, churn or supplier risk, close coverage gaps, train accountable roles and connect controls to the relevant crisis scenarios and continuity plans.</t>
        </is>
      </c>
      <c r="Q364" s="13" t="inlineStr">
        <is>
          <t>Measure and test forecasting capability for demand, cash, inventory, workforce, production, churn or supplier risk, run tabletop or operational stress tests, integrate it with dependent processes and update crisis playbooks.</t>
        </is>
      </c>
      <c r="R364" s="13" t="inlineStr">
        <is>
          <t>Automate monitoring where practical, define leading indicators, run periodic scenario tests and track residual risk after each major change.</t>
        </is>
      </c>
      <c r="S364" s="13" t="inlineStr">
        <is>
          <t>Sustain maturity for forecasting capability for demand, cash, inventory, workforce, production, churn or supplier risk: keep evidence current, monitor drift, benchmark externally and refresh risk tests after organizational, system or market changes.</t>
        </is>
      </c>
      <c r="T364" s="13" t="n">
        <v>4</v>
      </c>
      <c r="U364" s="13" t="n">
        <v>3</v>
      </c>
      <c r="V364" s="13" t="n">
        <v>3</v>
      </c>
      <c r="W364" s="13" t="n">
        <v>2</v>
      </c>
      <c r="X364" s="13" t="n">
        <v>1</v>
      </c>
      <c r="Y364" s="13" t="n">
        <v>1</v>
      </c>
      <c r="Z364" s="13" t="inlineStr">
        <is>
          <t>DAMA-DMBOK; ISO/IEC 38505; ISO/IEC 42001; ISO/IEC 23894; NIST AI RMF; DCAM</t>
        </is>
      </c>
      <c r="AA364" s="13" t="inlineStr">
        <is>
          <t>Policy/SOP; owner/RACI; system report; dashboard; contracts; test records; incident history; interview evidence related to forecasting capability for demand, cash, inventory, workforce, production, churn or supplier risk.</t>
        </is>
      </c>
      <c r="AB364" s="13" t="inlineStr">
        <is>
          <t>Decision failure; Data loss; Regulatory/legal shock</t>
        </is>
      </c>
      <c r="AC364" s="13" t="inlineStr">
        <is>
          <t>CDO / BI / Analytics</t>
        </is>
      </c>
      <c r="AD364" s="13" t="inlineStr">
        <is>
          <t>Data BI AI!23</t>
        </is>
      </c>
      <c r="AE364">
        <f>IF($A364="","",IF(OR(ISNUMBER(SEARCH("cyber",$D364)),ISNUMBER(SEARCH("security",$D364)),ISNUMBER(SEARCH("safety",$D364)),ISNUMBER(SEARCH("liquidity",$D364)),ISNUMBER(SEARCH("cash",$D364)),ISNUMBER(SEARCH("continuity",$D364)),ISNUMBER(SEARCH("infrastructure",$D364)),ISNUMBER(SEARCH("outage",$D364))),"Fast",IF(OR(ISNUMBER(SEARCH("compliance",$D364)),ISNUMBER(SEARCH("regulat",$D364)),ISNUMBER(SEARCH("data",$D364)),ISNUMBER(SEARCH("talent",$D364)),ISNUMBER(SEARCH("knowledge",$D364)),ISNUMBER(SEARCH("portfolio",$D364)),ISNUMBER(SEARCH("quality",$D364))),"Slow","Medium")))</f>
        <v/>
      </c>
      <c r="AF364">
        <f>IF($A364="","",IFERROR(VLOOKUP($B364,'_CONFIG_Risk_Calibration'!$A$5:$H$21,2,FALSE),3))</f>
        <v/>
      </c>
      <c r="AG364">
        <f>IF($A364="","",IFERROR(VLOOKUP($B364,'_CONFIG_Risk_Calibration'!$A$5:$H$21,3,FALSE),0))</f>
        <v/>
      </c>
      <c r="AH364">
        <f>IF($A364="","",IFERROR(VLOOKUP($B364,'_CONFIG_Risk_Calibration'!$A$5:$H$21,4,FALSE),3))</f>
        <v/>
      </c>
      <c r="AI364">
        <f>IF($A364="","",IFERROR(VLOOKUP($B364,'_CONFIG_Risk_Calibration'!$A$5:$H$21,5,FALSE),3))</f>
        <v/>
      </c>
      <c r="AJ364">
        <f>IF($A364="","",IFERROR(VLOOKUP($B364,'_CONFIG_Risk_Calibration'!$A$5:$H$21,6,FALSE),"No"))</f>
        <v/>
      </c>
      <c r="AK364">
        <f>IF($A364="","",IFERROR(VLOOKUP($B364,'_CONFIG_Risk_Calibration'!$A$5:$H$21,7,FALSE),1))</f>
        <v/>
      </c>
      <c r="AL364">
        <f>IF($A364="","",IFERROR(VLOOKUP($B364,'_CONFIG_Risk_Calibration'!$A$5:$H$21,8,FALSE),""))</f>
        <v/>
      </c>
    </row>
    <row r="365" ht="72" customHeight="1" s="209">
      <c r="A365" s="13" t="inlineStr">
        <is>
          <t>DATA-020</t>
        </is>
      </c>
      <c r="B365" s="13" t="inlineStr">
        <is>
          <t>Data BI AI</t>
        </is>
      </c>
      <c r="C365" s="13" t="inlineStr">
        <is>
          <t>Forecasting and scenarios</t>
        </is>
      </c>
      <c r="D365" s="13" t="inlineStr">
        <is>
          <t>Data, BI, analytics and AI governance</t>
        </is>
      </c>
      <c r="E365" s="13" t="inlineStr">
        <is>
          <t>How mature is the organization in managing scenario modeling using sales, suppliers, workforce, cash, inventory and system downtime, including ownership, evidence, metrics, fallback procedures and crisis stress testing?</t>
        </is>
      </c>
      <c r="F365" s="13" t="inlineStr">
        <is>
          <t>Immature capability for scenario modeling using sales, suppliers, workforce, cash, inventory and system downtime may lead to poor decisions, unreliable reporting, data quality problems and unsafe or ineffective AI usage during Decision failure; Data loss; Regulatory/legal shock.</t>
        </is>
      </c>
      <c r="G365" s="13" t="inlineStr">
        <is>
          <t>Low maturity, weak ownership, incomplete evidence, insufficient testing and poor integration with crisis-management routines for scenario modeling using sales, suppliers, workforce, cash, inventory and system downtime.</t>
        </is>
      </c>
      <c r="H365" s="13" t="inlineStr">
        <is>
          <t>Severe risk: scenario modeling using sales, suppliers, workforce, cash, inventory and system downtime is not reliably controlled. During Decision failure; Data loss; Regulatory/legal shock, the organization may face poor decisions, unreliable reporting, data quality problems and unsafe or ineffective AI usage with limited visibility or accountability.</t>
        </is>
      </c>
      <c r="I365" s="13" t="inlineStr">
        <is>
          <t>High risk: scenario modeling using sales, suppliers, workforce, cash, inventory and system downtime depends on informal practices or individual knowledge. Disruption may expose poor decisions, unreliable reporting, data quality problems and unsafe or ineffective AI usage and slow recovery.</t>
        </is>
      </c>
      <c r="J365" s="13" t="inlineStr">
        <is>
          <t>Elevated risk: scenario modeling using sales, suppliers, workforce, cash, inventory and system downtime is partially controlled, but coverage, evidence or testing is inconsistent. Crisis response may be fragmented.</t>
        </is>
      </c>
      <c r="K365" s="13" t="inlineStr">
        <is>
          <t>Moderate risk: scenario modeling using sales, suppliers, workforce, cash, inventory and system downtime is documented and owned, but measurement, stress testing and integration with dependent processes need strengthening.</t>
        </is>
      </c>
      <c r="L365" s="13" t="inlineStr">
        <is>
          <t>Residual risk: scenario modeling using sales, suppliers, workforce, cash, inventory and system downtime is measured and reviewed, but monitoring, automation or scenario testing should be improved to prevent maturity drift.</t>
        </is>
      </c>
      <c r="M365" s="13" t="inlineStr">
        <is>
          <t>Low residual risk: scenario modeling using sales, suppliers, workforce, cash, inventory and system downtime is mature and crisis-tested. Maintain monitoring, evidence, ownership and periodic stress testing.</t>
        </is>
      </c>
      <c r="N365" s="13" t="inlineStr">
        <is>
          <t>Create an immediate risk owner, minimum control baseline and fallback procedure for scenario modeling using sales, suppliers, workforce, cash, inventory and system downtime. Add it to the crisis risk register and collect first evidence.</t>
        </is>
      </c>
      <c r="O365" s="13" t="inlineStr">
        <is>
          <t>Document scenario modeling using sales, suppliers, workforce, cash, inventory and system downtime, assign RACI, define minimum controls and KPIs, and validate coverage across key sites, teams or systems.</t>
        </is>
      </c>
      <c r="P365" s="13" t="inlineStr">
        <is>
          <t>Standardize scenario modeling using sales, suppliers, workforce, cash, inventory and system downtime, close coverage gaps, train accountable roles and connect controls to the relevant crisis scenarios and continuity plans.</t>
        </is>
      </c>
      <c r="Q365" s="13" t="inlineStr">
        <is>
          <t>Measure and test scenario modeling using sales, suppliers, workforce, cash, inventory and system downtime, run tabletop or operational stress tests, integrate it with dependent processes and update crisis playbooks.</t>
        </is>
      </c>
      <c r="R365" s="13" t="inlineStr">
        <is>
          <t>Automate monitoring where practical, define leading indicators, run periodic scenario tests and track residual risk after each major change.</t>
        </is>
      </c>
      <c r="S365" s="13" t="inlineStr">
        <is>
          <t>Sustain maturity for scenario modeling using sales, suppliers, workforce, cash, inventory and system downtime: keep evidence current, monitor drift, benchmark externally and refresh risk tests after organizational, system or market changes.</t>
        </is>
      </c>
      <c r="T365" s="13" t="n">
        <v>4</v>
      </c>
      <c r="U365" s="13" t="n">
        <v>3</v>
      </c>
      <c r="V365" s="13" t="n">
        <v>3</v>
      </c>
      <c r="W365" s="13" t="n">
        <v>2</v>
      </c>
      <c r="X365" s="13" t="n">
        <v>1</v>
      </c>
      <c r="Y365" s="13" t="n">
        <v>1</v>
      </c>
      <c r="Z365" s="13" t="inlineStr">
        <is>
          <t>DAMA-DMBOK; ISO/IEC 38505; ISO/IEC 42001; ISO/IEC 23894; NIST AI RMF; DCAM</t>
        </is>
      </c>
      <c r="AA365" s="13" t="inlineStr">
        <is>
          <t>Policy/SOP; owner/RACI; system report; dashboard; contracts; test records; incident history; interview evidence related to scenario modeling using sales, suppliers, workforce, cash, inventory and system downtime.</t>
        </is>
      </c>
      <c r="AB365" s="13" t="inlineStr">
        <is>
          <t>Decision failure; Data loss; Regulatory/legal shock</t>
        </is>
      </c>
      <c r="AC365" s="13" t="inlineStr">
        <is>
          <t>CDO / BI / Analytics</t>
        </is>
      </c>
      <c r="AD365" s="13" t="inlineStr">
        <is>
          <t>Data BI AI!24</t>
        </is>
      </c>
      <c r="AE365">
        <f>IF($A365="","",IF(OR(ISNUMBER(SEARCH("cyber",$D365)),ISNUMBER(SEARCH("security",$D365)),ISNUMBER(SEARCH("safety",$D365)),ISNUMBER(SEARCH("liquidity",$D365)),ISNUMBER(SEARCH("cash",$D365)),ISNUMBER(SEARCH("continuity",$D365)),ISNUMBER(SEARCH("infrastructure",$D365)),ISNUMBER(SEARCH("outage",$D365))),"Fast",IF(OR(ISNUMBER(SEARCH("compliance",$D365)),ISNUMBER(SEARCH("regulat",$D365)),ISNUMBER(SEARCH("data",$D365)),ISNUMBER(SEARCH("talent",$D365)),ISNUMBER(SEARCH("knowledge",$D365)),ISNUMBER(SEARCH("portfolio",$D365)),ISNUMBER(SEARCH("quality",$D365))),"Slow","Medium")))</f>
        <v/>
      </c>
      <c r="AF365">
        <f>IF($A365="","",IFERROR(VLOOKUP($B365,'_CONFIG_Risk_Calibration'!$A$5:$H$21,2,FALSE),3))</f>
        <v/>
      </c>
      <c r="AG365">
        <f>IF($A365="","",IFERROR(VLOOKUP($B365,'_CONFIG_Risk_Calibration'!$A$5:$H$21,3,FALSE),0))</f>
        <v/>
      </c>
      <c r="AH365">
        <f>IF($A365="","",IFERROR(VLOOKUP($B365,'_CONFIG_Risk_Calibration'!$A$5:$H$21,4,FALSE),3))</f>
        <v/>
      </c>
      <c r="AI365">
        <f>IF($A365="","",IFERROR(VLOOKUP($B365,'_CONFIG_Risk_Calibration'!$A$5:$H$21,5,FALSE),3))</f>
        <v/>
      </c>
      <c r="AJ365">
        <f>IF($A365="","",IFERROR(VLOOKUP($B365,'_CONFIG_Risk_Calibration'!$A$5:$H$21,6,FALSE),"No"))</f>
        <v/>
      </c>
      <c r="AK365">
        <f>IF($A365="","",IFERROR(VLOOKUP($B365,'_CONFIG_Risk_Calibration'!$A$5:$H$21,7,FALSE),1))</f>
        <v/>
      </c>
      <c r="AL365">
        <f>IF($A365="","",IFERROR(VLOOKUP($B365,'_CONFIG_Risk_Calibration'!$A$5:$H$21,8,FALSE),""))</f>
        <v/>
      </c>
    </row>
    <row r="366" ht="72" customHeight="1" s="209">
      <c r="A366" s="13" t="inlineStr">
        <is>
          <t>DATA-021</t>
        </is>
      </c>
      <c r="B366" s="13" t="inlineStr">
        <is>
          <t>Data BI AI</t>
        </is>
      </c>
      <c r="C366" s="13" t="inlineStr">
        <is>
          <t>Forecasting and scenarios</t>
        </is>
      </c>
      <c r="D366" s="13" t="inlineStr">
        <is>
          <t>Data, BI, analytics and AI governance</t>
        </is>
      </c>
      <c r="E366" s="13" t="inlineStr">
        <is>
          <t>How mature is the organization in managing leading indicators and early warnings built from internal and external data, including ownership, evidence, metrics, fallback procedures and crisis stress testing?</t>
        </is>
      </c>
      <c r="F366" s="13" t="inlineStr">
        <is>
          <t>Immature capability for leading indicators and early warnings built from internal and external data may lead to poor decisions, unreliable reporting, data quality problems and unsafe or ineffective AI usage during Decision failure; Data loss; Regulatory/legal shock.</t>
        </is>
      </c>
      <c r="G366" s="13" t="inlineStr">
        <is>
          <t>Low maturity, weak ownership, incomplete evidence, insufficient testing and poor integration with crisis-management routines for leading indicators and early warnings built from internal and external data.</t>
        </is>
      </c>
      <c r="H366" s="13" t="inlineStr">
        <is>
          <t>Severe risk: leading indicators and early warnings built from internal and external data is not reliably controlled. During Decision failure; Data loss; Regulatory/legal shock, the organization may face poor decisions, unreliable reporting, data quality problems and unsafe or ineffective AI usage with limited visibility or accountability.</t>
        </is>
      </c>
      <c r="I366" s="13" t="inlineStr">
        <is>
          <t>High risk: leading indicators and early warnings built from internal and external data depends on informal practices or individual knowledge. Disruption may expose poor decisions, unreliable reporting, data quality problems and unsafe or ineffective AI usage and slow recovery.</t>
        </is>
      </c>
      <c r="J366" s="13" t="inlineStr">
        <is>
          <t>Elevated risk: leading indicators and early warnings built from internal and external data is partially controlled, but coverage, evidence or testing is inconsistent. Crisis response may be fragmented.</t>
        </is>
      </c>
      <c r="K366" s="13" t="inlineStr">
        <is>
          <t>Moderate risk: leading indicators and early warnings built from internal and external data is documented and owned, but measurement, stress testing and integration with dependent processes need strengthening.</t>
        </is>
      </c>
      <c r="L366" s="13" t="inlineStr">
        <is>
          <t>Residual risk: leading indicators and early warnings built from internal and external data is measured and reviewed, but monitoring, automation or scenario testing should be improved to prevent maturity drift.</t>
        </is>
      </c>
      <c r="M366" s="13" t="inlineStr">
        <is>
          <t>Low residual risk: leading indicators and early warnings built from internal and external data is mature and crisis-tested. Maintain monitoring, evidence, ownership and periodic stress testing.</t>
        </is>
      </c>
      <c r="N366" s="13" t="inlineStr">
        <is>
          <t>Create an immediate risk owner, minimum control baseline and fallback procedure for leading indicators and early warnings built from internal and external data. Add it to the crisis risk register and collect first evidence.</t>
        </is>
      </c>
      <c r="O366" s="13" t="inlineStr">
        <is>
          <t>Document leading indicators and early warnings built from internal and external data, assign RACI, define minimum controls and KPIs, and validate coverage across key sites, teams or systems.</t>
        </is>
      </c>
      <c r="P366" s="13" t="inlineStr">
        <is>
          <t>Standardize leading indicators and early warnings built from internal and external data, close coverage gaps, train accountable roles and connect controls to the relevant crisis scenarios and continuity plans.</t>
        </is>
      </c>
      <c r="Q366" s="13" t="inlineStr">
        <is>
          <t>Measure and test leading indicators and early warnings built from internal and external data, run tabletop or operational stress tests, integrate it with dependent processes and update crisis playbooks.</t>
        </is>
      </c>
      <c r="R366" s="13" t="inlineStr">
        <is>
          <t>Automate monitoring where practical, define leading indicators, run periodic scenario tests and track residual risk after each major change.</t>
        </is>
      </c>
      <c r="S366" s="13" t="inlineStr">
        <is>
          <t>Sustain maturity for leading indicators and early warnings built from internal and external data: keep evidence current, monitor drift, benchmark externally and refresh risk tests after organizational, system or market changes.</t>
        </is>
      </c>
      <c r="T366" s="13" t="n">
        <v>4</v>
      </c>
      <c r="U366" s="13" t="n">
        <v>3</v>
      </c>
      <c r="V366" s="13" t="n">
        <v>3</v>
      </c>
      <c r="W366" s="13" t="n">
        <v>2</v>
      </c>
      <c r="X366" s="13" t="n">
        <v>1</v>
      </c>
      <c r="Y366" s="13" t="n">
        <v>1</v>
      </c>
      <c r="Z366" s="13" t="inlineStr">
        <is>
          <t>DAMA-DMBOK; ISO/IEC 38505; ISO/IEC 42001; ISO/IEC 23894; NIST AI RMF; DCAM</t>
        </is>
      </c>
      <c r="AA366" s="13" t="inlineStr">
        <is>
          <t>Policy/SOP; owner/RACI; system report; dashboard; contracts; test records; incident history; interview evidence related to leading indicators and early warnings built from internal and external data.</t>
        </is>
      </c>
      <c r="AB366" s="13" t="inlineStr">
        <is>
          <t>Decision failure; Data loss; Regulatory/legal shock</t>
        </is>
      </c>
      <c r="AC366" s="13" t="inlineStr">
        <is>
          <t>CDO / BI / Analytics</t>
        </is>
      </c>
      <c r="AD366" s="13" t="inlineStr">
        <is>
          <t>Data BI AI!25</t>
        </is>
      </c>
      <c r="AE366">
        <f>IF($A366="","",IF(OR(ISNUMBER(SEARCH("cyber",$D366)),ISNUMBER(SEARCH("security",$D366)),ISNUMBER(SEARCH("safety",$D366)),ISNUMBER(SEARCH("liquidity",$D366)),ISNUMBER(SEARCH("cash",$D366)),ISNUMBER(SEARCH("continuity",$D366)),ISNUMBER(SEARCH("infrastructure",$D366)),ISNUMBER(SEARCH("outage",$D366))),"Fast",IF(OR(ISNUMBER(SEARCH("compliance",$D366)),ISNUMBER(SEARCH("regulat",$D366)),ISNUMBER(SEARCH("data",$D366)),ISNUMBER(SEARCH("talent",$D366)),ISNUMBER(SEARCH("knowledge",$D366)),ISNUMBER(SEARCH("portfolio",$D366)),ISNUMBER(SEARCH("quality",$D366))),"Slow","Medium")))</f>
        <v/>
      </c>
      <c r="AF366">
        <f>IF($A366="","",IFERROR(VLOOKUP($B366,'_CONFIG_Risk_Calibration'!$A$5:$H$21,2,FALSE),3))</f>
        <v/>
      </c>
      <c r="AG366">
        <f>IF($A366="","",IFERROR(VLOOKUP($B366,'_CONFIG_Risk_Calibration'!$A$5:$H$21,3,FALSE),0))</f>
        <v/>
      </c>
      <c r="AH366">
        <f>IF($A366="","",IFERROR(VLOOKUP($B366,'_CONFIG_Risk_Calibration'!$A$5:$H$21,4,FALSE),3))</f>
        <v/>
      </c>
      <c r="AI366">
        <f>IF($A366="","",IFERROR(VLOOKUP($B366,'_CONFIG_Risk_Calibration'!$A$5:$H$21,5,FALSE),3))</f>
        <v/>
      </c>
      <c r="AJ366">
        <f>IF($A366="","",IFERROR(VLOOKUP($B366,'_CONFIG_Risk_Calibration'!$A$5:$H$21,6,FALSE),"No"))</f>
        <v/>
      </c>
      <c r="AK366">
        <f>IF($A366="","",IFERROR(VLOOKUP($B366,'_CONFIG_Risk_Calibration'!$A$5:$H$21,7,FALSE),1))</f>
        <v/>
      </c>
      <c r="AL366">
        <f>IF($A366="","",IFERROR(VLOOKUP($B366,'_CONFIG_Risk_Calibration'!$A$5:$H$21,8,FALSE),""))</f>
        <v/>
      </c>
    </row>
    <row r="367" ht="72" customHeight="1" s="209">
      <c r="A367" s="13" t="inlineStr">
        <is>
          <t>DATA-022</t>
        </is>
      </c>
      <c r="B367" s="13" t="inlineStr">
        <is>
          <t>Data BI AI</t>
        </is>
      </c>
      <c r="C367" s="13" t="inlineStr">
        <is>
          <t>Forecasting and scenarios</t>
        </is>
      </c>
      <c r="D367" s="13" t="inlineStr">
        <is>
          <t>Data, BI, analytics and AI governance</t>
        </is>
      </c>
      <c r="E367" s="13" t="inlineStr">
        <is>
          <t>How mature is the organization in managing model validation and backtesting for forecasts and risk models, including ownership, evidence, metrics, fallback procedures and crisis stress testing?</t>
        </is>
      </c>
      <c r="F367" s="13" t="inlineStr">
        <is>
          <t>Immature capability for model validation and backtesting for forecasts and risk models may lead to poor decisions, unreliable reporting, data quality problems and unsafe or ineffective AI usage during Decision failure; Data loss; Regulatory/legal shock.</t>
        </is>
      </c>
      <c r="G367" s="13" t="inlineStr">
        <is>
          <t>Low maturity, weak ownership, incomplete evidence, insufficient testing and poor integration with crisis-management routines for model validation and backtesting for forecasts and risk models.</t>
        </is>
      </c>
      <c r="H367" s="13" t="inlineStr">
        <is>
          <t>Severe risk: model validation and backtesting for forecasts and risk models is not reliably controlled. During Decision failure; Data loss; Regulatory/legal shock, the organization may face poor decisions, unreliable reporting, data quality problems and unsafe or ineffective AI usage with limited visibility or accountability.</t>
        </is>
      </c>
      <c r="I367" s="13" t="inlineStr">
        <is>
          <t>High risk: model validation and backtesting for forecasts and risk models depends on informal practices or individual knowledge. Disruption may expose poor decisions, unreliable reporting, data quality problems and unsafe or ineffective AI usage and slow recovery.</t>
        </is>
      </c>
      <c r="J367" s="13" t="inlineStr">
        <is>
          <t>Elevated risk: model validation and backtesting for forecasts and risk models is partially controlled, but coverage, evidence or testing is inconsistent. Crisis response may be fragmented.</t>
        </is>
      </c>
      <c r="K367" s="13" t="inlineStr">
        <is>
          <t>Moderate risk: model validation and backtesting for forecasts and risk models is documented and owned, but measurement, stress testing and integration with dependent processes need strengthening.</t>
        </is>
      </c>
      <c r="L367" s="13" t="inlineStr">
        <is>
          <t>Residual risk: model validation and backtesting for forecasts and risk models is measured and reviewed, but monitoring, automation or scenario testing should be improved to prevent maturity drift.</t>
        </is>
      </c>
      <c r="M367" s="13" t="inlineStr">
        <is>
          <t>Low residual risk: model validation and backtesting for forecasts and risk models is mature and crisis-tested. Maintain monitoring, evidence, ownership and periodic stress testing.</t>
        </is>
      </c>
      <c r="N367" s="13" t="inlineStr">
        <is>
          <t>Create an immediate risk owner, minimum control baseline and fallback procedure for model validation and backtesting for forecasts and risk models. Add it to the crisis risk register and collect first evidence.</t>
        </is>
      </c>
      <c r="O367" s="13" t="inlineStr">
        <is>
          <t>Document model validation and backtesting for forecasts and risk models, assign RACI, define minimum controls and KPIs, and validate coverage across key sites, teams or systems.</t>
        </is>
      </c>
      <c r="P367" s="13" t="inlineStr">
        <is>
          <t>Standardize model validation and backtesting for forecasts and risk models, close coverage gaps, train accountable roles and connect controls to the relevant crisis scenarios and continuity plans.</t>
        </is>
      </c>
      <c r="Q367" s="13" t="inlineStr">
        <is>
          <t>Measure and test model validation and backtesting for forecasts and risk models, run tabletop or operational stress tests, integrate it with dependent processes and update crisis playbooks.</t>
        </is>
      </c>
      <c r="R367" s="13" t="inlineStr">
        <is>
          <t>Automate monitoring where practical, define leading indicators, run periodic scenario tests and track residual risk after each major change.</t>
        </is>
      </c>
      <c r="S367" s="13" t="inlineStr">
        <is>
          <t>Sustain maturity for model validation and backtesting for forecasts and risk models: keep evidence current, monitor drift, benchmark externally and refresh risk tests after organizational, system or market changes.</t>
        </is>
      </c>
      <c r="T367" s="13" t="n">
        <v>4</v>
      </c>
      <c r="U367" s="13" t="n">
        <v>3</v>
      </c>
      <c r="V367" s="13" t="n">
        <v>3</v>
      </c>
      <c r="W367" s="13" t="n">
        <v>2</v>
      </c>
      <c r="X367" s="13" t="n">
        <v>1</v>
      </c>
      <c r="Y367" s="13" t="n">
        <v>1</v>
      </c>
      <c r="Z367" s="13" t="inlineStr">
        <is>
          <t>DAMA-DMBOK; ISO/IEC 38505; ISO/IEC 42001; ISO/IEC 23894; NIST AI RMF; DCAM</t>
        </is>
      </c>
      <c r="AA367" s="13" t="inlineStr">
        <is>
          <t>Policy/SOP; owner/RACI; system report; dashboard; contracts; test records; incident history; interview evidence related to model validation and backtesting for forecasts and risk models.</t>
        </is>
      </c>
      <c r="AB367" s="13" t="inlineStr">
        <is>
          <t>Decision failure; Data loss; Regulatory/legal shock</t>
        </is>
      </c>
      <c r="AC367" s="13" t="inlineStr">
        <is>
          <t>CDO / BI / Analytics</t>
        </is>
      </c>
      <c r="AD367" s="13" t="inlineStr">
        <is>
          <t>Data BI AI!26</t>
        </is>
      </c>
      <c r="AE367">
        <f>IF($A367="","",IF(OR(ISNUMBER(SEARCH("cyber",$D367)),ISNUMBER(SEARCH("security",$D367)),ISNUMBER(SEARCH("safety",$D367)),ISNUMBER(SEARCH("liquidity",$D367)),ISNUMBER(SEARCH("cash",$D367)),ISNUMBER(SEARCH("continuity",$D367)),ISNUMBER(SEARCH("infrastructure",$D367)),ISNUMBER(SEARCH("outage",$D367))),"Fast",IF(OR(ISNUMBER(SEARCH("compliance",$D367)),ISNUMBER(SEARCH("regulat",$D367)),ISNUMBER(SEARCH("data",$D367)),ISNUMBER(SEARCH("talent",$D367)),ISNUMBER(SEARCH("knowledge",$D367)),ISNUMBER(SEARCH("portfolio",$D367)),ISNUMBER(SEARCH("quality",$D367))),"Slow","Medium")))</f>
        <v/>
      </c>
      <c r="AF367">
        <f>IF($A367="","",IFERROR(VLOOKUP($B367,'_CONFIG_Risk_Calibration'!$A$5:$H$21,2,FALSE),3))</f>
        <v/>
      </c>
      <c r="AG367">
        <f>IF($A367="","",IFERROR(VLOOKUP($B367,'_CONFIG_Risk_Calibration'!$A$5:$H$21,3,FALSE),0))</f>
        <v/>
      </c>
      <c r="AH367">
        <f>IF($A367="","",IFERROR(VLOOKUP($B367,'_CONFIG_Risk_Calibration'!$A$5:$H$21,4,FALSE),3))</f>
        <v/>
      </c>
      <c r="AI367">
        <f>IF($A367="","",IFERROR(VLOOKUP($B367,'_CONFIG_Risk_Calibration'!$A$5:$H$21,5,FALSE),3))</f>
        <v/>
      </c>
      <c r="AJ367">
        <f>IF($A367="","",IFERROR(VLOOKUP($B367,'_CONFIG_Risk_Calibration'!$A$5:$H$21,6,FALSE),"No"))</f>
        <v/>
      </c>
      <c r="AK367">
        <f>IF($A367="","",IFERROR(VLOOKUP($B367,'_CONFIG_Risk_Calibration'!$A$5:$H$21,7,FALSE),1))</f>
        <v/>
      </c>
      <c r="AL367">
        <f>IF($A367="","",IFERROR(VLOOKUP($B367,'_CONFIG_Risk_Calibration'!$A$5:$H$21,8,FALSE),""))</f>
        <v/>
      </c>
    </row>
    <row r="368" ht="72" customHeight="1" s="209">
      <c r="A368" s="13" t="inlineStr">
        <is>
          <t>DATA-023</t>
        </is>
      </c>
      <c r="B368" s="13" t="inlineStr">
        <is>
          <t>Data BI AI</t>
        </is>
      </c>
      <c r="C368" s="13" t="inlineStr">
        <is>
          <t>AI readiness</t>
        </is>
      </c>
      <c r="D368" s="13" t="inlineStr">
        <is>
          <t>Data, BI, analytics and AI governance</t>
        </is>
      </c>
      <c r="E368" s="13" t="inlineStr">
        <is>
          <t>How mature is the organization in managing AI and analytics use case portfolio linked to business value, risk and feasibility, including ownership, evidence, metrics, fallback procedures and crisis stress testing?</t>
        </is>
      </c>
      <c r="F368" s="13" t="inlineStr">
        <is>
          <t>Immature capability for AI and analytics use case portfolio linked to business value, risk and feasibility may lead to poor decisions, unreliable reporting, data quality problems and unsafe or ineffective AI usage during Decision failure; Data loss; Regulatory/legal shock.</t>
        </is>
      </c>
      <c r="G368" s="13" t="inlineStr">
        <is>
          <t>Low maturity, weak ownership, incomplete evidence, insufficient testing and poor integration with crisis-management routines for AI and analytics use case portfolio linked to business value, risk and feasibility.</t>
        </is>
      </c>
      <c r="H368" s="13" t="inlineStr">
        <is>
          <t>Severe risk: AI and analytics use case portfolio linked to business value, risk and feasibility is not reliably controlled. During Decision failure; Data loss; Regulatory/legal shock, the organization may face poor decisions, unreliable reporting, data quality problems and unsafe or ineffective AI usage with limited visibility or accountability.</t>
        </is>
      </c>
      <c r="I368" s="13" t="inlineStr">
        <is>
          <t>High risk: AI and analytics use case portfolio linked to business value, risk and feasibility depends on informal practices or individual knowledge. Disruption may expose poor decisions, unreliable reporting, data quality problems and unsafe or ineffective AI usage and slow recovery.</t>
        </is>
      </c>
      <c r="J368" s="13" t="inlineStr">
        <is>
          <t>Elevated risk: AI and analytics use case portfolio linked to business value, risk and feasibility is partially controlled, but coverage, evidence or testing is inconsistent. Crisis response may be fragmented.</t>
        </is>
      </c>
      <c r="K368" s="13" t="inlineStr">
        <is>
          <t>Moderate risk: AI and analytics use case portfolio linked to business value, risk and feasibility is documented and owned, but measurement, stress testing and integration with dependent processes need strengthening.</t>
        </is>
      </c>
      <c r="L368" s="13" t="inlineStr">
        <is>
          <t>Residual risk: AI and analytics use case portfolio linked to business value, risk and feasibility is measured and reviewed, but monitoring, automation or scenario testing should be improved to prevent maturity drift.</t>
        </is>
      </c>
      <c r="M368" s="13" t="inlineStr">
        <is>
          <t>Low residual risk: AI and analytics use case portfolio linked to business value, risk and feasibility is mature and crisis-tested. Maintain monitoring, evidence, ownership and periodic stress testing.</t>
        </is>
      </c>
      <c r="N368" s="13" t="inlineStr">
        <is>
          <t>Create an immediate risk owner, minimum control baseline and fallback procedure for AI and analytics use case portfolio linked to business value, risk and feasibility. Add it to the crisis risk register and collect first evidence.</t>
        </is>
      </c>
      <c r="O368" s="13" t="inlineStr">
        <is>
          <t>Document AI and analytics use case portfolio linked to business value, risk and feasibility, assign RACI, define minimum controls and KPIs, and validate coverage across key sites, teams or systems.</t>
        </is>
      </c>
      <c r="P368" s="13" t="inlineStr">
        <is>
          <t>Standardize AI and analytics use case portfolio linked to business value, risk and feasibility, close coverage gaps, train accountable roles and connect controls to the relevant crisis scenarios and continuity plans.</t>
        </is>
      </c>
      <c r="Q368" s="13" t="inlineStr">
        <is>
          <t>Measure and test AI and analytics use case portfolio linked to business value, risk and feasibility, run tabletop or operational stress tests, integrate it with dependent processes and update crisis playbooks.</t>
        </is>
      </c>
      <c r="R368" s="13" t="inlineStr">
        <is>
          <t>Automate monitoring where practical, define leading indicators, run periodic scenario tests and track residual risk after each major change.</t>
        </is>
      </c>
      <c r="S368" s="13" t="inlineStr">
        <is>
          <t>Sustain maturity for AI and analytics use case portfolio linked to business value, risk and feasibility: keep evidence current, monitor drift, benchmark externally and refresh risk tests after organizational, system or market changes.</t>
        </is>
      </c>
      <c r="T368" s="13" t="n">
        <v>4</v>
      </c>
      <c r="U368" s="13" t="n">
        <v>3</v>
      </c>
      <c r="V368" s="13" t="n">
        <v>3</v>
      </c>
      <c r="W368" s="13" t="n">
        <v>2</v>
      </c>
      <c r="X368" s="13" t="n">
        <v>1</v>
      </c>
      <c r="Y368" s="13" t="n">
        <v>1</v>
      </c>
      <c r="Z368" s="13" t="inlineStr">
        <is>
          <t>DAMA-DMBOK; ISO/IEC 38505; ISO/IEC 42001; ISO/IEC 23894; NIST AI RMF; DCAM</t>
        </is>
      </c>
      <c r="AA368" s="13" t="inlineStr">
        <is>
          <t>Policy/SOP; owner/RACI; system report; dashboard; contracts; test records; incident history; interview evidence related to AI and analytics use case portfolio linked to business value, risk and feasibility.</t>
        </is>
      </c>
      <c r="AB368" s="13" t="inlineStr">
        <is>
          <t>Decision failure; Data loss; Regulatory/legal shock</t>
        </is>
      </c>
      <c r="AC368" s="13" t="inlineStr">
        <is>
          <t>CDO / BI / Analytics</t>
        </is>
      </c>
      <c r="AD368" s="13" t="inlineStr">
        <is>
          <t>Data BI AI!27</t>
        </is>
      </c>
      <c r="AE368">
        <f>IF($A368="","",IF(OR(ISNUMBER(SEARCH("cyber",$D368)),ISNUMBER(SEARCH("security",$D368)),ISNUMBER(SEARCH("safety",$D368)),ISNUMBER(SEARCH("liquidity",$D368)),ISNUMBER(SEARCH("cash",$D368)),ISNUMBER(SEARCH("continuity",$D368)),ISNUMBER(SEARCH("infrastructure",$D368)),ISNUMBER(SEARCH("outage",$D368))),"Fast",IF(OR(ISNUMBER(SEARCH("compliance",$D368)),ISNUMBER(SEARCH("regulat",$D368)),ISNUMBER(SEARCH("data",$D368)),ISNUMBER(SEARCH("talent",$D368)),ISNUMBER(SEARCH("knowledge",$D368)),ISNUMBER(SEARCH("portfolio",$D368)),ISNUMBER(SEARCH("quality",$D368))),"Slow","Medium")))</f>
        <v/>
      </c>
      <c r="AF368">
        <f>IF($A368="","",IFERROR(VLOOKUP($B368,'_CONFIG_Risk_Calibration'!$A$5:$H$21,2,FALSE),3))</f>
        <v/>
      </c>
      <c r="AG368">
        <f>IF($A368="","",IFERROR(VLOOKUP($B368,'_CONFIG_Risk_Calibration'!$A$5:$H$21,3,FALSE),0))</f>
        <v/>
      </c>
      <c r="AH368">
        <f>IF($A368="","",IFERROR(VLOOKUP($B368,'_CONFIG_Risk_Calibration'!$A$5:$H$21,4,FALSE),3))</f>
        <v/>
      </c>
      <c r="AI368">
        <f>IF($A368="","",IFERROR(VLOOKUP($B368,'_CONFIG_Risk_Calibration'!$A$5:$H$21,5,FALSE),3))</f>
        <v/>
      </c>
      <c r="AJ368">
        <f>IF($A368="","",IFERROR(VLOOKUP($B368,'_CONFIG_Risk_Calibration'!$A$5:$H$21,6,FALSE),"No"))</f>
        <v/>
      </c>
      <c r="AK368">
        <f>IF($A368="","",IFERROR(VLOOKUP($B368,'_CONFIG_Risk_Calibration'!$A$5:$H$21,7,FALSE),1))</f>
        <v/>
      </c>
      <c r="AL368">
        <f>IF($A368="","",IFERROR(VLOOKUP($B368,'_CONFIG_Risk_Calibration'!$A$5:$H$21,8,FALSE),""))</f>
        <v/>
      </c>
    </row>
    <row r="369" ht="72" customHeight="1" s="209">
      <c r="A369" s="13" t="inlineStr">
        <is>
          <t>DATA-024</t>
        </is>
      </c>
      <c r="B369" s="13" t="inlineStr">
        <is>
          <t>Data BI AI</t>
        </is>
      </c>
      <c r="C369" s="13" t="inlineStr">
        <is>
          <t>AI readiness</t>
        </is>
      </c>
      <c r="D369" s="13" t="inlineStr">
        <is>
          <t>Data, BI, analytics and AI governance</t>
        </is>
      </c>
      <c r="E369" s="13" t="inlineStr">
        <is>
          <t>How mature is the organization in managing AI governance for privacy, security, explainability, bias, human oversight and model risk, including ownership, evidence, metrics, fallback procedures and crisis stress testing?</t>
        </is>
      </c>
      <c r="F369" s="13" t="inlineStr">
        <is>
          <t>Immature capability for AI governance for privacy, security, explainability, bias, human oversight and model risk may lead to poor decisions, unreliable reporting, data quality problems and unsafe or ineffective AI usage during Decision failure; Data loss; Regulatory/legal shock.</t>
        </is>
      </c>
      <c r="G369" s="13" t="inlineStr">
        <is>
          <t>Low maturity, weak ownership, incomplete evidence, insufficient testing and poor integration with crisis-management routines for AI governance for privacy, security, explainability, bias, human oversight and model risk.</t>
        </is>
      </c>
      <c r="H369" s="13" t="inlineStr">
        <is>
          <t>Severe risk: AI governance for privacy, security, explainability, bias, human oversight and model risk is not reliably controlled. During Decision failure; Data loss; Regulatory/legal shock, the organization may face poor decisions, unreliable reporting, data quality problems and unsafe or ineffective AI usage with limited visibility or accountability.</t>
        </is>
      </c>
      <c r="I369" s="13" t="inlineStr">
        <is>
          <t>High risk: AI governance for privacy, security, explainability, bias, human oversight and model risk depends on informal practices or individual knowledge. Disruption may expose poor decisions, unreliable reporting, data quality problems and unsafe or ineffective AI usage and slow recovery.</t>
        </is>
      </c>
      <c r="J369" s="13" t="inlineStr">
        <is>
          <t>Elevated risk: AI governance for privacy, security, explainability, bias, human oversight and model risk is partially controlled, but coverage, evidence or testing is inconsistent. Crisis response may be fragmented.</t>
        </is>
      </c>
      <c r="K369" s="13" t="inlineStr">
        <is>
          <t>Moderate risk: AI governance for privacy, security, explainability, bias, human oversight and model risk is documented and owned, but measurement, stress testing and integration with dependent processes need strengthening.</t>
        </is>
      </c>
      <c r="L369" s="13" t="inlineStr">
        <is>
          <t>Residual risk: AI governance for privacy, security, explainability, bias, human oversight and model risk is measured and reviewed, but monitoring, automation or scenario testing should be improved to prevent maturity drift.</t>
        </is>
      </c>
      <c r="M369" s="13" t="inlineStr">
        <is>
          <t>Low residual risk: AI governance for privacy, security, explainability, bias, human oversight and model risk is mature and crisis-tested. Maintain monitoring, evidence, ownership and periodic stress testing.</t>
        </is>
      </c>
      <c r="N369" s="13" t="inlineStr">
        <is>
          <t>Create an immediate risk owner, minimum control baseline and fallback procedure for AI governance for privacy, security, explainability, bias, human oversight and model risk. Add it to the crisis risk register and collect first evidence.</t>
        </is>
      </c>
      <c r="O369" s="13" t="inlineStr">
        <is>
          <t>Document AI governance for privacy, security, explainability, bias, human oversight and model risk, assign RACI, define minimum controls and KPIs, and validate coverage across key sites, teams or systems.</t>
        </is>
      </c>
      <c r="P369" s="13" t="inlineStr">
        <is>
          <t>Standardize AI governance for privacy, security, explainability, bias, human oversight and model risk, close coverage gaps, train accountable roles and connect controls to the relevant crisis scenarios and continuity plans.</t>
        </is>
      </c>
      <c r="Q369" s="13" t="inlineStr">
        <is>
          <t>Measure and test AI governance for privacy, security, explainability, bias, human oversight and model risk, run tabletop or operational stress tests, integrate it with dependent processes and update crisis playbooks.</t>
        </is>
      </c>
      <c r="R369" s="13" t="inlineStr">
        <is>
          <t>Automate monitoring where practical, define leading indicators, run periodic scenario tests and track residual risk after each major change.</t>
        </is>
      </c>
      <c r="S369" s="13" t="inlineStr">
        <is>
          <t>Sustain maturity for AI governance for privacy, security, explainability, bias, human oversight and model risk: keep evidence current, monitor drift, benchmark externally and refresh risk tests after organizational, system or market changes.</t>
        </is>
      </c>
      <c r="T369" s="13" t="n">
        <v>4</v>
      </c>
      <c r="U369" s="13" t="n">
        <v>3</v>
      </c>
      <c r="V369" s="13" t="n">
        <v>3</v>
      </c>
      <c r="W369" s="13" t="n">
        <v>2</v>
      </c>
      <c r="X369" s="13" t="n">
        <v>1</v>
      </c>
      <c r="Y369" s="13" t="n">
        <v>1</v>
      </c>
      <c r="Z369" s="13" t="inlineStr">
        <is>
          <t>DAMA-DMBOK; ISO/IEC 38505; ISO/IEC 42001; ISO/IEC 23894; NIST AI RMF; DCAM</t>
        </is>
      </c>
      <c r="AA369" s="13" t="inlineStr">
        <is>
          <t>Policy/SOP; owner/RACI; system report; dashboard; contracts; test records; incident history; interview evidence related to AI governance for privacy, security, explainability, bias, human oversight and model risk.</t>
        </is>
      </c>
      <c r="AB369" s="13" t="inlineStr">
        <is>
          <t>Decision failure; Data loss; Regulatory/legal shock</t>
        </is>
      </c>
      <c r="AC369" s="13" t="inlineStr">
        <is>
          <t>CDO / BI / Analytics</t>
        </is>
      </c>
      <c r="AD369" s="13" t="inlineStr">
        <is>
          <t>Data BI AI!28</t>
        </is>
      </c>
      <c r="AE369">
        <f>IF($A369="","",IF(OR(ISNUMBER(SEARCH("cyber",$D369)),ISNUMBER(SEARCH("security",$D369)),ISNUMBER(SEARCH("safety",$D369)),ISNUMBER(SEARCH("liquidity",$D369)),ISNUMBER(SEARCH("cash",$D369)),ISNUMBER(SEARCH("continuity",$D369)),ISNUMBER(SEARCH("infrastructure",$D369)),ISNUMBER(SEARCH("outage",$D369))),"Fast",IF(OR(ISNUMBER(SEARCH("compliance",$D369)),ISNUMBER(SEARCH("regulat",$D369)),ISNUMBER(SEARCH("data",$D369)),ISNUMBER(SEARCH("talent",$D369)),ISNUMBER(SEARCH("knowledge",$D369)),ISNUMBER(SEARCH("portfolio",$D369)),ISNUMBER(SEARCH("quality",$D369))),"Slow","Medium")))</f>
        <v/>
      </c>
      <c r="AF369">
        <f>IF($A369="","",IFERROR(VLOOKUP($B369,'_CONFIG_Risk_Calibration'!$A$5:$H$21,2,FALSE),3))</f>
        <v/>
      </c>
      <c r="AG369">
        <f>IF($A369="","",IFERROR(VLOOKUP($B369,'_CONFIG_Risk_Calibration'!$A$5:$H$21,3,FALSE),0))</f>
        <v/>
      </c>
      <c r="AH369">
        <f>IF($A369="","",IFERROR(VLOOKUP($B369,'_CONFIG_Risk_Calibration'!$A$5:$H$21,4,FALSE),3))</f>
        <v/>
      </c>
      <c r="AI369">
        <f>IF($A369="","",IFERROR(VLOOKUP($B369,'_CONFIG_Risk_Calibration'!$A$5:$H$21,5,FALSE),3))</f>
        <v/>
      </c>
      <c r="AJ369">
        <f>IF($A369="","",IFERROR(VLOOKUP($B369,'_CONFIG_Risk_Calibration'!$A$5:$H$21,6,FALSE),"No"))</f>
        <v/>
      </c>
      <c r="AK369">
        <f>IF($A369="","",IFERROR(VLOOKUP($B369,'_CONFIG_Risk_Calibration'!$A$5:$H$21,7,FALSE),1))</f>
        <v/>
      </c>
      <c r="AL369">
        <f>IF($A369="","",IFERROR(VLOOKUP($B369,'_CONFIG_Risk_Calibration'!$A$5:$H$21,8,FALSE),""))</f>
        <v/>
      </c>
    </row>
    <row r="370" ht="72" customHeight="1" s="209">
      <c r="A370" s="13" t="inlineStr">
        <is>
          <t>DATA-025</t>
        </is>
      </c>
      <c r="B370" s="13" t="inlineStr">
        <is>
          <t>Data BI AI</t>
        </is>
      </c>
      <c r="C370" s="13" t="inlineStr">
        <is>
          <t>AI readiness</t>
        </is>
      </c>
      <c r="D370" s="13" t="inlineStr">
        <is>
          <t>Data, BI, analytics and AI governance</t>
        </is>
      </c>
      <c r="E370" s="13" t="inlineStr">
        <is>
          <t>How mature is the organization in managing LLM usage policy covering data leakage, IP, accuracy, approval and acceptable use, including ownership, evidence, metrics, fallback procedures and crisis stress testing?</t>
        </is>
      </c>
      <c r="F370" s="13" t="inlineStr">
        <is>
          <t>Immature capability for LLM usage policy covering data leakage, IP, accuracy, approval and acceptable use may lead to poor decisions, unreliable reporting, data quality problems and unsafe or ineffective AI usage during Decision failure; Data loss; Regulatory/legal shock.</t>
        </is>
      </c>
      <c r="G370" s="13" t="inlineStr">
        <is>
          <t>Low maturity, weak ownership, incomplete evidence, insufficient testing and poor integration with crisis-management routines for LLM usage policy covering data leakage, IP, accuracy, approval and acceptable use.</t>
        </is>
      </c>
      <c r="H370" s="13" t="inlineStr">
        <is>
          <t>Severe risk: LLM usage policy covering data leakage, IP, accuracy, approval and acceptable use is not reliably controlled. During Decision failure; Data loss; Regulatory/legal shock, the organization may face poor decisions, unreliable reporting, data quality problems and unsafe or ineffective AI usage with limited visibility or accountability.</t>
        </is>
      </c>
      <c r="I370" s="13" t="inlineStr">
        <is>
          <t>High risk: LLM usage policy covering data leakage, IP, accuracy, approval and acceptable use depends on informal practices or individual knowledge. Disruption may expose poor decisions, unreliable reporting, data quality problems and unsafe or ineffective AI usage and slow recovery.</t>
        </is>
      </c>
      <c r="J370" s="13" t="inlineStr">
        <is>
          <t>Elevated risk: LLM usage policy covering data leakage, IP, accuracy, approval and acceptable use is partially controlled, but coverage, evidence or testing is inconsistent. Crisis response may be fragmented.</t>
        </is>
      </c>
      <c r="K370" s="13" t="inlineStr">
        <is>
          <t>Moderate risk: LLM usage policy covering data leakage, IP, accuracy, approval and acceptable use is documented and owned, but measurement, stress testing and integration with dependent processes need strengthening.</t>
        </is>
      </c>
      <c r="L370" s="13" t="inlineStr">
        <is>
          <t>Residual risk: LLM usage policy covering data leakage, IP, accuracy, approval and acceptable use is measured and reviewed, but monitoring, automation or scenario testing should be improved to prevent maturity drift.</t>
        </is>
      </c>
      <c r="M370" s="13" t="inlineStr">
        <is>
          <t>Low residual risk: LLM usage policy covering data leakage, IP, accuracy, approval and acceptable use is mature and crisis-tested. Maintain monitoring, evidence, ownership and periodic stress testing.</t>
        </is>
      </c>
      <c r="N370" s="13" t="inlineStr">
        <is>
          <t>Create an immediate risk owner, minimum control baseline and fallback procedure for LLM usage policy covering data leakage, IP, accuracy, approval and acceptable use. Add it to the crisis risk register and collect first evidence.</t>
        </is>
      </c>
      <c r="O370" s="13" t="inlineStr">
        <is>
          <t>Document LLM usage policy covering data leakage, IP, accuracy, approval and acceptable use, assign RACI, define minimum controls and KPIs, and validate coverage across key sites, teams or systems.</t>
        </is>
      </c>
      <c r="P370" s="13" t="inlineStr">
        <is>
          <t>Standardize LLM usage policy covering data leakage, IP, accuracy, approval and acceptable use, close coverage gaps, train accountable roles and connect controls to the relevant crisis scenarios and continuity plans.</t>
        </is>
      </c>
      <c r="Q370" s="13" t="inlineStr">
        <is>
          <t>Measure and test LLM usage policy covering data leakage, IP, accuracy, approval and acceptable use, run tabletop or operational stress tests, integrate it with dependent processes and update crisis playbooks.</t>
        </is>
      </c>
      <c r="R370" s="13" t="inlineStr">
        <is>
          <t>Automate monitoring where practical, define leading indicators, run periodic scenario tests and track residual risk after each major change.</t>
        </is>
      </c>
      <c r="S370" s="13" t="inlineStr">
        <is>
          <t>Sustain maturity for LLM usage policy covering data leakage, IP, accuracy, approval and acceptable use: keep evidence current, monitor drift, benchmark externally and refresh risk tests after organizational, system or market changes.</t>
        </is>
      </c>
      <c r="T370" s="13" t="n">
        <v>4</v>
      </c>
      <c r="U370" s="13" t="n">
        <v>3</v>
      </c>
      <c r="V370" s="13" t="n">
        <v>3</v>
      </c>
      <c r="W370" s="13" t="n">
        <v>2</v>
      </c>
      <c r="X370" s="13" t="n">
        <v>1</v>
      </c>
      <c r="Y370" s="13" t="n">
        <v>1</v>
      </c>
      <c r="Z370" s="13" t="inlineStr">
        <is>
          <t>DAMA-DMBOK; ISO/IEC 38505; ISO/IEC 42001; ISO/IEC 23894; NIST AI RMF; DCAM</t>
        </is>
      </c>
      <c r="AA370" s="13" t="inlineStr">
        <is>
          <t>Policy/SOP; owner/RACI; system report; dashboard; contracts; test records; incident history; interview evidence related to LLM usage policy covering data leakage, IP, accuracy, approval and acceptable use.</t>
        </is>
      </c>
      <c r="AB370" s="13" t="inlineStr">
        <is>
          <t>Decision failure; Data loss; Regulatory/legal shock</t>
        </is>
      </c>
      <c r="AC370" s="13" t="inlineStr">
        <is>
          <t>CDO / BI / Analytics</t>
        </is>
      </c>
      <c r="AD370" s="13" t="inlineStr">
        <is>
          <t>Data BI AI!29</t>
        </is>
      </c>
      <c r="AE370">
        <f>IF($A370="","",IF(OR(ISNUMBER(SEARCH("cyber",$D370)),ISNUMBER(SEARCH("security",$D370)),ISNUMBER(SEARCH("safety",$D370)),ISNUMBER(SEARCH("liquidity",$D370)),ISNUMBER(SEARCH("cash",$D370)),ISNUMBER(SEARCH("continuity",$D370)),ISNUMBER(SEARCH("infrastructure",$D370)),ISNUMBER(SEARCH("outage",$D370))),"Fast",IF(OR(ISNUMBER(SEARCH("compliance",$D370)),ISNUMBER(SEARCH("regulat",$D370)),ISNUMBER(SEARCH("data",$D370)),ISNUMBER(SEARCH("talent",$D370)),ISNUMBER(SEARCH("knowledge",$D370)),ISNUMBER(SEARCH("portfolio",$D370)),ISNUMBER(SEARCH("quality",$D370))),"Slow","Medium")))</f>
        <v/>
      </c>
      <c r="AF370">
        <f>IF($A370="","",IFERROR(VLOOKUP($B370,'_CONFIG_Risk_Calibration'!$A$5:$H$21,2,FALSE),3))</f>
        <v/>
      </c>
      <c r="AG370">
        <f>IF($A370="","",IFERROR(VLOOKUP($B370,'_CONFIG_Risk_Calibration'!$A$5:$H$21,3,FALSE),0))</f>
        <v/>
      </c>
      <c r="AH370">
        <f>IF($A370="","",IFERROR(VLOOKUP($B370,'_CONFIG_Risk_Calibration'!$A$5:$H$21,4,FALSE),3))</f>
        <v/>
      </c>
      <c r="AI370">
        <f>IF($A370="","",IFERROR(VLOOKUP($B370,'_CONFIG_Risk_Calibration'!$A$5:$H$21,5,FALSE),3))</f>
        <v/>
      </c>
      <c r="AJ370">
        <f>IF($A370="","",IFERROR(VLOOKUP($B370,'_CONFIG_Risk_Calibration'!$A$5:$H$21,6,FALSE),"No"))</f>
        <v/>
      </c>
      <c r="AK370">
        <f>IF($A370="","",IFERROR(VLOOKUP($B370,'_CONFIG_Risk_Calibration'!$A$5:$H$21,7,FALSE),1))</f>
        <v/>
      </c>
      <c r="AL370">
        <f>IF($A370="","",IFERROR(VLOOKUP($B370,'_CONFIG_Risk_Calibration'!$A$5:$H$21,8,FALSE),""))</f>
        <v/>
      </c>
    </row>
    <row r="371" ht="72" customHeight="1" s="209">
      <c r="A371" s="13" t="inlineStr">
        <is>
          <t>DATA-026</t>
        </is>
      </c>
      <c r="B371" s="13" t="inlineStr">
        <is>
          <t>Data BI AI</t>
        </is>
      </c>
      <c r="C371" s="13" t="inlineStr">
        <is>
          <t>AI readiness</t>
        </is>
      </c>
      <c r="D371" s="13" t="inlineStr">
        <is>
          <t>Data, BI, analytics and AI governance</t>
        </is>
      </c>
      <c r="E371" s="13" t="inlineStr">
        <is>
          <t>How mature is the organization in managing AI model register and monitoring for drift, accuracy, performance and business impact, including ownership, evidence, metrics, fallback procedures and crisis stress testing?</t>
        </is>
      </c>
      <c r="F371" s="13" t="inlineStr">
        <is>
          <t>Immature capability for AI model register and monitoring for drift, accuracy, performance and business impact may lead to poor decisions, unreliable reporting, data quality problems and unsafe or ineffective AI usage during Decision failure; Data loss; Regulatory/legal shock.</t>
        </is>
      </c>
      <c r="G371" s="13" t="inlineStr">
        <is>
          <t>Low maturity, weak ownership, incomplete evidence, insufficient testing and poor integration with crisis-management routines for AI model register and monitoring for drift, accuracy, performance and business impact.</t>
        </is>
      </c>
      <c r="H371" s="13" t="inlineStr">
        <is>
          <t>Severe risk: AI model register and monitoring for drift, accuracy, performance and business impact is not reliably controlled. During Decision failure; Data loss; Regulatory/legal shock, the organization may face poor decisions, unreliable reporting, data quality problems and unsafe or ineffective AI usage with limited visibility or accountability.</t>
        </is>
      </c>
      <c r="I371" s="13" t="inlineStr">
        <is>
          <t>High risk: AI model register and monitoring for drift, accuracy, performance and business impact depends on informal practices or individual knowledge. Disruption may expose poor decisions, unreliable reporting, data quality problems and unsafe or ineffective AI usage and slow recovery.</t>
        </is>
      </c>
      <c r="J371" s="13" t="inlineStr">
        <is>
          <t>Elevated risk: AI model register and monitoring for drift, accuracy, performance and business impact is partially controlled, but coverage, evidence or testing is inconsistent. Crisis response may be fragmented.</t>
        </is>
      </c>
      <c r="K371" s="13" t="inlineStr">
        <is>
          <t>Moderate risk: AI model register and monitoring for drift, accuracy, performance and business impact is documented and owned, but measurement, stress testing and integration with dependent processes need strengthening.</t>
        </is>
      </c>
      <c r="L371" s="13" t="inlineStr">
        <is>
          <t>Residual risk: AI model register and monitoring for drift, accuracy, performance and business impact is measured and reviewed, but monitoring, automation or scenario testing should be improved to prevent maturity drift.</t>
        </is>
      </c>
      <c r="M371" s="13" t="inlineStr">
        <is>
          <t>Low residual risk: AI model register and monitoring for drift, accuracy, performance and business impact is mature and crisis-tested. Maintain monitoring, evidence, ownership and periodic stress testing.</t>
        </is>
      </c>
      <c r="N371" s="13" t="inlineStr">
        <is>
          <t>Create an immediate risk owner, minimum control baseline and fallback procedure for AI model register and monitoring for drift, accuracy, performance and business impact. Add it to the crisis risk register and collect first evidence.</t>
        </is>
      </c>
      <c r="O371" s="13" t="inlineStr">
        <is>
          <t>Document AI model register and monitoring for drift, accuracy, performance and business impact, assign RACI, define minimum controls and KPIs, and validate coverage across key sites, teams or systems.</t>
        </is>
      </c>
      <c r="P371" s="13" t="inlineStr">
        <is>
          <t>Standardize AI model register and monitoring for drift, accuracy, performance and business impact, close coverage gaps, train accountable roles and connect controls to the relevant crisis scenarios and continuity plans.</t>
        </is>
      </c>
      <c r="Q371" s="13" t="inlineStr">
        <is>
          <t>Measure and test AI model register and monitoring for drift, accuracy, performance and business impact, run tabletop or operational stress tests, integrate it with dependent processes and update crisis playbooks.</t>
        </is>
      </c>
      <c r="R371" s="13" t="inlineStr">
        <is>
          <t>Automate monitoring where practical, define leading indicators, run periodic scenario tests and track residual risk after each major change.</t>
        </is>
      </c>
      <c r="S371" s="13" t="inlineStr">
        <is>
          <t>Sustain maturity for AI model register and monitoring for drift, accuracy, performance and business impact: keep evidence current, monitor drift, benchmark externally and refresh risk tests after organizational, system or market changes.</t>
        </is>
      </c>
      <c r="T371" s="13" t="n">
        <v>4</v>
      </c>
      <c r="U371" s="13" t="n">
        <v>3</v>
      </c>
      <c r="V371" s="13" t="n">
        <v>3</v>
      </c>
      <c r="W371" s="13" t="n">
        <v>2</v>
      </c>
      <c r="X371" s="13" t="n">
        <v>1</v>
      </c>
      <c r="Y371" s="13" t="n">
        <v>1</v>
      </c>
      <c r="Z371" s="13" t="inlineStr">
        <is>
          <t>DAMA-DMBOK; ISO/IEC 38505; ISO/IEC 42001; ISO/IEC 23894; NIST AI RMF; DCAM</t>
        </is>
      </c>
      <c r="AA371" s="13" t="inlineStr">
        <is>
          <t>Policy/SOP; owner/RACI; system report; dashboard; contracts; test records; incident history; interview evidence related to AI model register and monitoring for drift, accuracy, performance and business impact.</t>
        </is>
      </c>
      <c r="AB371" s="13" t="inlineStr">
        <is>
          <t>Decision failure; Data loss; Regulatory/legal shock</t>
        </is>
      </c>
      <c r="AC371" s="13" t="inlineStr">
        <is>
          <t>CDO / BI / Analytics</t>
        </is>
      </c>
      <c r="AD371" s="13" t="inlineStr">
        <is>
          <t>Data BI AI!30</t>
        </is>
      </c>
      <c r="AE371">
        <f>IF($A371="","",IF(OR(ISNUMBER(SEARCH("cyber",$D371)),ISNUMBER(SEARCH("security",$D371)),ISNUMBER(SEARCH("safety",$D371)),ISNUMBER(SEARCH("liquidity",$D371)),ISNUMBER(SEARCH("cash",$D371)),ISNUMBER(SEARCH("continuity",$D371)),ISNUMBER(SEARCH("infrastructure",$D371)),ISNUMBER(SEARCH("outage",$D371))),"Fast",IF(OR(ISNUMBER(SEARCH("compliance",$D371)),ISNUMBER(SEARCH("regulat",$D371)),ISNUMBER(SEARCH("data",$D371)),ISNUMBER(SEARCH("talent",$D371)),ISNUMBER(SEARCH("knowledge",$D371)),ISNUMBER(SEARCH("portfolio",$D371)),ISNUMBER(SEARCH("quality",$D371))),"Slow","Medium")))</f>
        <v/>
      </c>
      <c r="AF371">
        <f>IF($A371="","",IFERROR(VLOOKUP($B371,'_CONFIG_Risk_Calibration'!$A$5:$H$21,2,FALSE),3))</f>
        <v/>
      </c>
      <c r="AG371">
        <f>IF($A371="","",IFERROR(VLOOKUP($B371,'_CONFIG_Risk_Calibration'!$A$5:$H$21,3,FALSE),0))</f>
        <v/>
      </c>
      <c r="AH371">
        <f>IF($A371="","",IFERROR(VLOOKUP($B371,'_CONFIG_Risk_Calibration'!$A$5:$H$21,4,FALSE),3))</f>
        <v/>
      </c>
      <c r="AI371">
        <f>IF($A371="","",IFERROR(VLOOKUP($B371,'_CONFIG_Risk_Calibration'!$A$5:$H$21,5,FALSE),3))</f>
        <v/>
      </c>
      <c r="AJ371">
        <f>IF($A371="","",IFERROR(VLOOKUP($B371,'_CONFIG_Risk_Calibration'!$A$5:$H$21,6,FALSE),"No"))</f>
        <v/>
      </c>
      <c r="AK371">
        <f>IF($A371="","",IFERROR(VLOOKUP($B371,'_CONFIG_Risk_Calibration'!$A$5:$H$21,7,FALSE),1))</f>
        <v/>
      </c>
      <c r="AL371">
        <f>IF($A371="","",IFERROR(VLOOKUP($B371,'_CONFIG_Risk_Calibration'!$A$5:$H$21,8,FALSE),""))</f>
        <v/>
      </c>
    </row>
    <row r="372" ht="72" customHeight="1" s="209">
      <c r="A372" s="13" t="inlineStr">
        <is>
          <t>DATA-027</t>
        </is>
      </c>
      <c r="B372" s="13" t="inlineStr">
        <is>
          <t>Data BI AI</t>
        </is>
      </c>
      <c r="C372" s="13" t="inlineStr">
        <is>
          <t>AI readiness</t>
        </is>
      </c>
      <c r="D372" s="13" t="inlineStr">
        <is>
          <t>Data, BI, analytics and AI governance</t>
        </is>
      </c>
      <c r="E372" s="13" t="inlineStr">
        <is>
          <t>How mature is the organization in managing responsible AI controls for customer-facing, employee-facing and decision-support use cases, including ownership, evidence, metrics, fallback procedures and crisis stress testing?</t>
        </is>
      </c>
      <c r="F372" s="13" t="inlineStr">
        <is>
          <t>Immature capability for responsible AI controls for customer-facing, employee-facing and decision-support use cases may lead to poor decisions, unreliable reporting, data quality problems and unsafe or ineffective AI usage during Decision failure; Data loss; Regulatory/legal shock.</t>
        </is>
      </c>
      <c r="G372" s="13" t="inlineStr">
        <is>
          <t>Low maturity, weak ownership, incomplete evidence, insufficient testing and poor integration with crisis-management routines for responsible AI controls for customer-facing, employee-facing and decision-support use cases.</t>
        </is>
      </c>
      <c r="H372" s="13" t="inlineStr">
        <is>
          <t>Severe risk: responsible AI controls for customer-facing, employee-facing and decision-support use cases is not reliably controlled. During Decision failure; Data loss; Regulatory/legal shock, the organization may face poor decisions, unreliable reporting, data quality problems and unsafe or ineffective AI usage with limited visibility or accountability.</t>
        </is>
      </c>
      <c r="I372" s="13" t="inlineStr">
        <is>
          <t>High risk: responsible AI controls for customer-facing, employee-facing and decision-support use cases depends on informal practices or individual knowledge. Disruption may expose poor decisions, unreliable reporting, data quality problems and unsafe or ineffective AI usage and slow recovery.</t>
        </is>
      </c>
      <c r="J372" s="13" t="inlineStr">
        <is>
          <t>Elevated risk: responsible AI controls for customer-facing, employee-facing and decision-support use cases is partially controlled, but coverage, evidence or testing is inconsistent. Crisis response may be fragmented.</t>
        </is>
      </c>
      <c r="K372" s="13" t="inlineStr">
        <is>
          <t>Moderate risk: responsible AI controls for customer-facing, employee-facing and decision-support use cases is documented and owned, but measurement, stress testing and integration with dependent processes need strengthening.</t>
        </is>
      </c>
      <c r="L372" s="13" t="inlineStr">
        <is>
          <t>Residual risk: responsible AI controls for customer-facing, employee-facing and decision-support use cases is measured and reviewed, but monitoring, automation or scenario testing should be improved to prevent maturity drift.</t>
        </is>
      </c>
      <c r="M372" s="13" t="inlineStr">
        <is>
          <t>Low residual risk: responsible AI controls for customer-facing, employee-facing and decision-support use cases is mature and crisis-tested. Maintain monitoring, evidence, ownership and periodic stress testing.</t>
        </is>
      </c>
      <c r="N372" s="13" t="inlineStr">
        <is>
          <t>Create an immediate risk owner, minimum control baseline and fallback procedure for responsible AI controls for customer-facing, employee-facing and decision-support use cases. Add it to the crisis risk register and collect first evidence.</t>
        </is>
      </c>
      <c r="O372" s="13" t="inlineStr">
        <is>
          <t>Document responsible AI controls for customer-facing, employee-facing and decision-support use cases, assign RACI, define minimum controls and KPIs, and validate coverage across key sites, teams or systems.</t>
        </is>
      </c>
      <c r="P372" s="13" t="inlineStr">
        <is>
          <t>Standardize responsible AI controls for customer-facing, employee-facing and decision-support use cases, close coverage gaps, train accountable roles and connect controls to the relevant crisis scenarios and continuity plans.</t>
        </is>
      </c>
      <c r="Q372" s="13" t="inlineStr">
        <is>
          <t>Measure and test responsible AI controls for customer-facing, employee-facing and decision-support use cases, run tabletop or operational stress tests, integrate it with dependent processes and update crisis playbooks.</t>
        </is>
      </c>
      <c r="R372" s="13" t="inlineStr">
        <is>
          <t>Automate monitoring where practical, define leading indicators, run periodic scenario tests and track residual risk after each major change.</t>
        </is>
      </c>
      <c r="S372" s="13" t="inlineStr">
        <is>
          <t>Sustain maturity for responsible AI controls for customer-facing, employee-facing and decision-support use cases: keep evidence current, monitor drift, benchmark externally and refresh risk tests after organizational, system or market changes.</t>
        </is>
      </c>
      <c r="T372" s="13" t="n">
        <v>4</v>
      </c>
      <c r="U372" s="13" t="n">
        <v>3</v>
      </c>
      <c r="V372" s="13" t="n">
        <v>3</v>
      </c>
      <c r="W372" s="13" t="n">
        <v>2</v>
      </c>
      <c r="X372" s="13" t="n">
        <v>1</v>
      </c>
      <c r="Y372" s="13" t="n">
        <v>1</v>
      </c>
      <c r="Z372" s="13" t="inlineStr">
        <is>
          <t>DAMA-DMBOK; ISO/IEC 38505; ISO/IEC 42001; ISO/IEC 23894; NIST AI RMF; DCAM</t>
        </is>
      </c>
      <c r="AA372" s="13" t="inlineStr">
        <is>
          <t>Policy/SOP; owner/RACI; system report; dashboard; contracts; test records; incident history; interview evidence related to responsible AI controls for customer-facing, employee-facing and decision-support use cases.</t>
        </is>
      </c>
      <c r="AB372" s="13" t="inlineStr">
        <is>
          <t>Decision failure; Data loss; Regulatory/legal shock</t>
        </is>
      </c>
      <c r="AC372" s="13" t="inlineStr">
        <is>
          <t>CDO / BI / Analytics</t>
        </is>
      </c>
      <c r="AD372" s="13" t="inlineStr">
        <is>
          <t>Data BI AI!31</t>
        </is>
      </c>
      <c r="AE372">
        <f>IF($A372="","",IF(OR(ISNUMBER(SEARCH("cyber",$D372)),ISNUMBER(SEARCH("security",$D372)),ISNUMBER(SEARCH("safety",$D372)),ISNUMBER(SEARCH("liquidity",$D372)),ISNUMBER(SEARCH("cash",$D372)),ISNUMBER(SEARCH("continuity",$D372)),ISNUMBER(SEARCH("infrastructure",$D372)),ISNUMBER(SEARCH("outage",$D372))),"Fast",IF(OR(ISNUMBER(SEARCH("compliance",$D372)),ISNUMBER(SEARCH("regulat",$D372)),ISNUMBER(SEARCH("data",$D372)),ISNUMBER(SEARCH("talent",$D372)),ISNUMBER(SEARCH("knowledge",$D372)),ISNUMBER(SEARCH("portfolio",$D372)),ISNUMBER(SEARCH("quality",$D372))),"Slow","Medium")))</f>
        <v/>
      </c>
      <c r="AF372">
        <f>IF($A372="","",IFERROR(VLOOKUP($B372,'_CONFIG_Risk_Calibration'!$A$5:$H$21,2,FALSE),3))</f>
        <v/>
      </c>
      <c r="AG372">
        <f>IF($A372="","",IFERROR(VLOOKUP($B372,'_CONFIG_Risk_Calibration'!$A$5:$H$21,3,FALSE),0))</f>
        <v/>
      </c>
      <c r="AH372">
        <f>IF($A372="","",IFERROR(VLOOKUP($B372,'_CONFIG_Risk_Calibration'!$A$5:$H$21,4,FALSE),3))</f>
        <v/>
      </c>
      <c r="AI372">
        <f>IF($A372="","",IFERROR(VLOOKUP($B372,'_CONFIG_Risk_Calibration'!$A$5:$H$21,5,FALSE),3))</f>
        <v/>
      </c>
      <c r="AJ372">
        <f>IF($A372="","",IFERROR(VLOOKUP($B372,'_CONFIG_Risk_Calibration'!$A$5:$H$21,6,FALSE),"No"))</f>
        <v/>
      </c>
      <c r="AK372">
        <f>IF($A372="","",IFERROR(VLOOKUP($B372,'_CONFIG_Risk_Calibration'!$A$5:$H$21,7,FALSE),1))</f>
        <v/>
      </c>
      <c r="AL372">
        <f>IF($A372="","",IFERROR(VLOOKUP($B372,'_CONFIG_Risk_Calibration'!$A$5:$H$21,8,FALSE),""))</f>
        <v/>
      </c>
    </row>
    <row r="373" ht="72" customHeight="1" s="209">
      <c r="A373" s="13" t="inlineStr">
        <is>
          <t>CYBE-001</t>
        </is>
      </c>
      <c r="B373" s="13" t="inlineStr">
        <is>
          <t>Cyber Privacy</t>
        </is>
      </c>
      <c r="C373" s="13" t="inlineStr">
        <is>
          <t>Security governance</t>
        </is>
      </c>
      <c r="D373" s="13" t="inlineStr">
        <is>
          <t>Cybersecurity, privacy and access control</t>
        </is>
      </c>
      <c r="E373" s="13" t="inlineStr">
        <is>
          <t>How mature is the organization in managing information security management system with policies, owners, risks and controls, including ownership, evidence, metrics, fallback procedures and crisis stress testing?</t>
        </is>
      </c>
      <c r="F373" s="13" t="inlineStr">
        <is>
          <t>Immature capability for information security management system with policies, owners, risks and controls may lead to security incident, data breach, privilege misuse, privacy violation and regulatory exposure during Cyberattack; Data breach; Ransomware; Insider threat.</t>
        </is>
      </c>
      <c r="G373" s="13" t="inlineStr">
        <is>
          <t>Low maturity, weak ownership, incomplete evidence, insufficient testing and poor integration with crisis-management routines for information security management system with policies, owners, risks and controls.</t>
        </is>
      </c>
      <c r="H373" s="13" t="inlineStr">
        <is>
          <t>Severe risk: information security management system with policies, owners, risks and controls is not reliably controlled. During Cyberattack; Data breach; Ransomware; Insider threat, the organization may face security incident, data breach, privilege misuse, privacy violation and regulatory exposure with limited visibility or accountability.</t>
        </is>
      </c>
      <c r="I373" s="13" t="inlineStr">
        <is>
          <t>High risk: information security management system with policies, owners, risks and controls depends on informal practices or individual knowledge. Disruption may expose security incident, data breach, privilege misuse, privacy violation and regulatory exposure and slow recovery.</t>
        </is>
      </c>
      <c r="J373" s="13" t="inlineStr">
        <is>
          <t>Elevated risk: information security management system with policies, owners, risks and controls is partially controlled, but coverage, evidence or testing is inconsistent. Crisis response may be fragmented.</t>
        </is>
      </c>
      <c r="K373" s="13" t="inlineStr">
        <is>
          <t>Moderate risk: information security management system with policies, owners, risks and controls is documented and owned, but measurement, stress testing and integration with dependent processes need strengthening.</t>
        </is>
      </c>
      <c r="L373" s="13" t="inlineStr">
        <is>
          <t>Residual risk: information security management system with policies, owners, risks and controls is measured and reviewed, but monitoring, automation or scenario testing should be improved to prevent maturity drift.</t>
        </is>
      </c>
      <c r="M373" s="13" t="inlineStr">
        <is>
          <t>Low residual risk: information security management system with policies, owners, risks and controls is mature and crisis-tested. Maintain monitoring, evidence, ownership and periodic stress testing.</t>
        </is>
      </c>
      <c r="N373" s="13" t="inlineStr">
        <is>
          <t>Create an immediate risk owner, minimum control baseline and fallback procedure for information security management system with policies, owners, risks and controls. Add it to the crisis risk register and collect first evidence.</t>
        </is>
      </c>
      <c r="O373" s="13" t="inlineStr">
        <is>
          <t>Document information security management system with policies, owners, risks and controls, assign RACI, define minimum controls and KPIs, and validate coverage across key sites, teams or systems.</t>
        </is>
      </c>
      <c r="P373" s="13" t="inlineStr">
        <is>
          <t>Standardize information security management system with policies, owners, risks and controls, close coverage gaps, train accountable roles and connect controls to the relevant crisis scenarios and continuity plans.</t>
        </is>
      </c>
      <c r="Q373" s="13" t="inlineStr">
        <is>
          <t>Measure and test information security management system with policies, owners, risks and controls, run tabletop or operational stress tests, integrate it with dependent processes and update crisis playbooks.</t>
        </is>
      </c>
      <c r="R373" s="13" t="inlineStr">
        <is>
          <t>Automate monitoring where practical, define leading indicators, run periodic scenario tests and track residual risk after each major change.</t>
        </is>
      </c>
      <c r="S373" s="13" t="inlineStr">
        <is>
          <t>Sustain maturity for information security management system with policies, owners, risks and controls: keep evidence current, monitor drift, benchmark externally and refresh risk tests after organizational, system or market changes.</t>
        </is>
      </c>
      <c r="T373" s="13" t="n">
        <v>4</v>
      </c>
      <c r="U373" s="13" t="n">
        <v>3</v>
      </c>
      <c r="V373" s="13" t="n">
        <v>3</v>
      </c>
      <c r="W373" s="13" t="n">
        <v>2</v>
      </c>
      <c r="X373" s="13" t="n">
        <v>1</v>
      </c>
      <c r="Y373" s="13" t="n">
        <v>1</v>
      </c>
      <c r="Z373" s="13" t="inlineStr">
        <is>
          <t>ISO/IEC 27001; ISO/IEC 27002; NIST CSF 2.0; CIS Controls; ISO/IEC 27701; GDPR; IEC 62443</t>
        </is>
      </c>
      <c r="AA373" s="13" t="inlineStr">
        <is>
          <t>Policy/SOP; owner/RACI; system report; dashboard; contracts; test records; incident history; interview evidence related to information security management system with policies, owners, risks and controls.</t>
        </is>
      </c>
      <c r="AB373" s="13" t="inlineStr">
        <is>
          <t>Cyberattack; Data breach; Ransomware; Insider threat</t>
        </is>
      </c>
      <c r="AC373" s="13" t="inlineStr">
        <is>
          <t>CISO / IT Security</t>
        </is>
      </c>
      <c r="AD373" s="13" t="inlineStr">
        <is>
          <t>Cyber Privacy!5</t>
        </is>
      </c>
      <c r="AE373">
        <f>IF($A373="","",IF(OR(ISNUMBER(SEARCH("cyber",$D373)),ISNUMBER(SEARCH("security",$D373)),ISNUMBER(SEARCH("safety",$D373)),ISNUMBER(SEARCH("liquidity",$D373)),ISNUMBER(SEARCH("cash",$D373)),ISNUMBER(SEARCH("continuity",$D373)),ISNUMBER(SEARCH("infrastructure",$D373)),ISNUMBER(SEARCH("outage",$D373))),"Fast",IF(OR(ISNUMBER(SEARCH("compliance",$D373)),ISNUMBER(SEARCH("regulat",$D373)),ISNUMBER(SEARCH("data",$D373)),ISNUMBER(SEARCH("talent",$D373)),ISNUMBER(SEARCH("knowledge",$D373)),ISNUMBER(SEARCH("portfolio",$D373)),ISNUMBER(SEARCH("quality",$D373))),"Slow","Medium")))</f>
        <v/>
      </c>
      <c r="AF373">
        <f>IF($A373="","",IFERROR(VLOOKUP($B373,'_CONFIG_Risk_Calibration'!$A$5:$H$21,2,FALSE),3))</f>
        <v/>
      </c>
      <c r="AG373">
        <f>IF($A373="","",IFERROR(VLOOKUP($B373,'_CONFIG_Risk_Calibration'!$A$5:$H$21,3,FALSE),0))</f>
        <v/>
      </c>
      <c r="AH373">
        <f>IF($A373="","",IFERROR(VLOOKUP($B373,'_CONFIG_Risk_Calibration'!$A$5:$H$21,4,FALSE),3))</f>
        <v/>
      </c>
      <c r="AI373">
        <f>IF($A373="","",IFERROR(VLOOKUP($B373,'_CONFIG_Risk_Calibration'!$A$5:$H$21,5,FALSE),3))</f>
        <v/>
      </c>
      <c r="AJ373">
        <f>IF($A373="","",IFERROR(VLOOKUP($B373,'_CONFIG_Risk_Calibration'!$A$5:$H$21,6,FALSE),"No"))</f>
        <v/>
      </c>
      <c r="AK373">
        <f>IF($A373="","",IFERROR(VLOOKUP($B373,'_CONFIG_Risk_Calibration'!$A$5:$H$21,7,FALSE),1))</f>
        <v/>
      </c>
      <c r="AL373">
        <f>IF($A373="","",IFERROR(VLOOKUP($B373,'_CONFIG_Risk_Calibration'!$A$5:$H$21,8,FALSE),""))</f>
        <v/>
      </c>
    </row>
    <row r="374" ht="72" customHeight="1" s="209">
      <c r="A374" s="13" t="inlineStr">
        <is>
          <t>CYBE-002</t>
        </is>
      </c>
      <c r="B374" s="13" t="inlineStr">
        <is>
          <t>Cyber Privacy</t>
        </is>
      </c>
      <c r="C374" s="13" t="inlineStr">
        <is>
          <t>Security governance</t>
        </is>
      </c>
      <c r="D374" s="13" t="inlineStr">
        <is>
          <t>Cybersecurity, privacy and access control</t>
        </is>
      </c>
      <c r="E374" s="13" t="inlineStr">
        <is>
          <t>How mature is the organization in managing cyber risk register linked to business impact and crisis scenarios, including ownership, evidence, metrics, fallback procedures and crisis stress testing?</t>
        </is>
      </c>
      <c r="F374" s="13" t="inlineStr">
        <is>
          <t>Immature capability for cyber risk register linked to business impact and crisis scenarios may lead to security incident, data breach, privilege misuse, privacy violation and regulatory exposure during Cyberattack; Data breach; Ransomware; Insider threat.</t>
        </is>
      </c>
      <c r="G374" s="13" t="inlineStr">
        <is>
          <t>Low maturity, weak ownership, incomplete evidence, insufficient testing and poor integration with crisis-management routines for cyber risk register linked to business impact and crisis scenarios.</t>
        </is>
      </c>
      <c r="H374" s="13" t="inlineStr">
        <is>
          <t>Severe risk: cyber risk register linked to business impact and crisis scenarios is not reliably controlled. During Cyberattack; Data breach; Ransomware; Insider threat, the organization may face security incident, data breach, privilege misuse, privacy violation and regulatory exposure with limited visibility or accountability.</t>
        </is>
      </c>
      <c r="I374" s="13" t="inlineStr">
        <is>
          <t>High risk: cyber risk register linked to business impact and crisis scenarios depends on informal practices or individual knowledge. Disruption may expose security incident, data breach, privilege misuse, privacy violation and regulatory exposure and slow recovery.</t>
        </is>
      </c>
      <c r="J374" s="13" t="inlineStr">
        <is>
          <t>Elevated risk: cyber risk register linked to business impact and crisis scenarios is partially controlled, but coverage, evidence or testing is inconsistent. Crisis response may be fragmented.</t>
        </is>
      </c>
      <c r="K374" s="13" t="inlineStr">
        <is>
          <t>Moderate risk: cyber risk register linked to business impact and crisis scenarios is documented and owned, but measurement, stress testing and integration with dependent processes need strengthening.</t>
        </is>
      </c>
      <c r="L374" s="13" t="inlineStr">
        <is>
          <t>Residual risk: cyber risk register linked to business impact and crisis scenarios is measured and reviewed, but monitoring, automation or scenario testing should be improved to prevent maturity drift.</t>
        </is>
      </c>
      <c r="M374" s="13" t="inlineStr">
        <is>
          <t>Low residual risk: cyber risk register linked to business impact and crisis scenarios is mature and crisis-tested. Maintain monitoring, evidence, ownership and periodic stress testing.</t>
        </is>
      </c>
      <c r="N374" s="13" t="inlineStr">
        <is>
          <t>Create an immediate risk owner, minimum control baseline and fallback procedure for cyber risk register linked to business impact and crisis scenarios. Add it to the crisis risk register and collect first evidence.</t>
        </is>
      </c>
      <c r="O374" s="13" t="inlineStr">
        <is>
          <t>Document cyber risk register linked to business impact and crisis scenarios, assign RACI, define minimum controls and KPIs, and validate coverage across key sites, teams or systems.</t>
        </is>
      </c>
      <c r="P374" s="13" t="inlineStr">
        <is>
          <t>Standardize cyber risk register linked to business impact and crisis scenarios, close coverage gaps, train accountable roles and connect controls to the relevant crisis scenarios and continuity plans.</t>
        </is>
      </c>
      <c r="Q374" s="13" t="inlineStr">
        <is>
          <t>Measure and test cyber risk register linked to business impact and crisis scenarios, run tabletop or operational stress tests, integrate it with dependent processes and update crisis playbooks.</t>
        </is>
      </c>
      <c r="R374" s="13" t="inlineStr">
        <is>
          <t>Automate monitoring where practical, define leading indicators, run periodic scenario tests and track residual risk after each major change.</t>
        </is>
      </c>
      <c r="S374" s="13" t="inlineStr">
        <is>
          <t>Sustain maturity for cyber risk register linked to business impact and crisis scenarios: keep evidence current, monitor drift, benchmark externally and refresh risk tests after organizational, system or market changes.</t>
        </is>
      </c>
      <c r="T374" s="13" t="n">
        <v>4</v>
      </c>
      <c r="U374" s="13" t="n">
        <v>3</v>
      </c>
      <c r="V374" s="13" t="n">
        <v>3</v>
      </c>
      <c r="W374" s="13" t="n">
        <v>2</v>
      </c>
      <c r="X374" s="13" t="n">
        <v>1</v>
      </c>
      <c r="Y374" s="13" t="n">
        <v>1</v>
      </c>
      <c r="Z374" s="13" t="inlineStr">
        <is>
          <t>ISO/IEC 27001; ISO/IEC 27002; NIST CSF 2.0; CIS Controls; ISO/IEC 27701; GDPR; IEC 62443</t>
        </is>
      </c>
      <c r="AA374" s="13" t="inlineStr">
        <is>
          <t>Policy/SOP; owner/RACI; system report; dashboard; contracts; test records; incident history; interview evidence related to cyber risk register linked to business impact and crisis scenarios.</t>
        </is>
      </c>
      <c r="AB374" s="13" t="inlineStr">
        <is>
          <t>Cyberattack; Data breach; Ransomware; Insider threat</t>
        </is>
      </c>
      <c r="AC374" s="13" t="inlineStr">
        <is>
          <t>CISO / IT Security</t>
        </is>
      </c>
      <c r="AD374" s="13" t="inlineStr">
        <is>
          <t>Cyber Privacy!6</t>
        </is>
      </c>
      <c r="AE374">
        <f>IF($A374="","",IF(OR(ISNUMBER(SEARCH("cyber",$D374)),ISNUMBER(SEARCH("security",$D374)),ISNUMBER(SEARCH("safety",$D374)),ISNUMBER(SEARCH("liquidity",$D374)),ISNUMBER(SEARCH("cash",$D374)),ISNUMBER(SEARCH("continuity",$D374)),ISNUMBER(SEARCH("infrastructure",$D374)),ISNUMBER(SEARCH("outage",$D374))),"Fast",IF(OR(ISNUMBER(SEARCH("compliance",$D374)),ISNUMBER(SEARCH("regulat",$D374)),ISNUMBER(SEARCH("data",$D374)),ISNUMBER(SEARCH("talent",$D374)),ISNUMBER(SEARCH("knowledge",$D374)),ISNUMBER(SEARCH("portfolio",$D374)),ISNUMBER(SEARCH("quality",$D374))),"Slow","Medium")))</f>
        <v/>
      </c>
      <c r="AF374">
        <f>IF($A374="","",IFERROR(VLOOKUP($B374,'_CONFIG_Risk_Calibration'!$A$5:$H$21,2,FALSE),3))</f>
        <v/>
      </c>
      <c r="AG374">
        <f>IF($A374="","",IFERROR(VLOOKUP($B374,'_CONFIG_Risk_Calibration'!$A$5:$H$21,3,FALSE),0))</f>
        <v/>
      </c>
      <c r="AH374">
        <f>IF($A374="","",IFERROR(VLOOKUP($B374,'_CONFIG_Risk_Calibration'!$A$5:$H$21,4,FALSE),3))</f>
        <v/>
      </c>
      <c r="AI374">
        <f>IF($A374="","",IFERROR(VLOOKUP($B374,'_CONFIG_Risk_Calibration'!$A$5:$H$21,5,FALSE),3))</f>
        <v/>
      </c>
      <c r="AJ374">
        <f>IF($A374="","",IFERROR(VLOOKUP($B374,'_CONFIG_Risk_Calibration'!$A$5:$H$21,6,FALSE),"No"))</f>
        <v/>
      </c>
      <c r="AK374">
        <f>IF($A374="","",IFERROR(VLOOKUP($B374,'_CONFIG_Risk_Calibration'!$A$5:$H$21,7,FALSE),1))</f>
        <v/>
      </c>
      <c r="AL374">
        <f>IF($A374="","",IFERROR(VLOOKUP($B374,'_CONFIG_Risk_Calibration'!$A$5:$H$21,8,FALSE),""))</f>
        <v/>
      </c>
    </row>
    <row r="375" ht="72" customHeight="1" s="209">
      <c r="A375" s="13" t="inlineStr">
        <is>
          <t>CYBE-003</t>
        </is>
      </c>
      <c r="B375" s="13" t="inlineStr">
        <is>
          <t>Cyber Privacy</t>
        </is>
      </c>
      <c r="C375" s="13" t="inlineStr">
        <is>
          <t>Security governance</t>
        </is>
      </c>
      <c r="D375" s="13" t="inlineStr">
        <is>
          <t>Cybersecurity, privacy and access control</t>
        </is>
      </c>
      <c r="E375" s="13" t="inlineStr">
        <is>
          <t>How mature is the organization in managing security KPI reporting to leadership covering vulnerabilities, incidents, MFA, phishing, backups and access reviews, including ownership, evidence, metrics, fallback procedures and crisis stress testing?</t>
        </is>
      </c>
      <c r="F375" s="13" t="inlineStr">
        <is>
          <t>Immature capability for security KPI reporting to leadership covering vulnerabilities, incidents, MFA, phishing, backups and access reviews may lead to security incident, data breach, privilege misuse, privacy violation and regulatory exposure during Cyberattack; Data breach; Ransomware; Insider threat.</t>
        </is>
      </c>
      <c r="G375" s="13" t="inlineStr">
        <is>
          <t>Low maturity, weak ownership, incomplete evidence, insufficient testing and poor integration with crisis-management routines for security KPI reporting to leadership covering vulnerabilities, incidents, MFA, phishing, backups and access reviews.</t>
        </is>
      </c>
      <c r="H375" s="13" t="inlineStr">
        <is>
          <t>Severe risk: security KPI reporting to leadership covering vulnerabilities, incidents, MFA, phishing, backups and access reviews is not reliably controlled. During Cyberattack; Data breach; Ransomware; Insider threat, the organization may face security incident, data breach, privilege misuse, privacy violation and regulatory exposure with limited visibility or accountability.</t>
        </is>
      </c>
      <c r="I375" s="13" t="inlineStr">
        <is>
          <t>High risk: security KPI reporting to leadership covering vulnerabilities, incidents, MFA, phishing, backups and access reviews depends on informal practices or individual knowledge. Disruption may expose security incident, data breach, privilege misuse, privacy violation and regulatory exposure and slow recovery.</t>
        </is>
      </c>
      <c r="J375" s="13" t="inlineStr">
        <is>
          <t>Elevated risk: security KPI reporting to leadership covering vulnerabilities, incidents, MFA, phishing, backups and access reviews is partially controlled, but coverage, evidence or testing is inconsistent. Crisis response may be fragmented.</t>
        </is>
      </c>
      <c r="K375" s="13" t="inlineStr">
        <is>
          <t>Moderate risk: security KPI reporting to leadership covering vulnerabilities, incidents, MFA, phishing, backups and access reviews is documented and owned, but measurement, stress testing and integration with dependent processes need strengthening.</t>
        </is>
      </c>
      <c r="L375" s="13" t="inlineStr">
        <is>
          <t>Residual risk: security KPI reporting to leadership covering vulnerabilities, incidents, MFA, phishing, backups and access reviews is measured and reviewed, but monitoring, automation or scenario testing should be improved to prevent maturity drift.</t>
        </is>
      </c>
      <c r="M375" s="13" t="inlineStr">
        <is>
          <t>Low residual risk: security KPI reporting to leadership covering vulnerabilities, incidents, MFA, phishing, backups and access reviews is mature and crisis-tested. Maintain monitoring, evidence, ownership and periodic stress testing.</t>
        </is>
      </c>
      <c r="N375" s="13" t="inlineStr">
        <is>
          <t>Create an immediate risk owner, minimum control baseline and fallback procedure for security KPI reporting to leadership covering vulnerabilities, incidents, MFA, phishing, backups and access reviews. Add it to the crisis risk register and collect first evidence.</t>
        </is>
      </c>
      <c r="O375" s="13" t="inlineStr">
        <is>
          <t>Document security KPI reporting to leadership covering vulnerabilities, incidents, MFA, phishing, backups and access reviews, assign RACI, define minimum controls and KPIs, and validate coverage across key sites, teams or systems.</t>
        </is>
      </c>
      <c r="P375" s="13" t="inlineStr">
        <is>
          <t>Standardize security KPI reporting to leadership covering vulnerabilities, incidents, MFA, phishing, backups and access reviews, close coverage gaps, train accountable roles and connect controls to the relevant crisis scenarios and continuity plans.</t>
        </is>
      </c>
      <c r="Q375" s="13" t="inlineStr">
        <is>
          <t>Measure and test security KPI reporting to leadership covering vulnerabilities, incidents, MFA, phishing, backups and access reviews, run tabletop or operational stress tests, integrate it with dependent processes and update crisis playbooks.</t>
        </is>
      </c>
      <c r="R375" s="13" t="inlineStr">
        <is>
          <t>Automate monitoring where practical, define leading indicators, run periodic scenario tests and track residual risk after each major change.</t>
        </is>
      </c>
      <c r="S375" s="13" t="inlineStr">
        <is>
          <t>Sustain maturity for security KPI reporting to leadership covering vulnerabilities, incidents, MFA, phishing, backups and access reviews: keep evidence current, monitor drift, benchmark externally and refresh risk tests after organizational, system or market changes.</t>
        </is>
      </c>
      <c r="T375" s="13" t="n">
        <v>4</v>
      </c>
      <c r="U375" s="13" t="n">
        <v>3</v>
      </c>
      <c r="V375" s="13" t="n">
        <v>3</v>
      </c>
      <c r="W375" s="13" t="n">
        <v>2</v>
      </c>
      <c r="X375" s="13" t="n">
        <v>1</v>
      </c>
      <c r="Y375" s="13" t="n">
        <v>1</v>
      </c>
      <c r="Z375" s="13" t="inlineStr">
        <is>
          <t>ISO/IEC 27001; ISO/IEC 27002; NIST CSF 2.0; CIS Controls; ISO/IEC 27701; GDPR; IEC 62443</t>
        </is>
      </c>
      <c r="AA375" s="13" t="inlineStr">
        <is>
          <t>Policy/SOP; owner/RACI; system report; dashboard; contracts; test records; incident history; interview evidence related to security KPI reporting to leadership covering vulnerabilities, incidents, MFA, phishing, backups and access reviews.</t>
        </is>
      </c>
      <c r="AB375" s="13" t="inlineStr">
        <is>
          <t>Cyberattack; Data breach; Ransomware; Insider threat</t>
        </is>
      </c>
      <c r="AC375" s="13" t="inlineStr">
        <is>
          <t>CISO / IT Security</t>
        </is>
      </c>
      <c r="AD375" s="13" t="inlineStr">
        <is>
          <t>Cyber Privacy!7</t>
        </is>
      </c>
      <c r="AE375">
        <f>IF($A375="","",IF(OR(ISNUMBER(SEARCH("cyber",$D375)),ISNUMBER(SEARCH("security",$D375)),ISNUMBER(SEARCH("safety",$D375)),ISNUMBER(SEARCH("liquidity",$D375)),ISNUMBER(SEARCH("cash",$D375)),ISNUMBER(SEARCH("continuity",$D375)),ISNUMBER(SEARCH("infrastructure",$D375)),ISNUMBER(SEARCH("outage",$D375))),"Fast",IF(OR(ISNUMBER(SEARCH("compliance",$D375)),ISNUMBER(SEARCH("regulat",$D375)),ISNUMBER(SEARCH("data",$D375)),ISNUMBER(SEARCH("talent",$D375)),ISNUMBER(SEARCH("knowledge",$D375)),ISNUMBER(SEARCH("portfolio",$D375)),ISNUMBER(SEARCH("quality",$D375))),"Slow","Medium")))</f>
        <v/>
      </c>
      <c r="AF375">
        <f>IF($A375="","",IFERROR(VLOOKUP($B375,'_CONFIG_Risk_Calibration'!$A$5:$H$21,2,FALSE),3))</f>
        <v/>
      </c>
      <c r="AG375">
        <f>IF($A375="","",IFERROR(VLOOKUP($B375,'_CONFIG_Risk_Calibration'!$A$5:$H$21,3,FALSE),0))</f>
        <v/>
      </c>
      <c r="AH375">
        <f>IF($A375="","",IFERROR(VLOOKUP($B375,'_CONFIG_Risk_Calibration'!$A$5:$H$21,4,FALSE),3))</f>
        <v/>
      </c>
      <c r="AI375">
        <f>IF($A375="","",IFERROR(VLOOKUP($B375,'_CONFIG_Risk_Calibration'!$A$5:$H$21,5,FALSE),3))</f>
        <v/>
      </c>
      <c r="AJ375">
        <f>IF($A375="","",IFERROR(VLOOKUP($B375,'_CONFIG_Risk_Calibration'!$A$5:$H$21,6,FALSE),"No"))</f>
        <v/>
      </c>
      <c r="AK375">
        <f>IF($A375="","",IFERROR(VLOOKUP($B375,'_CONFIG_Risk_Calibration'!$A$5:$H$21,7,FALSE),1))</f>
        <v/>
      </c>
      <c r="AL375">
        <f>IF($A375="","",IFERROR(VLOOKUP($B375,'_CONFIG_Risk_Calibration'!$A$5:$H$21,8,FALSE),""))</f>
        <v/>
      </c>
    </row>
    <row r="376" ht="72" customHeight="1" s="209">
      <c r="A376" s="13" t="inlineStr">
        <is>
          <t>CYBE-004</t>
        </is>
      </c>
      <c r="B376" s="13" t="inlineStr">
        <is>
          <t>Cyber Privacy</t>
        </is>
      </c>
      <c r="C376" s="13" t="inlineStr">
        <is>
          <t>Security governance</t>
        </is>
      </c>
      <c r="D376" s="13" t="inlineStr">
        <is>
          <t>Cybersecurity, privacy and access control</t>
        </is>
      </c>
      <c r="E376" s="13" t="inlineStr">
        <is>
          <t>How mature is the organization in managing security evidence readiness for customers, regulators, insurers and partners, including ownership, evidence, metrics, fallback procedures and crisis stress testing?</t>
        </is>
      </c>
      <c r="F376" s="13" t="inlineStr">
        <is>
          <t>Immature capability for security evidence readiness for customers, regulators, insurers and partners may lead to security incident, data breach, privilege misuse, privacy violation and regulatory exposure during Cyberattack; Data breach; Ransomware; Insider threat.</t>
        </is>
      </c>
      <c r="G376" s="13" t="inlineStr">
        <is>
          <t>Low maturity, weak ownership, incomplete evidence, insufficient testing and poor integration with crisis-management routines for security evidence readiness for customers, regulators, insurers and partners.</t>
        </is>
      </c>
      <c r="H376" s="13" t="inlineStr">
        <is>
          <t>Severe risk: security evidence readiness for customers, regulators, insurers and partners is not reliably controlled. During Cyberattack; Data breach; Ransomware; Insider threat, the organization may face security incident, data breach, privilege misuse, privacy violation and regulatory exposure with limited visibility or accountability.</t>
        </is>
      </c>
      <c r="I376" s="13" t="inlineStr">
        <is>
          <t>High risk: security evidence readiness for customers, regulators, insurers and partners depends on informal practices or individual knowledge. Disruption may expose security incident, data breach, privilege misuse, privacy violation and regulatory exposure and slow recovery.</t>
        </is>
      </c>
      <c r="J376" s="13" t="inlineStr">
        <is>
          <t>Elevated risk: security evidence readiness for customers, regulators, insurers and partners is partially controlled, but coverage, evidence or testing is inconsistent. Crisis response may be fragmented.</t>
        </is>
      </c>
      <c r="K376" s="13" t="inlineStr">
        <is>
          <t>Moderate risk: security evidence readiness for customers, regulators, insurers and partners is documented and owned, but measurement, stress testing and integration with dependent processes need strengthening.</t>
        </is>
      </c>
      <c r="L376" s="13" t="inlineStr">
        <is>
          <t>Residual risk: security evidence readiness for customers, regulators, insurers and partners is measured and reviewed, but monitoring, automation or scenario testing should be improved to prevent maturity drift.</t>
        </is>
      </c>
      <c r="M376" s="13" t="inlineStr">
        <is>
          <t>Low residual risk: security evidence readiness for customers, regulators, insurers and partners is mature and crisis-tested. Maintain monitoring, evidence, ownership and periodic stress testing.</t>
        </is>
      </c>
      <c r="N376" s="13" t="inlineStr">
        <is>
          <t>Create an immediate risk owner, minimum control baseline and fallback procedure for security evidence readiness for customers, regulators, insurers and partners. Add it to the crisis risk register and collect first evidence.</t>
        </is>
      </c>
      <c r="O376" s="13" t="inlineStr">
        <is>
          <t>Document security evidence readiness for customers, regulators, insurers and partners, assign RACI, define minimum controls and KPIs, and validate coverage across key sites, teams or systems.</t>
        </is>
      </c>
      <c r="P376" s="13" t="inlineStr">
        <is>
          <t>Standardize security evidence readiness for customers, regulators, insurers and partners, close coverage gaps, train accountable roles and connect controls to the relevant crisis scenarios and continuity plans.</t>
        </is>
      </c>
      <c r="Q376" s="13" t="inlineStr">
        <is>
          <t>Measure and test security evidence readiness for customers, regulators, insurers and partners, run tabletop or operational stress tests, integrate it with dependent processes and update crisis playbooks.</t>
        </is>
      </c>
      <c r="R376" s="13" t="inlineStr">
        <is>
          <t>Automate monitoring where practical, define leading indicators, run periodic scenario tests and track residual risk after each major change.</t>
        </is>
      </c>
      <c r="S376" s="13" t="inlineStr">
        <is>
          <t>Sustain maturity for security evidence readiness for customers, regulators, insurers and partners: keep evidence current, monitor drift, benchmark externally and refresh risk tests after organizational, system or market changes.</t>
        </is>
      </c>
      <c r="T376" s="13" t="n">
        <v>4</v>
      </c>
      <c r="U376" s="13" t="n">
        <v>3</v>
      </c>
      <c r="V376" s="13" t="n">
        <v>3</v>
      </c>
      <c r="W376" s="13" t="n">
        <v>2</v>
      </c>
      <c r="X376" s="13" t="n">
        <v>1</v>
      </c>
      <c r="Y376" s="13" t="n">
        <v>1</v>
      </c>
      <c r="Z376" s="13" t="inlineStr">
        <is>
          <t>ISO/IEC 27001; ISO/IEC 27002; NIST CSF 2.0; CIS Controls; ISO/IEC 27701; GDPR; IEC 62443</t>
        </is>
      </c>
      <c r="AA376" s="13" t="inlineStr">
        <is>
          <t>Policy/SOP; owner/RACI; system report; dashboard; contracts; test records; incident history; interview evidence related to security evidence readiness for customers, regulators, insurers and partners.</t>
        </is>
      </c>
      <c r="AB376" s="13" t="inlineStr">
        <is>
          <t>Cyberattack; Data breach; Ransomware; Insider threat</t>
        </is>
      </c>
      <c r="AC376" s="13" t="inlineStr">
        <is>
          <t>CISO / IT Security</t>
        </is>
      </c>
      <c r="AD376" s="13" t="inlineStr">
        <is>
          <t>Cyber Privacy!8</t>
        </is>
      </c>
      <c r="AE376">
        <f>IF($A376="","",IF(OR(ISNUMBER(SEARCH("cyber",$D376)),ISNUMBER(SEARCH("security",$D376)),ISNUMBER(SEARCH("safety",$D376)),ISNUMBER(SEARCH("liquidity",$D376)),ISNUMBER(SEARCH("cash",$D376)),ISNUMBER(SEARCH("continuity",$D376)),ISNUMBER(SEARCH("infrastructure",$D376)),ISNUMBER(SEARCH("outage",$D376))),"Fast",IF(OR(ISNUMBER(SEARCH("compliance",$D376)),ISNUMBER(SEARCH("regulat",$D376)),ISNUMBER(SEARCH("data",$D376)),ISNUMBER(SEARCH("talent",$D376)),ISNUMBER(SEARCH("knowledge",$D376)),ISNUMBER(SEARCH("portfolio",$D376)),ISNUMBER(SEARCH("quality",$D376))),"Slow","Medium")))</f>
        <v/>
      </c>
      <c r="AF376">
        <f>IF($A376="","",IFERROR(VLOOKUP($B376,'_CONFIG_Risk_Calibration'!$A$5:$H$21,2,FALSE),3))</f>
        <v/>
      </c>
      <c r="AG376">
        <f>IF($A376="","",IFERROR(VLOOKUP($B376,'_CONFIG_Risk_Calibration'!$A$5:$H$21,3,FALSE),0))</f>
        <v/>
      </c>
      <c r="AH376">
        <f>IF($A376="","",IFERROR(VLOOKUP($B376,'_CONFIG_Risk_Calibration'!$A$5:$H$21,4,FALSE),3))</f>
        <v/>
      </c>
      <c r="AI376">
        <f>IF($A376="","",IFERROR(VLOOKUP($B376,'_CONFIG_Risk_Calibration'!$A$5:$H$21,5,FALSE),3))</f>
        <v/>
      </c>
      <c r="AJ376">
        <f>IF($A376="","",IFERROR(VLOOKUP($B376,'_CONFIG_Risk_Calibration'!$A$5:$H$21,6,FALSE),"No"))</f>
        <v/>
      </c>
      <c r="AK376">
        <f>IF($A376="","",IFERROR(VLOOKUP($B376,'_CONFIG_Risk_Calibration'!$A$5:$H$21,7,FALSE),1))</f>
        <v/>
      </c>
      <c r="AL376">
        <f>IF($A376="","",IFERROR(VLOOKUP($B376,'_CONFIG_Risk_Calibration'!$A$5:$H$21,8,FALSE),""))</f>
        <v/>
      </c>
    </row>
    <row r="377" ht="72" customHeight="1" s="209">
      <c r="A377" s="13" t="inlineStr">
        <is>
          <t>CYBE-005</t>
        </is>
      </c>
      <c r="B377" s="13" t="inlineStr">
        <is>
          <t>Cyber Privacy</t>
        </is>
      </c>
      <c r="C377" s="13" t="inlineStr">
        <is>
          <t>Security governance</t>
        </is>
      </c>
      <c r="D377" s="13" t="inlineStr">
        <is>
          <t>Cybersecurity, privacy and access control</t>
        </is>
      </c>
      <c r="E377" s="13" t="inlineStr">
        <is>
          <t>How mature is the organization in managing third-party cyber risk assessment for critical vendors and outsourced services, including ownership, evidence, metrics, fallback procedures and crisis stress testing?</t>
        </is>
      </c>
      <c r="F377" s="13" t="inlineStr">
        <is>
          <t>Immature capability for third-party cyber risk assessment for critical vendors and outsourced services may lead to security incident, data breach, privilege misuse, privacy violation and regulatory exposure during Cyberattack; Data breach; Ransomware; Insider threat.</t>
        </is>
      </c>
      <c r="G377" s="13" t="inlineStr">
        <is>
          <t>Low maturity, weak ownership, incomplete evidence, insufficient testing and poor integration with crisis-management routines for third-party cyber risk assessment for critical vendors and outsourced services.</t>
        </is>
      </c>
      <c r="H377" s="13" t="inlineStr">
        <is>
          <t>Severe risk: third-party cyber risk assessment for critical vendors and outsourced services is not reliably controlled. During Cyberattack; Data breach; Ransomware; Insider threat, the organization may face security incident, data breach, privilege misuse, privacy violation and regulatory exposure with limited visibility or accountability.</t>
        </is>
      </c>
      <c r="I377" s="13" t="inlineStr">
        <is>
          <t>High risk: third-party cyber risk assessment for critical vendors and outsourced services depends on informal practices or individual knowledge. Disruption may expose security incident, data breach, privilege misuse, privacy violation and regulatory exposure and slow recovery.</t>
        </is>
      </c>
      <c r="J377" s="13" t="inlineStr">
        <is>
          <t>Elevated risk: third-party cyber risk assessment for critical vendors and outsourced services is partially controlled, but coverage, evidence or testing is inconsistent. Crisis response may be fragmented.</t>
        </is>
      </c>
      <c r="K377" s="13" t="inlineStr">
        <is>
          <t>Moderate risk: third-party cyber risk assessment for critical vendors and outsourced services is documented and owned, but measurement, stress testing and integration with dependent processes need strengthening.</t>
        </is>
      </c>
      <c r="L377" s="13" t="inlineStr">
        <is>
          <t>Residual risk: third-party cyber risk assessment for critical vendors and outsourced services is measured and reviewed, but monitoring, automation or scenario testing should be improved to prevent maturity drift.</t>
        </is>
      </c>
      <c r="M377" s="13" t="inlineStr">
        <is>
          <t>Low residual risk: third-party cyber risk assessment for critical vendors and outsourced services is mature and crisis-tested. Maintain monitoring, evidence, ownership and periodic stress testing.</t>
        </is>
      </c>
      <c r="N377" s="13" t="inlineStr">
        <is>
          <t>Create an immediate risk owner, minimum control baseline and fallback procedure for third-party cyber risk assessment for critical vendors and outsourced services. Add it to the crisis risk register and collect first evidence.</t>
        </is>
      </c>
      <c r="O377" s="13" t="inlineStr">
        <is>
          <t>Document third-party cyber risk assessment for critical vendors and outsourced services, assign RACI, define minimum controls and KPIs, and validate coverage across key sites, teams or systems.</t>
        </is>
      </c>
      <c r="P377" s="13" t="inlineStr">
        <is>
          <t>Standardize third-party cyber risk assessment for critical vendors and outsourced services, close coverage gaps, train accountable roles and connect controls to the relevant crisis scenarios and continuity plans.</t>
        </is>
      </c>
      <c r="Q377" s="13" t="inlineStr">
        <is>
          <t>Measure and test third-party cyber risk assessment for critical vendors and outsourced services, run tabletop or operational stress tests, integrate it with dependent processes and update crisis playbooks.</t>
        </is>
      </c>
      <c r="R377" s="13" t="inlineStr">
        <is>
          <t>Automate monitoring where practical, define leading indicators, run periodic scenario tests and track residual risk after each major change.</t>
        </is>
      </c>
      <c r="S377" s="13" t="inlineStr">
        <is>
          <t>Sustain maturity for third-party cyber risk assessment for critical vendors and outsourced services: keep evidence current, monitor drift, benchmark externally and refresh risk tests after organizational, system or market changes.</t>
        </is>
      </c>
      <c r="T377" s="13" t="n">
        <v>4</v>
      </c>
      <c r="U377" s="13" t="n">
        <v>3</v>
      </c>
      <c r="V377" s="13" t="n">
        <v>3</v>
      </c>
      <c r="W377" s="13" t="n">
        <v>2</v>
      </c>
      <c r="X377" s="13" t="n">
        <v>1</v>
      </c>
      <c r="Y377" s="13" t="n">
        <v>1</v>
      </c>
      <c r="Z377" s="13" t="inlineStr">
        <is>
          <t>ISO/IEC 27001; ISO/IEC 27002; NIST CSF 2.0; CIS Controls; ISO/IEC 27701; GDPR; IEC 62443</t>
        </is>
      </c>
      <c r="AA377" s="13" t="inlineStr">
        <is>
          <t>Policy/SOP; owner/RACI; system report; dashboard; contracts; test records; incident history; interview evidence related to third-party cyber risk assessment for critical vendors and outsourced services.</t>
        </is>
      </c>
      <c r="AB377" s="13" t="inlineStr">
        <is>
          <t>Cyberattack; Data breach; Ransomware; Insider threat</t>
        </is>
      </c>
      <c r="AC377" s="13" t="inlineStr">
        <is>
          <t>CISO / IT Security</t>
        </is>
      </c>
      <c r="AD377" s="13" t="inlineStr">
        <is>
          <t>Cyber Privacy!9</t>
        </is>
      </c>
      <c r="AE377">
        <f>IF($A377="","",IF(OR(ISNUMBER(SEARCH("cyber",$D377)),ISNUMBER(SEARCH("security",$D377)),ISNUMBER(SEARCH("safety",$D377)),ISNUMBER(SEARCH("liquidity",$D377)),ISNUMBER(SEARCH("cash",$D377)),ISNUMBER(SEARCH("continuity",$D377)),ISNUMBER(SEARCH("infrastructure",$D377)),ISNUMBER(SEARCH("outage",$D377))),"Fast",IF(OR(ISNUMBER(SEARCH("compliance",$D377)),ISNUMBER(SEARCH("regulat",$D377)),ISNUMBER(SEARCH("data",$D377)),ISNUMBER(SEARCH("talent",$D377)),ISNUMBER(SEARCH("knowledge",$D377)),ISNUMBER(SEARCH("portfolio",$D377)),ISNUMBER(SEARCH("quality",$D377))),"Slow","Medium")))</f>
        <v/>
      </c>
      <c r="AF377">
        <f>IF($A377="","",IFERROR(VLOOKUP($B377,'_CONFIG_Risk_Calibration'!$A$5:$H$21,2,FALSE),3))</f>
        <v/>
      </c>
      <c r="AG377">
        <f>IF($A377="","",IFERROR(VLOOKUP($B377,'_CONFIG_Risk_Calibration'!$A$5:$H$21,3,FALSE),0))</f>
        <v/>
      </c>
      <c r="AH377">
        <f>IF($A377="","",IFERROR(VLOOKUP($B377,'_CONFIG_Risk_Calibration'!$A$5:$H$21,4,FALSE),3))</f>
        <v/>
      </c>
      <c r="AI377">
        <f>IF($A377="","",IFERROR(VLOOKUP($B377,'_CONFIG_Risk_Calibration'!$A$5:$H$21,5,FALSE),3))</f>
        <v/>
      </c>
      <c r="AJ377">
        <f>IF($A377="","",IFERROR(VLOOKUP($B377,'_CONFIG_Risk_Calibration'!$A$5:$H$21,6,FALSE),"No"))</f>
        <v/>
      </c>
      <c r="AK377">
        <f>IF($A377="","",IFERROR(VLOOKUP($B377,'_CONFIG_Risk_Calibration'!$A$5:$H$21,7,FALSE),1))</f>
        <v/>
      </c>
      <c r="AL377">
        <f>IF($A377="","",IFERROR(VLOOKUP($B377,'_CONFIG_Risk_Calibration'!$A$5:$H$21,8,FALSE),""))</f>
        <v/>
      </c>
    </row>
    <row r="378" ht="72" customHeight="1" s="209">
      <c r="A378" s="13" t="inlineStr">
        <is>
          <t>CYBE-006</t>
        </is>
      </c>
      <c r="B378" s="13" t="inlineStr">
        <is>
          <t>Cyber Privacy</t>
        </is>
      </c>
      <c r="C378" s="13" t="inlineStr">
        <is>
          <t>Security governance</t>
        </is>
      </c>
      <c r="D378" s="13" t="inlineStr">
        <is>
          <t>Cybersecurity, privacy and access control</t>
        </is>
      </c>
      <c r="E378" s="13" t="inlineStr">
        <is>
          <t>How mature is the organization in managing security awareness and phishing training for employees and contractors, including ownership, evidence, metrics, fallback procedures and crisis stress testing?</t>
        </is>
      </c>
      <c r="F378" s="13" t="inlineStr">
        <is>
          <t>Immature capability for security awareness and phishing training for employees and contractors may lead to security incident, data breach, privilege misuse, privacy violation and regulatory exposure during Cyberattack; Data breach; Ransomware; Insider threat.</t>
        </is>
      </c>
      <c r="G378" s="13" t="inlineStr">
        <is>
          <t>Low maturity, weak ownership, incomplete evidence, insufficient testing and poor integration with crisis-management routines for security awareness and phishing training for employees and contractors.</t>
        </is>
      </c>
      <c r="H378" s="13" t="inlineStr">
        <is>
          <t>Severe risk: security awareness and phishing training for employees and contractors is not reliably controlled. During Cyberattack; Data breach; Ransomware; Insider threat, the organization may face security incident, data breach, privilege misuse, privacy violation and regulatory exposure with limited visibility or accountability.</t>
        </is>
      </c>
      <c r="I378" s="13" t="inlineStr">
        <is>
          <t>High risk: security awareness and phishing training for employees and contractors depends on informal practices or individual knowledge. Disruption may expose security incident, data breach, privilege misuse, privacy violation and regulatory exposure and slow recovery.</t>
        </is>
      </c>
      <c r="J378" s="13" t="inlineStr">
        <is>
          <t>Elevated risk: security awareness and phishing training for employees and contractors is partially controlled, but coverage, evidence or testing is inconsistent. Crisis response may be fragmented.</t>
        </is>
      </c>
      <c r="K378" s="13" t="inlineStr">
        <is>
          <t>Moderate risk: security awareness and phishing training for employees and contractors is documented and owned, but measurement, stress testing and integration with dependent processes need strengthening.</t>
        </is>
      </c>
      <c r="L378" s="13" t="inlineStr">
        <is>
          <t>Residual risk: security awareness and phishing training for employees and contractors is measured and reviewed, but monitoring, automation or scenario testing should be improved to prevent maturity drift.</t>
        </is>
      </c>
      <c r="M378" s="13" t="inlineStr">
        <is>
          <t>Low residual risk: security awareness and phishing training for employees and contractors is mature and crisis-tested. Maintain monitoring, evidence, ownership and periodic stress testing.</t>
        </is>
      </c>
      <c r="N378" s="13" t="inlineStr">
        <is>
          <t>Create an immediate risk owner, minimum control baseline and fallback procedure for security awareness and phishing training for employees and contractors. Add it to the crisis risk register and collect first evidence.</t>
        </is>
      </c>
      <c r="O378" s="13" t="inlineStr">
        <is>
          <t>Document security awareness and phishing training for employees and contractors, assign RACI, define minimum controls and KPIs, and validate coverage across key sites, teams or systems.</t>
        </is>
      </c>
      <c r="P378" s="13" t="inlineStr">
        <is>
          <t>Standardize security awareness and phishing training for employees and contractors, close coverage gaps, train accountable roles and connect controls to the relevant crisis scenarios and continuity plans.</t>
        </is>
      </c>
      <c r="Q378" s="13" t="inlineStr">
        <is>
          <t>Measure and test security awareness and phishing training for employees and contractors, run tabletop or operational stress tests, integrate it with dependent processes and update crisis playbooks.</t>
        </is>
      </c>
      <c r="R378" s="13" t="inlineStr">
        <is>
          <t>Automate monitoring where practical, define leading indicators, run periodic scenario tests and track residual risk after each major change.</t>
        </is>
      </c>
      <c r="S378" s="13" t="inlineStr">
        <is>
          <t>Sustain maturity for security awareness and phishing training for employees and contractors: keep evidence current, monitor drift, benchmark externally and refresh risk tests after organizational, system or market changes.</t>
        </is>
      </c>
      <c r="T378" s="13" t="n">
        <v>4</v>
      </c>
      <c r="U378" s="13" t="n">
        <v>3</v>
      </c>
      <c r="V378" s="13" t="n">
        <v>3</v>
      </c>
      <c r="W378" s="13" t="n">
        <v>2</v>
      </c>
      <c r="X378" s="13" t="n">
        <v>1</v>
      </c>
      <c r="Y378" s="13" t="n">
        <v>1</v>
      </c>
      <c r="Z378" s="13" t="inlineStr">
        <is>
          <t>ISO/IEC 27001; ISO/IEC 27002; NIST CSF 2.0; CIS Controls; ISO/IEC 27701; GDPR; IEC 62443</t>
        </is>
      </c>
      <c r="AA378" s="13" t="inlineStr">
        <is>
          <t>Policy/SOP; owner/RACI; system report; dashboard; contracts; test records; incident history; interview evidence related to security awareness and phishing training for employees and contractors.</t>
        </is>
      </c>
      <c r="AB378" s="13" t="inlineStr">
        <is>
          <t>Cyberattack; Data breach; Ransomware; Insider threat</t>
        </is>
      </c>
      <c r="AC378" s="13" t="inlineStr">
        <is>
          <t>CISO / IT Security</t>
        </is>
      </c>
      <c r="AD378" s="13" t="inlineStr">
        <is>
          <t>Cyber Privacy!10</t>
        </is>
      </c>
      <c r="AE378">
        <f>IF($A378="","",IF(OR(ISNUMBER(SEARCH("cyber",$D378)),ISNUMBER(SEARCH("security",$D378)),ISNUMBER(SEARCH("safety",$D378)),ISNUMBER(SEARCH("liquidity",$D378)),ISNUMBER(SEARCH("cash",$D378)),ISNUMBER(SEARCH("continuity",$D378)),ISNUMBER(SEARCH("infrastructure",$D378)),ISNUMBER(SEARCH("outage",$D378))),"Fast",IF(OR(ISNUMBER(SEARCH("compliance",$D378)),ISNUMBER(SEARCH("regulat",$D378)),ISNUMBER(SEARCH("data",$D378)),ISNUMBER(SEARCH("talent",$D378)),ISNUMBER(SEARCH("knowledge",$D378)),ISNUMBER(SEARCH("portfolio",$D378)),ISNUMBER(SEARCH("quality",$D378))),"Slow","Medium")))</f>
        <v/>
      </c>
      <c r="AF378">
        <f>IF($A378="","",IFERROR(VLOOKUP($B378,'_CONFIG_Risk_Calibration'!$A$5:$H$21,2,FALSE),3))</f>
        <v/>
      </c>
      <c r="AG378">
        <f>IF($A378="","",IFERROR(VLOOKUP($B378,'_CONFIG_Risk_Calibration'!$A$5:$H$21,3,FALSE),0))</f>
        <v/>
      </c>
      <c r="AH378">
        <f>IF($A378="","",IFERROR(VLOOKUP($B378,'_CONFIG_Risk_Calibration'!$A$5:$H$21,4,FALSE),3))</f>
        <v/>
      </c>
      <c r="AI378">
        <f>IF($A378="","",IFERROR(VLOOKUP($B378,'_CONFIG_Risk_Calibration'!$A$5:$H$21,5,FALSE),3))</f>
        <v/>
      </c>
      <c r="AJ378">
        <f>IF($A378="","",IFERROR(VLOOKUP($B378,'_CONFIG_Risk_Calibration'!$A$5:$H$21,6,FALSE),"No"))</f>
        <v/>
      </c>
      <c r="AK378">
        <f>IF($A378="","",IFERROR(VLOOKUP($B378,'_CONFIG_Risk_Calibration'!$A$5:$H$21,7,FALSE),1))</f>
        <v/>
      </c>
      <c r="AL378">
        <f>IF($A378="","",IFERROR(VLOOKUP($B378,'_CONFIG_Risk_Calibration'!$A$5:$H$21,8,FALSE),""))</f>
        <v/>
      </c>
    </row>
    <row r="379" ht="72" customHeight="1" s="209">
      <c r="A379" s="13" t="inlineStr">
        <is>
          <t>CYBE-007</t>
        </is>
      </c>
      <c r="B379" s="13" t="inlineStr">
        <is>
          <t>Cyber Privacy</t>
        </is>
      </c>
      <c r="C379" s="13" t="inlineStr">
        <is>
          <t>Identity and access</t>
        </is>
      </c>
      <c r="D379" s="13" t="inlineStr">
        <is>
          <t>Cybersecurity, privacy and access control</t>
        </is>
      </c>
      <c r="E379" s="13" t="inlineStr">
        <is>
          <t>How mature is the organization in managing joiner-mover-leaver access lifecycle across systems, SaaS and physical access, including ownership, evidence, metrics, fallback procedures and crisis stress testing?</t>
        </is>
      </c>
      <c r="F379" s="13" t="inlineStr">
        <is>
          <t>Immature capability for joiner-mover-leaver access lifecycle across systems, SaaS and physical access may lead to security incident, data breach, privilege misuse, privacy violation and regulatory exposure during Cyberattack; Data breach; Ransomware; Insider threat.</t>
        </is>
      </c>
      <c r="G379" s="13" t="inlineStr">
        <is>
          <t>Low maturity, weak ownership, incomplete evidence, insufficient testing and poor integration with crisis-management routines for joiner-mover-leaver access lifecycle across systems, SaaS and physical access.</t>
        </is>
      </c>
      <c r="H379" s="13" t="inlineStr">
        <is>
          <t>Severe risk: joiner-mover-leaver access lifecycle across systems, SaaS and physical access is not reliably controlled. During Cyberattack; Data breach; Ransomware; Insider threat, the organization may face security incident, data breach, privilege misuse, privacy violation and regulatory exposure with limited visibility or accountability.</t>
        </is>
      </c>
      <c r="I379" s="13" t="inlineStr">
        <is>
          <t>High risk: joiner-mover-leaver access lifecycle across systems, SaaS and physical access depends on informal practices or individual knowledge. Disruption may expose security incident, data breach, privilege misuse, privacy violation and regulatory exposure and slow recovery.</t>
        </is>
      </c>
      <c r="J379" s="13" t="inlineStr">
        <is>
          <t>Elevated risk: joiner-mover-leaver access lifecycle across systems, SaaS and physical access is partially controlled, but coverage, evidence or testing is inconsistent. Crisis response may be fragmented.</t>
        </is>
      </c>
      <c r="K379" s="13" t="inlineStr">
        <is>
          <t>Moderate risk: joiner-mover-leaver access lifecycle across systems, SaaS and physical access is documented and owned, but measurement, stress testing and integration with dependent processes need strengthening.</t>
        </is>
      </c>
      <c r="L379" s="13" t="inlineStr">
        <is>
          <t>Residual risk: joiner-mover-leaver access lifecycle across systems, SaaS and physical access is measured and reviewed, but monitoring, automation or scenario testing should be improved to prevent maturity drift.</t>
        </is>
      </c>
      <c r="M379" s="13" t="inlineStr">
        <is>
          <t>Low residual risk: joiner-mover-leaver access lifecycle across systems, SaaS and physical access is mature and crisis-tested. Maintain monitoring, evidence, ownership and periodic stress testing.</t>
        </is>
      </c>
      <c r="N379" s="13" t="inlineStr">
        <is>
          <t>Create an immediate risk owner, minimum control baseline and fallback procedure for joiner-mover-leaver access lifecycle across systems, SaaS and physical access. Add it to the crisis risk register and collect first evidence.</t>
        </is>
      </c>
      <c r="O379" s="13" t="inlineStr">
        <is>
          <t>Document joiner-mover-leaver access lifecycle across systems, SaaS and physical access, assign RACI, define minimum controls and KPIs, and validate coverage across key sites, teams or systems.</t>
        </is>
      </c>
      <c r="P379" s="13" t="inlineStr">
        <is>
          <t>Standardize joiner-mover-leaver access lifecycle across systems, SaaS and physical access, close coverage gaps, train accountable roles and connect controls to the relevant crisis scenarios and continuity plans.</t>
        </is>
      </c>
      <c r="Q379" s="13" t="inlineStr">
        <is>
          <t>Measure and test joiner-mover-leaver access lifecycle across systems, SaaS and physical access, run tabletop or operational stress tests, integrate it with dependent processes and update crisis playbooks.</t>
        </is>
      </c>
      <c r="R379" s="13" t="inlineStr">
        <is>
          <t>Automate monitoring where practical, define leading indicators, run periodic scenario tests and track residual risk after each major change.</t>
        </is>
      </c>
      <c r="S379" s="13" t="inlineStr">
        <is>
          <t>Sustain maturity for joiner-mover-leaver access lifecycle across systems, SaaS and physical access: keep evidence current, monitor drift, benchmark externally and refresh risk tests after organizational, system or market changes.</t>
        </is>
      </c>
      <c r="T379" s="13" t="n">
        <v>4</v>
      </c>
      <c r="U379" s="13" t="n">
        <v>3</v>
      </c>
      <c r="V379" s="13" t="n">
        <v>3</v>
      </c>
      <c r="W379" s="13" t="n">
        <v>2</v>
      </c>
      <c r="X379" s="13" t="n">
        <v>1</v>
      </c>
      <c r="Y379" s="13" t="n">
        <v>1</v>
      </c>
      <c r="Z379" s="13" t="inlineStr">
        <is>
          <t>ISO/IEC 27001; ISO/IEC 27002; NIST CSF 2.0; CIS Controls; ISO/IEC 27701; GDPR; IEC 62443</t>
        </is>
      </c>
      <c r="AA379" s="13" t="inlineStr">
        <is>
          <t>Policy/SOP; owner/RACI; system report; dashboard; contracts; test records; incident history; interview evidence related to joiner-mover-leaver access lifecycle across systems, SaaS and physical access.</t>
        </is>
      </c>
      <c r="AB379" s="13" t="inlineStr">
        <is>
          <t>Cyberattack; Data breach; Ransomware; Insider threat</t>
        </is>
      </c>
      <c r="AC379" s="13" t="inlineStr">
        <is>
          <t>CISO / IT Security</t>
        </is>
      </c>
      <c r="AD379" s="13" t="inlineStr">
        <is>
          <t>Cyber Privacy!11</t>
        </is>
      </c>
      <c r="AE379">
        <f>IF($A379="","",IF(OR(ISNUMBER(SEARCH("cyber",$D379)),ISNUMBER(SEARCH("security",$D379)),ISNUMBER(SEARCH("safety",$D379)),ISNUMBER(SEARCH("liquidity",$D379)),ISNUMBER(SEARCH("cash",$D379)),ISNUMBER(SEARCH("continuity",$D379)),ISNUMBER(SEARCH("infrastructure",$D379)),ISNUMBER(SEARCH("outage",$D379))),"Fast",IF(OR(ISNUMBER(SEARCH("compliance",$D379)),ISNUMBER(SEARCH("regulat",$D379)),ISNUMBER(SEARCH("data",$D379)),ISNUMBER(SEARCH("talent",$D379)),ISNUMBER(SEARCH("knowledge",$D379)),ISNUMBER(SEARCH("portfolio",$D379)),ISNUMBER(SEARCH("quality",$D379))),"Slow","Medium")))</f>
        <v/>
      </c>
      <c r="AF379">
        <f>IF($A379="","",IFERROR(VLOOKUP($B379,'_CONFIG_Risk_Calibration'!$A$5:$H$21,2,FALSE),3))</f>
        <v/>
      </c>
      <c r="AG379">
        <f>IF($A379="","",IFERROR(VLOOKUP($B379,'_CONFIG_Risk_Calibration'!$A$5:$H$21,3,FALSE),0))</f>
        <v/>
      </c>
      <c r="AH379">
        <f>IF($A379="","",IFERROR(VLOOKUP($B379,'_CONFIG_Risk_Calibration'!$A$5:$H$21,4,FALSE),3))</f>
        <v/>
      </c>
      <c r="AI379">
        <f>IF($A379="","",IFERROR(VLOOKUP($B379,'_CONFIG_Risk_Calibration'!$A$5:$H$21,5,FALSE),3))</f>
        <v/>
      </c>
      <c r="AJ379">
        <f>IF($A379="","",IFERROR(VLOOKUP($B379,'_CONFIG_Risk_Calibration'!$A$5:$H$21,6,FALSE),"No"))</f>
        <v/>
      </c>
      <c r="AK379">
        <f>IF($A379="","",IFERROR(VLOOKUP($B379,'_CONFIG_Risk_Calibration'!$A$5:$H$21,7,FALSE),1))</f>
        <v/>
      </c>
      <c r="AL379">
        <f>IF($A379="","",IFERROR(VLOOKUP($B379,'_CONFIG_Risk_Calibration'!$A$5:$H$21,8,FALSE),""))</f>
        <v/>
      </c>
    </row>
    <row r="380" ht="72" customHeight="1" s="209">
      <c r="A380" s="13" t="inlineStr">
        <is>
          <t>CYBE-008</t>
        </is>
      </c>
      <c r="B380" s="13" t="inlineStr">
        <is>
          <t>Cyber Privacy</t>
        </is>
      </c>
      <c r="C380" s="13" t="inlineStr">
        <is>
          <t>Identity and access</t>
        </is>
      </c>
      <c r="D380" s="13" t="inlineStr">
        <is>
          <t>Cybersecurity, privacy and access control</t>
        </is>
      </c>
      <c r="E380" s="13" t="inlineStr">
        <is>
          <t>How mature is the organization in managing MFA enforcement for email, cloud, VPN/ZTNA, admin accounts, finance systems and critical SaaS, including ownership, evidence, metrics, fallback procedures and crisis stress testing?</t>
        </is>
      </c>
      <c r="F380" s="13" t="inlineStr">
        <is>
          <t>Immature capability for MFA enforcement for email, cloud, VPN/ZTNA, admin accounts, finance systems and critical SaaS may lead to security incident, data breach, privilege misuse, privacy violation and regulatory exposure during Cyberattack; Data breach; Ransomware; Insider threat.</t>
        </is>
      </c>
      <c r="G380" s="13" t="inlineStr">
        <is>
          <t>Low maturity, weak ownership, incomplete evidence, insufficient testing and poor integration with crisis-management routines for MFA enforcement for email, cloud, VPN/ZTNA, admin accounts, finance systems and critical SaaS.</t>
        </is>
      </c>
      <c r="H380" s="13" t="inlineStr">
        <is>
          <t>Severe risk: MFA enforcement for email, cloud, VPN/ZTNA, admin accounts, finance systems and critical SaaS is not reliably controlled. During Cyberattack; Data breach; Ransomware; Insider threat, the organization may face security incident, data breach, privilege misuse, privacy violation and regulatory exposure with limited visibility or accountability.</t>
        </is>
      </c>
      <c r="I380" s="13" t="inlineStr">
        <is>
          <t>High risk: MFA enforcement for email, cloud, VPN/ZTNA, admin accounts, finance systems and critical SaaS depends on informal practices or individual knowledge. Disruption may expose security incident, data breach, privilege misuse, privacy violation and regulatory exposure and slow recovery.</t>
        </is>
      </c>
      <c r="J380" s="13" t="inlineStr">
        <is>
          <t>Elevated risk: MFA enforcement for email, cloud, VPN/ZTNA, admin accounts, finance systems and critical SaaS is partially controlled, but coverage, evidence or testing is inconsistent. Crisis response may be fragmented.</t>
        </is>
      </c>
      <c r="K380" s="13" t="inlineStr">
        <is>
          <t>Moderate risk: MFA enforcement for email, cloud, VPN/ZTNA, admin accounts, finance systems and critical SaaS is documented and owned, but measurement, stress testing and integration with dependent processes need strengthening.</t>
        </is>
      </c>
      <c r="L380" s="13" t="inlineStr">
        <is>
          <t>Residual risk: MFA enforcement for email, cloud, VPN/ZTNA, admin accounts, finance systems and critical SaaS is measured and reviewed, but monitoring, automation or scenario testing should be improved to prevent maturity drift.</t>
        </is>
      </c>
      <c r="M380" s="13" t="inlineStr">
        <is>
          <t>Low residual risk: MFA enforcement for email, cloud, VPN/ZTNA, admin accounts, finance systems and critical SaaS is mature and crisis-tested. Maintain monitoring, evidence, ownership and periodic stress testing.</t>
        </is>
      </c>
      <c r="N380" s="13" t="inlineStr">
        <is>
          <t>Create an immediate risk owner, minimum control baseline and fallback procedure for MFA enforcement for email, cloud, VPN/ZTNA, admin accounts, finance systems and critical SaaS. Add it to the crisis risk register and collect first evidence.</t>
        </is>
      </c>
      <c r="O380" s="13" t="inlineStr">
        <is>
          <t>Document MFA enforcement for email, cloud, VPN/ZTNA, admin accounts, finance systems and critical SaaS, assign RACI, define minimum controls and KPIs, and validate coverage across key sites, teams or systems.</t>
        </is>
      </c>
      <c r="P380" s="13" t="inlineStr">
        <is>
          <t>Standardize MFA enforcement for email, cloud, VPN/ZTNA, admin accounts, finance systems and critical SaaS, close coverage gaps, train accountable roles and connect controls to the relevant crisis scenarios and continuity plans.</t>
        </is>
      </c>
      <c r="Q380" s="13" t="inlineStr">
        <is>
          <t>Measure and test MFA enforcement for email, cloud, VPN/ZTNA, admin accounts, finance systems and critical SaaS, run tabletop or operational stress tests, integrate it with dependent processes and update crisis playbooks.</t>
        </is>
      </c>
      <c r="R380" s="13" t="inlineStr">
        <is>
          <t>Automate monitoring where practical, define leading indicators, run periodic scenario tests and track residual risk after each major change.</t>
        </is>
      </c>
      <c r="S380" s="13" t="inlineStr">
        <is>
          <t>Sustain maturity for MFA enforcement for email, cloud, VPN/ZTNA, admin accounts, finance systems and critical SaaS: keep evidence current, monitor drift, benchmark externally and refresh risk tests after organizational, system or market changes.</t>
        </is>
      </c>
      <c r="T380" s="13" t="n">
        <v>4</v>
      </c>
      <c r="U380" s="13" t="n">
        <v>3</v>
      </c>
      <c r="V380" s="13" t="n">
        <v>3</v>
      </c>
      <c r="W380" s="13" t="n">
        <v>2</v>
      </c>
      <c r="X380" s="13" t="n">
        <v>1</v>
      </c>
      <c r="Y380" s="13" t="n">
        <v>1</v>
      </c>
      <c r="Z380" s="13" t="inlineStr">
        <is>
          <t>ISO/IEC 27001; ISO/IEC 27002; NIST CSF 2.0; CIS Controls; ISO/IEC 27701; GDPR; IEC 62443</t>
        </is>
      </c>
      <c r="AA380" s="13" t="inlineStr">
        <is>
          <t>Policy/SOP; owner/RACI; system report; dashboard; contracts; test records; incident history; interview evidence related to MFA enforcement for email, cloud, VPN/ZTNA, admin accounts, finance systems and critical SaaS.</t>
        </is>
      </c>
      <c r="AB380" s="13" t="inlineStr">
        <is>
          <t>Cyberattack; Data breach; Ransomware; Insider threat</t>
        </is>
      </c>
      <c r="AC380" s="13" t="inlineStr">
        <is>
          <t>CISO / IT Security</t>
        </is>
      </c>
      <c r="AD380" s="13" t="inlineStr">
        <is>
          <t>Cyber Privacy!12</t>
        </is>
      </c>
      <c r="AE380">
        <f>IF($A380="","",IF(OR(ISNUMBER(SEARCH("cyber",$D380)),ISNUMBER(SEARCH("security",$D380)),ISNUMBER(SEARCH("safety",$D380)),ISNUMBER(SEARCH("liquidity",$D380)),ISNUMBER(SEARCH("cash",$D380)),ISNUMBER(SEARCH("continuity",$D380)),ISNUMBER(SEARCH("infrastructure",$D380)),ISNUMBER(SEARCH("outage",$D380))),"Fast",IF(OR(ISNUMBER(SEARCH("compliance",$D380)),ISNUMBER(SEARCH("regulat",$D380)),ISNUMBER(SEARCH("data",$D380)),ISNUMBER(SEARCH("talent",$D380)),ISNUMBER(SEARCH("knowledge",$D380)),ISNUMBER(SEARCH("portfolio",$D380)),ISNUMBER(SEARCH("quality",$D380))),"Slow","Medium")))</f>
        <v/>
      </c>
      <c r="AF380">
        <f>IF($A380="","",IFERROR(VLOOKUP($B380,'_CONFIG_Risk_Calibration'!$A$5:$H$21,2,FALSE),3))</f>
        <v/>
      </c>
      <c r="AG380">
        <f>IF($A380="","",IFERROR(VLOOKUP($B380,'_CONFIG_Risk_Calibration'!$A$5:$H$21,3,FALSE),0))</f>
        <v/>
      </c>
      <c r="AH380">
        <f>IF($A380="","",IFERROR(VLOOKUP($B380,'_CONFIG_Risk_Calibration'!$A$5:$H$21,4,FALSE),3))</f>
        <v/>
      </c>
      <c r="AI380">
        <f>IF($A380="","",IFERROR(VLOOKUP($B380,'_CONFIG_Risk_Calibration'!$A$5:$H$21,5,FALSE),3))</f>
        <v/>
      </c>
      <c r="AJ380">
        <f>IF($A380="","",IFERROR(VLOOKUP($B380,'_CONFIG_Risk_Calibration'!$A$5:$H$21,6,FALSE),"No"))</f>
        <v/>
      </c>
      <c r="AK380">
        <f>IF($A380="","",IFERROR(VLOOKUP($B380,'_CONFIG_Risk_Calibration'!$A$5:$H$21,7,FALSE),1))</f>
        <v/>
      </c>
      <c r="AL380">
        <f>IF($A380="","",IFERROR(VLOOKUP($B380,'_CONFIG_Risk_Calibration'!$A$5:$H$21,8,FALSE),""))</f>
        <v/>
      </c>
    </row>
    <row r="381" ht="72" customHeight="1" s="209">
      <c r="A381" s="13" t="inlineStr">
        <is>
          <t>CYBE-009</t>
        </is>
      </c>
      <c r="B381" s="13" t="inlineStr">
        <is>
          <t>Cyber Privacy</t>
        </is>
      </c>
      <c r="C381" s="13" t="inlineStr">
        <is>
          <t>Identity and access</t>
        </is>
      </c>
      <c r="D381" s="13" t="inlineStr">
        <is>
          <t>Cybersecurity, privacy and access control</t>
        </is>
      </c>
      <c r="E381" s="13" t="inlineStr">
        <is>
          <t>How mature is the organization in managing privileged access management for admin accounts and superusers, including ownership, evidence, metrics, fallback procedures and crisis stress testing?</t>
        </is>
      </c>
      <c r="F381" s="13" t="inlineStr">
        <is>
          <t>Immature capability for privileged access management for admin accounts and superusers may lead to security incident, data breach, privilege misuse, privacy violation and regulatory exposure during Cyberattack; Data breach; Ransomware; Insider threat.</t>
        </is>
      </c>
      <c r="G381" s="13" t="inlineStr">
        <is>
          <t>Low maturity, weak ownership, incomplete evidence, insufficient testing and poor integration with crisis-management routines for privileged access management for admin accounts and superusers.</t>
        </is>
      </c>
      <c r="H381" s="13" t="inlineStr">
        <is>
          <t>Severe risk: privileged access management for admin accounts and superusers is not reliably controlled. During Cyberattack; Data breach; Ransomware; Insider threat, the organization may face security incident, data breach, privilege misuse, privacy violation and regulatory exposure with limited visibility or accountability.</t>
        </is>
      </c>
      <c r="I381" s="13" t="inlineStr">
        <is>
          <t>High risk: privileged access management for admin accounts and superusers depends on informal practices or individual knowledge. Disruption may expose security incident, data breach, privilege misuse, privacy violation and regulatory exposure and slow recovery.</t>
        </is>
      </c>
      <c r="J381" s="13" t="inlineStr">
        <is>
          <t>Elevated risk: privileged access management for admin accounts and superusers is partially controlled, but coverage, evidence or testing is inconsistent. Crisis response may be fragmented.</t>
        </is>
      </c>
      <c r="K381" s="13" t="inlineStr">
        <is>
          <t>Moderate risk: privileged access management for admin accounts and superusers is documented and owned, but measurement, stress testing and integration with dependent processes need strengthening.</t>
        </is>
      </c>
      <c r="L381" s="13" t="inlineStr">
        <is>
          <t>Residual risk: privileged access management for admin accounts and superusers is measured and reviewed, but monitoring, automation or scenario testing should be improved to prevent maturity drift.</t>
        </is>
      </c>
      <c r="M381" s="13" t="inlineStr">
        <is>
          <t>Low residual risk: privileged access management for admin accounts and superusers is mature and crisis-tested. Maintain monitoring, evidence, ownership and periodic stress testing.</t>
        </is>
      </c>
      <c r="N381" s="13" t="inlineStr">
        <is>
          <t>Create an immediate risk owner, minimum control baseline and fallback procedure for privileged access management for admin accounts and superusers. Add it to the crisis risk register and collect first evidence.</t>
        </is>
      </c>
      <c r="O381" s="13" t="inlineStr">
        <is>
          <t>Document privileged access management for admin accounts and superusers, assign RACI, define minimum controls and KPIs, and validate coverage across key sites, teams or systems.</t>
        </is>
      </c>
      <c r="P381" s="13" t="inlineStr">
        <is>
          <t>Standardize privileged access management for admin accounts and superusers, close coverage gaps, train accountable roles and connect controls to the relevant crisis scenarios and continuity plans.</t>
        </is>
      </c>
      <c r="Q381" s="13" t="inlineStr">
        <is>
          <t>Measure and test privileged access management for admin accounts and superusers, run tabletop or operational stress tests, integrate it with dependent processes and update crisis playbooks.</t>
        </is>
      </c>
      <c r="R381" s="13" t="inlineStr">
        <is>
          <t>Automate monitoring where practical, define leading indicators, run periodic scenario tests and track residual risk after each major change.</t>
        </is>
      </c>
      <c r="S381" s="13" t="inlineStr">
        <is>
          <t>Sustain maturity for privileged access management for admin accounts and superusers: keep evidence current, monitor drift, benchmark externally and refresh risk tests after organizational, system or market changes.</t>
        </is>
      </c>
      <c r="T381" s="13" t="n">
        <v>4</v>
      </c>
      <c r="U381" s="13" t="n">
        <v>3</v>
      </c>
      <c r="V381" s="13" t="n">
        <v>3</v>
      </c>
      <c r="W381" s="13" t="n">
        <v>2</v>
      </c>
      <c r="X381" s="13" t="n">
        <v>1</v>
      </c>
      <c r="Y381" s="13" t="n">
        <v>1</v>
      </c>
      <c r="Z381" s="13" t="inlineStr">
        <is>
          <t>ISO/IEC 27001; ISO/IEC 27002; NIST CSF 2.0; CIS Controls; ISO/IEC 27701; GDPR; IEC 62443</t>
        </is>
      </c>
      <c r="AA381" s="13" t="inlineStr">
        <is>
          <t>Policy/SOP; owner/RACI; system report; dashboard; contracts; test records; incident history; interview evidence related to privileged access management for admin accounts and superusers.</t>
        </is>
      </c>
      <c r="AB381" s="13" t="inlineStr">
        <is>
          <t>Cyberattack; Data breach; Ransomware; Insider threat</t>
        </is>
      </c>
      <c r="AC381" s="13" t="inlineStr">
        <is>
          <t>CISO / IT Security</t>
        </is>
      </c>
      <c r="AD381" s="13" t="inlineStr">
        <is>
          <t>Cyber Privacy!13</t>
        </is>
      </c>
      <c r="AE381">
        <f>IF($A381="","",IF(OR(ISNUMBER(SEARCH("cyber",$D381)),ISNUMBER(SEARCH("security",$D381)),ISNUMBER(SEARCH("safety",$D381)),ISNUMBER(SEARCH("liquidity",$D381)),ISNUMBER(SEARCH("cash",$D381)),ISNUMBER(SEARCH("continuity",$D381)),ISNUMBER(SEARCH("infrastructure",$D381)),ISNUMBER(SEARCH("outage",$D381))),"Fast",IF(OR(ISNUMBER(SEARCH("compliance",$D381)),ISNUMBER(SEARCH("regulat",$D381)),ISNUMBER(SEARCH("data",$D381)),ISNUMBER(SEARCH("talent",$D381)),ISNUMBER(SEARCH("knowledge",$D381)),ISNUMBER(SEARCH("portfolio",$D381)),ISNUMBER(SEARCH("quality",$D381))),"Slow","Medium")))</f>
        <v/>
      </c>
      <c r="AF381">
        <f>IF($A381="","",IFERROR(VLOOKUP($B381,'_CONFIG_Risk_Calibration'!$A$5:$H$21,2,FALSE),3))</f>
        <v/>
      </c>
      <c r="AG381">
        <f>IF($A381="","",IFERROR(VLOOKUP($B381,'_CONFIG_Risk_Calibration'!$A$5:$H$21,3,FALSE),0))</f>
        <v/>
      </c>
      <c r="AH381">
        <f>IF($A381="","",IFERROR(VLOOKUP($B381,'_CONFIG_Risk_Calibration'!$A$5:$H$21,4,FALSE),3))</f>
        <v/>
      </c>
      <c r="AI381">
        <f>IF($A381="","",IFERROR(VLOOKUP($B381,'_CONFIG_Risk_Calibration'!$A$5:$H$21,5,FALSE),3))</f>
        <v/>
      </c>
      <c r="AJ381">
        <f>IF($A381="","",IFERROR(VLOOKUP($B381,'_CONFIG_Risk_Calibration'!$A$5:$H$21,6,FALSE),"No"))</f>
        <v/>
      </c>
      <c r="AK381">
        <f>IF($A381="","",IFERROR(VLOOKUP($B381,'_CONFIG_Risk_Calibration'!$A$5:$H$21,7,FALSE),1))</f>
        <v/>
      </c>
      <c r="AL381">
        <f>IF($A381="","",IFERROR(VLOOKUP($B381,'_CONFIG_Risk_Calibration'!$A$5:$H$21,8,FALSE),""))</f>
        <v/>
      </c>
    </row>
    <row r="382" ht="60" customHeight="1" s="209">
      <c r="A382" s="13" t="inlineStr">
        <is>
          <t>CYBE-010</t>
        </is>
      </c>
      <c r="B382" s="13" t="inlineStr">
        <is>
          <t>Cyber Privacy</t>
        </is>
      </c>
      <c r="C382" s="13" t="inlineStr">
        <is>
          <t>Identity and access</t>
        </is>
      </c>
      <c r="D382" s="13" t="inlineStr">
        <is>
          <t>Cybersecurity, privacy and access control</t>
        </is>
      </c>
      <c r="E382" s="13" t="inlineStr">
        <is>
          <t>How mature is the organization in managing break-glass account control, monitoring and testing, including ownership, evidence, metrics, fallback procedures and crisis stress testing?</t>
        </is>
      </c>
      <c r="F382" s="13" t="inlineStr">
        <is>
          <t>Immature capability for break-glass account control, monitoring and testing may lead to security incident, data breach, privilege misuse, privacy violation and regulatory exposure during Cyberattack; Data breach; Ransomware; Insider threat.</t>
        </is>
      </c>
      <c r="G382" s="13" t="inlineStr">
        <is>
          <t>Low maturity, weak ownership, incomplete evidence, insufficient testing and poor integration with crisis-management routines for break-glass account control, monitoring and testing.</t>
        </is>
      </c>
      <c r="H382" s="13" t="inlineStr">
        <is>
          <t>Severe risk: break-glass account control, monitoring and testing is not reliably controlled. During Cyberattack; Data breach; Ransomware; Insider threat, the organization may face security incident, data breach, privilege misuse, privacy violation and regulatory exposure with limited visibility or accountability.</t>
        </is>
      </c>
      <c r="I382" s="13" t="inlineStr">
        <is>
          <t>High risk: break-glass account control, monitoring and testing depends on informal practices or individual knowledge. Disruption may expose security incident, data breach, privilege misuse, privacy violation and regulatory exposure and slow recovery.</t>
        </is>
      </c>
      <c r="J382" s="13" t="inlineStr">
        <is>
          <t>Elevated risk: break-glass account control, monitoring and testing is partially controlled, but coverage, evidence or testing is inconsistent. Crisis response may be fragmented.</t>
        </is>
      </c>
      <c r="K382" s="13" t="inlineStr">
        <is>
          <t>Moderate risk: break-glass account control, monitoring and testing is documented and owned, but measurement, stress testing and integration with dependent processes need strengthening.</t>
        </is>
      </c>
      <c r="L382" s="13" t="inlineStr">
        <is>
          <t>Residual risk: break-glass account control, monitoring and testing is measured and reviewed, but monitoring, automation or scenario testing should be improved to prevent maturity drift.</t>
        </is>
      </c>
      <c r="M382" s="13" t="inlineStr">
        <is>
          <t>Low residual risk: break-glass account control, monitoring and testing is mature and crisis-tested. Maintain monitoring, evidence, ownership and periodic stress testing.</t>
        </is>
      </c>
      <c r="N382" s="13" t="inlineStr">
        <is>
          <t>Create an immediate risk owner, minimum control baseline and fallback procedure for break-glass account control, monitoring and testing. Add it to the crisis risk register and collect first evidence.</t>
        </is>
      </c>
      <c r="O382" s="13" t="inlineStr">
        <is>
          <t>Document break-glass account control, monitoring and testing, assign RACI, define minimum controls and KPIs, and validate coverage across key sites, teams or systems.</t>
        </is>
      </c>
      <c r="P382" s="13" t="inlineStr">
        <is>
          <t>Standardize break-glass account control, monitoring and testing, close coverage gaps, train accountable roles and connect controls to the relevant crisis scenarios and continuity plans.</t>
        </is>
      </c>
      <c r="Q382" s="13" t="inlineStr">
        <is>
          <t>Measure and test break-glass account control, monitoring and testing, run tabletop or operational stress tests, integrate it with dependent processes and update crisis playbooks.</t>
        </is>
      </c>
      <c r="R382" s="13" t="inlineStr">
        <is>
          <t>Automate monitoring where practical, define leading indicators, run periodic scenario tests and track residual risk after each major change.</t>
        </is>
      </c>
      <c r="S382" s="13" t="inlineStr">
        <is>
          <t>Sustain maturity for break-glass account control, monitoring and testing: keep evidence current, monitor drift, benchmark externally and refresh risk tests after organizational, system or market changes.</t>
        </is>
      </c>
      <c r="T382" s="13" t="n">
        <v>4</v>
      </c>
      <c r="U382" s="13" t="n">
        <v>3</v>
      </c>
      <c r="V382" s="13" t="n">
        <v>3</v>
      </c>
      <c r="W382" s="13" t="n">
        <v>2</v>
      </c>
      <c r="X382" s="13" t="n">
        <v>1</v>
      </c>
      <c r="Y382" s="13" t="n">
        <v>1</v>
      </c>
      <c r="Z382" s="13" t="inlineStr">
        <is>
          <t>ISO/IEC 27001; ISO/IEC 27002; NIST CSF 2.0; CIS Controls; ISO/IEC 27701; GDPR; IEC 62443</t>
        </is>
      </c>
      <c r="AA382" s="13" t="inlineStr">
        <is>
          <t>Policy/SOP; owner/RACI; system report; dashboard; contracts; test records; incident history; interview evidence related to break-glass account control, monitoring and testing.</t>
        </is>
      </c>
      <c r="AB382" s="13" t="inlineStr">
        <is>
          <t>Cyberattack; Data breach; Ransomware; Insider threat</t>
        </is>
      </c>
      <c r="AC382" s="13" t="inlineStr">
        <is>
          <t>CISO / IT Security</t>
        </is>
      </c>
      <c r="AD382" s="13" t="inlineStr">
        <is>
          <t>Cyber Privacy!14</t>
        </is>
      </c>
      <c r="AE382">
        <f>IF($A382="","",IF(OR(ISNUMBER(SEARCH("cyber",$D382)),ISNUMBER(SEARCH("security",$D382)),ISNUMBER(SEARCH("safety",$D382)),ISNUMBER(SEARCH("liquidity",$D382)),ISNUMBER(SEARCH("cash",$D382)),ISNUMBER(SEARCH("continuity",$D382)),ISNUMBER(SEARCH("infrastructure",$D382)),ISNUMBER(SEARCH("outage",$D382))),"Fast",IF(OR(ISNUMBER(SEARCH("compliance",$D382)),ISNUMBER(SEARCH("regulat",$D382)),ISNUMBER(SEARCH("data",$D382)),ISNUMBER(SEARCH("talent",$D382)),ISNUMBER(SEARCH("knowledge",$D382)),ISNUMBER(SEARCH("portfolio",$D382)),ISNUMBER(SEARCH("quality",$D382))),"Slow","Medium")))</f>
        <v/>
      </c>
      <c r="AF382">
        <f>IF($A382="","",IFERROR(VLOOKUP($B382,'_CONFIG_Risk_Calibration'!$A$5:$H$21,2,FALSE),3))</f>
        <v/>
      </c>
      <c r="AG382">
        <f>IF($A382="","",IFERROR(VLOOKUP($B382,'_CONFIG_Risk_Calibration'!$A$5:$H$21,3,FALSE),0))</f>
        <v/>
      </c>
      <c r="AH382">
        <f>IF($A382="","",IFERROR(VLOOKUP($B382,'_CONFIG_Risk_Calibration'!$A$5:$H$21,4,FALSE),3))</f>
        <v/>
      </c>
      <c r="AI382">
        <f>IF($A382="","",IFERROR(VLOOKUP($B382,'_CONFIG_Risk_Calibration'!$A$5:$H$21,5,FALSE),3))</f>
        <v/>
      </c>
      <c r="AJ382">
        <f>IF($A382="","",IFERROR(VLOOKUP($B382,'_CONFIG_Risk_Calibration'!$A$5:$H$21,6,FALSE),"No"))</f>
        <v/>
      </c>
      <c r="AK382">
        <f>IF($A382="","",IFERROR(VLOOKUP($B382,'_CONFIG_Risk_Calibration'!$A$5:$H$21,7,FALSE),1))</f>
        <v/>
      </c>
      <c r="AL382">
        <f>IF($A382="","",IFERROR(VLOOKUP($B382,'_CONFIG_Risk_Calibration'!$A$5:$H$21,8,FALSE),""))</f>
        <v/>
      </c>
    </row>
    <row r="383" ht="72" customHeight="1" s="209">
      <c r="A383" s="13" t="inlineStr">
        <is>
          <t>CYBE-011</t>
        </is>
      </c>
      <c r="B383" s="13" t="inlineStr">
        <is>
          <t>Cyber Privacy</t>
        </is>
      </c>
      <c r="C383" s="13" t="inlineStr">
        <is>
          <t>Identity and access</t>
        </is>
      </c>
      <c r="D383" s="13" t="inlineStr">
        <is>
          <t>Cybersecurity, privacy and access control</t>
        </is>
      </c>
      <c r="E383" s="13" t="inlineStr">
        <is>
          <t>How mature is the organization in managing third-party access that is limited, monitored, time-bound and reviewed, including ownership, evidence, metrics, fallback procedures and crisis stress testing?</t>
        </is>
      </c>
      <c r="F383" s="13" t="inlineStr">
        <is>
          <t>Immature capability for third-party access that is limited, monitored, time-bound and reviewed may lead to security incident, data breach, privilege misuse, privacy violation and regulatory exposure during Cyberattack; Data breach; Ransomware; Insider threat.</t>
        </is>
      </c>
      <c r="G383" s="13" t="inlineStr">
        <is>
          <t>Low maturity, weak ownership, incomplete evidence, insufficient testing and poor integration with crisis-management routines for third-party access that is limited, monitored, time-bound and reviewed.</t>
        </is>
      </c>
      <c r="H383" s="13" t="inlineStr">
        <is>
          <t>Severe risk: third-party access that is limited, monitored, time-bound and reviewed is not reliably controlled. During Cyberattack; Data breach; Ransomware; Insider threat, the organization may face security incident, data breach, privilege misuse, privacy violation and regulatory exposure with limited visibility or accountability.</t>
        </is>
      </c>
      <c r="I383" s="13" t="inlineStr">
        <is>
          <t>High risk: third-party access that is limited, monitored, time-bound and reviewed depends on informal practices or individual knowledge. Disruption may expose security incident, data breach, privilege misuse, privacy violation and regulatory exposure and slow recovery.</t>
        </is>
      </c>
      <c r="J383" s="13" t="inlineStr">
        <is>
          <t>Elevated risk: third-party access that is limited, monitored, time-bound and reviewed is partially controlled, but coverage, evidence or testing is inconsistent. Crisis response may be fragmented.</t>
        </is>
      </c>
      <c r="K383" s="13" t="inlineStr">
        <is>
          <t>Moderate risk: third-party access that is limited, monitored, time-bound and reviewed is documented and owned, but measurement, stress testing and integration with dependent processes need strengthening.</t>
        </is>
      </c>
      <c r="L383" s="13" t="inlineStr">
        <is>
          <t>Residual risk: third-party access that is limited, monitored, time-bound and reviewed is measured and reviewed, but monitoring, automation or scenario testing should be improved to prevent maturity drift.</t>
        </is>
      </c>
      <c r="M383" s="13" t="inlineStr">
        <is>
          <t>Low residual risk: third-party access that is limited, monitored, time-bound and reviewed is mature and crisis-tested. Maintain monitoring, evidence, ownership and periodic stress testing.</t>
        </is>
      </c>
      <c r="N383" s="13" t="inlineStr">
        <is>
          <t>Create an immediate risk owner, minimum control baseline and fallback procedure for third-party access that is limited, monitored, time-bound and reviewed. Add it to the crisis risk register and collect first evidence.</t>
        </is>
      </c>
      <c r="O383" s="13" t="inlineStr">
        <is>
          <t>Document third-party access that is limited, monitored, time-bound and reviewed, assign RACI, define minimum controls and KPIs, and validate coverage across key sites, teams or systems.</t>
        </is>
      </c>
      <c r="P383" s="13" t="inlineStr">
        <is>
          <t>Standardize third-party access that is limited, monitored, time-bound and reviewed, close coverage gaps, train accountable roles and connect controls to the relevant crisis scenarios and continuity plans.</t>
        </is>
      </c>
      <c r="Q383" s="13" t="inlineStr">
        <is>
          <t>Measure and test third-party access that is limited, monitored, time-bound and reviewed, run tabletop or operational stress tests, integrate it with dependent processes and update crisis playbooks.</t>
        </is>
      </c>
      <c r="R383" s="13" t="inlineStr">
        <is>
          <t>Automate monitoring where practical, define leading indicators, run periodic scenario tests and track residual risk after each major change.</t>
        </is>
      </c>
      <c r="S383" s="13" t="inlineStr">
        <is>
          <t>Sustain maturity for third-party access that is limited, monitored, time-bound and reviewed: keep evidence current, monitor drift, benchmark externally and refresh risk tests after organizational, system or market changes.</t>
        </is>
      </c>
      <c r="T383" s="13" t="n">
        <v>4</v>
      </c>
      <c r="U383" s="13" t="n">
        <v>3</v>
      </c>
      <c r="V383" s="13" t="n">
        <v>3</v>
      </c>
      <c r="W383" s="13" t="n">
        <v>2</v>
      </c>
      <c r="X383" s="13" t="n">
        <v>1</v>
      </c>
      <c r="Y383" s="13" t="n">
        <v>1</v>
      </c>
      <c r="Z383" s="13" t="inlineStr">
        <is>
          <t>ISO/IEC 27001; ISO/IEC 27002; NIST CSF 2.0; CIS Controls; ISO/IEC 27701; GDPR; IEC 62443</t>
        </is>
      </c>
      <c r="AA383" s="13" t="inlineStr">
        <is>
          <t>Policy/SOP; owner/RACI; system report; dashboard; contracts; test records; incident history; interview evidence related to third-party access that is limited, monitored, time-bound and reviewed.</t>
        </is>
      </c>
      <c r="AB383" s="13" t="inlineStr">
        <is>
          <t>Cyberattack; Data breach; Ransomware; Insider threat</t>
        </is>
      </c>
      <c r="AC383" s="13" t="inlineStr">
        <is>
          <t>CISO / IT Security</t>
        </is>
      </c>
      <c r="AD383" s="13" t="inlineStr">
        <is>
          <t>Cyber Privacy!15</t>
        </is>
      </c>
      <c r="AE383">
        <f>IF($A383="","",IF(OR(ISNUMBER(SEARCH("cyber",$D383)),ISNUMBER(SEARCH("security",$D383)),ISNUMBER(SEARCH("safety",$D383)),ISNUMBER(SEARCH("liquidity",$D383)),ISNUMBER(SEARCH("cash",$D383)),ISNUMBER(SEARCH("continuity",$D383)),ISNUMBER(SEARCH("infrastructure",$D383)),ISNUMBER(SEARCH("outage",$D383))),"Fast",IF(OR(ISNUMBER(SEARCH("compliance",$D383)),ISNUMBER(SEARCH("regulat",$D383)),ISNUMBER(SEARCH("data",$D383)),ISNUMBER(SEARCH("talent",$D383)),ISNUMBER(SEARCH("knowledge",$D383)),ISNUMBER(SEARCH("portfolio",$D383)),ISNUMBER(SEARCH("quality",$D383))),"Slow","Medium")))</f>
        <v/>
      </c>
      <c r="AF383">
        <f>IF($A383="","",IFERROR(VLOOKUP($B383,'_CONFIG_Risk_Calibration'!$A$5:$H$21,2,FALSE),3))</f>
        <v/>
      </c>
      <c r="AG383">
        <f>IF($A383="","",IFERROR(VLOOKUP($B383,'_CONFIG_Risk_Calibration'!$A$5:$H$21,3,FALSE),0))</f>
        <v/>
      </c>
      <c r="AH383">
        <f>IF($A383="","",IFERROR(VLOOKUP($B383,'_CONFIG_Risk_Calibration'!$A$5:$H$21,4,FALSE),3))</f>
        <v/>
      </c>
      <c r="AI383">
        <f>IF($A383="","",IFERROR(VLOOKUP($B383,'_CONFIG_Risk_Calibration'!$A$5:$H$21,5,FALSE),3))</f>
        <v/>
      </c>
      <c r="AJ383">
        <f>IF($A383="","",IFERROR(VLOOKUP($B383,'_CONFIG_Risk_Calibration'!$A$5:$H$21,6,FALSE),"No"))</f>
        <v/>
      </c>
      <c r="AK383">
        <f>IF($A383="","",IFERROR(VLOOKUP($B383,'_CONFIG_Risk_Calibration'!$A$5:$H$21,7,FALSE),1))</f>
        <v/>
      </c>
      <c r="AL383">
        <f>IF($A383="","",IFERROR(VLOOKUP($B383,'_CONFIG_Risk_Calibration'!$A$5:$H$21,8,FALSE),""))</f>
        <v/>
      </c>
    </row>
    <row r="384" ht="72" customHeight="1" s="209">
      <c r="A384" s="13" t="inlineStr">
        <is>
          <t>CYBE-012</t>
        </is>
      </c>
      <c r="B384" s="13" t="inlineStr">
        <is>
          <t>Cyber Privacy</t>
        </is>
      </c>
      <c r="C384" s="13" t="inlineStr">
        <is>
          <t>Identity and access</t>
        </is>
      </c>
      <c r="D384" s="13" t="inlineStr">
        <is>
          <t>Cybersecurity, privacy and access control</t>
        </is>
      </c>
      <c r="E384" s="13" t="inlineStr">
        <is>
          <t>How mature is the organization in managing access reviews for critical systems, datasets, ERP, CRM, HRMS, MES and cloud, including ownership, evidence, metrics, fallback procedures and crisis stress testing?</t>
        </is>
      </c>
      <c r="F384" s="13" t="inlineStr">
        <is>
          <t>Immature capability for access reviews for critical systems, datasets, ERP, CRM, HRMS, MES and cloud may lead to security incident, data breach, privilege misuse, privacy violation and regulatory exposure during Cyberattack; Data breach; Ransomware; Insider threat.</t>
        </is>
      </c>
      <c r="G384" s="13" t="inlineStr">
        <is>
          <t>Low maturity, weak ownership, incomplete evidence, insufficient testing and poor integration with crisis-management routines for access reviews for critical systems, datasets, ERP, CRM, HRMS, MES and cloud.</t>
        </is>
      </c>
      <c r="H384" s="13" t="inlineStr">
        <is>
          <t>Severe risk: access reviews for critical systems, datasets, ERP, CRM, HRMS, MES and cloud is not reliably controlled. During Cyberattack; Data breach; Ransomware; Insider threat, the organization may face security incident, data breach, privilege misuse, privacy violation and regulatory exposure with limited visibility or accountability.</t>
        </is>
      </c>
      <c r="I384" s="13" t="inlineStr">
        <is>
          <t>High risk: access reviews for critical systems, datasets, ERP, CRM, HRMS, MES and cloud depends on informal practices or individual knowledge. Disruption may expose security incident, data breach, privilege misuse, privacy violation and regulatory exposure and slow recovery.</t>
        </is>
      </c>
      <c r="J384" s="13" t="inlineStr">
        <is>
          <t>Elevated risk: access reviews for critical systems, datasets, ERP, CRM, HRMS, MES and cloud is partially controlled, but coverage, evidence or testing is inconsistent. Crisis response may be fragmented.</t>
        </is>
      </c>
      <c r="K384" s="13" t="inlineStr">
        <is>
          <t>Moderate risk: access reviews for critical systems, datasets, ERP, CRM, HRMS, MES and cloud is documented and owned, but measurement, stress testing and integration with dependent processes need strengthening.</t>
        </is>
      </c>
      <c r="L384" s="13" t="inlineStr">
        <is>
          <t>Residual risk: access reviews for critical systems, datasets, ERP, CRM, HRMS, MES and cloud is measured and reviewed, but monitoring, automation or scenario testing should be improved to prevent maturity drift.</t>
        </is>
      </c>
      <c r="M384" s="13" t="inlineStr">
        <is>
          <t>Low residual risk: access reviews for critical systems, datasets, ERP, CRM, HRMS, MES and cloud is mature and crisis-tested. Maintain monitoring, evidence, ownership and periodic stress testing.</t>
        </is>
      </c>
      <c r="N384" s="13" t="inlineStr">
        <is>
          <t>Create an immediate risk owner, minimum control baseline and fallback procedure for access reviews for critical systems, datasets, ERP, CRM, HRMS, MES and cloud. Add it to the crisis risk register and collect first evidence.</t>
        </is>
      </c>
      <c r="O384" s="13" t="inlineStr">
        <is>
          <t>Document access reviews for critical systems, datasets, ERP, CRM, HRMS, MES and cloud, assign RACI, define minimum controls and KPIs, and validate coverage across key sites, teams or systems.</t>
        </is>
      </c>
      <c r="P384" s="13" t="inlineStr">
        <is>
          <t>Standardize access reviews for critical systems, datasets, ERP, CRM, HRMS, MES and cloud, close coverage gaps, train accountable roles and connect controls to the relevant crisis scenarios and continuity plans.</t>
        </is>
      </c>
      <c r="Q384" s="13" t="inlineStr">
        <is>
          <t>Measure and test access reviews for critical systems, datasets, ERP, CRM, HRMS, MES and cloud, run tabletop or operational stress tests, integrate it with dependent processes and update crisis playbooks.</t>
        </is>
      </c>
      <c r="R384" s="13" t="inlineStr">
        <is>
          <t>Automate monitoring where practical, define leading indicators, run periodic scenario tests and track residual risk after each major change.</t>
        </is>
      </c>
      <c r="S384" s="13" t="inlineStr">
        <is>
          <t>Sustain maturity for access reviews for critical systems, datasets, ERP, CRM, HRMS, MES and cloud: keep evidence current, monitor drift, benchmark externally and refresh risk tests after organizational, system or market changes.</t>
        </is>
      </c>
      <c r="T384" s="13" t="n">
        <v>4</v>
      </c>
      <c r="U384" s="13" t="n">
        <v>3</v>
      </c>
      <c r="V384" s="13" t="n">
        <v>3</v>
      </c>
      <c r="W384" s="13" t="n">
        <v>2</v>
      </c>
      <c r="X384" s="13" t="n">
        <v>1</v>
      </c>
      <c r="Y384" s="13" t="n">
        <v>1</v>
      </c>
      <c r="Z384" s="13" t="inlineStr">
        <is>
          <t>ISO/IEC 27001; ISO/IEC 27002; NIST CSF 2.0; CIS Controls; ISO/IEC 27701; GDPR; IEC 62443</t>
        </is>
      </c>
      <c r="AA384" s="13" t="inlineStr">
        <is>
          <t>Policy/SOP; owner/RACI; system report; dashboard; contracts; test records; incident history; interview evidence related to access reviews for critical systems, datasets, ERP, CRM, HRMS, MES and cloud.</t>
        </is>
      </c>
      <c r="AB384" s="13" t="inlineStr">
        <is>
          <t>Cyberattack; Data breach; Ransomware; Insider threat</t>
        </is>
      </c>
      <c r="AC384" s="13" t="inlineStr">
        <is>
          <t>CISO / IT Security</t>
        </is>
      </c>
      <c r="AD384" s="13" t="inlineStr">
        <is>
          <t>Cyber Privacy!16</t>
        </is>
      </c>
      <c r="AE384">
        <f>IF($A384="","",IF(OR(ISNUMBER(SEARCH("cyber",$D384)),ISNUMBER(SEARCH("security",$D384)),ISNUMBER(SEARCH("safety",$D384)),ISNUMBER(SEARCH("liquidity",$D384)),ISNUMBER(SEARCH("cash",$D384)),ISNUMBER(SEARCH("continuity",$D384)),ISNUMBER(SEARCH("infrastructure",$D384)),ISNUMBER(SEARCH("outage",$D384))),"Fast",IF(OR(ISNUMBER(SEARCH("compliance",$D384)),ISNUMBER(SEARCH("regulat",$D384)),ISNUMBER(SEARCH("data",$D384)),ISNUMBER(SEARCH("talent",$D384)),ISNUMBER(SEARCH("knowledge",$D384)),ISNUMBER(SEARCH("portfolio",$D384)),ISNUMBER(SEARCH("quality",$D384))),"Slow","Medium")))</f>
        <v/>
      </c>
      <c r="AF384">
        <f>IF($A384="","",IFERROR(VLOOKUP($B384,'_CONFIG_Risk_Calibration'!$A$5:$H$21,2,FALSE),3))</f>
        <v/>
      </c>
      <c r="AG384">
        <f>IF($A384="","",IFERROR(VLOOKUP($B384,'_CONFIG_Risk_Calibration'!$A$5:$H$21,3,FALSE),0))</f>
        <v/>
      </c>
      <c r="AH384">
        <f>IF($A384="","",IFERROR(VLOOKUP($B384,'_CONFIG_Risk_Calibration'!$A$5:$H$21,4,FALSE),3))</f>
        <v/>
      </c>
      <c r="AI384">
        <f>IF($A384="","",IFERROR(VLOOKUP($B384,'_CONFIG_Risk_Calibration'!$A$5:$H$21,5,FALSE),3))</f>
        <v/>
      </c>
      <c r="AJ384">
        <f>IF($A384="","",IFERROR(VLOOKUP($B384,'_CONFIG_Risk_Calibration'!$A$5:$H$21,6,FALSE),"No"))</f>
        <v/>
      </c>
      <c r="AK384">
        <f>IF($A384="","",IFERROR(VLOOKUP($B384,'_CONFIG_Risk_Calibration'!$A$5:$H$21,7,FALSE),1))</f>
        <v/>
      </c>
      <c r="AL384">
        <f>IF($A384="","",IFERROR(VLOOKUP($B384,'_CONFIG_Risk_Calibration'!$A$5:$H$21,8,FALSE),""))</f>
        <v/>
      </c>
    </row>
    <row r="385" ht="72" customHeight="1" s="209">
      <c r="A385" s="13" t="inlineStr">
        <is>
          <t>CYBE-013</t>
        </is>
      </c>
      <c r="B385" s="13" t="inlineStr">
        <is>
          <t>Cyber Privacy</t>
        </is>
      </c>
      <c r="C385" s="13" t="inlineStr">
        <is>
          <t>Protection</t>
        </is>
      </c>
      <c r="D385" s="13" t="inlineStr">
        <is>
          <t>Cybersecurity, privacy and access control</t>
        </is>
      </c>
      <c r="E385" s="13" t="inlineStr">
        <is>
          <t>How mature is the organization in managing endpoint protection with EDR, disk encryption, patching and remote management, including ownership, evidence, metrics, fallback procedures and crisis stress testing?</t>
        </is>
      </c>
      <c r="F385" s="13" t="inlineStr">
        <is>
          <t>Immature capability for endpoint protection with EDR, disk encryption, patching and remote management may lead to security incident, data breach, privilege misuse, privacy violation and regulatory exposure during Cyberattack; Data breach; Ransomware; Insider threat.</t>
        </is>
      </c>
      <c r="G385" s="13" t="inlineStr">
        <is>
          <t>Low maturity, weak ownership, incomplete evidence, insufficient testing and poor integration with crisis-management routines for endpoint protection with EDR, disk encryption, patching and remote management.</t>
        </is>
      </c>
      <c r="H385" s="13" t="inlineStr">
        <is>
          <t>Severe risk: endpoint protection with EDR, disk encryption, patching and remote management is not reliably controlled. During Cyberattack; Data breach; Ransomware; Insider threat, the organization may face security incident, data breach, privilege misuse, privacy violation and regulatory exposure with limited visibility or accountability.</t>
        </is>
      </c>
      <c r="I385" s="13" t="inlineStr">
        <is>
          <t>High risk: endpoint protection with EDR, disk encryption, patching and remote management depends on informal practices or individual knowledge. Disruption may expose security incident, data breach, privilege misuse, privacy violation and regulatory exposure and slow recovery.</t>
        </is>
      </c>
      <c r="J385" s="13" t="inlineStr">
        <is>
          <t>Elevated risk: endpoint protection with EDR, disk encryption, patching and remote management is partially controlled, but coverage, evidence or testing is inconsistent. Crisis response may be fragmented.</t>
        </is>
      </c>
      <c r="K385" s="13" t="inlineStr">
        <is>
          <t>Moderate risk: endpoint protection with EDR, disk encryption, patching and remote management is documented and owned, but measurement, stress testing and integration with dependent processes need strengthening.</t>
        </is>
      </c>
      <c r="L385" s="13" t="inlineStr">
        <is>
          <t>Residual risk: endpoint protection with EDR, disk encryption, patching and remote management is measured and reviewed, but monitoring, automation or scenario testing should be improved to prevent maturity drift.</t>
        </is>
      </c>
      <c r="M385" s="13" t="inlineStr">
        <is>
          <t>Low residual risk: endpoint protection with EDR, disk encryption, patching and remote management is mature and crisis-tested. Maintain monitoring, evidence, ownership and periodic stress testing.</t>
        </is>
      </c>
      <c r="N385" s="13" t="inlineStr">
        <is>
          <t>Create an immediate risk owner, minimum control baseline and fallback procedure for endpoint protection with EDR, disk encryption, patching and remote management. Add it to the crisis risk register and collect first evidence.</t>
        </is>
      </c>
      <c r="O385" s="13" t="inlineStr">
        <is>
          <t>Document endpoint protection with EDR, disk encryption, patching and remote management, assign RACI, define minimum controls and KPIs, and validate coverage across key sites, teams or systems.</t>
        </is>
      </c>
      <c r="P385" s="13" t="inlineStr">
        <is>
          <t>Standardize endpoint protection with EDR, disk encryption, patching and remote management, close coverage gaps, train accountable roles and connect controls to the relevant crisis scenarios and continuity plans.</t>
        </is>
      </c>
      <c r="Q385" s="13" t="inlineStr">
        <is>
          <t>Measure and test endpoint protection with EDR, disk encryption, patching and remote management, run tabletop or operational stress tests, integrate it with dependent processes and update crisis playbooks.</t>
        </is>
      </c>
      <c r="R385" s="13" t="inlineStr">
        <is>
          <t>Automate monitoring where practical, define leading indicators, run periodic scenario tests and track residual risk after each major change.</t>
        </is>
      </c>
      <c r="S385" s="13" t="inlineStr">
        <is>
          <t>Sustain maturity for endpoint protection with EDR, disk encryption, patching and remote management: keep evidence current, monitor drift, benchmark externally and refresh risk tests after organizational, system or market changes.</t>
        </is>
      </c>
      <c r="T385" s="13" t="n">
        <v>4</v>
      </c>
      <c r="U385" s="13" t="n">
        <v>3</v>
      </c>
      <c r="V385" s="13" t="n">
        <v>3</v>
      </c>
      <c r="W385" s="13" t="n">
        <v>2</v>
      </c>
      <c r="X385" s="13" t="n">
        <v>1</v>
      </c>
      <c r="Y385" s="13" t="n">
        <v>1</v>
      </c>
      <c r="Z385" s="13" t="inlineStr">
        <is>
          <t>ISO/IEC 27001; ISO/IEC 27002; NIST CSF 2.0; CIS Controls; ISO/IEC 27701; GDPR; IEC 62443</t>
        </is>
      </c>
      <c r="AA385" s="13" t="inlineStr">
        <is>
          <t>Policy/SOP; owner/RACI; system report; dashboard; contracts; test records; incident history; interview evidence related to endpoint protection with EDR, disk encryption, patching and remote management.</t>
        </is>
      </c>
      <c r="AB385" s="13" t="inlineStr">
        <is>
          <t>Cyberattack; Data breach; Ransomware; Insider threat</t>
        </is>
      </c>
      <c r="AC385" s="13" t="inlineStr">
        <is>
          <t>CISO / IT Security</t>
        </is>
      </c>
      <c r="AD385" s="13" t="inlineStr">
        <is>
          <t>Cyber Privacy!17</t>
        </is>
      </c>
      <c r="AE385">
        <f>IF($A385="","",IF(OR(ISNUMBER(SEARCH("cyber",$D385)),ISNUMBER(SEARCH("security",$D385)),ISNUMBER(SEARCH("safety",$D385)),ISNUMBER(SEARCH("liquidity",$D385)),ISNUMBER(SEARCH("cash",$D385)),ISNUMBER(SEARCH("continuity",$D385)),ISNUMBER(SEARCH("infrastructure",$D385)),ISNUMBER(SEARCH("outage",$D385))),"Fast",IF(OR(ISNUMBER(SEARCH("compliance",$D385)),ISNUMBER(SEARCH("regulat",$D385)),ISNUMBER(SEARCH("data",$D385)),ISNUMBER(SEARCH("talent",$D385)),ISNUMBER(SEARCH("knowledge",$D385)),ISNUMBER(SEARCH("portfolio",$D385)),ISNUMBER(SEARCH("quality",$D385))),"Slow","Medium")))</f>
        <v/>
      </c>
      <c r="AF385">
        <f>IF($A385="","",IFERROR(VLOOKUP($B385,'_CONFIG_Risk_Calibration'!$A$5:$H$21,2,FALSE),3))</f>
        <v/>
      </c>
      <c r="AG385">
        <f>IF($A385="","",IFERROR(VLOOKUP($B385,'_CONFIG_Risk_Calibration'!$A$5:$H$21,3,FALSE),0))</f>
        <v/>
      </c>
      <c r="AH385">
        <f>IF($A385="","",IFERROR(VLOOKUP($B385,'_CONFIG_Risk_Calibration'!$A$5:$H$21,4,FALSE),3))</f>
        <v/>
      </c>
      <c r="AI385">
        <f>IF($A385="","",IFERROR(VLOOKUP($B385,'_CONFIG_Risk_Calibration'!$A$5:$H$21,5,FALSE),3))</f>
        <v/>
      </c>
      <c r="AJ385">
        <f>IF($A385="","",IFERROR(VLOOKUP($B385,'_CONFIG_Risk_Calibration'!$A$5:$H$21,6,FALSE),"No"))</f>
        <v/>
      </c>
      <c r="AK385">
        <f>IF($A385="","",IFERROR(VLOOKUP($B385,'_CONFIG_Risk_Calibration'!$A$5:$H$21,7,FALSE),1))</f>
        <v/>
      </c>
      <c r="AL385">
        <f>IF($A385="","",IFERROR(VLOOKUP($B385,'_CONFIG_Risk_Calibration'!$A$5:$H$21,8,FALSE),""))</f>
        <v/>
      </c>
    </row>
    <row r="386" ht="72" customHeight="1" s="209">
      <c r="A386" s="13" t="inlineStr">
        <is>
          <t>CYBE-014</t>
        </is>
      </c>
      <c r="B386" s="13" t="inlineStr">
        <is>
          <t>Cyber Privacy</t>
        </is>
      </c>
      <c r="C386" s="13" t="inlineStr">
        <is>
          <t>Protection</t>
        </is>
      </c>
      <c r="D386" s="13" t="inlineStr">
        <is>
          <t>Cybersecurity, privacy and access control</t>
        </is>
      </c>
      <c r="E386" s="13" t="inlineStr">
        <is>
          <t>How mature is the organization in managing vulnerability and patch management prioritized by risk, exposure and asset criticality, including ownership, evidence, metrics, fallback procedures and crisis stress testing?</t>
        </is>
      </c>
      <c r="F386" s="13" t="inlineStr">
        <is>
          <t>Immature capability for vulnerability and patch management prioritized by risk, exposure and asset criticality may lead to security incident, data breach, privilege misuse, privacy violation and regulatory exposure during Cyberattack; Data breach; Ransomware; Insider threat.</t>
        </is>
      </c>
      <c r="G386" s="13" t="inlineStr">
        <is>
          <t>Low maturity, weak ownership, incomplete evidence, insufficient testing and poor integration with crisis-management routines for vulnerability and patch management prioritized by risk, exposure and asset criticality.</t>
        </is>
      </c>
      <c r="H386" s="13" t="inlineStr">
        <is>
          <t>Severe risk: vulnerability and patch management prioritized by risk, exposure and asset criticality is not reliably controlled. During Cyberattack; Data breach; Ransomware; Insider threat, the organization may face security incident, data breach, privilege misuse, privacy violation and regulatory exposure with limited visibility or accountability.</t>
        </is>
      </c>
      <c r="I386" s="13" t="inlineStr">
        <is>
          <t>High risk: vulnerability and patch management prioritized by risk, exposure and asset criticality depends on informal practices or individual knowledge. Disruption may expose security incident, data breach, privilege misuse, privacy violation and regulatory exposure and slow recovery.</t>
        </is>
      </c>
      <c r="J386" s="13" t="inlineStr">
        <is>
          <t>Elevated risk: vulnerability and patch management prioritized by risk, exposure and asset criticality is partially controlled, but coverage, evidence or testing is inconsistent. Crisis response may be fragmented.</t>
        </is>
      </c>
      <c r="K386" s="13" t="inlineStr">
        <is>
          <t>Moderate risk: vulnerability and patch management prioritized by risk, exposure and asset criticality is documented and owned, but measurement, stress testing and integration with dependent processes need strengthening.</t>
        </is>
      </c>
      <c r="L386" s="13" t="inlineStr">
        <is>
          <t>Residual risk: vulnerability and patch management prioritized by risk, exposure and asset criticality is measured and reviewed, but monitoring, automation or scenario testing should be improved to prevent maturity drift.</t>
        </is>
      </c>
      <c r="M386" s="13" t="inlineStr">
        <is>
          <t>Low residual risk: vulnerability and patch management prioritized by risk, exposure and asset criticality is mature and crisis-tested. Maintain monitoring, evidence, ownership and periodic stress testing.</t>
        </is>
      </c>
      <c r="N386" s="13" t="inlineStr">
        <is>
          <t>Create an immediate risk owner, minimum control baseline and fallback procedure for vulnerability and patch management prioritized by risk, exposure and asset criticality. Add it to the crisis risk register and collect first evidence.</t>
        </is>
      </c>
      <c r="O386" s="13" t="inlineStr">
        <is>
          <t>Document vulnerability and patch management prioritized by risk, exposure and asset criticality, assign RACI, define minimum controls and KPIs, and validate coverage across key sites, teams or systems.</t>
        </is>
      </c>
      <c r="P386" s="13" t="inlineStr">
        <is>
          <t>Standardize vulnerability and patch management prioritized by risk, exposure and asset criticality, close coverage gaps, train accountable roles and connect controls to the relevant crisis scenarios and continuity plans.</t>
        </is>
      </c>
      <c r="Q386" s="13" t="inlineStr">
        <is>
          <t>Measure and test vulnerability and patch management prioritized by risk, exposure and asset criticality, run tabletop or operational stress tests, integrate it with dependent processes and update crisis playbooks.</t>
        </is>
      </c>
      <c r="R386" s="13" t="inlineStr">
        <is>
          <t>Automate monitoring where practical, define leading indicators, run periodic scenario tests and track residual risk after each major change.</t>
        </is>
      </c>
      <c r="S386" s="13" t="inlineStr">
        <is>
          <t>Sustain maturity for vulnerability and patch management prioritized by risk, exposure and asset criticality: keep evidence current, monitor drift, benchmark externally and refresh risk tests after organizational, system or market changes.</t>
        </is>
      </c>
      <c r="T386" s="13" t="n">
        <v>4</v>
      </c>
      <c r="U386" s="13" t="n">
        <v>3</v>
      </c>
      <c r="V386" s="13" t="n">
        <v>3</v>
      </c>
      <c r="W386" s="13" t="n">
        <v>2</v>
      </c>
      <c r="X386" s="13" t="n">
        <v>1</v>
      </c>
      <c r="Y386" s="13" t="n">
        <v>1</v>
      </c>
      <c r="Z386" s="13" t="inlineStr">
        <is>
          <t>ISO/IEC 27001; ISO/IEC 27002; NIST CSF 2.0; CIS Controls; ISO/IEC 27701; GDPR; IEC 62443</t>
        </is>
      </c>
      <c r="AA386" s="13" t="inlineStr">
        <is>
          <t>Policy/SOP; owner/RACI; system report; dashboard; contracts; test records; incident history; interview evidence related to vulnerability and patch management prioritized by risk, exposure and asset criticality.</t>
        </is>
      </c>
      <c r="AB386" s="13" t="inlineStr">
        <is>
          <t>Cyberattack; Data breach; Ransomware; Insider threat</t>
        </is>
      </c>
      <c r="AC386" s="13" t="inlineStr">
        <is>
          <t>CISO / IT Security</t>
        </is>
      </c>
      <c r="AD386" s="13" t="inlineStr">
        <is>
          <t>Cyber Privacy!18</t>
        </is>
      </c>
      <c r="AE386">
        <f>IF($A386="","",IF(OR(ISNUMBER(SEARCH("cyber",$D386)),ISNUMBER(SEARCH("security",$D386)),ISNUMBER(SEARCH("safety",$D386)),ISNUMBER(SEARCH("liquidity",$D386)),ISNUMBER(SEARCH("cash",$D386)),ISNUMBER(SEARCH("continuity",$D386)),ISNUMBER(SEARCH("infrastructure",$D386)),ISNUMBER(SEARCH("outage",$D386))),"Fast",IF(OR(ISNUMBER(SEARCH("compliance",$D386)),ISNUMBER(SEARCH("regulat",$D386)),ISNUMBER(SEARCH("data",$D386)),ISNUMBER(SEARCH("talent",$D386)),ISNUMBER(SEARCH("knowledge",$D386)),ISNUMBER(SEARCH("portfolio",$D386)),ISNUMBER(SEARCH("quality",$D386))),"Slow","Medium")))</f>
        <v/>
      </c>
      <c r="AF386">
        <f>IF($A386="","",IFERROR(VLOOKUP($B386,'_CONFIG_Risk_Calibration'!$A$5:$H$21,2,FALSE),3))</f>
        <v/>
      </c>
      <c r="AG386">
        <f>IF($A386="","",IFERROR(VLOOKUP($B386,'_CONFIG_Risk_Calibration'!$A$5:$H$21,3,FALSE),0))</f>
        <v/>
      </c>
      <c r="AH386">
        <f>IF($A386="","",IFERROR(VLOOKUP($B386,'_CONFIG_Risk_Calibration'!$A$5:$H$21,4,FALSE),3))</f>
        <v/>
      </c>
      <c r="AI386">
        <f>IF($A386="","",IFERROR(VLOOKUP($B386,'_CONFIG_Risk_Calibration'!$A$5:$H$21,5,FALSE),3))</f>
        <v/>
      </c>
      <c r="AJ386">
        <f>IF($A386="","",IFERROR(VLOOKUP($B386,'_CONFIG_Risk_Calibration'!$A$5:$H$21,6,FALSE),"No"))</f>
        <v/>
      </c>
      <c r="AK386">
        <f>IF($A386="","",IFERROR(VLOOKUP($B386,'_CONFIG_Risk_Calibration'!$A$5:$H$21,7,FALSE),1))</f>
        <v/>
      </c>
      <c r="AL386">
        <f>IF($A386="","",IFERROR(VLOOKUP($B386,'_CONFIG_Risk_Calibration'!$A$5:$H$21,8,FALSE),""))</f>
        <v/>
      </c>
    </row>
    <row r="387" ht="72" customHeight="1" s="209">
      <c r="A387" s="13" t="inlineStr">
        <is>
          <t>CYBE-015</t>
        </is>
      </c>
      <c r="B387" s="13" t="inlineStr">
        <is>
          <t>Cyber Privacy</t>
        </is>
      </c>
      <c r="C387" s="13" t="inlineStr">
        <is>
          <t>Protection</t>
        </is>
      </c>
      <c r="D387" s="13" t="inlineStr">
        <is>
          <t>Cybersecurity, privacy and access control</t>
        </is>
      </c>
      <c r="E387" s="13" t="inlineStr">
        <is>
          <t>How mature is the organization in managing network segmentation for users, servers, cloud, OT, guest, production and sensitive systems, including ownership, evidence, metrics, fallback procedures and crisis stress testing?</t>
        </is>
      </c>
      <c r="F387" s="13" t="inlineStr">
        <is>
          <t>Immature capability for network segmentation for users, servers, cloud, OT, guest, production and sensitive systems may lead to security incident, data breach, privilege misuse, privacy violation and regulatory exposure during Cyberattack; Data breach; Ransomware; Insider threat.</t>
        </is>
      </c>
      <c r="G387" s="13" t="inlineStr">
        <is>
          <t>Low maturity, weak ownership, incomplete evidence, insufficient testing and poor integration with crisis-management routines for network segmentation for users, servers, cloud, OT, guest, production and sensitive systems.</t>
        </is>
      </c>
      <c r="H387" s="13" t="inlineStr">
        <is>
          <t>Severe risk: network segmentation for users, servers, cloud, OT, guest, production and sensitive systems is not reliably controlled. During Cyberattack; Data breach; Ransomware; Insider threat, the organization may face security incident, data breach, privilege misuse, privacy violation and regulatory exposure with limited visibility or accountability.</t>
        </is>
      </c>
      <c r="I387" s="13" t="inlineStr">
        <is>
          <t>High risk: network segmentation for users, servers, cloud, OT, guest, production and sensitive systems depends on informal practices or individual knowledge. Disruption may expose security incident, data breach, privilege misuse, privacy violation and regulatory exposure and slow recovery.</t>
        </is>
      </c>
      <c r="J387" s="13" t="inlineStr">
        <is>
          <t>Elevated risk: network segmentation for users, servers, cloud, OT, guest, production and sensitive systems is partially controlled, but coverage, evidence or testing is inconsistent. Crisis response may be fragmented.</t>
        </is>
      </c>
      <c r="K387" s="13" t="inlineStr">
        <is>
          <t>Moderate risk: network segmentation for users, servers, cloud, OT, guest, production and sensitive systems is documented and owned, but measurement, stress testing and integration with dependent processes need strengthening.</t>
        </is>
      </c>
      <c r="L387" s="13" t="inlineStr">
        <is>
          <t>Residual risk: network segmentation for users, servers, cloud, OT, guest, production and sensitive systems is measured and reviewed, but monitoring, automation or scenario testing should be improved to prevent maturity drift.</t>
        </is>
      </c>
      <c r="M387" s="13" t="inlineStr">
        <is>
          <t>Low residual risk: network segmentation for users, servers, cloud, OT, guest, production and sensitive systems is mature and crisis-tested. Maintain monitoring, evidence, ownership and periodic stress testing.</t>
        </is>
      </c>
      <c r="N387" s="13" t="inlineStr">
        <is>
          <t>Create an immediate risk owner, minimum control baseline and fallback procedure for network segmentation for users, servers, cloud, OT, guest, production and sensitive systems. Add it to the crisis risk register and collect first evidence.</t>
        </is>
      </c>
      <c r="O387" s="13" t="inlineStr">
        <is>
          <t>Document network segmentation for users, servers, cloud, OT, guest, production and sensitive systems, assign RACI, define minimum controls and KPIs, and validate coverage across key sites, teams or systems.</t>
        </is>
      </c>
      <c r="P387" s="13" t="inlineStr">
        <is>
          <t>Standardize network segmentation for users, servers, cloud, OT, guest, production and sensitive systems, close coverage gaps, train accountable roles and connect controls to the relevant crisis scenarios and continuity plans.</t>
        </is>
      </c>
      <c r="Q387" s="13" t="inlineStr">
        <is>
          <t>Measure and test network segmentation for users, servers, cloud, OT, guest, production and sensitive systems, run tabletop or operational stress tests, integrate it with dependent processes and update crisis playbooks.</t>
        </is>
      </c>
      <c r="R387" s="13" t="inlineStr">
        <is>
          <t>Automate monitoring where practical, define leading indicators, run periodic scenario tests and track residual risk after each major change.</t>
        </is>
      </c>
      <c r="S387" s="13" t="inlineStr">
        <is>
          <t>Sustain maturity for network segmentation for users, servers, cloud, OT, guest, production and sensitive systems: keep evidence current, monitor drift, benchmark externally and refresh risk tests after organizational, system or market changes.</t>
        </is>
      </c>
      <c r="T387" s="13" t="n">
        <v>4</v>
      </c>
      <c r="U387" s="13" t="n">
        <v>3</v>
      </c>
      <c r="V387" s="13" t="n">
        <v>3</v>
      </c>
      <c r="W387" s="13" t="n">
        <v>2</v>
      </c>
      <c r="X387" s="13" t="n">
        <v>1</v>
      </c>
      <c r="Y387" s="13" t="n">
        <v>1</v>
      </c>
      <c r="Z387" s="13" t="inlineStr">
        <is>
          <t>ISO/IEC 27001; ISO/IEC 27002; NIST CSF 2.0; CIS Controls; ISO/IEC 27701; GDPR; IEC 62443</t>
        </is>
      </c>
      <c r="AA387" s="13" t="inlineStr">
        <is>
          <t>Policy/SOP; owner/RACI; system report; dashboard; contracts; test records; incident history; interview evidence related to network segmentation for users, servers, cloud, OT, guest, production and sensitive systems.</t>
        </is>
      </c>
      <c r="AB387" s="13" t="inlineStr">
        <is>
          <t>Cyberattack; Data breach; Ransomware; Insider threat</t>
        </is>
      </c>
      <c r="AC387" s="13" t="inlineStr">
        <is>
          <t>CISO / IT Security</t>
        </is>
      </c>
      <c r="AD387" s="13" t="inlineStr">
        <is>
          <t>Cyber Privacy!19</t>
        </is>
      </c>
      <c r="AE387">
        <f>IF($A387="","",IF(OR(ISNUMBER(SEARCH("cyber",$D387)),ISNUMBER(SEARCH("security",$D387)),ISNUMBER(SEARCH("safety",$D387)),ISNUMBER(SEARCH("liquidity",$D387)),ISNUMBER(SEARCH("cash",$D387)),ISNUMBER(SEARCH("continuity",$D387)),ISNUMBER(SEARCH("infrastructure",$D387)),ISNUMBER(SEARCH("outage",$D387))),"Fast",IF(OR(ISNUMBER(SEARCH("compliance",$D387)),ISNUMBER(SEARCH("regulat",$D387)),ISNUMBER(SEARCH("data",$D387)),ISNUMBER(SEARCH("talent",$D387)),ISNUMBER(SEARCH("knowledge",$D387)),ISNUMBER(SEARCH("portfolio",$D387)),ISNUMBER(SEARCH("quality",$D387))),"Slow","Medium")))</f>
        <v/>
      </c>
      <c r="AF387">
        <f>IF($A387="","",IFERROR(VLOOKUP($B387,'_CONFIG_Risk_Calibration'!$A$5:$H$21,2,FALSE),3))</f>
        <v/>
      </c>
      <c r="AG387">
        <f>IF($A387="","",IFERROR(VLOOKUP($B387,'_CONFIG_Risk_Calibration'!$A$5:$H$21,3,FALSE),0))</f>
        <v/>
      </c>
      <c r="AH387">
        <f>IF($A387="","",IFERROR(VLOOKUP($B387,'_CONFIG_Risk_Calibration'!$A$5:$H$21,4,FALSE),3))</f>
        <v/>
      </c>
      <c r="AI387">
        <f>IF($A387="","",IFERROR(VLOOKUP($B387,'_CONFIG_Risk_Calibration'!$A$5:$H$21,5,FALSE),3))</f>
        <v/>
      </c>
      <c r="AJ387">
        <f>IF($A387="","",IFERROR(VLOOKUP($B387,'_CONFIG_Risk_Calibration'!$A$5:$H$21,6,FALSE),"No"))</f>
        <v/>
      </c>
      <c r="AK387">
        <f>IF($A387="","",IFERROR(VLOOKUP($B387,'_CONFIG_Risk_Calibration'!$A$5:$H$21,7,FALSE),1))</f>
        <v/>
      </c>
      <c r="AL387">
        <f>IF($A387="","",IFERROR(VLOOKUP($B387,'_CONFIG_Risk_Calibration'!$A$5:$H$21,8,FALSE),""))</f>
        <v/>
      </c>
    </row>
    <row r="388" ht="72" customHeight="1" s="209">
      <c r="A388" s="13" t="inlineStr">
        <is>
          <t>CYBE-016</t>
        </is>
      </c>
      <c r="B388" s="13" t="inlineStr">
        <is>
          <t>Cyber Privacy</t>
        </is>
      </c>
      <c r="C388" s="13" t="inlineStr">
        <is>
          <t>Protection</t>
        </is>
      </c>
      <c r="D388" s="13" t="inlineStr">
        <is>
          <t>Cybersecurity, privacy and access control</t>
        </is>
      </c>
      <c r="E388" s="13" t="inlineStr">
        <is>
          <t>How mature is the organization in managing email protection against phishing, spoofing, malware and business email compromise, including ownership, evidence, metrics, fallback procedures and crisis stress testing?</t>
        </is>
      </c>
      <c r="F388" s="13" t="inlineStr">
        <is>
          <t>Immature capability for email protection against phishing, spoofing, malware and business email compromise may lead to security incident, data breach, privilege misuse, privacy violation and regulatory exposure during Cyberattack; Data breach; Ransomware; Insider threat.</t>
        </is>
      </c>
      <c r="G388" s="13" t="inlineStr">
        <is>
          <t>Low maturity, weak ownership, incomplete evidence, insufficient testing and poor integration with crisis-management routines for email protection against phishing, spoofing, malware and business email compromise.</t>
        </is>
      </c>
      <c r="H388" s="13" t="inlineStr">
        <is>
          <t>Severe risk: email protection against phishing, spoofing, malware and business email compromise is not reliably controlled. During Cyberattack; Data breach; Ransomware; Insider threat, the organization may face security incident, data breach, privilege misuse, privacy violation and regulatory exposure with limited visibility or accountability.</t>
        </is>
      </c>
      <c r="I388" s="13" t="inlineStr">
        <is>
          <t>High risk: email protection against phishing, spoofing, malware and business email compromise depends on informal practices or individual knowledge. Disruption may expose security incident, data breach, privilege misuse, privacy violation and regulatory exposure and slow recovery.</t>
        </is>
      </c>
      <c r="J388" s="13" t="inlineStr">
        <is>
          <t>Elevated risk: email protection against phishing, spoofing, malware and business email compromise is partially controlled, but coverage, evidence or testing is inconsistent. Crisis response may be fragmented.</t>
        </is>
      </c>
      <c r="K388" s="13" t="inlineStr">
        <is>
          <t>Moderate risk: email protection against phishing, spoofing, malware and business email compromise is documented and owned, but measurement, stress testing and integration with dependent processes need strengthening.</t>
        </is>
      </c>
      <c r="L388" s="13" t="inlineStr">
        <is>
          <t>Residual risk: email protection against phishing, spoofing, malware and business email compromise is measured and reviewed, but monitoring, automation or scenario testing should be improved to prevent maturity drift.</t>
        </is>
      </c>
      <c r="M388" s="13" t="inlineStr">
        <is>
          <t>Low residual risk: email protection against phishing, spoofing, malware and business email compromise is mature and crisis-tested. Maintain monitoring, evidence, ownership and periodic stress testing.</t>
        </is>
      </c>
      <c r="N388" s="13" t="inlineStr">
        <is>
          <t>Create an immediate risk owner, minimum control baseline and fallback procedure for email protection against phishing, spoofing, malware and business email compromise. Add it to the crisis risk register and collect first evidence.</t>
        </is>
      </c>
      <c r="O388" s="13" t="inlineStr">
        <is>
          <t>Document email protection against phishing, spoofing, malware and business email compromise, assign RACI, define minimum controls and KPIs, and validate coverage across key sites, teams or systems.</t>
        </is>
      </c>
      <c r="P388" s="13" t="inlineStr">
        <is>
          <t>Standardize email protection against phishing, spoofing, malware and business email compromise, close coverage gaps, train accountable roles and connect controls to the relevant crisis scenarios and continuity plans.</t>
        </is>
      </c>
      <c r="Q388" s="13" t="inlineStr">
        <is>
          <t>Measure and test email protection against phishing, spoofing, malware and business email compromise, run tabletop or operational stress tests, integrate it with dependent processes and update crisis playbooks.</t>
        </is>
      </c>
      <c r="R388" s="13" t="inlineStr">
        <is>
          <t>Automate monitoring where practical, define leading indicators, run periodic scenario tests and track residual risk after each major change.</t>
        </is>
      </c>
      <c r="S388" s="13" t="inlineStr">
        <is>
          <t>Sustain maturity for email protection against phishing, spoofing, malware and business email compromise: keep evidence current, monitor drift, benchmark externally and refresh risk tests after organizational, system or market changes.</t>
        </is>
      </c>
      <c r="T388" s="13" t="n">
        <v>4</v>
      </c>
      <c r="U388" s="13" t="n">
        <v>3</v>
      </c>
      <c r="V388" s="13" t="n">
        <v>3</v>
      </c>
      <c r="W388" s="13" t="n">
        <v>2</v>
      </c>
      <c r="X388" s="13" t="n">
        <v>1</v>
      </c>
      <c r="Y388" s="13" t="n">
        <v>1</v>
      </c>
      <c r="Z388" s="13" t="inlineStr">
        <is>
          <t>ISO/IEC 27001; ISO/IEC 27002; NIST CSF 2.0; CIS Controls; ISO/IEC 27701; GDPR; IEC 62443</t>
        </is>
      </c>
      <c r="AA388" s="13" t="inlineStr">
        <is>
          <t>Policy/SOP; owner/RACI; system report; dashboard; contracts; test records; incident history; interview evidence related to email protection against phishing, spoofing, malware and business email compromise.</t>
        </is>
      </c>
      <c r="AB388" s="13" t="inlineStr">
        <is>
          <t>Cyberattack; Data breach; Ransomware; Insider threat</t>
        </is>
      </c>
      <c r="AC388" s="13" t="inlineStr">
        <is>
          <t>CISO / IT Security</t>
        </is>
      </c>
      <c r="AD388" s="13" t="inlineStr">
        <is>
          <t>Cyber Privacy!20</t>
        </is>
      </c>
      <c r="AE388">
        <f>IF($A388="","",IF(OR(ISNUMBER(SEARCH("cyber",$D388)),ISNUMBER(SEARCH("security",$D388)),ISNUMBER(SEARCH("safety",$D388)),ISNUMBER(SEARCH("liquidity",$D388)),ISNUMBER(SEARCH("cash",$D388)),ISNUMBER(SEARCH("continuity",$D388)),ISNUMBER(SEARCH("infrastructure",$D388)),ISNUMBER(SEARCH("outage",$D388))),"Fast",IF(OR(ISNUMBER(SEARCH("compliance",$D388)),ISNUMBER(SEARCH("regulat",$D388)),ISNUMBER(SEARCH("data",$D388)),ISNUMBER(SEARCH("talent",$D388)),ISNUMBER(SEARCH("knowledge",$D388)),ISNUMBER(SEARCH("portfolio",$D388)),ISNUMBER(SEARCH("quality",$D388))),"Slow","Medium")))</f>
        <v/>
      </c>
      <c r="AF388">
        <f>IF($A388="","",IFERROR(VLOOKUP($B388,'_CONFIG_Risk_Calibration'!$A$5:$H$21,2,FALSE),3))</f>
        <v/>
      </c>
      <c r="AG388">
        <f>IF($A388="","",IFERROR(VLOOKUP($B388,'_CONFIG_Risk_Calibration'!$A$5:$H$21,3,FALSE),0))</f>
        <v/>
      </c>
      <c r="AH388">
        <f>IF($A388="","",IFERROR(VLOOKUP($B388,'_CONFIG_Risk_Calibration'!$A$5:$H$21,4,FALSE),3))</f>
        <v/>
      </c>
      <c r="AI388">
        <f>IF($A388="","",IFERROR(VLOOKUP($B388,'_CONFIG_Risk_Calibration'!$A$5:$H$21,5,FALSE),3))</f>
        <v/>
      </c>
      <c r="AJ388">
        <f>IF($A388="","",IFERROR(VLOOKUP($B388,'_CONFIG_Risk_Calibration'!$A$5:$H$21,6,FALSE),"No"))</f>
        <v/>
      </c>
      <c r="AK388">
        <f>IF($A388="","",IFERROR(VLOOKUP($B388,'_CONFIG_Risk_Calibration'!$A$5:$H$21,7,FALSE),1))</f>
        <v/>
      </c>
      <c r="AL388">
        <f>IF($A388="","",IFERROR(VLOOKUP($B388,'_CONFIG_Risk_Calibration'!$A$5:$H$21,8,FALSE),""))</f>
        <v/>
      </c>
    </row>
    <row r="389" ht="72" customHeight="1" s="209">
      <c r="A389" s="13" t="inlineStr">
        <is>
          <t>CYBE-017</t>
        </is>
      </c>
      <c r="B389" s="13" t="inlineStr">
        <is>
          <t>Cyber Privacy</t>
        </is>
      </c>
      <c r="C389" s="13" t="inlineStr">
        <is>
          <t>Protection</t>
        </is>
      </c>
      <c r="D389" s="13" t="inlineStr">
        <is>
          <t>Cybersecurity, privacy and access control</t>
        </is>
      </c>
      <c r="E389" s="13" t="inlineStr">
        <is>
          <t>How mature is the organization in managing cloud security guardrails for IAM, logging, encryption, public exposure, secrets and network access, including ownership, evidence, metrics, fallback procedures and crisis stress testing?</t>
        </is>
      </c>
      <c r="F389" s="13" t="inlineStr">
        <is>
          <t>Immature capability for cloud security guardrails for IAM, logging, encryption, public exposure, secrets and network access may lead to security incident, data breach, privilege misuse, privacy violation and regulatory exposure during Cyberattack; Data breach; Ransomware; Insider threat.</t>
        </is>
      </c>
      <c r="G389" s="13" t="inlineStr">
        <is>
          <t>Low maturity, weak ownership, incomplete evidence, insufficient testing and poor integration with crisis-management routines for cloud security guardrails for IAM, logging, encryption, public exposure, secrets and network access.</t>
        </is>
      </c>
      <c r="H389" s="13" t="inlineStr">
        <is>
          <t>Severe risk: cloud security guardrails for IAM, logging, encryption, public exposure, secrets and network access is not reliably controlled. During Cyberattack; Data breach; Ransomware; Insider threat, the organization may face security incident, data breach, privilege misuse, privacy violation and regulatory exposure with limited visibility or accountability.</t>
        </is>
      </c>
      <c r="I389" s="13" t="inlineStr">
        <is>
          <t>High risk: cloud security guardrails for IAM, logging, encryption, public exposure, secrets and network access depends on informal practices or individual knowledge. Disruption may expose security incident, data breach, privilege misuse, privacy violation and regulatory exposure and slow recovery.</t>
        </is>
      </c>
      <c r="J389" s="13" t="inlineStr">
        <is>
          <t>Elevated risk: cloud security guardrails for IAM, logging, encryption, public exposure, secrets and network access is partially controlled, but coverage, evidence or testing is inconsistent. Crisis response may be fragmented.</t>
        </is>
      </c>
      <c r="K389" s="13" t="inlineStr">
        <is>
          <t>Moderate risk: cloud security guardrails for IAM, logging, encryption, public exposure, secrets and network access is documented and owned, but measurement, stress testing and integration with dependent processes need strengthening.</t>
        </is>
      </c>
      <c r="L389" s="13" t="inlineStr">
        <is>
          <t>Residual risk: cloud security guardrails for IAM, logging, encryption, public exposure, secrets and network access is measured and reviewed, but monitoring, automation or scenario testing should be improved to prevent maturity drift.</t>
        </is>
      </c>
      <c r="M389" s="13" t="inlineStr">
        <is>
          <t>Low residual risk: cloud security guardrails for IAM, logging, encryption, public exposure, secrets and network access is mature and crisis-tested. Maintain monitoring, evidence, ownership and periodic stress testing.</t>
        </is>
      </c>
      <c r="N389" s="13" t="inlineStr">
        <is>
          <t>Create an immediate risk owner, minimum control baseline and fallback procedure for cloud security guardrails for IAM, logging, encryption, public exposure, secrets and network access. Add it to the crisis risk register and collect first evidence.</t>
        </is>
      </c>
      <c r="O389" s="13" t="inlineStr">
        <is>
          <t>Document cloud security guardrails for IAM, logging, encryption, public exposure, secrets and network access, assign RACI, define minimum controls and KPIs, and validate coverage across key sites, teams or systems.</t>
        </is>
      </c>
      <c r="P389" s="13" t="inlineStr">
        <is>
          <t>Standardize cloud security guardrails for IAM, logging, encryption, public exposure, secrets and network access, close coverage gaps, train accountable roles and connect controls to the relevant crisis scenarios and continuity plans.</t>
        </is>
      </c>
      <c r="Q389" s="13" t="inlineStr">
        <is>
          <t>Measure and test cloud security guardrails for IAM, logging, encryption, public exposure, secrets and network access, run tabletop or operational stress tests, integrate it with dependent processes and update crisis playbooks.</t>
        </is>
      </c>
      <c r="R389" s="13" t="inlineStr">
        <is>
          <t>Automate monitoring where practical, define leading indicators, run periodic scenario tests and track residual risk after each major change.</t>
        </is>
      </c>
      <c r="S389" s="13" t="inlineStr">
        <is>
          <t>Sustain maturity for cloud security guardrails for IAM, logging, encryption, public exposure, secrets and network access: keep evidence current, monitor drift, benchmark externally and refresh risk tests after organizational, system or market changes.</t>
        </is>
      </c>
      <c r="T389" s="13" t="n">
        <v>4</v>
      </c>
      <c r="U389" s="13" t="n">
        <v>3</v>
      </c>
      <c r="V389" s="13" t="n">
        <v>3</v>
      </c>
      <c r="W389" s="13" t="n">
        <v>2</v>
      </c>
      <c r="X389" s="13" t="n">
        <v>1</v>
      </c>
      <c r="Y389" s="13" t="n">
        <v>1</v>
      </c>
      <c r="Z389" s="13" t="inlineStr">
        <is>
          <t>ISO/IEC 27001; ISO/IEC 27002; NIST CSF 2.0; CIS Controls; ISO/IEC 27701; GDPR; IEC 62443</t>
        </is>
      </c>
      <c r="AA389" s="13" t="inlineStr">
        <is>
          <t>Policy/SOP; owner/RACI; system report; dashboard; contracts; test records; incident history; interview evidence related to cloud security guardrails for IAM, logging, encryption, public exposure, secrets and network access.</t>
        </is>
      </c>
      <c r="AB389" s="13" t="inlineStr">
        <is>
          <t>Cyberattack; Data breach; Ransomware; Insider threat</t>
        </is>
      </c>
      <c r="AC389" s="13" t="inlineStr">
        <is>
          <t>CISO / IT Security</t>
        </is>
      </c>
      <c r="AD389" s="13" t="inlineStr">
        <is>
          <t>Cyber Privacy!21</t>
        </is>
      </c>
      <c r="AE389">
        <f>IF($A389="","",IF(OR(ISNUMBER(SEARCH("cyber",$D389)),ISNUMBER(SEARCH("security",$D389)),ISNUMBER(SEARCH("safety",$D389)),ISNUMBER(SEARCH("liquidity",$D389)),ISNUMBER(SEARCH("cash",$D389)),ISNUMBER(SEARCH("continuity",$D389)),ISNUMBER(SEARCH("infrastructure",$D389)),ISNUMBER(SEARCH("outage",$D389))),"Fast",IF(OR(ISNUMBER(SEARCH("compliance",$D389)),ISNUMBER(SEARCH("regulat",$D389)),ISNUMBER(SEARCH("data",$D389)),ISNUMBER(SEARCH("talent",$D389)),ISNUMBER(SEARCH("knowledge",$D389)),ISNUMBER(SEARCH("portfolio",$D389)),ISNUMBER(SEARCH("quality",$D389))),"Slow","Medium")))</f>
        <v/>
      </c>
      <c r="AF389">
        <f>IF($A389="","",IFERROR(VLOOKUP($B389,'_CONFIG_Risk_Calibration'!$A$5:$H$21,2,FALSE),3))</f>
        <v/>
      </c>
      <c r="AG389">
        <f>IF($A389="","",IFERROR(VLOOKUP($B389,'_CONFIG_Risk_Calibration'!$A$5:$H$21,3,FALSE),0))</f>
        <v/>
      </c>
      <c r="AH389">
        <f>IF($A389="","",IFERROR(VLOOKUP($B389,'_CONFIG_Risk_Calibration'!$A$5:$H$21,4,FALSE),3))</f>
        <v/>
      </c>
      <c r="AI389">
        <f>IF($A389="","",IFERROR(VLOOKUP($B389,'_CONFIG_Risk_Calibration'!$A$5:$H$21,5,FALSE),3))</f>
        <v/>
      </c>
      <c r="AJ389">
        <f>IF($A389="","",IFERROR(VLOOKUP($B389,'_CONFIG_Risk_Calibration'!$A$5:$H$21,6,FALSE),"No"))</f>
        <v/>
      </c>
      <c r="AK389">
        <f>IF($A389="","",IFERROR(VLOOKUP($B389,'_CONFIG_Risk_Calibration'!$A$5:$H$21,7,FALSE),1))</f>
        <v/>
      </c>
      <c r="AL389">
        <f>IF($A389="","",IFERROR(VLOOKUP($B389,'_CONFIG_Risk_Calibration'!$A$5:$H$21,8,FALSE),""))</f>
        <v/>
      </c>
    </row>
    <row r="390" ht="72" customHeight="1" s="209">
      <c r="A390" s="13" t="inlineStr">
        <is>
          <t>CYBE-018</t>
        </is>
      </c>
      <c r="B390" s="13" t="inlineStr">
        <is>
          <t>Cyber Privacy</t>
        </is>
      </c>
      <c r="C390" s="13" t="inlineStr">
        <is>
          <t>Protection</t>
        </is>
      </c>
      <c r="D390" s="13" t="inlineStr">
        <is>
          <t>Cybersecurity, privacy and access control</t>
        </is>
      </c>
      <c r="E390" s="13" t="inlineStr">
        <is>
          <t>How mature is the organization in managing secrets, API keys, certificates and credentials management and rotation, including ownership, evidence, metrics, fallback procedures and crisis stress testing?</t>
        </is>
      </c>
      <c r="F390" s="13" t="inlineStr">
        <is>
          <t>Immature capability for secrets, API keys, certificates and credentials management and rotation may lead to security incident, data breach, privilege misuse, privacy violation and regulatory exposure during Cyberattack; Data breach; Ransomware; Insider threat.</t>
        </is>
      </c>
      <c r="G390" s="13" t="inlineStr">
        <is>
          <t>Low maturity, weak ownership, incomplete evidence, insufficient testing and poor integration with crisis-management routines for secrets, API keys, certificates and credentials management and rotation.</t>
        </is>
      </c>
      <c r="H390" s="13" t="inlineStr">
        <is>
          <t>Severe risk: secrets, API keys, certificates and credentials management and rotation is not reliably controlled. During Cyberattack; Data breach; Ransomware; Insider threat, the organization may face security incident, data breach, privilege misuse, privacy violation and regulatory exposure with limited visibility or accountability.</t>
        </is>
      </c>
      <c r="I390" s="13" t="inlineStr">
        <is>
          <t>High risk: secrets, API keys, certificates and credentials management and rotation depends on informal practices or individual knowledge. Disruption may expose security incident, data breach, privilege misuse, privacy violation and regulatory exposure and slow recovery.</t>
        </is>
      </c>
      <c r="J390" s="13" t="inlineStr">
        <is>
          <t>Elevated risk: secrets, API keys, certificates and credentials management and rotation is partially controlled, but coverage, evidence or testing is inconsistent. Crisis response may be fragmented.</t>
        </is>
      </c>
      <c r="K390" s="13" t="inlineStr">
        <is>
          <t>Moderate risk: secrets, API keys, certificates and credentials management and rotation is documented and owned, but measurement, stress testing and integration with dependent processes need strengthening.</t>
        </is>
      </c>
      <c r="L390" s="13" t="inlineStr">
        <is>
          <t>Residual risk: secrets, API keys, certificates and credentials management and rotation is measured and reviewed, but monitoring, automation or scenario testing should be improved to prevent maturity drift.</t>
        </is>
      </c>
      <c r="M390" s="13" t="inlineStr">
        <is>
          <t>Low residual risk: secrets, API keys, certificates and credentials management and rotation is mature and crisis-tested. Maintain monitoring, evidence, ownership and periodic stress testing.</t>
        </is>
      </c>
      <c r="N390" s="13" t="inlineStr">
        <is>
          <t>Create an immediate risk owner, minimum control baseline and fallback procedure for secrets, API keys, certificates and credentials management and rotation. Add it to the crisis risk register and collect first evidence.</t>
        </is>
      </c>
      <c r="O390" s="13" t="inlineStr">
        <is>
          <t>Document secrets, API keys, certificates and credentials management and rotation, assign RACI, define minimum controls and KPIs, and validate coverage across key sites, teams or systems.</t>
        </is>
      </c>
      <c r="P390" s="13" t="inlineStr">
        <is>
          <t>Standardize secrets, API keys, certificates and credentials management and rotation, close coverage gaps, train accountable roles and connect controls to the relevant crisis scenarios and continuity plans.</t>
        </is>
      </c>
      <c r="Q390" s="13" t="inlineStr">
        <is>
          <t>Measure and test secrets, API keys, certificates and credentials management and rotation, run tabletop or operational stress tests, integrate it with dependent processes and update crisis playbooks.</t>
        </is>
      </c>
      <c r="R390" s="13" t="inlineStr">
        <is>
          <t>Automate monitoring where practical, define leading indicators, run periodic scenario tests and track residual risk after each major change.</t>
        </is>
      </c>
      <c r="S390" s="13" t="inlineStr">
        <is>
          <t>Sustain maturity for secrets, API keys, certificates and credentials management and rotation: keep evidence current, monitor drift, benchmark externally and refresh risk tests after organizational, system or market changes.</t>
        </is>
      </c>
      <c r="T390" s="13" t="n">
        <v>4</v>
      </c>
      <c r="U390" s="13" t="n">
        <v>3</v>
      </c>
      <c r="V390" s="13" t="n">
        <v>3</v>
      </c>
      <c r="W390" s="13" t="n">
        <v>2</v>
      </c>
      <c r="X390" s="13" t="n">
        <v>1</v>
      </c>
      <c r="Y390" s="13" t="n">
        <v>1</v>
      </c>
      <c r="Z390" s="13" t="inlineStr">
        <is>
          <t>ISO/IEC 27001; ISO/IEC 27002; NIST CSF 2.0; CIS Controls; ISO/IEC 27701; GDPR; IEC 62443</t>
        </is>
      </c>
      <c r="AA390" s="13" t="inlineStr">
        <is>
          <t>Policy/SOP; owner/RACI; system report; dashboard; contracts; test records; incident history; interview evidence related to secrets, API keys, certificates and credentials management and rotation.</t>
        </is>
      </c>
      <c r="AB390" s="13" t="inlineStr">
        <is>
          <t>Cyberattack; Data breach; Ransomware; Insider threat</t>
        </is>
      </c>
      <c r="AC390" s="13" t="inlineStr">
        <is>
          <t>CISO / IT Security</t>
        </is>
      </c>
      <c r="AD390" s="13" t="inlineStr">
        <is>
          <t>Cyber Privacy!22</t>
        </is>
      </c>
      <c r="AE390">
        <f>IF($A390="","",IF(OR(ISNUMBER(SEARCH("cyber",$D390)),ISNUMBER(SEARCH("security",$D390)),ISNUMBER(SEARCH("safety",$D390)),ISNUMBER(SEARCH("liquidity",$D390)),ISNUMBER(SEARCH("cash",$D390)),ISNUMBER(SEARCH("continuity",$D390)),ISNUMBER(SEARCH("infrastructure",$D390)),ISNUMBER(SEARCH("outage",$D390))),"Fast",IF(OR(ISNUMBER(SEARCH("compliance",$D390)),ISNUMBER(SEARCH("regulat",$D390)),ISNUMBER(SEARCH("data",$D390)),ISNUMBER(SEARCH("talent",$D390)),ISNUMBER(SEARCH("knowledge",$D390)),ISNUMBER(SEARCH("portfolio",$D390)),ISNUMBER(SEARCH("quality",$D390))),"Slow","Medium")))</f>
        <v/>
      </c>
      <c r="AF390">
        <f>IF($A390="","",IFERROR(VLOOKUP($B390,'_CONFIG_Risk_Calibration'!$A$5:$H$21,2,FALSE),3))</f>
        <v/>
      </c>
      <c r="AG390">
        <f>IF($A390="","",IFERROR(VLOOKUP($B390,'_CONFIG_Risk_Calibration'!$A$5:$H$21,3,FALSE),0))</f>
        <v/>
      </c>
      <c r="AH390">
        <f>IF($A390="","",IFERROR(VLOOKUP($B390,'_CONFIG_Risk_Calibration'!$A$5:$H$21,4,FALSE),3))</f>
        <v/>
      </c>
      <c r="AI390">
        <f>IF($A390="","",IFERROR(VLOOKUP($B390,'_CONFIG_Risk_Calibration'!$A$5:$H$21,5,FALSE),3))</f>
        <v/>
      </c>
      <c r="AJ390">
        <f>IF($A390="","",IFERROR(VLOOKUP($B390,'_CONFIG_Risk_Calibration'!$A$5:$H$21,6,FALSE),"No"))</f>
        <v/>
      </c>
      <c r="AK390">
        <f>IF($A390="","",IFERROR(VLOOKUP($B390,'_CONFIG_Risk_Calibration'!$A$5:$H$21,7,FALSE),1))</f>
        <v/>
      </c>
      <c r="AL390">
        <f>IF($A390="","",IFERROR(VLOOKUP($B390,'_CONFIG_Risk_Calibration'!$A$5:$H$21,8,FALSE),""))</f>
        <v/>
      </c>
    </row>
    <row r="391" ht="60" customHeight="1" s="209">
      <c r="A391" s="13" t="inlineStr">
        <is>
          <t>CYBE-019</t>
        </is>
      </c>
      <c r="B391" s="13" t="inlineStr">
        <is>
          <t>Cyber Privacy</t>
        </is>
      </c>
      <c r="C391" s="13" t="inlineStr">
        <is>
          <t>Protection</t>
        </is>
      </c>
      <c r="D391" s="13" t="inlineStr">
        <is>
          <t>Cybersecurity, privacy and access control</t>
        </is>
      </c>
      <c r="E391" s="13" t="inlineStr">
        <is>
          <t>How mature is the organization in managing encryption for sensitive data at rest and in transit, including ownership, evidence, metrics, fallback procedures and crisis stress testing?</t>
        </is>
      </c>
      <c r="F391" s="13" t="inlineStr">
        <is>
          <t>Immature capability for encryption for sensitive data at rest and in transit may lead to security incident, data breach, privilege misuse, privacy violation and regulatory exposure during Cyberattack; Data breach; Ransomware; Insider threat.</t>
        </is>
      </c>
      <c r="G391" s="13" t="inlineStr">
        <is>
          <t>Low maturity, weak ownership, incomplete evidence, insufficient testing and poor integration with crisis-management routines for encryption for sensitive data at rest and in transit.</t>
        </is>
      </c>
      <c r="H391" s="13" t="inlineStr">
        <is>
          <t>Severe risk: encryption for sensitive data at rest and in transit is not reliably controlled. During Cyberattack; Data breach; Ransomware; Insider threat, the organization may face security incident, data breach, privilege misuse, privacy violation and regulatory exposure with limited visibility or accountability.</t>
        </is>
      </c>
      <c r="I391" s="13" t="inlineStr">
        <is>
          <t>High risk: encryption for sensitive data at rest and in transit depends on informal practices or individual knowledge. Disruption may expose security incident, data breach, privilege misuse, privacy violation and regulatory exposure and slow recovery.</t>
        </is>
      </c>
      <c r="J391" s="13" t="inlineStr">
        <is>
          <t>Elevated risk: encryption for sensitive data at rest and in transit is partially controlled, but coverage, evidence or testing is inconsistent. Crisis response may be fragmented.</t>
        </is>
      </c>
      <c r="K391" s="13" t="inlineStr">
        <is>
          <t>Moderate risk: encryption for sensitive data at rest and in transit is documented and owned, but measurement, stress testing and integration with dependent processes need strengthening.</t>
        </is>
      </c>
      <c r="L391" s="13" t="inlineStr">
        <is>
          <t>Residual risk: encryption for sensitive data at rest and in transit is measured and reviewed, but monitoring, automation or scenario testing should be improved to prevent maturity drift.</t>
        </is>
      </c>
      <c r="M391" s="13" t="inlineStr">
        <is>
          <t>Low residual risk: encryption for sensitive data at rest and in transit is mature and crisis-tested. Maintain monitoring, evidence, ownership and periodic stress testing.</t>
        </is>
      </c>
      <c r="N391" s="13" t="inlineStr">
        <is>
          <t>Create an immediate risk owner, minimum control baseline and fallback procedure for encryption for sensitive data at rest and in transit. Add it to the crisis risk register and collect first evidence.</t>
        </is>
      </c>
      <c r="O391" s="13" t="inlineStr">
        <is>
          <t>Document encryption for sensitive data at rest and in transit, assign RACI, define minimum controls and KPIs, and validate coverage across key sites, teams or systems.</t>
        </is>
      </c>
      <c r="P391" s="13" t="inlineStr">
        <is>
          <t>Standardize encryption for sensitive data at rest and in transit, close coverage gaps, train accountable roles and connect controls to the relevant crisis scenarios and continuity plans.</t>
        </is>
      </c>
      <c r="Q391" s="13" t="inlineStr">
        <is>
          <t>Measure and test encryption for sensitive data at rest and in transit, run tabletop or operational stress tests, integrate it with dependent processes and update crisis playbooks.</t>
        </is>
      </c>
      <c r="R391" s="13" t="inlineStr">
        <is>
          <t>Automate monitoring where practical, define leading indicators, run periodic scenario tests and track residual risk after each major change.</t>
        </is>
      </c>
      <c r="S391" s="13" t="inlineStr">
        <is>
          <t>Sustain maturity for encryption for sensitive data at rest and in transit: keep evidence current, monitor drift, benchmark externally and refresh risk tests after organizational, system or market changes.</t>
        </is>
      </c>
      <c r="T391" s="13" t="n">
        <v>4</v>
      </c>
      <c r="U391" s="13" t="n">
        <v>3</v>
      </c>
      <c r="V391" s="13" t="n">
        <v>3</v>
      </c>
      <c r="W391" s="13" t="n">
        <v>2</v>
      </c>
      <c r="X391" s="13" t="n">
        <v>1</v>
      </c>
      <c r="Y391" s="13" t="n">
        <v>1</v>
      </c>
      <c r="Z391" s="13" t="inlineStr">
        <is>
          <t>ISO/IEC 27001; ISO/IEC 27002; NIST CSF 2.0; CIS Controls; ISO/IEC 27701; GDPR; IEC 62443</t>
        </is>
      </c>
      <c r="AA391" s="13" t="inlineStr">
        <is>
          <t>Policy/SOP; owner/RACI; system report; dashboard; contracts; test records; incident history; interview evidence related to encryption for sensitive data at rest and in transit.</t>
        </is>
      </c>
      <c r="AB391" s="13" t="inlineStr">
        <is>
          <t>Cyberattack; Data breach; Ransomware; Insider threat</t>
        </is>
      </c>
      <c r="AC391" s="13" t="inlineStr">
        <is>
          <t>CISO / IT Security</t>
        </is>
      </c>
      <c r="AD391" s="13" t="inlineStr">
        <is>
          <t>Cyber Privacy!23</t>
        </is>
      </c>
      <c r="AE391">
        <f>IF($A391="","",IF(OR(ISNUMBER(SEARCH("cyber",$D391)),ISNUMBER(SEARCH("security",$D391)),ISNUMBER(SEARCH("safety",$D391)),ISNUMBER(SEARCH("liquidity",$D391)),ISNUMBER(SEARCH("cash",$D391)),ISNUMBER(SEARCH("continuity",$D391)),ISNUMBER(SEARCH("infrastructure",$D391)),ISNUMBER(SEARCH("outage",$D391))),"Fast",IF(OR(ISNUMBER(SEARCH("compliance",$D391)),ISNUMBER(SEARCH("regulat",$D391)),ISNUMBER(SEARCH("data",$D391)),ISNUMBER(SEARCH("talent",$D391)),ISNUMBER(SEARCH("knowledge",$D391)),ISNUMBER(SEARCH("portfolio",$D391)),ISNUMBER(SEARCH("quality",$D391))),"Slow","Medium")))</f>
        <v/>
      </c>
      <c r="AF391">
        <f>IF($A391="","",IFERROR(VLOOKUP($B391,'_CONFIG_Risk_Calibration'!$A$5:$H$21,2,FALSE),3))</f>
        <v/>
      </c>
      <c r="AG391">
        <f>IF($A391="","",IFERROR(VLOOKUP($B391,'_CONFIG_Risk_Calibration'!$A$5:$H$21,3,FALSE),0))</f>
        <v/>
      </c>
      <c r="AH391">
        <f>IF($A391="","",IFERROR(VLOOKUP($B391,'_CONFIG_Risk_Calibration'!$A$5:$H$21,4,FALSE),3))</f>
        <v/>
      </c>
      <c r="AI391">
        <f>IF($A391="","",IFERROR(VLOOKUP($B391,'_CONFIG_Risk_Calibration'!$A$5:$H$21,5,FALSE),3))</f>
        <v/>
      </c>
      <c r="AJ391">
        <f>IF($A391="","",IFERROR(VLOOKUP($B391,'_CONFIG_Risk_Calibration'!$A$5:$H$21,6,FALSE),"No"))</f>
        <v/>
      </c>
      <c r="AK391">
        <f>IF($A391="","",IFERROR(VLOOKUP($B391,'_CONFIG_Risk_Calibration'!$A$5:$H$21,7,FALSE),1))</f>
        <v/>
      </c>
      <c r="AL391">
        <f>IF($A391="","",IFERROR(VLOOKUP($B391,'_CONFIG_Risk_Calibration'!$A$5:$H$21,8,FALSE),""))</f>
        <v/>
      </c>
    </row>
    <row r="392" ht="72" customHeight="1" s="209">
      <c r="A392" s="13" t="inlineStr">
        <is>
          <t>CYBE-020</t>
        </is>
      </c>
      <c r="B392" s="13" t="inlineStr">
        <is>
          <t>Cyber Privacy</t>
        </is>
      </c>
      <c r="C392" s="13" t="inlineStr">
        <is>
          <t>Protection</t>
        </is>
      </c>
      <c r="D392" s="13" t="inlineStr">
        <is>
          <t>Cybersecurity, privacy and access control</t>
        </is>
      </c>
      <c r="E392" s="13" t="inlineStr">
        <is>
          <t>How mature is the organization in managing DLP controls for sensitive data in email, cloud storage, endpoints and collaboration tools, including ownership, evidence, metrics, fallback procedures and crisis stress testing?</t>
        </is>
      </c>
      <c r="F392" s="13" t="inlineStr">
        <is>
          <t>Immature capability for DLP controls for sensitive data in email, cloud storage, endpoints and collaboration tools may lead to security incident, data breach, privilege misuse, privacy violation and regulatory exposure during Cyberattack; Data breach; Ransomware; Insider threat.</t>
        </is>
      </c>
      <c r="G392" s="13" t="inlineStr">
        <is>
          <t>Low maturity, weak ownership, incomplete evidence, insufficient testing and poor integration with crisis-management routines for DLP controls for sensitive data in email, cloud storage, endpoints and collaboration tools.</t>
        </is>
      </c>
      <c r="H392" s="13" t="inlineStr">
        <is>
          <t>Severe risk: DLP controls for sensitive data in email, cloud storage, endpoints and collaboration tools is not reliably controlled. During Cyberattack; Data breach; Ransomware; Insider threat, the organization may face security incident, data breach, privilege misuse, privacy violation and regulatory exposure with limited visibility or accountability.</t>
        </is>
      </c>
      <c r="I392" s="13" t="inlineStr">
        <is>
          <t>High risk: DLP controls for sensitive data in email, cloud storage, endpoints and collaboration tools depends on informal practices or individual knowledge. Disruption may expose security incident, data breach, privilege misuse, privacy violation and regulatory exposure and slow recovery.</t>
        </is>
      </c>
      <c r="J392" s="13" t="inlineStr">
        <is>
          <t>Elevated risk: DLP controls for sensitive data in email, cloud storage, endpoints and collaboration tools is partially controlled, but coverage, evidence or testing is inconsistent. Crisis response may be fragmented.</t>
        </is>
      </c>
      <c r="K392" s="13" t="inlineStr">
        <is>
          <t>Moderate risk: DLP controls for sensitive data in email, cloud storage, endpoints and collaboration tools is documented and owned, but measurement, stress testing and integration with dependent processes need strengthening.</t>
        </is>
      </c>
      <c r="L392" s="13" t="inlineStr">
        <is>
          <t>Residual risk: DLP controls for sensitive data in email, cloud storage, endpoints and collaboration tools is measured and reviewed, but monitoring, automation or scenario testing should be improved to prevent maturity drift.</t>
        </is>
      </c>
      <c r="M392" s="13" t="inlineStr">
        <is>
          <t>Low residual risk: DLP controls for sensitive data in email, cloud storage, endpoints and collaboration tools is mature and crisis-tested. Maintain monitoring, evidence, ownership and periodic stress testing.</t>
        </is>
      </c>
      <c r="N392" s="13" t="inlineStr">
        <is>
          <t>Create an immediate risk owner, minimum control baseline and fallback procedure for DLP controls for sensitive data in email, cloud storage, endpoints and collaboration tools. Add it to the crisis risk register and collect first evidence.</t>
        </is>
      </c>
      <c r="O392" s="13" t="inlineStr">
        <is>
          <t>Document DLP controls for sensitive data in email, cloud storage, endpoints and collaboration tools, assign RACI, define minimum controls and KPIs, and validate coverage across key sites, teams or systems.</t>
        </is>
      </c>
      <c r="P392" s="13" t="inlineStr">
        <is>
          <t>Standardize DLP controls for sensitive data in email, cloud storage, endpoints and collaboration tools, close coverage gaps, train accountable roles and connect controls to the relevant crisis scenarios and continuity plans.</t>
        </is>
      </c>
      <c r="Q392" s="13" t="inlineStr">
        <is>
          <t>Measure and test DLP controls for sensitive data in email, cloud storage, endpoints and collaboration tools, run tabletop or operational stress tests, integrate it with dependent processes and update crisis playbooks.</t>
        </is>
      </c>
      <c r="R392" s="13" t="inlineStr">
        <is>
          <t>Automate monitoring where practical, define leading indicators, run periodic scenario tests and track residual risk after each major change.</t>
        </is>
      </c>
      <c r="S392" s="13" t="inlineStr">
        <is>
          <t>Sustain maturity for DLP controls for sensitive data in email, cloud storage, endpoints and collaboration tools: keep evidence current, monitor drift, benchmark externally and refresh risk tests after organizational, system or market changes.</t>
        </is>
      </c>
      <c r="T392" s="13" t="n">
        <v>4</v>
      </c>
      <c r="U392" s="13" t="n">
        <v>3</v>
      </c>
      <c r="V392" s="13" t="n">
        <v>3</v>
      </c>
      <c r="W392" s="13" t="n">
        <v>2</v>
      </c>
      <c r="X392" s="13" t="n">
        <v>1</v>
      </c>
      <c r="Y392" s="13" t="n">
        <v>1</v>
      </c>
      <c r="Z392" s="13" t="inlineStr">
        <is>
          <t>ISO/IEC 27001; ISO/IEC 27002; NIST CSF 2.0; CIS Controls; ISO/IEC 27701; GDPR; IEC 62443</t>
        </is>
      </c>
      <c r="AA392" s="13" t="inlineStr">
        <is>
          <t>Policy/SOP; owner/RACI; system report; dashboard; contracts; test records; incident history; interview evidence related to DLP controls for sensitive data in email, cloud storage, endpoints and collaboration tools.</t>
        </is>
      </c>
      <c r="AB392" s="13" t="inlineStr">
        <is>
          <t>Cyberattack; Data breach; Ransomware; Insider threat</t>
        </is>
      </c>
      <c r="AC392" s="13" t="inlineStr">
        <is>
          <t>CISO / IT Security</t>
        </is>
      </c>
      <c r="AD392" s="13" t="inlineStr">
        <is>
          <t>Cyber Privacy!24</t>
        </is>
      </c>
      <c r="AE392">
        <f>IF($A392="","",IF(OR(ISNUMBER(SEARCH("cyber",$D392)),ISNUMBER(SEARCH("security",$D392)),ISNUMBER(SEARCH("safety",$D392)),ISNUMBER(SEARCH("liquidity",$D392)),ISNUMBER(SEARCH("cash",$D392)),ISNUMBER(SEARCH("continuity",$D392)),ISNUMBER(SEARCH("infrastructure",$D392)),ISNUMBER(SEARCH("outage",$D392))),"Fast",IF(OR(ISNUMBER(SEARCH("compliance",$D392)),ISNUMBER(SEARCH("regulat",$D392)),ISNUMBER(SEARCH("data",$D392)),ISNUMBER(SEARCH("talent",$D392)),ISNUMBER(SEARCH("knowledge",$D392)),ISNUMBER(SEARCH("portfolio",$D392)),ISNUMBER(SEARCH("quality",$D392))),"Slow","Medium")))</f>
        <v/>
      </c>
      <c r="AF392">
        <f>IF($A392="","",IFERROR(VLOOKUP($B392,'_CONFIG_Risk_Calibration'!$A$5:$H$21,2,FALSE),3))</f>
        <v/>
      </c>
      <c r="AG392">
        <f>IF($A392="","",IFERROR(VLOOKUP($B392,'_CONFIG_Risk_Calibration'!$A$5:$H$21,3,FALSE),0))</f>
        <v/>
      </c>
      <c r="AH392">
        <f>IF($A392="","",IFERROR(VLOOKUP($B392,'_CONFIG_Risk_Calibration'!$A$5:$H$21,4,FALSE),3))</f>
        <v/>
      </c>
      <c r="AI392">
        <f>IF($A392="","",IFERROR(VLOOKUP($B392,'_CONFIG_Risk_Calibration'!$A$5:$H$21,5,FALSE),3))</f>
        <v/>
      </c>
      <c r="AJ392">
        <f>IF($A392="","",IFERROR(VLOOKUP($B392,'_CONFIG_Risk_Calibration'!$A$5:$H$21,6,FALSE),"No"))</f>
        <v/>
      </c>
      <c r="AK392">
        <f>IF($A392="","",IFERROR(VLOOKUP($B392,'_CONFIG_Risk_Calibration'!$A$5:$H$21,7,FALSE),1))</f>
        <v/>
      </c>
      <c r="AL392">
        <f>IF($A392="","",IFERROR(VLOOKUP($B392,'_CONFIG_Risk_Calibration'!$A$5:$H$21,8,FALSE),""))</f>
        <v/>
      </c>
    </row>
    <row r="393" ht="72" customHeight="1" s="209">
      <c r="A393" s="13" t="inlineStr">
        <is>
          <t>CYBE-021</t>
        </is>
      </c>
      <c r="B393" s="13" t="inlineStr">
        <is>
          <t>Cyber Privacy</t>
        </is>
      </c>
      <c r="C393" s="13" t="inlineStr">
        <is>
          <t>Detection and response</t>
        </is>
      </c>
      <c r="D393" s="13" t="inlineStr">
        <is>
          <t>Cybersecurity, privacy and access control</t>
        </is>
      </c>
      <c r="E393" s="13" t="inlineStr">
        <is>
          <t>How mature is the organization in managing log collection and monitoring for identity, endpoints, cloud, network, critical apps and security tools, including ownership, evidence, metrics, fallback procedures and crisis stress testing?</t>
        </is>
      </c>
      <c r="F393" s="13" t="inlineStr">
        <is>
          <t>Immature capability for log collection and monitoring for identity, endpoints, cloud, network, critical apps and security tools may lead to security incident, data breach, privilege misuse, privacy violation and regulatory exposure during Cyberattack; Data breach; Ransomware; Insider threat.</t>
        </is>
      </c>
      <c r="G393" s="13" t="inlineStr">
        <is>
          <t>Low maturity, weak ownership, incomplete evidence, insufficient testing and poor integration with crisis-management routines for log collection and monitoring for identity, endpoints, cloud, network, critical apps and security tools.</t>
        </is>
      </c>
      <c r="H393" s="13" t="inlineStr">
        <is>
          <t>Severe risk: log collection and monitoring for identity, endpoints, cloud, network, critical apps and security tools is not reliably controlled. During Cyberattack; Data breach; Ransomware; Insider threat, the organization may face security incident, data breach, privilege misuse, privacy violation and regulatory exposure with limited visibility or accountability.</t>
        </is>
      </c>
      <c r="I393" s="13" t="inlineStr">
        <is>
          <t>High risk: log collection and monitoring for identity, endpoints, cloud, network, critical apps and security tools depends on informal practices or individual knowledge. Disruption may expose security incident, data breach, privilege misuse, privacy violation and regulatory exposure and slow recovery.</t>
        </is>
      </c>
      <c r="J393" s="13" t="inlineStr">
        <is>
          <t>Elevated risk: log collection and monitoring for identity, endpoints, cloud, network, critical apps and security tools is partially controlled, but coverage, evidence or testing is inconsistent. Crisis response may be fragmented.</t>
        </is>
      </c>
      <c r="K393" s="13" t="inlineStr">
        <is>
          <t>Moderate risk: log collection and monitoring for identity, endpoints, cloud, network, critical apps and security tools is documented and owned, but measurement, stress testing and integration with dependent processes need strengthening.</t>
        </is>
      </c>
      <c r="L393" s="13" t="inlineStr">
        <is>
          <t>Residual risk: log collection and monitoring for identity, endpoints, cloud, network, critical apps and security tools is measured and reviewed, but monitoring, automation or scenario testing should be improved to prevent maturity drift.</t>
        </is>
      </c>
      <c r="M393" s="13" t="inlineStr">
        <is>
          <t>Low residual risk: log collection and monitoring for identity, endpoints, cloud, network, critical apps and security tools is mature and crisis-tested. Maintain monitoring, evidence, ownership and periodic stress testing.</t>
        </is>
      </c>
      <c r="N393" s="13" t="inlineStr">
        <is>
          <t>Create an immediate risk owner, minimum control baseline and fallback procedure for log collection and monitoring for identity, endpoints, cloud, network, critical apps and security tools. Add it to the crisis risk register and collect first evidence.</t>
        </is>
      </c>
      <c r="O393" s="13" t="inlineStr">
        <is>
          <t>Document log collection and monitoring for identity, endpoints, cloud, network, critical apps and security tools, assign RACI, define minimum controls and KPIs, and validate coverage across key sites, teams or systems.</t>
        </is>
      </c>
      <c r="P393" s="13" t="inlineStr">
        <is>
          <t>Standardize log collection and monitoring for identity, endpoints, cloud, network, critical apps and security tools, close coverage gaps, train accountable roles and connect controls to the relevant crisis scenarios and continuity plans.</t>
        </is>
      </c>
      <c r="Q393" s="13" t="inlineStr">
        <is>
          <t>Measure and test log collection and monitoring for identity, endpoints, cloud, network, critical apps and security tools, run tabletop or operational stress tests, integrate it with dependent processes and update crisis playbooks.</t>
        </is>
      </c>
      <c r="R393" s="13" t="inlineStr">
        <is>
          <t>Automate monitoring where practical, define leading indicators, run periodic scenario tests and track residual risk after each major change.</t>
        </is>
      </c>
      <c r="S393" s="13" t="inlineStr">
        <is>
          <t>Sustain maturity for log collection and monitoring for identity, endpoints, cloud, network, critical apps and security tools: keep evidence current, monitor drift, benchmark externally and refresh risk tests after organizational, system or market changes.</t>
        </is>
      </c>
      <c r="T393" s="13" t="n">
        <v>4</v>
      </c>
      <c r="U393" s="13" t="n">
        <v>3</v>
      </c>
      <c r="V393" s="13" t="n">
        <v>3</v>
      </c>
      <c r="W393" s="13" t="n">
        <v>2</v>
      </c>
      <c r="X393" s="13" t="n">
        <v>1</v>
      </c>
      <c r="Y393" s="13" t="n">
        <v>1</v>
      </c>
      <c r="Z393" s="13" t="inlineStr">
        <is>
          <t>ISO/IEC 27001; ISO/IEC 27002; NIST CSF 2.0; CIS Controls; ISO/IEC 27701; GDPR; IEC 62443</t>
        </is>
      </c>
      <c r="AA393" s="13" t="inlineStr">
        <is>
          <t>Policy/SOP; owner/RACI; system report; dashboard; contracts; test records; incident history; interview evidence related to log collection and monitoring for identity, endpoints, cloud, network, critical apps and security tools.</t>
        </is>
      </c>
      <c r="AB393" s="13" t="inlineStr">
        <is>
          <t>Cyberattack; Data breach; Ransomware; Insider threat</t>
        </is>
      </c>
      <c r="AC393" s="13" t="inlineStr">
        <is>
          <t>CISO / IT Security</t>
        </is>
      </c>
      <c r="AD393" s="13" t="inlineStr">
        <is>
          <t>Cyber Privacy!25</t>
        </is>
      </c>
      <c r="AE393">
        <f>IF($A393="","",IF(OR(ISNUMBER(SEARCH("cyber",$D393)),ISNUMBER(SEARCH("security",$D393)),ISNUMBER(SEARCH("safety",$D393)),ISNUMBER(SEARCH("liquidity",$D393)),ISNUMBER(SEARCH("cash",$D393)),ISNUMBER(SEARCH("continuity",$D393)),ISNUMBER(SEARCH("infrastructure",$D393)),ISNUMBER(SEARCH("outage",$D393))),"Fast",IF(OR(ISNUMBER(SEARCH("compliance",$D393)),ISNUMBER(SEARCH("regulat",$D393)),ISNUMBER(SEARCH("data",$D393)),ISNUMBER(SEARCH("talent",$D393)),ISNUMBER(SEARCH("knowledge",$D393)),ISNUMBER(SEARCH("portfolio",$D393)),ISNUMBER(SEARCH("quality",$D393))),"Slow","Medium")))</f>
        <v/>
      </c>
      <c r="AF393">
        <f>IF($A393="","",IFERROR(VLOOKUP($B393,'_CONFIG_Risk_Calibration'!$A$5:$H$21,2,FALSE),3))</f>
        <v/>
      </c>
      <c r="AG393">
        <f>IF($A393="","",IFERROR(VLOOKUP($B393,'_CONFIG_Risk_Calibration'!$A$5:$H$21,3,FALSE),0))</f>
        <v/>
      </c>
      <c r="AH393">
        <f>IF($A393="","",IFERROR(VLOOKUP($B393,'_CONFIG_Risk_Calibration'!$A$5:$H$21,4,FALSE),3))</f>
        <v/>
      </c>
      <c r="AI393">
        <f>IF($A393="","",IFERROR(VLOOKUP($B393,'_CONFIG_Risk_Calibration'!$A$5:$H$21,5,FALSE),3))</f>
        <v/>
      </c>
      <c r="AJ393">
        <f>IF($A393="","",IFERROR(VLOOKUP($B393,'_CONFIG_Risk_Calibration'!$A$5:$H$21,6,FALSE),"No"))</f>
        <v/>
      </c>
      <c r="AK393">
        <f>IF($A393="","",IFERROR(VLOOKUP($B393,'_CONFIG_Risk_Calibration'!$A$5:$H$21,7,FALSE),1))</f>
        <v/>
      </c>
      <c r="AL393">
        <f>IF($A393="","",IFERROR(VLOOKUP($B393,'_CONFIG_Risk_Calibration'!$A$5:$H$21,8,FALSE),""))</f>
        <v/>
      </c>
    </row>
    <row r="394" ht="60" customHeight="1" s="209">
      <c r="A394" s="13" t="inlineStr">
        <is>
          <t>CYBE-022</t>
        </is>
      </c>
      <c r="B394" s="13" t="inlineStr">
        <is>
          <t>Cyber Privacy</t>
        </is>
      </c>
      <c r="C394" s="13" t="inlineStr">
        <is>
          <t>Detection and response</t>
        </is>
      </c>
      <c r="D394" s="13" t="inlineStr">
        <is>
          <t>Cybersecurity, privacy and access control</t>
        </is>
      </c>
      <c r="E394" s="13" t="inlineStr">
        <is>
          <t>How mature is the organization in managing threat detection coverage mapped to likely threat scenarios, including ownership, evidence, metrics, fallback procedures and crisis stress testing?</t>
        </is>
      </c>
      <c r="F394" s="13" t="inlineStr">
        <is>
          <t>Immature capability for threat detection coverage mapped to likely threat scenarios may lead to security incident, data breach, privilege misuse, privacy violation and regulatory exposure during Cyberattack; Data breach; Ransomware; Insider threat.</t>
        </is>
      </c>
      <c r="G394" s="13" t="inlineStr">
        <is>
          <t>Low maturity, weak ownership, incomplete evidence, insufficient testing and poor integration with crisis-management routines for threat detection coverage mapped to likely threat scenarios.</t>
        </is>
      </c>
      <c r="H394" s="13" t="inlineStr">
        <is>
          <t>Severe risk: threat detection coverage mapped to likely threat scenarios is not reliably controlled. During Cyberattack; Data breach; Ransomware; Insider threat, the organization may face security incident, data breach, privilege misuse, privacy violation and regulatory exposure with limited visibility or accountability.</t>
        </is>
      </c>
      <c r="I394" s="13" t="inlineStr">
        <is>
          <t>High risk: threat detection coverage mapped to likely threat scenarios depends on informal practices or individual knowledge. Disruption may expose security incident, data breach, privilege misuse, privacy violation and regulatory exposure and slow recovery.</t>
        </is>
      </c>
      <c r="J394" s="13" t="inlineStr">
        <is>
          <t>Elevated risk: threat detection coverage mapped to likely threat scenarios is partially controlled, but coverage, evidence or testing is inconsistent. Crisis response may be fragmented.</t>
        </is>
      </c>
      <c r="K394" s="13" t="inlineStr">
        <is>
          <t>Moderate risk: threat detection coverage mapped to likely threat scenarios is documented and owned, but measurement, stress testing and integration with dependent processes need strengthening.</t>
        </is>
      </c>
      <c r="L394" s="13" t="inlineStr">
        <is>
          <t>Residual risk: threat detection coverage mapped to likely threat scenarios is measured and reviewed, but monitoring, automation or scenario testing should be improved to prevent maturity drift.</t>
        </is>
      </c>
      <c r="M394" s="13" t="inlineStr">
        <is>
          <t>Low residual risk: threat detection coverage mapped to likely threat scenarios is mature and crisis-tested. Maintain monitoring, evidence, ownership and periodic stress testing.</t>
        </is>
      </c>
      <c r="N394" s="13" t="inlineStr">
        <is>
          <t>Create an immediate risk owner, minimum control baseline and fallback procedure for threat detection coverage mapped to likely threat scenarios. Add it to the crisis risk register and collect first evidence.</t>
        </is>
      </c>
      <c r="O394" s="13" t="inlineStr">
        <is>
          <t>Document threat detection coverage mapped to likely threat scenarios, assign RACI, define minimum controls and KPIs, and validate coverage across key sites, teams or systems.</t>
        </is>
      </c>
      <c r="P394" s="13" t="inlineStr">
        <is>
          <t>Standardize threat detection coverage mapped to likely threat scenarios, close coverage gaps, train accountable roles and connect controls to the relevant crisis scenarios and continuity plans.</t>
        </is>
      </c>
      <c r="Q394" s="13" t="inlineStr">
        <is>
          <t>Measure and test threat detection coverage mapped to likely threat scenarios, run tabletop or operational stress tests, integrate it with dependent processes and update crisis playbooks.</t>
        </is>
      </c>
      <c r="R394" s="13" t="inlineStr">
        <is>
          <t>Automate monitoring where practical, define leading indicators, run periodic scenario tests and track residual risk after each major change.</t>
        </is>
      </c>
      <c r="S394" s="13" t="inlineStr">
        <is>
          <t>Sustain maturity for threat detection coverage mapped to likely threat scenarios: keep evidence current, monitor drift, benchmark externally and refresh risk tests after organizational, system or market changes.</t>
        </is>
      </c>
      <c r="T394" s="13" t="n">
        <v>4</v>
      </c>
      <c r="U394" s="13" t="n">
        <v>3</v>
      </c>
      <c r="V394" s="13" t="n">
        <v>3</v>
      </c>
      <c r="W394" s="13" t="n">
        <v>2</v>
      </c>
      <c r="X394" s="13" t="n">
        <v>1</v>
      </c>
      <c r="Y394" s="13" t="n">
        <v>1</v>
      </c>
      <c r="Z394" s="13" t="inlineStr">
        <is>
          <t>ISO/IEC 27001; ISO/IEC 27002; NIST CSF 2.0; CIS Controls; ISO/IEC 27701; GDPR; IEC 62443</t>
        </is>
      </c>
      <c r="AA394" s="13" t="inlineStr">
        <is>
          <t>Policy/SOP; owner/RACI; system report; dashboard; contracts; test records; incident history; interview evidence related to threat detection coverage mapped to likely threat scenarios.</t>
        </is>
      </c>
      <c r="AB394" s="13" t="inlineStr">
        <is>
          <t>Cyberattack; Data breach; Ransomware; Insider threat</t>
        </is>
      </c>
      <c r="AC394" s="13" t="inlineStr">
        <is>
          <t>CISO / IT Security</t>
        </is>
      </c>
      <c r="AD394" s="13" t="inlineStr">
        <is>
          <t>Cyber Privacy!26</t>
        </is>
      </c>
      <c r="AE394">
        <f>IF($A394="","",IF(OR(ISNUMBER(SEARCH("cyber",$D394)),ISNUMBER(SEARCH("security",$D394)),ISNUMBER(SEARCH("safety",$D394)),ISNUMBER(SEARCH("liquidity",$D394)),ISNUMBER(SEARCH("cash",$D394)),ISNUMBER(SEARCH("continuity",$D394)),ISNUMBER(SEARCH("infrastructure",$D394)),ISNUMBER(SEARCH("outage",$D394))),"Fast",IF(OR(ISNUMBER(SEARCH("compliance",$D394)),ISNUMBER(SEARCH("regulat",$D394)),ISNUMBER(SEARCH("data",$D394)),ISNUMBER(SEARCH("talent",$D394)),ISNUMBER(SEARCH("knowledge",$D394)),ISNUMBER(SEARCH("portfolio",$D394)),ISNUMBER(SEARCH("quality",$D394))),"Slow","Medium")))</f>
        <v/>
      </c>
      <c r="AF394">
        <f>IF($A394="","",IFERROR(VLOOKUP($B394,'_CONFIG_Risk_Calibration'!$A$5:$H$21,2,FALSE),3))</f>
        <v/>
      </c>
      <c r="AG394">
        <f>IF($A394="","",IFERROR(VLOOKUP($B394,'_CONFIG_Risk_Calibration'!$A$5:$H$21,3,FALSE),0))</f>
        <v/>
      </c>
      <c r="AH394">
        <f>IF($A394="","",IFERROR(VLOOKUP($B394,'_CONFIG_Risk_Calibration'!$A$5:$H$21,4,FALSE),3))</f>
        <v/>
      </c>
      <c r="AI394">
        <f>IF($A394="","",IFERROR(VLOOKUP($B394,'_CONFIG_Risk_Calibration'!$A$5:$H$21,5,FALSE),3))</f>
        <v/>
      </c>
      <c r="AJ394">
        <f>IF($A394="","",IFERROR(VLOOKUP($B394,'_CONFIG_Risk_Calibration'!$A$5:$H$21,6,FALSE),"No"))</f>
        <v/>
      </c>
      <c r="AK394">
        <f>IF($A394="","",IFERROR(VLOOKUP($B394,'_CONFIG_Risk_Calibration'!$A$5:$H$21,7,FALSE),1))</f>
        <v/>
      </c>
      <c r="AL394">
        <f>IF($A394="","",IFERROR(VLOOKUP($B394,'_CONFIG_Risk_Calibration'!$A$5:$H$21,8,FALSE),""))</f>
        <v/>
      </c>
    </row>
    <row r="395" ht="72" customHeight="1" s="209">
      <c r="A395" s="13" t="inlineStr">
        <is>
          <t>CYBE-023</t>
        </is>
      </c>
      <c r="B395" s="13" t="inlineStr">
        <is>
          <t>Cyber Privacy</t>
        </is>
      </c>
      <c r="C395" s="13" t="inlineStr">
        <is>
          <t>Detection and response</t>
        </is>
      </c>
      <c r="D395" s="13" t="inlineStr">
        <is>
          <t>Cybersecurity, privacy and access control</t>
        </is>
      </c>
      <c r="E395" s="13" t="inlineStr">
        <is>
          <t>How mature is the organization in managing cyber incident response plan involving IT, legal, communications, executives and insurers, including ownership, evidence, metrics, fallback procedures and crisis stress testing?</t>
        </is>
      </c>
      <c r="F395" s="13" t="inlineStr">
        <is>
          <t>Immature capability for cyber incident response plan involving IT, legal, communications, executives and insurers may lead to security incident, data breach, privilege misuse, privacy violation and regulatory exposure during Cyberattack; Data breach; Ransomware; Insider threat.</t>
        </is>
      </c>
      <c r="G395" s="13" t="inlineStr">
        <is>
          <t>Low maturity, weak ownership, incomplete evidence, insufficient testing and poor integration with crisis-management routines for cyber incident response plan involving IT, legal, communications, executives and insurers.</t>
        </is>
      </c>
      <c r="H395" s="13" t="inlineStr">
        <is>
          <t>Severe risk: cyber incident response plan involving IT, legal, communications, executives and insurers is not reliably controlled. During Cyberattack; Data breach; Ransomware; Insider threat, the organization may face security incident, data breach, privilege misuse, privacy violation and regulatory exposure with limited visibility or accountability.</t>
        </is>
      </c>
      <c r="I395" s="13" t="inlineStr">
        <is>
          <t>High risk: cyber incident response plan involving IT, legal, communications, executives and insurers depends on informal practices or individual knowledge. Disruption may expose security incident, data breach, privilege misuse, privacy violation and regulatory exposure and slow recovery.</t>
        </is>
      </c>
      <c r="J395" s="13" t="inlineStr">
        <is>
          <t>Elevated risk: cyber incident response plan involving IT, legal, communications, executives and insurers is partially controlled, but coverage, evidence or testing is inconsistent. Crisis response may be fragmented.</t>
        </is>
      </c>
      <c r="K395" s="13" t="inlineStr">
        <is>
          <t>Moderate risk: cyber incident response plan involving IT, legal, communications, executives and insurers is documented and owned, but measurement, stress testing and integration with dependent processes need strengthening.</t>
        </is>
      </c>
      <c r="L395" s="13" t="inlineStr">
        <is>
          <t>Residual risk: cyber incident response plan involving IT, legal, communications, executives and insurers is measured and reviewed, but monitoring, automation or scenario testing should be improved to prevent maturity drift.</t>
        </is>
      </c>
      <c r="M395" s="13" t="inlineStr">
        <is>
          <t>Low residual risk: cyber incident response plan involving IT, legal, communications, executives and insurers is mature and crisis-tested. Maintain monitoring, evidence, ownership and periodic stress testing.</t>
        </is>
      </c>
      <c r="N395" s="13" t="inlineStr">
        <is>
          <t>Create an immediate risk owner, minimum control baseline and fallback procedure for cyber incident response plan involving IT, legal, communications, executives and insurers. Add it to the crisis risk register and collect first evidence.</t>
        </is>
      </c>
      <c r="O395" s="13" t="inlineStr">
        <is>
          <t>Document cyber incident response plan involving IT, legal, communications, executives and insurers, assign RACI, define minimum controls and KPIs, and validate coverage across key sites, teams or systems.</t>
        </is>
      </c>
      <c r="P395" s="13" t="inlineStr">
        <is>
          <t>Standardize cyber incident response plan involving IT, legal, communications, executives and insurers, close coverage gaps, train accountable roles and connect controls to the relevant crisis scenarios and continuity plans.</t>
        </is>
      </c>
      <c r="Q395" s="13" t="inlineStr">
        <is>
          <t>Measure and test cyber incident response plan involving IT, legal, communications, executives and insurers, run tabletop or operational stress tests, integrate it with dependent processes and update crisis playbooks.</t>
        </is>
      </c>
      <c r="R395" s="13" t="inlineStr">
        <is>
          <t>Automate monitoring where practical, define leading indicators, run periodic scenario tests and track residual risk after each major change.</t>
        </is>
      </c>
      <c r="S395" s="13" t="inlineStr">
        <is>
          <t>Sustain maturity for cyber incident response plan involving IT, legal, communications, executives and insurers: keep evidence current, monitor drift, benchmark externally and refresh risk tests after organizational, system or market changes.</t>
        </is>
      </c>
      <c r="T395" s="13" t="n">
        <v>4</v>
      </c>
      <c r="U395" s="13" t="n">
        <v>3</v>
      </c>
      <c r="V395" s="13" t="n">
        <v>3</v>
      </c>
      <c r="W395" s="13" t="n">
        <v>2</v>
      </c>
      <c r="X395" s="13" t="n">
        <v>1</v>
      </c>
      <c r="Y395" s="13" t="n">
        <v>1</v>
      </c>
      <c r="Z395" s="13" t="inlineStr">
        <is>
          <t>ISO/IEC 27001; ISO/IEC 27002; NIST CSF 2.0; CIS Controls; ISO/IEC 27701; GDPR; IEC 62443</t>
        </is>
      </c>
      <c r="AA395" s="13" t="inlineStr">
        <is>
          <t>Policy/SOP; owner/RACI; system report; dashboard; contracts; test records; incident history; interview evidence related to cyber incident response plan involving IT, legal, communications, executives and insurers.</t>
        </is>
      </c>
      <c r="AB395" s="13" t="inlineStr">
        <is>
          <t>Cyberattack; Data breach; Ransomware; Insider threat</t>
        </is>
      </c>
      <c r="AC395" s="13" t="inlineStr">
        <is>
          <t>CISO / IT Security</t>
        </is>
      </c>
      <c r="AD395" s="13" t="inlineStr">
        <is>
          <t>Cyber Privacy!27</t>
        </is>
      </c>
      <c r="AE395">
        <f>IF($A395="","",IF(OR(ISNUMBER(SEARCH("cyber",$D395)),ISNUMBER(SEARCH("security",$D395)),ISNUMBER(SEARCH("safety",$D395)),ISNUMBER(SEARCH("liquidity",$D395)),ISNUMBER(SEARCH("cash",$D395)),ISNUMBER(SEARCH("continuity",$D395)),ISNUMBER(SEARCH("infrastructure",$D395)),ISNUMBER(SEARCH("outage",$D395))),"Fast",IF(OR(ISNUMBER(SEARCH("compliance",$D395)),ISNUMBER(SEARCH("regulat",$D395)),ISNUMBER(SEARCH("data",$D395)),ISNUMBER(SEARCH("talent",$D395)),ISNUMBER(SEARCH("knowledge",$D395)),ISNUMBER(SEARCH("portfolio",$D395)),ISNUMBER(SEARCH("quality",$D395))),"Slow","Medium")))</f>
        <v/>
      </c>
      <c r="AF395">
        <f>IF($A395="","",IFERROR(VLOOKUP($B395,'_CONFIG_Risk_Calibration'!$A$5:$H$21,2,FALSE),3))</f>
        <v/>
      </c>
      <c r="AG395">
        <f>IF($A395="","",IFERROR(VLOOKUP($B395,'_CONFIG_Risk_Calibration'!$A$5:$H$21,3,FALSE),0))</f>
        <v/>
      </c>
      <c r="AH395">
        <f>IF($A395="","",IFERROR(VLOOKUP($B395,'_CONFIG_Risk_Calibration'!$A$5:$H$21,4,FALSE),3))</f>
        <v/>
      </c>
      <c r="AI395">
        <f>IF($A395="","",IFERROR(VLOOKUP($B395,'_CONFIG_Risk_Calibration'!$A$5:$H$21,5,FALSE),3))</f>
        <v/>
      </c>
      <c r="AJ395">
        <f>IF($A395="","",IFERROR(VLOOKUP($B395,'_CONFIG_Risk_Calibration'!$A$5:$H$21,6,FALSE),"No"))</f>
        <v/>
      </c>
      <c r="AK395">
        <f>IF($A395="","",IFERROR(VLOOKUP($B395,'_CONFIG_Risk_Calibration'!$A$5:$H$21,7,FALSE),1))</f>
        <v/>
      </c>
      <c r="AL395">
        <f>IF($A395="","",IFERROR(VLOOKUP($B395,'_CONFIG_Risk_Calibration'!$A$5:$H$21,8,FALSE),""))</f>
        <v/>
      </c>
    </row>
    <row r="396" ht="72" customHeight="1" s="209">
      <c r="A396" s="13" t="inlineStr">
        <is>
          <t>CYBE-024</t>
        </is>
      </c>
      <c r="B396" s="13" t="inlineStr">
        <is>
          <t>Cyber Privacy</t>
        </is>
      </c>
      <c r="C396" s="13" t="inlineStr">
        <is>
          <t>Detection and response</t>
        </is>
      </c>
      <c r="D396" s="13" t="inlineStr">
        <is>
          <t>Cybersecurity, privacy and access control</t>
        </is>
      </c>
      <c r="E396" s="13" t="inlineStr">
        <is>
          <t>How mature is the organization in managing ransomware playbook covering isolation, recovery, communication, legal and decision-making, including ownership, evidence, metrics, fallback procedures and crisis stress testing?</t>
        </is>
      </c>
      <c r="F396" s="13" t="inlineStr">
        <is>
          <t>Immature capability for ransomware playbook covering isolation, recovery, communication, legal and decision-making may lead to security incident, data breach, privilege misuse, privacy violation and regulatory exposure during Cyberattack; Data breach; Ransomware; Insider threat.</t>
        </is>
      </c>
      <c r="G396" s="13" t="inlineStr">
        <is>
          <t>Low maturity, weak ownership, incomplete evidence, insufficient testing and poor integration with crisis-management routines for ransomware playbook covering isolation, recovery, communication, legal and decision-making.</t>
        </is>
      </c>
      <c r="H396" s="13" t="inlineStr">
        <is>
          <t>Severe risk: ransomware playbook covering isolation, recovery, communication, legal and decision-making is not reliably controlled. During Cyberattack; Data breach; Ransomware; Insider threat, the organization may face security incident, data breach, privilege misuse, privacy violation and regulatory exposure with limited visibility or accountability.</t>
        </is>
      </c>
      <c r="I396" s="13" t="inlineStr">
        <is>
          <t>High risk: ransomware playbook covering isolation, recovery, communication, legal and decision-making depends on informal practices or individual knowledge. Disruption may expose security incident, data breach, privilege misuse, privacy violation and regulatory exposure and slow recovery.</t>
        </is>
      </c>
      <c r="J396" s="13" t="inlineStr">
        <is>
          <t>Elevated risk: ransomware playbook covering isolation, recovery, communication, legal and decision-making is partially controlled, but coverage, evidence or testing is inconsistent. Crisis response may be fragmented.</t>
        </is>
      </c>
      <c r="K396" s="13" t="inlineStr">
        <is>
          <t>Moderate risk: ransomware playbook covering isolation, recovery, communication, legal and decision-making is documented and owned, but measurement, stress testing and integration with dependent processes need strengthening.</t>
        </is>
      </c>
      <c r="L396" s="13" t="inlineStr">
        <is>
          <t>Residual risk: ransomware playbook covering isolation, recovery, communication, legal and decision-making is measured and reviewed, but monitoring, automation or scenario testing should be improved to prevent maturity drift.</t>
        </is>
      </c>
      <c r="M396" s="13" t="inlineStr">
        <is>
          <t>Low residual risk: ransomware playbook covering isolation, recovery, communication, legal and decision-making is mature and crisis-tested. Maintain monitoring, evidence, ownership and periodic stress testing.</t>
        </is>
      </c>
      <c r="N396" s="13" t="inlineStr">
        <is>
          <t>Create an immediate risk owner, minimum control baseline and fallback procedure for ransomware playbook covering isolation, recovery, communication, legal and decision-making. Add it to the crisis risk register and collect first evidence.</t>
        </is>
      </c>
      <c r="O396" s="13" t="inlineStr">
        <is>
          <t>Document ransomware playbook covering isolation, recovery, communication, legal and decision-making, assign RACI, define minimum controls and KPIs, and validate coverage across key sites, teams or systems.</t>
        </is>
      </c>
      <c r="P396" s="13" t="inlineStr">
        <is>
          <t>Standardize ransomware playbook covering isolation, recovery, communication, legal and decision-making, close coverage gaps, train accountable roles and connect controls to the relevant crisis scenarios and continuity plans.</t>
        </is>
      </c>
      <c r="Q396" s="13" t="inlineStr">
        <is>
          <t>Measure and test ransomware playbook covering isolation, recovery, communication, legal and decision-making, run tabletop or operational stress tests, integrate it with dependent processes and update crisis playbooks.</t>
        </is>
      </c>
      <c r="R396" s="13" t="inlineStr">
        <is>
          <t>Automate monitoring where practical, define leading indicators, run periodic scenario tests and track residual risk after each major change.</t>
        </is>
      </c>
      <c r="S396" s="13" t="inlineStr">
        <is>
          <t>Sustain maturity for ransomware playbook covering isolation, recovery, communication, legal and decision-making: keep evidence current, monitor drift, benchmark externally and refresh risk tests after organizational, system or market changes.</t>
        </is>
      </c>
      <c r="T396" s="13" t="n">
        <v>4</v>
      </c>
      <c r="U396" s="13" t="n">
        <v>3</v>
      </c>
      <c r="V396" s="13" t="n">
        <v>3</v>
      </c>
      <c r="W396" s="13" t="n">
        <v>2</v>
      </c>
      <c r="X396" s="13" t="n">
        <v>1</v>
      </c>
      <c r="Y396" s="13" t="n">
        <v>1</v>
      </c>
      <c r="Z396" s="13" t="inlineStr">
        <is>
          <t>ISO/IEC 27001; ISO/IEC 27002; NIST CSF 2.0; CIS Controls; ISO/IEC 27701; GDPR; IEC 62443</t>
        </is>
      </c>
      <c r="AA396" s="13" t="inlineStr">
        <is>
          <t>Policy/SOP; owner/RACI; system report; dashboard; contracts; test records; incident history; interview evidence related to ransomware playbook covering isolation, recovery, communication, legal and decision-making.</t>
        </is>
      </c>
      <c r="AB396" s="13" t="inlineStr">
        <is>
          <t>Cyberattack; Data breach; Ransomware; Insider threat</t>
        </is>
      </c>
      <c r="AC396" s="13" t="inlineStr">
        <is>
          <t>CISO / IT Security</t>
        </is>
      </c>
      <c r="AD396" s="13" t="inlineStr">
        <is>
          <t>Cyber Privacy!28</t>
        </is>
      </c>
      <c r="AE396">
        <f>IF($A396="","",IF(OR(ISNUMBER(SEARCH("cyber",$D396)),ISNUMBER(SEARCH("security",$D396)),ISNUMBER(SEARCH("safety",$D396)),ISNUMBER(SEARCH("liquidity",$D396)),ISNUMBER(SEARCH("cash",$D396)),ISNUMBER(SEARCH("continuity",$D396)),ISNUMBER(SEARCH("infrastructure",$D396)),ISNUMBER(SEARCH("outage",$D396))),"Fast",IF(OR(ISNUMBER(SEARCH("compliance",$D396)),ISNUMBER(SEARCH("regulat",$D396)),ISNUMBER(SEARCH("data",$D396)),ISNUMBER(SEARCH("talent",$D396)),ISNUMBER(SEARCH("knowledge",$D396)),ISNUMBER(SEARCH("portfolio",$D396)),ISNUMBER(SEARCH("quality",$D396))),"Slow","Medium")))</f>
        <v/>
      </c>
      <c r="AF396">
        <f>IF($A396="","",IFERROR(VLOOKUP($B396,'_CONFIG_Risk_Calibration'!$A$5:$H$21,2,FALSE),3))</f>
        <v/>
      </c>
      <c r="AG396">
        <f>IF($A396="","",IFERROR(VLOOKUP($B396,'_CONFIG_Risk_Calibration'!$A$5:$H$21,3,FALSE),0))</f>
        <v/>
      </c>
      <c r="AH396">
        <f>IF($A396="","",IFERROR(VLOOKUP($B396,'_CONFIG_Risk_Calibration'!$A$5:$H$21,4,FALSE),3))</f>
        <v/>
      </c>
      <c r="AI396">
        <f>IF($A396="","",IFERROR(VLOOKUP($B396,'_CONFIG_Risk_Calibration'!$A$5:$H$21,5,FALSE),3))</f>
        <v/>
      </c>
      <c r="AJ396">
        <f>IF($A396="","",IFERROR(VLOOKUP($B396,'_CONFIG_Risk_Calibration'!$A$5:$H$21,6,FALSE),"No"))</f>
        <v/>
      </c>
      <c r="AK396">
        <f>IF($A396="","",IFERROR(VLOOKUP($B396,'_CONFIG_Risk_Calibration'!$A$5:$H$21,7,FALSE),1))</f>
        <v/>
      </c>
      <c r="AL396">
        <f>IF($A396="","",IFERROR(VLOOKUP($B396,'_CONFIG_Risk_Calibration'!$A$5:$H$21,8,FALSE),""))</f>
        <v/>
      </c>
    </row>
    <row r="397" ht="72" customHeight="1" s="209">
      <c r="A397" s="13" t="inlineStr">
        <is>
          <t>CYBE-025</t>
        </is>
      </c>
      <c r="B397" s="13" t="inlineStr">
        <is>
          <t>Cyber Privacy</t>
        </is>
      </c>
      <c r="C397" s="13" t="inlineStr">
        <is>
          <t>Detection and response</t>
        </is>
      </c>
      <c r="D397" s="13" t="inlineStr">
        <is>
          <t>Cybersecurity, privacy and access control</t>
        </is>
      </c>
      <c r="E397" s="13" t="inlineStr">
        <is>
          <t>How mature is the organization in managing cyber incident exercises with business, legal, communication, IT and executives, including ownership, evidence, metrics, fallback procedures and crisis stress testing?</t>
        </is>
      </c>
      <c r="F397" s="13" t="inlineStr">
        <is>
          <t>Immature capability for cyber incident exercises with business, legal, communication, IT and executives may lead to security incident, data breach, privilege misuse, privacy violation and regulatory exposure during Cyberattack; Data breach; Ransomware; Insider threat.</t>
        </is>
      </c>
      <c r="G397" s="13" t="inlineStr">
        <is>
          <t>Low maturity, weak ownership, incomplete evidence, insufficient testing and poor integration with crisis-management routines for cyber incident exercises with business, legal, communication, IT and executives.</t>
        </is>
      </c>
      <c r="H397" s="13" t="inlineStr">
        <is>
          <t>Severe risk: cyber incident exercises with business, legal, communication, IT and executives is not reliably controlled. During Cyberattack; Data breach; Ransomware; Insider threat, the organization may face security incident, data breach, privilege misuse, privacy violation and regulatory exposure with limited visibility or accountability.</t>
        </is>
      </c>
      <c r="I397" s="13" t="inlineStr">
        <is>
          <t>High risk: cyber incident exercises with business, legal, communication, IT and executives depends on informal practices or individual knowledge. Disruption may expose security incident, data breach, privilege misuse, privacy violation and regulatory exposure and slow recovery.</t>
        </is>
      </c>
      <c r="J397" s="13" t="inlineStr">
        <is>
          <t>Elevated risk: cyber incident exercises with business, legal, communication, IT and executives is partially controlled, but coverage, evidence or testing is inconsistent. Crisis response may be fragmented.</t>
        </is>
      </c>
      <c r="K397" s="13" t="inlineStr">
        <is>
          <t>Moderate risk: cyber incident exercises with business, legal, communication, IT and executives is documented and owned, but measurement, stress testing and integration with dependent processes need strengthening.</t>
        </is>
      </c>
      <c r="L397" s="13" t="inlineStr">
        <is>
          <t>Residual risk: cyber incident exercises with business, legal, communication, IT and executives is measured and reviewed, but monitoring, automation or scenario testing should be improved to prevent maturity drift.</t>
        </is>
      </c>
      <c r="M397" s="13" t="inlineStr">
        <is>
          <t>Low residual risk: cyber incident exercises with business, legal, communication, IT and executives is mature and crisis-tested. Maintain monitoring, evidence, ownership and periodic stress testing.</t>
        </is>
      </c>
      <c r="N397" s="13" t="inlineStr">
        <is>
          <t>Create an immediate risk owner, minimum control baseline and fallback procedure for cyber incident exercises with business, legal, communication, IT and executives. Add it to the crisis risk register and collect first evidence.</t>
        </is>
      </c>
      <c r="O397" s="13" t="inlineStr">
        <is>
          <t>Document cyber incident exercises with business, legal, communication, IT and executives, assign RACI, define minimum controls and KPIs, and validate coverage across key sites, teams or systems.</t>
        </is>
      </c>
      <c r="P397" s="13" t="inlineStr">
        <is>
          <t>Standardize cyber incident exercises with business, legal, communication, IT and executives, close coverage gaps, train accountable roles and connect controls to the relevant crisis scenarios and continuity plans.</t>
        </is>
      </c>
      <c r="Q397" s="13" t="inlineStr">
        <is>
          <t>Measure and test cyber incident exercises with business, legal, communication, IT and executives, run tabletop or operational stress tests, integrate it with dependent processes and update crisis playbooks.</t>
        </is>
      </c>
      <c r="R397" s="13" t="inlineStr">
        <is>
          <t>Automate monitoring where practical, define leading indicators, run periodic scenario tests and track residual risk after each major change.</t>
        </is>
      </c>
      <c r="S397" s="13" t="inlineStr">
        <is>
          <t>Sustain maturity for cyber incident exercises with business, legal, communication, IT and executives: keep evidence current, monitor drift, benchmark externally and refresh risk tests after organizational, system or market changes.</t>
        </is>
      </c>
      <c r="T397" s="13" t="n">
        <v>4</v>
      </c>
      <c r="U397" s="13" t="n">
        <v>3</v>
      </c>
      <c r="V397" s="13" t="n">
        <v>3</v>
      </c>
      <c r="W397" s="13" t="n">
        <v>2</v>
      </c>
      <c r="X397" s="13" t="n">
        <v>1</v>
      </c>
      <c r="Y397" s="13" t="n">
        <v>1</v>
      </c>
      <c r="Z397" s="13" t="inlineStr">
        <is>
          <t>ISO/IEC 27001; ISO/IEC 27002; NIST CSF 2.0; CIS Controls; ISO/IEC 27701; GDPR; IEC 62443</t>
        </is>
      </c>
      <c r="AA397" s="13" t="inlineStr">
        <is>
          <t>Policy/SOP; owner/RACI; system report; dashboard; contracts; test records; incident history; interview evidence related to cyber incident exercises with business, legal, communication, IT and executives.</t>
        </is>
      </c>
      <c r="AB397" s="13" t="inlineStr">
        <is>
          <t>Cyberattack; Data breach; Ransomware; Insider threat</t>
        </is>
      </c>
      <c r="AC397" s="13" t="inlineStr">
        <is>
          <t>CISO / IT Security</t>
        </is>
      </c>
      <c r="AD397" s="13" t="inlineStr">
        <is>
          <t>Cyber Privacy!29</t>
        </is>
      </c>
      <c r="AE397">
        <f>IF($A397="","",IF(OR(ISNUMBER(SEARCH("cyber",$D397)),ISNUMBER(SEARCH("security",$D397)),ISNUMBER(SEARCH("safety",$D397)),ISNUMBER(SEARCH("liquidity",$D397)),ISNUMBER(SEARCH("cash",$D397)),ISNUMBER(SEARCH("continuity",$D397)),ISNUMBER(SEARCH("infrastructure",$D397)),ISNUMBER(SEARCH("outage",$D397))),"Fast",IF(OR(ISNUMBER(SEARCH("compliance",$D397)),ISNUMBER(SEARCH("regulat",$D397)),ISNUMBER(SEARCH("data",$D397)),ISNUMBER(SEARCH("talent",$D397)),ISNUMBER(SEARCH("knowledge",$D397)),ISNUMBER(SEARCH("portfolio",$D397)),ISNUMBER(SEARCH("quality",$D397))),"Slow","Medium")))</f>
        <v/>
      </c>
      <c r="AF397">
        <f>IF($A397="","",IFERROR(VLOOKUP($B397,'_CONFIG_Risk_Calibration'!$A$5:$H$21,2,FALSE),3))</f>
        <v/>
      </c>
      <c r="AG397">
        <f>IF($A397="","",IFERROR(VLOOKUP($B397,'_CONFIG_Risk_Calibration'!$A$5:$H$21,3,FALSE),0))</f>
        <v/>
      </c>
      <c r="AH397">
        <f>IF($A397="","",IFERROR(VLOOKUP($B397,'_CONFIG_Risk_Calibration'!$A$5:$H$21,4,FALSE),3))</f>
        <v/>
      </c>
      <c r="AI397">
        <f>IF($A397="","",IFERROR(VLOOKUP($B397,'_CONFIG_Risk_Calibration'!$A$5:$H$21,5,FALSE),3))</f>
        <v/>
      </c>
      <c r="AJ397">
        <f>IF($A397="","",IFERROR(VLOOKUP($B397,'_CONFIG_Risk_Calibration'!$A$5:$H$21,6,FALSE),"No"))</f>
        <v/>
      </c>
      <c r="AK397">
        <f>IF($A397="","",IFERROR(VLOOKUP($B397,'_CONFIG_Risk_Calibration'!$A$5:$H$21,7,FALSE),1))</f>
        <v/>
      </c>
      <c r="AL397">
        <f>IF($A397="","",IFERROR(VLOOKUP($B397,'_CONFIG_Risk_Calibration'!$A$5:$H$21,8,FALSE),""))</f>
        <v/>
      </c>
    </row>
    <row r="398" ht="60" customHeight="1" s="209">
      <c r="A398" s="13" t="inlineStr">
        <is>
          <t>CYBE-026</t>
        </is>
      </c>
      <c r="B398" s="13" t="inlineStr">
        <is>
          <t>Cyber Privacy</t>
        </is>
      </c>
      <c r="C398" s="13" t="inlineStr">
        <is>
          <t>Detection and response</t>
        </is>
      </c>
      <c r="D398" s="13" t="inlineStr">
        <is>
          <t>Cybersecurity, privacy and access control</t>
        </is>
      </c>
      <c r="E398" s="13" t="inlineStr">
        <is>
          <t>How mature is the organization in managing immutable or isolated backups protected against ransomware, including ownership, evidence, metrics, fallback procedures and crisis stress testing?</t>
        </is>
      </c>
      <c r="F398" s="13" t="inlineStr">
        <is>
          <t>Immature capability for immutable or isolated backups protected against ransomware may lead to security incident, data breach, privilege misuse, privacy violation and regulatory exposure during Cyberattack; Data breach; Ransomware; Insider threat.</t>
        </is>
      </c>
      <c r="G398" s="13" t="inlineStr">
        <is>
          <t>Low maturity, weak ownership, incomplete evidence, insufficient testing and poor integration with crisis-management routines for immutable or isolated backups protected against ransomware.</t>
        </is>
      </c>
      <c r="H398" s="13" t="inlineStr">
        <is>
          <t>Severe risk: immutable or isolated backups protected against ransomware is not reliably controlled. During Cyberattack; Data breach; Ransomware; Insider threat, the organization may face security incident, data breach, privilege misuse, privacy violation and regulatory exposure with limited visibility or accountability.</t>
        </is>
      </c>
      <c r="I398" s="13" t="inlineStr">
        <is>
          <t>High risk: immutable or isolated backups protected against ransomware depends on informal practices or individual knowledge. Disruption may expose security incident, data breach, privilege misuse, privacy violation and regulatory exposure and slow recovery.</t>
        </is>
      </c>
      <c r="J398" s="13" t="inlineStr">
        <is>
          <t>Elevated risk: immutable or isolated backups protected against ransomware is partially controlled, but coverage, evidence or testing is inconsistent. Crisis response may be fragmented.</t>
        </is>
      </c>
      <c r="K398" s="13" t="inlineStr">
        <is>
          <t>Moderate risk: immutable or isolated backups protected against ransomware is documented and owned, but measurement, stress testing and integration with dependent processes need strengthening.</t>
        </is>
      </c>
      <c r="L398" s="13" t="inlineStr">
        <is>
          <t>Residual risk: immutable or isolated backups protected against ransomware is measured and reviewed, but monitoring, automation or scenario testing should be improved to prevent maturity drift.</t>
        </is>
      </c>
      <c r="M398" s="13" t="inlineStr">
        <is>
          <t>Low residual risk: immutable or isolated backups protected against ransomware is mature and crisis-tested. Maintain monitoring, evidence, ownership and periodic stress testing.</t>
        </is>
      </c>
      <c r="N398" s="13" t="inlineStr">
        <is>
          <t>Create an immediate risk owner, minimum control baseline and fallback procedure for immutable or isolated backups protected against ransomware. Add it to the crisis risk register and collect first evidence.</t>
        </is>
      </c>
      <c r="O398" s="13" t="inlineStr">
        <is>
          <t>Document immutable or isolated backups protected against ransomware, assign RACI, define minimum controls and KPIs, and validate coverage across key sites, teams or systems.</t>
        </is>
      </c>
      <c r="P398" s="13" t="inlineStr">
        <is>
          <t>Standardize immutable or isolated backups protected against ransomware, close coverage gaps, train accountable roles and connect controls to the relevant crisis scenarios and continuity plans.</t>
        </is>
      </c>
      <c r="Q398" s="13" t="inlineStr">
        <is>
          <t>Measure and test immutable or isolated backups protected against ransomware, run tabletop or operational stress tests, integrate it with dependent processes and update crisis playbooks.</t>
        </is>
      </c>
      <c r="R398" s="13" t="inlineStr">
        <is>
          <t>Automate monitoring where practical, define leading indicators, run periodic scenario tests and track residual risk after each major change.</t>
        </is>
      </c>
      <c r="S398" s="13" t="inlineStr">
        <is>
          <t>Sustain maturity for immutable or isolated backups protected against ransomware: keep evidence current, monitor drift, benchmark externally and refresh risk tests after organizational, system or market changes.</t>
        </is>
      </c>
      <c r="T398" s="13" t="n">
        <v>4</v>
      </c>
      <c r="U398" s="13" t="n">
        <v>3</v>
      </c>
      <c r="V398" s="13" t="n">
        <v>3</v>
      </c>
      <c r="W398" s="13" t="n">
        <v>2</v>
      </c>
      <c r="X398" s="13" t="n">
        <v>1</v>
      </c>
      <c r="Y398" s="13" t="n">
        <v>1</v>
      </c>
      <c r="Z398" s="13" t="inlineStr">
        <is>
          <t>ISO/IEC 27001; ISO/IEC 27002; NIST CSF 2.0; CIS Controls; ISO/IEC 27701; GDPR; IEC 62443</t>
        </is>
      </c>
      <c r="AA398" s="13" t="inlineStr">
        <is>
          <t>Policy/SOP; owner/RACI; system report; dashboard; contracts; test records; incident history; interview evidence related to immutable or isolated backups protected against ransomware.</t>
        </is>
      </c>
      <c r="AB398" s="13" t="inlineStr">
        <is>
          <t>Cyberattack; Data breach; Ransomware; Insider threat</t>
        </is>
      </c>
      <c r="AC398" s="13" t="inlineStr">
        <is>
          <t>CISO / IT Security</t>
        </is>
      </c>
      <c r="AD398" s="13" t="inlineStr">
        <is>
          <t>Cyber Privacy!30</t>
        </is>
      </c>
      <c r="AE398">
        <f>IF($A398="","",IF(OR(ISNUMBER(SEARCH("cyber",$D398)),ISNUMBER(SEARCH("security",$D398)),ISNUMBER(SEARCH("safety",$D398)),ISNUMBER(SEARCH("liquidity",$D398)),ISNUMBER(SEARCH("cash",$D398)),ISNUMBER(SEARCH("continuity",$D398)),ISNUMBER(SEARCH("infrastructure",$D398)),ISNUMBER(SEARCH("outage",$D398))),"Fast",IF(OR(ISNUMBER(SEARCH("compliance",$D398)),ISNUMBER(SEARCH("regulat",$D398)),ISNUMBER(SEARCH("data",$D398)),ISNUMBER(SEARCH("talent",$D398)),ISNUMBER(SEARCH("knowledge",$D398)),ISNUMBER(SEARCH("portfolio",$D398)),ISNUMBER(SEARCH("quality",$D398))),"Slow","Medium")))</f>
        <v/>
      </c>
      <c r="AF398">
        <f>IF($A398="","",IFERROR(VLOOKUP($B398,'_CONFIG_Risk_Calibration'!$A$5:$H$21,2,FALSE),3))</f>
        <v/>
      </c>
      <c r="AG398">
        <f>IF($A398="","",IFERROR(VLOOKUP($B398,'_CONFIG_Risk_Calibration'!$A$5:$H$21,3,FALSE),0))</f>
        <v/>
      </c>
      <c r="AH398">
        <f>IF($A398="","",IFERROR(VLOOKUP($B398,'_CONFIG_Risk_Calibration'!$A$5:$H$21,4,FALSE),3))</f>
        <v/>
      </c>
      <c r="AI398">
        <f>IF($A398="","",IFERROR(VLOOKUP($B398,'_CONFIG_Risk_Calibration'!$A$5:$H$21,5,FALSE),3))</f>
        <v/>
      </c>
      <c r="AJ398">
        <f>IF($A398="","",IFERROR(VLOOKUP($B398,'_CONFIG_Risk_Calibration'!$A$5:$H$21,6,FALSE),"No"))</f>
        <v/>
      </c>
      <c r="AK398">
        <f>IF($A398="","",IFERROR(VLOOKUP($B398,'_CONFIG_Risk_Calibration'!$A$5:$H$21,7,FALSE),1))</f>
        <v/>
      </c>
      <c r="AL398">
        <f>IF($A398="","",IFERROR(VLOOKUP($B398,'_CONFIG_Risk_Calibration'!$A$5:$H$21,8,FALSE),""))</f>
        <v/>
      </c>
    </row>
    <row r="399" ht="72" customHeight="1" s="209">
      <c r="A399" s="13" t="inlineStr">
        <is>
          <t>CYBE-027</t>
        </is>
      </c>
      <c r="B399" s="13" t="inlineStr">
        <is>
          <t>Cyber Privacy</t>
        </is>
      </c>
      <c r="C399" s="13" t="inlineStr">
        <is>
          <t>Application and OT security</t>
        </is>
      </c>
      <c r="D399" s="13" t="inlineStr">
        <is>
          <t>Cybersecurity, privacy and access control</t>
        </is>
      </c>
      <c r="E399" s="13" t="inlineStr">
        <is>
          <t>How mature is the organization in managing secure SDLC for internally developed applications, APIs and integrations, including ownership, evidence, metrics, fallback procedures and crisis stress testing?</t>
        </is>
      </c>
      <c r="F399" s="13" t="inlineStr">
        <is>
          <t>Immature capability for secure SDLC for internally developed applications, APIs and integrations may lead to security incident, data breach, privilege misuse, privacy violation and regulatory exposure during Cyberattack; Data breach; Ransomware; Insider threat.</t>
        </is>
      </c>
      <c r="G399" s="13" t="inlineStr">
        <is>
          <t>Low maturity, weak ownership, incomplete evidence, insufficient testing and poor integration with crisis-management routines for secure SDLC for internally developed applications, APIs and integrations.</t>
        </is>
      </c>
      <c r="H399" s="13" t="inlineStr">
        <is>
          <t>Severe risk: secure SDLC for internally developed applications, APIs and integrations is not reliably controlled. During Cyberattack; Data breach; Ransomware; Insider threat, the organization may face security incident, data breach, privilege misuse, privacy violation and regulatory exposure with limited visibility or accountability.</t>
        </is>
      </c>
      <c r="I399" s="13" t="inlineStr">
        <is>
          <t>High risk: secure SDLC for internally developed applications, APIs and integrations depends on informal practices or individual knowledge. Disruption may expose security incident, data breach, privilege misuse, privacy violation and regulatory exposure and slow recovery.</t>
        </is>
      </c>
      <c r="J399" s="13" t="inlineStr">
        <is>
          <t>Elevated risk: secure SDLC for internally developed applications, APIs and integrations is partially controlled, but coverage, evidence or testing is inconsistent. Crisis response may be fragmented.</t>
        </is>
      </c>
      <c r="K399" s="13" t="inlineStr">
        <is>
          <t>Moderate risk: secure SDLC for internally developed applications, APIs and integrations is documented and owned, but measurement, stress testing and integration with dependent processes need strengthening.</t>
        </is>
      </c>
      <c r="L399" s="13" t="inlineStr">
        <is>
          <t>Residual risk: secure SDLC for internally developed applications, APIs and integrations is measured and reviewed, but monitoring, automation or scenario testing should be improved to prevent maturity drift.</t>
        </is>
      </c>
      <c r="M399" s="13" t="inlineStr">
        <is>
          <t>Low residual risk: secure SDLC for internally developed applications, APIs and integrations is mature and crisis-tested. Maintain monitoring, evidence, ownership and periodic stress testing.</t>
        </is>
      </c>
      <c r="N399" s="13" t="inlineStr">
        <is>
          <t>Create an immediate risk owner, minimum control baseline and fallback procedure for secure SDLC for internally developed applications, APIs and integrations. Add it to the crisis risk register and collect first evidence.</t>
        </is>
      </c>
      <c r="O399" s="13" t="inlineStr">
        <is>
          <t>Document secure SDLC for internally developed applications, APIs and integrations, assign RACI, define minimum controls and KPIs, and validate coverage across key sites, teams or systems.</t>
        </is>
      </c>
      <c r="P399" s="13" t="inlineStr">
        <is>
          <t>Standardize secure SDLC for internally developed applications, APIs and integrations, close coverage gaps, train accountable roles and connect controls to the relevant crisis scenarios and continuity plans.</t>
        </is>
      </c>
      <c r="Q399" s="13" t="inlineStr">
        <is>
          <t>Measure and test secure SDLC for internally developed applications, APIs and integrations, run tabletop or operational stress tests, integrate it with dependent processes and update crisis playbooks.</t>
        </is>
      </c>
      <c r="R399" s="13" t="inlineStr">
        <is>
          <t>Automate monitoring where practical, define leading indicators, run periodic scenario tests and track residual risk after each major change.</t>
        </is>
      </c>
      <c r="S399" s="13" t="inlineStr">
        <is>
          <t>Sustain maturity for secure SDLC for internally developed applications, APIs and integrations: keep evidence current, monitor drift, benchmark externally and refresh risk tests after organizational, system or market changes.</t>
        </is>
      </c>
      <c r="T399" s="13" t="n">
        <v>4</v>
      </c>
      <c r="U399" s="13" t="n">
        <v>3</v>
      </c>
      <c r="V399" s="13" t="n">
        <v>3</v>
      </c>
      <c r="W399" s="13" t="n">
        <v>2</v>
      </c>
      <c r="X399" s="13" t="n">
        <v>1</v>
      </c>
      <c r="Y399" s="13" t="n">
        <v>1</v>
      </c>
      <c r="Z399" s="13" t="inlineStr">
        <is>
          <t>ISO/IEC 27001; ISO/IEC 27002; NIST CSF 2.0; CIS Controls; ISO/IEC 27701; GDPR; IEC 62443</t>
        </is>
      </c>
      <c r="AA399" s="13" t="inlineStr">
        <is>
          <t>Policy/SOP; owner/RACI; system report; dashboard; contracts; test records; incident history; interview evidence related to secure SDLC for internally developed applications, APIs and integrations.</t>
        </is>
      </c>
      <c r="AB399" s="13" t="inlineStr">
        <is>
          <t>Cyberattack; Data breach; Ransomware; Insider threat</t>
        </is>
      </c>
      <c r="AC399" s="13" t="inlineStr">
        <is>
          <t>CISO / IT Security</t>
        </is>
      </c>
      <c r="AD399" s="13" t="inlineStr">
        <is>
          <t>Cyber Privacy!31</t>
        </is>
      </c>
      <c r="AE399">
        <f>IF($A399="","",IF(OR(ISNUMBER(SEARCH("cyber",$D399)),ISNUMBER(SEARCH("security",$D399)),ISNUMBER(SEARCH("safety",$D399)),ISNUMBER(SEARCH("liquidity",$D399)),ISNUMBER(SEARCH("cash",$D399)),ISNUMBER(SEARCH("continuity",$D399)),ISNUMBER(SEARCH("infrastructure",$D399)),ISNUMBER(SEARCH("outage",$D399))),"Fast",IF(OR(ISNUMBER(SEARCH("compliance",$D399)),ISNUMBER(SEARCH("regulat",$D399)),ISNUMBER(SEARCH("data",$D399)),ISNUMBER(SEARCH("talent",$D399)),ISNUMBER(SEARCH("knowledge",$D399)),ISNUMBER(SEARCH("portfolio",$D399)),ISNUMBER(SEARCH("quality",$D399))),"Slow","Medium")))</f>
        <v/>
      </c>
      <c r="AF399">
        <f>IF($A399="","",IFERROR(VLOOKUP($B399,'_CONFIG_Risk_Calibration'!$A$5:$H$21,2,FALSE),3))</f>
        <v/>
      </c>
      <c r="AG399">
        <f>IF($A399="","",IFERROR(VLOOKUP($B399,'_CONFIG_Risk_Calibration'!$A$5:$H$21,3,FALSE),0))</f>
        <v/>
      </c>
      <c r="AH399">
        <f>IF($A399="","",IFERROR(VLOOKUP($B399,'_CONFIG_Risk_Calibration'!$A$5:$H$21,4,FALSE),3))</f>
        <v/>
      </c>
      <c r="AI399">
        <f>IF($A399="","",IFERROR(VLOOKUP($B399,'_CONFIG_Risk_Calibration'!$A$5:$H$21,5,FALSE),3))</f>
        <v/>
      </c>
      <c r="AJ399">
        <f>IF($A399="","",IFERROR(VLOOKUP($B399,'_CONFIG_Risk_Calibration'!$A$5:$H$21,6,FALSE),"No"))</f>
        <v/>
      </c>
      <c r="AK399">
        <f>IF($A399="","",IFERROR(VLOOKUP($B399,'_CONFIG_Risk_Calibration'!$A$5:$H$21,7,FALSE),1))</f>
        <v/>
      </c>
      <c r="AL399">
        <f>IF($A399="","",IFERROR(VLOOKUP($B399,'_CONFIG_Risk_Calibration'!$A$5:$H$21,8,FALSE),""))</f>
        <v/>
      </c>
    </row>
    <row r="400" ht="72" customHeight="1" s="209">
      <c r="A400" s="13" t="inlineStr">
        <is>
          <t>CYBE-028</t>
        </is>
      </c>
      <c r="B400" s="13" t="inlineStr">
        <is>
          <t>Cyber Privacy</t>
        </is>
      </c>
      <c r="C400" s="13" t="inlineStr">
        <is>
          <t>Application and OT security</t>
        </is>
      </c>
      <c r="D400" s="13" t="inlineStr">
        <is>
          <t>Cybersecurity, privacy and access control</t>
        </is>
      </c>
      <c r="E400" s="13" t="inlineStr">
        <is>
          <t>How mature is the organization in managing application vulnerability testing through SAST, DAST, code review and penetration testing, including ownership, evidence, metrics, fallback procedures and crisis stress testing?</t>
        </is>
      </c>
      <c r="F400" s="13" t="inlineStr">
        <is>
          <t>Immature capability for application vulnerability testing through SAST, DAST, code review and penetration testing may lead to security incident, data breach, privilege misuse, privacy violation and regulatory exposure during Cyberattack; Data breach; Ransomware; Insider threat.</t>
        </is>
      </c>
      <c r="G400" s="13" t="inlineStr">
        <is>
          <t>Low maturity, weak ownership, incomplete evidence, insufficient testing and poor integration with crisis-management routines for application vulnerability testing through SAST, DAST, code review and penetration testing.</t>
        </is>
      </c>
      <c r="H400" s="13" t="inlineStr">
        <is>
          <t>Severe risk: application vulnerability testing through SAST, DAST, code review and penetration testing is not reliably controlled. During Cyberattack; Data breach; Ransomware; Insider threat, the organization may face security incident, data breach, privilege misuse, privacy violation and regulatory exposure with limited visibility or accountability.</t>
        </is>
      </c>
      <c r="I400" s="13" t="inlineStr">
        <is>
          <t>High risk: application vulnerability testing through SAST, DAST, code review and penetration testing depends on informal practices or individual knowledge. Disruption may expose security incident, data breach, privilege misuse, privacy violation and regulatory exposure and slow recovery.</t>
        </is>
      </c>
      <c r="J400" s="13" t="inlineStr">
        <is>
          <t>Elevated risk: application vulnerability testing through SAST, DAST, code review and penetration testing is partially controlled, but coverage, evidence or testing is inconsistent. Crisis response may be fragmented.</t>
        </is>
      </c>
      <c r="K400" s="13" t="inlineStr">
        <is>
          <t>Moderate risk: application vulnerability testing through SAST, DAST, code review and penetration testing is documented and owned, but measurement, stress testing and integration with dependent processes need strengthening.</t>
        </is>
      </c>
      <c r="L400" s="13" t="inlineStr">
        <is>
          <t>Residual risk: application vulnerability testing through SAST, DAST, code review and penetration testing is measured and reviewed, but monitoring, automation or scenario testing should be improved to prevent maturity drift.</t>
        </is>
      </c>
      <c r="M400" s="13" t="inlineStr">
        <is>
          <t>Low residual risk: application vulnerability testing through SAST, DAST, code review and penetration testing is mature and crisis-tested. Maintain monitoring, evidence, ownership and periodic stress testing.</t>
        </is>
      </c>
      <c r="N400" s="13" t="inlineStr">
        <is>
          <t>Create an immediate risk owner, minimum control baseline and fallback procedure for application vulnerability testing through SAST, DAST, code review and penetration testing. Add it to the crisis risk register and collect first evidence.</t>
        </is>
      </c>
      <c r="O400" s="13" t="inlineStr">
        <is>
          <t>Document application vulnerability testing through SAST, DAST, code review and penetration testing, assign RACI, define minimum controls and KPIs, and validate coverage across key sites, teams or systems.</t>
        </is>
      </c>
      <c r="P400" s="13" t="inlineStr">
        <is>
          <t>Standardize application vulnerability testing through SAST, DAST, code review and penetration testing, close coverage gaps, train accountable roles and connect controls to the relevant crisis scenarios and continuity plans.</t>
        </is>
      </c>
      <c r="Q400" s="13" t="inlineStr">
        <is>
          <t>Measure and test application vulnerability testing through SAST, DAST, code review and penetration testing, run tabletop or operational stress tests, integrate it with dependent processes and update crisis playbooks.</t>
        </is>
      </c>
      <c r="R400" s="13" t="inlineStr">
        <is>
          <t>Automate monitoring where practical, define leading indicators, run periodic scenario tests and track residual risk after each major change.</t>
        </is>
      </c>
      <c r="S400" s="13" t="inlineStr">
        <is>
          <t>Sustain maturity for application vulnerability testing through SAST, DAST, code review and penetration testing: keep evidence current, monitor drift, benchmark externally and refresh risk tests after organizational, system or market changes.</t>
        </is>
      </c>
      <c r="T400" s="13" t="n">
        <v>4</v>
      </c>
      <c r="U400" s="13" t="n">
        <v>3</v>
      </c>
      <c r="V400" s="13" t="n">
        <v>3</v>
      </c>
      <c r="W400" s="13" t="n">
        <v>2</v>
      </c>
      <c r="X400" s="13" t="n">
        <v>1</v>
      </c>
      <c r="Y400" s="13" t="n">
        <v>1</v>
      </c>
      <c r="Z400" s="13" t="inlineStr">
        <is>
          <t>ISO/IEC 27001; ISO/IEC 27002; NIST CSF 2.0; CIS Controls; ISO/IEC 27701; GDPR; IEC 62443</t>
        </is>
      </c>
      <c r="AA400" s="13" t="inlineStr">
        <is>
          <t>Policy/SOP; owner/RACI; system report; dashboard; contracts; test records; incident history; interview evidence related to application vulnerability testing through SAST, DAST, code review and penetration testing.</t>
        </is>
      </c>
      <c r="AB400" s="13" t="inlineStr">
        <is>
          <t>Cyberattack; Data breach; Ransomware; Insider threat</t>
        </is>
      </c>
      <c r="AC400" s="13" t="inlineStr">
        <is>
          <t>CISO / IT Security</t>
        </is>
      </c>
      <c r="AD400" s="13" t="inlineStr">
        <is>
          <t>Cyber Privacy!32</t>
        </is>
      </c>
      <c r="AE400">
        <f>IF($A400="","",IF(OR(ISNUMBER(SEARCH("cyber",$D400)),ISNUMBER(SEARCH("security",$D400)),ISNUMBER(SEARCH("safety",$D400)),ISNUMBER(SEARCH("liquidity",$D400)),ISNUMBER(SEARCH("cash",$D400)),ISNUMBER(SEARCH("continuity",$D400)),ISNUMBER(SEARCH("infrastructure",$D400)),ISNUMBER(SEARCH("outage",$D400))),"Fast",IF(OR(ISNUMBER(SEARCH("compliance",$D400)),ISNUMBER(SEARCH("regulat",$D400)),ISNUMBER(SEARCH("data",$D400)),ISNUMBER(SEARCH("talent",$D400)),ISNUMBER(SEARCH("knowledge",$D400)),ISNUMBER(SEARCH("portfolio",$D400)),ISNUMBER(SEARCH("quality",$D400))),"Slow","Medium")))</f>
        <v/>
      </c>
      <c r="AF400">
        <f>IF($A400="","",IFERROR(VLOOKUP($B400,'_CONFIG_Risk_Calibration'!$A$5:$H$21,2,FALSE),3))</f>
        <v/>
      </c>
      <c r="AG400">
        <f>IF($A400="","",IFERROR(VLOOKUP($B400,'_CONFIG_Risk_Calibration'!$A$5:$H$21,3,FALSE),0))</f>
        <v/>
      </c>
      <c r="AH400">
        <f>IF($A400="","",IFERROR(VLOOKUP($B400,'_CONFIG_Risk_Calibration'!$A$5:$H$21,4,FALSE),3))</f>
        <v/>
      </c>
      <c r="AI400">
        <f>IF($A400="","",IFERROR(VLOOKUP($B400,'_CONFIG_Risk_Calibration'!$A$5:$H$21,5,FALSE),3))</f>
        <v/>
      </c>
      <c r="AJ400">
        <f>IF($A400="","",IFERROR(VLOOKUP($B400,'_CONFIG_Risk_Calibration'!$A$5:$H$21,6,FALSE),"No"))</f>
        <v/>
      </c>
      <c r="AK400">
        <f>IF($A400="","",IFERROR(VLOOKUP($B400,'_CONFIG_Risk_Calibration'!$A$5:$H$21,7,FALSE),1))</f>
        <v/>
      </c>
      <c r="AL400">
        <f>IF($A400="","",IFERROR(VLOOKUP($B400,'_CONFIG_Risk_Calibration'!$A$5:$H$21,8,FALSE),""))</f>
        <v/>
      </c>
    </row>
    <row r="401" ht="72" customHeight="1" s="209">
      <c r="A401" s="13" t="inlineStr">
        <is>
          <t>CYBE-032</t>
        </is>
      </c>
      <c r="B401" s="13" t="inlineStr">
        <is>
          <t>Cyber Privacy</t>
        </is>
      </c>
      <c r="C401" s="13" t="inlineStr">
        <is>
          <t>Privacy</t>
        </is>
      </c>
      <c r="D401" s="13" t="inlineStr">
        <is>
          <t>Cybersecurity, privacy and access control</t>
        </is>
      </c>
      <c r="E401" s="13" t="inlineStr">
        <is>
          <t>How mature is the organization in managing privacy governance with roles, lawful basis, DPIA, RoPA and data subject processes, including ownership, evidence, metrics, fallback procedures and crisis stress testing?</t>
        </is>
      </c>
      <c r="F401" s="13" t="inlineStr">
        <is>
          <t>Immature capability for privacy governance with roles, lawful basis, DPIA, RoPA and data subject processes may lead to security incident, data breach, privilege misuse, privacy violation and regulatory exposure during Cyberattack; Data breach; Ransomware; Insider threat.</t>
        </is>
      </c>
      <c r="G401" s="13" t="inlineStr">
        <is>
          <t>Low maturity, weak ownership, incomplete evidence, insufficient testing and poor integration with crisis-management routines for privacy governance with roles, lawful basis, DPIA, RoPA and data subject processes.</t>
        </is>
      </c>
      <c r="H401" s="13" t="inlineStr">
        <is>
          <t>Severe risk: privacy governance with roles, lawful basis, DPIA, RoPA and data subject processes is not reliably controlled. During Cyberattack; Data breach; Ransomware; Insider threat, the organization may face security incident, data breach, privilege misuse, privacy violation and regulatory exposure with limited visibility or accountability.</t>
        </is>
      </c>
      <c r="I401" s="13" t="inlineStr">
        <is>
          <t>High risk: privacy governance with roles, lawful basis, DPIA, RoPA and data subject processes depends on informal practices or individual knowledge. Disruption may expose security incident, data breach, privilege misuse, privacy violation and regulatory exposure and slow recovery.</t>
        </is>
      </c>
      <c r="J401" s="13" t="inlineStr">
        <is>
          <t>Elevated risk: privacy governance with roles, lawful basis, DPIA, RoPA and data subject processes is partially controlled, but coverage, evidence or testing is inconsistent. Crisis response may be fragmented.</t>
        </is>
      </c>
      <c r="K401" s="13" t="inlineStr">
        <is>
          <t>Moderate risk: privacy governance with roles, lawful basis, DPIA, RoPA and data subject processes is documented and owned, but measurement, stress testing and integration with dependent processes need strengthening.</t>
        </is>
      </c>
      <c r="L401" s="13" t="inlineStr">
        <is>
          <t>Residual risk: privacy governance with roles, lawful basis, DPIA, RoPA and data subject processes is measured and reviewed, but monitoring, automation or scenario testing should be improved to prevent maturity drift.</t>
        </is>
      </c>
      <c r="M401" s="13" t="inlineStr">
        <is>
          <t>Low residual risk: privacy governance with roles, lawful basis, DPIA, RoPA and data subject processes is mature and crisis-tested. Maintain monitoring, evidence, ownership and periodic stress testing.</t>
        </is>
      </c>
      <c r="N401" s="13" t="inlineStr">
        <is>
          <t>Create an immediate risk owner, minimum control baseline and fallback procedure for privacy governance with roles, lawful basis, DPIA, RoPA and data subject processes. Add it to the crisis risk register and collect first evidence.</t>
        </is>
      </c>
      <c r="O401" s="13" t="inlineStr">
        <is>
          <t>Document privacy governance with roles, lawful basis, DPIA, RoPA and data subject processes, assign RACI, define minimum controls and KPIs, and validate coverage across key sites, teams or systems.</t>
        </is>
      </c>
      <c r="P401" s="13" t="inlineStr">
        <is>
          <t>Standardize privacy governance with roles, lawful basis, DPIA, RoPA and data subject processes, close coverage gaps, train accountable roles and connect controls to the relevant crisis scenarios and continuity plans.</t>
        </is>
      </c>
      <c r="Q401" s="13" t="inlineStr">
        <is>
          <t>Measure and test privacy governance with roles, lawful basis, DPIA, RoPA and data subject processes, run tabletop or operational stress tests, integrate it with dependent processes and update crisis playbooks.</t>
        </is>
      </c>
      <c r="R401" s="13" t="inlineStr">
        <is>
          <t>Automate monitoring where practical, define leading indicators, run periodic scenario tests and track residual risk after each major change.</t>
        </is>
      </c>
      <c r="S401" s="13" t="inlineStr">
        <is>
          <t>Sustain maturity for privacy governance with roles, lawful basis, DPIA, RoPA and data subject processes: keep evidence current, monitor drift, benchmark externally and refresh risk tests after organizational, system or market changes.</t>
        </is>
      </c>
      <c r="T401" s="13" t="n">
        <v>4</v>
      </c>
      <c r="U401" s="13" t="n">
        <v>3</v>
      </c>
      <c r="V401" s="13" t="n">
        <v>3</v>
      </c>
      <c r="W401" s="13" t="n">
        <v>2</v>
      </c>
      <c r="X401" s="13" t="n">
        <v>1</v>
      </c>
      <c r="Y401" s="13" t="n">
        <v>1</v>
      </c>
      <c r="Z401" s="13" t="inlineStr">
        <is>
          <t>ISO/IEC 27001; ISO/IEC 27002; NIST CSF 2.0; CIS Controls; ISO/IEC 27701; GDPR; IEC 62443</t>
        </is>
      </c>
      <c r="AA401" s="13" t="inlineStr">
        <is>
          <t>Policy/SOP; owner/RACI; system report; dashboard; contracts; test records; incident history; interview evidence related to privacy governance with roles, lawful basis, DPIA, RoPA and data subject processes.</t>
        </is>
      </c>
      <c r="AB401" s="13" t="inlineStr">
        <is>
          <t>Cyberattack; Data breach; Ransomware; Insider threat</t>
        </is>
      </c>
      <c r="AC401" s="13" t="inlineStr">
        <is>
          <t>CISO / IT Security</t>
        </is>
      </c>
      <c r="AD401" s="13" t="inlineStr">
        <is>
          <t>Cyber Privacy!33</t>
        </is>
      </c>
      <c r="AE401">
        <f>IF($A401="","",IF(OR(ISNUMBER(SEARCH("cyber",$D401)),ISNUMBER(SEARCH("security",$D401)),ISNUMBER(SEARCH("safety",$D401)),ISNUMBER(SEARCH("liquidity",$D401)),ISNUMBER(SEARCH("cash",$D401)),ISNUMBER(SEARCH("continuity",$D401)),ISNUMBER(SEARCH("infrastructure",$D401)),ISNUMBER(SEARCH("outage",$D401))),"Fast",IF(OR(ISNUMBER(SEARCH("compliance",$D401)),ISNUMBER(SEARCH("regulat",$D401)),ISNUMBER(SEARCH("data",$D401)),ISNUMBER(SEARCH("talent",$D401)),ISNUMBER(SEARCH("knowledge",$D401)),ISNUMBER(SEARCH("portfolio",$D401)),ISNUMBER(SEARCH("quality",$D401))),"Slow","Medium")))</f>
        <v/>
      </c>
      <c r="AF401">
        <f>IF($A401="","",IFERROR(VLOOKUP($B401,'_CONFIG_Risk_Calibration'!$A$5:$H$21,2,FALSE),3))</f>
        <v/>
      </c>
      <c r="AG401">
        <f>IF($A401="","",IFERROR(VLOOKUP($B401,'_CONFIG_Risk_Calibration'!$A$5:$H$21,3,FALSE),0))</f>
        <v/>
      </c>
      <c r="AH401">
        <f>IF($A401="","",IFERROR(VLOOKUP($B401,'_CONFIG_Risk_Calibration'!$A$5:$H$21,4,FALSE),3))</f>
        <v/>
      </c>
      <c r="AI401">
        <f>IF($A401="","",IFERROR(VLOOKUP($B401,'_CONFIG_Risk_Calibration'!$A$5:$H$21,5,FALSE),3))</f>
        <v/>
      </c>
      <c r="AJ401">
        <f>IF($A401="","",IFERROR(VLOOKUP($B401,'_CONFIG_Risk_Calibration'!$A$5:$H$21,6,FALSE),"No"))</f>
        <v/>
      </c>
      <c r="AK401">
        <f>IF($A401="","",IFERROR(VLOOKUP($B401,'_CONFIG_Risk_Calibration'!$A$5:$H$21,7,FALSE),1))</f>
        <v/>
      </c>
      <c r="AL401">
        <f>IF($A401="","",IFERROR(VLOOKUP($B401,'_CONFIG_Risk_Calibration'!$A$5:$H$21,8,FALSE),""))</f>
        <v/>
      </c>
    </row>
    <row r="402" ht="72" customHeight="1" s="209">
      <c r="A402" s="13" t="inlineStr">
        <is>
          <t>CYBE-033</t>
        </is>
      </c>
      <c r="B402" s="13" t="inlineStr">
        <is>
          <t>Cyber Privacy</t>
        </is>
      </c>
      <c r="C402" s="13" t="inlineStr">
        <is>
          <t>Privacy</t>
        </is>
      </c>
      <c r="D402" s="13" t="inlineStr">
        <is>
          <t>Cybersecurity, privacy and access control</t>
        </is>
      </c>
      <c r="E402" s="13" t="inlineStr">
        <is>
          <t>How mature is the organization in managing personal data breach detection, assessment and notification within required timelines, including ownership, evidence, metrics, fallback procedures and crisis stress testing?</t>
        </is>
      </c>
      <c r="F402" s="13" t="inlineStr">
        <is>
          <t>Immature capability for personal data breach detection, assessment and notification within required timelines may lead to security incident, data breach, privilege misuse, privacy violation and regulatory exposure during Cyberattack; Data breach; Ransomware; Insider threat.</t>
        </is>
      </c>
      <c r="G402" s="13" t="inlineStr">
        <is>
          <t>Low maturity, weak ownership, incomplete evidence, insufficient testing and poor integration with crisis-management routines for personal data breach detection, assessment and notification within required timelines.</t>
        </is>
      </c>
      <c r="H402" s="13" t="inlineStr">
        <is>
          <t>Severe risk: personal data breach detection, assessment and notification within required timelines is not reliably controlled. During Cyberattack; Data breach; Ransomware; Insider threat, the organization may face security incident, data breach, privilege misuse, privacy violation and regulatory exposure with limited visibility or accountability.</t>
        </is>
      </c>
      <c r="I402" s="13" t="inlineStr">
        <is>
          <t>High risk: personal data breach detection, assessment and notification within required timelines depends on informal practices or individual knowledge. Disruption may expose security incident, data breach, privilege misuse, privacy violation and regulatory exposure and slow recovery.</t>
        </is>
      </c>
      <c r="J402" s="13" t="inlineStr">
        <is>
          <t>Elevated risk: personal data breach detection, assessment and notification within required timelines is partially controlled, but coverage, evidence or testing is inconsistent. Crisis response may be fragmented.</t>
        </is>
      </c>
      <c r="K402" s="13" t="inlineStr">
        <is>
          <t>Moderate risk: personal data breach detection, assessment and notification within required timelines is documented and owned, but measurement, stress testing and integration with dependent processes need strengthening.</t>
        </is>
      </c>
      <c r="L402" s="13" t="inlineStr">
        <is>
          <t>Residual risk: personal data breach detection, assessment and notification within required timelines is measured and reviewed, but monitoring, automation or scenario testing should be improved to prevent maturity drift.</t>
        </is>
      </c>
      <c r="M402" s="13" t="inlineStr">
        <is>
          <t>Low residual risk: personal data breach detection, assessment and notification within required timelines is mature and crisis-tested. Maintain monitoring, evidence, ownership and periodic stress testing.</t>
        </is>
      </c>
      <c r="N402" s="13" t="inlineStr">
        <is>
          <t>Create an immediate risk owner, minimum control baseline and fallback procedure for personal data breach detection, assessment and notification within required timelines. Add it to the crisis risk register and collect first evidence.</t>
        </is>
      </c>
      <c r="O402" s="13" t="inlineStr">
        <is>
          <t>Document personal data breach detection, assessment and notification within required timelines, assign RACI, define minimum controls and KPIs, and validate coverage across key sites, teams or systems.</t>
        </is>
      </c>
      <c r="P402" s="13" t="inlineStr">
        <is>
          <t>Standardize personal data breach detection, assessment and notification within required timelines, close coverage gaps, train accountable roles and connect controls to the relevant crisis scenarios and continuity plans.</t>
        </is>
      </c>
      <c r="Q402" s="13" t="inlineStr">
        <is>
          <t>Measure and test personal data breach detection, assessment and notification within required timelines, run tabletop or operational stress tests, integrate it with dependent processes and update crisis playbooks.</t>
        </is>
      </c>
      <c r="R402" s="13" t="inlineStr">
        <is>
          <t>Automate monitoring where practical, define leading indicators, run periodic scenario tests and track residual risk after each major change.</t>
        </is>
      </c>
      <c r="S402" s="13" t="inlineStr">
        <is>
          <t>Sustain maturity for personal data breach detection, assessment and notification within required timelines: keep evidence current, monitor drift, benchmark externally and refresh risk tests after organizational, system or market changes.</t>
        </is>
      </c>
      <c r="T402" s="13" t="n">
        <v>4</v>
      </c>
      <c r="U402" s="13" t="n">
        <v>3</v>
      </c>
      <c r="V402" s="13" t="n">
        <v>3</v>
      </c>
      <c r="W402" s="13" t="n">
        <v>2</v>
      </c>
      <c r="X402" s="13" t="n">
        <v>1</v>
      </c>
      <c r="Y402" s="13" t="n">
        <v>1</v>
      </c>
      <c r="Z402" s="13" t="inlineStr">
        <is>
          <t>ISO/IEC 27001; ISO/IEC 27002; NIST CSF 2.0; CIS Controls; ISO/IEC 27701; GDPR; IEC 62443</t>
        </is>
      </c>
      <c r="AA402" s="13" t="inlineStr">
        <is>
          <t>Policy/SOP; owner/RACI; system report; dashboard; contracts; test records; incident history; interview evidence related to personal data breach detection, assessment and notification within required timelines.</t>
        </is>
      </c>
      <c r="AB402" s="13" t="inlineStr">
        <is>
          <t>Cyberattack; Data breach; Ransomware; Insider threat</t>
        </is>
      </c>
      <c r="AC402" s="13" t="inlineStr">
        <is>
          <t>CISO / IT Security</t>
        </is>
      </c>
      <c r="AD402" s="13" t="inlineStr">
        <is>
          <t>Cyber Privacy!34</t>
        </is>
      </c>
      <c r="AE402">
        <f>IF($A402="","",IF(OR(ISNUMBER(SEARCH("cyber",$D402)),ISNUMBER(SEARCH("security",$D402)),ISNUMBER(SEARCH("safety",$D402)),ISNUMBER(SEARCH("liquidity",$D402)),ISNUMBER(SEARCH("cash",$D402)),ISNUMBER(SEARCH("continuity",$D402)),ISNUMBER(SEARCH("infrastructure",$D402)),ISNUMBER(SEARCH("outage",$D402))),"Fast",IF(OR(ISNUMBER(SEARCH("compliance",$D402)),ISNUMBER(SEARCH("regulat",$D402)),ISNUMBER(SEARCH("data",$D402)),ISNUMBER(SEARCH("talent",$D402)),ISNUMBER(SEARCH("knowledge",$D402)),ISNUMBER(SEARCH("portfolio",$D402)),ISNUMBER(SEARCH("quality",$D402))),"Slow","Medium")))</f>
        <v/>
      </c>
      <c r="AF402">
        <f>IF($A402="","",IFERROR(VLOOKUP($B402,'_CONFIG_Risk_Calibration'!$A$5:$H$21,2,FALSE),3))</f>
        <v/>
      </c>
      <c r="AG402">
        <f>IF($A402="","",IFERROR(VLOOKUP($B402,'_CONFIG_Risk_Calibration'!$A$5:$H$21,3,FALSE),0))</f>
        <v/>
      </c>
      <c r="AH402">
        <f>IF($A402="","",IFERROR(VLOOKUP($B402,'_CONFIG_Risk_Calibration'!$A$5:$H$21,4,FALSE),3))</f>
        <v/>
      </c>
      <c r="AI402">
        <f>IF($A402="","",IFERROR(VLOOKUP($B402,'_CONFIG_Risk_Calibration'!$A$5:$H$21,5,FALSE),3))</f>
        <v/>
      </c>
      <c r="AJ402">
        <f>IF($A402="","",IFERROR(VLOOKUP($B402,'_CONFIG_Risk_Calibration'!$A$5:$H$21,6,FALSE),"No"))</f>
        <v/>
      </c>
      <c r="AK402">
        <f>IF($A402="","",IFERROR(VLOOKUP($B402,'_CONFIG_Risk_Calibration'!$A$5:$H$21,7,FALSE),1))</f>
        <v/>
      </c>
      <c r="AL402">
        <f>IF($A402="","",IFERROR(VLOOKUP($B402,'_CONFIG_Risk_Calibration'!$A$5:$H$21,8,FALSE),""))</f>
        <v/>
      </c>
    </row>
    <row r="403" ht="84" customHeight="1" s="209">
      <c r="A403" s="13" t="inlineStr">
        <is>
          <t>CYBE-035</t>
        </is>
      </c>
      <c r="B403" s="13" t="inlineStr">
        <is>
          <t>Cyber Privacy</t>
        </is>
      </c>
      <c r="C403" s="13" t="inlineStr">
        <is>
          <t>Security governance</t>
        </is>
      </c>
      <c r="D403" s="13" t="inlineStr">
        <is>
          <t>Cybersecurity supply chain</t>
        </is>
      </c>
      <c r="E403" s="13" t="inlineStr">
        <is>
          <t>How mature is the organization in managing inclusion of critical suppliers and service providers in incident response planning, contact lists and joint exercises, including ownership, evidence, metrics, fallback procedures and crisis stress testing?</t>
        </is>
      </c>
      <c r="F403" s="13" t="inlineStr">
        <is>
          <t>Immature capability for inclusion of critical suppliers and service providers in incident response planning, contact lists and joint exercises may lead to uncoordinated vendor response, slow joint recovery and contractual disputes during cyber incidents during Cyberattack/ransomware; Supplier/logistics disruption; Cloud/SaaS outage.</t>
        </is>
      </c>
      <c r="G403" s="13" t="inlineStr">
        <is>
          <t>Low maturity, weak ownership, incomplete evidence, insufficient testing and poor integration with crisis-management routines for inclusion of critical suppliers and service providers in incident response planning, contact lists and joint exercises.</t>
        </is>
      </c>
      <c r="H403" s="13" t="inlineStr">
        <is>
          <t>Severe risk: inclusion of critical suppliers and service providers in incident response planning, contact lists and joint exercises is not reliably controlled. During Cyberattack/ransomware; Supplier/logistics disruption; Cloud/SaaS outage, the organization may face uncoordinated vendor response, slow joint recovery and contractual disputes during cyber incidents with limited visibility or accountability.</t>
        </is>
      </c>
      <c r="I403" s="13" t="inlineStr">
        <is>
          <t>High risk: inclusion of critical suppliers and service providers in incident response planning, contact lists and joint exercises depends on informal practices or individual knowledge. Disruption may expose uncoordinated vendor response, slow joint recovery and contractual disputes during cyber incidents and slow recovery.</t>
        </is>
      </c>
      <c r="J403" s="13" t="inlineStr">
        <is>
          <t>Elevated risk: inclusion of critical suppliers and service providers in incident response planning, contact lists and joint exercises is partially controlled, but coverage, evidence or testing is inconsistent. Crisis response may be fragmented.</t>
        </is>
      </c>
      <c r="K403" s="13" t="inlineStr">
        <is>
          <t>Moderate risk: inclusion of critical suppliers and service providers in incident response planning, contact lists and joint exercises is documented and owned, but measurement, stress testing and integration with dependent processes need strengthening.</t>
        </is>
      </c>
      <c r="L403" s="13" t="inlineStr">
        <is>
          <t>Residual risk: inclusion of critical suppliers and service providers in incident response planning, contact lists and joint exercises is measured and reviewed, but monitoring, automation or scenario testing should be improved to prevent maturity drift.</t>
        </is>
      </c>
      <c r="M403" s="13" t="inlineStr">
        <is>
          <t>Low residual risk: inclusion of critical suppliers and service providers in incident response planning, contact lists and joint exercises is mature and crisis-tested. Maintain monitoring, evidence, ownership and periodic stress testing.</t>
        </is>
      </c>
      <c r="N403" s="13" t="inlineStr">
        <is>
          <t>Create an immediate risk owner, minimum control baseline and fallback procedure for inclusion of critical suppliers and service providers in incident response planning, contact lists and joint exercises. Add it to the crisis risk register and collect first evidence.</t>
        </is>
      </c>
      <c r="O403" s="13" t="inlineStr">
        <is>
          <t>Document inclusion of critical suppliers and service providers in incident response planning, contact lists and joint exercises, assign RACI, define minimum controls and KPIs, and validate coverage across key sites, teams or systems.</t>
        </is>
      </c>
      <c r="P403" s="13" t="inlineStr">
        <is>
          <t>Standardize inclusion of critical suppliers and service providers in incident response planning, contact lists and joint exercises, close coverage gaps, train accountable roles and connect controls to the relevant crisis scenarios and continuity plans.</t>
        </is>
      </c>
      <c r="Q403" s="13" t="inlineStr">
        <is>
          <t>Measure and test inclusion of critical suppliers and service providers in incident response planning, contact lists and joint exercises, run tabletop or operational stress tests, integrate it with dependent processes and update crisis playbooks.</t>
        </is>
      </c>
      <c r="R403" s="13" t="inlineStr">
        <is>
          <t>Automate monitoring where practical, define leading indicators, run periodic scenario tests and track residual risk after each major change.</t>
        </is>
      </c>
      <c r="S403" s="13" t="inlineStr">
        <is>
          <t>Sustain maturity for inclusion of critical suppliers and service providers in incident response planning, contact lists and joint exercises: keep evidence current, monitor drift, benchmark externally and refresh risk tests after organizational, system or market changes.</t>
        </is>
      </c>
      <c r="T403" s="13" t="n">
        <v>3</v>
      </c>
      <c r="U403" s="13" t="n">
        <v>3</v>
      </c>
      <c r="V403" s="13" t="n">
        <v>2</v>
      </c>
      <c r="W403" s="13" t="n">
        <v>2</v>
      </c>
      <c r="X403" s="13" t="n">
        <v>2</v>
      </c>
      <c r="Y403" s="13" t="n">
        <v>1</v>
      </c>
      <c r="Z403" s="13" t="inlineStr">
        <is>
          <t>NIST CSF 2.0 GV.SC-08; ISO 27036; ISO 22301</t>
        </is>
      </c>
      <c r="AA403" s="13" t="inlineStr">
        <is>
          <t>Policy/SOP; owner/RACI; system report; dashboard; contracts; test records; incident history; interview evidence related to inclusion of critical suppliers and service providers in incident response planning, contact lists and joint exercises</t>
        </is>
      </c>
      <c r="AB403" s="13" t="inlineStr">
        <is>
          <t>Cyberattack/ransomware; Supplier/logistics disruption; Cloud/SaaS outage</t>
        </is>
      </c>
      <c r="AC403" s="13" t="inlineStr">
        <is>
          <t>CISO / IT</t>
        </is>
      </c>
      <c r="AD403" s="13" t="inlineStr">
        <is>
          <t>Cyber Privacy!35</t>
        </is>
      </c>
      <c r="AE403">
        <f>IF($A403="","",IF(OR(ISNUMBER(SEARCH("cyber",$D403)),ISNUMBER(SEARCH("security",$D403)),ISNUMBER(SEARCH("safety",$D403)),ISNUMBER(SEARCH("liquidity",$D403)),ISNUMBER(SEARCH("cash",$D403)),ISNUMBER(SEARCH("continuity",$D403)),ISNUMBER(SEARCH("infrastructure",$D403)),ISNUMBER(SEARCH("outage",$D403))),"Fast",IF(OR(ISNUMBER(SEARCH("compliance",$D403)),ISNUMBER(SEARCH("regulat",$D403)),ISNUMBER(SEARCH("data",$D403)),ISNUMBER(SEARCH("talent",$D403)),ISNUMBER(SEARCH("knowledge",$D403)),ISNUMBER(SEARCH("portfolio",$D403)),ISNUMBER(SEARCH("quality",$D403))),"Slow","Medium")))</f>
        <v/>
      </c>
      <c r="AF403">
        <f>IF($A403="","",IFERROR(VLOOKUP($B403,'_CONFIG_Risk_Calibration'!$A$5:$H$21,2,FALSE),3))</f>
        <v/>
      </c>
      <c r="AG403">
        <f>IF($A403="","",IFERROR(VLOOKUP($B403,'_CONFIG_Risk_Calibration'!$A$5:$H$21,3,FALSE),0))</f>
        <v/>
      </c>
      <c r="AH403">
        <f>IF($A403="","",IFERROR(VLOOKUP($B403,'_CONFIG_Risk_Calibration'!$A$5:$H$21,4,FALSE),3))</f>
        <v/>
      </c>
      <c r="AI403">
        <f>IF($A403="","",IFERROR(VLOOKUP($B403,'_CONFIG_Risk_Calibration'!$A$5:$H$21,5,FALSE),3))</f>
        <v/>
      </c>
      <c r="AJ403">
        <f>IF($A403="","",IFERROR(VLOOKUP($B403,'_CONFIG_Risk_Calibration'!$A$5:$H$21,6,FALSE),"No"))</f>
        <v/>
      </c>
      <c r="AK403">
        <f>IF($A403="","",IFERROR(VLOOKUP($B403,'_CONFIG_Risk_Calibration'!$A$5:$H$21,7,FALSE),1))</f>
        <v/>
      </c>
      <c r="AL403">
        <f>IF($A403="","",IFERROR(VLOOKUP($B403,'_CONFIG_Risk_Calibration'!$A$5:$H$21,8,FALSE),""))</f>
        <v/>
      </c>
    </row>
    <row r="404" ht="84" customHeight="1" s="209">
      <c r="A404" s="13" t="inlineStr">
        <is>
          <t>CYBE-036</t>
        </is>
      </c>
      <c r="B404" s="13" t="inlineStr">
        <is>
          <t>Cyber Privacy</t>
        </is>
      </c>
      <c r="C404" s="13" t="inlineStr">
        <is>
          <t>Security governance</t>
        </is>
      </c>
      <c r="D404" s="13" t="inlineStr">
        <is>
          <t>Cybersecurity supply chain</t>
        </is>
      </c>
      <c r="E404" s="13" t="inlineStr">
        <is>
          <t>How mature is the organization in managing vendor offboarding with access revocation, data return or deletion and post-contract security obligations, including ownership, evidence, metrics, fallback procedures and crisis stress testing?</t>
        </is>
      </c>
      <c r="F404" s="13" t="inlineStr">
        <is>
          <t>Immature capability for vendor offboarding with access revocation, data return or deletion and post-contract security obligations may lead to orphaned vendor access, residual data exposure and untracked obligations after contract end during Cyberattack/ransomware; Regulatory/legal shock.</t>
        </is>
      </c>
      <c r="G404" s="13" t="inlineStr">
        <is>
          <t>Low maturity, weak ownership, incomplete evidence, insufficient testing and poor integration with crisis-management routines for vendor offboarding with access revocation, data return or deletion and post-contract security obligations.</t>
        </is>
      </c>
      <c r="H404" s="13" t="inlineStr">
        <is>
          <t>Severe risk: vendor offboarding with access revocation, data return or deletion and post-contract security obligations is not reliably controlled. During Cyberattack/ransomware; Regulatory/legal shock, the organization may face orphaned vendor access, residual data exposure and untracked obligations after contract end with limited visibility or accountability.</t>
        </is>
      </c>
      <c r="I404" s="13" t="inlineStr">
        <is>
          <t>High risk: vendor offboarding with access revocation, data return or deletion and post-contract security obligations depends on informal practices or individual knowledge. Disruption may expose orphaned vendor access, residual data exposure and untracked obligations after contract end and slow recovery.</t>
        </is>
      </c>
      <c r="J404" s="13" t="inlineStr">
        <is>
          <t>Elevated risk: vendor offboarding with access revocation, data return or deletion and post-contract security obligations is partially controlled, but coverage, evidence or testing is inconsistent. Crisis response may be fragmented.</t>
        </is>
      </c>
      <c r="K404" s="13" t="inlineStr">
        <is>
          <t>Moderate risk: vendor offboarding with access revocation, data return or deletion and post-contract security obligations is documented and owned, but measurement, stress testing and integration with dependent processes need strengthening.</t>
        </is>
      </c>
      <c r="L404" s="13" t="inlineStr">
        <is>
          <t>Residual risk: vendor offboarding with access revocation, data return or deletion and post-contract security obligations is measured and reviewed, but monitoring, automation or scenario testing should be improved to prevent maturity drift.</t>
        </is>
      </c>
      <c r="M404" s="13" t="inlineStr">
        <is>
          <t>Low residual risk: vendor offboarding with access revocation, data return or deletion and post-contract security obligations is mature and crisis-tested. Maintain monitoring, evidence, ownership and periodic stress testing.</t>
        </is>
      </c>
      <c r="N404" s="13" t="inlineStr">
        <is>
          <t>Create an immediate risk owner, minimum control baseline and fallback procedure for vendor offboarding with access revocation, data return or deletion and post-contract security obligations. Add it to the crisis risk register and collect first evidence.</t>
        </is>
      </c>
      <c r="O404" s="13" t="inlineStr">
        <is>
          <t>Document vendor offboarding with access revocation, data return or deletion and post-contract security obligations, assign RACI, define minimum controls and KPIs, and validate coverage across key sites, teams or systems.</t>
        </is>
      </c>
      <c r="P404" s="13" t="inlineStr">
        <is>
          <t>Standardize vendor offboarding with access revocation, data return or deletion and post-contract security obligations, close coverage gaps, train accountable roles and connect controls to the relevant crisis scenarios and continuity plans.</t>
        </is>
      </c>
      <c r="Q404" s="13" t="inlineStr">
        <is>
          <t>Measure and test vendor offboarding with access revocation, data return or deletion and post-contract security obligations, run tabletop or operational stress tests, integrate it with dependent processes and update crisis playbooks.</t>
        </is>
      </c>
      <c r="R404" s="13" t="inlineStr">
        <is>
          <t>Automate monitoring where practical, define leading indicators, run periodic scenario tests and track residual risk after each major change.</t>
        </is>
      </c>
      <c r="S404" s="13" t="inlineStr">
        <is>
          <t>Sustain maturity for vendor offboarding with access revocation, data return or deletion and post-contract security obligations: keep evidence current, monitor drift, benchmark externally and refresh risk tests after organizational, system or market changes.</t>
        </is>
      </c>
      <c r="T404" s="13" t="n">
        <v>2</v>
      </c>
      <c r="U404" s="13" t="n">
        <v>2</v>
      </c>
      <c r="V404" s="13" t="n">
        <v>2</v>
      </c>
      <c r="W404" s="13" t="n">
        <v>2</v>
      </c>
      <c r="X404" s="13" t="n">
        <v>1</v>
      </c>
      <c r="Y404" s="13" t="n">
        <v>1</v>
      </c>
      <c r="Z404" s="13" t="inlineStr">
        <is>
          <t>NIST CSF 2.0 GV.SC-10; ISO 27001; GDPR</t>
        </is>
      </c>
      <c r="AA404" s="13" t="inlineStr">
        <is>
          <t>Policy/SOP; owner/RACI; system report; dashboard; contracts; test records; incident history; interview evidence related to vendor offboarding with access revocation, data return or deletion and post-contract security obligations</t>
        </is>
      </c>
      <c r="AB404" s="13" t="inlineStr">
        <is>
          <t>Cyberattack/ransomware; Regulatory/legal shock</t>
        </is>
      </c>
      <c r="AC404" s="13" t="inlineStr">
        <is>
          <t>CISO / Procurement</t>
        </is>
      </c>
      <c r="AD404" s="13" t="inlineStr">
        <is>
          <t>Cyber Privacy!36</t>
        </is>
      </c>
      <c r="AE404">
        <f>IF($A404="","",IF(OR(ISNUMBER(SEARCH("cyber",$D404)),ISNUMBER(SEARCH("security",$D404)),ISNUMBER(SEARCH("safety",$D404)),ISNUMBER(SEARCH("liquidity",$D404)),ISNUMBER(SEARCH("cash",$D404)),ISNUMBER(SEARCH("continuity",$D404)),ISNUMBER(SEARCH("infrastructure",$D404)),ISNUMBER(SEARCH("outage",$D404))),"Fast",IF(OR(ISNUMBER(SEARCH("compliance",$D404)),ISNUMBER(SEARCH("regulat",$D404)),ISNUMBER(SEARCH("data",$D404)),ISNUMBER(SEARCH("talent",$D404)),ISNUMBER(SEARCH("knowledge",$D404)),ISNUMBER(SEARCH("portfolio",$D404)),ISNUMBER(SEARCH("quality",$D404))),"Slow","Medium")))</f>
        <v/>
      </c>
      <c r="AF404">
        <f>IF($A404="","",IFERROR(VLOOKUP($B404,'_CONFIG_Risk_Calibration'!$A$5:$H$21,2,FALSE),3))</f>
        <v/>
      </c>
      <c r="AG404">
        <f>IF($A404="","",IFERROR(VLOOKUP($B404,'_CONFIG_Risk_Calibration'!$A$5:$H$21,3,FALSE),0))</f>
        <v/>
      </c>
      <c r="AH404">
        <f>IF($A404="","",IFERROR(VLOOKUP($B404,'_CONFIG_Risk_Calibration'!$A$5:$H$21,4,FALSE),3))</f>
        <v/>
      </c>
      <c r="AI404">
        <f>IF($A404="","",IFERROR(VLOOKUP($B404,'_CONFIG_Risk_Calibration'!$A$5:$H$21,5,FALSE),3))</f>
        <v/>
      </c>
      <c r="AJ404">
        <f>IF($A404="","",IFERROR(VLOOKUP($B404,'_CONFIG_Risk_Calibration'!$A$5:$H$21,6,FALSE),"No"))</f>
        <v/>
      </c>
      <c r="AK404">
        <f>IF($A404="","",IFERROR(VLOOKUP($B404,'_CONFIG_Risk_Calibration'!$A$5:$H$21,7,FALSE),1))</f>
        <v/>
      </c>
      <c r="AL404">
        <f>IF($A404="","",IFERROR(VLOOKUP($B404,'_CONFIG_Risk_Calibration'!$A$5:$H$21,8,FALSE),""))</f>
        <v/>
      </c>
    </row>
    <row r="405" ht="72" customHeight="1" s="209">
      <c r="A405" s="13" t="inlineStr">
        <is>
          <t>CYBE-037</t>
        </is>
      </c>
      <c r="B405" s="13" t="inlineStr">
        <is>
          <t>Cyber Privacy</t>
        </is>
      </c>
      <c r="C405" s="13" t="inlineStr">
        <is>
          <t>Detection and response</t>
        </is>
      </c>
      <c r="D405" s="13" t="inlineStr">
        <is>
          <t>Threat detection and response</t>
        </is>
      </c>
      <c r="E405" s="13" t="inlineStr">
        <is>
          <t>How mature is the organization in managing threat intelligence intake from CERT, sector and vendor sources integrated into detection and patch priorities, including ownership, evidence, metrics, fallback procedures and crisis stress testing?</t>
        </is>
      </c>
      <c r="F405" s="13" t="inlineStr">
        <is>
          <t>Immature capability for threat intelligence intake from CERT, sector and vendor sources integrated into detection and patch priorities may lead to late awareness of active threats, generic defenses and slower-than-attacker reaction time during Cyberattack/ransomware.</t>
        </is>
      </c>
      <c r="G405" s="13" t="inlineStr">
        <is>
          <t>Low maturity, weak ownership, incomplete evidence, insufficient testing and poor integration with crisis-management routines for threat intelligence intake from CERT, sector and vendor sources integrated into detection and patch priorities.</t>
        </is>
      </c>
      <c r="H405" s="13" t="inlineStr">
        <is>
          <t>Severe risk: threat intelligence intake from CERT, sector and vendor sources integrated into detection and patch priorities is not reliably controlled. During Cyberattack/ransomware, the organization may face late awareness of active threats, generic defenses and slower-than-attacker reaction time with limited visibility or accountability.</t>
        </is>
      </c>
      <c r="I405" s="13" t="inlineStr">
        <is>
          <t>High risk: threat intelligence intake from CERT, sector and vendor sources integrated into detection and patch priorities depends on informal practices or individual knowledge. Disruption may expose late awareness of active threats, generic defenses and slower-than-attacker reaction time and slow recovery.</t>
        </is>
      </c>
      <c r="J405" s="13" t="inlineStr">
        <is>
          <t>Elevated risk: threat intelligence intake from CERT, sector and vendor sources integrated into detection and patch priorities is partially controlled, but coverage, evidence or testing is inconsistent. Crisis response may be fragmented.</t>
        </is>
      </c>
      <c r="K405" s="13" t="inlineStr">
        <is>
          <t>Moderate risk: threat intelligence intake from CERT, sector and vendor sources integrated into detection and patch priorities is documented and owned, but measurement, stress testing and integration with dependent processes need strengthening.</t>
        </is>
      </c>
      <c r="L405" s="13" t="inlineStr">
        <is>
          <t>Residual risk: threat intelligence intake from CERT, sector and vendor sources integrated into detection and patch priorities is measured and reviewed, but monitoring, automation or scenario testing should be improved to prevent maturity drift.</t>
        </is>
      </c>
      <c r="M405" s="13" t="inlineStr">
        <is>
          <t>Low residual risk: threat intelligence intake from CERT, sector and vendor sources integrated into detection and patch priorities is mature and crisis-tested. Maintain monitoring, evidence, ownership and periodic stress testing.</t>
        </is>
      </c>
      <c r="N405" s="13" t="inlineStr">
        <is>
          <t>Create an immediate risk owner, minimum control baseline and fallback procedure for threat intelligence intake from CERT, sector and vendor sources integrated into detection and patch priorities. Add it to the crisis risk register and collect first evidence.</t>
        </is>
      </c>
      <c r="O405" s="13" t="inlineStr">
        <is>
          <t>Document threat intelligence intake from CERT, sector and vendor sources integrated into detection and patch priorities, assign RACI, define minimum controls and KPIs, and validate coverage across key sites, teams or systems.</t>
        </is>
      </c>
      <c r="P405" s="13" t="inlineStr">
        <is>
          <t>Standardize threat intelligence intake from CERT, sector and vendor sources integrated into detection and patch priorities, close coverage gaps, train accountable roles and connect controls to the relevant crisis scenarios and continuity plans.</t>
        </is>
      </c>
      <c r="Q405" s="13" t="inlineStr">
        <is>
          <t>Measure and test threat intelligence intake from CERT, sector and vendor sources integrated into detection and patch priorities, run tabletop or operational stress tests, integrate it with dependent processes and update crisis playbooks.</t>
        </is>
      </c>
      <c r="R405" s="13" t="inlineStr">
        <is>
          <t>Automate monitoring where practical, define leading indicators, run periodic scenario tests and track residual risk after each major change.</t>
        </is>
      </c>
      <c r="S405" s="13" t="inlineStr">
        <is>
          <t>Sustain maturity for threat intelligence intake from CERT, sector and vendor sources integrated into detection and patch priorities: keep evidence current, monitor drift, benchmark externally and refresh risk tests after organizational, system or market changes.</t>
        </is>
      </c>
      <c r="T405" s="13" t="n">
        <v>3</v>
      </c>
      <c r="U405" s="13" t="n">
        <v>2</v>
      </c>
      <c r="V405" s="13" t="n">
        <v>2</v>
      </c>
      <c r="W405" s="13" t="n">
        <v>2</v>
      </c>
      <c r="X405" s="13" t="n">
        <v>1</v>
      </c>
      <c r="Y405" s="13" t="n">
        <v>1</v>
      </c>
      <c r="Z405" s="13" t="inlineStr">
        <is>
          <t>NIST CSF 2.0 ID.RA-02; CIS Controls; ISO 27001</t>
        </is>
      </c>
      <c r="AA405" s="13" t="inlineStr">
        <is>
          <t>Policy/SOP; owner/RACI; system report; dashboard; contracts; test records; incident history; interview evidence related to threat intelligence intake from CERT, sector and vendor sources integrated into detection and patch priorities</t>
        </is>
      </c>
      <c r="AB405" s="13" t="inlineStr">
        <is>
          <t>Cyberattack/ransomware</t>
        </is>
      </c>
      <c r="AC405" s="13" t="inlineStr">
        <is>
          <t>CISO / SOC</t>
        </is>
      </c>
      <c r="AD405" s="13" t="inlineStr">
        <is>
          <t>Cyber Privacy!37</t>
        </is>
      </c>
      <c r="AE405">
        <f>IF($A405="","",IF(OR(ISNUMBER(SEARCH("cyber",$D405)),ISNUMBER(SEARCH("security",$D405)),ISNUMBER(SEARCH("safety",$D405)),ISNUMBER(SEARCH("liquidity",$D405)),ISNUMBER(SEARCH("cash",$D405)),ISNUMBER(SEARCH("continuity",$D405)),ISNUMBER(SEARCH("infrastructure",$D405)),ISNUMBER(SEARCH("outage",$D405))),"Fast",IF(OR(ISNUMBER(SEARCH("compliance",$D405)),ISNUMBER(SEARCH("regulat",$D405)),ISNUMBER(SEARCH("data",$D405)),ISNUMBER(SEARCH("talent",$D405)),ISNUMBER(SEARCH("knowledge",$D405)),ISNUMBER(SEARCH("portfolio",$D405)),ISNUMBER(SEARCH("quality",$D405))),"Slow","Medium")))</f>
        <v/>
      </c>
      <c r="AF405">
        <f>IF($A405="","",IFERROR(VLOOKUP($B405,'_CONFIG_Risk_Calibration'!$A$5:$H$21,2,FALSE),3))</f>
        <v/>
      </c>
      <c r="AG405">
        <f>IF($A405="","",IFERROR(VLOOKUP($B405,'_CONFIG_Risk_Calibration'!$A$5:$H$21,3,FALSE),0))</f>
        <v/>
      </c>
      <c r="AH405">
        <f>IF($A405="","",IFERROR(VLOOKUP($B405,'_CONFIG_Risk_Calibration'!$A$5:$H$21,4,FALSE),3))</f>
        <v/>
      </c>
      <c r="AI405">
        <f>IF($A405="","",IFERROR(VLOOKUP($B405,'_CONFIG_Risk_Calibration'!$A$5:$H$21,5,FALSE),3))</f>
        <v/>
      </c>
      <c r="AJ405">
        <f>IF($A405="","",IFERROR(VLOOKUP($B405,'_CONFIG_Risk_Calibration'!$A$5:$H$21,6,FALSE),"No"))</f>
        <v/>
      </c>
      <c r="AK405">
        <f>IF($A405="","",IFERROR(VLOOKUP($B405,'_CONFIG_Risk_Calibration'!$A$5:$H$21,7,FALSE),1))</f>
        <v/>
      </c>
      <c r="AL405">
        <f>IF($A405="","",IFERROR(VLOOKUP($B405,'_CONFIG_Risk_Calibration'!$A$5:$H$21,8,FALSE),""))</f>
        <v/>
      </c>
    </row>
    <row r="406" ht="84" customHeight="1" s="209">
      <c r="A406" s="13" t="inlineStr">
        <is>
          <t>CYBE-038</t>
        </is>
      </c>
      <c r="B406" s="13" t="inlineStr">
        <is>
          <t>Cyber Privacy</t>
        </is>
      </c>
      <c r="C406" s="13" t="inlineStr">
        <is>
          <t>Detection and response</t>
        </is>
      </c>
      <c r="D406" s="13" t="inlineStr">
        <is>
          <t>Threat detection and response</t>
        </is>
      </c>
      <c r="E406" s="13" t="inlineStr">
        <is>
          <t>How mature is the organization in managing forensic evidence preservation with defined collection procedures, integrity protection and chain of custody, including ownership, evidence, metrics, fallback procedures and crisis stress testing?</t>
        </is>
      </c>
      <c r="F406" s="13" t="inlineStr">
        <is>
          <t>Immature capability for forensic evidence preservation with defined collection procedures, integrity protection and chain of custody may lead to lost legal and insurance claims, unprovable incident scope and repeat compromise from unknown root cause during Cyberattack/ransomware; Regulatory/legal shock.</t>
        </is>
      </c>
      <c r="G406" s="13" t="inlineStr">
        <is>
          <t>Low maturity, weak ownership, incomplete evidence, insufficient testing and poor integration with crisis-management routines for forensic evidence preservation with defined collection procedures, integrity protection and chain of custody.</t>
        </is>
      </c>
      <c r="H406" s="13" t="inlineStr">
        <is>
          <t>Severe risk: forensic evidence preservation with defined collection procedures, integrity protection and chain of custody is not reliably controlled. During Cyberattack/ransomware; Regulatory/legal shock, the organization may face lost legal and insurance claims, unprovable incident scope and repeat compromise from unknown root cause with limited visibility or accountability.</t>
        </is>
      </c>
      <c r="I406" s="13" t="inlineStr">
        <is>
          <t>High risk: forensic evidence preservation with defined collection procedures, integrity protection and chain of custody depends on informal practices or individual knowledge. Disruption may expose lost legal and insurance claims, unprovable incident scope and repeat compromise from unknown root cause and slow recovery.</t>
        </is>
      </c>
      <c r="J406" s="13" t="inlineStr">
        <is>
          <t>Elevated risk: forensic evidence preservation with defined collection procedures, integrity protection and chain of custody is partially controlled, but coverage, evidence or testing is inconsistent. Crisis response may be fragmented.</t>
        </is>
      </c>
      <c r="K406" s="13" t="inlineStr">
        <is>
          <t>Moderate risk: forensic evidence preservation with defined collection procedures, integrity protection and chain of custody is documented and owned, but measurement, stress testing and integration with dependent processes need strengthening.</t>
        </is>
      </c>
      <c r="L406" s="13" t="inlineStr">
        <is>
          <t>Residual risk: forensic evidence preservation with defined collection procedures, integrity protection and chain of custody is measured and reviewed, but monitoring, automation or scenario testing should be improved to prevent maturity drift.</t>
        </is>
      </c>
      <c r="M406" s="13" t="inlineStr">
        <is>
          <t>Low residual risk: forensic evidence preservation with defined collection procedures, integrity protection and chain of custody is mature and crisis-tested. Maintain monitoring, evidence, ownership and periodic stress testing.</t>
        </is>
      </c>
      <c r="N406" s="13" t="inlineStr">
        <is>
          <t>Create an immediate risk owner, minimum control baseline and fallback procedure for forensic evidence preservation with defined collection procedures, integrity protection and chain of custody. Add it to the crisis risk register and collect first evidence.</t>
        </is>
      </c>
      <c r="O406" s="13" t="inlineStr">
        <is>
          <t>Document forensic evidence preservation with defined collection procedures, integrity protection and chain of custody, assign RACI, define minimum controls and KPIs, and validate coverage across key sites, teams or systems.</t>
        </is>
      </c>
      <c r="P406" s="13" t="inlineStr">
        <is>
          <t>Standardize forensic evidence preservation with defined collection procedures, integrity protection and chain of custody, close coverage gaps, train accountable roles and connect controls to the relevant crisis scenarios and continuity plans.</t>
        </is>
      </c>
      <c r="Q406" s="13" t="inlineStr">
        <is>
          <t>Measure and test forensic evidence preservation with defined collection procedures, integrity protection and chain of custody, run tabletop or operational stress tests, integrate it with dependent processes and update crisis playbooks.</t>
        </is>
      </c>
      <c r="R406" s="13" t="inlineStr">
        <is>
          <t>Automate monitoring where practical, define leading indicators, run periodic scenario tests and track residual risk after each major change.</t>
        </is>
      </c>
      <c r="S406" s="13" t="inlineStr">
        <is>
          <t>Sustain maturity for forensic evidence preservation with defined collection procedures, integrity protection and chain of custody: keep evidence current, monitor drift, benchmark externally and refresh risk tests after organizational, system or market changes.</t>
        </is>
      </c>
      <c r="T406" s="13" t="n">
        <v>3</v>
      </c>
      <c r="U406" s="13" t="n">
        <v>2</v>
      </c>
      <c r="V406" s="13" t="n">
        <v>2</v>
      </c>
      <c r="W406" s="13" t="n">
        <v>2</v>
      </c>
      <c r="X406" s="13" t="n">
        <v>1</v>
      </c>
      <c r="Y406" s="13" t="n">
        <v>1</v>
      </c>
      <c r="Z406" s="13" t="inlineStr">
        <is>
          <t>NIST CSF 2.0 RS.AN-06/07; ISO 27037</t>
        </is>
      </c>
      <c r="AA406" s="13" t="inlineStr">
        <is>
          <t>Policy/SOP; owner/RACI; system report; dashboard; contracts; test records; incident history; interview evidence related to forensic evidence preservation with defined collection procedures, integrity protection and chain of custody</t>
        </is>
      </c>
      <c r="AB406" s="13" t="inlineStr">
        <is>
          <t>Cyberattack/ransomware; Regulatory/legal shock</t>
        </is>
      </c>
      <c r="AC406" s="13" t="inlineStr">
        <is>
          <t>CISO / Legal</t>
        </is>
      </c>
      <c r="AD406" s="13" t="inlineStr">
        <is>
          <t>Cyber Privacy!38</t>
        </is>
      </c>
      <c r="AE406">
        <f>IF($A406="","",IF(OR(ISNUMBER(SEARCH("cyber",$D406)),ISNUMBER(SEARCH("security",$D406)),ISNUMBER(SEARCH("safety",$D406)),ISNUMBER(SEARCH("liquidity",$D406)),ISNUMBER(SEARCH("cash",$D406)),ISNUMBER(SEARCH("continuity",$D406)),ISNUMBER(SEARCH("infrastructure",$D406)),ISNUMBER(SEARCH("outage",$D406))),"Fast",IF(OR(ISNUMBER(SEARCH("compliance",$D406)),ISNUMBER(SEARCH("regulat",$D406)),ISNUMBER(SEARCH("data",$D406)),ISNUMBER(SEARCH("talent",$D406)),ISNUMBER(SEARCH("knowledge",$D406)),ISNUMBER(SEARCH("portfolio",$D406)),ISNUMBER(SEARCH("quality",$D406))),"Slow","Medium")))</f>
        <v/>
      </c>
      <c r="AF406">
        <f>IF($A406="","",IFERROR(VLOOKUP($B406,'_CONFIG_Risk_Calibration'!$A$5:$H$21,2,FALSE),3))</f>
        <v/>
      </c>
      <c r="AG406">
        <f>IF($A406="","",IFERROR(VLOOKUP($B406,'_CONFIG_Risk_Calibration'!$A$5:$H$21,3,FALSE),0))</f>
        <v/>
      </c>
      <c r="AH406">
        <f>IF($A406="","",IFERROR(VLOOKUP($B406,'_CONFIG_Risk_Calibration'!$A$5:$H$21,4,FALSE),3))</f>
        <v/>
      </c>
      <c r="AI406">
        <f>IF($A406="","",IFERROR(VLOOKUP($B406,'_CONFIG_Risk_Calibration'!$A$5:$H$21,5,FALSE),3))</f>
        <v/>
      </c>
      <c r="AJ406">
        <f>IF($A406="","",IFERROR(VLOOKUP($B406,'_CONFIG_Risk_Calibration'!$A$5:$H$21,6,FALSE),"No"))</f>
        <v/>
      </c>
      <c r="AK406">
        <f>IF($A406="","",IFERROR(VLOOKUP($B406,'_CONFIG_Risk_Calibration'!$A$5:$H$21,7,FALSE),1))</f>
        <v/>
      </c>
      <c r="AL406">
        <f>IF($A406="","",IFERROR(VLOOKUP($B406,'_CONFIG_Risk_Calibration'!$A$5:$H$21,8,FALSE),""))</f>
        <v/>
      </c>
    </row>
    <row r="407" ht="72" customHeight="1" s="209">
      <c r="A407" s="13" t="inlineStr">
        <is>
          <t>QUAL-001</t>
        </is>
      </c>
      <c r="B407" s="13" t="inlineStr">
        <is>
          <t>Quality Portfolio</t>
        </is>
      </c>
      <c r="C407" s="13" t="inlineStr">
        <is>
          <t>Process management</t>
        </is>
      </c>
      <c r="D407" s="13" t="inlineStr">
        <is>
          <t>Quality, portfolio and change execution risk</t>
        </is>
      </c>
      <c r="E407" s="13" t="inlineStr">
        <is>
          <t>How mature is the organization in managing process architecture covering major value streams and support processes, including ownership, evidence, metrics, fallback procedures and crisis stress testing?</t>
        </is>
      </c>
      <c r="F407" s="13" t="inlineStr">
        <is>
          <t>Immature capability for process architecture covering major value streams and support processes may lead to poor quality control, failed change execution, unmanaged portfolio trade-offs and benefit erosion during Execution failure; Delivery disruption; Decision failure.</t>
        </is>
      </c>
      <c r="G407" s="13" t="inlineStr">
        <is>
          <t>Low maturity, weak ownership, incomplete evidence, insufficient testing and poor integration with crisis-management routines for process architecture covering major value streams and support processes.</t>
        </is>
      </c>
      <c r="H407" s="13" t="inlineStr">
        <is>
          <t>Severe risk: process architecture covering major value streams and support processes is not reliably controlled. During Execution failure; Delivery disruption; Decision failure, the organization may face poor quality control, failed change execution, unmanaged portfolio trade-offs and benefit erosion with limited visibility or accountability.</t>
        </is>
      </c>
      <c r="I407" s="13" t="inlineStr">
        <is>
          <t>High risk: process architecture covering major value streams and support processes depends on informal practices or individual knowledge. Disruption may expose poor quality control, failed change execution, unmanaged portfolio trade-offs and benefit erosion and slow recovery.</t>
        </is>
      </c>
      <c r="J407" s="13" t="inlineStr">
        <is>
          <t>Elevated risk: process architecture covering major value streams and support processes is partially controlled, but coverage, evidence or testing is inconsistent. Crisis response may be fragmented.</t>
        </is>
      </c>
      <c r="K407" s="13" t="inlineStr">
        <is>
          <t>Moderate risk: process architecture covering major value streams and support processes is documented and owned, but measurement, stress testing and integration with dependent processes need strengthening.</t>
        </is>
      </c>
      <c r="L407" s="13" t="inlineStr">
        <is>
          <t>Residual risk: process architecture covering major value streams and support processes is measured and reviewed, but monitoring, automation or scenario testing should be improved to prevent maturity drift.</t>
        </is>
      </c>
      <c r="M407" s="13" t="inlineStr">
        <is>
          <t>Low residual risk: process architecture covering major value streams and support processes is mature and crisis-tested. Maintain monitoring, evidence, ownership and periodic stress testing.</t>
        </is>
      </c>
      <c r="N407" s="13" t="inlineStr">
        <is>
          <t>Create an immediate risk owner, minimum control baseline and fallback procedure for process architecture covering major value streams and support processes. Add it to the crisis risk register and collect first evidence.</t>
        </is>
      </c>
      <c r="O407" s="13" t="inlineStr">
        <is>
          <t>Document process architecture covering major value streams and support processes, assign RACI, define minimum controls and KPIs, and validate coverage across key sites, teams or systems.</t>
        </is>
      </c>
      <c r="P407" s="13" t="inlineStr">
        <is>
          <t>Standardize process architecture covering major value streams and support processes, close coverage gaps, train accountable roles and connect controls to the relevant crisis scenarios and continuity plans.</t>
        </is>
      </c>
      <c r="Q407" s="13" t="inlineStr">
        <is>
          <t>Measure and test process architecture covering major value streams and support processes, run tabletop or operational stress tests, integrate it with dependent processes and update crisis playbooks.</t>
        </is>
      </c>
      <c r="R407" s="13" t="inlineStr">
        <is>
          <t>Automate monitoring where practical, define leading indicators, run periodic scenario tests and track residual risk after each major change.</t>
        </is>
      </c>
      <c r="S407" s="13" t="inlineStr">
        <is>
          <t>Sustain maturity for process architecture covering major value streams and support processes: keep evidence current, monitor drift, benchmark externally and refresh risk tests after organizational, system or market changes.</t>
        </is>
      </c>
      <c r="T407" s="13" t="n">
        <v>3</v>
      </c>
      <c r="U407" s="13" t="n">
        <v>3</v>
      </c>
      <c r="V407" s="13" t="n">
        <v>2</v>
      </c>
      <c r="W407" s="13" t="n">
        <v>2</v>
      </c>
      <c r="X407" s="13" t="n">
        <v>1</v>
      </c>
      <c r="Y407" s="13" t="n">
        <v>1</v>
      </c>
      <c r="Z407" s="13" t="inlineStr">
        <is>
          <t>ISO 9001; ISO 21502; ISO 21500; APQC; Lean; Six Sigma; PMBOK; COBIT</t>
        </is>
      </c>
      <c r="AA407" s="13" t="inlineStr">
        <is>
          <t>Policy/SOP; owner/RACI; system report; dashboard; contracts; test records; incident history; interview evidence related to process architecture covering major value streams and support processes.</t>
        </is>
      </c>
      <c r="AB407" s="13" t="inlineStr">
        <is>
          <t>Execution failure; Delivery disruption; Decision failure</t>
        </is>
      </c>
      <c r="AC407" s="13" t="inlineStr">
        <is>
          <t>COO / PMO / Quality</t>
        </is>
      </c>
      <c r="AD407" s="13" t="inlineStr">
        <is>
          <t>Quality Portfolio!5</t>
        </is>
      </c>
      <c r="AE407">
        <f>IF($A407="","",IF(OR(ISNUMBER(SEARCH("cyber",$D407)),ISNUMBER(SEARCH("security",$D407)),ISNUMBER(SEARCH("safety",$D407)),ISNUMBER(SEARCH("liquidity",$D407)),ISNUMBER(SEARCH("cash",$D407)),ISNUMBER(SEARCH("continuity",$D407)),ISNUMBER(SEARCH("infrastructure",$D407)),ISNUMBER(SEARCH("outage",$D407))),"Fast",IF(OR(ISNUMBER(SEARCH("compliance",$D407)),ISNUMBER(SEARCH("regulat",$D407)),ISNUMBER(SEARCH("data",$D407)),ISNUMBER(SEARCH("talent",$D407)),ISNUMBER(SEARCH("knowledge",$D407)),ISNUMBER(SEARCH("portfolio",$D407)),ISNUMBER(SEARCH("quality",$D407))),"Slow","Medium")))</f>
        <v/>
      </c>
      <c r="AF407">
        <f>IF($A407="","",IFERROR(VLOOKUP($B407,'_CONFIG_Risk_Calibration'!$A$5:$H$21,2,FALSE),3))</f>
        <v/>
      </c>
      <c r="AG407">
        <f>IF($A407="","",IFERROR(VLOOKUP($B407,'_CONFIG_Risk_Calibration'!$A$5:$H$21,3,FALSE),0))</f>
        <v/>
      </c>
      <c r="AH407">
        <f>IF($A407="","",IFERROR(VLOOKUP($B407,'_CONFIG_Risk_Calibration'!$A$5:$H$21,4,FALSE),3))</f>
        <v/>
      </c>
      <c r="AI407">
        <f>IF($A407="","",IFERROR(VLOOKUP($B407,'_CONFIG_Risk_Calibration'!$A$5:$H$21,5,FALSE),3))</f>
        <v/>
      </c>
      <c r="AJ407">
        <f>IF($A407="","",IFERROR(VLOOKUP($B407,'_CONFIG_Risk_Calibration'!$A$5:$H$21,6,FALSE),"No"))</f>
        <v/>
      </c>
      <c r="AK407">
        <f>IF($A407="","",IFERROR(VLOOKUP($B407,'_CONFIG_Risk_Calibration'!$A$5:$H$21,7,FALSE),1))</f>
        <v/>
      </c>
      <c r="AL407">
        <f>IF($A407="","",IFERROR(VLOOKUP($B407,'_CONFIG_Risk_Calibration'!$A$5:$H$21,8,FALSE),""))</f>
        <v/>
      </c>
    </row>
    <row r="408" ht="72" customHeight="1" s="209">
      <c r="A408" s="13" t="inlineStr">
        <is>
          <t>QUAL-002</t>
        </is>
      </c>
      <c r="B408" s="13" t="inlineStr">
        <is>
          <t>Quality Portfolio</t>
        </is>
      </c>
      <c r="C408" s="13" t="inlineStr">
        <is>
          <t>Process management</t>
        </is>
      </c>
      <c r="D408" s="13" t="inlineStr">
        <is>
          <t>Quality, portfolio and change execution risk</t>
        </is>
      </c>
      <c r="E408" s="13" t="inlineStr">
        <is>
          <t>How mature is the organization in managing process ownership for critical processes with inputs, outputs, controls and KPIs, including ownership, evidence, metrics, fallback procedures and crisis stress testing?</t>
        </is>
      </c>
      <c r="F408" s="13" t="inlineStr">
        <is>
          <t>Immature capability for process ownership for critical processes with inputs, outputs, controls and KPIs may lead to poor quality control, failed change execution, unmanaged portfolio trade-offs and benefit erosion during Execution failure; Delivery disruption; Decision failure.</t>
        </is>
      </c>
      <c r="G408" s="13" t="inlineStr">
        <is>
          <t>Low maturity, weak ownership, incomplete evidence, insufficient testing and poor integration with crisis-management routines for process ownership for critical processes with inputs, outputs, controls and KPIs.</t>
        </is>
      </c>
      <c r="H408" s="13" t="inlineStr">
        <is>
          <t>Severe risk: process ownership for critical processes with inputs, outputs, controls and KPIs is not reliably controlled. During Execution failure; Delivery disruption; Decision failure, the organization may face poor quality control, failed change execution, unmanaged portfolio trade-offs and benefit erosion with limited visibility or accountability.</t>
        </is>
      </c>
      <c r="I408" s="13" t="inlineStr">
        <is>
          <t>High risk: process ownership for critical processes with inputs, outputs, controls and KPIs depends on informal practices or individual knowledge. Disruption may expose poor quality control, failed change execution, unmanaged portfolio trade-offs and benefit erosion and slow recovery.</t>
        </is>
      </c>
      <c r="J408" s="13" t="inlineStr">
        <is>
          <t>Elevated risk: process ownership for critical processes with inputs, outputs, controls and KPIs is partially controlled, but coverage, evidence or testing is inconsistent. Crisis response may be fragmented.</t>
        </is>
      </c>
      <c r="K408" s="13" t="inlineStr">
        <is>
          <t>Moderate risk: process ownership for critical processes with inputs, outputs, controls and KPIs is documented and owned, but measurement, stress testing and integration with dependent processes need strengthening.</t>
        </is>
      </c>
      <c r="L408" s="13" t="inlineStr">
        <is>
          <t>Residual risk: process ownership for critical processes with inputs, outputs, controls and KPIs is measured and reviewed, but monitoring, automation or scenario testing should be improved to prevent maturity drift.</t>
        </is>
      </c>
      <c r="M408" s="13" t="inlineStr">
        <is>
          <t>Low residual risk: process ownership for critical processes with inputs, outputs, controls and KPIs is mature and crisis-tested. Maintain monitoring, evidence, ownership and periodic stress testing.</t>
        </is>
      </c>
      <c r="N408" s="13" t="inlineStr">
        <is>
          <t>Create an immediate risk owner, minimum control baseline and fallback procedure for process ownership for critical processes with inputs, outputs, controls and KPIs. Add it to the crisis risk register and collect first evidence.</t>
        </is>
      </c>
      <c r="O408" s="13" t="inlineStr">
        <is>
          <t>Document process ownership for critical processes with inputs, outputs, controls and KPIs, assign RACI, define minimum controls and KPIs, and validate coverage across key sites, teams or systems.</t>
        </is>
      </c>
      <c r="P408" s="13" t="inlineStr">
        <is>
          <t>Standardize process ownership for critical processes with inputs, outputs, controls and KPIs, close coverage gaps, train accountable roles and connect controls to the relevant crisis scenarios and continuity plans.</t>
        </is>
      </c>
      <c r="Q408" s="13" t="inlineStr">
        <is>
          <t>Measure and test process ownership for critical processes with inputs, outputs, controls and KPIs, run tabletop or operational stress tests, integrate it with dependent processes and update crisis playbooks.</t>
        </is>
      </c>
      <c r="R408" s="13" t="inlineStr">
        <is>
          <t>Automate monitoring where practical, define leading indicators, run periodic scenario tests and track residual risk after each major change.</t>
        </is>
      </c>
      <c r="S408" s="13" t="inlineStr">
        <is>
          <t>Sustain maturity for process ownership for critical processes with inputs, outputs, controls and KPIs: keep evidence current, monitor drift, benchmark externally and refresh risk tests after organizational, system or market changes.</t>
        </is>
      </c>
      <c r="T408" s="13" t="n">
        <v>3</v>
      </c>
      <c r="U408" s="13" t="n">
        <v>3</v>
      </c>
      <c r="V408" s="13" t="n">
        <v>2</v>
      </c>
      <c r="W408" s="13" t="n">
        <v>2</v>
      </c>
      <c r="X408" s="13" t="n">
        <v>1</v>
      </c>
      <c r="Y408" s="13" t="n">
        <v>1</v>
      </c>
      <c r="Z408" s="13" t="inlineStr">
        <is>
          <t>ISO 9001; ISO 21502; ISO 21500; APQC; Lean; Six Sigma; PMBOK; COBIT</t>
        </is>
      </c>
      <c r="AA408" s="13" t="inlineStr">
        <is>
          <t>Policy/SOP; owner/RACI; system report; dashboard; contracts; test records; incident history; interview evidence related to process ownership for critical processes with inputs, outputs, controls and KPIs.</t>
        </is>
      </c>
      <c r="AB408" s="13" t="inlineStr">
        <is>
          <t>Execution failure; Delivery disruption; Decision failure</t>
        </is>
      </c>
      <c r="AC408" s="13" t="inlineStr">
        <is>
          <t>COO / PMO / Quality</t>
        </is>
      </c>
      <c r="AD408" s="13" t="inlineStr">
        <is>
          <t>Quality Portfolio!6</t>
        </is>
      </c>
      <c r="AE408">
        <f>IF($A408="","",IF(OR(ISNUMBER(SEARCH("cyber",$D408)),ISNUMBER(SEARCH("security",$D408)),ISNUMBER(SEARCH("safety",$D408)),ISNUMBER(SEARCH("liquidity",$D408)),ISNUMBER(SEARCH("cash",$D408)),ISNUMBER(SEARCH("continuity",$D408)),ISNUMBER(SEARCH("infrastructure",$D408)),ISNUMBER(SEARCH("outage",$D408))),"Fast",IF(OR(ISNUMBER(SEARCH("compliance",$D408)),ISNUMBER(SEARCH("regulat",$D408)),ISNUMBER(SEARCH("data",$D408)),ISNUMBER(SEARCH("talent",$D408)),ISNUMBER(SEARCH("knowledge",$D408)),ISNUMBER(SEARCH("portfolio",$D408)),ISNUMBER(SEARCH("quality",$D408))),"Slow","Medium")))</f>
        <v/>
      </c>
      <c r="AF408">
        <f>IF($A408="","",IFERROR(VLOOKUP($B408,'_CONFIG_Risk_Calibration'!$A$5:$H$21,2,FALSE),3))</f>
        <v/>
      </c>
      <c r="AG408">
        <f>IF($A408="","",IFERROR(VLOOKUP($B408,'_CONFIG_Risk_Calibration'!$A$5:$H$21,3,FALSE),0))</f>
        <v/>
      </c>
      <c r="AH408">
        <f>IF($A408="","",IFERROR(VLOOKUP($B408,'_CONFIG_Risk_Calibration'!$A$5:$H$21,4,FALSE),3))</f>
        <v/>
      </c>
      <c r="AI408">
        <f>IF($A408="","",IFERROR(VLOOKUP($B408,'_CONFIG_Risk_Calibration'!$A$5:$H$21,5,FALSE),3))</f>
        <v/>
      </c>
      <c r="AJ408">
        <f>IF($A408="","",IFERROR(VLOOKUP($B408,'_CONFIG_Risk_Calibration'!$A$5:$H$21,6,FALSE),"No"))</f>
        <v/>
      </c>
      <c r="AK408">
        <f>IF($A408="","",IFERROR(VLOOKUP($B408,'_CONFIG_Risk_Calibration'!$A$5:$H$21,7,FALSE),1))</f>
        <v/>
      </c>
      <c r="AL408">
        <f>IF($A408="","",IFERROR(VLOOKUP($B408,'_CONFIG_Risk_Calibration'!$A$5:$H$21,8,FALSE),""))</f>
        <v/>
      </c>
    </row>
    <row r="409" ht="72" customHeight="1" s="209">
      <c r="A409" s="13" t="inlineStr">
        <is>
          <t>QUAL-004</t>
        </is>
      </c>
      <c r="B409" s="13" t="inlineStr">
        <is>
          <t>Quality Portfolio</t>
        </is>
      </c>
      <c r="C409" s="13" t="inlineStr">
        <is>
          <t>Process management</t>
        </is>
      </c>
      <c r="D409" s="13" t="inlineStr">
        <is>
          <t>Quality, portfolio and change execution risk</t>
        </is>
      </c>
      <c r="E409" s="13" t="inlineStr">
        <is>
          <t>How mature is the organization in managing SOP and policy document control with versioning, ownership and review cadence, including ownership, evidence, metrics, fallback procedures and crisis stress testing?</t>
        </is>
      </c>
      <c r="F409" s="13" t="inlineStr">
        <is>
          <t>Immature capability for SOP and policy document control with versioning, ownership and review cadence may lead to poor quality control, failed change execution, unmanaged portfolio trade-offs and benefit erosion during Execution failure; Delivery disruption; Decision failure.</t>
        </is>
      </c>
      <c r="G409" s="13" t="inlineStr">
        <is>
          <t>Low maturity, weak ownership, incomplete evidence, insufficient testing and poor integration with crisis-management routines for SOP and policy document control with versioning, ownership and review cadence.</t>
        </is>
      </c>
      <c r="H409" s="13" t="inlineStr">
        <is>
          <t>Severe risk: SOP and policy document control with versioning, ownership and review cadence is not reliably controlled. During Execution failure; Delivery disruption; Decision failure, the organization may face poor quality control, failed change execution, unmanaged portfolio trade-offs and benefit erosion with limited visibility or accountability.</t>
        </is>
      </c>
      <c r="I409" s="13" t="inlineStr">
        <is>
          <t>High risk: SOP and policy document control with versioning, ownership and review cadence depends on informal practices or individual knowledge. Disruption may expose poor quality control, failed change execution, unmanaged portfolio trade-offs and benefit erosion and slow recovery.</t>
        </is>
      </c>
      <c r="J409" s="13" t="inlineStr">
        <is>
          <t>Elevated risk: SOP and policy document control with versioning, ownership and review cadence is partially controlled, but coverage, evidence or testing is inconsistent. Crisis response may be fragmented.</t>
        </is>
      </c>
      <c r="K409" s="13" t="inlineStr">
        <is>
          <t>Moderate risk: SOP and policy document control with versioning, ownership and review cadence is documented and owned, but measurement, stress testing and integration with dependent processes need strengthening.</t>
        </is>
      </c>
      <c r="L409" s="13" t="inlineStr">
        <is>
          <t>Residual risk: SOP and policy document control with versioning, ownership and review cadence is measured and reviewed, but monitoring, automation or scenario testing should be improved to prevent maturity drift.</t>
        </is>
      </c>
      <c r="M409" s="13" t="inlineStr">
        <is>
          <t>Low residual risk: SOP and policy document control with versioning, ownership and review cadence is mature and crisis-tested. Maintain monitoring, evidence, ownership and periodic stress testing.</t>
        </is>
      </c>
      <c r="N409" s="13" t="inlineStr">
        <is>
          <t>Create an immediate risk owner, minimum control baseline and fallback procedure for SOP and policy document control with versioning, ownership and review cadence. Add it to the crisis risk register and collect first evidence.</t>
        </is>
      </c>
      <c r="O409" s="13" t="inlineStr">
        <is>
          <t>Document SOP and policy document control with versioning, ownership and review cadence, assign RACI, define minimum controls and KPIs, and validate coverage across key sites, teams or systems.</t>
        </is>
      </c>
      <c r="P409" s="13" t="inlineStr">
        <is>
          <t>Standardize SOP and policy document control with versioning, ownership and review cadence, close coverage gaps, train accountable roles and connect controls to the relevant crisis scenarios and continuity plans.</t>
        </is>
      </c>
      <c r="Q409" s="13" t="inlineStr">
        <is>
          <t>Measure and test SOP and policy document control with versioning, ownership and review cadence, run tabletop or operational stress tests, integrate it with dependent processes and update crisis playbooks.</t>
        </is>
      </c>
      <c r="R409" s="13" t="inlineStr">
        <is>
          <t>Automate monitoring where practical, define leading indicators, run periodic scenario tests and track residual risk after each major change.</t>
        </is>
      </c>
      <c r="S409" s="13" t="inlineStr">
        <is>
          <t>Sustain maturity for SOP and policy document control with versioning, ownership and review cadence: keep evidence current, monitor drift, benchmark externally and refresh risk tests after organizational, system or market changes.</t>
        </is>
      </c>
      <c r="T409" s="13" t="n">
        <v>3</v>
      </c>
      <c r="U409" s="13" t="n">
        <v>3</v>
      </c>
      <c r="V409" s="13" t="n">
        <v>2</v>
      </c>
      <c r="W409" s="13" t="n">
        <v>2</v>
      </c>
      <c r="X409" s="13" t="n">
        <v>1</v>
      </c>
      <c r="Y409" s="13" t="n">
        <v>1</v>
      </c>
      <c r="Z409" s="13" t="inlineStr">
        <is>
          <t>ISO 9001; ISO 21502; ISO 21500; APQC; Lean; Six Sigma; PMBOK; COBIT</t>
        </is>
      </c>
      <c r="AA409" s="13" t="inlineStr">
        <is>
          <t>Policy/SOP; owner/RACI; system report; dashboard; contracts; test records; incident history; interview evidence related to SOP and policy document control with versioning, ownership and review cadence.</t>
        </is>
      </c>
      <c r="AB409" s="13" t="inlineStr">
        <is>
          <t>Execution failure; Delivery disruption; Decision failure</t>
        </is>
      </c>
      <c r="AC409" s="13" t="inlineStr">
        <is>
          <t>COO / PMO / Quality</t>
        </is>
      </c>
      <c r="AD409" s="13" t="inlineStr">
        <is>
          <t>Quality Portfolio!7</t>
        </is>
      </c>
      <c r="AE409">
        <f>IF($A409="","",IF(OR(ISNUMBER(SEARCH("cyber",$D409)),ISNUMBER(SEARCH("security",$D409)),ISNUMBER(SEARCH("safety",$D409)),ISNUMBER(SEARCH("liquidity",$D409)),ISNUMBER(SEARCH("cash",$D409)),ISNUMBER(SEARCH("continuity",$D409)),ISNUMBER(SEARCH("infrastructure",$D409)),ISNUMBER(SEARCH("outage",$D409))),"Fast",IF(OR(ISNUMBER(SEARCH("compliance",$D409)),ISNUMBER(SEARCH("regulat",$D409)),ISNUMBER(SEARCH("data",$D409)),ISNUMBER(SEARCH("talent",$D409)),ISNUMBER(SEARCH("knowledge",$D409)),ISNUMBER(SEARCH("portfolio",$D409)),ISNUMBER(SEARCH("quality",$D409))),"Slow","Medium")))</f>
        <v/>
      </c>
      <c r="AF409">
        <f>IF($A409="","",IFERROR(VLOOKUP($B409,'_CONFIG_Risk_Calibration'!$A$5:$H$21,2,FALSE),3))</f>
        <v/>
      </c>
      <c r="AG409">
        <f>IF($A409="","",IFERROR(VLOOKUP($B409,'_CONFIG_Risk_Calibration'!$A$5:$H$21,3,FALSE),0))</f>
        <v/>
      </c>
      <c r="AH409">
        <f>IF($A409="","",IFERROR(VLOOKUP($B409,'_CONFIG_Risk_Calibration'!$A$5:$H$21,4,FALSE),3))</f>
        <v/>
      </c>
      <c r="AI409">
        <f>IF($A409="","",IFERROR(VLOOKUP($B409,'_CONFIG_Risk_Calibration'!$A$5:$H$21,5,FALSE),3))</f>
        <v/>
      </c>
      <c r="AJ409">
        <f>IF($A409="","",IFERROR(VLOOKUP($B409,'_CONFIG_Risk_Calibration'!$A$5:$H$21,6,FALSE),"No"))</f>
        <v/>
      </c>
      <c r="AK409">
        <f>IF($A409="","",IFERROR(VLOOKUP($B409,'_CONFIG_Risk_Calibration'!$A$5:$H$21,7,FALSE),1))</f>
        <v/>
      </c>
      <c r="AL409">
        <f>IF($A409="","",IFERROR(VLOOKUP($B409,'_CONFIG_Risk_Calibration'!$A$5:$H$21,8,FALSE),""))</f>
        <v/>
      </c>
    </row>
    <row r="410" ht="72" customHeight="1" s="209">
      <c r="A410" s="13" t="inlineStr">
        <is>
          <t>QUAL-005</t>
        </is>
      </c>
      <c r="B410" s="13" t="inlineStr">
        <is>
          <t>Quality Portfolio</t>
        </is>
      </c>
      <c r="C410" s="13" t="inlineStr">
        <is>
          <t>Process management</t>
        </is>
      </c>
      <c r="D410" s="13" t="inlineStr">
        <is>
          <t>Quality, portfolio and change execution risk</t>
        </is>
      </c>
      <c r="E410" s="13" t="inlineStr">
        <is>
          <t>How mature is the organization in managing process automation documented, monitored and covered by manual fallback, including ownership, evidence, metrics, fallback procedures and crisis stress testing?</t>
        </is>
      </c>
      <c r="F410" s="13" t="inlineStr">
        <is>
          <t>Immature capability for process automation documented, monitored and covered by manual fallback may lead to poor quality control, failed change execution, unmanaged portfolio trade-offs and benefit erosion during Execution failure; Delivery disruption; Decision failure.</t>
        </is>
      </c>
      <c r="G410" s="13" t="inlineStr">
        <is>
          <t>Low maturity, weak ownership, incomplete evidence, insufficient testing and poor integration with crisis-management routines for process automation documented, monitored and covered by manual fallback.</t>
        </is>
      </c>
      <c r="H410" s="13" t="inlineStr">
        <is>
          <t>Severe risk: process automation documented, monitored and covered by manual fallback is not reliably controlled. During Execution failure; Delivery disruption; Decision failure, the organization may face poor quality control, failed change execution, unmanaged portfolio trade-offs and benefit erosion with limited visibility or accountability.</t>
        </is>
      </c>
      <c r="I410" s="13" t="inlineStr">
        <is>
          <t>High risk: process automation documented, monitored and covered by manual fallback depends on informal practices or individual knowledge. Disruption may expose poor quality control, failed change execution, unmanaged portfolio trade-offs and benefit erosion and slow recovery.</t>
        </is>
      </c>
      <c r="J410" s="13" t="inlineStr">
        <is>
          <t>Elevated risk: process automation documented, monitored and covered by manual fallback is partially controlled, but coverage, evidence or testing is inconsistent. Crisis response may be fragmented.</t>
        </is>
      </c>
      <c r="K410" s="13" t="inlineStr">
        <is>
          <t>Moderate risk: process automation documented, monitored and covered by manual fallback is documented and owned, but measurement, stress testing and integration with dependent processes need strengthening.</t>
        </is>
      </c>
      <c r="L410" s="13" t="inlineStr">
        <is>
          <t>Residual risk: process automation documented, monitored and covered by manual fallback is measured and reviewed, but monitoring, automation or scenario testing should be improved to prevent maturity drift.</t>
        </is>
      </c>
      <c r="M410" s="13" t="inlineStr">
        <is>
          <t>Low residual risk: process automation documented, monitored and covered by manual fallback is mature and crisis-tested. Maintain monitoring, evidence, ownership and periodic stress testing.</t>
        </is>
      </c>
      <c r="N410" s="13" t="inlineStr">
        <is>
          <t>Create an immediate risk owner, minimum control baseline and fallback procedure for process automation documented, monitored and covered by manual fallback. Add it to the crisis risk register and collect first evidence.</t>
        </is>
      </c>
      <c r="O410" s="13" t="inlineStr">
        <is>
          <t>Document process automation documented, monitored and covered by manual fallback, assign RACI, define minimum controls and KPIs, and validate coverage across key sites, teams or systems.</t>
        </is>
      </c>
      <c r="P410" s="13" t="inlineStr">
        <is>
          <t>Standardize process automation documented, monitored and covered by manual fallback, close coverage gaps, train accountable roles and connect controls to the relevant crisis scenarios and continuity plans.</t>
        </is>
      </c>
      <c r="Q410" s="13" t="inlineStr">
        <is>
          <t>Measure and test process automation documented, monitored and covered by manual fallback, run tabletop or operational stress tests, integrate it with dependent processes and update crisis playbooks.</t>
        </is>
      </c>
      <c r="R410" s="13" t="inlineStr">
        <is>
          <t>Automate monitoring where practical, define leading indicators, run periodic scenario tests and track residual risk after each major change.</t>
        </is>
      </c>
      <c r="S410" s="13" t="inlineStr">
        <is>
          <t>Sustain maturity for process automation documented, monitored and covered by manual fallback: keep evidence current, monitor drift, benchmark externally and refresh risk tests after organizational, system or market changes.</t>
        </is>
      </c>
      <c r="T410" s="13" t="n">
        <v>3</v>
      </c>
      <c r="U410" s="13" t="n">
        <v>3</v>
      </c>
      <c r="V410" s="13" t="n">
        <v>2</v>
      </c>
      <c r="W410" s="13" t="n">
        <v>2</v>
      </c>
      <c r="X410" s="13" t="n">
        <v>1</v>
      </c>
      <c r="Y410" s="13" t="n">
        <v>1</v>
      </c>
      <c r="Z410" s="13" t="inlineStr">
        <is>
          <t>ISO 9001; ISO 21502; ISO 21500; APQC; Lean; Six Sigma; PMBOK; COBIT</t>
        </is>
      </c>
      <c r="AA410" s="13" t="inlineStr">
        <is>
          <t>Policy/SOP; owner/RACI; system report; dashboard; contracts; test records; incident history; interview evidence related to process automation documented, monitored and covered by manual fallback.</t>
        </is>
      </c>
      <c r="AB410" s="13" t="inlineStr">
        <is>
          <t>Execution failure; Delivery disruption; Decision failure</t>
        </is>
      </c>
      <c r="AC410" s="13" t="inlineStr">
        <is>
          <t>COO / PMO / Quality</t>
        </is>
      </c>
      <c r="AD410" s="13" t="inlineStr">
        <is>
          <t>Quality Portfolio!8</t>
        </is>
      </c>
      <c r="AE410">
        <f>IF($A410="","",IF(OR(ISNUMBER(SEARCH("cyber",$D410)),ISNUMBER(SEARCH("security",$D410)),ISNUMBER(SEARCH("safety",$D410)),ISNUMBER(SEARCH("liquidity",$D410)),ISNUMBER(SEARCH("cash",$D410)),ISNUMBER(SEARCH("continuity",$D410)),ISNUMBER(SEARCH("infrastructure",$D410)),ISNUMBER(SEARCH("outage",$D410))),"Fast",IF(OR(ISNUMBER(SEARCH("compliance",$D410)),ISNUMBER(SEARCH("regulat",$D410)),ISNUMBER(SEARCH("data",$D410)),ISNUMBER(SEARCH("talent",$D410)),ISNUMBER(SEARCH("knowledge",$D410)),ISNUMBER(SEARCH("portfolio",$D410)),ISNUMBER(SEARCH("quality",$D410))),"Slow","Medium")))</f>
        <v/>
      </c>
      <c r="AF410">
        <f>IF($A410="","",IFERROR(VLOOKUP($B410,'_CONFIG_Risk_Calibration'!$A$5:$H$21,2,FALSE),3))</f>
        <v/>
      </c>
      <c r="AG410">
        <f>IF($A410="","",IFERROR(VLOOKUP($B410,'_CONFIG_Risk_Calibration'!$A$5:$H$21,3,FALSE),0))</f>
        <v/>
      </c>
      <c r="AH410">
        <f>IF($A410="","",IFERROR(VLOOKUP($B410,'_CONFIG_Risk_Calibration'!$A$5:$H$21,4,FALSE),3))</f>
        <v/>
      </c>
      <c r="AI410">
        <f>IF($A410="","",IFERROR(VLOOKUP($B410,'_CONFIG_Risk_Calibration'!$A$5:$H$21,5,FALSE),3))</f>
        <v/>
      </c>
      <c r="AJ410">
        <f>IF($A410="","",IFERROR(VLOOKUP($B410,'_CONFIG_Risk_Calibration'!$A$5:$H$21,6,FALSE),"No"))</f>
        <v/>
      </c>
      <c r="AK410">
        <f>IF($A410="","",IFERROR(VLOOKUP($B410,'_CONFIG_Risk_Calibration'!$A$5:$H$21,7,FALSE),1))</f>
        <v/>
      </c>
      <c r="AL410">
        <f>IF($A410="","",IFERROR(VLOOKUP($B410,'_CONFIG_Risk_Calibration'!$A$5:$H$21,8,FALSE),""))</f>
        <v/>
      </c>
    </row>
    <row r="411" ht="72" customHeight="1" s="209">
      <c r="A411" s="13" t="inlineStr">
        <is>
          <t>QUAL-006</t>
        </is>
      </c>
      <c r="B411" s="13" t="inlineStr">
        <is>
          <t>Quality Portfolio</t>
        </is>
      </c>
      <c r="C411" s="13" t="inlineStr">
        <is>
          <t>Quality management</t>
        </is>
      </c>
      <c r="D411" s="13" t="inlineStr">
        <is>
          <t>Quality, portfolio and change execution risk</t>
        </is>
      </c>
      <c r="E411" s="13" t="inlineStr">
        <is>
          <t>How mature is the organization in managing quality objectives linked to customer, delivery and operational performance, including ownership, evidence, metrics, fallback procedures and crisis stress testing?</t>
        </is>
      </c>
      <c r="F411" s="13" t="inlineStr">
        <is>
          <t>Immature capability for quality objectives linked to customer, delivery and operational performance may lead to poor quality control, failed change execution, unmanaged portfolio trade-offs and benefit erosion during Execution failure; Delivery disruption; Decision failure.</t>
        </is>
      </c>
      <c r="G411" s="13" t="inlineStr">
        <is>
          <t>Low maturity, weak ownership, incomplete evidence, insufficient testing and poor integration with crisis-management routines for quality objectives linked to customer, delivery and operational performance.</t>
        </is>
      </c>
      <c r="H411" s="13" t="inlineStr">
        <is>
          <t>Severe risk: quality objectives linked to customer, delivery and operational performance is not reliably controlled. During Execution failure; Delivery disruption; Decision failure, the organization may face poor quality control, failed change execution, unmanaged portfolio trade-offs and benefit erosion with limited visibility or accountability.</t>
        </is>
      </c>
      <c r="I411" s="13" t="inlineStr">
        <is>
          <t>High risk: quality objectives linked to customer, delivery and operational performance depends on informal practices or individual knowledge. Disruption may expose poor quality control, failed change execution, unmanaged portfolio trade-offs and benefit erosion and slow recovery.</t>
        </is>
      </c>
      <c r="J411" s="13" t="inlineStr">
        <is>
          <t>Elevated risk: quality objectives linked to customer, delivery and operational performance is partially controlled, but coverage, evidence or testing is inconsistent. Crisis response may be fragmented.</t>
        </is>
      </c>
      <c r="K411" s="13" t="inlineStr">
        <is>
          <t>Moderate risk: quality objectives linked to customer, delivery and operational performance is documented and owned, but measurement, stress testing and integration with dependent processes need strengthening.</t>
        </is>
      </c>
      <c r="L411" s="13" t="inlineStr">
        <is>
          <t>Residual risk: quality objectives linked to customer, delivery and operational performance is measured and reviewed, but monitoring, automation or scenario testing should be improved to prevent maturity drift.</t>
        </is>
      </c>
      <c r="M411" s="13" t="inlineStr">
        <is>
          <t>Low residual risk: quality objectives linked to customer, delivery and operational performance is mature and crisis-tested. Maintain monitoring, evidence, ownership and periodic stress testing.</t>
        </is>
      </c>
      <c r="N411" s="13" t="inlineStr">
        <is>
          <t>Create an immediate risk owner, minimum control baseline and fallback procedure for quality objectives linked to customer, delivery and operational performance. Add it to the crisis risk register and collect first evidence.</t>
        </is>
      </c>
      <c r="O411" s="13" t="inlineStr">
        <is>
          <t>Document quality objectives linked to customer, delivery and operational performance, assign RACI, define minimum controls and KPIs, and validate coverage across key sites, teams or systems.</t>
        </is>
      </c>
      <c r="P411" s="13" t="inlineStr">
        <is>
          <t>Standardize quality objectives linked to customer, delivery and operational performance, close coverage gaps, train accountable roles and connect controls to the relevant crisis scenarios and continuity plans.</t>
        </is>
      </c>
      <c r="Q411" s="13" t="inlineStr">
        <is>
          <t>Measure and test quality objectives linked to customer, delivery and operational performance, run tabletop or operational stress tests, integrate it with dependent processes and update crisis playbooks.</t>
        </is>
      </c>
      <c r="R411" s="13" t="inlineStr">
        <is>
          <t>Automate monitoring where practical, define leading indicators, run periodic scenario tests and track residual risk after each major change.</t>
        </is>
      </c>
      <c r="S411" s="13" t="inlineStr">
        <is>
          <t>Sustain maturity for quality objectives linked to customer, delivery and operational performance: keep evidence current, monitor drift, benchmark externally and refresh risk tests after organizational, system or market changes.</t>
        </is>
      </c>
      <c r="T411" s="13" t="n">
        <v>3</v>
      </c>
      <c r="U411" s="13" t="n">
        <v>3</v>
      </c>
      <c r="V411" s="13" t="n">
        <v>2</v>
      </c>
      <c r="W411" s="13" t="n">
        <v>2</v>
      </c>
      <c r="X411" s="13" t="n">
        <v>1</v>
      </c>
      <c r="Y411" s="13" t="n">
        <v>1</v>
      </c>
      <c r="Z411" s="13" t="inlineStr">
        <is>
          <t>ISO 9001; ISO 21502; ISO 21500; APQC; Lean; Six Sigma; PMBOK; COBIT</t>
        </is>
      </c>
      <c r="AA411" s="13" t="inlineStr">
        <is>
          <t>Policy/SOP; owner/RACI; system report; dashboard; contracts; test records; incident history; interview evidence related to quality objectives linked to customer, delivery and operational performance.</t>
        </is>
      </c>
      <c r="AB411" s="13" t="inlineStr">
        <is>
          <t>Execution failure; Delivery disruption; Decision failure</t>
        </is>
      </c>
      <c r="AC411" s="13" t="inlineStr">
        <is>
          <t>COO / PMO / Quality</t>
        </is>
      </c>
      <c r="AD411" s="13" t="inlineStr">
        <is>
          <t>Quality Portfolio!9</t>
        </is>
      </c>
      <c r="AE411">
        <f>IF($A411="","",IF(OR(ISNUMBER(SEARCH("cyber",$D411)),ISNUMBER(SEARCH("security",$D411)),ISNUMBER(SEARCH("safety",$D411)),ISNUMBER(SEARCH("liquidity",$D411)),ISNUMBER(SEARCH("cash",$D411)),ISNUMBER(SEARCH("continuity",$D411)),ISNUMBER(SEARCH("infrastructure",$D411)),ISNUMBER(SEARCH("outage",$D411))),"Fast",IF(OR(ISNUMBER(SEARCH("compliance",$D411)),ISNUMBER(SEARCH("regulat",$D411)),ISNUMBER(SEARCH("data",$D411)),ISNUMBER(SEARCH("talent",$D411)),ISNUMBER(SEARCH("knowledge",$D411)),ISNUMBER(SEARCH("portfolio",$D411)),ISNUMBER(SEARCH("quality",$D411))),"Slow","Medium")))</f>
        <v/>
      </c>
      <c r="AF411">
        <f>IF($A411="","",IFERROR(VLOOKUP($B411,'_CONFIG_Risk_Calibration'!$A$5:$H$21,2,FALSE),3))</f>
        <v/>
      </c>
      <c r="AG411">
        <f>IF($A411="","",IFERROR(VLOOKUP($B411,'_CONFIG_Risk_Calibration'!$A$5:$H$21,3,FALSE),0))</f>
        <v/>
      </c>
      <c r="AH411">
        <f>IF($A411="","",IFERROR(VLOOKUP($B411,'_CONFIG_Risk_Calibration'!$A$5:$H$21,4,FALSE),3))</f>
        <v/>
      </c>
      <c r="AI411">
        <f>IF($A411="","",IFERROR(VLOOKUP($B411,'_CONFIG_Risk_Calibration'!$A$5:$H$21,5,FALSE),3))</f>
        <v/>
      </c>
      <c r="AJ411">
        <f>IF($A411="","",IFERROR(VLOOKUP($B411,'_CONFIG_Risk_Calibration'!$A$5:$H$21,6,FALSE),"No"))</f>
        <v/>
      </c>
      <c r="AK411">
        <f>IF($A411="","",IFERROR(VLOOKUP($B411,'_CONFIG_Risk_Calibration'!$A$5:$H$21,7,FALSE),1))</f>
        <v/>
      </c>
      <c r="AL411">
        <f>IF($A411="","",IFERROR(VLOOKUP($B411,'_CONFIG_Risk_Calibration'!$A$5:$H$21,8,FALSE),""))</f>
        <v/>
      </c>
    </row>
    <row r="412">
      <c r="A412" t="inlineStr">
        <is>
          <t>QUAL-007</t>
        </is>
      </c>
      <c r="B412" t="inlineStr">
        <is>
          <t>Quality Portfolio</t>
        </is>
      </c>
      <c r="C412" t="inlineStr">
        <is>
          <t>Quality management</t>
        </is>
      </c>
      <c r="D412" t="inlineStr">
        <is>
          <t>Quality, portfolio and change execution risk</t>
        </is>
      </c>
      <c r="E412" t="inlineStr">
        <is>
          <t>How mature is the organization in managing nonconformity, defect, complaint and corrective action management, including ownership, evidence, metrics, fallback procedures and crisis stress testing?</t>
        </is>
      </c>
      <c r="F412" t="inlineStr">
        <is>
          <t>Immature capability for nonconformity, defect, complaint and corrective action management may lead to poor quality control, failed change execution, unmanaged portfolio trade-offs and benefit erosion during Execution failure; Delivery disruption; Decision failure.</t>
        </is>
      </c>
      <c r="G412" t="inlineStr">
        <is>
          <t>Low maturity, weak ownership, incomplete evidence, insufficient testing and poor integration with crisis-management routines for nonconformity, defect, complaint and corrective action management.</t>
        </is>
      </c>
      <c r="H412" t="inlineStr">
        <is>
          <t>Severe risk: nonconformity, defect, complaint and corrective action management is not reliably controlled. During Execution failure; Delivery disruption; Decision failure, the organization may face poor quality control, failed change execution, unmanaged portfolio trade-offs and benefit erosion with limited visibility or accountability.</t>
        </is>
      </c>
      <c r="I412" t="inlineStr">
        <is>
          <t>High risk: nonconformity, defect, complaint and corrective action management depends on informal practices or individual knowledge. Disruption may expose poor quality control, failed change execution, unmanaged portfolio trade-offs and benefit erosion and slow recovery.</t>
        </is>
      </c>
      <c r="J412" t="inlineStr">
        <is>
          <t>Elevated risk: nonconformity, defect, complaint and corrective action management is partially controlled, but coverage, evidence or testing is inconsistent. Crisis response may be fragmented.</t>
        </is>
      </c>
      <c r="K412" t="inlineStr">
        <is>
          <t>Moderate risk: nonconformity, defect, complaint and corrective action management is documented and owned, but measurement, stress testing and integration with dependent processes need strengthening.</t>
        </is>
      </c>
      <c r="L412" t="inlineStr">
        <is>
          <t>Residual risk: nonconformity, defect, complaint and corrective action management is measured and reviewed, but monitoring, automation or scenario testing should be improved to prevent maturity drift.</t>
        </is>
      </c>
      <c r="M412" t="inlineStr">
        <is>
          <t>Low residual risk: nonconformity, defect, complaint and corrective action management is mature and crisis-tested. Maintain monitoring, evidence, ownership and periodic stress testing.</t>
        </is>
      </c>
      <c r="N412" t="inlineStr">
        <is>
          <t>Create an immediate risk owner, minimum control baseline and fallback procedure for nonconformity, defect, complaint and corrective action management. Add it to the crisis risk register and collect first evidence.</t>
        </is>
      </c>
      <c r="O412" t="inlineStr">
        <is>
          <t>Document nonconformity, defect, complaint and corrective action management, assign RACI, define minimum controls and KPIs, and validate coverage across key sites, teams or systems.</t>
        </is>
      </c>
      <c r="P412" t="inlineStr">
        <is>
          <t>Standardize nonconformity, defect, complaint and corrective action management, close coverage gaps, train accountable roles and connect controls to the relevant crisis scenarios and continuity plans.</t>
        </is>
      </c>
      <c r="Q412" t="inlineStr">
        <is>
          <t>Measure and test nonconformity, defect, complaint and corrective action management, run tabletop or operational stress tests, integrate it with dependent processes and update crisis playbooks.</t>
        </is>
      </c>
      <c r="R412" t="inlineStr">
        <is>
          <t>Automate monitoring where practical, define leading indicators, run periodic scenario tests and track residual risk after each major change.</t>
        </is>
      </c>
      <c r="S412" t="inlineStr">
        <is>
          <t>Sustain maturity for nonconformity, defect, complaint and corrective action management: keep evidence current, monitor drift, benchmark externally and refresh risk tests after organizational, system or market changes.</t>
        </is>
      </c>
      <c r="T412" t="n">
        <v>3</v>
      </c>
      <c r="U412" t="n">
        <v>3</v>
      </c>
      <c r="V412" t="n">
        <v>2</v>
      </c>
      <c r="W412" t="n">
        <v>2</v>
      </c>
      <c r="X412" t="n">
        <v>1</v>
      </c>
      <c r="Y412" t="n">
        <v>1</v>
      </c>
      <c r="Z412" t="inlineStr">
        <is>
          <t>ISO 9001; ISO 21502; ISO 21500; APQC; Lean; Six Sigma; PMBOK; COBIT</t>
        </is>
      </c>
      <c r="AA412" t="inlineStr">
        <is>
          <t>Policy/SOP; owner/RACI; system report; dashboard; contracts; test records; incident history; interview evidence related to nonconformity, defect, complaint and corrective action management.</t>
        </is>
      </c>
      <c r="AB412" t="inlineStr">
        <is>
          <t>Execution failure; Delivery disruption; Decision failure</t>
        </is>
      </c>
      <c r="AC412" t="inlineStr">
        <is>
          <t>COO / PMO / Quality</t>
        </is>
      </c>
      <c r="AD412" t="inlineStr">
        <is>
          <t>Quality Portfolio!10</t>
        </is>
      </c>
      <c r="AE412">
        <f>IF($A412="","",IF(OR(ISNUMBER(SEARCH("cyber",$D412)),ISNUMBER(SEARCH("security",$D412)),ISNUMBER(SEARCH("safety",$D412)),ISNUMBER(SEARCH("liquidity",$D412)),ISNUMBER(SEARCH("cash",$D412)),ISNUMBER(SEARCH("continuity",$D412)),ISNUMBER(SEARCH("infrastructure",$D412)),ISNUMBER(SEARCH("outage",$D412))),"Fast",IF(OR(ISNUMBER(SEARCH("compliance",$D412)),ISNUMBER(SEARCH("regulat",$D412)),ISNUMBER(SEARCH("data",$D412)),ISNUMBER(SEARCH("talent",$D412)),ISNUMBER(SEARCH("knowledge",$D412)),ISNUMBER(SEARCH("portfolio",$D412)),ISNUMBER(SEARCH("quality",$D412))),"Slow","Medium")))</f>
        <v/>
      </c>
      <c r="AF412">
        <f>IF($A412="","",IFERROR(VLOOKUP($B412,'_CONFIG_Risk_Calibration'!$A$5:$H$21,2,FALSE),3))</f>
        <v/>
      </c>
      <c r="AG412">
        <f>IF($A412="","",IFERROR(VLOOKUP($B412,'_CONFIG_Risk_Calibration'!$A$5:$H$21,3,FALSE),0))</f>
        <v/>
      </c>
      <c r="AH412">
        <f>IF($A412="","",IFERROR(VLOOKUP($B412,'_CONFIG_Risk_Calibration'!$A$5:$H$21,4,FALSE),3))</f>
        <v/>
      </c>
      <c r="AI412">
        <f>IF($A412="","",IFERROR(VLOOKUP($B412,'_CONFIG_Risk_Calibration'!$A$5:$H$21,5,FALSE),3))</f>
        <v/>
      </c>
      <c r="AJ412">
        <f>IF($A412="","",IFERROR(VLOOKUP($B412,'_CONFIG_Risk_Calibration'!$A$5:$H$21,6,FALSE),"No"))</f>
        <v/>
      </c>
      <c r="AK412">
        <f>IF($A412="","",IFERROR(VLOOKUP($B412,'_CONFIG_Risk_Calibration'!$A$5:$H$21,7,FALSE),1))</f>
        <v/>
      </c>
      <c r="AL412">
        <f>IF($A412="","",IFERROR(VLOOKUP($B412,'_CONFIG_Risk_Calibration'!$A$5:$H$21,8,FALSE),""))</f>
        <v/>
      </c>
    </row>
    <row r="413">
      <c r="A413" t="inlineStr">
        <is>
          <t>QUAL-008</t>
        </is>
      </c>
      <c r="B413" t="inlineStr">
        <is>
          <t>Quality Portfolio</t>
        </is>
      </c>
      <c r="C413" t="inlineStr">
        <is>
          <t>Quality management</t>
        </is>
      </c>
      <c r="D413" t="inlineStr">
        <is>
          <t>Quality, portfolio and change execution risk</t>
        </is>
      </c>
      <c r="E413" t="inlineStr">
        <is>
          <t>How mature is the organization in managing internal audit program for critical processes and controls, including ownership, evidence, metrics, fallback procedures and crisis stress testing?</t>
        </is>
      </c>
      <c r="F413" t="inlineStr">
        <is>
          <t>Immature capability for internal audit program for critical processes and controls may lead to poor quality control, failed change execution, unmanaged portfolio trade-offs and benefit erosion during Execution failure; Delivery disruption; Decision failure.</t>
        </is>
      </c>
      <c r="G413" t="inlineStr">
        <is>
          <t>Low maturity, weak ownership, incomplete evidence, insufficient testing and poor integration with crisis-management routines for internal audit program for critical processes and controls.</t>
        </is>
      </c>
      <c r="H413" t="inlineStr">
        <is>
          <t>Severe risk: internal audit program for critical processes and controls is not reliably controlled. During Execution failure; Delivery disruption; Decision failure, the organization may face poor quality control, failed change execution, unmanaged portfolio trade-offs and benefit erosion with limited visibility or accountability.</t>
        </is>
      </c>
      <c r="I413" t="inlineStr">
        <is>
          <t>High risk: internal audit program for critical processes and controls depends on informal practices or individual knowledge. Disruption may expose poor quality control, failed change execution, unmanaged portfolio trade-offs and benefit erosion and slow recovery.</t>
        </is>
      </c>
      <c r="J413" t="inlineStr">
        <is>
          <t>Elevated risk: internal audit program for critical processes and controls is partially controlled, but coverage, evidence or testing is inconsistent. Crisis response may be fragmented.</t>
        </is>
      </c>
      <c r="K413" t="inlineStr">
        <is>
          <t>Moderate risk: internal audit program for critical processes and controls is documented and owned, but measurement, stress testing and integration with dependent processes need strengthening.</t>
        </is>
      </c>
      <c r="L413" t="inlineStr">
        <is>
          <t>Residual risk: internal audit program for critical processes and controls is measured and reviewed, but monitoring, automation or scenario testing should be improved to prevent maturity drift.</t>
        </is>
      </c>
      <c r="M413" t="inlineStr">
        <is>
          <t>Low residual risk: internal audit program for critical processes and controls is mature and crisis-tested. Maintain monitoring, evidence, ownership and periodic stress testing.</t>
        </is>
      </c>
      <c r="N413" t="inlineStr">
        <is>
          <t>Create an immediate risk owner, minimum control baseline and fallback procedure for internal audit program for critical processes and controls. Add it to the crisis risk register and collect first evidence.</t>
        </is>
      </c>
      <c r="O413" t="inlineStr">
        <is>
          <t>Document internal audit program for critical processes and controls, assign RACI, define minimum controls and KPIs, and validate coverage across key sites, teams or systems.</t>
        </is>
      </c>
      <c r="P413" t="inlineStr">
        <is>
          <t>Standardize internal audit program for critical processes and controls, close coverage gaps, train accountable roles and connect controls to the relevant crisis scenarios and continuity plans.</t>
        </is>
      </c>
      <c r="Q413" t="inlineStr">
        <is>
          <t>Measure and test internal audit program for critical processes and controls, run tabletop or operational stress tests, integrate it with dependent processes and update crisis playbooks.</t>
        </is>
      </c>
      <c r="R413" t="inlineStr">
        <is>
          <t>Automate monitoring where practical, define leading indicators, run periodic scenario tests and track residual risk after each major change.</t>
        </is>
      </c>
      <c r="S413" t="inlineStr">
        <is>
          <t>Sustain maturity for internal audit program for critical processes and controls: keep evidence current, monitor drift, benchmark externally and refresh risk tests after organizational, system or market changes.</t>
        </is>
      </c>
      <c r="T413" t="n">
        <v>3</v>
      </c>
      <c r="U413" t="n">
        <v>3</v>
      </c>
      <c r="V413" t="n">
        <v>2</v>
      </c>
      <c r="W413" t="n">
        <v>2</v>
      </c>
      <c r="X413" t="n">
        <v>1</v>
      </c>
      <c r="Y413" t="n">
        <v>1</v>
      </c>
      <c r="Z413" t="inlineStr">
        <is>
          <t>ISO 9001; ISO 21502; ISO 21500; APQC; Lean; Six Sigma; PMBOK; COBIT</t>
        </is>
      </c>
      <c r="AA413" t="inlineStr">
        <is>
          <t>Policy/SOP; owner/RACI; system report; dashboard; contracts; test records; incident history; interview evidence related to internal audit program for critical processes and controls.</t>
        </is>
      </c>
      <c r="AB413" t="inlineStr">
        <is>
          <t>Execution failure; Delivery disruption; Decision failure</t>
        </is>
      </c>
      <c r="AC413" t="inlineStr">
        <is>
          <t>COO / PMO / Quality</t>
        </is>
      </c>
      <c r="AD413" t="inlineStr">
        <is>
          <t>Quality Portfolio!11</t>
        </is>
      </c>
      <c r="AE413">
        <f>IF($A413="","",IF(OR(ISNUMBER(SEARCH("cyber",$D413)),ISNUMBER(SEARCH("security",$D413)),ISNUMBER(SEARCH("safety",$D413)),ISNUMBER(SEARCH("liquidity",$D413)),ISNUMBER(SEARCH("cash",$D413)),ISNUMBER(SEARCH("continuity",$D413)),ISNUMBER(SEARCH("infrastructure",$D413)),ISNUMBER(SEARCH("outage",$D413))),"Fast",IF(OR(ISNUMBER(SEARCH("compliance",$D413)),ISNUMBER(SEARCH("regulat",$D413)),ISNUMBER(SEARCH("data",$D413)),ISNUMBER(SEARCH("talent",$D413)),ISNUMBER(SEARCH("knowledge",$D413)),ISNUMBER(SEARCH("portfolio",$D413)),ISNUMBER(SEARCH("quality",$D413))),"Slow","Medium")))</f>
        <v/>
      </c>
      <c r="AF413">
        <f>IF($A413="","",IFERROR(VLOOKUP($B413,'_CONFIG_Risk_Calibration'!$A$5:$H$21,2,FALSE),3))</f>
        <v/>
      </c>
      <c r="AG413">
        <f>IF($A413="","",IFERROR(VLOOKUP($B413,'_CONFIG_Risk_Calibration'!$A$5:$H$21,3,FALSE),0))</f>
        <v/>
      </c>
      <c r="AH413">
        <f>IF($A413="","",IFERROR(VLOOKUP($B413,'_CONFIG_Risk_Calibration'!$A$5:$H$21,4,FALSE),3))</f>
        <v/>
      </c>
      <c r="AI413">
        <f>IF($A413="","",IFERROR(VLOOKUP($B413,'_CONFIG_Risk_Calibration'!$A$5:$H$21,5,FALSE),3))</f>
        <v/>
      </c>
      <c r="AJ413">
        <f>IF($A413="","",IFERROR(VLOOKUP($B413,'_CONFIG_Risk_Calibration'!$A$5:$H$21,6,FALSE),"No"))</f>
        <v/>
      </c>
      <c r="AK413">
        <f>IF($A413="","",IFERROR(VLOOKUP($B413,'_CONFIG_Risk_Calibration'!$A$5:$H$21,7,FALSE),1))</f>
        <v/>
      </c>
      <c r="AL413">
        <f>IF($A413="","",IFERROR(VLOOKUP($B413,'_CONFIG_Risk_Calibration'!$A$5:$H$21,8,FALSE),""))</f>
        <v/>
      </c>
    </row>
    <row r="414">
      <c r="A414" t="inlineStr">
        <is>
          <t>QUAL-009</t>
        </is>
      </c>
      <c r="B414" t="inlineStr">
        <is>
          <t>Quality Portfolio</t>
        </is>
      </c>
      <c r="C414" t="inlineStr">
        <is>
          <t>Quality management</t>
        </is>
      </c>
      <c r="D414" t="inlineStr">
        <is>
          <t>Quality, portfolio and change execution risk</t>
        </is>
      </c>
      <c r="E414" t="inlineStr">
        <is>
          <t>How mature is the organization in managing control testing for effectiveness, not only existence, including ownership, evidence, metrics, fallback procedures and crisis stress testing?</t>
        </is>
      </c>
      <c r="F414" t="inlineStr">
        <is>
          <t>Immature capability for control testing for effectiveness, not only existence may lead to poor quality control, failed change execution, unmanaged portfolio trade-offs and benefit erosion during Execution failure; Delivery disruption; Decision failure.</t>
        </is>
      </c>
      <c r="G414" t="inlineStr">
        <is>
          <t>Low maturity, weak ownership, incomplete evidence, insufficient testing and poor integration with crisis-management routines for control testing for effectiveness, not only existence.</t>
        </is>
      </c>
      <c r="H414" t="inlineStr">
        <is>
          <t>Severe risk: control testing for effectiveness, not only existence is not reliably controlled. During Execution failure; Delivery disruption; Decision failure, the organization may face poor quality control, failed change execution, unmanaged portfolio trade-offs and benefit erosion with limited visibility or accountability.</t>
        </is>
      </c>
      <c r="I414" t="inlineStr">
        <is>
          <t>High risk: control testing for effectiveness, not only existence depends on informal practices or individual knowledge. Disruption may expose poor quality control, failed change execution, unmanaged portfolio trade-offs and benefit erosion and slow recovery.</t>
        </is>
      </c>
      <c r="J414" t="inlineStr">
        <is>
          <t>Elevated risk: control testing for effectiveness, not only existence is partially controlled, but coverage, evidence or testing is inconsistent. Crisis response may be fragmented.</t>
        </is>
      </c>
      <c r="K414" t="inlineStr">
        <is>
          <t>Moderate risk: control testing for effectiveness, not only existence is documented and owned, but measurement, stress testing and integration with dependent processes need strengthening.</t>
        </is>
      </c>
      <c r="L414" t="inlineStr">
        <is>
          <t>Residual risk: control testing for effectiveness, not only existence is measured and reviewed, but monitoring, automation or scenario testing should be improved to prevent maturity drift.</t>
        </is>
      </c>
      <c r="M414" t="inlineStr">
        <is>
          <t>Low residual risk: control testing for effectiveness, not only existence is mature and crisis-tested. Maintain monitoring, evidence, ownership and periodic stress testing.</t>
        </is>
      </c>
      <c r="N414" t="inlineStr">
        <is>
          <t>Create an immediate risk owner, minimum control baseline and fallback procedure for control testing for effectiveness, not only existence. Add it to the crisis risk register and collect first evidence.</t>
        </is>
      </c>
      <c r="O414" t="inlineStr">
        <is>
          <t>Document control testing for effectiveness, not only existence, assign RACI, define minimum controls and KPIs, and validate coverage across key sites, teams or systems.</t>
        </is>
      </c>
      <c r="P414" t="inlineStr">
        <is>
          <t>Standardize control testing for effectiveness, not only existence, close coverage gaps, train accountable roles and connect controls to the relevant crisis scenarios and continuity plans.</t>
        </is>
      </c>
      <c r="Q414" t="inlineStr">
        <is>
          <t>Measure and test control testing for effectiveness, not only existence, run tabletop or operational stress tests, integrate it with dependent processes and update crisis playbooks.</t>
        </is>
      </c>
      <c r="R414" t="inlineStr">
        <is>
          <t>Automate monitoring where practical, define leading indicators, run periodic scenario tests and track residual risk after each major change.</t>
        </is>
      </c>
      <c r="S414" t="inlineStr">
        <is>
          <t>Sustain maturity for control testing for effectiveness, not only existence: keep evidence current, monitor drift, benchmark externally and refresh risk tests after organizational, system or market changes.</t>
        </is>
      </c>
      <c r="T414" t="n">
        <v>3</v>
      </c>
      <c r="U414" t="n">
        <v>3</v>
      </c>
      <c r="V414" t="n">
        <v>2</v>
      </c>
      <c r="W414" t="n">
        <v>2</v>
      </c>
      <c r="X414" t="n">
        <v>1</v>
      </c>
      <c r="Y414" t="n">
        <v>1</v>
      </c>
      <c r="Z414" t="inlineStr">
        <is>
          <t>ISO 9001; ISO 21502; ISO 21500; APQC; Lean; Six Sigma; PMBOK; COBIT</t>
        </is>
      </c>
      <c r="AA414" t="inlineStr">
        <is>
          <t>Policy/SOP; owner/RACI; system report; dashboard; contracts; test records; incident history; interview evidence related to control testing for effectiveness, not only existence.</t>
        </is>
      </c>
      <c r="AB414" t="inlineStr">
        <is>
          <t>Execution failure; Delivery disruption; Decision failure</t>
        </is>
      </c>
      <c r="AC414" t="inlineStr">
        <is>
          <t>COO / PMO / Quality</t>
        </is>
      </c>
      <c r="AD414" t="inlineStr">
        <is>
          <t>Quality Portfolio!12</t>
        </is>
      </c>
      <c r="AE414">
        <f>IF($A414="","",IF(OR(ISNUMBER(SEARCH("cyber",$D414)),ISNUMBER(SEARCH("security",$D414)),ISNUMBER(SEARCH("safety",$D414)),ISNUMBER(SEARCH("liquidity",$D414)),ISNUMBER(SEARCH("cash",$D414)),ISNUMBER(SEARCH("continuity",$D414)),ISNUMBER(SEARCH("infrastructure",$D414)),ISNUMBER(SEARCH("outage",$D414))),"Fast",IF(OR(ISNUMBER(SEARCH("compliance",$D414)),ISNUMBER(SEARCH("regulat",$D414)),ISNUMBER(SEARCH("data",$D414)),ISNUMBER(SEARCH("talent",$D414)),ISNUMBER(SEARCH("knowledge",$D414)),ISNUMBER(SEARCH("portfolio",$D414)),ISNUMBER(SEARCH("quality",$D414))),"Slow","Medium")))</f>
        <v/>
      </c>
      <c r="AF414">
        <f>IF($A414="","",IFERROR(VLOOKUP($B414,'_CONFIG_Risk_Calibration'!$A$5:$H$21,2,FALSE),3))</f>
        <v/>
      </c>
      <c r="AG414">
        <f>IF($A414="","",IFERROR(VLOOKUP($B414,'_CONFIG_Risk_Calibration'!$A$5:$H$21,3,FALSE),0))</f>
        <v/>
      </c>
      <c r="AH414">
        <f>IF($A414="","",IFERROR(VLOOKUP($B414,'_CONFIG_Risk_Calibration'!$A$5:$H$21,4,FALSE),3))</f>
        <v/>
      </c>
      <c r="AI414">
        <f>IF($A414="","",IFERROR(VLOOKUP($B414,'_CONFIG_Risk_Calibration'!$A$5:$H$21,5,FALSE),3))</f>
        <v/>
      </c>
      <c r="AJ414">
        <f>IF($A414="","",IFERROR(VLOOKUP($B414,'_CONFIG_Risk_Calibration'!$A$5:$H$21,6,FALSE),"No"))</f>
        <v/>
      </c>
      <c r="AK414">
        <f>IF($A414="","",IFERROR(VLOOKUP($B414,'_CONFIG_Risk_Calibration'!$A$5:$H$21,7,FALSE),1))</f>
        <v/>
      </c>
      <c r="AL414">
        <f>IF($A414="","",IFERROR(VLOOKUP($B414,'_CONFIG_Risk_Calibration'!$A$5:$H$21,8,FALSE),""))</f>
        <v/>
      </c>
    </row>
    <row r="415">
      <c r="A415" t="inlineStr">
        <is>
          <t>QUAL-010</t>
        </is>
      </c>
      <c r="B415" t="inlineStr">
        <is>
          <t>Quality Portfolio</t>
        </is>
      </c>
      <c r="C415" t="inlineStr">
        <is>
          <t>Quality management</t>
        </is>
      </c>
      <c r="D415" t="inlineStr">
        <is>
          <t>Quality, portfolio and change execution risk</t>
        </is>
      </c>
      <c r="E415" t="inlineStr">
        <is>
          <t>How mature is the organization in managing customer complaint handling and root cause analysis, including ownership, evidence, metrics, fallback procedures and crisis stress testing?</t>
        </is>
      </c>
      <c r="F415" t="inlineStr">
        <is>
          <t>Immature capability for customer complaint handling and root cause analysis may lead to poor quality control, failed change execution, unmanaged portfolio trade-offs and benefit erosion during Execution failure; Delivery disruption; Decision failure.</t>
        </is>
      </c>
      <c r="G415" t="inlineStr">
        <is>
          <t>Low maturity, weak ownership, incomplete evidence, insufficient testing and poor integration with crisis-management routines for customer complaint handling and root cause analysis.</t>
        </is>
      </c>
      <c r="H415" t="inlineStr">
        <is>
          <t>Severe risk: customer complaint handling and root cause analysis is not reliably controlled. During Execution failure; Delivery disruption; Decision failure, the organization may face poor quality control, failed change execution, unmanaged portfolio trade-offs and benefit erosion with limited visibility or accountability.</t>
        </is>
      </c>
      <c r="I415" t="inlineStr">
        <is>
          <t>High risk: customer complaint handling and root cause analysis depends on informal practices or individual knowledge. Disruption may expose poor quality control, failed change execution, unmanaged portfolio trade-offs and benefit erosion and slow recovery.</t>
        </is>
      </c>
      <c r="J415" t="inlineStr">
        <is>
          <t>Elevated risk: customer complaint handling and root cause analysis is partially controlled, but coverage, evidence or testing is inconsistent. Crisis response may be fragmented.</t>
        </is>
      </c>
      <c r="K415" t="inlineStr">
        <is>
          <t>Moderate risk: customer complaint handling and root cause analysis is documented and owned, but measurement, stress testing and integration with dependent processes need strengthening.</t>
        </is>
      </c>
      <c r="L415" t="inlineStr">
        <is>
          <t>Residual risk: customer complaint handling and root cause analysis is measured and reviewed, but monitoring, automation or scenario testing should be improved to prevent maturity drift.</t>
        </is>
      </c>
      <c r="M415" t="inlineStr">
        <is>
          <t>Low residual risk: customer complaint handling and root cause analysis is mature and crisis-tested. Maintain monitoring, evidence, ownership and periodic stress testing.</t>
        </is>
      </c>
      <c r="N415" t="inlineStr">
        <is>
          <t>Create an immediate risk owner, minimum control baseline and fallback procedure for customer complaint handling and root cause analysis. Add it to the crisis risk register and collect first evidence.</t>
        </is>
      </c>
      <c r="O415" t="inlineStr">
        <is>
          <t>Document customer complaint handling and root cause analysis, assign RACI, define minimum controls and KPIs, and validate coverage across key sites, teams or systems.</t>
        </is>
      </c>
      <c r="P415" t="inlineStr">
        <is>
          <t>Standardize customer complaint handling and root cause analysis, close coverage gaps, train accountable roles and connect controls to the relevant crisis scenarios and continuity plans.</t>
        </is>
      </c>
      <c r="Q415" t="inlineStr">
        <is>
          <t>Measure and test customer complaint handling and root cause analysis, run tabletop or operational stress tests, integrate it with dependent processes and update crisis playbooks.</t>
        </is>
      </c>
      <c r="R415" t="inlineStr">
        <is>
          <t>Automate monitoring where practical, define leading indicators, run periodic scenario tests and track residual risk after each major change.</t>
        </is>
      </c>
      <c r="S415" t="inlineStr">
        <is>
          <t>Sustain maturity for customer complaint handling and root cause analysis: keep evidence current, monitor drift, benchmark externally and refresh risk tests after organizational, system or market changes.</t>
        </is>
      </c>
      <c r="T415" t="n">
        <v>3</v>
      </c>
      <c r="U415" t="n">
        <v>3</v>
      </c>
      <c r="V415" t="n">
        <v>2</v>
      </c>
      <c r="W415" t="n">
        <v>2</v>
      </c>
      <c r="X415" t="n">
        <v>1</v>
      </c>
      <c r="Y415" t="n">
        <v>1</v>
      </c>
      <c r="Z415" t="inlineStr">
        <is>
          <t>ISO 9001; ISO 21502; ISO 21500; APQC; Lean; Six Sigma; PMBOK; COBIT</t>
        </is>
      </c>
      <c r="AA415" t="inlineStr">
        <is>
          <t>Policy/SOP; owner/RACI; system report; dashboard; contracts; test records; incident history; interview evidence related to customer complaint handling and root cause analysis.</t>
        </is>
      </c>
      <c r="AB415" t="inlineStr">
        <is>
          <t>Execution failure; Delivery disruption; Decision failure</t>
        </is>
      </c>
      <c r="AC415" t="inlineStr">
        <is>
          <t>COO / PMO / Quality</t>
        </is>
      </c>
      <c r="AD415" t="inlineStr">
        <is>
          <t>Quality Portfolio!13</t>
        </is>
      </c>
      <c r="AE415">
        <f>IF($A415="","",IF(OR(ISNUMBER(SEARCH("cyber",$D415)),ISNUMBER(SEARCH("security",$D415)),ISNUMBER(SEARCH("safety",$D415)),ISNUMBER(SEARCH("liquidity",$D415)),ISNUMBER(SEARCH("cash",$D415)),ISNUMBER(SEARCH("continuity",$D415)),ISNUMBER(SEARCH("infrastructure",$D415)),ISNUMBER(SEARCH("outage",$D415))),"Fast",IF(OR(ISNUMBER(SEARCH("compliance",$D415)),ISNUMBER(SEARCH("regulat",$D415)),ISNUMBER(SEARCH("data",$D415)),ISNUMBER(SEARCH("talent",$D415)),ISNUMBER(SEARCH("knowledge",$D415)),ISNUMBER(SEARCH("portfolio",$D415)),ISNUMBER(SEARCH("quality",$D415))),"Slow","Medium")))</f>
        <v/>
      </c>
      <c r="AF415">
        <f>IF($A415="","",IFERROR(VLOOKUP($B415,'_CONFIG_Risk_Calibration'!$A$5:$H$21,2,FALSE),3))</f>
        <v/>
      </c>
      <c r="AG415">
        <f>IF($A415="","",IFERROR(VLOOKUP($B415,'_CONFIG_Risk_Calibration'!$A$5:$H$21,3,FALSE),0))</f>
        <v/>
      </c>
      <c r="AH415">
        <f>IF($A415="","",IFERROR(VLOOKUP($B415,'_CONFIG_Risk_Calibration'!$A$5:$H$21,4,FALSE),3))</f>
        <v/>
      </c>
      <c r="AI415">
        <f>IF($A415="","",IFERROR(VLOOKUP($B415,'_CONFIG_Risk_Calibration'!$A$5:$H$21,5,FALSE),3))</f>
        <v/>
      </c>
      <c r="AJ415">
        <f>IF($A415="","",IFERROR(VLOOKUP($B415,'_CONFIG_Risk_Calibration'!$A$5:$H$21,6,FALSE),"No"))</f>
        <v/>
      </c>
      <c r="AK415">
        <f>IF($A415="","",IFERROR(VLOOKUP($B415,'_CONFIG_Risk_Calibration'!$A$5:$H$21,7,FALSE),1))</f>
        <v/>
      </c>
      <c r="AL415">
        <f>IF($A415="","",IFERROR(VLOOKUP($B415,'_CONFIG_Risk_Calibration'!$A$5:$H$21,8,FALSE),""))</f>
        <v/>
      </c>
    </row>
    <row r="416">
      <c r="A416" t="inlineStr">
        <is>
          <t>QUAL-011</t>
        </is>
      </c>
      <c r="B416" t="inlineStr">
        <is>
          <t>Quality Portfolio</t>
        </is>
      </c>
      <c r="C416" t="inlineStr">
        <is>
          <t>Portfolio and change</t>
        </is>
      </c>
      <c r="D416" t="inlineStr">
        <is>
          <t>Quality, portfolio and change execution risk</t>
        </is>
      </c>
      <c r="E416" t="inlineStr">
        <is>
          <t>How mature is the organization in managing portfolio governance with prioritization, capacity, benefits, risks and dependencies, including ownership, evidence, metrics, fallback procedures and crisis stress testing?</t>
        </is>
      </c>
      <c r="F416" t="inlineStr">
        <is>
          <t>Immature capability for portfolio governance with prioritization, capacity, benefits, risks and dependencies may lead to poor quality control, failed change execution, unmanaged portfolio trade-offs and benefit erosion during Execution failure; Delivery disruption; Decision failure.</t>
        </is>
      </c>
      <c r="G416" t="inlineStr">
        <is>
          <t>Low maturity, weak ownership, incomplete evidence, insufficient testing and poor integration with crisis-management routines for portfolio governance with prioritization, capacity, benefits, risks and dependencies.</t>
        </is>
      </c>
      <c r="H416" t="inlineStr">
        <is>
          <t>Severe risk: portfolio governance with prioritization, capacity, benefits, risks and dependencies is not reliably controlled. During Execution failure; Delivery disruption; Decision failure, the organization may face poor quality control, failed change execution, unmanaged portfolio trade-offs and benefit erosion with limited visibility or accountability.</t>
        </is>
      </c>
      <c r="I416" t="inlineStr">
        <is>
          <t>High risk: portfolio governance with prioritization, capacity, benefits, risks and dependencies depends on informal practices or individual knowledge. Disruption may expose poor quality control, failed change execution, unmanaged portfolio trade-offs and benefit erosion and slow recovery.</t>
        </is>
      </c>
      <c r="J416" t="inlineStr">
        <is>
          <t>Elevated risk: portfolio governance with prioritization, capacity, benefits, risks and dependencies is partially controlled, but coverage, evidence or testing is inconsistent. Crisis response may be fragmented.</t>
        </is>
      </c>
      <c r="K416" t="inlineStr">
        <is>
          <t>Moderate risk: portfolio governance with prioritization, capacity, benefits, risks and dependencies is documented and owned, but measurement, stress testing and integration with dependent processes need strengthening.</t>
        </is>
      </c>
      <c r="L416" t="inlineStr">
        <is>
          <t>Residual risk: portfolio governance with prioritization, capacity, benefits, risks and dependencies is measured and reviewed, but monitoring, automation or scenario testing should be improved to prevent maturity drift.</t>
        </is>
      </c>
      <c r="M416" t="inlineStr">
        <is>
          <t>Low residual risk: portfolio governance with prioritization, capacity, benefits, risks and dependencies is mature and crisis-tested. Maintain monitoring, evidence, ownership and periodic stress testing.</t>
        </is>
      </c>
      <c r="N416" t="inlineStr">
        <is>
          <t>Create an immediate risk owner, minimum control baseline and fallback procedure for portfolio governance with prioritization, capacity, benefits, risks and dependencies. Add it to the crisis risk register and collect first evidence.</t>
        </is>
      </c>
      <c r="O416" t="inlineStr">
        <is>
          <t>Document portfolio governance with prioritization, capacity, benefits, risks and dependencies, assign RACI, define minimum controls and KPIs, and validate coverage across key sites, teams or systems.</t>
        </is>
      </c>
      <c r="P416" t="inlineStr">
        <is>
          <t>Standardize portfolio governance with prioritization, capacity, benefits, risks and dependencies, close coverage gaps, train accountable roles and connect controls to the relevant crisis scenarios and continuity plans.</t>
        </is>
      </c>
      <c r="Q416" t="inlineStr">
        <is>
          <t>Measure and test portfolio governance with prioritization, capacity, benefits, risks and dependencies, run tabletop or operational stress tests, integrate it with dependent processes and update crisis playbooks.</t>
        </is>
      </c>
      <c r="R416" t="inlineStr">
        <is>
          <t>Automate monitoring where practical, define leading indicators, run periodic scenario tests and track residual risk after each major change.</t>
        </is>
      </c>
      <c r="S416" t="inlineStr">
        <is>
          <t>Sustain maturity for portfolio governance with prioritization, capacity, benefits, risks and dependencies: keep evidence current, monitor drift, benchmark externally and refresh risk tests after organizational, system or market changes.</t>
        </is>
      </c>
      <c r="T416" t="n">
        <v>3</v>
      </c>
      <c r="U416" t="n">
        <v>3</v>
      </c>
      <c r="V416" t="n">
        <v>2</v>
      </c>
      <c r="W416" t="n">
        <v>2</v>
      </c>
      <c r="X416" t="n">
        <v>1</v>
      </c>
      <c r="Y416" t="n">
        <v>1</v>
      </c>
      <c r="Z416" t="inlineStr">
        <is>
          <t>ISO 9001; ISO 21502; ISO 21500; APQC; Lean; Six Sigma; PMBOK; COBIT</t>
        </is>
      </c>
      <c r="AA416" t="inlineStr">
        <is>
          <t>Policy/SOP; owner/RACI; system report; dashboard; contracts; test records; incident history; interview evidence related to portfolio governance with prioritization, capacity, benefits, risks and dependencies.</t>
        </is>
      </c>
      <c r="AB416" t="inlineStr">
        <is>
          <t>Execution failure; Delivery disruption; Decision failure</t>
        </is>
      </c>
      <c r="AC416" t="inlineStr">
        <is>
          <t>COO / PMO / Quality</t>
        </is>
      </c>
      <c r="AD416" t="inlineStr">
        <is>
          <t>Quality Portfolio!14</t>
        </is>
      </c>
      <c r="AE416">
        <f>IF($A416="","",IF(OR(ISNUMBER(SEARCH("cyber",$D416)),ISNUMBER(SEARCH("security",$D416)),ISNUMBER(SEARCH("safety",$D416)),ISNUMBER(SEARCH("liquidity",$D416)),ISNUMBER(SEARCH("cash",$D416)),ISNUMBER(SEARCH("continuity",$D416)),ISNUMBER(SEARCH("infrastructure",$D416)),ISNUMBER(SEARCH("outage",$D416))),"Fast",IF(OR(ISNUMBER(SEARCH("compliance",$D416)),ISNUMBER(SEARCH("regulat",$D416)),ISNUMBER(SEARCH("data",$D416)),ISNUMBER(SEARCH("talent",$D416)),ISNUMBER(SEARCH("knowledge",$D416)),ISNUMBER(SEARCH("portfolio",$D416)),ISNUMBER(SEARCH("quality",$D416))),"Slow","Medium")))</f>
        <v/>
      </c>
      <c r="AF416">
        <f>IF($A416="","",IFERROR(VLOOKUP($B416,'_CONFIG_Risk_Calibration'!$A$5:$H$21,2,FALSE),3))</f>
        <v/>
      </c>
      <c r="AG416">
        <f>IF($A416="","",IFERROR(VLOOKUP($B416,'_CONFIG_Risk_Calibration'!$A$5:$H$21,3,FALSE),0))</f>
        <v/>
      </c>
      <c r="AH416">
        <f>IF($A416="","",IFERROR(VLOOKUP($B416,'_CONFIG_Risk_Calibration'!$A$5:$H$21,4,FALSE),3))</f>
        <v/>
      </c>
      <c r="AI416">
        <f>IF($A416="","",IFERROR(VLOOKUP($B416,'_CONFIG_Risk_Calibration'!$A$5:$H$21,5,FALSE),3))</f>
        <v/>
      </c>
      <c r="AJ416">
        <f>IF($A416="","",IFERROR(VLOOKUP($B416,'_CONFIG_Risk_Calibration'!$A$5:$H$21,6,FALSE),"No"))</f>
        <v/>
      </c>
      <c r="AK416">
        <f>IF($A416="","",IFERROR(VLOOKUP($B416,'_CONFIG_Risk_Calibration'!$A$5:$H$21,7,FALSE),1))</f>
        <v/>
      </c>
      <c r="AL416">
        <f>IF($A416="","",IFERROR(VLOOKUP($B416,'_CONFIG_Risk_Calibration'!$A$5:$H$21,8,FALSE),""))</f>
        <v/>
      </c>
    </row>
    <row r="417">
      <c r="A417" t="inlineStr">
        <is>
          <t>QUAL-012</t>
        </is>
      </c>
      <c r="B417" t="inlineStr">
        <is>
          <t>Quality Portfolio</t>
        </is>
      </c>
      <c r="C417" t="inlineStr">
        <is>
          <t>Portfolio and change</t>
        </is>
      </c>
      <c r="D417" t="inlineStr">
        <is>
          <t>Quality, portfolio and change execution risk</t>
        </is>
      </c>
      <c r="E417" t="inlineStr">
        <is>
          <t>How mature is the organization in managing rapid reprioritization of initiatives during crisis using value, urgency, risk and capacity, including ownership, evidence, metrics, fallback procedures and crisis stress testing?</t>
        </is>
      </c>
      <c r="F417" t="inlineStr">
        <is>
          <t>Immature capability for rapid reprioritization of initiatives during crisis using value, urgency, risk and capacity may lead to poor quality control, failed change execution, unmanaged portfolio trade-offs and benefit erosion during Execution failure; Delivery disruption; Decision failure.</t>
        </is>
      </c>
      <c r="G417" t="inlineStr">
        <is>
          <t>Low maturity, weak ownership, incomplete evidence, insufficient testing and poor integration with crisis-management routines for rapid reprioritization of initiatives during crisis using value, urgency, risk and capacity.</t>
        </is>
      </c>
      <c r="H417" t="inlineStr">
        <is>
          <t>Severe risk: rapid reprioritization of initiatives during crisis using value, urgency, risk and capacity is not reliably controlled. During Execution failure; Delivery disruption; Decision failure, the organization may face poor quality control, failed change execution, unmanaged portfolio trade-offs and benefit erosion with limited visibility or accountability.</t>
        </is>
      </c>
      <c r="I417" t="inlineStr">
        <is>
          <t>High risk: rapid reprioritization of initiatives during crisis using value, urgency, risk and capacity depends on informal practices or individual knowledge. Disruption may expose poor quality control, failed change execution, unmanaged portfolio trade-offs and benefit erosion and slow recovery.</t>
        </is>
      </c>
      <c r="J417" t="inlineStr">
        <is>
          <t>Elevated risk: rapid reprioritization of initiatives during crisis using value, urgency, risk and capacity is partially controlled, but coverage, evidence or testing is inconsistent. Crisis response may be fragmented.</t>
        </is>
      </c>
      <c r="K417" t="inlineStr">
        <is>
          <t>Moderate risk: rapid reprioritization of initiatives during crisis using value, urgency, risk and capacity is documented and owned, but measurement, stress testing and integration with dependent processes need strengthening.</t>
        </is>
      </c>
      <c r="L417" t="inlineStr">
        <is>
          <t>Residual risk: rapid reprioritization of initiatives during crisis using value, urgency, risk and capacity is measured and reviewed, but monitoring, automation or scenario testing should be improved to prevent maturity drift.</t>
        </is>
      </c>
      <c r="M417" t="inlineStr">
        <is>
          <t>Low residual risk: rapid reprioritization of initiatives during crisis using value, urgency, risk and capacity is mature and crisis-tested. Maintain monitoring, evidence, ownership and periodic stress testing.</t>
        </is>
      </c>
      <c r="N417" t="inlineStr">
        <is>
          <t>Create an immediate risk owner, minimum control baseline and fallback procedure for rapid reprioritization of initiatives during crisis using value, urgency, risk and capacity. Add it to the crisis risk register and collect first evidence.</t>
        </is>
      </c>
      <c r="O417" t="inlineStr">
        <is>
          <t>Document rapid reprioritization of initiatives during crisis using value, urgency, risk and capacity, assign RACI, define minimum controls and KPIs, and validate coverage across key sites, teams or systems.</t>
        </is>
      </c>
      <c r="P417" t="inlineStr">
        <is>
          <t>Standardize rapid reprioritization of initiatives during crisis using value, urgency, risk and capacity, close coverage gaps, train accountable roles and connect controls to the relevant crisis scenarios and continuity plans.</t>
        </is>
      </c>
      <c r="Q417" t="inlineStr">
        <is>
          <t>Measure and test rapid reprioritization of initiatives during crisis using value, urgency, risk and capacity, run tabletop or operational stress tests, integrate it with dependent processes and update crisis playbooks.</t>
        </is>
      </c>
      <c r="R417" t="inlineStr">
        <is>
          <t>Automate monitoring where practical, define leading indicators, run periodic scenario tests and track residual risk after each major change.</t>
        </is>
      </c>
      <c r="S417" t="inlineStr">
        <is>
          <t>Sustain maturity for rapid reprioritization of initiatives during crisis using value, urgency, risk and capacity: keep evidence current, monitor drift, benchmark externally and refresh risk tests after organizational, system or market changes.</t>
        </is>
      </c>
      <c r="T417" t="n">
        <v>3</v>
      </c>
      <c r="U417" t="n">
        <v>3</v>
      </c>
      <c r="V417" t="n">
        <v>2</v>
      </c>
      <c r="W417" t="n">
        <v>2</v>
      </c>
      <c r="X417" t="n">
        <v>1</v>
      </c>
      <c r="Y417" t="n">
        <v>1</v>
      </c>
      <c r="Z417" t="inlineStr">
        <is>
          <t>ISO 9001; ISO 21502; ISO 21500; APQC; Lean; Six Sigma; PMBOK; COBIT</t>
        </is>
      </c>
      <c r="AA417" t="inlineStr">
        <is>
          <t>Policy/SOP; owner/RACI; system report; dashboard; contracts; test records; incident history; interview evidence related to rapid reprioritization of initiatives during crisis using value, urgency, risk and capacity.</t>
        </is>
      </c>
      <c r="AB417" t="inlineStr">
        <is>
          <t>Execution failure; Delivery disruption; Decision failure</t>
        </is>
      </c>
      <c r="AC417" t="inlineStr">
        <is>
          <t>COO / PMO / Quality</t>
        </is>
      </c>
      <c r="AD417" t="inlineStr">
        <is>
          <t>Quality Portfolio!15</t>
        </is>
      </c>
      <c r="AE417">
        <f>IF($A417="","",IF(OR(ISNUMBER(SEARCH("cyber",$D417)),ISNUMBER(SEARCH("security",$D417)),ISNUMBER(SEARCH("safety",$D417)),ISNUMBER(SEARCH("liquidity",$D417)),ISNUMBER(SEARCH("cash",$D417)),ISNUMBER(SEARCH("continuity",$D417)),ISNUMBER(SEARCH("infrastructure",$D417)),ISNUMBER(SEARCH("outage",$D417))),"Fast",IF(OR(ISNUMBER(SEARCH("compliance",$D417)),ISNUMBER(SEARCH("regulat",$D417)),ISNUMBER(SEARCH("data",$D417)),ISNUMBER(SEARCH("talent",$D417)),ISNUMBER(SEARCH("knowledge",$D417)),ISNUMBER(SEARCH("portfolio",$D417)),ISNUMBER(SEARCH("quality",$D417))),"Slow","Medium")))</f>
        <v/>
      </c>
      <c r="AF417">
        <f>IF($A417="","",IFERROR(VLOOKUP($B417,'_CONFIG_Risk_Calibration'!$A$5:$H$21,2,FALSE),3))</f>
        <v/>
      </c>
      <c r="AG417">
        <f>IF($A417="","",IFERROR(VLOOKUP($B417,'_CONFIG_Risk_Calibration'!$A$5:$H$21,3,FALSE),0))</f>
        <v/>
      </c>
      <c r="AH417">
        <f>IF($A417="","",IFERROR(VLOOKUP($B417,'_CONFIG_Risk_Calibration'!$A$5:$H$21,4,FALSE),3))</f>
        <v/>
      </c>
      <c r="AI417">
        <f>IF($A417="","",IFERROR(VLOOKUP($B417,'_CONFIG_Risk_Calibration'!$A$5:$H$21,5,FALSE),3))</f>
        <v/>
      </c>
      <c r="AJ417">
        <f>IF($A417="","",IFERROR(VLOOKUP($B417,'_CONFIG_Risk_Calibration'!$A$5:$H$21,6,FALSE),"No"))</f>
        <v/>
      </c>
      <c r="AK417">
        <f>IF($A417="","",IFERROR(VLOOKUP($B417,'_CONFIG_Risk_Calibration'!$A$5:$H$21,7,FALSE),1))</f>
        <v/>
      </c>
      <c r="AL417">
        <f>IF($A417="","",IFERROR(VLOOKUP($B417,'_CONFIG_Risk_Calibration'!$A$5:$H$21,8,FALSE),""))</f>
        <v/>
      </c>
    </row>
    <row r="418">
      <c r="A418" t="inlineStr">
        <is>
          <t>QUAL-013</t>
        </is>
      </c>
      <c r="B418" t="inlineStr">
        <is>
          <t>Quality Portfolio</t>
        </is>
      </c>
      <c r="C418" t="inlineStr">
        <is>
          <t>Portfolio and change</t>
        </is>
      </c>
      <c r="D418" t="inlineStr">
        <is>
          <t>Quality, portfolio and change execution risk</t>
        </is>
      </c>
      <c r="E418" t="inlineStr">
        <is>
          <t>How mature is the organization in managing benefits realization tracking for resilience, digital and operational initiatives, including ownership, evidence, metrics, fallback procedures and crisis stress testing?</t>
        </is>
      </c>
      <c r="F418" t="inlineStr">
        <is>
          <t>Immature capability for benefits realization tracking for resilience, digital and operational initiatives may lead to poor quality control, failed change execution, unmanaged portfolio trade-offs and benefit erosion during Execution failure; Delivery disruption; Decision failure.</t>
        </is>
      </c>
      <c r="G418" t="inlineStr">
        <is>
          <t>Low maturity, weak ownership, incomplete evidence, insufficient testing and poor integration with crisis-management routines for benefits realization tracking for resilience, digital and operational initiatives.</t>
        </is>
      </c>
      <c r="H418" t="inlineStr">
        <is>
          <t>Severe risk: benefits realization tracking for resilience, digital and operational initiatives is not reliably controlled. During Execution failure; Delivery disruption; Decision failure, the organization may face poor quality control, failed change execution, unmanaged portfolio trade-offs and benefit erosion with limited visibility or accountability.</t>
        </is>
      </c>
      <c r="I418" t="inlineStr">
        <is>
          <t>High risk: benefits realization tracking for resilience, digital and operational initiatives depends on informal practices or individual knowledge. Disruption may expose poor quality control, failed change execution, unmanaged portfolio trade-offs and benefit erosion and slow recovery.</t>
        </is>
      </c>
      <c r="J418" t="inlineStr">
        <is>
          <t>Elevated risk: benefits realization tracking for resilience, digital and operational initiatives is partially controlled, but coverage, evidence or testing is inconsistent. Crisis response may be fragmented.</t>
        </is>
      </c>
      <c r="K418" t="inlineStr">
        <is>
          <t>Moderate risk: benefits realization tracking for resilience, digital and operational initiatives is documented and owned, but measurement, stress testing and integration with dependent processes need strengthening.</t>
        </is>
      </c>
      <c r="L418" t="inlineStr">
        <is>
          <t>Residual risk: benefits realization tracking for resilience, digital and operational initiatives is measured and reviewed, but monitoring, automation or scenario testing should be improved to prevent maturity drift.</t>
        </is>
      </c>
      <c r="M418" t="inlineStr">
        <is>
          <t>Low residual risk: benefits realization tracking for resilience, digital and operational initiatives is mature and crisis-tested. Maintain monitoring, evidence, ownership and periodic stress testing.</t>
        </is>
      </c>
      <c r="N418" t="inlineStr">
        <is>
          <t>Create an immediate risk owner, minimum control baseline and fallback procedure for benefits realization tracking for resilience, digital and operational initiatives. Add it to the crisis risk register and collect first evidence.</t>
        </is>
      </c>
      <c r="O418" t="inlineStr">
        <is>
          <t>Document benefits realization tracking for resilience, digital and operational initiatives, assign RACI, define minimum controls and KPIs, and validate coverage across key sites, teams or systems.</t>
        </is>
      </c>
      <c r="P418" t="inlineStr">
        <is>
          <t>Standardize benefits realization tracking for resilience, digital and operational initiatives, close coverage gaps, train accountable roles and connect controls to the relevant crisis scenarios and continuity plans.</t>
        </is>
      </c>
      <c r="Q418" t="inlineStr">
        <is>
          <t>Measure and test benefits realization tracking for resilience, digital and operational initiatives, run tabletop or operational stress tests, integrate it with dependent processes and update crisis playbooks.</t>
        </is>
      </c>
      <c r="R418" t="inlineStr">
        <is>
          <t>Automate monitoring where practical, define leading indicators, run periodic scenario tests and track residual risk after each major change.</t>
        </is>
      </c>
      <c r="S418" t="inlineStr">
        <is>
          <t>Sustain maturity for benefits realization tracking for resilience, digital and operational initiatives: keep evidence current, monitor drift, benchmark externally and refresh risk tests after organizational, system or market changes.</t>
        </is>
      </c>
      <c r="T418" t="n">
        <v>3</v>
      </c>
      <c r="U418" t="n">
        <v>3</v>
      </c>
      <c r="V418" t="n">
        <v>2</v>
      </c>
      <c r="W418" t="n">
        <v>2</v>
      </c>
      <c r="X418" t="n">
        <v>1</v>
      </c>
      <c r="Y418" t="n">
        <v>1</v>
      </c>
      <c r="Z418" t="inlineStr">
        <is>
          <t>ISO 9001; ISO 21502; ISO 21500; APQC; Lean; Six Sigma; PMBOK; COBIT</t>
        </is>
      </c>
      <c r="AA418" t="inlineStr">
        <is>
          <t>Policy/SOP; owner/RACI; system report; dashboard; contracts; test records; incident history; interview evidence related to benefits realization tracking for resilience, digital and operational initiatives.</t>
        </is>
      </c>
      <c r="AB418" t="inlineStr">
        <is>
          <t>Execution failure; Delivery disruption; Decision failure</t>
        </is>
      </c>
      <c r="AC418" t="inlineStr">
        <is>
          <t>COO / PMO / Quality</t>
        </is>
      </c>
      <c r="AD418" t="inlineStr">
        <is>
          <t>Quality Portfolio!16</t>
        </is>
      </c>
      <c r="AE418">
        <f>IF($A418="","",IF(OR(ISNUMBER(SEARCH("cyber",$D418)),ISNUMBER(SEARCH("security",$D418)),ISNUMBER(SEARCH("safety",$D418)),ISNUMBER(SEARCH("liquidity",$D418)),ISNUMBER(SEARCH("cash",$D418)),ISNUMBER(SEARCH("continuity",$D418)),ISNUMBER(SEARCH("infrastructure",$D418)),ISNUMBER(SEARCH("outage",$D418))),"Fast",IF(OR(ISNUMBER(SEARCH("compliance",$D418)),ISNUMBER(SEARCH("regulat",$D418)),ISNUMBER(SEARCH("data",$D418)),ISNUMBER(SEARCH("talent",$D418)),ISNUMBER(SEARCH("knowledge",$D418)),ISNUMBER(SEARCH("portfolio",$D418)),ISNUMBER(SEARCH("quality",$D418))),"Slow","Medium")))</f>
        <v/>
      </c>
      <c r="AF418">
        <f>IF($A418="","",IFERROR(VLOOKUP($B418,'_CONFIG_Risk_Calibration'!$A$5:$H$21,2,FALSE),3))</f>
        <v/>
      </c>
      <c r="AG418">
        <f>IF($A418="","",IFERROR(VLOOKUP($B418,'_CONFIG_Risk_Calibration'!$A$5:$H$21,3,FALSE),0))</f>
        <v/>
      </c>
      <c r="AH418">
        <f>IF($A418="","",IFERROR(VLOOKUP($B418,'_CONFIG_Risk_Calibration'!$A$5:$H$21,4,FALSE),3))</f>
        <v/>
      </c>
      <c r="AI418">
        <f>IF($A418="","",IFERROR(VLOOKUP($B418,'_CONFIG_Risk_Calibration'!$A$5:$H$21,5,FALSE),3))</f>
        <v/>
      </c>
      <c r="AJ418">
        <f>IF($A418="","",IFERROR(VLOOKUP($B418,'_CONFIG_Risk_Calibration'!$A$5:$H$21,6,FALSE),"No"))</f>
        <v/>
      </c>
      <c r="AK418">
        <f>IF($A418="","",IFERROR(VLOOKUP($B418,'_CONFIG_Risk_Calibration'!$A$5:$H$21,7,FALSE),1))</f>
        <v/>
      </c>
      <c r="AL418">
        <f>IF($A418="","",IFERROR(VLOOKUP($B418,'_CONFIG_Risk_Calibration'!$A$5:$H$21,8,FALSE),""))</f>
        <v/>
      </c>
    </row>
    <row r="419">
      <c r="A419" t="inlineStr">
        <is>
          <t>QUAL-014</t>
        </is>
      </c>
      <c r="B419" t="inlineStr">
        <is>
          <t>Quality Portfolio</t>
        </is>
      </c>
      <c r="C419" t="inlineStr">
        <is>
          <t>Portfolio and change</t>
        </is>
      </c>
      <c r="D419" t="inlineStr">
        <is>
          <t>Quality, portfolio and change execution risk</t>
        </is>
      </c>
      <c r="E419" t="inlineStr">
        <is>
          <t>How mature is the organization in managing change adoption management with communication, training, sponsor accountability and adoption metrics, including ownership, evidence, metrics, fallback procedures and crisis stress testing?</t>
        </is>
      </c>
      <c r="F419" t="inlineStr">
        <is>
          <t>Immature capability for change adoption management with communication, training, sponsor accountability and adoption metrics may lead to poor quality control, failed change execution, unmanaged portfolio trade-offs and benefit erosion during Execution failure; Delivery disruption; Decision failure.</t>
        </is>
      </c>
      <c r="G419" t="inlineStr">
        <is>
          <t>Low maturity, weak ownership, incomplete evidence, insufficient testing and poor integration with crisis-management routines for change adoption management with communication, training, sponsor accountability and adoption metrics.</t>
        </is>
      </c>
      <c r="H419" t="inlineStr">
        <is>
          <t>Severe risk: change adoption management with communication, training, sponsor accountability and adoption metrics is not reliably controlled. During Execution failure; Delivery disruption; Decision failure, the organization may face poor quality control, failed change execution, unmanaged portfolio trade-offs and benefit erosion with limited visibility or accountability.</t>
        </is>
      </c>
      <c r="I419" t="inlineStr">
        <is>
          <t>High risk: change adoption management with communication, training, sponsor accountability and adoption metrics depends on informal practices or individual knowledge. Disruption may expose poor quality control, failed change execution, unmanaged portfolio trade-offs and benefit erosion and slow recovery.</t>
        </is>
      </c>
      <c r="J419" t="inlineStr">
        <is>
          <t>Elevated risk: change adoption management with communication, training, sponsor accountability and adoption metrics is partially controlled, but coverage, evidence or testing is inconsistent. Crisis response may be fragmented.</t>
        </is>
      </c>
      <c r="K419" t="inlineStr">
        <is>
          <t>Moderate risk: change adoption management with communication, training, sponsor accountability and adoption metrics is documented and owned, but measurement, stress testing and integration with dependent processes need strengthening.</t>
        </is>
      </c>
      <c r="L419" t="inlineStr">
        <is>
          <t>Residual risk: change adoption management with communication, training, sponsor accountability and adoption metrics is measured and reviewed, but monitoring, automation or scenario testing should be improved to prevent maturity drift.</t>
        </is>
      </c>
      <c r="M419" t="inlineStr">
        <is>
          <t>Low residual risk: change adoption management with communication, training, sponsor accountability and adoption metrics is mature and crisis-tested. Maintain monitoring, evidence, ownership and periodic stress testing.</t>
        </is>
      </c>
      <c r="N419" t="inlineStr">
        <is>
          <t>Create an immediate risk owner, minimum control baseline and fallback procedure for change adoption management with communication, training, sponsor accountability and adoption metrics. Add it to the crisis risk register and collect first evidence.</t>
        </is>
      </c>
      <c r="O419" t="inlineStr">
        <is>
          <t>Document change adoption management with communication, training, sponsor accountability and adoption metrics, assign RACI, define minimum controls and KPIs, and validate coverage across key sites, teams or systems.</t>
        </is>
      </c>
      <c r="P419" t="inlineStr">
        <is>
          <t>Standardize change adoption management with communication, training, sponsor accountability and adoption metrics, close coverage gaps, train accountable roles and connect controls to the relevant crisis scenarios and continuity plans.</t>
        </is>
      </c>
      <c r="Q419" t="inlineStr">
        <is>
          <t>Measure and test change adoption management with communication, training, sponsor accountability and adoption metrics, run tabletop or operational stress tests, integrate it with dependent processes and update crisis playbooks.</t>
        </is>
      </c>
      <c r="R419" t="inlineStr">
        <is>
          <t>Automate monitoring where practical, define leading indicators, run periodic scenario tests and track residual risk after each major change.</t>
        </is>
      </c>
      <c r="S419" t="inlineStr">
        <is>
          <t>Sustain maturity for change adoption management with communication, training, sponsor accountability and adoption metrics: keep evidence current, monitor drift, benchmark externally and refresh risk tests after organizational, system or market changes.</t>
        </is>
      </c>
      <c r="T419" t="n">
        <v>3</v>
      </c>
      <c r="U419" t="n">
        <v>3</v>
      </c>
      <c r="V419" t="n">
        <v>2</v>
      </c>
      <c r="W419" t="n">
        <v>2</v>
      </c>
      <c r="X419" t="n">
        <v>1</v>
      </c>
      <c r="Y419" t="n">
        <v>1</v>
      </c>
      <c r="Z419" t="inlineStr">
        <is>
          <t>ISO 9001; ISO 21502; ISO 21500; APQC; Lean; Six Sigma; PMBOK; COBIT</t>
        </is>
      </c>
      <c r="AA419" t="inlineStr">
        <is>
          <t>Policy/SOP; owner/RACI; system report; dashboard; contracts; test records; incident history; interview evidence related to change adoption management with communication, training, sponsor accountability and adoption metrics.</t>
        </is>
      </c>
      <c r="AB419" t="inlineStr">
        <is>
          <t>Execution failure; Delivery disruption; Decision failure</t>
        </is>
      </c>
      <c r="AC419" t="inlineStr">
        <is>
          <t>COO / PMO / Quality</t>
        </is>
      </c>
      <c r="AD419" t="inlineStr">
        <is>
          <t>Quality Portfolio!17</t>
        </is>
      </c>
      <c r="AE419">
        <f>IF($A419="","",IF(OR(ISNUMBER(SEARCH("cyber",$D419)),ISNUMBER(SEARCH("security",$D419)),ISNUMBER(SEARCH("safety",$D419)),ISNUMBER(SEARCH("liquidity",$D419)),ISNUMBER(SEARCH("cash",$D419)),ISNUMBER(SEARCH("continuity",$D419)),ISNUMBER(SEARCH("infrastructure",$D419)),ISNUMBER(SEARCH("outage",$D419))),"Fast",IF(OR(ISNUMBER(SEARCH("compliance",$D419)),ISNUMBER(SEARCH("regulat",$D419)),ISNUMBER(SEARCH("data",$D419)),ISNUMBER(SEARCH("talent",$D419)),ISNUMBER(SEARCH("knowledge",$D419)),ISNUMBER(SEARCH("portfolio",$D419)),ISNUMBER(SEARCH("quality",$D419))),"Slow","Medium")))</f>
        <v/>
      </c>
      <c r="AF419">
        <f>IF($A419="","",IFERROR(VLOOKUP($B419,'_CONFIG_Risk_Calibration'!$A$5:$H$21,2,FALSE),3))</f>
        <v/>
      </c>
      <c r="AG419">
        <f>IF($A419="","",IFERROR(VLOOKUP($B419,'_CONFIG_Risk_Calibration'!$A$5:$H$21,3,FALSE),0))</f>
        <v/>
      </c>
      <c r="AH419">
        <f>IF($A419="","",IFERROR(VLOOKUP($B419,'_CONFIG_Risk_Calibration'!$A$5:$H$21,4,FALSE),3))</f>
        <v/>
      </c>
      <c r="AI419">
        <f>IF($A419="","",IFERROR(VLOOKUP($B419,'_CONFIG_Risk_Calibration'!$A$5:$H$21,5,FALSE),3))</f>
        <v/>
      </c>
      <c r="AJ419">
        <f>IF($A419="","",IFERROR(VLOOKUP($B419,'_CONFIG_Risk_Calibration'!$A$5:$H$21,6,FALSE),"No"))</f>
        <v/>
      </c>
      <c r="AK419">
        <f>IF($A419="","",IFERROR(VLOOKUP($B419,'_CONFIG_Risk_Calibration'!$A$5:$H$21,7,FALSE),1))</f>
        <v/>
      </c>
      <c r="AL419">
        <f>IF($A419="","",IFERROR(VLOOKUP($B419,'_CONFIG_Risk_Calibration'!$A$5:$H$21,8,FALSE),""))</f>
        <v/>
      </c>
    </row>
    <row r="420">
      <c r="A420" t="inlineStr">
        <is>
          <t>QUAL-015</t>
        </is>
      </c>
      <c r="B420" t="inlineStr">
        <is>
          <t>Quality Portfolio</t>
        </is>
      </c>
      <c r="C420" t="inlineStr">
        <is>
          <t>Portfolio and change</t>
        </is>
      </c>
      <c r="D420" t="inlineStr">
        <is>
          <t>Quality, portfolio and change execution risk</t>
        </is>
      </c>
      <c r="E420" t="inlineStr">
        <is>
          <t>How mature is the organization in managing improvement backlog linked to incidents, audits, customer feedback, risk and strategy, including ownership, evidence, metrics, fallback procedures and crisis stress testing?</t>
        </is>
      </c>
      <c r="F420" t="inlineStr">
        <is>
          <t>Immature capability for improvement backlog linked to incidents, audits, customer feedback, risk and strategy may lead to poor quality control, failed change execution, unmanaged portfolio trade-offs and benefit erosion during Execution failure; Delivery disruption; Decision failure.</t>
        </is>
      </c>
      <c r="G420" t="inlineStr">
        <is>
          <t>Low maturity, weak ownership, incomplete evidence, insufficient testing and poor integration with crisis-management routines for improvement backlog linked to incidents, audits, customer feedback, risk and strategy.</t>
        </is>
      </c>
      <c r="H420" t="inlineStr">
        <is>
          <t>Severe risk: improvement backlog linked to incidents, audits, customer feedback, risk and strategy is not reliably controlled. During Execution failure; Delivery disruption; Decision failure, the organization may face poor quality control, failed change execution, unmanaged portfolio trade-offs and benefit erosion with limited visibility or accountability.</t>
        </is>
      </c>
      <c r="I420" t="inlineStr">
        <is>
          <t>High risk: improvement backlog linked to incidents, audits, customer feedback, risk and strategy depends on informal practices or individual knowledge. Disruption may expose poor quality control, failed change execution, unmanaged portfolio trade-offs and benefit erosion and slow recovery.</t>
        </is>
      </c>
      <c r="J420" t="inlineStr">
        <is>
          <t>Elevated risk: improvement backlog linked to incidents, audits, customer feedback, risk and strategy is partially controlled, but coverage, evidence or testing is inconsistent. Crisis response may be fragmented.</t>
        </is>
      </c>
      <c r="K420" t="inlineStr">
        <is>
          <t>Moderate risk: improvement backlog linked to incidents, audits, customer feedback, risk and strategy is documented and owned, but measurement, stress testing and integration with dependent processes need strengthening.</t>
        </is>
      </c>
      <c r="L420" t="inlineStr">
        <is>
          <t>Residual risk: improvement backlog linked to incidents, audits, customer feedback, risk and strategy is measured and reviewed, but monitoring, automation or scenario testing should be improved to prevent maturity drift.</t>
        </is>
      </c>
      <c r="M420" t="inlineStr">
        <is>
          <t>Low residual risk: improvement backlog linked to incidents, audits, customer feedback, risk and strategy is mature and crisis-tested. Maintain monitoring, evidence, ownership and periodic stress testing.</t>
        </is>
      </c>
      <c r="N420" t="inlineStr">
        <is>
          <t>Create an immediate risk owner, minimum control baseline and fallback procedure for improvement backlog linked to incidents, audits, customer feedback, risk and strategy. Add it to the crisis risk register and collect first evidence.</t>
        </is>
      </c>
      <c r="O420" t="inlineStr">
        <is>
          <t>Document improvement backlog linked to incidents, audits, customer feedback, risk and strategy, assign RACI, define minimum controls and KPIs, and validate coverage across key sites, teams or systems.</t>
        </is>
      </c>
      <c r="P420" t="inlineStr">
        <is>
          <t>Standardize improvement backlog linked to incidents, audits, customer feedback, risk and strategy, close coverage gaps, train accountable roles and connect controls to the relevant crisis scenarios and continuity plans.</t>
        </is>
      </c>
      <c r="Q420" t="inlineStr">
        <is>
          <t>Measure and test improvement backlog linked to incidents, audits, customer feedback, risk and strategy, run tabletop or operational stress tests, integrate it with dependent processes and update crisis playbooks.</t>
        </is>
      </c>
      <c r="R420" t="inlineStr">
        <is>
          <t>Automate monitoring where practical, define leading indicators, run periodic scenario tests and track residual risk after each major change.</t>
        </is>
      </c>
      <c r="S420" t="inlineStr">
        <is>
          <t>Sustain maturity for improvement backlog linked to incidents, audits, customer feedback, risk and strategy: keep evidence current, monitor drift, benchmark externally and refresh risk tests after organizational, system or market changes.</t>
        </is>
      </c>
      <c r="T420" t="n">
        <v>3</v>
      </c>
      <c r="U420" t="n">
        <v>3</v>
      </c>
      <c r="V420" t="n">
        <v>2</v>
      </c>
      <c r="W420" t="n">
        <v>2</v>
      </c>
      <c r="X420" t="n">
        <v>1</v>
      </c>
      <c r="Y420" t="n">
        <v>1</v>
      </c>
      <c r="Z420" t="inlineStr">
        <is>
          <t>ISO 9001; ISO 21502; ISO 21500; APQC; Lean; Six Sigma; PMBOK; COBIT</t>
        </is>
      </c>
      <c r="AA420" t="inlineStr">
        <is>
          <t>Policy/SOP; owner/RACI; system report; dashboard; contracts; test records; incident history; interview evidence related to improvement backlog linked to incidents, audits, customer feedback, risk and strategy.</t>
        </is>
      </c>
      <c r="AB420" t="inlineStr">
        <is>
          <t>Execution failure; Delivery disruption; Decision failure</t>
        </is>
      </c>
      <c r="AC420" t="inlineStr">
        <is>
          <t>COO / PMO / Quality</t>
        </is>
      </c>
      <c r="AD420" t="inlineStr">
        <is>
          <t>Quality Portfolio!18</t>
        </is>
      </c>
      <c r="AE420">
        <f>IF($A420="","",IF(OR(ISNUMBER(SEARCH("cyber",$D420)),ISNUMBER(SEARCH("security",$D420)),ISNUMBER(SEARCH("safety",$D420)),ISNUMBER(SEARCH("liquidity",$D420)),ISNUMBER(SEARCH("cash",$D420)),ISNUMBER(SEARCH("continuity",$D420)),ISNUMBER(SEARCH("infrastructure",$D420)),ISNUMBER(SEARCH("outage",$D420))),"Fast",IF(OR(ISNUMBER(SEARCH("compliance",$D420)),ISNUMBER(SEARCH("regulat",$D420)),ISNUMBER(SEARCH("data",$D420)),ISNUMBER(SEARCH("talent",$D420)),ISNUMBER(SEARCH("knowledge",$D420)),ISNUMBER(SEARCH("portfolio",$D420)),ISNUMBER(SEARCH("quality",$D420))),"Slow","Medium")))</f>
        <v/>
      </c>
      <c r="AF420">
        <f>IF($A420="","",IFERROR(VLOOKUP($B420,'_CONFIG_Risk_Calibration'!$A$5:$H$21,2,FALSE),3))</f>
        <v/>
      </c>
      <c r="AG420">
        <f>IF($A420="","",IFERROR(VLOOKUP($B420,'_CONFIG_Risk_Calibration'!$A$5:$H$21,3,FALSE),0))</f>
        <v/>
      </c>
      <c r="AH420">
        <f>IF($A420="","",IFERROR(VLOOKUP($B420,'_CONFIG_Risk_Calibration'!$A$5:$H$21,4,FALSE),3))</f>
        <v/>
      </c>
      <c r="AI420">
        <f>IF($A420="","",IFERROR(VLOOKUP($B420,'_CONFIG_Risk_Calibration'!$A$5:$H$21,5,FALSE),3))</f>
        <v/>
      </c>
      <c r="AJ420">
        <f>IF($A420="","",IFERROR(VLOOKUP($B420,'_CONFIG_Risk_Calibration'!$A$5:$H$21,6,FALSE),"No"))</f>
        <v/>
      </c>
      <c r="AK420">
        <f>IF($A420="","",IFERROR(VLOOKUP($B420,'_CONFIG_Risk_Calibration'!$A$5:$H$21,7,FALSE),1))</f>
        <v/>
      </c>
      <c r="AL420">
        <f>IF($A420="","",IFERROR(VLOOKUP($B420,'_CONFIG_Risk_Calibration'!$A$5:$H$21,8,FALSE),""))</f>
        <v/>
      </c>
    </row>
    <row r="421">
      <c r="A421" t="inlineStr">
        <is>
          <t>QUAL-016</t>
        </is>
      </c>
      <c r="B421" t="inlineStr">
        <is>
          <t>Quality Portfolio</t>
        </is>
      </c>
      <c r="C421" t="inlineStr">
        <is>
          <t>Management system</t>
        </is>
      </c>
      <c r="D421" t="inlineStr">
        <is>
          <t>Quality, portfolio and change execution risk</t>
        </is>
      </c>
      <c r="E421" t="inlineStr">
        <is>
          <t>How mature is the organization in managing KPI hierarchy from strategy to functions, processes, teams and crisis readiness, including ownership, evidence, metrics, fallback procedures and crisis stress testing?</t>
        </is>
      </c>
      <c r="F421" t="inlineStr">
        <is>
          <t>Immature capability for KPI hierarchy from strategy to functions, processes, teams and crisis readiness may lead to poor quality control, failed change execution, unmanaged portfolio trade-offs and benefit erosion during Execution failure; Delivery disruption; Decision failure.</t>
        </is>
      </c>
      <c r="G421" t="inlineStr">
        <is>
          <t>Low maturity, weak ownership, incomplete evidence, insufficient testing and poor integration with crisis-management routines for KPI hierarchy from strategy to functions, processes, teams and crisis readiness.</t>
        </is>
      </c>
      <c r="H421" t="inlineStr">
        <is>
          <t>Severe risk: KPI hierarchy from strategy to functions, processes, teams and crisis readiness is not reliably controlled. During Execution failure; Delivery disruption; Decision failure, the organization may face poor quality control, failed change execution, unmanaged portfolio trade-offs and benefit erosion with limited visibility or accountability.</t>
        </is>
      </c>
      <c r="I421" t="inlineStr">
        <is>
          <t>High risk: KPI hierarchy from strategy to functions, processes, teams and crisis readiness depends on informal practices or individual knowledge. Disruption may expose poor quality control, failed change execution, unmanaged portfolio trade-offs and benefit erosion and slow recovery.</t>
        </is>
      </c>
      <c r="J421" t="inlineStr">
        <is>
          <t>Elevated risk: KPI hierarchy from strategy to functions, processes, teams and crisis readiness is partially controlled, but coverage, evidence or testing is inconsistent. Crisis response may be fragmented.</t>
        </is>
      </c>
      <c r="K421" t="inlineStr">
        <is>
          <t>Moderate risk: KPI hierarchy from strategy to functions, processes, teams and crisis readiness is documented and owned, but measurement, stress testing and integration with dependent processes need strengthening.</t>
        </is>
      </c>
      <c r="L421" t="inlineStr">
        <is>
          <t>Residual risk: KPI hierarchy from strategy to functions, processes, teams and crisis readiness is measured and reviewed, but monitoring, automation or scenario testing should be improved to prevent maturity drift.</t>
        </is>
      </c>
      <c r="M421" t="inlineStr">
        <is>
          <t>Low residual risk: KPI hierarchy from strategy to functions, processes, teams and crisis readiness is mature and crisis-tested. Maintain monitoring, evidence, ownership and periodic stress testing.</t>
        </is>
      </c>
      <c r="N421" t="inlineStr">
        <is>
          <t>Create an immediate risk owner, minimum control baseline and fallback procedure for KPI hierarchy from strategy to functions, processes, teams and crisis readiness. Add it to the crisis risk register and collect first evidence.</t>
        </is>
      </c>
      <c r="O421" t="inlineStr">
        <is>
          <t>Document KPI hierarchy from strategy to functions, processes, teams and crisis readiness, assign RACI, define minimum controls and KPIs, and validate coverage across key sites, teams or systems.</t>
        </is>
      </c>
      <c r="P421" t="inlineStr">
        <is>
          <t>Standardize KPI hierarchy from strategy to functions, processes, teams and crisis readiness, close coverage gaps, train accountable roles and connect controls to the relevant crisis scenarios and continuity plans.</t>
        </is>
      </c>
      <c r="Q421" t="inlineStr">
        <is>
          <t>Measure and test KPI hierarchy from strategy to functions, processes, teams and crisis readiness, run tabletop or operational stress tests, integrate it with dependent processes and update crisis playbooks.</t>
        </is>
      </c>
      <c r="R421" t="inlineStr">
        <is>
          <t>Automate monitoring where practical, define leading indicators, run periodic scenario tests and track residual risk after each major change.</t>
        </is>
      </c>
      <c r="S421" t="inlineStr">
        <is>
          <t>Sustain maturity for KPI hierarchy from strategy to functions, processes, teams and crisis readiness: keep evidence current, monitor drift, benchmark externally and refresh risk tests after organizational, system or market changes.</t>
        </is>
      </c>
      <c r="T421" t="n">
        <v>3</v>
      </c>
      <c r="U421" t="n">
        <v>3</v>
      </c>
      <c r="V421" t="n">
        <v>2</v>
      </c>
      <c r="W421" t="n">
        <v>2</v>
      </c>
      <c r="X421" t="n">
        <v>1</v>
      </c>
      <c r="Y421" t="n">
        <v>1</v>
      </c>
      <c r="Z421" t="inlineStr">
        <is>
          <t>ISO 9001; ISO 21502; ISO 21500; APQC; Lean; Six Sigma; PMBOK; COBIT</t>
        </is>
      </c>
      <c r="AA421" t="inlineStr">
        <is>
          <t>Policy/SOP; owner/RACI; system report; dashboard; contracts; test records; incident history; interview evidence related to KPI hierarchy from strategy to functions, processes, teams and crisis readiness.</t>
        </is>
      </c>
      <c r="AB421" t="inlineStr">
        <is>
          <t>Execution failure; Delivery disruption; Decision failure</t>
        </is>
      </c>
      <c r="AC421" t="inlineStr">
        <is>
          <t>COO / PMO / Quality</t>
        </is>
      </c>
      <c r="AD421" t="inlineStr">
        <is>
          <t>Quality Portfolio!19</t>
        </is>
      </c>
      <c r="AE421">
        <f>IF($A421="","",IF(OR(ISNUMBER(SEARCH("cyber",$D421)),ISNUMBER(SEARCH("security",$D421)),ISNUMBER(SEARCH("safety",$D421)),ISNUMBER(SEARCH("liquidity",$D421)),ISNUMBER(SEARCH("cash",$D421)),ISNUMBER(SEARCH("continuity",$D421)),ISNUMBER(SEARCH("infrastructure",$D421)),ISNUMBER(SEARCH("outage",$D421))),"Fast",IF(OR(ISNUMBER(SEARCH("compliance",$D421)),ISNUMBER(SEARCH("regulat",$D421)),ISNUMBER(SEARCH("data",$D421)),ISNUMBER(SEARCH("talent",$D421)),ISNUMBER(SEARCH("knowledge",$D421)),ISNUMBER(SEARCH("portfolio",$D421)),ISNUMBER(SEARCH("quality",$D421))),"Slow","Medium")))</f>
        <v/>
      </c>
      <c r="AF421">
        <f>IF($A421="","",IFERROR(VLOOKUP($B421,'_CONFIG_Risk_Calibration'!$A$5:$H$21,2,FALSE),3))</f>
        <v/>
      </c>
      <c r="AG421">
        <f>IF($A421="","",IFERROR(VLOOKUP($B421,'_CONFIG_Risk_Calibration'!$A$5:$H$21,3,FALSE),0))</f>
        <v/>
      </c>
      <c r="AH421">
        <f>IF($A421="","",IFERROR(VLOOKUP($B421,'_CONFIG_Risk_Calibration'!$A$5:$H$21,4,FALSE),3))</f>
        <v/>
      </c>
      <c r="AI421">
        <f>IF($A421="","",IFERROR(VLOOKUP($B421,'_CONFIG_Risk_Calibration'!$A$5:$H$21,5,FALSE),3))</f>
        <v/>
      </c>
      <c r="AJ421">
        <f>IF($A421="","",IFERROR(VLOOKUP($B421,'_CONFIG_Risk_Calibration'!$A$5:$H$21,6,FALSE),"No"))</f>
        <v/>
      </c>
      <c r="AK421">
        <f>IF($A421="","",IFERROR(VLOOKUP($B421,'_CONFIG_Risk_Calibration'!$A$5:$H$21,7,FALSE),1))</f>
        <v/>
      </c>
      <c r="AL421">
        <f>IF($A421="","",IFERROR(VLOOKUP($B421,'_CONFIG_Risk_Calibration'!$A$5:$H$21,8,FALSE),""))</f>
        <v/>
      </c>
    </row>
    <row r="422">
      <c r="A422" t="inlineStr">
        <is>
          <t>QUAL-017</t>
        </is>
      </c>
      <c r="B422" t="inlineStr">
        <is>
          <t>Quality Portfolio</t>
        </is>
      </c>
      <c r="C422" t="inlineStr">
        <is>
          <t>Management system</t>
        </is>
      </c>
      <c r="D422" t="inlineStr">
        <is>
          <t>Quality, portfolio and change execution risk</t>
        </is>
      </c>
      <c r="E422" t="inlineStr">
        <is>
          <t>How mature is the organization in managing management review of performance, risks, audit findings, incidents, customers and improvements, including ownership, evidence, metrics, fallback procedures and crisis stress testing?</t>
        </is>
      </c>
      <c r="F422" t="inlineStr">
        <is>
          <t>Immature capability for management review of performance, risks, audit findings, incidents, customers and improvements may lead to poor quality control, failed change execution, unmanaged portfolio trade-offs and benefit erosion during Execution failure; Delivery disruption; Decision failure.</t>
        </is>
      </c>
      <c r="G422" t="inlineStr">
        <is>
          <t>Low maturity, weak ownership, incomplete evidence, insufficient testing and poor integration with crisis-management routines for management review of performance, risks, audit findings, incidents, customers and improvements.</t>
        </is>
      </c>
      <c r="H422" t="inlineStr">
        <is>
          <t>Severe risk: management review of performance, risks, audit findings, incidents, customers and improvements is not reliably controlled. During Execution failure; Delivery disruption; Decision failure, the organization may face poor quality control, failed change execution, unmanaged portfolio trade-offs and benefit erosion with limited visibility or accountability.</t>
        </is>
      </c>
      <c r="I422" t="inlineStr">
        <is>
          <t>High risk: management review of performance, risks, audit findings, incidents, customers and improvements depends on informal practices or individual knowledge. Disruption may expose poor quality control, failed change execution, unmanaged portfolio trade-offs and benefit erosion and slow recovery.</t>
        </is>
      </c>
      <c r="J422" t="inlineStr">
        <is>
          <t>Elevated risk: management review of performance, risks, audit findings, incidents, customers and improvements is partially controlled, but coverage, evidence or testing is inconsistent. Crisis response may be fragmented.</t>
        </is>
      </c>
      <c r="K422" t="inlineStr">
        <is>
          <t>Moderate risk: management review of performance, risks, audit findings, incidents, customers and improvements is documented and owned, but measurement, stress testing and integration with dependent processes need strengthening.</t>
        </is>
      </c>
      <c r="L422" t="inlineStr">
        <is>
          <t>Residual risk: management review of performance, risks, audit findings, incidents, customers and improvements is measured and reviewed, but monitoring, automation or scenario testing should be improved to prevent maturity drift.</t>
        </is>
      </c>
      <c r="M422" t="inlineStr">
        <is>
          <t>Low residual risk: management review of performance, risks, audit findings, incidents, customers and improvements is mature and crisis-tested. Maintain monitoring, evidence, ownership and periodic stress testing.</t>
        </is>
      </c>
      <c r="N422" t="inlineStr">
        <is>
          <t>Create an immediate risk owner, minimum control baseline and fallback procedure for management review of performance, risks, audit findings, incidents, customers and improvements. Add it to the crisis risk register and collect first evidence.</t>
        </is>
      </c>
      <c r="O422" t="inlineStr">
        <is>
          <t>Document management review of performance, risks, audit findings, incidents, customers and improvements, assign RACI, define minimum controls and KPIs, and validate coverage across key sites, teams or systems.</t>
        </is>
      </c>
      <c r="P422" t="inlineStr">
        <is>
          <t>Standardize management review of performance, risks, audit findings, incidents, customers and improvements, close coverage gaps, train accountable roles and connect controls to the relevant crisis scenarios and continuity plans.</t>
        </is>
      </c>
      <c r="Q422" t="inlineStr">
        <is>
          <t>Measure and test management review of performance, risks, audit findings, incidents, customers and improvements, run tabletop or operational stress tests, integrate it with dependent processes and update crisis playbooks.</t>
        </is>
      </c>
      <c r="R422" t="inlineStr">
        <is>
          <t>Automate monitoring where practical, define leading indicators, run periodic scenario tests and track residual risk after each major change.</t>
        </is>
      </c>
      <c r="S422" t="inlineStr">
        <is>
          <t>Sustain maturity for management review of performance, risks, audit findings, incidents, customers and improvements: keep evidence current, monitor drift, benchmark externally and refresh risk tests after organizational, system or market changes.</t>
        </is>
      </c>
      <c r="T422" t="n">
        <v>3</v>
      </c>
      <c r="U422" t="n">
        <v>3</v>
      </c>
      <c r="V422" t="n">
        <v>2</v>
      </c>
      <c r="W422" t="n">
        <v>2</v>
      </c>
      <c r="X422" t="n">
        <v>1</v>
      </c>
      <c r="Y422" t="n">
        <v>1</v>
      </c>
      <c r="Z422" t="inlineStr">
        <is>
          <t>ISO 9001; ISO 21502; ISO 21500; APQC; Lean; Six Sigma; PMBOK; COBIT</t>
        </is>
      </c>
      <c r="AA422" t="inlineStr">
        <is>
          <t>Policy/SOP; owner/RACI; system report; dashboard; contracts; test records; incident history; interview evidence related to management review of performance, risks, audit findings, incidents, customers and improvements.</t>
        </is>
      </c>
      <c r="AB422" t="inlineStr">
        <is>
          <t>Execution failure; Delivery disruption; Decision failure</t>
        </is>
      </c>
      <c r="AC422" t="inlineStr">
        <is>
          <t>COO / PMO / Quality</t>
        </is>
      </c>
      <c r="AD422" t="inlineStr">
        <is>
          <t>Quality Portfolio!20</t>
        </is>
      </c>
      <c r="AE422">
        <f>IF($A422="","",IF(OR(ISNUMBER(SEARCH("cyber",$D422)),ISNUMBER(SEARCH("security",$D422)),ISNUMBER(SEARCH("safety",$D422)),ISNUMBER(SEARCH("liquidity",$D422)),ISNUMBER(SEARCH("cash",$D422)),ISNUMBER(SEARCH("continuity",$D422)),ISNUMBER(SEARCH("infrastructure",$D422)),ISNUMBER(SEARCH("outage",$D422))),"Fast",IF(OR(ISNUMBER(SEARCH("compliance",$D422)),ISNUMBER(SEARCH("regulat",$D422)),ISNUMBER(SEARCH("data",$D422)),ISNUMBER(SEARCH("talent",$D422)),ISNUMBER(SEARCH("knowledge",$D422)),ISNUMBER(SEARCH("portfolio",$D422)),ISNUMBER(SEARCH("quality",$D422))),"Slow","Medium")))</f>
        <v/>
      </c>
      <c r="AF422">
        <f>IF($A422="","",IFERROR(VLOOKUP($B422,'_CONFIG_Risk_Calibration'!$A$5:$H$21,2,FALSE),3))</f>
        <v/>
      </c>
      <c r="AG422">
        <f>IF($A422="","",IFERROR(VLOOKUP($B422,'_CONFIG_Risk_Calibration'!$A$5:$H$21,3,FALSE),0))</f>
        <v/>
      </c>
      <c r="AH422">
        <f>IF($A422="","",IFERROR(VLOOKUP($B422,'_CONFIG_Risk_Calibration'!$A$5:$H$21,4,FALSE),3))</f>
        <v/>
      </c>
      <c r="AI422">
        <f>IF($A422="","",IFERROR(VLOOKUP($B422,'_CONFIG_Risk_Calibration'!$A$5:$H$21,5,FALSE),3))</f>
        <v/>
      </c>
      <c r="AJ422">
        <f>IF($A422="","",IFERROR(VLOOKUP($B422,'_CONFIG_Risk_Calibration'!$A$5:$H$21,6,FALSE),"No"))</f>
        <v/>
      </c>
      <c r="AK422">
        <f>IF($A422="","",IFERROR(VLOOKUP($B422,'_CONFIG_Risk_Calibration'!$A$5:$H$21,7,FALSE),1))</f>
        <v/>
      </c>
      <c r="AL422">
        <f>IF($A422="","",IFERROR(VLOOKUP($B422,'_CONFIG_Risk_Calibration'!$A$5:$H$21,8,FALSE),""))</f>
        <v/>
      </c>
    </row>
    <row r="423">
      <c r="A423" t="inlineStr">
        <is>
          <t>QUAL-018</t>
        </is>
      </c>
      <c r="B423" t="inlineStr">
        <is>
          <t>Quality Portfolio</t>
        </is>
      </c>
      <c r="C423" t="inlineStr">
        <is>
          <t>Management system</t>
        </is>
      </c>
      <c r="D423" t="inlineStr">
        <is>
          <t>Quality, portfolio and change execution risk</t>
        </is>
      </c>
      <c r="E423" t="inlineStr">
        <is>
          <t>How mature is the organization in managing decision log for major decisions with alternatives, risks, assumptions, owners and follow-up, including ownership, evidence, metrics, fallback procedures and crisis stress testing?</t>
        </is>
      </c>
      <c r="F423" t="inlineStr">
        <is>
          <t>Immature capability for decision log for major decisions with alternatives, risks, assumptions, owners and follow-up may lead to poor quality control, failed change execution, unmanaged portfolio trade-offs and benefit erosion during Execution failure; Delivery disruption; Decision failure.</t>
        </is>
      </c>
      <c r="G423" t="inlineStr">
        <is>
          <t>Low maturity, weak ownership, incomplete evidence, insufficient testing and poor integration with crisis-management routines for decision log for major decisions with alternatives, risks, assumptions, owners and follow-up.</t>
        </is>
      </c>
      <c r="H423" t="inlineStr">
        <is>
          <t>Severe risk: decision log for major decisions with alternatives, risks, assumptions, owners and follow-up is not reliably controlled. During Execution failure; Delivery disruption; Decision failure, the organization may face poor quality control, failed change execution, unmanaged portfolio trade-offs and benefit erosion with limited visibility or accountability.</t>
        </is>
      </c>
      <c r="I423" t="inlineStr">
        <is>
          <t>High risk: decision log for major decisions with alternatives, risks, assumptions, owners and follow-up depends on informal practices or individual knowledge. Disruption may expose poor quality control, failed change execution, unmanaged portfolio trade-offs and benefit erosion and slow recovery.</t>
        </is>
      </c>
      <c r="J423" t="inlineStr">
        <is>
          <t>Elevated risk: decision log for major decisions with alternatives, risks, assumptions, owners and follow-up is partially controlled, but coverage, evidence or testing is inconsistent. Crisis response may be fragmented.</t>
        </is>
      </c>
      <c r="K423" t="inlineStr">
        <is>
          <t>Moderate risk: decision log for major decisions with alternatives, risks, assumptions, owners and follow-up is documented and owned, but measurement, stress testing and integration with dependent processes need strengthening.</t>
        </is>
      </c>
      <c r="L423" t="inlineStr">
        <is>
          <t>Residual risk: decision log for major decisions with alternatives, risks, assumptions, owners and follow-up is measured and reviewed, but monitoring, automation or scenario testing should be improved to prevent maturity drift.</t>
        </is>
      </c>
      <c r="M423" t="inlineStr">
        <is>
          <t>Low residual risk: decision log for major decisions with alternatives, risks, assumptions, owners and follow-up is mature and crisis-tested. Maintain monitoring, evidence, ownership and periodic stress testing.</t>
        </is>
      </c>
      <c r="N423" t="inlineStr">
        <is>
          <t>Create an immediate risk owner, minimum control baseline and fallback procedure for decision log for major decisions with alternatives, risks, assumptions, owners and follow-up. Add it to the crisis risk register and collect first evidence.</t>
        </is>
      </c>
      <c r="O423" t="inlineStr">
        <is>
          <t>Document decision log for major decisions with alternatives, risks, assumptions, owners and follow-up, assign RACI, define minimum controls and KPIs, and validate coverage across key sites, teams or systems.</t>
        </is>
      </c>
      <c r="P423" t="inlineStr">
        <is>
          <t>Standardize decision log for major decisions with alternatives, risks, assumptions, owners and follow-up, close coverage gaps, train accountable roles and connect controls to the relevant crisis scenarios and continuity plans.</t>
        </is>
      </c>
      <c r="Q423" t="inlineStr">
        <is>
          <t>Measure and test decision log for major decisions with alternatives, risks, assumptions, owners and follow-up, run tabletop or operational stress tests, integrate it with dependent processes and update crisis playbooks.</t>
        </is>
      </c>
      <c r="R423" t="inlineStr">
        <is>
          <t>Automate monitoring where practical, define leading indicators, run periodic scenario tests and track residual risk after each major change.</t>
        </is>
      </c>
      <c r="S423" t="inlineStr">
        <is>
          <t>Sustain maturity for decision log for major decisions with alternatives, risks, assumptions, owners and follow-up: keep evidence current, monitor drift, benchmark externally and refresh risk tests after organizational, system or market changes.</t>
        </is>
      </c>
      <c r="T423" t="n">
        <v>3</v>
      </c>
      <c r="U423" t="n">
        <v>3</v>
      </c>
      <c r="V423" t="n">
        <v>2</v>
      </c>
      <c r="W423" t="n">
        <v>2</v>
      </c>
      <c r="X423" t="n">
        <v>1</v>
      </c>
      <c r="Y423" t="n">
        <v>1</v>
      </c>
      <c r="Z423" t="inlineStr">
        <is>
          <t>ISO 9001; ISO 21502; ISO 21500; APQC; Lean; Six Sigma; PMBOK; COBIT</t>
        </is>
      </c>
      <c r="AA423" t="inlineStr">
        <is>
          <t>Policy/SOP; owner/RACI; system report; dashboard; contracts; test records; incident history; interview evidence related to decision log for major decisions with alternatives, risks, assumptions, owners and follow-up.</t>
        </is>
      </c>
      <c r="AB423" t="inlineStr">
        <is>
          <t>Execution failure; Delivery disruption; Decision failure</t>
        </is>
      </c>
      <c r="AC423" t="inlineStr">
        <is>
          <t>COO / PMO / Quality</t>
        </is>
      </c>
      <c r="AD423" t="inlineStr">
        <is>
          <t>Quality Portfolio!21</t>
        </is>
      </c>
      <c r="AE423">
        <f>IF($A423="","",IF(OR(ISNUMBER(SEARCH("cyber",$D423)),ISNUMBER(SEARCH("security",$D423)),ISNUMBER(SEARCH("safety",$D423)),ISNUMBER(SEARCH("liquidity",$D423)),ISNUMBER(SEARCH("cash",$D423)),ISNUMBER(SEARCH("continuity",$D423)),ISNUMBER(SEARCH("infrastructure",$D423)),ISNUMBER(SEARCH("outage",$D423))),"Fast",IF(OR(ISNUMBER(SEARCH("compliance",$D423)),ISNUMBER(SEARCH("regulat",$D423)),ISNUMBER(SEARCH("data",$D423)),ISNUMBER(SEARCH("talent",$D423)),ISNUMBER(SEARCH("knowledge",$D423)),ISNUMBER(SEARCH("portfolio",$D423)),ISNUMBER(SEARCH("quality",$D423))),"Slow","Medium")))</f>
        <v/>
      </c>
      <c r="AF423">
        <f>IF($A423="","",IFERROR(VLOOKUP($B423,'_CONFIG_Risk_Calibration'!$A$5:$H$21,2,FALSE),3))</f>
        <v/>
      </c>
      <c r="AG423">
        <f>IF($A423="","",IFERROR(VLOOKUP($B423,'_CONFIG_Risk_Calibration'!$A$5:$H$21,3,FALSE),0))</f>
        <v/>
      </c>
      <c r="AH423">
        <f>IF($A423="","",IFERROR(VLOOKUP($B423,'_CONFIG_Risk_Calibration'!$A$5:$H$21,4,FALSE),3))</f>
        <v/>
      </c>
      <c r="AI423">
        <f>IF($A423="","",IFERROR(VLOOKUP($B423,'_CONFIG_Risk_Calibration'!$A$5:$H$21,5,FALSE),3))</f>
        <v/>
      </c>
      <c r="AJ423">
        <f>IF($A423="","",IFERROR(VLOOKUP($B423,'_CONFIG_Risk_Calibration'!$A$5:$H$21,6,FALSE),"No"))</f>
        <v/>
      </c>
      <c r="AK423">
        <f>IF($A423="","",IFERROR(VLOOKUP($B423,'_CONFIG_Risk_Calibration'!$A$5:$H$21,7,FALSE),1))</f>
        <v/>
      </c>
      <c r="AL423">
        <f>IF($A423="","",IFERROR(VLOOKUP($B423,'_CONFIG_Risk_Calibration'!$A$5:$H$21,8,FALSE),""))</f>
        <v/>
      </c>
    </row>
    <row r="424">
      <c r="A424" t="inlineStr">
        <is>
          <t>QUAL-019</t>
        </is>
      </c>
      <c r="B424" t="inlineStr">
        <is>
          <t>Quality Portfolio</t>
        </is>
      </c>
      <c r="C424" t="inlineStr">
        <is>
          <t>Management system</t>
        </is>
      </c>
      <c r="D424" t="inlineStr">
        <is>
          <t>Quality, portfolio and change execution risk</t>
        </is>
      </c>
      <c r="E424" t="inlineStr">
        <is>
          <t>How mature is the organization in managing evidence readiness for audits, customers, insurers or regulators during crisis, including ownership, evidence, metrics, fallback procedures and crisis stress testing?</t>
        </is>
      </c>
      <c r="F424" t="inlineStr">
        <is>
          <t>Immature capability for evidence readiness for audits, customers, insurers or regulators during crisis may lead to poor quality control, failed change execution, unmanaged portfolio trade-offs and benefit erosion during Execution failure; Delivery disruption; Decision failure.</t>
        </is>
      </c>
      <c r="G424" t="inlineStr">
        <is>
          <t>Low maturity, weak ownership, incomplete evidence, insufficient testing and poor integration with crisis-management routines for evidence readiness for audits, customers, insurers or regulators during crisis.</t>
        </is>
      </c>
      <c r="H424" t="inlineStr">
        <is>
          <t>Severe risk: evidence readiness for audits, customers, insurers or regulators during crisis is not reliably controlled. During Execution failure; Delivery disruption; Decision failure, the organization may face poor quality control, failed change execution, unmanaged portfolio trade-offs and benefit erosion with limited visibility or accountability.</t>
        </is>
      </c>
      <c r="I424" t="inlineStr">
        <is>
          <t>High risk: evidence readiness for audits, customers, insurers or regulators during crisis depends on informal practices or individual knowledge. Disruption may expose poor quality control, failed change execution, unmanaged portfolio trade-offs and benefit erosion and slow recovery.</t>
        </is>
      </c>
      <c r="J424" t="inlineStr">
        <is>
          <t>Elevated risk: evidence readiness for audits, customers, insurers or regulators during crisis is partially controlled, but coverage, evidence or testing is inconsistent. Crisis response may be fragmented.</t>
        </is>
      </c>
      <c r="K424" t="inlineStr">
        <is>
          <t>Moderate risk: evidence readiness for audits, customers, insurers or regulators during crisis is documented and owned, but measurement, stress testing and integration with dependent processes need strengthening.</t>
        </is>
      </c>
      <c r="L424" t="inlineStr">
        <is>
          <t>Residual risk: evidence readiness for audits, customers, insurers or regulators during crisis is measured and reviewed, but monitoring, automation or scenario testing should be improved to prevent maturity drift.</t>
        </is>
      </c>
      <c r="M424" t="inlineStr">
        <is>
          <t>Low residual risk: evidence readiness for audits, customers, insurers or regulators during crisis is mature and crisis-tested. Maintain monitoring, evidence, ownership and periodic stress testing.</t>
        </is>
      </c>
      <c r="N424" t="inlineStr">
        <is>
          <t>Create an immediate risk owner, minimum control baseline and fallback procedure for evidence readiness for audits, customers, insurers or regulators during crisis. Add it to the crisis risk register and collect first evidence.</t>
        </is>
      </c>
      <c r="O424" t="inlineStr">
        <is>
          <t>Document evidence readiness for audits, customers, insurers or regulators during crisis, assign RACI, define minimum controls and KPIs, and validate coverage across key sites, teams or systems.</t>
        </is>
      </c>
      <c r="P424" t="inlineStr">
        <is>
          <t>Standardize evidence readiness for audits, customers, insurers or regulators during crisis, close coverage gaps, train accountable roles and connect controls to the relevant crisis scenarios and continuity plans.</t>
        </is>
      </c>
      <c r="Q424" t="inlineStr">
        <is>
          <t>Measure and test evidence readiness for audits, customers, insurers or regulators during crisis, run tabletop or operational stress tests, integrate it with dependent processes and update crisis playbooks.</t>
        </is>
      </c>
      <c r="R424" t="inlineStr">
        <is>
          <t>Automate monitoring where practical, define leading indicators, run periodic scenario tests and track residual risk after each major change.</t>
        </is>
      </c>
      <c r="S424" t="inlineStr">
        <is>
          <t>Sustain maturity for evidence readiness for audits, customers, insurers or regulators during crisis: keep evidence current, monitor drift, benchmark externally and refresh risk tests after organizational, system or market changes.</t>
        </is>
      </c>
      <c r="T424" t="n">
        <v>3</v>
      </c>
      <c r="U424" t="n">
        <v>3</v>
      </c>
      <c r="V424" t="n">
        <v>2</v>
      </c>
      <c r="W424" t="n">
        <v>2</v>
      </c>
      <c r="X424" t="n">
        <v>1</v>
      </c>
      <c r="Y424" t="n">
        <v>1</v>
      </c>
      <c r="Z424" t="inlineStr">
        <is>
          <t>ISO 9001; ISO 21502; ISO 21500; APQC; Lean; Six Sigma; PMBOK; COBIT</t>
        </is>
      </c>
      <c r="AA424" t="inlineStr">
        <is>
          <t>Policy/SOP; owner/RACI; system report; dashboard; contracts; test records; incident history; interview evidence related to evidence readiness for audits, customers, insurers or regulators during crisis.</t>
        </is>
      </c>
      <c r="AB424" t="inlineStr">
        <is>
          <t>Execution failure; Delivery disruption; Decision failure</t>
        </is>
      </c>
      <c r="AC424" t="inlineStr">
        <is>
          <t>COO / PMO / Quality</t>
        </is>
      </c>
      <c r="AD424" t="inlineStr">
        <is>
          <t>Quality Portfolio!22</t>
        </is>
      </c>
      <c r="AE424">
        <f>IF($A424="","",IF(OR(ISNUMBER(SEARCH("cyber",$D424)),ISNUMBER(SEARCH("security",$D424)),ISNUMBER(SEARCH("safety",$D424)),ISNUMBER(SEARCH("liquidity",$D424)),ISNUMBER(SEARCH("cash",$D424)),ISNUMBER(SEARCH("continuity",$D424)),ISNUMBER(SEARCH("infrastructure",$D424)),ISNUMBER(SEARCH("outage",$D424))),"Fast",IF(OR(ISNUMBER(SEARCH("compliance",$D424)),ISNUMBER(SEARCH("regulat",$D424)),ISNUMBER(SEARCH("data",$D424)),ISNUMBER(SEARCH("talent",$D424)),ISNUMBER(SEARCH("knowledge",$D424)),ISNUMBER(SEARCH("portfolio",$D424)),ISNUMBER(SEARCH("quality",$D424))),"Slow","Medium")))</f>
        <v/>
      </c>
      <c r="AF424">
        <f>IF($A424="","",IFERROR(VLOOKUP($B424,'_CONFIG_Risk_Calibration'!$A$5:$H$21,2,FALSE),3))</f>
        <v/>
      </c>
      <c r="AG424">
        <f>IF($A424="","",IFERROR(VLOOKUP($B424,'_CONFIG_Risk_Calibration'!$A$5:$H$21,3,FALSE),0))</f>
        <v/>
      </c>
      <c r="AH424">
        <f>IF($A424="","",IFERROR(VLOOKUP($B424,'_CONFIG_Risk_Calibration'!$A$5:$H$21,4,FALSE),3))</f>
        <v/>
      </c>
      <c r="AI424">
        <f>IF($A424="","",IFERROR(VLOOKUP($B424,'_CONFIG_Risk_Calibration'!$A$5:$H$21,5,FALSE),3))</f>
        <v/>
      </c>
      <c r="AJ424">
        <f>IF($A424="","",IFERROR(VLOOKUP($B424,'_CONFIG_Risk_Calibration'!$A$5:$H$21,6,FALSE),"No"))</f>
        <v/>
      </c>
      <c r="AK424">
        <f>IF($A424="","",IFERROR(VLOOKUP($B424,'_CONFIG_Risk_Calibration'!$A$5:$H$21,7,FALSE),1))</f>
        <v/>
      </c>
      <c r="AL424">
        <f>IF($A424="","",IFERROR(VLOOKUP($B424,'_CONFIG_Risk_Calibration'!$A$5:$H$21,8,FALSE),""))</f>
        <v/>
      </c>
    </row>
    <row r="425">
      <c r="A425" t="inlineStr">
        <is>
          <t>QUAL-021</t>
        </is>
      </c>
      <c r="B425" t="inlineStr">
        <is>
          <t>Quality Portfolio</t>
        </is>
      </c>
      <c r="C425" t="inlineStr">
        <is>
          <t>Portfolio and change</t>
        </is>
      </c>
      <c r="D425" t="inlineStr">
        <is>
          <t>Portfolio governance and delivery capability</t>
        </is>
      </c>
      <c r="E425" t="inlineStr">
        <is>
          <t>How mature is the organization in managing organizational project management alignment connecting strategy to portfolios, programs and projects with defined governance layers, including ownership, evidence, metrics, fallback procedures and crisis stress testing?</t>
        </is>
      </c>
      <c r="F425" t="inlineStr">
        <is>
          <t>Immature capability for organizational project management alignment connecting strategy to portfolios, programs and projects with defined governance layers may lead to initiatives disconnected from strategy, duplicated effort and value leakage across the portfolio during Financial/liquidity crisis; Demand shock.</t>
        </is>
      </c>
      <c r="G425" t="inlineStr">
        <is>
          <t>Low maturity, weak ownership, incomplete evidence, insufficient testing and poor integration with crisis-management routines for organizational project management alignment connecting strategy to portfolios, programs and projects with defined governance layers.</t>
        </is>
      </c>
      <c r="H425" t="inlineStr">
        <is>
          <t>Severe risk: organizational project management alignment connecting strategy to portfolios, programs and projects with defined governance layers is not reliably controlled. During Financial/liquidity crisis; Demand shock, the organization may face initiatives disconnected from strategy, duplicated effort and value leakage across the portfolio with limited visibility or accountability.</t>
        </is>
      </c>
      <c r="I425" t="inlineStr">
        <is>
          <t>High risk: organizational project management alignment connecting strategy to portfolios, programs and projects with defined governance layers depends on informal practices or individual knowledge. Disruption may expose initiatives disconnected from strategy, duplicated effort and value leakage across the portfolio and slow recovery.</t>
        </is>
      </c>
      <c r="J425" t="inlineStr">
        <is>
          <t>Elevated risk: organizational project management alignment connecting strategy to portfolios, programs and projects with defined governance layers is partially controlled, but coverage, evidence or testing is inconsistent. Crisis response may be fragmented.</t>
        </is>
      </c>
      <c r="K425" t="inlineStr">
        <is>
          <t>Moderate risk: organizational project management alignment connecting strategy to portfolios, programs and projects with defined governance layers is documented and owned, but measurement, stress testing and integration with dependent processes need strengthening.</t>
        </is>
      </c>
      <c r="L425" t="inlineStr">
        <is>
          <t>Residual risk: organizational project management alignment connecting strategy to portfolios, programs and projects with defined governance layers is measured and reviewed, but monitoring, automation or scenario testing should be improved to prevent maturity drift.</t>
        </is>
      </c>
      <c r="M425" t="inlineStr">
        <is>
          <t>Low residual risk: organizational project management alignment connecting strategy to portfolios, programs and projects with defined governance layers is mature and crisis-tested. Maintain monitoring, evidence, ownership and periodic stress testing.</t>
        </is>
      </c>
      <c r="N425" t="inlineStr">
        <is>
          <t>Create an immediate risk owner, minimum control baseline and fallback procedure for organizational project management alignment connecting strategy to portfolios, programs and projects with defined governance layers. Add it to the crisis risk register and collect first evidence.</t>
        </is>
      </c>
      <c r="O425" t="inlineStr">
        <is>
          <t>Document organizational project management alignment connecting strategy to portfolios, programs and projects with defined governance layers, assign RACI, define minimum controls and KPIs, and validate coverage across key sites, teams or systems.</t>
        </is>
      </c>
      <c r="P425" t="inlineStr">
        <is>
          <t>Standardize organizational project management alignment connecting strategy to portfolios, programs and projects with defined governance layers, close coverage gaps, train accountable roles and connect controls to the relevant crisis scenarios and continuity plans.</t>
        </is>
      </c>
      <c r="Q425" t="inlineStr">
        <is>
          <t>Measure and test organizational project management alignment connecting strategy to portfolios, programs and projects with defined governance layers, run tabletop or operational stress tests, integrate it with dependent processes and update crisis playbooks.</t>
        </is>
      </c>
      <c r="R425" t="inlineStr">
        <is>
          <t>Automate monitoring where practical, define leading indicators, run periodic scenario tests and track residual risk after each major change.</t>
        </is>
      </c>
      <c r="S425" t="inlineStr">
        <is>
          <t>Sustain maturity for organizational project management alignment connecting strategy to portfolios, programs and projects with defined governance layers: keep evidence current, monitor drift, benchmark externally and refresh risk tests after organizational, system or market changes.</t>
        </is>
      </c>
      <c r="T425" t="n">
        <v>3</v>
      </c>
      <c r="U425" t="n">
        <v>3</v>
      </c>
      <c r="V425" t="n">
        <v>2</v>
      </c>
      <c r="W425" t="n">
        <v>2</v>
      </c>
      <c r="X425" t="n">
        <v>1</v>
      </c>
      <c r="Y425" t="n">
        <v>1</v>
      </c>
      <c r="Z425" t="inlineStr">
        <is>
          <t>PMI Standard for OPM; ISO 21502; APQC PCF 13.0</t>
        </is>
      </c>
      <c r="AA425" t="inlineStr">
        <is>
          <t>Policy/SOP; owner/RACI; system report; dashboard; contracts; test records; incident history; interview evidence related to organizational project management alignment connecting strategy to portfolios, programs and projects with defined governance layers</t>
        </is>
      </c>
      <c r="AB425" t="inlineStr">
        <is>
          <t>Financial/liquidity crisis; Demand shock</t>
        </is>
      </c>
      <c r="AC425" t="inlineStr">
        <is>
          <t>PMO / COO</t>
        </is>
      </c>
      <c r="AD425" t="inlineStr">
        <is>
          <t>Quality Portfolio!23</t>
        </is>
      </c>
      <c r="AE425">
        <f>IF($A425="","",IF(OR(ISNUMBER(SEARCH("cyber",$D425)),ISNUMBER(SEARCH("security",$D425)),ISNUMBER(SEARCH("safety",$D425)),ISNUMBER(SEARCH("liquidity",$D425)),ISNUMBER(SEARCH("cash",$D425)),ISNUMBER(SEARCH("continuity",$D425)),ISNUMBER(SEARCH("infrastructure",$D425)),ISNUMBER(SEARCH("outage",$D425))),"Fast",IF(OR(ISNUMBER(SEARCH("compliance",$D425)),ISNUMBER(SEARCH("regulat",$D425)),ISNUMBER(SEARCH("data",$D425)),ISNUMBER(SEARCH("talent",$D425)),ISNUMBER(SEARCH("knowledge",$D425)),ISNUMBER(SEARCH("portfolio",$D425)),ISNUMBER(SEARCH("quality",$D425))),"Slow","Medium")))</f>
        <v/>
      </c>
      <c r="AF425">
        <f>IF($A425="","",IFERROR(VLOOKUP($B425,'_CONFIG_Risk_Calibration'!$A$5:$H$21,2,FALSE),3))</f>
        <v/>
      </c>
      <c r="AG425">
        <f>IF($A425="","",IFERROR(VLOOKUP($B425,'_CONFIG_Risk_Calibration'!$A$5:$H$21,3,FALSE),0))</f>
        <v/>
      </c>
      <c r="AH425">
        <f>IF($A425="","",IFERROR(VLOOKUP($B425,'_CONFIG_Risk_Calibration'!$A$5:$H$21,4,FALSE),3))</f>
        <v/>
      </c>
      <c r="AI425">
        <f>IF($A425="","",IFERROR(VLOOKUP($B425,'_CONFIG_Risk_Calibration'!$A$5:$H$21,5,FALSE),3))</f>
        <v/>
      </c>
      <c r="AJ425">
        <f>IF($A425="","",IFERROR(VLOOKUP($B425,'_CONFIG_Risk_Calibration'!$A$5:$H$21,6,FALSE),"No"))</f>
        <v/>
      </c>
      <c r="AK425">
        <f>IF($A425="","",IFERROR(VLOOKUP($B425,'_CONFIG_Risk_Calibration'!$A$5:$H$21,7,FALSE),1))</f>
        <v/>
      </c>
      <c r="AL425">
        <f>IF($A425="","",IFERROR(VLOOKUP($B425,'_CONFIG_Risk_Calibration'!$A$5:$H$21,8,FALSE),""))</f>
        <v/>
      </c>
    </row>
    <row r="426">
      <c r="A426" t="inlineStr">
        <is>
          <t>QUAL-022</t>
        </is>
      </c>
      <c r="B426" t="inlineStr">
        <is>
          <t>Quality Portfolio</t>
        </is>
      </c>
      <c r="C426" t="inlineStr">
        <is>
          <t>Portfolio and change</t>
        </is>
      </c>
      <c r="D426" t="inlineStr">
        <is>
          <t>Portfolio governance and delivery capability</t>
        </is>
      </c>
      <c r="E426" t="inlineStr">
        <is>
          <t>How mature is the organization in managing standardized and tailored project delivery methodology with knowledge transfer between initiatives, including ownership, evidence, metrics, fallback procedures and crisis stress testing?</t>
        </is>
      </c>
      <c r="F426" t="inlineStr">
        <is>
          <t>Immature capability for standardized and tailored project delivery methodology with knowledge transfer between initiatives may lead to every project reinventing its approach, repeated mistakes and unpredictable delivery quality during Demand shock; Workforce disruption.</t>
        </is>
      </c>
      <c r="G426" t="inlineStr">
        <is>
          <t>Low maturity, weak ownership, incomplete evidence, insufficient testing and poor integration with crisis-management routines for standardized and tailored project delivery methodology with knowledge transfer between initiatives.</t>
        </is>
      </c>
      <c r="H426" t="inlineStr">
        <is>
          <t>Severe risk: standardized and tailored project delivery methodology with knowledge transfer between initiatives is not reliably controlled. During Demand shock; Workforce disruption, the organization may face every project reinventing its approach, repeated mistakes and unpredictable delivery quality with limited visibility or accountability.</t>
        </is>
      </c>
      <c r="I426" t="inlineStr">
        <is>
          <t>High risk: standardized and tailored project delivery methodology with knowledge transfer between initiatives depends on informal practices or individual knowledge. Disruption may expose every project reinventing its approach, repeated mistakes and unpredictable delivery quality and slow recovery.</t>
        </is>
      </c>
      <c r="J426" t="inlineStr">
        <is>
          <t>Elevated risk: standardized and tailored project delivery methodology with knowledge transfer between initiatives is partially controlled, but coverage, evidence or testing is inconsistent. Crisis response may be fragmented.</t>
        </is>
      </c>
      <c r="K426" t="inlineStr">
        <is>
          <t>Moderate risk: standardized and tailored project delivery methodology with knowledge transfer between initiatives is documented and owned, but measurement, stress testing and integration with dependent processes need strengthening.</t>
        </is>
      </c>
      <c r="L426" t="inlineStr">
        <is>
          <t>Residual risk: standardized and tailored project delivery methodology with knowledge transfer between initiatives is measured and reviewed, but monitoring, automation or scenario testing should be improved to prevent maturity drift.</t>
        </is>
      </c>
      <c r="M426" t="inlineStr">
        <is>
          <t>Low residual risk: standardized and tailored project delivery methodology with knowledge transfer between initiatives is mature and crisis-tested. Maintain monitoring, evidence, ownership and periodic stress testing.</t>
        </is>
      </c>
      <c r="N426" t="inlineStr">
        <is>
          <t>Create an immediate risk owner, minimum control baseline and fallback procedure for standardized and tailored project delivery methodology with knowledge transfer between initiatives. Add it to the crisis risk register and collect first evidence.</t>
        </is>
      </c>
      <c r="O426" t="inlineStr">
        <is>
          <t>Document standardized and tailored project delivery methodology with knowledge transfer between initiatives, assign RACI, define minimum controls and KPIs, and validate coverage across key sites, teams or systems.</t>
        </is>
      </c>
      <c r="P426" t="inlineStr">
        <is>
          <t>Standardize standardized and tailored project delivery methodology with knowledge transfer between initiatives, close coverage gaps, train accountable roles and connect controls to the relevant crisis scenarios and continuity plans.</t>
        </is>
      </c>
      <c r="Q426" t="inlineStr">
        <is>
          <t>Measure and test standardized and tailored project delivery methodology with knowledge transfer between initiatives, run tabletop or operational stress tests, integrate it with dependent processes and update crisis playbooks.</t>
        </is>
      </c>
      <c r="R426" t="inlineStr">
        <is>
          <t>Automate monitoring where practical, define leading indicators, run periodic scenario tests and track residual risk after each major change.</t>
        </is>
      </c>
      <c r="S426" t="inlineStr">
        <is>
          <t>Sustain maturity for standardized and tailored project delivery methodology with knowledge transfer between initiatives: keep evidence current, monitor drift, benchmark externally and refresh risk tests after organizational, system or market changes.</t>
        </is>
      </c>
      <c r="T426" t="n">
        <v>2</v>
      </c>
      <c r="U426" t="n">
        <v>2</v>
      </c>
      <c r="V426" t="n">
        <v>2</v>
      </c>
      <c r="W426" t="n">
        <v>2</v>
      </c>
      <c r="X426" t="n">
        <v>1</v>
      </c>
      <c r="Y426" t="n">
        <v>1</v>
      </c>
      <c r="Z426" t="inlineStr">
        <is>
          <t>PMI OPM; PMBOK; ISO 21502</t>
        </is>
      </c>
      <c r="AA426" t="inlineStr">
        <is>
          <t>Policy/SOP; owner/RACI; system report; dashboard; contracts; test records; incident history; interview evidence related to standardized and tailored project delivery methodology with knowledge transfer between initiatives</t>
        </is>
      </c>
      <c r="AB426" t="inlineStr">
        <is>
          <t>Demand shock; Workforce disruption</t>
        </is>
      </c>
      <c r="AC426" t="inlineStr">
        <is>
          <t>PMO</t>
        </is>
      </c>
      <c r="AD426" t="inlineStr">
        <is>
          <t>Quality Portfolio!24</t>
        </is>
      </c>
      <c r="AE426">
        <f>IF($A426="","",IF(OR(ISNUMBER(SEARCH("cyber",$D426)),ISNUMBER(SEARCH("security",$D426)),ISNUMBER(SEARCH("safety",$D426)),ISNUMBER(SEARCH("liquidity",$D426)),ISNUMBER(SEARCH("cash",$D426)),ISNUMBER(SEARCH("continuity",$D426)),ISNUMBER(SEARCH("infrastructure",$D426)),ISNUMBER(SEARCH("outage",$D426))),"Fast",IF(OR(ISNUMBER(SEARCH("compliance",$D426)),ISNUMBER(SEARCH("regulat",$D426)),ISNUMBER(SEARCH("data",$D426)),ISNUMBER(SEARCH("talent",$D426)),ISNUMBER(SEARCH("knowledge",$D426)),ISNUMBER(SEARCH("portfolio",$D426)),ISNUMBER(SEARCH("quality",$D426))),"Slow","Medium")))</f>
        <v/>
      </c>
      <c r="AF426">
        <f>IF($A426="","",IFERROR(VLOOKUP($B426,'_CONFIG_Risk_Calibration'!$A$5:$H$21,2,FALSE),3))</f>
        <v/>
      </c>
      <c r="AG426">
        <f>IF($A426="","",IFERROR(VLOOKUP($B426,'_CONFIG_Risk_Calibration'!$A$5:$H$21,3,FALSE),0))</f>
        <v/>
      </c>
      <c r="AH426">
        <f>IF($A426="","",IFERROR(VLOOKUP($B426,'_CONFIG_Risk_Calibration'!$A$5:$H$21,4,FALSE),3))</f>
        <v/>
      </c>
      <c r="AI426">
        <f>IF($A426="","",IFERROR(VLOOKUP($B426,'_CONFIG_Risk_Calibration'!$A$5:$H$21,5,FALSE),3))</f>
        <v/>
      </c>
      <c r="AJ426">
        <f>IF($A426="","",IFERROR(VLOOKUP($B426,'_CONFIG_Risk_Calibration'!$A$5:$H$21,6,FALSE),"No"))</f>
        <v/>
      </c>
      <c r="AK426">
        <f>IF($A426="","",IFERROR(VLOOKUP($B426,'_CONFIG_Risk_Calibration'!$A$5:$H$21,7,FALSE),1))</f>
        <v/>
      </c>
      <c r="AL426">
        <f>IF($A426="","",IFERROR(VLOOKUP($B426,'_CONFIG_Risk_Calibration'!$A$5:$H$21,8,FALSE),""))</f>
        <v/>
      </c>
    </row>
    <row r="427">
      <c r="A427" t="inlineStr">
        <is>
          <t>QUAL-023</t>
        </is>
      </c>
      <c r="B427" t="inlineStr">
        <is>
          <t>Quality Portfolio</t>
        </is>
      </c>
      <c r="C427" t="inlineStr">
        <is>
          <t>Portfolio and change</t>
        </is>
      </c>
      <c r="D427" t="inlineStr">
        <is>
          <t>Portfolio governance and delivery capability</t>
        </is>
      </c>
      <c r="E427" t="inlineStr">
        <is>
          <t>How mature is the organization in managing project and change management competency development with a visible resource pool and capacity view, including ownership, evidence, metrics, fallback procedures and crisis stress testing?</t>
        </is>
      </c>
      <c r="F427" t="inlineStr">
        <is>
          <t>Immature capability for project and change management competency development with a visible resource pool and capacity view may lead to initiative overload on few skilled people, delivery bottlenecks and burnout of change leaders during Workforce disruption; Demand shock.</t>
        </is>
      </c>
      <c r="G427" t="inlineStr">
        <is>
          <t>Low maturity, weak ownership, incomplete evidence, insufficient testing and poor integration with crisis-management routines for project and change management competency development with a visible resource pool and capacity view.</t>
        </is>
      </c>
      <c r="H427" t="inlineStr">
        <is>
          <t>Severe risk: project and change management competency development with a visible resource pool and capacity view is not reliably controlled. During Workforce disruption; Demand shock, the organization may face initiative overload on few skilled people, delivery bottlenecks and burnout of change leaders with limited visibility or accountability.</t>
        </is>
      </c>
      <c r="I427" t="inlineStr">
        <is>
          <t>High risk: project and change management competency development with a visible resource pool and capacity view depends on informal practices or individual knowledge. Disruption may expose initiative overload on few skilled people, delivery bottlenecks and burnout of change leaders and slow recovery.</t>
        </is>
      </c>
      <c r="J427" t="inlineStr">
        <is>
          <t>Elevated risk: project and change management competency development with a visible resource pool and capacity view is partially controlled, but coverage, evidence or testing is inconsistent. Crisis response may be fragmented.</t>
        </is>
      </c>
      <c r="K427" t="inlineStr">
        <is>
          <t>Moderate risk: project and change management competency development with a visible resource pool and capacity view is documented and owned, but measurement, stress testing and integration with dependent processes need strengthening.</t>
        </is>
      </c>
      <c r="L427" t="inlineStr">
        <is>
          <t>Residual risk: project and change management competency development with a visible resource pool and capacity view is measured and reviewed, but monitoring, automation or scenario testing should be improved to prevent maturity drift.</t>
        </is>
      </c>
      <c r="M427" t="inlineStr">
        <is>
          <t>Low residual risk: project and change management competency development with a visible resource pool and capacity view is mature and crisis-tested. Maintain monitoring, evidence, ownership and periodic stress testing.</t>
        </is>
      </c>
      <c r="N427" t="inlineStr">
        <is>
          <t>Create an immediate risk owner, minimum control baseline and fallback procedure for project and change management competency development with a visible resource pool and capacity view. Add it to the crisis risk register and collect first evidence.</t>
        </is>
      </c>
      <c r="O427" t="inlineStr">
        <is>
          <t>Document project and change management competency development with a visible resource pool and capacity view, assign RACI, define minimum controls and KPIs, and validate coverage across key sites, teams or systems.</t>
        </is>
      </c>
      <c r="P427" t="inlineStr">
        <is>
          <t>Standardize project and change management competency development with a visible resource pool and capacity view, close coverage gaps, train accountable roles and connect controls to the relevant crisis scenarios and continuity plans.</t>
        </is>
      </c>
      <c r="Q427" t="inlineStr">
        <is>
          <t>Measure and test project and change management competency development with a visible resource pool and capacity view, run tabletop or operational stress tests, integrate it with dependent processes and update crisis playbooks.</t>
        </is>
      </c>
      <c r="R427" t="inlineStr">
        <is>
          <t>Automate monitoring where practical, define leading indicators, run periodic scenario tests and track residual risk after each major change.</t>
        </is>
      </c>
      <c r="S427" t="inlineStr">
        <is>
          <t>Sustain maturity for project and change management competency development with a visible resource pool and capacity view: keep evidence current, monitor drift, benchmark externally and refresh risk tests after organizational, system or market changes.</t>
        </is>
      </c>
      <c r="T427" t="n">
        <v>2</v>
      </c>
      <c r="U427" t="n">
        <v>2</v>
      </c>
      <c r="V427" t="n">
        <v>2</v>
      </c>
      <c r="W427" t="n">
        <v>2</v>
      </c>
      <c r="X427" t="n">
        <v>1</v>
      </c>
      <c r="Y427" t="n">
        <v>1</v>
      </c>
      <c r="Z427" t="inlineStr">
        <is>
          <t>PMI OPM organizational enablers; APQC PCF 13.0</t>
        </is>
      </c>
      <c r="AA427" t="inlineStr">
        <is>
          <t>Policy/SOP; owner/RACI; system report; dashboard; contracts; test records; incident history; interview evidence related to project and change management competency development with a visible resource pool and capacity view</t>
        </is>
      </c>
      <c r="AB427" t="inlineStr">
        <is>
          <t>Workforce disruption; Demand shock</t>
        </is>
      </c>
      <c r="AC427" t="inlineStr">
        <is>
          <t>PMO / HR</t>
        </is>
      </c>
      <c r="AD427" t="inlineStr">
        <is>
          <t>Quality Portfolio!25</t>
        </is>
      </c>
      <c r="AE427">
        <f>IF($A427="","",IF(OR(ISNUMBER(SEARCH("cyber",$D427)),ISNUMBER(SEARCH("security",$D427)),ISNUMBER(SEARCH("safety",$D427)),ISNUMBER(SEARCH("liquidity",$D427)),ISNUMBER(SEARCH("cash",$D427)),ISNUMBER(SEARCH("continuity",$D427)),ISNUMBER(SEARCH("infrastructure",$D427)),ISNUMBER(SEARCH("outage",$D427))),"Fast",IF(OR(ISNUMBER(SEARCH("compliance",$D427)),ISNUMBER(SEARCH("regulat",$D427)),ISNUMBER(SEARCH("data",$D427)),ISNUMBER(SEARCH("talent",$D427)),ISNUMBER(SEARCH("knowledge",$D427)),ISNUMBER(SEARCH("portfolio",$D427)),ISNUMBER(SEARCH("quality",$D427))),"Slow","Medium")))</f>
        <v/>
      </c>
      <c r="AF427">
        <f>IF($A427="","",IFERROR(VLOOKUP($B427,'_CONFIG_Risk_Calibration'!$A$5:$H$21,2,FALSE),3))</f>
        <v/>
      </c>
      <c r="AG427">
        <f>IF($A427="","",IFERROR(VLOOKUP($B427,'_CONFIG_Risk_Calibration'!$A$5:$H$21,3,FALSE),0))</f>
        <v/>
      </c>
      <c r="AH427">
        <f>IF($A427="","",IFERROR(VLOOKUP($B427,'_CONFIG_Risk_Calibration'!$A$5:$H$21,4,FALSE),3))</f>
        <v/>
      </c>
      <c r="AI427">
        <f>IF($A427="","",IFERROR(VLOOKUP($B427,'_CONFIG_Risk_Calibration'!$A$5:$H$21,5,FALSE),3))</f>
        <v/>
      </c>
      <c r="AJ427">
        <f>IF($A427="","",IFERROR(VLOOKUP($B427,'_CONFIG_Risk_Calibration'!$A$5:$H$21,6,FALSE),"No"))</f>
        <v/>
      </c>
      <c r="AK427">
        <f>IF($A427="","",IFERROR(VLOOKUP($B427,'_CONFIG_Risk_Calibration'!$A$5:$H$21,7,FALSE),1))</f>
        <v/>
      </c>
      <c r="AL427">
        <f>IF($A427="","",IFERROR(VLOOKUP($B427,'_CONFIG_Risk_Calibration'!$A$5:$H$21,8,FALSE),""))</f>
        <v/>
      </c>
    </row>
    <row r="428">
      <c r="A428" t="inlineStr">
        <is>
          <t>QUAL-024</t>
        </is>
      </c>
      <c r="B428" t="inlineStr">
        <is>
          <t>Quality Portfolio</t>
        </is>
      </c>
      <c r="C428" t="inlineStr">
        <is>
          <t>Portfolio and change</t>
        </is>
      </c>
      <c r="D428" t="inlineStr">
        <is>
          <t>Portfolio governance and delivery capability</t>
        </is>
      </c>
      <c r="E428" t="inlineStr">
        <is>
          <t>How mature is the organization in managing innovation and idea pipeline capturing, evaluating and funding employee and customer-driven improvements, including ownership, evidence, metrics, fallback procedures and crisis stress testing?</t>
        </is>
      </c>
      <c r="F428" t="inlineStr">
        <is>
          <t>Immature capability for innovation and idea pipeline capturing, evaluating and funding employee and customer-driven improvements may lead to missed improvement potential, a reactive-only change agenda and weak adaptation capacity during Demand shock; Reputation crisis.</t>
        </is>
      </c>
      <c r="G428" t="inlineStr">
        <is>
          <t>Low maturity, weak ownership, incomplete evidence, insufficient testing and poor integration with crisis-management routines for innovation and idea pipeline capturing, evaluating and funding employee and customer-driven improvements.</t>
        </is>
      </c>
      <c r="H428" t="inlineStr">
        <is>
          <t>Severe risk: innovation and idea pipeline capturing, evaluating and funding employee and customer-driven improvements is not reliably controlled. During Demand shock; Reputation crisis, the organization may face missed improvement potential, a reactive-only change agenda and weak adaptation capacity with limited visibility or accountability.</t>
        </is>
      </c>
      <c r="I428" t="inlineStr">
        <is>
          <t>High risk: innovation and idea pipeline capturing, evaluating and funding employee and customer-driven improvements depends on informal practices or individual knowledge. Disruption may expose missed improvement potential, a reactive-only change agenda and weak adaptation capacity and slow recovery.</t>
        </is>
      </c>
      <c r="J428" t="inlineStr">
        <is>
          <t>Elevated risk: innovation and idea pipeline capturing, evaluating and funding employee and customer-driven improvements is partially controlled, but coverage, evidence or testing is inconsistent. Crisis response may be fragmented.</t>
        </is>
      </c>
      <c r="K428" t="inlineStr">
        <is>
          <t>Moderate risk: innovation and idea pipeline capturing, evaluating and funding employee and customer-driven improvements is documented and owned, but measurement, stress testing and integration with dependent processes need strengthening.</t>
        </is>
      </c>
      <c r="L428" t="inlineStr">
        <is>
          <t>Residual risk: innovation and idea pipeline capturing, evaluating and funding employee and customer-driven improvements is measured and reviewed, but monitoring, automation or scenario testing should be improved to prevent maturity drift.</t>
        </is>
      </c>
      <c r="M428" t="inlineStr">
        <is>
          <t>Low residual risk: innovation and idea pipeline capturing, evaluating and funding employee and customer-driven improvements is mature and crisis-tested. Maintain monitoring, evidence, ownership and periodic stress testing.</t>
        </is>
      </c>
      <c r="N428" t="inlineStr">
        <is>
          <t>Create an immediate risk owner, minimum control baseline and fallback procedure for innovation and idea pipeline capturing, evaluating and funding employee and customer-driven improvements. Add it to the crisis risk register and collect first evidence.</t>
        </is>
      </c>
      <c r="O428" t="inlineStr">
        <is>
          <t>Document innovation and idea pipeline capturing, evaluating and funding employee and customer-driven improvements, assign RACI, define minimum controls and KPIs, and validate coverage across key sites, teams or systems.</t>
        </is>
      </c>
      <c r="P428" t="inlineStr">
        <is>
          <t>Standardize innovation and idea pipeline capturing, evaluating and funding employee and customer-driven improvements, close coverage gaps, train accountable roles and connect controls to the relevant crisis scenarios and continuity plans.</t>
        </is>
      </c>
      <c r="Q428" t="inlineStr">
        <is>
          <t>Measure and test innovation and idea pipeline capturing, evaluating and funding employee and customer-driven improvements, run tabletop or operational stress tests, integrate it with dependent processes and update crisis playbooks.</t>
        </is>
      </c>
      <c r="R428" t="inlineStr">
        <is>
          <t>Automate monitoring where practical, define leading indicators, run periodic scenario tests and track residual risk after each major change.</t>
        </is>
      </c>
      <c r="S428" t="inlineStr">
        <is>
          <t>Sustain maturity for innovation and idea pipeline capturing, evaluating and funding employee and customer-driven improvements: keep evidence current, monitor drift, benchmark externally and refresh risk tests after organizational, system or market changes.</t>
        </is>
      </c>
      <c r="T428" t="n">
        <v>2</v>
      </c>
      <c r="U428" t="n">
        <v>2</v>
      </c>
      <c r="V428" t="n">
        <v>2</v>
      </c>
      <c r="W428" t="n">
        <v>2</v>
      </c>
      <c r="X428" t="n">
        <v>1</v>
      </c>
      <c r="Y428" t="n">
        <v>1</v>
      </c>
      <c r="Z428" t="inlineStr">
        <is>
          <t>EFQM 2025 2.3; ISO 56002; APQC PCF 13.0</t>
        </is>
      </c>
      <c r="AA428" t="inlineStr">
        <is>
          <t>Policy/SOP; owner/RACI; system report; dashboard; contracts; test records; incident history; interview evidence related to innovation and idea pipeline capturing, evaluating and funding employee and customer-driven improvements</t>
        </is>
      </c>
      <c r="AB428" t="inlineStr">
        <is>
          <t>Demand shock; Reputation crisis</t>
        </is>
      </c>
      <c r="AC428" t="inlineStr">
        <is>
          <t>CEO / PMO</t>
        </is>
      </c>
      <c r="AD428" t="inlineStr">
        <is>
          <t>Quality Portfolio!26</t>
        </is>
      </c>
      <c r="AE428">
        <f>IF($A428="","",IF(OR(ISNUMBER(SEARCH("cyber",$D428)),ISNUMBER(SEARCH("security",$D428)),ISNUMBER(SEARCH("safety",$D428)),ISNUMBER(SEARCH("liquidity",$D428)),ISNUMBER(SEARCH("cash",$D428)),ISNUMBER(SEARCH("continuity",$D428)),ISNUMBER(SEARCH("infrastructure",$D428)),ISNUMBER(SEARCH("outage",$D428))),"Fast",IF(OR(ISNUMBER(SEARCH("compliance",$D428)),ISNUMBER(SEARCH("regulat",$D428)),ISNUMBER(SEARCH("data",$D428)),ISNUMBER(SEARCH("talent",$D428)),ISNUMBER(SEARCH("knowledge",$D428)),ISNUMBER(SEARCH("portfolio",$D428)),ISNUMBER(SEARCH("quality",$D428))),"Slow","Medium")))</f>
        <v/>
      </c>
      <c r="AF428">
        <f>IF($A428="","",IFERROR(VLOOKUP($B428,'_CONFIG_Risk_Calibration'!$A$5:$H$21,2,FALSE),3))</f>
        <v/>
      </c>
      <c r="AG428">
        <f>IF($A428="","",IFERROR(VLOOKUP($B428,'_CONFIG_Risk_Calibration'!$A$5:$H$21,3,FALSE),0))</f>
        <v/>
      </c>
      <c r="AH428">
        <f>IF($A428="","",IFERROR(VLOOKUP($B428,'_CONFIG_Risk_Calibration'!$A$5:$H$21,4,FALSE),3))</f>
        <v/>
      </c>
      <c r="AI428">
        <f>IF($A428="","",IFERROR(VLOOKUP($B428,'_CONFIG_Risk_Calibration'!$A$5:$H$21,5,FALSE),3))</f>
        <v/>
      </c>
      <c r="AJ428">
        <f>IF($A428="","",IFERROR(VLOOKUP($B428,'_CONFIG_Risk_Calibration'!$A$5:$H$21,6,FALSE),"No"))</f>
        <v/>
      </c>
      <c r="AK428">
        <f>IF($A428="","",IFERROR(VLOOKUP($B428,'_CONFIG_Risk_Calibration'!$A$5:$H$21,7,FALSE),1))</f>
        <v/>
      </c>
      <c r="AL428">
        <f>IF($A428="","",IFERROR(VLOOKUP($B428,'_CONFIG_Risk_Calibration'!$A$5:$H$21,8,FALSE),""))</f>
        <v/>
      </c>
    </row>
    <row r="493">
      <c r="A493" t="inlineStr">
        <is>
          <t>Active risks</t>
        </is>
      </c>
      <c r="B493" t="inlineStr">
        <is>
          <t>Critical/High risks</t>
        </is>
      </c>
      <c r="C493" t="inlineStr">
        <is>
          <t>Average risk score</t>
        </is>
      </c>
      <c r="D493" t="inlineStr">
        <is>
          <t>Top risk score</t>
        </is>
      </c>
      <c r="E493" t="inlineStr">
        <is>
          <t>Average WSJF</t>
        </is>
      </c>
      <c r="F493" t="inlineStr">
        <is>
          <t>Top WSJF</t>
        </is>
      </c>
      <c r="G493" t="inlineStr">
        <is>
          <t>Assessed questions</t>
        </is>
      </c>
      <c r="H493" t="inlineStr">
        <is>
          <t>Unassessed questions</t>
        </is>
      </c>
      <c r="I493" t="inlineStr">
        <is>
          <t>Top-10 risks ALE (EUR k/yr)</t>
        </is>
      </c>
      <c r="J493" t="inlineStr">
        <is>
          <t>Top-10 scenario-adj ALE (EUR k/yr)</t>
        </is>
      </c>
    </row>
    <row r="494">
      <c r="A494">
        <f>COUNTIF($B$500:$B$923,"Yes")</f>
      </c>
      <c r="B494">
        <f>COUNTIFS($B$500:$B$923,"Yes",$I$500:$I$923,"Critical")+COUNTIFS($B$500:$B$923,"Yes",$I$500:$I$923,"High")</f>
      </c>
      <c r="C494">
        <f>IFERROR(ROUND(AVERAGEIFS($L$500:$L$923,$B$500:$B$923,"Yes"),2),"")</f>
      </c>
      <c r="D494">
        <f>IFERROR(MAX($L$500:$L$923),"")</f>
      </c>
      <c r="E494">
        <f>IFERROR(ROUND(AVERAGEIFS($S$500:$S$923,$B$500:$B$923,"Yes"),2),"")</f>
      </c>
      <c r="F494">
        <f>IFERROR(MAX($S$500:$S$923),"")</f>
      </c>
      <c r="G494">
        <f>COUNT($H$500:$H$923)</f>
      </c>
      <c r="H494">
        <f>ROWS($H$500:$H$923)-COUNT($H$500:$H$923)</f>
      </c>
      <c r="I494">
        <f>IFERROR(ROUND(SUMPRODUCT(LARGE($BH$500:$BH$923,{1,2,3,4,5,6,7,8,9,10})),1),"")</f>
      </c>
      <c r="J494">
        <f>IFERROR(ROUND(SUMPRODUCT(LARGE($BI$500:$BI$923,{1,2,3,4,5,6,7,8,9,10})),1),"")</f>
      </c>
    </row>
    <row r="495">
      <c r="A495">
        <f>COUNTIF($B$500:$B$923,"Yes")</f>
      </c>
    </row>
    <row r="496">
      <c r="A496" t="inlineStr">
        <is>
          <t>Risk Output Engine — v1.96</t>
        </is>
      </c>
    </row>
    <row r="497">
      <c r="A497" t="inlineStr">
        <is>
          <t>Refactored risk-priority output block migrated from legacy Risk &amp; Recommendations. Used by consolidated visible scenario/action sheets and downstream risk/initiative logic.</t>
        </is>
      </c>
    </row>
    <row r="499" ht="42" customHeight="1" s="209">
      <c r="A499" t="inlineStr">
        <is>
          <t>Final priority (WSJF rank)</t>
        </is>
      </c>
      <c r="B499" t="inlineStr">
        <is>
          <t>Show</t>
        </is>
      </c>
      <c r="C499" t="inlineStr">
        <is>
          <t>Domain</t>
        </is>
      </c>
      <c r="D499" t="inlineStr">
        <is>
          <t>Subdomain</t>
        </is>
      </c>
      <c r="E499" t="inlineStr">
        <is>
          <t>Question ID</t>
        </is>
      </c>
      <c r="F499" t="inlineStr">
        <is>
          <t>Risk category</t>
        </is>
      </c>
      <c r="G499" t="inlineStr">
        <is>
          <t>Risk statement</t>
        </is>
      </c>
      <c r="H499" t="inlineStr">
        <is>
          <t>Current score</t>
        </is>
      </c>
      <c r="I499" t="inlineStr">
        <is>
          <t>Risk level</t>
        </is>
      </c>
      <c r="J499" t="inlineStr">
        <is>
          <t>Likelihood 1-5</t>
        </is>
      </c>
      <c r="K499" t="inlineStr">
        <is>
          <t>Impact 1-5</t>
        </is>
      </c>
      <c r="L499" t="inlineStr">
        <is>
          <t>Risk score</t>
        </is>
      </c>
      <c r="M499" t="inlineStr">
        <is>
          <t>Priority score 1-5</t>
        </is>
      </c>
      <c r="N499" t="inlineStr">
        <is>
          <t>Complexity / job size</t>
        </is>
      </c>
      <c r="O499" t="inlineStr">
        <is>
          <t>Business value</t>
        </is>
      </c>
      <c r="P499" t="inlineStr">
        <is>
          <t>Time criticality</t>
        </is>
      </c>
      <c r="Q499" t="inlineStr">
        <is>
          <t>Risk reduction</t>
        </is>
      </c>
      <c r="R499" t="inlineStr">
        <is>
          <t>Opportunity enablement</t>
        </is>
      </c>
      <c r="S499" t="inlineStr">
        <is>
          <t>WSJF</t>
        </is>
      </c>
      <c r="T499" t="inlineStr">
        <is>
          <t>Risk treatment / mitigation</t>
        </is>
      </c>
      <c r="U499" t="inlineStr">
        <is>
          <t>Question weight</t>
        </is>
      </c>
      <c r="V499" t="inlineStr">
        <is>
          <t>Digitalization relevance</t>
        </is>
      </c>
      <c r="W499" t="inlineStr">
        <is>
          <t>Resilience relevance</t>
        </is>
      </c>
      <c r="X499" t="inlineStr">
        <is>
          <t>Process maturity relevance</t>
        </is>
      </c>
      <c r="Y499" t="inlineStr">
        <is>
          <t>Crisis tags</t>
        </is>
      </c>
      <c r="Z499" t="inlineStr">
        <is>
          <t>Owner / SME</t>
        </is>
      </c>
      <c r="AA499" t="inlineStr">
        <is>
          <t>Evidence to request</t>
        </is>
      </c>
      <c r="AB499" t="inlineStr">
        <is>
          <t>Comments / findings</t>
        </is>
      </c>
      <c r="AC499" t="inlineStr">
        <is>
          <t>Risk owner</t>
        </is>
      </c>
      <c r="AD499" t="inlineStr">
        <is>
          <t>Due date</t>
        </is>
      </c>
      <c r="AE499" t="inlineStr">
        <is>
          <t>Status</t>
        </is>
      </c>
      <c r="AF499" t="inlineStr">
        <is>
          <t>Source question</t>
        </is>
      </c>
      <c r="AH499" t="inlineStr">
        <is>
          <t>Governance Crisis</t>
        </is>
      </c>
      <c r="AO499" t="inlineStr">
        <is>
          <t>Selected crisis multiplier</t>
        </is>
      </c>
      <c r="AP499" t="inlineStr">
        <is>
          <t>Scenario-adjusted risk score</t>
        </is>
      </c>
      <c r="AQ499" t="inlineStr">
        <is>
          <t>Scenario-adjusted WSJF</t>
        </is>
      </c>
      <c r="AR499" t="inlineStr">
        <is>
          <t>Scenario rationale</t>
        </is>
      </c>
      <c r="AS499" t="inlineStr">
        <is>
          <t>Scenario mitigation theme</t>
        </is>
      </c>
      <c r="AT499" t="inlineStr">
        <is>
          <t>Mapped initiative ID</t>
        </is>
      </c>
      <c r="AU499" t="inlineStr">
        <is>
          <t>Mapped initiative</t>
        </is>
      </c>
      <c r="AV499" t="inlineStr">
        <is>
          <t>Initiative WSJF</t>
        </is>
      </c>
      <c r="AW499" t="inlineStr">
        <is>
          <t>Initiative roadmap wave</t>
        </is>
      </c>
      <c r="AX499" t="inlineStr">
        <is>
          <t>Industry criticality multiplier</t>
        </is>
      </c>
      <c r="AY499" t="inlineStr">
        <is>
          <t>Industry-adjusted risk score</t>
        </is>
      </c>
      <c r="AZ499" t="inlineStr">
        <is>
          <t>Industry-adjusted WSJF</t>
        </is>
      </c>
      <c r="BA499" t="inlineStr">
        <is>
          <t>(superseded — use Final priority)</t>
        </is>
      </c>
      <c r="BB499" t="inlineStr">
        <is>
          <t>Risk velocity</t>
        </is>
      </c>
      <c r="BC499" t="inlineStr">
        <is>
          <t>Velocity factor</t>
        </is>
      </c>
      <c r="BD499" t="inlineStr">
        <is>
          <t>Velocity-adjusted WSJF</t>
        </is>
      </c>
      <c r="BE499" t="inlineStr">
        <is>
          <t>(superseded — use Final priority)</t>
        </is>
      </c>
      <c r="BF499" t="inlineStr">
        <is>
          <t>Annual probability</t>
        </is>
      </c>
      <c r="BG499" t="inlineStr">
        <is>
          <t>Expected impact (EUR k/yr)</t>
        </is>
      </c>
      <c r="BH499" t="inlineStr">
        <is>
          <t>ALE (EUR k/yr)</t>
        </is>
      </c>
      <c r="BI499" t="inlineStr">
        <is>
          <t>Scenario-adjusted ALE</t>
        </is>
      </c>
      <c r="BJ499" t="inlineStr">
        <is>
          <t>P1 Exposure 1-5</t>
        </is>
      </c>
      <c r="BK499" t="inlineStr">
        <is>
          <t>P1 Incident history 0-5</t>
        </is>
      </c>
      <c r="BL499" t="inlineStr">
        <is>
          <t>P1 Evidence uncertainty 1-5</t>
        </is>
      </c>
      <c r="BM499" t="inlineStr">
        <is>
          <t>P1 Dependency/Cascade score 1-5</t>
        </is>
      </c>
      <c r="BN499" t="inlineStr">
        <is>
          <t>P1 Red-line flag</t>
        </is>
      </c>
      <c r="BO499" t="inlineStr">
        <is>
          <t>P1 Red-line impact floor</t>
        </is>
      </c>
      <c r="BP499" t="inlineStr">
        <is>
          <t>P1 Probability v2</t>
        </is>
      </c>
      <c r="BQ499" t="inlineStr">
        <is>
          <t>P1 Impact v2</t>
        </is>
      </c>
      <c r="BR499" t="inlineStr">
        <is>
          <t>P1 Risk score v2</t>
        </is>
      </c>
      <c r="BS499" t="inlineStr">
        <is>
          <t>P1 scenario/industry/velocity-adjusted risk score</t>
        </is>
      </c>
    </row>
    <row r="500" ht="69.90000000000001" customHeight="1" s="209">
      <c r="A500">
        <f>IF($BD500="","",SUMPRODUCT(ISNUMBER($BD$500:$BD$923)*($BD$500:$BD$923&gt;$BD500))+COUNTIF($BD$500:$BD500,$BD500))</f>
        <v/>
      </c>
      <c r="B500">
        <f>IF($H500="","",IF($H500&lt;5,"Yes","Maintain"))</f>
        <v/>
      </c>
      <c r="C500" t="inlineStr">
        <is>
          <t>Company Geography</t>
        </is>
      </c>
      <c r="D500" t="inlineStr">
        <is>
          <t>Company profile</t>
        </is>
      </c>
      <c r="E500" t="inlineStr">
        <is>
          <t>COMP-001</t>
        </is>
      </c>
      <c r="F500" t="inlineStr">
        <is>
          <t>Geographic, entity and market exposure</t>
        </is>
      </c>
      <c r="G500">
        <f>IF($H500="","",IFERROR(INDEX('_ENGINE_Risk'!$H$41:$M$920,MATCH($E500,'_ENGINE_Risk'!$A$41:$A$920,0),$H500+1),""))</f>
        <v/>
      </c>
      <c r="H500">
        <f>IFERROR(VALUE(INDEX(_DATA_Assessment_Model!$H$5:$H$884,MATCH($E500,_DATA_Assessment_Model!$A$5:$A$884,0))),"")</f>
        <v/>
      </c>
      <c r="I500">
        <f>IF($H500="","",IFERROR(INDEX(_DATA_Assessment_Model!$L$5:$L$884,MATCH($E500,_DATA_Assessment_Model!$A$5:$A$884,0)),IF($H500&lt;=1,"Critical",IF($H500=2,"High",IF($H500=3,"Medium",IF($H500=4,"Low","Resilient"))))))</f>
        <v/>
      </c>
      <c r="J500">
        <f>IF($H500="","",MIN(5,MAX(1,6-$H500)))</f>
        <v/>
      </c>
      <c r="K500">
        <f>IF($H500="","",MAX(1,MIN(5,ROUNDUP(($U500*0.45)+($W500*0.35)+($X500*0.2),0))))</f>
        <v/>
      </c>
      <c r="L500">
        <f>IF($H500="","",$J500*$K500)</f>
        <v/>
      </c>
      <c r="M500">
        <f>IF($H500="","",MAX(1,MIN(5,ROUNDUP($L500/5,0))))</f>
        <v/>
      </c>
      <c r="N500">
        <f>IF($H500="","",IFERROR(INDEX('_ENGINE_Risk'!$T$41:$Y$920,MATCH($E500,'_ENGINE_Risk'!$A$41:$A$920,0),$H500+1),""))</f>
        <v/>
      </c>
      <c r="O500">
        <f>IF($H500="","",MAX(1,MIN(5,($U500+$V500+$X500)/3)))</f>
        <v/>
      </c>
      <c r="P500">
        <f>IF($H500="","",IF($I500="Critical",5,IF($I500="High",4,IF($I500="Medium",3,IF($I500="Low",2,1)))))</f>
        <v/>
      </c>
      <c r="Q500">
        <f>IF($H500="","",MAX(1,MIN(5,((5-$H500)*0.65)+($W500*0.35))))</f>
        <v/>
      </c>
      <c r="R500">
        <f>IF($H500="","",MAX(1,MIN(5,($V500+$X500)/2)))</f>
        <v/>
      </c>
      <c r="S500">
        <f>IF(OR($H500="",$N500=""),"",ROUND(($O500+$P500+$Q500+$R500)/$N500,2))</f>
        <v/>
      </c>
      <c r="T500">
        <f>IF($H500="","",IFERROR(INDEX('_ENGINE_Risk'!$N$41:$S$920,MATCH($E500,'_ENGINE_Risk'!$A$41:$A$920,0),$H500+1),""))</f>
        <v/>
      </c>
      <c r="U500">
        <f>IFERROR(INDEX(_DATA_Assessment_Model!$G$5:$G$884,MATCH($E500,_DATA_Assessment_Model!$A$5:$A$884,0)),"")</f>
        <v/>
      </c>
      <c r="V500">
        <f>IFERROR(INDEX(_DATA_Assessment_Model!$W$5:$W$884,MATCH($E500,_DATA_Assessment_Model!$A$5:$A$884,0)),"")</f>
        <v/>
      </c>
      <c r="W500">
        <f>IFERROR(INDEX(_DATA_Assessment_Model!$X$5:$X$884,MATCH($E500,_DATA_Assessment_Model!$A$5:$A$884,0)),"")</f>
        <v/>
      </c>
      <c r="X500">
        <f>IFERROR(INDEX(_DATA_Assessment_Model!$Y$5:$Y$884,MATCH($E500,_DATA_Assessment_Model!$A$5:$A$884,0)),"")</f>
        <v/>
      </c>
      <c r="Y500" t="inlineStr">
        <is>
          <t>Geopolitical risk; Physical site loss; Regulatory/legal shock</t>
        </is>
      </c>
      <c r="Z500" t="inlineStr">
        <is>
          <t>CEO / COO / Risk</t>
        </is>
      </c>
      <c r="AA500" t="inlineStr">
        <is>
          <t>Policy/SOP; owner/RACI; system report; dashboard; contracts; test records; incident history; interview evidence related to legal entity structure, ownership, subsidiaries and operating countries.</t>
        </is>
      </c>
      <c r="AB500">
        <f>IFERROR(INDEX(_DATA_Assessment_Model!$U$5:$U$884,MATCH($E500,_DATA_Assessment_Model!$A$5:$A$884,0)),"")</f>
        <v/>
      </c>
      <c r="AF500" t="inlineStr">
        <is>
          <t>How mature is the organization in managing legal entity structure, ownership, subsidiaries and operating countries, including ownership, evidence, metrics, fallback procedures and crisis stress testing?</t>
        </is>
      </c>
      <c r="AH500" t="inlineStr">
        <is>
          <t>HR Workforce</t>
        </is>
      </c>
      <c r="AI500">
        <f>COUNTIFS($C$500:$C$923,AH500,$B$500:$B$923,"Yes")</f>
        <v/>
      </c>
      <c r="AJ500">
        <f>COUNTIFS($C$500:$C$923,AH500,$B$500:$B$923,"Yes",$I$500:$I$923,"Critical")+COUNTIFS($C$500:$C$923,AH500,$B$500:$B$923,"Yes",$I$500:$I$923,"High")</f>
        <v/>
      </c>
      <c r="AK500">
        <f>IFERROR(ROUND(AVERAGEIFS($L$500:$L$923,$C$500:$C$923,AH500,$B$500:$B$923,"Yes"),1),"")</f>
        <v/>
      </c>
      <c r="AL500">
        <f>IFERROR(_xlfn.MAXIFS($L$500:$L$923,$C$500:$C$923,AH500,$B$500:$B$923,"Yes"),"")</f>
        <v/>
      </c>
      <c r="AM500">
        <f>IFERROR(ROUND(AVERAGEIFS($S$500:$S$923,$C$500:$C$923,AH500,$B$500:$B$923,"Yes"),2),"")</f>
        <v/>
      </c>
      <c r="AN500">
        <f>COUNTIFS($C$500:$C$923,AH500,$H$500:$H$923,"")</f>
        <v/>
      </c>
      <c r="AO500">
        <f>IF($B500="Yes",IFERROR(INDEX(_ENGINE_Crisis!$F$501:$F$517,MATCH($C500,_ENGINE_Crisis!$A$501:$A$517,0)),1),"")</f>
        <v/>
      </c>
      <c r="AP500">
        <f>IF(AO500="","",ROUND($L500*AO500,1))</f>
        <v/>
      </c>
      <c r="AQ500">
        <f>IF(OR(AO500="",$S500=""),"",ROUND($S500*(0.7+0.3*AO500),2))</f>
        <v/>
      </c>
      <c r="AR500">
        <f>IFERROR(INDEX(_ENGINE_Crisis!$E$41:$E$700,MATCH('Resilience &amp; Risk Scenario'!$B$60&amp;"|"&amp;$C500,_ENGINE_Crisis!$I$41:$I$700,0)),"")</f>
        <v/>
      </c>
      <c r="AS500">
        <f>IFERROR(INDEX(_ENGINE_Crisis!$G$41:$G$700,MATCH('Resilience &amp; Risk Scenario'!$B$60&amp;"|"&amp;$C500,_ENGINE_Crisis!$I$41:$I$700,0)),"")</f>
        <v/>
      </c>
      <c r="AT500">
        <f>IFERROR(INDEX(_ENGINE_Initiatives!$A$5:$A$532,MATCH(1,INDEX((_ENGINE_Initiatives!$B$5:$B$532=$C500)*(_ENGINE_Initiatives!$C$5:$C$532=$D500),0),0)),"")</f>
        <v/>
      </c>
      <c r="AU500">
        <f>IFERROR(INDEX(_ENGINE_Initiatives!$F$5:$F$532,MATCH(1,INDEX((_ENGINE_Initiatives!$B$5:$B$532=$C500)*(_ENGINE_Initiatives!$C$5:$C$532=$D500),0),0)),"")</f>
        <v/>
      </c>
      <c r="AV500">
        <f>IFERROR(INDEX(_ENGINE_Initiatives!$AC$5:$AC$532,MATCH(1,INDEX((_ENGINE_Initiatives!$B$5:$B$532=$C500)*(_ENGINE_Initiatives!$C$5:$C$532=$D500),0),0)),"")</f>
        <v/>
      </c>
      <c r="AW500">
        <f>IFERROR(INDEX(_ENGINE_Initiatives!$AE$5:$AE$532,MATCH(1,INDEX((_ENGINE_Initiatives!$B$5:$B$532=$C500)*(_ENGINE_Initiatives!$C$5:$C$532=$D500),0),0)),"")</f>
        <v/>
      </c>
      <c r="AX500">
        <f>IF($B500="Yes",IFERROR(IF(SUMIFS(_REF_Model_Content!$E$1:$E$613,_REF_Model_Content!$A$1:$A$613,'Company Profile'!$B$9,_REF_Model_Content!$B$1:$B$613,$C500)=0,1,SUMIFS(_REF_Model_Content!$E$1:$E$613,_REF_Model_Content!$A$1:$A$613,'Company Profile'!$B$9,_REF_Model_Content!$B$1:$B$613,$C500)),1),"")</f>
        <v/>
      </c>
      <c r="AY500">
        <f>IF($L500="","",ROUND(IF($AP500="",$L500,$AP500)*IF($AX500="",1,$AX500),2))</f>
        <v/>
      </c>
      <c r="AZ500">
        <f>IF($S500="","",ROUND(IF($AQ500="",$S500,$AQ500)*IF($AX500="",1,$AX500),2))</f>
        <v/>
      </c>
      <c r="BB500">
        <f>IF($H500="","",IFERROR(INDEX('_ENGINE_Risk'!$AE$41:$AE$920,MATCH($E500,'_ENGINE_Risk'!$A$41:$A$920,0)),"Medium"))</f>
        <v/>
      </c>
      <c r="BC500">
        <f>IF($BB500="","",IF($BB500="Fast",1.25,IF($BB500="Slow",0.85,1)))</f>
        <v/>
      </c>
      <c r="BD500">
        <f>IF(OR($AZ500="",$BC500=""),"",ROUND($AZ500*$BC500,2))</f>
        <v/>
      </c>
      <c r="BF500">
        <f>IF(OR($H500="",$J500=""),"",_xlfn.IFNA(VLOOKUP($J500,_CONFIG_Model_Settings!$D$610:$E$614,2,0),""))</f>
        <v/>
      </c>
      <c r="BG500">
        <f>IF(OR($H500="",$K500=""),"",ROUND('Company Profile'!$B$569*INDEX(_CONFIG_Model_Settings!$H$610:$H$614,MATCH($K500,_CONFIG_Model_Settings!$G$610:$G$614,0)),0))</f>
        <v/>
      </c>
      <c r="BH500">
        <f>IF(OR($BF500="",$BG500=""),"",ROUND($BF500*$BG500,1))</f>
        <v/>
      </c>
      <c r="BI500">
        <f>IF($BH500="","",IF($AO500="",$BH500,ROUND($BH500*$AO500,1)))</f>
        <v/>
      </c>
      <c r="BJ500">
        <f>IF($E500="","",IFERROR(VLOOKUP($C500,'_CONFIG_Risk_Calibration'!$A$5:$H$21,2,FALSE),3))</f>
        <v/>
      </c>
      <c r="BK500">
        <f>IF($E500="","",IFERROR(VLOOKUP($C500,'_CONFIG_Risk_Calibration'!$A$5:$H$21,3,FALSE),0))</f>
        <v/>
      </c>
      <c r="BL500">
        <f>IF($E500="","",IFERROR(VLOOKUP($C500,'_CONFIG_Risk_Calibration'!$A$5:$H$21,4,FALSE),3))</f>
        <v/>
      </c>
      <c r="BM500">
        <f>IF($E500="","",IFERROR(VLOOKUP($C500,'_CONFIG_Risk_Calibration'!$A$5:$H$21,5,FALSE),3))</f>
        <v/>
      </c>
      <c r="BN500">
        <f>IF($E500="","",IFERROR(VLOOKUP($C500,'_CONFIG_Risk_Calibration'!$A$5:$H$21,6,FALSE),"No"))</f>
        <v/>
      </c>
      <c r="BO500">
        <f>IF($E500="","",IFERROR(VLOOKUP($C500,'_CONFIG_Risk_Calibration'!$A$5:$H$21,7,FALSE),1))</f>
        <v/>
      </c>
      <c r="BP500">
        <f>IF($H500="","",MAX(1,MIN(5,((6-$H500)*0.45)+($BJ500*0.20)+('Resilience &amp; Risk Scenario'!$B$7*0.15)+($BK500*0.10)+($BL500*0.05)+(IF($BB500="Fast",5,IF($BB500="Slow",1,3))*0.05))))</f>
        <v/>
      </c>
      <c r="BQ500">
        <f>IF($H500="","",MAX(IF($BN500="Yes",$BO500,1),MIN(5,($U500*0.20)+($V500*0.15)+($W500*0.25)+($X500*0.15)+($BJ500*0.10)+($BM500*0.15))))</f>
        <v/>
      </c>
      <c r="BR500">
        <f>IF(OR($BP500="",$BQ500=""),"",ROUND($BP500*$BQ500,2))</f>
        <v/>
      </c>
      <c r="BS500">
        <f>IF($BR500="","",ROUND($BR500*IF($AO500="",1,$AO500)*IF($AX500="",1,$AX500)*(1+(($BM500-3)*0.10))*IF($BC500="",1,$BC500),2))</f>
        <v/>
      </c>
    </row>
    <row r="501" ht="69.90000000000001" customHeight="1" s="209">
      <c r="A501">
        <f>IF($BD501="","",SUMPRODUCT(ISNUMBER($BD$500:$BD$923)*($BD$500:$BD$923&gt;$BD501))+COUNTIF($BD$500:$BD501,$BD501))</f>
        <v/>
      </c>
      <c r="B501">
        <f>IF($H501="","",IF($H501&lt;5,"Yes","Maintain"))</f>
        <v/>
      </c>
      <c r="C501" t="inlineStr">
        <is>
          <t>Company Geography</t>
        </is>
      </c>
      <c r="D501" t="inlineStr">
        <is>
          <t>Company profile</t>
        </is>
      </c>
      <c r="E501" t="inlineStr">
        <is>
          <t>COMP-002</t>
        </is>
      </c>
      <c r="F501" t="inlineStr">
        <is>
          <t>Geographic, entity and market exposure</t>
        </is>
      </c>
      <c r="G501">
        <f>IF($H501="","",IFERROR(INDEX('_ENGINE_Risk'!$H$41:$M$920,MATCH($E501,'_ENGINE_Risk'!$A$41:$A$920,0),$H501+1),""))</f>
        <v/>
      </c>
      <c r="H501">
        <f>IFERROR(VALUE(INDEX(_DATA_Assessment_Model!$H$5:$H$884,MATCH($E501,_DATA_Assessment_Model!$A$5:$A$884,0))),"")</f>
        <v/>
      </c>
      <c r="I501">
        <f>IF($H501="","",IFERROR(INDEX(_DATA_Assessment_Model!$L$5:$L$884,MATCH($E501,_DATA_Assessment_Model!$A$5:$A$884,0)),IF($H501&lt;=1,"Critical",IF($H501=2,"High",IF($H501=3,"Medium",IF($H501=4,"Low","Resilient"))))))</f>
        <v/>
      </c>
      <c r="J501">
        <f>IF($H501="","",MIN(5,MAX(1,6-$H501)))</f>
        <v/>
      </c>
      <c r="K501">
        <f>IF($H501="","",MAX(1,MIN(5,ROUNDUP(($U501*0.45)+($W501*0.35)+($X501*0.2),0))))</f>
        <v/>
      </c>
      <c r="L501">
        <f>IF($H501="","",$J501*$K501)</f>
        <v/>
      </c>
      <c r="M501">
        <f>IF($H501="","",MAX(1,MIN(5,ROUNDUP($L501/5,0))))</f>
        <v/>
      </c>
      <c r="N501">
        <f>IF($H501="","",IFERROR(INDEX('_ENGINE_Risk'!$T$41:$Y$920,MATCH($E501,'_ENGINE_Risk'!$A$41:$A$920,0),$H501+1),""))</f>
        <v/>
      </c>
      <c r="O501">
        <f>IF($H501="","",MAX(1,MIN(5,($U501+$V501+$X501)/3)))</f>
        <v/>
      </c>
      <c r="P501">
        <f>IF($H501="","",IF($I501="Critical",5,IF($I501="High",4,IF($I501="Medium",3,IF($I501="Low",2,1)))))</f>
        <v/>
      </c>
      <c r="Q501">
        <f>IF($H501="","",MAX(1,MIN(5,((5-$H501)*0.65)+($W501*0.35))))</f>
        <v/>
      </c>
      <c r="R501">
        <f>IF($H501="","",MAX(1,MIN(5,($V501+$X501)/2)))</f>
        <v/>
      </c>
      <c r="S501">
        <f>IF(OR($H501="",$N501=""),"",ROUND(($O501+$P501+$Q501+$R501)/$N501,2))</f>
        <v/>
      </c>
      <c r="T501">
        <f>IF($H501="","",IFERROR(INDEX('_ENGINE_Risk'!$N$41:$S$920,MATCH($E501,'_ENGINE_Risk'!$A$41:$A$920,0),$H501+1),""))</f>
        <v/>
      </c>
      <c r="U501">
        <f>IFERROR(INDEX(_DATA_Assessment_Model!$G$5:$G$884,MATCH($E501,_DATA_Assessment_Model!$A$5:$A$884,0)),"")</f>
        <v/>
      </c>
      <c r="V501">
        <f>IFERROR(INDEX(_DATA_Assessment_Model!$W$5:$W$884,MATCH($E501,_DATA_Assessment_Model!$A$5:$A$884,0)),"")</f>
        <v/>
      </c>
      <c r="W501">
        <f>IFERROR(INDEX(_DATA_Assessment_Model!$X$5:$X$884,MATCH($E501,_DATA_Assessment_Model!$A$5:$A$884,0)),"")</f>
        <v/>
      </c>
      <c r="X501">
        <f>IFERROR(INDEX(_DATA_Assessment_Model!$Y$5:$Y$884,MATCH($E501,_DATA_Assessment_Model!$A$5:$A$884,0)),"")</f>
        <v/>
      </c>
      <c r="Y501" t="inlineStr">
        <is>
          <t>Geopolitical risk; Physical site loss; Regulatory/legal shock</t>
        </is>
      </c>
      <c r="Z501" t="inlineStr">
        <is>
          <t>CEO / COO / Risk</t>
        </is>
      </c>
      <c r="AA501" t="inlineStr">
        <is>
          <t>Policy/SOP; owner/RACI; system report; dashboard; contracts; test records; incident history; interview evidence related to business model, value proposition, revenue streams and cost drivers.</t>
        </is>
      </c>
      <c r="AB501">
        <f>IFERROR(INDEX(_DATA_Assessment_Model!$U$5:$U$884,MATCH($E501,_DATA_Assessment_Model!$A$5:$A$884,0)),"")</f>
        <v/>
      </c>
      <c r="AF501" t="inlineStr">
        <is>
          <t>How mature is the organization in managing business model, value proposition, revenue streams and cost drivers, including ownership, evidence, metrics, fallback procedures and crisis stress testing?</t>
        </is>
      </c>
      <c r="AH501" t="inlineStr">
        <is>
          <t>Finance Procurement</t>
        </is>
      </c>
      <c r="AI501">
        <f>COUNTIFS($C$500:$C$923,AH501,$B$500:$B$923,"Yes")</f>
        <v/>
      </c>
      <c r="AJ501">
        <f>COUNTIFS($C$500:$C$923,AH501,$B$500:$B$923,"Yes",$I$500:$I$923,"Critical")+COUNTIFS($C$500:$C$923,AH501,$B$500:$B$923,"Yes",$I$500:$I$923,"High")</f>
        <v/>
      </c>
      <c r="AK501">
        <f>IFERROR(ROUND(AVERAGEIFS($L$500:$L$923,$C$500:$C$923,AH501,$B$500:$B$923,"Yes"),1),"")</f>
        <v/>
      </c>
      <c r="AL501">
        <f>IFERROR(_xlfn.MAXIFS($L$500:$L$923,$C$500:$C$923,AH501,$B$500:$B$923,"Yes"),"")</f>
        <v/>
      </c>
      <c r="AM501">
        <f>IFERROR(ROUND(AVERAGEIFS($S$500:$S$923,$C$500:$C$923,AH501,$B$500:$B$923,"Yes"),2),"")</f>
        <v/>
      </c>
      <c r="AN501">
        <f>COUNTIFS($C$500:$C$923,AH501,$H$500:$H$923,"")</f>
        <v/>
      </c>
      <c r="AO501">
        <f>IF($B501="Yes",IFERROR(INDEX(_ENGINE_Crisis!$F$501:$F$517,MATCH($C501,_ENGINE_Crisis!$A$501:$A$517,0)),1),"")</f>
        <v/>
      </c>
      <c r="AP501">
        <f>IF(AO501="","",ROUND($L501*AO501,1))</f>
        <v/>
      </c>
      <c r="AQ501">
        <f>IF(OR(AO501="",$S501=""),"",ROUND($S501*(0.7+0.3*AO501),2))</f>
        <v/>
      </c>
      <c r="AR501">
        <f>IFERROR(INDEX(_ENGINE_Crisis!$E$41:$E$700,MATCH('Resilience &amp; Risk Scenario'!$B$60&amp;"|"&amp;$C501,_ENGINE_Crisis!$I$41:$I$700,0)),"")</f>
        <v/>
      </c>
      <c r="AS501">
        <f>IFERROR(INDEX(_ENGINE_Crisis!$G$41:$G$700,MATCH('Resilience &amp; Risk Scenario'!$B$60&amp;"|"&amp;$C501,_ENGINE_Crisis!$I$41:$I$700,0)),"")</f>
        <v/>
      </c>
      <c r="AT501">
        <f>IFERROR(INDEX(_ENGINE_Initiatives!$A$5:$A$532,MATCH(1,INDEX((_ENGINE_Initiatives!$B$5:$B$532=$C501)*(_ENGINE_Initiatives!$C$5:$C$532=$D501),0),0)),"")</f>
        <v/>
      </c>
      <c r="AU501">
        <f>IFERROR(INDEX(_ENGINE_Initiatives!$F$5:$F$532,MATCH(1,INDEX((_ENGINE_Initiatives!$B$5:$B$532=$C501)*(_ENGINE_Initiatives!$C$5:$C$532=$D501),0),0)),"")</f>
        <v/>
      </c>
      <c r="AV501">
        <f>IFERROR(INDEX(_ENGINE_Initiatives!$AC$5:$AC$532,MATCH(1,INDEX((_ENGINE_Initiatives!$B$5:$B$532=$C501)*(_ENGINE_Initiatives!$C$5:$C$532=$D501),0),0)),"")</f>
        <v/>
      </c>
      <c r="AW501">
        <f>IFERROR(INDEX(_ENGINE_Initiatives!$AE$5:$AE$532,MATCH(1,INDEX((_ENGINE_Initiatives!$B$5:$B$532=$C501)*(_ENGINE_Initiatives!$C$5:$C$532=$D501),0),0)),"")</f>
        <v/>
      </c>
      <c r="AX501">
        <f>IF($B501="Yes",IFERROR(IF(SUMIFS(_REF_Model_Content!$E$1:$E$613,_REF_Model_Content!$A$1:$A$613,'Company Profile'!$B$9,_REF_Model_Content!$B$1:$B$613,$C501)=0,1,SUMIFS(_REF_Model_Content!$E$1:$E$613,_REF_Model_Content!$A$1:$A$613,'Company Profile'!$B$9,_REF_Model_Content!$B$1:$B$613,$C501)),1),"")</f>
        <v/>
      </c>
      <c r="AY501">
        <f>IF($L501="","",ROUND(IF($AP501="",$L501,$AP501)*IF($AX501="",1,$AX501),2))</f>
        <v/>
      </c>
      <c r="AZ501">
        <f>IF($S501="","",ROUND(IF($AQ501="",$S501,$AQ501)*IF($AX501="",1,$AX501),2))</f>
        <v/>
      </c>
      <c r="BB501">
        <f>IF($H501="","",IFERROR(INDEX('_ENGINE_Risk'!$AE$41:$AE$920,MATCH($E501,'_ENGINE_Risk'!$A$41:$A$920,0)),"Medium"))</f>
        <v/>
      </c>
      <c r="BC501">
        <f>IF($BB501="","",IF($BB501="Fast",1.25,IF($BB501="Slow",0.85,1)))</f>
        <v/>
      </c>
      <c r="BD501">
        <f>IF(OR($AZ501="",$BC501=""),"",ROUND($AZ501*$BC501,2))</f>
        <v/>
      </c>
      <c r="BF501">
        <f>IF(OR($H501="",$J501=""),"",_xlfn.IFNA(VLOOKUP($J501,_CONFIG_Model_Settings!$D$610:$E$614,2,0),""))</f>
        <v/>
      </c>
      <c r="BG501">
        <f>IF(OR($H501="",$K501=""),"",ROUND('Company Profile'!$B$569*INDEX(_CONFIG_Model_Settings!$H$610:$H$614,MATCH($K501,_CONFIG_Model_Settings!$G$610:$G$614,0)),0))</f>
        <v/>
      </c>
      <c r="BH501">
        <f>IF(OR($BF501="",$BG501=""),"",ROUND($BF501*$BG501,1))</f>
        <v/>
      </c>
      <c r="BI501">
        <f>IF($BH501="","",IF($AO501="",$BH501,ROUND($BH501*$AO501,1)))</f>
        <v/>
      </c>
      <c r="BJ501">
        <f>IF($E501="","",IFERROR(VLOOKUP($C501,'_CONFIG_Risk_Calibration'!$A$5:$H$21,2,FALSE),3))</f>
        <v/>
      </c>
      <c r="BK501">
        <f>IF($E501="","",IFERROR(VLOOKUP($C501,'_CONFIG_Risk_Calibration'!$A$5:$H$21,3,FALSE),0))</f>
        <v/>
      </c>
      <c r="BL501">
        <f>IF($E501="","",IFERROR(VLOOKUP($C501,'_CONFIG_Risk_Calibration'!$A$5:$H$21,4,FALSE),3))</f>
        <v/>
      </c>
      <c r="BM501">
        <f>IF($E501="","",IFERROR(VLOOKUP($C501,'_CONFIG_Risk_Calibration'!$A$5:$H$21,5,FALSE),3))</f>
        <v/>
      </c>
      <c r="BN501">
        <f>IF($E501="","",IFERROR(VLOOKUP($C501,'_CONFIG_Risk_Calibration'!$A$5:$H$21,6,FALSE),"No"))</f>
        <v/>
      </c>
      <c r="BO501">
        <f>IF($E501="","",IFERROR(VLOOKUP($C501,'_CONFIG_Risk_Calibration'!$A$5:$H$21,7,FALSE),1))</f>
        <v/>
      </c>
      <c r="BP501">
        <f>IF($H501="","",MAX(1,MIN(5,((6-$H501)*0.45)+($BJ501*0.20)+('Resilience &amp; Risk Scenario'!$B$7*0.15)+($BK501*0.10)+($BL501*0.05)+(IF($BB501="Fast",5,IF($BB501="Slow",1,3))*0.05))))</f>
        <v/>
      </c>
      <c r="BQ501">
        <f>IF($H501="","",MAX(IF($BN501="Yes",$BO501,1),MIN(5,($U501*0.20)+($V501*0.15)+($W501*0.25)+($X501*0.15)+($BJ501*0.10)+($BM501*0.15))))</f>
        <v/>
      </c>
      <c r="BR501">
        <f>IF(OR($BP501="",$BQ501=""),"",ROUND($BP501*$BQ501,2))</f>
        <v/>
      </c>
      <c r="BS501">
        <f>IF($BR501="","",ROUND($BR501*IF($AO501="",1,$AO501)*IF($AX501="",1,$AX501)*(1+(($BM501-3)*0.10))*IF($BC501="",1,$BC501),2))</f>
        <v/>
      </c>
    </row>
    <row r="502" ht="69.90000000000001" customHeight="1" s="209">
      <c r="A502">
        <f>IF($BD502="","",SUMPRODUCT(ISNUMBER($BD$500:$BD$923)*($BD$500:$BD$923&gt;$BD502))+COUNTIF($BD$500:$BD502,$BD502))</f>
        <v/>
      </c>
      <c r="B502">
        <f>IF($H502="","",IF($H502&lt;5,"Yes","Maintain"))</f>
        <v/>
      </c>
      <c r="C502" t="inlineStr">
        <is>
          <t>Company Geography</t>
        </is>
      </c>
      <c r="D502" t="inlineStr">
        <is>
          <t>Company profile</t>
        </is>
      </c>
      <c r="E502" t="inlineStr">
        <is>
          <t>COMP-003</t>
        </is>
      </c>
      <c r="F502" t="inlineStr">
        <is>
          <t>Geographic, entity and market exposure</t>
        </is>
      </c>
      <c r="G502">
        <f>IF($H502="","",IFERROR(INDEX('_ENGINE_Risk'!$H$41:$M$920,MATCH($E502,'_ENGINE_Risk'!$A$41:$A$920,0),$H502+1),""))</f>
        <v/>
      </c>
      <c r="H502">
        <f>IFERROR(VALUE(INDEX(_DATA_Assessment_Model!$H$5:$H$884,MATCH($E502,_DATA_Assessment_Model!$A$5:$A$884,0))),"")</f>
        <v/>
      </c>
      <c r="I502">
        <f>IF($H502="","",IFERROR(INDEX(_DATA_Assessment_Model!$L$5:$L$884,MATCH($E502,_DATA_Assessment_Model!$A$5:$A$884,0)),IF($H502&lt;=1,"Critical",IF($H502=2,"High",IF($H502=3,"Medium",IF($H502=4,"Low","Resilient"))))))</f>
        <v/>
      </c>
      <c r="J502">
        <f>IF($H502="","",MIN(5,MAX(1,6-$H502)))</f>
        <v/>
      </c>
      <c r="K502">
        <f>IF($H502="","",MAX(1,MIN(5,ROUNDUP(($U502*0.45)+($W502*0.35)+($X502*0.2),0))))</f>
        <v/>
      </c>
      <c r="L502">
        <f>IF($H502="","",$J502*$K502)</f>
        <v/>
      </c>
      <c r="M502">
        <f>IF($H502="","",MAX(1,MIN(5,ROUNDUP($L502/5,0))))</f>
        <v/>
      </c>
      <c r="N502">
        <f>IF($H502="","",IFERROR(INDEX('_ENGINE_Risk'!$T$41:$Y$920,MATCH($E502,'_ENGINE_Risk'!$A$41:$A$920,0),$H502+1),""))</f>
        <v/>
      </c>
      <c r="O502">
        <f>IF($H502="","",MAX(1,MIN(5,($U502+$V502+$X502)/3)))</f>
        <v/>
      </c>
      <c r="P502">
        <f>IF($H502="","",IF($I502="Critical",5,IF($I502="High",4,IF($I502="Medium",3,IF($I502="Low",2,1)))))</f>
        <v/>
      </c>
      <c r="Q502">
        <f>IF($H502="","",MAX(1,MIN(5,((5-$H502)*0.65)+($W502*0.35))))</f>
        <v/>
      </c>
      <c r="R502">
        <f>IF($H502="","",MAX(1,MIN(5,($V502+$X502)/2)))</f>
        <v/>
      </c>
      <c r="S502">
        <f>IF(OR($H502="",$N502=""),"",ROUND(($O502+$P502+$Q502+$R502)/$N502,2))</f>
        <v/>
      </c>
      <c r="T502">
        <f>IF($H502="","",IFERROR(INDEX('_ENGINE_Risk'!$N$41:$S$920,MATCH($E502,'_ENGINE_Risk'!$A$41:$A$920,0),$H502+1),""))</f>
        <v/>
      </c>
      <c r="U502">
        <f>IFERROR(INDEX(_DATA_Assessment_Model!$G$5:$G$884,MATCH($E502,_DATA_Assessment_Model!$A$5:$A$884,0)),"")</f>
        <v/>
      </c>
      <c r="V502">
        <f>IFERROR(INDEX(_DATA_Assessment_Model!$W$5:$W$884,MATCH($E502,_DATA_Assessment_Model!$A$5:$A$884,0)),"")</f>
        <v/>
      </c>
      <c r="W502">
        <f>IFERROR(INDEX(_DATA_Assessment_Model!$X$5:$X$884,MATCH($E502,_DATA_Assessment_Model!$A$5:$A$884,0)),"")</f>
        <v/>
      </c>
      <c r="X502">
        <f>IFERROR(INDEX(_DATA_Assessment_Model!$Y$5:$Y$884,MATCH($E502,_DATA_Assessment_Model!$A$5:$A$884,0)),"")</f>
        <v/>
      </c>
      <c r="Y502" t="inlineStr">
        <is>
          <t>Geopolitical risk; Physical site loss; Regulatory/legal shock</t>
        </is>
      </c>
      <c r="Z502" t="inlineStr">
        <is>
          <t>CEO / COO / Risk</t>
        </is>
      </c>
      <c r="AA502" t="inlineStr">
        <is>
          <t>Policy/SOP; owner/RACI; system report; dashboard; contracts; test records; incident history; interview evidence related to critical products and services ranked by revenue, margin and continuity priority.</t>
        </is>
      </c>
      <c r="AB502">
        <f>IFERROR(INDEX(_DATA_Assessment_Model!$U$5:$U$884,MATCH($E502,_DATA_Assessment_Model!$A$5:$A$884,0)),"")</f>
        <v/>
      </c>
      <c r="AF502" t="inlineStr">
        <is>
          <t>How mature is the organization in managing critical products and services ranked by revenue, margin and continuity priority, including ownership, evidence, metrics, fallback procedures and crisis stress testing?</t>
        </is>
      </c>
      <c r="AH502" t="inlineStr">
        <is>
          <t>Legal Risk</t>
        </is>
      </c>
      <c r="AI502">
        <f>COUNTIFS($C$500:$C$923,AH502,$B$500:$B$923,"Yes")</f>
        <v/>
      </c>
      <c r="AJ502">
        <f>COUNTIFS($C$500:$C$923,AH502,$B$500:$B$923,"Yes",$I$500:$I$923,"Critical")+COUNTIFS($C$500:$C$923,AH502,$B$500:$B$923,"Yes",$I$500:$I$923,"High")</f>
        <v/>
      </c>
      <c r="AK502">
        <f>IFERROR(ROUND(AVERAGEIFS($L$500:$L$923,$C$500:$C$923,AH502,$B$500:$B$923,"Yes"),1),"")</f>
        <v/>
      </c>
      <c r="AL502">
        <f>IFERROR(_xlfn.MAXIFS($L$500:$L$923,$C$500:$C$923,AH502,$B$500:$B$923,"Yes"),"")</f>
        <v/>
      </c>
      <c r="AM502">
        <f>IFERROR(ROUND(AVERAGEIFS($S$500:$S$923,$C$500:$C$923,AH502,$B$500:$B$923,"Yes"),2),"")</f>
        <v/>
      </c>
      <c r="AN502">
        <f>COUNTIFS($C$500:$C$923,AH502,$H$500:$H$923,"")</f>
        <v/>
      </c>
      <c r="AO502">
        <f>IF($B502="Yes",IFERROR(INDEX(_ENGINE_Crisis!$F$501:$F$517,MATCH($C502,_ENGINE_Crisis!$A$501:$A$517,0)),1),"")</f>
        <v/>
      </c>
      <c r="AP502">
        <f>IF(AO502="","",ROUND($L502*AO502,1))</f>
        <v/>
      </c>
      <c r="AQ502">
        <f>IF(OR(AO502="",$S502=""),"",ROUND($S502*(0.7+0.3*AO502),2))</f>
        <v/>
      </c>
      <c r="AR502">
        <f>IFERROR(INDEX(_ENGINE_Crisis!$E$41:$E$700,MATCH('Resilience &amp; Risk Scenario'!$B$60&amp;"|"&amp;$C502,_ENGINE_Crisis!$I$41:$I$700,0)),"")</f>
        <v/>
      </c>
      <c r="AS502">
        <f>IFERROR(INDEX(_ENGINE_Crisis!$G$41:$G$700,MATCH('Resilience &amp; Risk Scenario'!$B$60&amp;"|"&amp;$C502,_ENGINE_Crisis!$I$41:$I$700,0)),"")</f>
        <v/>
      </c>
      <c r="AT502">
        <f>IFERROR(INDEX(_ENGINE_Initiatives!$A$5:$A$532,MATCH(1,INDEX((_ENGINE_Initiatives!$B$5:$B$532=$C502)*(_ENGINE_Initiatives!$C$5:$C$532=$D502),0),0)),"")</f>
        <v/>
      </c>
      <c r="AU502">
        <f>IFERROR(INDEX(_ENGINE_Initiatives!$F$5:$F$532,MATCH(1,INDEX((_ENGINE_Initiatives!$B$5:$B$532=$C502)*(_ENGINE_Initiatives!$C$5:$C$532=$D502),0),0)),"")</f>
        <v/>
      </c>
      <c r="AV502">
        <f>IFERROR(INDEX(_ENGINE_Initiatives!$AC$5:$AC$532,MATCH(1,INDEX((_ENGINE_Initiatives!$B$5:$B$532=$C502)*(_ENGINE_Initiatives!$C$5:$C$532=$D502),0),0)),"")</f>
        <v/>
      </c>
      <c r="AW502">
        <f>IFERROR(INDEX(_ENGINE_Initiatives!$AE$5:$AE$532,MATCH(1,INDEX((_ENGINE_Initiatives!$B$5:$B$532=$C502)*(_ENGINE_Initiatives!$C$5:$C$532=$D502),0),0)),"")</f>
        <v/>
      </c>
      <c r="AX502">
        <f>IF($B502="Yes",IFERROR(IF(SUMIFS(_REF_Model_Content!$E$1:$E$613,_REF_Model_Content!$A$1:$A$613,'Company Profile'!$B$9,_REF_Model_Content!$B$1:$B$613,$C502)=0,1,SUMIFS(_REF_Model_Content!$E$1:$E$613,_REF_Model_Content!$A$1:$A$613,'Company Profile'!$B$9,_REF_Model_Content!$B$1:$B$613,$C502)),1),"")</f>
        <v/>
      </c>
      <c r="AY502">
        <f>IF($L502="","",ROUND(IF($AP502="",$L502,$AP502)*IF($AX502="",1,$AX502),2))</f>
        <v/>
      </c>
      <c r="AZ502">
        <f>IF($S502="","",ROUND(IF($AQ502="",$S502,$AQ502)*IF($AX502="",1,$AX502),2))</f>
        <v/>
      </c>
      <c r="BB502">
        <f>IF($H502="","",IFERROR(INDEX('_ENGINE_Risk'!$AE$41:$AE$920,MATCH($E502,'_ENGINE_Risk'!$A$41:$A$920,0)),"Medium"))</f>
        <v/>
      </c>
      <c r="BC502">
        <f>IF($BB502="","",IF($BB502="Fast",1.25,IF($BB502="Slow",0.85,1)))</f>
        <v/>
      </c>
      <c r="BD502">
        <f>IF(OR($AZ502="",$BC502=""),"",ROUND($AZ502*$BC502,2))</f>
        <v/>
      </c>
      <c r="BF502">
        <f>IF(OR($H502="",$J502=""),"",_xlfn.IFNA(VLOOKUP($J502,_CONFIG_Model_Settings!$D$610:$E$614,2,0),""))</f>
        <v/>
      </c>
      <c r="BG502">
        <f>IF(OR($H502="",$K502=""),"",ROUND('Company Profile'!$B$569*INDEX(_CONFIG_Model_Settings!$H$610:$H$614,MATCH($K502,_CONFIG_Model_Settings!$G$610:$G$614,0)),0))</f>
        <v/>
      </c>
      <c r="BH502">
        <f>IF(OR($BF502="",$BG502=""),"",ROUND($BF502*$BG502,1))</f>
        <v/>
      </c>
      <c r="BI502">
        <f>IF($BH502="","",IF($AO502="",$BH502,ROUND($BH502*$AO502,1)))</f>
        <v/>
      </c>
      <c r="BJ502">
        <f>IF($E502="","",IFERROR(VLOOKUP($C502,'_CONFIG_Risk_Calibration'!$A$5:$H$21,2,FALSE),3))</f>
        <v/>
      </c>
      <c r="BK502">
        <f>IF($E502="","",IFERROR(VLOOKUP($C502,'_CONFIG_Risk_Calibration'!$A$5:$H$21,3,FALSE),0))</f>
        <v/>
      </c>
      <c r="BL502">
        <f>IF($E502="","",IFERROR(VLOOKUP($C502,'_CONFIG_Risk_Calibration'!$A$5:$H$21,4,FALSE),3))</f>
        <v/>
      </c>
      <c r="BM502">
        <f>IF($E502="","",IFERROR(VLOOKUP($C502,'_CONFIG_Risk_Calibration'!$A$5:$H$21,5,FALSE),3))</f>
        <v/>
      </c>
      <c r="BN502">
        <f>IF($E502="","",IFERROR(VLOOKUP($C502,'_CONFIG_Risk_Calibration'!$A$5:$H$21,6,FALSE),"No"))</f>
        <v/>
      </c>
      <c r="BO502">
        <f>IF($E502="","",IFERROR(VLOOKUP($C502,'_CONFIG_Risk_Calibration'!$A$5:$H$21,7,FALSE),1))</f>
        <v/>
      </c>
      <c r="BP502">
        <f>IF($H502="","",MAX(1,MIN(5,((6-$H502)*0.45)+($BJ502*0.20)+('Resilience &amp; Risk Scenario'!$B$7*0.15)+($BK502*0.10)+($BL502*0.05)+(IF($BB502="Fast",5,IF($BB502="Slow",1,3))*0.05))))</f>
        <v/>
      </c>
      <c r="BQ502">
        <f>IF($H502="","",MAX(IF($BN502="Yes",$BO502,1),MIN(5,($U502*0.20)+($V502*0.15)+($W502*0.25)+($X502*0.15)+($BJ502*0.10)+($BM502*0.15))))</f>
        <v/>
      </c>
      <c r="BR502">
        <f>IF(OR($BP502="",$BQ502=""),"",ROUND($BP502*$BQ502,2))</f>
        <v/>
      </c>
      <c r="BS502">
        <f>IF($BR502="","",ROUND($BR502*IF($AO502="",1,$AO502)*IF($AX502="",1,$AX502)*(1+(($BM502-3)*0.10))*IF($BC502="",1,$BC502),2))</f>
        <v/>
      </c>
    </row>
    <row r="503" ht="69.90000000000001" customHeight="1" s="209">
      <c r="A503">
        <f>IF($BD503="","",SUMPRODUCT(ISNUMBER($BD$500:$BD$923)*($BD$500:$BD$923&gt;$BD503))+COUNTIF($BD$500:$BD503,$BD503))</f>
        <v/>
      </c>
      <c r="B503">
        <f>IF($H503="","",IF($H503&lt;5,"Yes","Maintain"))</f>
        <v/>
      </c>
      <c r="C503" t="inlineStr">
        <is>
          <t>Company Geography</t>
        </is>
      </c>
      <c r="D503" t="inlineStr">
        <is>
          <t>Company profile</t>
        </is>
      </c>
      <c r="E503" t="inlineStr">
        <is>
          <t>COMP-004</t>
        </is>
      </c>
      <c r="F503" t="inlineStr">
        <is>
          <t>Geographic, entity and market exposure</t>
        </is>
      </c>
      <c r="G503">
        <f>IF($H503="","",IFERROR(INDEX('_ENGINE_Risk'!$H$41:$M$920,MATCH($E503,'_ENGINE_Risk'!$A$41:$A$920,0),$H503+1),""))</f>
        <v/>
      </c>
      <c r="H503">
        <f>IFERROR(VALUE(INDEX(_DATA_Assessment_Model!$H$5:$H$884,MATCH($E503,_DATA_Assessment_Model!$A$5:$A$884,0))),"")</f>
        <v/>
      </c>
      <c r="I503">
        <f>IF($H503="","",IFERROR(INDEX(_DATA_Assessment_Model!$L$5:$L$884,MATCH($E503,_DATA_Assessment_Model!$A$5:$A$884,0)),IF($H503&lt;=1,"Critical",IF($H503=2,"High",IF($H503=3,"Medium",IF($H503=4,"Low","Resilient"))))))</f>
        <v/>
      </c>
      <c r="J503">
        <f>IF($H503="","",MIN(5,MAX(1,6-$H503)))</f>
        <v/>
      </c>
      <c r="K503">
        <f>IF($H503="","",MAX(1,MIN(5,ROUNDUP(($U503*0.45)+($W503*0.35)+($X503*0.2),0))))</f>
        <v/>
      </c>
      <c r="L503">
        <f>IF($H503="","",$J503*$K503)</f>
        <v/>
      </c>
      <c r="M503">
        <f>IF($H503="","",MAX(1,MIN(5,ROUNDUP($L503/5,0))))</f>
        <v/>
      </c>
      <c r="N503">
        <f>IF($H503="","",IFERROR(INDEX('_ENGINE_Risk'!$T$41:$Y$920,MATCH($E503,'_ENGINE_Risk'!$A$41:$A$920,0),$H503+1),""))</f>
        <v/>
      </c>
      <c r="O503">
        <f>IF($H503="","",MAX(1,MIN(5,($U503+$V503+$X503)/3)))</f>
        <v/>
      </c>
      <c r="P503">
        <f>IF($H503="","",IF($I503="Critical",5,IF($I503="High",4,IF($I503="Medium",3,IF($I503="Low",2,1)))))</f>
        <v/>
      </c>
      <c r="Q503">
        <f>IF($H503="","",MAX(1,MIN(5,((5-$H503)*0.65)+($W503*0.35))))</f>
        <v/>
      </c>
      <c r="R503">
        <f>IF($H503="","",MAX(1,MIN(5,($V503+$X503)/2)))</f>
        <v/>
      </c>
      <c r="S503">
        <f>IF(OR($H503="",$N503=""),"",ROUND(($O503+$P503+$Q503+$R503)/$N503,2))</f>
        <v/>
      </c>
      <c r="T503">
        <f>IF($H503="","",IFERROR(INDEX('_ENGINE_Risk'!$N$41:$S$920,MATCH($E503,'_ENGINE_Risk'!$A$41:$A$920,0),$H503+1),""))</f>
        <v/>
      </c>
      <c r="U503">
        <f>IFERROR(INDEX(_DATA_Assessment_Model!$G$5:$G$884,MATCH($E503,_DATA_Assessment_Model!$A$5:$A$884,0)),"")</f>
        <v/>
      </c>
      <c r="V503">
        <f>IFERROR(INDEX(_DATA_Assessment_Model!$W$5:$W$884,MATCH($E503,_DATA_Assessment_Model!$A$5:$A$884,0)),"")</f>
        <v/>
      </c>
      <c r="W503">
        <f>IFERROR(INDEX(_DATA_Assessment_Model!$X$5:$X$884,MATCH($E503,_DATA_Assessment_Model!$A$5:$A$884,0)),"")</f>
        <v/>
      </c>
      <c r="X503">
        <f>IFERROR(INDEX(_DATA_Assessment_Model!$Y$5:$Y$884,MATCH($E503,_DATA_Assessment_Model!$A$5:$A$884,0)),"")</f>
        <v/>
      </c>
      <c r="Y503" t="inlineStr">
        <is>
          <t>Geopolitical risk; Physical site loss; Regulatory/legal shock</t>
        </is>
      </c>
      <c r="Z503" t="inlineStr">
        <is>
          <t>CEO / COO / Risk</t>
        </is>
      </c>
      <c r="AA503" t="inlineStr">
        <is>
          <t>Policy/SOP; owner/RACI; system report; dashboard; contracts; test records; incident history; interview evidence related to operating model: centralized, distributed, outsourced, remote or hybrid.</t>
        </is>
      </c>
      <c r="AB503">
        <f>IFERROR(INDEX(_DATA_Assessment_Model!$U$5:$U$884,MATCH($E503,_DATA_Assessment_Model!$A$5:$A$884,0)),"")</f>
        <v/>
      </c>
      <c r="AF503" t="inlineStr">
        <is>
          <t>How mature is the organization in managing operating model: centralized, distributed, outsourced, remote or hybrid, including ownership, evidence, metrics, fallback procedures and crisis stress testing?</t>
        </is>
      </c>
      <c r="AH503" t="inlineStr">
        <is>
          <t>Physical Safety</t>
        </is>
      </c>
      <c r="AI503">
        <f>COUNTIFS($C$500:$C$923,AH503,$B$500:$B$923,"Yes")</f>
        <v/>
      </c>
      <c r="AJ503">
        <f>COUNTIFS($C$500:$C$923,AH503,$B$500:$B$923,"Yes",$I$500:$I$923,"Critical")+COUNTIFS($C$500:$C$923,AH503,$B$500:$B$923,"Yes",$I$500:$I$923,"High")</f>
        <v/>
      </c>
      <c r="AK503">
        <f>IFERROR(ROUND(AVERAGEIFS($L$500:$L$923,$C$500:$C$923,AH503,$B$500:$B$923,"Yes"),1),"")</f>
        <v/>
      </c>
      <c r="AL503">
        <f>IFERROR(_xlfn.MAXIFS($L$500:$L$923,$C$500:$C$923,AH503,$B$500:$B$923,"Yes"),"")</f>
        <v/>
      </c>
      <c r="AM503">
        <f>IFERROR(ROUND(AVERAGEIFS($S$500:$S$923,$C$500:$C$923,AH503,$B$500:$B$923,"Yes"),2),"")</f>
        <v/>
      </c>
      <c r="AN503">
        <f>COUNTIFS($C$500:$C$923,AH503,$H$500:$H$923,"")</f>
        <v/>
      </c>
      <c r="AO503">
        <f>IF($B503="Yes",IFERROR(INDEX(_ENGINE_Crisis!$F$501:$F$517,MATCH($C503,_ENGINE_Crisis!$A$501:$A$517,0)),1),"")</f>
        <v/>
      </c>
      <c r="AP503">
        <f>IF(AO503="","",ROUND($L503*AO503,1))</f>
        <v/>
      </c>
      <c r="AQ503">
        <f>IF(OR(AO503="",$S503=""),"",ROUND($S503*(0.7+0.3*AO503),2))</f>
        <v/>
      </c>
      <c r="AR503">
        <f>IFERROR(INDEX(_ENGINE_Crisis!$E$41:$E$700,MATCH('Resilience &amp; Risk Scenario'!$B$60&amp;"|"&amp;$C503,_ENGINE_Crisis!$I$41:$I$700,0)),"")</f>
        <v/>
      </c>
      <c r="AS503">
        <f>IFERROR(INDEX(_ENGINE_Crisis!$G$41:$G$700,MATCH('Resilience &amp; Risk Scenario'!$B$60&amp;"|"&amp;$C503,_ENGINE_Crisis!$I$41:$I$700,0)),"")</f>
        <v/>
      </c>
      <c r="AT503">
        <f>IFERROR(INDEX(_ENGINE_Initiatives!$A$5:$A$532,MATCH(1,INDEX((_ENGINE_Initiatives!$B$5:$B$532=$C503)*(_ENGINE_Initiatives!$C$5:$C$532=$D503),0),0)),"")</f>
        <v/>
      </c>
      <c r="AU503">
        <f>IFERROR(INDEX(_ENGINE_Initiatives!$F$5:$F$532,MATCH(1,INDEX((_ENGINE_Initiatives!$B$5:$B$532=$C503)*(_ENGINE_Initiatives!$C$5:$C$532=$D503),0),0)),"")</f>
        <v/>
      </c>
      <c r="AV503">
        <f>IFERROR(INDEX(_ENGINE_Initiatives!$AC$5:$AC$532,MATCH(1,INDEX((_ENGINE_Initiatives!$B$5:$B$532=$C503)*(_ENGINE_Initiatives!$C$5:$C$532=$D503),0),0)),"")</f>
        <v/>
      </c>
      <c r="AW503">
        <f>IFERROR(INDEX(_ENGINE_Initiatives!$AE$5:$AE$532,MATCH(1,INDEX((_ENGINE_Initiatives!$B$5:$B$532=$C503)*(_ENGINE_Initiatives!$C$5:$C$532=$D503),0),0)),"")</f>
        <v/>
      </c>
      <c r="AX503">
        <f>IF($B503="Yes",IFERROR(IF(SUMIFS(_REF_Model_Content!$E$1:$E$613,_REF_Model_Content!$A$1:$A$613,'Company Profile'!$B$9,_REF_Model_Content!$B$1:$B$613,$C503)=0,1,SUMIFS(_REF_Model_Content!$E$1:$E$613,_REF_Model_Content!$A$1:$A$613,'Company Profile'!$B$9,_REF_Model_Content!$B$1:$B$613,$C503)),1),"")</f>
        <v/>
      </c>
      <c r="AY503">
        <f>IF($L503="","",ROUND(IF($AP503="",$L503,$AP503)*IF($AX503="",1,$AX503),2))</f>
        <v/>
      </c>
      <c r="AZ503">
        <f>IF($S503="","",ROUND(IF($AQ503="",$S503,$AQ503)*IF($AX503="",1,$AX503),2))</f>
        <v/>
      </c>
      <c r="BB503">
        <f>IF($H503="","",IFERROR(INDEX('_ENGINE_Risk'!$AE$41:$AE$920,MATCH($E503,'_ENGINE_Risk'!$A$41:$A$920,0)),"Medium"))</f>
        <v/>
      </c>
      <c r="BC503">
        <f>IF($BB503="","",IF($BB503="Fast",1.25,IF($BB503="Slow",0.85,1)))</f>
        <v/>
      </c>
      <c r="BD503">
        <f>IF(OR($AZ503="",$BC503=""),"",ROUND($AZ503*$BC503,2))</f>
        <v/>
      </c>
      <c r="BF503">
        <f>IF(OR($H503="",$J503=""),"",_xlfn.IFNA(VLOOKUP($J503,_CONFIG_Model_Settings!$D$610:$E$614,2,0),""))</f>
        <v/>
      </c>
      <c r="BG503">
        <f>IF(OR($H503="",$K503=""),"",ROUND('Company Profile'!$B$569*INDEX(_CONFIG_Model_Settings!$H$610:$H$614,MATCH($K503,_CONFIG_Model_Settings!$G$610:$G$614,0)),0))</f>
        <v/>
      </c>
      <c r="BH503">
        <f>IF(OR($BF503="",$BG503=""),"",ROUND($BF503*$BG503,1))</f>
        <v/>
      </c>
      <c r="BI503">
        <f>IF($BH503="","",IF($AO503="",$BH503,ROUND($BH503*$AO503,1)))</f>
        <v/>
      </c>
      <c r="BJ503">
        <f>IF($E503="","",IFERROR(VLOOKUP($C503,'_CONFIG_Risk_Calibration'!$A$5:$H$21,2,FALSE),3))</f>
        <v/>
      </c>
      <c r="BK503">
        <f>IF($E503="","",IFERROR(VLOOKUP($C503,'_CONFIG_Risk_Calibration'!$A$5:$H$21,3,FALSE),0))</f>
        <v/>
      </c>
      <c r="BL503">
        <f>IF($E503="","",IFERROR(VLOOKUP($C503,'_CONFIG_Risk_Calibration'!$A$5:$H$21,4,FALSE),3))</f>
        <v/>
      </c>
      <c r="BM503">
        <f>IF($E503="","",IFERROR(VLOOKUP($C503,'_CONFIG_Risk_Calibration'!$A$5:$H$21,5,FALSE),3))</f>
        <v/>
      </c>
      <c r="BN503">
        <f>IF($E503="","",IFERROR(VLOOKUP($C503,'_CONFIG_Risk_Calibration'!$A$5:$H$21,6,FALSE),"No"))</f>
        <v/>
      </c>
      <c r="BO503">
        <f>IF($E503="","",IFERROR(VLOOKUP($C503,'_CONFIG_Risk_Calibration'!$A$5:$H$21,7,FALSE),1))</f>
        <v/>
      </c>
      <c r="BP503">
        <f>IF($H503="","",MAX(1,MIN(5,((6-$H503)*0.45)+($BJ503*0.20)+('Resilience &amp; Risk Scenario'!$B$7*0.15)+($BK503*0.10)+($BL503*0.05)+(IF($BB503="Fast",5,IF($BB503="Slow",1,3))*0.05))))</f>
        <v/>
      </c>
      <c r="BQ503">
        <f>IF($H503="","",MAX(IF($BN503="Yes",$BO503,1),MIN(5,($U503*0.20)+($V503*0.15)+($W503*0.25)+($X503*0.15)+($BJ503*0.10)+($BM503*0.15))))</f>
        <v/>
      </c>
      <c r="BR503">
        <f>IF(OR($BP503="",$BQ503=""),"",ROUND($BP503*$BQ503,2))</f>
        <v/>
      </c>
      <c r="BS503">
        <f>IF($BR503="","",ROUND($BR503*IF($AO503="",1,$AO503)*IF($AX503="",1,$AX503)*(1+(($BM503-3)*0.10))*IF($BC503="",1,$BC503),2))</f>
        <v/>
      </c>
    </row>
    <row r="504" ht="69.90000000000001" customHeight="1" s="209">
      <c r="A504">
        <f>IF($BD504="","",SUMPRODUCT(ISNUMBER($BD$500:$BD$923)*($BD$500:$BD$923&gt;$BD504))+COUNTIF($BD$500:$BD504,$BD504))</f>
        <v/>
      </c>
      <c r="B504">
        <f>IF($H504="","",IF($H504&lt;5,"Yes","Maintain"))</f>
        <v/>
      </c>
      <c r="C504" t="inlineStr">
        <is>
          <t>Company Geography</t>
        </is>
      </c>
      <c r="D504" t="inlineStr">
        <is>
          <t>Company profile</t>
        </is>
      </c>
      <c r="E504" t="inlineStr">
        <is>
          <t>COMP-005</t>
        </is>
      </c>
      <c r="F504" t="inlineStr">
        <is>
          <t>Geographic, entity and market exposure</t>
        </is>
      </c>
      <c r="G504">
        <f>IF($H504="","",IFERROR(INDEX('_ENGINE_Risk'!$H$41:$M$920,MATCH($E504,'_ENGINE_Risk'!$A$41:$A$920,0),$H504+1),""))</f>
        <v/>
      </c>
      <c r="H504">
        <f>IFERROR(VALUE(INDEX(_DATA_Assessment_Model!$H$5:$H$884,MATCH($E504,_DATA_Assessment_Model!$A$5:$A$884,0))),"")</f>
        <v/>
      </c>
      <c r="I504">
        <f>IF($H504="","",IFERROR(INDEX(_DATA_Assessment_Model!$L$5:$L$884,MATCH($E504,_DATA_Assessment_Model!$A$5:$A$884,0)),IF($H504&lt;=1,"Critical",IF($H504=2,"High",IF($H504=3,"Medium",IF($H504=4,"Low","Resilient"))))))</f>
        <v/>
      </c>
      <c r="J504">
        <f>IF($H504="","",MIN(5,MAX(1,6-$H504)))</f>
        <v/>
      </c>
      <c r="K504">
        <f>IF($H504="","",MAX(1,MIN(5,ROUNDUP(($U504*0.45)+($W504*0.35)+($X504*0.2),0))))</f>
        <v/>
      </c>
      <c r="L504">
        <f>IF($H504="","",$J504*$K504)</f>
        <v/>
      </c>
      <c r="M504">
        <f>IF($H504="","",MAX(1,MIN(5,ROUNDUP($L504/5,0))))</f>
        <v/>
      </c>
      <c r="N504">
        <f>IF($H504="","",IFERROR(INDEX('_ENGINE_Risk'!$T$41:$Y$920,MATCH($E504,'_ENGINE_Risk'!$A$41:$A$920,0),$H504+1),""))</f>
        <v/>
      </c>
      <c r="O504">
        <f>IF($H504="","",MAX(1,MIN(5,($U504+$V504+$X504)/3)))</f>
        <v/>
      </c>
      <c r="P504">
        <f>IF($H504="","",IF($I504="Critical",5,IF($I504="High",4,IF($I504="Medium",3,IF($I504="Low",2,1)))))</f>
        <v/>
      </c>
      <c r="Q504">
        <f>IF($H504="","",MAX(1,MIN(5,((5-$H504)*0.65)+($W504*0.35))))</f>
        <v/>
      </c>
      <c r="R504">
        <f>IF($H504="","",MAX(1,MIN(5,($V504+$X504)/2)))</f>
        <v/>
      </c>
      <c r="S504">
        <f>IF(OR($H504="",$N504=""),"",ROUND(($O504+$P504+$Q504+$R504)/$N504,2))</f>
        <v/>
      </c>
      <c r="T504">
        <f>IF($H504="","",IFERROR(INDEX('_ENGINE_Risk'!$N$41:$S$920,MATCH($E504,'_ENGINE_Risk'!$A$41:$A$920,0),$H504+1),""))</f>
        <v/>
      </c>
      <c r="U504">
        <f>IFERROR(INDEX(_DATA_Assessment_Model!$G$5:$G$884,MATCH($E504,_DATA_Assessment_Model!$A$5:$A$884,0)),"")</f>
        <v/>
      </c>
      <c r="V504">
        <f>IFERROR(INDEX(_DATA_Assessment_Model!$W$5:$W$884,MATCH($E504,_DATA_Assessment_Model!$A$5:$A$884,0)),"")</f>
        <v/>
      </c>
      <c r="W504">
        <f>IFERROR(INDEX(_DATA_Assessment_Model!$X$5:$X$884,MATCH($E504,_DATA_Assessment_Model!$A$5:$A$884,0)),"")</f>
        <v/>
      </c>
      <c r="X504">
        <f>IFERROR(INDEX(_DATA_Assessment_Model!$Y$5:$Y$884,MATCH($E504,_DATA_Assessment_Model!$A$5:$A$884,0)),"")</f>
        <v/>
      </c>
      <c r="Y504" t="inlineStr">
        <is>
          <t>Geopolitical risk; Physical site loss; Regulatory/legal shock</t>
        </is>
      </c>
      <c r="Z504" t="inlineStr">
        <is>
          <t>CEO / COO / Risk</t>
        </is>
      </c>
      <c r="AA504" t="inlineStr">
        <is>
          <t>Policy/SOP; owner/RACI; system report; dashboard; contracts; test records; incident history; interview evidence related to critical assets: people, facilities, systems, data, equipment and intellectual property.</t>
        </is>
      </c>
      <c r="AB504">
        <f>IFERROR(INDEX(_DATA_Assessment_Model!$U$5:$U$884,MATCH($E504,_DATA_Assessment_Model!$A$5:$A$884,0)),"")</f>
        <v/>
      </c>
      <c r="AF504" t="inlineStr">
        <is>
          <t>How mature is the organization in managing critical assets: people, facilities, systems, data, equipment and intellectual property, including ownership, evidence, metrics, fallback procedures and crisis stress testing?</t>
        </is>
      </c>
      <c r="AH504" t="inlineStr">
        <is>
          <t>Delivery Ops</t>
        </is>
      </c>
      <c r="AI504">
        <f>COUNTIFS($C$500:$C$923,AH504,$B$500:$B$923,"Yes")</f>
        <v/>
      </c>
      <c r="AJ504">
        <f>COUNTIFS($C$500:$C$923,AH504,$B$500:$B$923,"Yes",$I$500:$I$923,"Critical")+COUNTIFS($C$500:$C$923,AH504,$B$500:$B$923,"Yes",$I$500:$I$923,"High")</f>
        <v/>
      </c>
      <c r="AK504">
        <f>IFERROR(ROUND(AVERAGEIFS($L$500:$L$923,$C$500:$C$923,AH504,$B$500:$B$923,"Yes"),1),"")</f>
        <v/>
      </c>
      <c r="AL504">
        <f>IFERROR(_xlfn.MAXIFS($L$500:$L$923,$C$500:$C$923,AH504,$B$500:$B$923,"Yes"),"")</f>
        <v/>
      </c>
      <c r="AM504">
        <f>IFERROR(ROUND(AVERAGEIFS($S$500:$S$923,$C$500:$C$923,AH504,$B$500:$B$923,"Yes"),2),"")</f>
        <v/>
      </c>
      <c r="AN504">
        <f>COUNTIFS($C$500:$C$923,AH504,$H$500:$H$923,"")</f>
        <v/>
      </c>
      <c r="AO504">
        <f>IF($B504="Yes",IFERROR(INDEX(_ENGINE_Crisis!$F$501:$F$517,MATCH($C504,_ENGINE_Crisis!$A$501:$A$517,0)),1),"")</f>
        <v/>
      </c>
      <c r="AP504">
        <f>IF(AO504="","",ROUND($L504*AO504,1))</f>
        <v/>
      </c>
      <c r="AQ504">
        <f>IF(OR(AO504="",$S504=""),"",ROUND($S504*(0.7+0.3*AO504),2))</f>
        <v/>
      </c>
      <c r="AR504">
        <f>IFERROR(INDEX(_ENGINE_Crisis!$E$41:$E$700,MATCH('Resilience &amp; Risk Scenario'!$B$60&amp;"|"&amp;$C504,_ENGINE_Crisis!$I$41:$I$700,0)),"")</f>
        <v/>
      </c>
      <c r="AS504">
        <f>IFERROR(INDEX(_ENGINE_Crisis!$G$41:$G$700,MATCH('Resilience &amp; Risk Scenario'!$B$60&amp;"|"&amp;$C504,_ENGINE_Crisis!$I$41:$I$700,0)),"")</f>
        <v/>
      </c>
      <c r="AT504">
        <f>IFERROR(INDEX(_ENGINE_Initiatives!$A$5:$A$532,MATCH(1,INDEX((_ENGINE_Initiatives!$B$5:$B$532=$C504)*(_ENGINE_Initiatives!$C$5:$C$532=$D504),0),0)),"")</f>
        <v/>
      </c>
      <c r="AU504">
        <f>IFERROR(INDEX(_ENGINE_Initiatives!$F$5:$F$532,MATCH(1,INDEX((_ENGINE_Initiatives!$B$5:$B$532=$C504)*(_ENGINE_Initiatives!$C$5:$C$532=$D504),0),0)),"")</f>
        <v/>
      </c>
      <c r="AV504">
        <f>IFERROR(INDEX(_ENGINE_Initiatives!$AC$5:$AC$532,MATCH(1,INDEX((_ENGINE_Initiatives!$B$5:$B$532=$C504)*(_ENGINE_Initiatives!$C$5:$C$532=$D504),0),0)),"")</f>
        <v/>
      </c>
      <c r="AW504">
        <f>IFERROR(INDEX(_ENGINE_Initiatives!$AE$5:$AE$532,MATCH(1,INDEX((_ENGINE_Initiatives!$B$5:$B$532=$C504)*(_ENGINE_Initiatives!$C$5:$C$532=$D504),0),0)),"")</f>
        <v/>
      </c>
      <c r="AX504">
        <f>IF($B504="Yes",IFERROR(IF(SUMIFS(_REF_Model_Content!$E$1:$E$613,_REF_Model_Content!$A$1:$A$613,'Company Profile'!$B$9,_REF_Model_Content!$B$1:$B$613,$C504)=0,1,SUMIFS(_REF_Model_Content!$E$1:$E$613,_REF_Model_Content!$A$1:$A$613,'Company Profile'!$B$9,_REF_Model_Content!$B$1:$B$613,$C504)),1),"")</f>
        <v/>
      </c>
      <c r="AY504">
        <f>IF($L504="","",ROUND(IF($AP504="",$L504,$AP504)*IF($AX504="",1,$AX504),2))</f>
        <v/>
      </c>
      <c r="AZ504">
        <f>IF($S504="","",ROUND(IF($AQ504="",$S504,$AQ504)*IF($AX504="",1,$AX504),2))</f>
        <v/>
      </c>
      <c r="BB504">
        <f>IF($H504="","",IFERROR(INDEX('_ENGINE_Risk'!$AE$41:$AE$920,MATCH($E504,'_ENGINE_Risk'!$A$41:$A$920,0)),"Medium"))</f>
        <v/>
      </c>
      <c r="BC504">
        <f>IF($BB504="","",IF($BB504="Fast",1.25,IF($BB504="Slow",0.85,1)))</f>
        <v/>
      </c>
      <c r="BD504">
        <f>IF(OR($AZ504="",$BC504=""),"",ROUND($AZ504*$BC504,2))</f>
        <v/>
      </c>
      <c r="BF504">
        <f>IF(OR($H504="",$J504=""),"",_xlfn.IFNA(VLOOKUP($J504,_CONFIG_Model_Settings!$D$610:$E$614,2,0),""))</f>
        <v/>
      </c>
      <c r="BG504">
        <f>IF(OR($H504="",$K504=""),"",ROUND('Company Profile'!$B$569*INDEX(_CONFIG_Model_Settings!$H$610:$H$614,MATCH($K504,_CONFIG_Model_Settings!$G$610:$G$614,0)),0))</f>
        <v/>
      </c>
      <c r="BH504">
        <f>IF(OR($BF504="",$BG504=""),"",ROUND($BF504*$BG504,1))</f>
        <v/>
      </c>
      <c r="BI504">
        <f>IF($BH504="","",IF($AO504="",$BH504,ROUND($BH504*$AO504,1)))</f>
        <v/>
      </c>
      <c r="BJ504">
        <f>IF($E504="","",IFERROR(VLOOKUP($C504,'_CONFIG_Risk_Calibration'!$A$5:$H$21,2,FALSE),3))</f>
        <v/>
      </c>
      <c r="BK504">
        <f>IF($E504="","",IFERROR(VLOOKUP($C504,'_CONFIG_Risk_Calibration'!$A$5:$H$21,3,FALSE),0))</f>
        <v/>
      </c>
      <c r="BL504">
        <f>IF($E504="","",IFERROR(VLOOKUP($C504,'_CONFIG_Risk_Calibration'!$A$5:$H$21,4,FALSE),3))</f>
        <v/>
      </c>
      <c r="BM504">
        <f>IF($E504="","",IFERROR(VLOOKUP($C504,'_CONFIG_Risk_Calibration'!$A$5:$H$21,5,FALSE),3))</f>
        <v/>
      </c>
      <c r="BN504">
        <f>IF($E504="","",IFERROR(VLOOKUP($C504,'_CONFIG_Risk_Calibration'!$A$5:$H$21,6,FALSE),"No"))</f>
        <v/>
      </c>
      <c r="BO504">
        <f>IF($E504="","",IFERROR(VLOOKUP($C504,'_CONFIG_Risk_Calibration'!$A$5:$H$21,7,FALSE),1))</f>
        <v/>
      </c>
      <c r="BP504">
        <f>IF($H504="","",MAX(1,MIN(5,((6-$H504)*0.45)+($BJ504*0.20)+('Resilience &amp; Risk Scenario'!$B$7*0.15)+($BK504*0.10)+($BL504*0.05)+(IF($BB504="Fast",5,IF($BB504="Slow",1,3))*0.05))))</f>
        <v/>
      </c>
      <c r="BQ504">
        <f>IF($H504="","",MAX(IF($BN504="Yes",$BO504,1),MIN(5,($U504*0.20)+($V504*0.15)+($W504*0.25)+($X504*0.15)+($BJ504*0.10)+($BM504*0.15))))</f>
        <v/>
      </c>
      <c r="BR504">
        <f>IF(OR($BP504="",$BQ504=""),"",ROUND($BP504*$BQ504,2))</f>
        <v/>
      </c>
      <c r="BS504">
        <f>IF($BR504="","",ROUND($BR504*IF($AO504="",1,$AO504)*IF($AX504="",1,$AX504)*(1+(($BM504-3)*0.10))*IF($BC504="",1,$BC504),2))</f>
        <v/>
      </c>
    </row>
    <row r="505" ht="69.90000000000001" customHeight="1" s="209">
      <c r="A505">
        <f>IF($BD505="","",SUMPRODUCT(ISNUMBER($BD$500:$BD$923)*($BD$500:$BD$923&gt;$BD505))+COUNTIF($BD$500:$BD505,$BD505))</f>
        <v/>
      </c>
      <c r="B505">
        <f>IF($H505="","",IF($H505&lt;5,"Yes","Maintain"))</f>
        <v/>
      </c>
      <c r="C505" t="inlineStr">
        <is>
          <t>Company Geography</t>
        </is>
      </c>
      <c r="D505" t="inlineStr">
        <is>
          <t>Company profile</t>
        </is>
      </c>
      <c r="E505" t="inlineStr">
        <is>
          <t>COMP-006</t>
        </is>
      </c>
      <c r="F505" t="inlineStr">
        <is>
          <t>Geographic, entity and market exposure</t>
        </is>
      </c>
      <c r="G505">
        <f>IF($H505="","",IFERROR(INDEX('_ENGINE_Risk'!$H$41:$M$920,MATCH($E505,'_ENGINE_Risk'!$A$41:$A$920,0),$H505+1),""))</f>
        <v/>
      </c>
      <c r="H505">
        <f>IFERROR(VALUE(INDEX(_DATA_Assessment_Model!$H$5:$H$884,MATCH($E505,_DATA_Assessment_Model!$A$5:$A$884,0))),"")</f>
        <v/>
      </c>
      <c r="I505">
        <f>IF($H505="","",IFERROR(INDEX(_DATA_Assessment_Model!$L$5:$L$884,MATCH($E505,_DATA_Assessment_Model!$A$5:$A$884,0)),IF($H505&lt;=1,"Critical",IF($H505=2,"High",IF($H505=3,"Medium",IF($H505=4,"Low","Resilient"))))))</f>
        <v/>
      </c>
      <c r="J505">
        <f>IF($H505="","",MIN(5,MAX(1,6-$H505)))</f>
        <v/>
      </c>
      <c r="K505">
        <f>IF($H505="","",MAX(1,MIN(5,ROUNDUP(($U505*0.45)+($W505*0.35)+($X505*0.2),0))))</f>
        <v/>
      </c>
      <c r="L505">
        <f>IF($H505="","",$J505*$K505)</f>
        <v/>
      </c>
      <c r="M505">
        <f>IF($H505="","",MAX(1,MIN(5,ROUNDUP($L505/5,0))))</f>
        <v/>
      </c>
      <c r="N505">
        <f>IF($H505="","",IFERROR(INDEX('_ENGINE_Risk'!$T$41:$Y$920,MATCH($E505,'_ENGINE_Risk'!$A$41:$A$920,0),$H505+1),""))</f>
        <v/>
      </c>
      <c r="O505">
        <f>IF($H505="","",MAX(1,MIN(5,($U505+$V505+$X505)/3)))</f>
        <v/>
      </c>
      <c r="P505">
        <f>IF($H505="","",IF($I505="Critical",5,IF($I505="High",4,IF($I505="Medium",3,IF($I505="Low",2,1)))))</f>
        <v/>
      </c>
      <c r="Q505">
        <f>IF($H505="","",MAX(1,MIN(5,((5-$H505)*0.65)+($W505*0.35))))</f>
        <v/>
      </c>
      <c r="R505">
        <f>IF($H505="","",MAX(1,MIN(5,($V505+$X505)/2)))</f>
        <v/>
      </c>
      <c r="S505">
        <f>IF(OR($H505="",$N505=""),"",ROUND(($O505+$P505+$Q505+$R505)/$N505,2))</f>
        <v/>
      </c>
      <c r="T505">
        <f>IF($H505="","",IFERROR(INDEX('_ENGINE_Risk'!$N$41:$S$920,MATCH($E505,'_ENGINE_Risk'!$A$41:$A$920,0),$H505+1),""))</f>
        <v/>
      </c>
      <c r="U505">
        <f>IFERROR(INDEX(_DATA_Assessment_Model!$G$5:$G$884,MATCH($E505,_DATA_Assessment_Model!$A$5:$A$884,0)),"")</f>
        <v/>
      </c>
      <c r="V505">
        <f>IFERROR(INDEX(_DATA_Assessment_Model!$W$5:$W$884,MATCH($E505,_DATA_Assessment_Model!$A$5:$A$884,0)),"")</f>
        <v/>
      </c>
      <c r="W505">
        <f>IFERROR(INDEX(_DATA_Assessment_Model!$X$5:$X$884,MATCH($E505,_DATA_Assessment_Model!$A$5:$A$884,0)),"")</f>
        <v/>
      </c>
      <c r="X505">
        <f>IFERROR(INDEX(_DATA_Assessment_Model!$Y$5:$Y$884,MATCH($E505,_DATA_Assessment_Model!$A$5:$A$884,0)),"")</f>
        <v/>
      </c>
      <c r="Y505" t="inlineStr">
        <is>
          <t>Geopolitical risk; Physical site loss; Regulatory/legal shock</t>
        </is>
      </c>
      <c r="Z505" t="inlineStr">
        <is>
          <t>CEO / COO / Risk</t>
        </is>
      </c>
      <c r="AA505" t="inlineStr">
        <is>
          <t>Policy/SOP; owner/RACI; system report; dashboard; contracts; test records; incident history; interview evidence related to regulatory exposure by country, market, product and customer type.</t>
        </is>
      </c>
      <c r="AB505">
        <f>IFERROR(INDEX(_DATA_Assessment_Model!$U$5:$U$884,MATCH($E505,_DATA_Assessment_Model!$A$5:$A$884,0)),"")</f>
        <v/>
      </c>
      <c r="AF505" t="inlineStr">
        <is>
          <t>How mature is the organization in managing regulatory exposure by country, market, product and customer type, including ownership, evidence, metrics, fallback procedures and crisis stress testing?</t>
        </is>
      </c>
      <c r="AH505" t="inlineStr">
        <is>
          <t>Supply Chain</t>
        </is>
      </c>
      <c r="AI505">
        <f>COUNTIFS($C$500:$C$923,AH505,$B$500:$B$923,"Yes")</f>
        <v/>
      </c>
      <c r="AJ505">
        <f>COUNTIFS($C$500:$C$923,AH505,$B$500:$B$923,"Yes",$I$500:$I$923,"Critical")+COUNTIFS($C$500:$C$923,AH505,$B$500:$B$923,"Yes",$I$500:$I$923,"High")</f>
        <v/>
      </c>
      <c r="AK505">
        <f>IFERROR(ROUND(AVERAGEIFS($L$500:$L$923,$C$500:$C$923,AH505,$B$500:$B$923,"Yes"),1),"")</f>
        <v/>
      </c>
      <c r="AL505">
        <f>IFERROR(_xlfn.MAXIFS($L$500:$L$923,$C$500:$C$923,AH505,$B$500:$B$923,"Yes"),"")</f>
        <v/>
      </c>
      <c r="AM505">
        <f>IFERROR(ROUND(AVERAGEIFS($S$500:$S$923,$C$500:$C$923,AH505,$B$500:$B$923,"Yes"),2),"")</f>
        <v/>
      </c>
      <c r="AN505">
        <f>COUNTIFS($C$500:$C$923,AH505,$H$500:$H$923,"")</f>
        <v/>
      </c>
      <c r="AO505">
        <f>IF($B505="Yes",IFERROR(INDEX(_ENGINE_Crisis!$F$501:$F$517,MATCH($C505,_ENGINE_Crisis!$A$501:$A$517,0)),1),"")</f>
        <v/>
      </c>
      <c r="AP505">
        <f>IF(AO505="","",ROUND($L505*AO505,1))</f>
        <v/>
      </c>
      <c r="AQ505">
        <f>IF(OR(AO505="",$S505=""),"",ROUND($S505*(0.7+0.3*AO505),2))</f>
        <v/>
      </c>
      <c r="AR505">
        <f>IFERROR(INDEX(_ENGINE_Crisis!$E$41:$E$700,MATCH('Resilience &amp; Risk Scenario'!$B$60&amp;"|"&amp;$C505,_ENGINE_Crisis!$I$41:$I$700,0)),"")</f>
        <v/>
      </c>
      <c r="AS505">
        <f>IFERROR(INDEX(_ENGINE_Crisis!$G$41:$G$700,MATCH('Resilience &amp; Risk Scenario'!$B$60&amp;"|"&amp;$C505,_ENGINE_Crisis!$I$41:$I$700,0)),"")</f>
        <v/>
      </c>
      <c r="AT505">
        <f>IFERROR(INDEX(_ENGINE_Initiatives!$A$5:$A$532,MATCH(1,INDEX((_ENGINE_Initiatives!$B$5:$B$532=$C505)*(_ENGINE_Initiatives!$C$5:$C$532=$D505),0),0)),"")</f>
        <v/>
      </c>
      <c r="AU505">
        <f>IFERROR(INDEX(_ENGINE_Initiatives!$F$5:$F$532,MATCH(1,INDEX((_ENGINE_Initiatives!$B$5:$B$532=$C505)*(_ENGINE_Initiatives!$C$5:$C$532=$D505),0),0)),"")</f>
        <v/>
      </c>
      <c r="AV505">
        <f>IFERROR(INDEX(_ENGINE_Initiatives!$AC$5:$AC$532,MATCH(1,INDEX((_ENGINE_Initiatives!$B$5:$B$532=$C505)*(_ENGINE_Initiatives!$C$5:$C$532=$D505),0),0)),"")</f>
        <v/>
      </c>
      <c r="AW505">
        <f>IFERROR(INDEX(_ENGINE_Initiatives!$AE$5:$AE$532,MATCH(1,INDEX((_ENGINE_Initiatives!$B$5:$B$532=$C505)*(_ENGINE_Initiatives!$C$5:$C$532=$D505),0),0)),"")</f>
        <v/>
      </c>
      <c r="AX505">
        <f>IF($B505="Yes",IFERROR(IF(SUMIFS(_REF_Model_Content!$E$1:$E$613,_REF_Model_Content!$A$1:$A$613,'Company Profile'!$B$9,_REF_Model_Content!$B$1:$B$613,$C505)=0,1,SUMIFS(_REF_Model_Content!$E$1:$E$613,_REF_Model_Content!$A$1:$A$613,'Company Profile'!$B$9,_REF_Model_Content!$B$1:$B$613,$C505)),1),"")</f>
        <v/>
      </c>
      <c r="AY505">
        <f>IF($L505="","",ROUND(IF($AP505="",$L505,$AP505)*IF($AX505="",1,$AX505),2))</f>
        <v/>
      </c>
      <c r="AZ505">
        <f>IF($S505="","",ROUND(IF($AQ505="",$S505,$AQ505)*IF($AX505="",1,$AX505),2))</f>
        <v/>
      </c>
      <c r="BB505">
        <f>IF($H505="","",IFERROR(INDEX('_ENGINE_Risk'!$AE$41:$AE$920,MATCH($E505,'_ENGINE_Risk'!$A$41:$A$920,0)),"Medium"))</f>
        <v/>
      </c>
      <c r="BC505">
        <f>IF($BB505="","",IF($BB505="Fast",1.25,IF($BB505="Slow",0.85,1)))</f>
        <v/>
      </c>
      <c r="BD505">
        <f>IF(OR($AZ505="",$BC505=""),"",ROUND($AZ505*$BC505,2))</f>
        <v/>
      </c>
      <c r="BF505">
        <f>IF(OR($H505="",$J505=""),"",_xlfn.IFNA(VLOOKUP($J505,_CONFIG_Model_Settings!$D$610:$E$614,2,0),""))</f>
        <v/>
      </c>
      <c r="BG505">
        <f>IF(OR($H505="",$K505=""),"",ROUND('Company Profile'!$B$569*INDEX(_CONFIG_Model_Settings!$H$610:$H$614,MATCH($K505,_CONFIG_Model_Settings!$G$610:$G$614,0)),0))</f>
        <v/>
      </c>
      <c r="BH505">
        <f>IF(OR($BF505="",$BG505=""),"",ROUND($BF505*$BG505,1))</f>
        <v/>
      </c>
      <c r="BI505">
        <f>IF($BH505="","",IF($AO505="",$BH505,ROUND($BH505*$AO505,1)))</f>
        <v/>
      </c>
      <c r="BJ505">
        <f>IF($E505="","",IFERROR(VLOOKUP($C505,'_CONFIG_Risk_Calibration'!$A$5:$H$21,2,FALSE),3))</f>
        <v/>
      </c>
      <c r="BK505">
        <f>IF($E505="","",IFERROR(VLOOKUP($C505,'_CONFIG_Risk_Calibration'!$A$5:$H$21,3,FALSE),0))</f>
        <v/>
      </c>
      <c r="BL505">
        <f>IF($E505="","",IFERROR(VLOOKUP($C505,'_CONFIG_Risk_Calibration'!$A$5:$H$21,4,FALSE),3))</f>
        <v/>
      </c>
      <c r="BM505">
        <f>IF($E505="","",IFERROR(VLOOKUP($C505,'_CONFIG_Risk_Calibration'!$A$5:$H$21,5,FALSE),3))</f>
        <v/>
      </c>
      <c r="BN505">
        <f>IF($E505="","",IFERROR(VLOOKUP($C505,'_CONFIG_Risk_Calibration'!$A$5:$H$21,6,FALSE),"No"))</f>
        <v/>
      </c>
      <c r="BO505">
        <f>IF($E505="","",IFERROR(VLOOKUP($C505,'_CONFIG_Risk_Calibration'!$A$5:$H$21,7,FALSE),1))</f>
        <v/>
      </c>
      <c r="BP505">
        <f>IF($H505="","",MAX(1,MIN(5,((6-$H505)*0.45)+($BJ505*0.20)+('Resilience &amp; Risk Scenario'!$B$7*0.15)+($BK505*0.10)+($BL505*0.05)+(IF($BB505="Fast",5,IF($BB505="Slow",1,3))*0.05))))</f>
        <v/>
      </c>
      <c r="BQ505">
        <f>IF($H505="","",MAX(IF($BN505="Yes",$BO505,1),MIN(5,($U505*0.20)+($V505*0.15)+($W505*0.25)+($X505*0.15)+($BJ505*0.10)+($BM505*0.15))))</f>
        <v/>
      </c>
      <c r="BR505">
        <f>IF(OR($BP505="",$BQ505=""),"",ROUND($BP505*$BQ505,2))</f>
        <v/>
      </c>
      <c r="BS505">
        <f>IF($BR505="","",ROUND($BR505*IF($AO505="",1,$AO505)*IF($AX505="",1,$AX505)*(1+(($BM505-3)*0.10))*IF($BC505="",1,$BC505),2))</f>
        <v/>
      </c>
    </row>
    <row r="506" ht="69.90000000000001" customHeight="1" s="209">
      <c r="A506">
        <f>IF($BD506="","",SUMPRODUCT(ISNUMBER($BD$500:$BD$923)*($BD$500:$BD$923&gt;$BD506))+COUNTIF($BD$500:$BD506,$BD506))</f>
        <v/>
      </c>
      <c r="B506">
        <f>IF($H506="","",IF($H506&lt;5,"Yes","Maintain"))</f>
        <v/>
      </c>
      <c r="C506" t="inlineStr">
        <is>
          <t>Company Geography</t>
        </is>
      </c>
      <c r="D506" t="inlineStr">
        <is>
          <t>Company profile</t>
        </is>
      </c>
      <c r="E506" t="inlineStr">
        <is>
          <t>COMP-007</t>
        </is>
      </c>
      <c r="F506" t="inlineStr">
        <is>
          <t>Geographic, entity and market exposure</t>
        </is>
      </c>
      <c r="G506">
        <f>IF($H506="","",IFERROR(INDEX('_ENGINE_Risk'!$H$41:$M$920,MATCH($E506,'_ENGINE_Risk'!$A$41:$A$920,0),$H506+1),""))</f>
        <v/>
      </c>
      <c r="H506">
        <f>IFERROR(VALUE(INDEX(_DATA_Assessment_Model!$H$5:$H$884,MATCH($E506,_DATA_Assessment_Model!$A$5:$A$884,0))),"")</f>
        <v/>
      </c>
      <c r="I506">
        <f>IF($H506="","",IFERROR(INDEX(_DATA_Assessment_Model!$L$5:$L$884,MATCH($E506,_DATA_Assessment_Model!$A$5:$A$884,0)),IF($H506&lt;=1,"Critical",IF($H506=2,"High",IF($H506=3,"Medium",IF($H506=4,"Low","Resilient"))))))</f>
        <v/>
      </c>
      <c r="J506">
        <f>IF($H506="","",MIN(5,MAX(1,6-$H506)))</f>
        <v/>
      </c>
      <c r="K506">
        <f>IF($H506="","",MAX(1,MIN(5,ROUNDUP(($U506*0.45)+($W506*0.35)+($X506*0.2),0))))</f>
        <v/>
      </c>
      <c r="L506">
        <f>IF($H506="","",$J506*$K506)</f>
        <v/>
      </c>
      <c r="M506">
        <f>IF($H506="","",MAX(1,MIN(5,ROUNDUP($L506/5,0))))</f>
        <v/>
      </c>
      <c r="N506">
        <f>IF($H506="","",IFERROR(INDEX('_ENGINE_Risk'!$T$41:$Y$920,MATCH($E506,'_ENGINE_Risk'!$A$41:$A$920,0),$H506+1),""))</f>
        <v/>
      </c>
      <c r="O506">
        <f>IF($H506="","",MAX(1,MIN(5,($U506+$V506+$X506)/3)))</f>
        <v/>
      </c>
      <c r="P506">
        <f>IF($H506="","",IF($I506="Critical",5,IF($I506="High",4,IF($I506="Medium",3,IF($I506="Low",2,1)))))</f>
        <v/>
      </c>
      <c r="Q506">
        <f>IF($H506="","",MAX(1,MIN(5,((5-$H506)*0.65)+($W506*0.35))))</f>
        <v/>
      </c>
      <c r="R506">
        <f>IF($H506="","",MAX(1,MIN(5,($V506+$X506)/2)))</f>
        <v/>
      </c>
      <c r="S506">
        <f>IF(OR($H506="",$N506=""),"",ROUND(($O506+$P506+$Q506+$R506)/$N506,2))</f>
        <v/>
      </c>
      <c r="T506">
        <f>IF($H506="","",IFERROR(INDEX('_ENGINE_Risk'!$N$41:$S$920,MATCH($E506,'_ENGINE_Risk'!$A$41:$A$920,0),$H506+1),""))</f>
        <v/>
      </c>
      <c r="U506">
        <f>IFERROR(INDEX(_DATA_Assessment_Model!$G$5:$G$884,MATCH($E506,_DATA_Assessment_Model!$A$5:$A$884,0)),"")</f>
        <v/>
      </c>
      <c r="V506">
        <f>IFERROR(INDEX(_DATA_Assessment_Model!$W$5:$W$884,MATCH($E506,_DATA_Assessment_Model!$A$5:$A$884,0)),"")</f>
        <v/>
      </c>
      <c r="W506">
        <f>IFERROR(INDEX(_DATA_Assessment_Model!$X$5:$X$884,MATCH($E506,_DATA_Assessment_Model!$A$5:$A$884,0)),"")</f>
        <v/>
      </c>
      <c r="X506">
        <f>IFERROR(INDEX(_DATA_Assessment_Model!$Y$5:$Y$884,MATCH($E506,_DATA_Assessment_Model!$A$5:$A$884,0)),"")</f>
        <v/>
      </c>
      <c r="Y506" t="inlineStr">
        <is>
          <t>Geopolitical risk; Physical site loss; Regulatory/legal shock</t>
        </is>
      </c>
      <c r="Z506" t="inlineStr">
        <is>
          <t>CEO / COO / Risk</t>
        </is>
      </c>
      <c r="AA506" t="inlineStr">
        <is>
          <t>Policy/SOP; owner/RACI; system report; dashboard; contracts; test records; incident history; interview evidence related to insurance coverage for business interruption, cyber, liability, property and key assets.</t>
        </is>
      </c>
      <c r="AB506">
        <f>IFERROR(INDEX(_DATA_Assessment_Model!$U$5:$U$884,MATCH($E506,_DATA_Assessment_Model!$A$5:$A$884,0)),"")</f>
        <v/>
      </c>
      <c r="AF506" t="inlineStr">
        <is>
          <t>How mature is the organization in managing insurance coverage for business interruption, cyber, liability, property and key assets, including ownership, evidence, metrics, fallback procedures and crisis stress testing?</t>
        </is>
      </c>
      <c r="AH506" t="inlineStr">
        <is>
          <t>Manufacturing MES</t>
        </is>
      </c>
      <c r="AI506">
        <f>COUNTIFS($C$500:$C$923,AH506,$B$500:$B$923,"Yes")</f>
        <v/>
      </c>
      <c r="AJ506">
        <f>COUNTIFS($C$500:$C$923,AH506,$B$500:$B$923,"Yes",$I$500:$I$923,"Critical")+COUNTIFS($C$500:$C$923,AH506,$B$500:$B$923,"Yes",$I$500:$I$923,"High")</f>
        <v/>
      </c>
      <c r="AK506">
        <f>IFERROR(ROUND(AVERAGEIFS($L$500:$L$923,$C$500:$C$923,AH506,$B$500:$B$923,"Yes"),1),"")</f>
        <v/>
      </c>
      <c r="AL506">
        <f>IFERROR(_xlfn.MAXIFS($L$500:$L$923,$C$500:$C$923,AH506,$B$500:$B$923,"Yes"),"")</f>
        <v/>
      </c>
      <c r="AM506">
        <f>IFERROR(ROUND(AVERAGEIFS($S$500:$S$923,$C$500:$C$923,AH506,$B$500:$B$923,"Yes"),2),"")</f>
        <v/>
      </c>
      <c r="AN506">
        <f>COUNTIFS($C$500:$C$923,AH506,$H$500:$H$923,"")</f>
        <v/>
      </c>
      <c r="AO506">
        <f>IF($B506="Yes",IFERROR(INDEX(_ENGINE_Crisis!$F$501:$F$517,MATCH($C506,_ENGINE_Crisis!$A$501:$A$517,0)),1),"")</f>
        <v/>
      </c>
      <c r="AP506">
        <f>IF(AO506="","",ROUND($L506*AO506,1))</f>
        <v/>
      </c>
      <c r="AQ506">
        <f>IF(OR(AO506="",$S506=""),"",ROUND($S506*(0.7+0.3*AO506),2))</f>
        <v/>
      </c>
      <c r="AR506">
        <f>IFERROR(INDEX(_ENGINE_Crisis!$E$41:$E$700,MATCH('Resilience &amp; Risk Scenario'!$B$60&amp;"|"&amp;$C506,_ENGINE_Crisis!$I$41:$I$700,0)),"")</f>
        <v/>
      </c>
      <c r="AS506">
        <f>IFERROR(INDEX(_ENGINE_Crisis!$G$41:$G$700,MATCH('Resilience &amp; Risk Scenario'!$B$60&amp;"|"&amp;$C506,_ENGINE_Crisis!$I$41:$I$700,0)),"")</f>
        <v/>
      </c>
      <c r="AT506">
        <f>IFERROR(INDEX(_ENGINE_Initiatives!$A$5:$A$532,MATCH(1,INDEX((_ENGINE_Initiatives!$B$5:$B$532=$C506)*(_ENGINE_Initiatives!$C$5:$C$532=$D506),0),0)),"")</f>
        <v/>
      </c>
      <c r="AU506">
        <f>IFERROR(INDEX(_ENGINE_Initiatives!$F$5:$F$532,MATCH(1,INDEX((_ENGINE_Initiatives!$B$5:$B$532=$C506)*(_ENGINE_Initiatives!$C$5:$C$532=$D506),0),0)),"")</f>
        <v/>
      </c>
      <c r="AV506">
        <f>IFERROR(INDEX(_ENGINE_Initiatives!$AC$5:$AC$532,MATCH(1,INDEX((_ENGINE_Initiatives!$B$5:$B$532=$C506)*(_ENGINE_Initiatives!$C$5:$C$532=$D506),0),0)),"")</f>
        <v/>
      </c>
      <c r="AW506">
        <f>IFERROR(INDEX(_ENGINE_Initiatives!$AE$5:$AE$532,MATCH(1,INDEX((_ENGINE_Initiatives!$B$5:$B$532=$C506)*(_ENGINE_Initiatives!$C$5:$C$532=$D506),0),0)),"")</f>
        <v/>
      </c>
      <c r="AX506">
        <f>IF($B506="Yes",IFERROR(IF(SUMIFS(_REF_Model_Content!$E$1:$E$613,_REF_Model_Content!$A$1:$A$613,'Company Profile'!$B$9,_REF_Model_Content!$B$1:$B$613,$C506)=0,1,SUMIFS(_REF_Model_Content!$E$1:$E$613,_REF_Model_Content!$A$1:$A$613,'Company Profile'!$B$9,_REF_Model_Content!$B$1:$B$613,$C506)),1),"")</f>
        <v/>
      </c>
      <c r="AY506">
        <f>IF($L506="","",ROUND(IF($AP506="",$L506,$AP506)*IF($AX506="",1,$AX506),2))</f>
        <v/>
      </c>
      <c r="AZ506">
        <f>IF($S506="","",ROUND(IF($AQ506="",$S506,$AQ506)*IF($AX506="",1,$AX506),2))</f>
        <v/>
      </c>
      <c r="BB506">
        <f>IF($H506="","",IFERROR(INDEX('_ENGINE_Risk'!$AE$41:$AE$920,MATCH($E506,'_ENGINE_Risk'!$A$41:$A$920,0)),"Medium"))</f>
        <v/>
      </c>
      <c r="BC506">
        <f>IF($BB506="","",IF($BB506="Fast",1.25,IF($BB506="Slow",0.85,1)))</f>
        <v/>
      </c>
      <c r="BD506">
        <f>IF(OR($AZ506="",$BC506=""),"",ROUND($AZ506*$BC506,2))</f>
        <v/>
      </c>
      <c r="BF506">
        <f>IF(OR($H506="",$J506=""),"",_xlfn.IFNA(VLOOKUP($J506,_CONFIG_Model_Settings!$D$610:$E$614,2,0),""))</f>
        <v/>
      </c>
      <c r="BG506">
        <f>IF(OR($H506="",$K506=""),"",ROUND('Company Profile'!$B$569*INDEX(_CONFIG_Model_Settings!$H$610:$H$614,MATCH($K506,_CONFIG_Model_Settings!$G$610:$G$614,0)),0))</f>
        <v/>
      </c>
      <c r="BH506">
        <f>IF(OR($BF506="",$BG506=""),"",ROUND($BF506*$BG506,1))</f>
        <v/>
      </c>
      <c r="BI506">
        <f>IF($BH506="","",IF($AO506="",$BH506,ROUND($BH506*$AO506,1)))</f>
        <v/>
      </c>
      <c r="BJ506">
        <f>IF($E506="","",IFERROR(VLOOKUP($C506,'_CONFIG_Risk_Calibration'!$A$5:$H$21,2,FALSE),3))</f>
        <v/>
      </c>
      <c r="BK506">
        <f>IF($E506="","",IFERROR(VLOOKUP($C506,'_CONFIG_Risk_Calibration'!$A$5:$H$21,3,FALSE),0))</f>
        <v/>
      </c>
      <c r="BL506">
        <f>IF($E506="","",IFERROR(VLOOKUP($C506,'_CONFIG_Risk_Calibration'!$A$5:$H$21,4,FALSE),3))</f>
        <v/>
      </c>
      <c r="BM506">
        <f>IF($E506="","",IFERROR(VLOOKUP($C506,'_CONFIG_Risk_Calibration'!$A$5:$H$21,5,FALSE),3))</f>
        <v/>
      </c>
      <c r="BN506">
        <f>IF($E506="","",IFERROR(VLOOKUP($C506,'_CONFIG_Risk_Calibration'!$A$5:$H$21,6,FALSE),"No"))</f>
        <v/>
      </c>
      <c r="BO506">
        <f>IF($E506="","",IFERROR(VLOOKUP($C506,'_CONFIG_Risk_Calibration'!$A$5:$H$21,7,FALSE),1))</f>
        <v/>
      </c>
      <c r="BP506">
        <f>IF($H506="","",MAX(1,MIN(5,((6-$H506)*0.45)+($BJ506*0.20)+('Resilience &amp; Risk Scenario'!$B$7*0.15)+($BK506*0.10)+($BL506*0.05)+(IF($BB506="Fast",5,IF($BB506="Slow",1,3))*0.05))))</f>
        <v/>
      </c>
      <c r="BQ506">
        <f>IF($H506="","",MAX(IF($BN506="Yes",$BO506,1),MIN(5,($U506*0.20)+($V506*0.15)+($W506*0.25)+($X506*0.15)+($BJ506*0.10)+($BM506*0.15))))</f>
        <v/>
      </c>
      <c r="BR506">
        <f>IF(OR($BP506="",$BQ506=""),"",ROUND($BP506*$BQ506,2))</f>
        <v/>
      </c>
      <c r="BS506">
        <f>IF($BR506="","",ROUND($BR506*IF($AO506="",1,$AO506)*IF($AX506="",1,$AX506)*(1+(($BM506-3)*0.10))*IF($BC506="",1,$BC506),2))</f>
        <v/>
      </c>
    </row>
    <row r="507" ht="69.90000000000001" customHeight="1" s="209">
      <c r="A507">
        <f>IF($BD507="","",SUMPRODUCT(ISNUMBER($BD$500:$BD$923)*($BD$500:$BD$923&gt;$BD507))+COUNTIF($BD$500:$BD507,$BD507))</f>
        <v/>
      </c>
      <c r="B507">
        <f>IF($H507="","",IF($H507&lt;5,"Yes","Maintain"))</f>
        <v/>
      </c>
      <c r="C507" t="inlineStr">
        <is>
          <t>Company Geography</t>
        </is>
      </c>
      <c r="D507" t="inlineStr">
        <is>
          <t>Geographical distribution</t>
        </is>
      </c>
      <c r="E507" t="inlineStr">
        <is>
          <t>COMP-008</t>
        </is>
      </c>
      <c r="F507" t="inlineStr">
        <is>
          <t>Geographic, entity and market exposure</t>
        </is>
      </c>
      <c r="G507">
        <f>IF($H507="","",IFERROR(INDEX('_ENGINE_Risk'!$H$41:$M$920,MATCH($E507,'_ENGINE_Risk'!$A$41:$A$920,0),$H507+1),""))</f>
        <v/>
      </c>
      <c r="H507">
        <f>IFERROR(VALUE(INDEX(_DATA_Assessment_Model!$H$5:$H$884,MATCH($E507,_DATA_Assessment_Model!$A$5:$A$884,0))),"")</f>
        <v/>
      </c>
      <c r="I507">
        <f>IF($H507="","",IFERROR(INDEX(_DATA_Assessment_Model!$L$5:$L$884,MATCH($E507,_DATA_Assessment_Model!$A$5:$A$884,0)),IF($H507&lt;=1,"Critical",IF($H507=2,"High",IF($H507=3,"Medium",IF($H507=4,"Low","Resilient"))))))</f>
        <v/>
      </c>
      <c r="J507">
        <f>IF($H507="","",MIN(5,MAX(1,6-$H507)))</f>
        <v/>
      </c>
      <c r="K507">
        <f>IF($H507="","",MAX(1,MIN(5,ROUNDUP(($U507*0.45)+($W507*0.35)+($X507*0.2),0))))</f>
        <v/>
      </c>
      <c r="L507">
        <f>IF($H507="","",$J507*$K507)</f>
        <v/>
      </c>
      <c r="M507">
        <f>IF($H507="","",MAX(1,MIN(5,ROUNDUP($L507/5,0))))</f>
        <v/>
      </c>
      <c r="N507">
        <f>IF($H507="","",IFERROR(INDEX('_ENGINE_Risk'!$T$41:$Y$920,MATCH($E507,'_ENGINE_Risk'!$A$41:$A$920,0),$H507+1),""))</f>
        <v/>
      </c>
      <c r="O507">
        <f>IF($H507="","",MAX(1,MIN(5,($U507+$V507+$X507)/3)))</f>
        <v/>
      </c>
      <c r="P507">
        <f>IF($H507="","",IF($I507="Critical",5,IF($I507="High",4,IF($I507="Medium",3,IF($I507="Low",2,1)))))</f>
        <v/>
      </c>
      <c r="Q507">
        <f>IF($H507="","",MAX(1,MIN(5,((5-$H507)*0.65)+($W507*0.35))))</f>
        <v/>
      </c>
      <c r="R507">
        <f>IF($H507="","",MAX(1,MIN(5,($V507+$X507)/2)))</f>
        <v/>
      </c>
      <c r="S507">
        <f>IF(OR($H507="",$N507=""),"",ROUND(($O507+$P507+$Q507+$R507)/$N507,2))</f>
        <v/>
      </c>
      <c r="T507">
        <f>IF($H507="","",IFERROR(INDEX('_ENGINE_Risk'!$N$41:$S$920,MATCH($E507,'_ENGINE_Risk'!$A$41:$A$920,0),$H507+1),""))</f>
        <v/>
      </c>
      <c r="U507">
        <f>IFERROR(INDEX(_DATA_Assessment_Model!$G$5:$G$884,MATCH($E507,_DATA_Assessment_Model!$A$5:$A$884,0)),"")</f>
        <v/>
      </c>
      <c r="V507">
        <f>IFERROR(INDEX(_DATA_Assessment_Model!$W$5:$W$884,MATCH($E507,_DATA_Assessment_Model!$A$5:$A$884,0)),"")</f>
        <v/>
      </c>
      <c r="W507">
        <f>IFERROR(INDEX(_DATA_Assessment_Model!$X$5:$X$884,MATCH($E507,_DATA_Assessment_Model!$A$5:$A$884,0)),"")</f>
        <v/>
      </c>
      <c r="X507">
        <f>IFERROR(INDEX(_DATA_Assessment_Model!$Y$5:$Y$884,MATCH($E507,_DATA_Assessment_Model!$A$5:$A$884,0)),"")</f>
        <v/>
      </c>
      <c r="Y507" t="inlineStr">
        <is>
          <t>Geopolitical risk; Physical site loss; Regulatory/legal shock</t>
        </is>
      </c>
      <c r="Z507" t="inlineStr">
        <is>
          <t>CEO / COO / Risk</t>
        </is>
      </c>
      <c r="AA507" t="inlineStr">
        <is>
          <t>Policy/SOP; owner/RACI; system report; dashboard; contracts; test records; incident history; interview evidence related to workforce distribution by country, city, function, contract type and criticality.</t>
        </is>
      </c>
      <c r="AB507">
        <f>IFERROR(INDEX(_DATA_Assessment_Model!$U$5:$U$884,MATCH($E507,_DATA_Assessment_Model!$A$5:$A$884,0)),"")</f>
        <v/>
      </c>
      <c r="AF507" t="inlineStr">
        <is>
          <t>How mature is the organization in managing workforce distribution by country, city, function, contract type and criticality, including ownership, evidence, metrics, fallback procedures and crisis stress testing?</t>
        </is>
      </c>
      <c r="AH507" t="inlineStr">
        <is>
          <t>Sales CRM</t>
        </is>
      </c>
      <c r="AI507">
        <f>COUNTIFS($C$500:$C$923,AH507,$B$500:$B$923,"Yes")</f>
        <v/>
      </c>
      <c r="AJ507">
        <f>COUNTIFS($C$500:$C$923,AH507,$B$500:$B$923,"Yes",$I$500:$I$923,"Critical")+COUNTIFS($C$500:$C$923,AH507,$B$500:$B$923,"Yes",$I$500:$I$923,"High")</f>
        <v/>
      </c>
      <c r="AK507">
        <f>IFERROR(ROUND(AVERAGEIFS($L$500:$L$923,$C$500:$C$923,AH507,$B$500:$B$923,"Yes"),1),"")</f>
        <v/>
      </c>
      <c r="AL507">
        <f>IFERROR(_xlfn.MAXIFS($L$500:$L$923,$C$500:$C$923,AH507,$B$500:$B$923,"Yes"),"")</f>
        <v/>
      </c>
      <c r="AM507">
        <f>IFERROR(ROUND(AVERAGEIFS($S$500:$S$923,$C$500:$C$923,AH507,$B$500:$B$923,"Yes"),2),"")</f>
        <v/>
      </c>
      <c r="AN507">
        <f>COUNTIFS($C$500:$C$923,AH507,$H$500:$H$923,"")</f>
        <v/>
      </c>
      <c r="AO507">
        <f>IF($B507="Yes",IFERROR(INDEX(_ENGINE_Crisis!$F$501:$F$517,MATCH($C507,_ENGINE_Crisis!$A$501:$A$517,0)),1),"")</f>
        <v/>
      </c>
      <c r="AP507">
        <f>IF(AO507="","",ROUND($L507*AO507,1))</f>
        <v/>
      </c>
      <c r="AQ507">
        <f>IF(OR(AO507="",$S507=""),"",ROUND($S507*(0.7+0.3*AO507),2))</f>
        <v/>
      </c>
      <c r="AR507">
        <f>IFERROR(INDEX(_ENGINE_Crisis!$E$41:$E$700,MATCH('Resilience &amp; Risk Scenario'!$B$60&amp;"|"&amp;$C507,_ENGINE_Crisis!$I$41:$I$700,0)),"")</f>
        <v/>
      </c>
      <c r="AS507">
        <f>IFERROR(INDEX(_ENGINE_Crisis!$G$41:$G$700,MATCH('Resilience &amp; Risk Scenario'!$B$60&amp;"|"&amp;$C507,_ENGINE_Crisis!$I$41:$I$700,0)),"")</f>
        <v/>
      </c>
      <c r="AT507">
        <f>IFERROR(INDEX(_ENGINE_Initiatives!$A$5:$A$532,MATCH(1,INDEX((_ENGINE_Initiatives!$B$5:$B$532=$C507)*(_ENGINE_Initiatives!$C$5:$C$532=$D507),0),0)),"")</f>
        <v/>
      </c>
      <c r="AU507">
        <f>IFERROR(INDEX(_ENGINE_Initiatives!$F$5:$F$532,MATCH(1,INDEX((_ENGINE_Initiatives!$B$5:$B$532=$C507)*(_ENGINE_Initiatives!$C$5:$C$532=$D507),0),0)),"")</f>
        <v/>
      </c>
      <c r="AV507">
        <f>IFERROR(INDEX(_ENGINE_Initiatives!$AC$5:$AC$532,MATCH(1,INDEX((_ENGINE_Initiatives!$B$5:$B$532=$C507)*(_ENGINE_Initiatives!$C$5:$C$532=$D507),0),0)),"")</f>
        <v/>
      </c>
      <c r="AW507">
        <f>IFERROR(INDEX(_ENGINE_Initiatives!$AE$5:$AE$532,MATCH(1,INDEX((_ENGINE_Initiatives!$B$5:$B$532=$C507)*(_ENGINE_Initiatives!$C$5:$C$532=$D507),0),0)),"")</f>
        <v/>
      </c>
      <c r="AX507">
        <f>IF($B507="Yes",IFERROR(IF(SUMIFS(_REF_Model_Content!$E$1:$E$613,_REF_Model_Content!$A$1:$A$613,'Company Profile'!$B$9,_REF_Model_Content!$B$1:$B$613,$C507)=0,1,SUMIFS(_REF_Model_Content!$E$1:$E$613,_REF_Model_Content!$A$1:$A$613,'Company Profile'!$B$9,_REF_Model_Content!$B$1:$B$613,$C507)),1),"")</f>
        <v/>
      </c>
      <c r="AY507">
        <f>IF($L507="","",ROUND(IF($AP507="",$L507,$AP507)*IF($AX507="",1,$AX507),2))</f>
        <v/>
      </c>
      <c r="AZ507">
        <f>IF($S507="","",ROUND(IF($AQ507="",$S507,$AQ507)*IF($AX507="",1,$AX507),2))</f>
        <v/>
      </c>
      <c r="BB507">
        <f>IF($H507="","",IFERROR(INDEX('_ENGINE_Risk'!$AE$41:$AE$920,MATCH($E507,'_ENGINE_Risk'!$A$41:$A$920,0)),"Medium"))</f>
        <v/>
      </c>
      <c r="BC507">
        <f>IF($BB507="","",IF($BB507="Fast",1.25,IF($BB507="Slow",0.85,1)))</f>
        <v/>
      </c>
      <c r="BD507">
        <f>IF(OR($AZ507="",$BC507=""),"",ROUND($AZ507*$BC507,2))</f>
        <v/>
      </c>
      <c r="BF507">
        <f>IF(OR($H507="",$J507=""),"",_xlfn.IFNA(VLOOKUP($J507,_CONFIG_Model_Settings!$D$610:$E$614,2,0),""))</f>
        <v/>
      </c>
      <c r="BG507">
        <f>IF(OR($H507="",$K507=""),"",ROUND('Company Profile'!$B$569*INDEX(_CONFIG_Model_Settings!$H$610:$H$614,MATCH($K507,_CONFIG_Model_Settings!$G$610:$G$614,0)),0))</f>
        <v/>
      </c>
      <c r="BH507">
        <f>IF(OR($BF507="",$BG507=""),"",ROUND($BF507*$BG507,1))</f>
        <v/>
      </c>
      <c r="BI507">
        <f>IF($BH507="","",IF($AO507="",$BH507,ROUND($BH507*$AO507,1)))</f>
        <v/>
      </c>
      <c r="BJ507">
        <f>IF($E507="","",IFERROR(VLOOKUP($C507,'_CONFIG_Risk_Calibration'!$A$5:$H$21,2,FALSE),3))</f>
        <v/>
      </c>
      <c r="BK507">
        <f>IF($E507="","",IFERROR(VLOOKUP($C507,'_CONFIG_Risk_Calibration'!$A$5:$H$21,3,FALSE),0))</f>
        <v/>
      </c>
      <c r="BL507">
        <f>IF($E507="","",IFERROR(VLOOKUP($C507,'_CONFIG_Risk_Calibration'!$A$5:$H$21,4,FALSE),3))</f>
        <v/>
      </c>
      <c r="BM507">
        <f>IF($E507="","",IFERROR(VLOOKUP($C507,'_CONFIG_Risk_Calibration'!$A$5:$H$21,5,FALSE),3))</f>
        <v/>
      </c>
      <c r="BN507">
        <f>IF($E507="","",IFERROR(VLOOKUP($C507,'_CONFIG_Risk_Calibration'!$A$5:$H$21,6,FALSE),"No"))</f>
        <v/>
      </c>
      <c r="BO507">
        <f>IF($E507="","",IFERROR(VLOOKUP($C507,'_CONFIG_Risk_Calibration'!$A$5:$H$21,7,FALSE),1))</f>
        <v/>
      </c>
      <c r="BP507">
        <f>IF($H507="","",MAX(1,MIN(5,((6-$H507)*0.45)+($BJ507*0.20)+('Resilience &amp; Risk Scenario'!$B$7*0.15)+($BK507*0.10)+($BL507*0.05)+(IF($BB507="Fast",5,IF($BB507="Slow",1,3))*0.05))))</f>
        <v/>
      </c>
      <c r="BQ507">
        <f>IF($H507="","",MAX(IF($BN507="Yes",$BO507,1),MIN(5,($U507*0.20)+($V507*0.15)+($W507*0.25)+($X507*0.15)+($BJ507*0.10)+($BM507*0.15))))</f>
        <v/>
      </c>
      <c r="BR507">
        <f>IF(OR($BP507="",$BQ507=""),"",ROUND($BP507*$BQ507,2))</f>
        <v/>
      </c>
      <c r="BS507">
        <f>IF($BR507="","",ROUND($BR507*IF($AO507="",1,$AO507)*IF($AX507="",1,$AX507)*(1+(($BM507-3)*0.10))*IF($BC507="",1,$BC507),2))</f>
        <v/>
      </c>
    </row>
    <row r="508" ht="69.90000000000001" customHeight="1" s="209">
      <c r="A508">
        <f>IF($BD508="","",SUMPRODUCT(ISNUMBER($BD$500:$BD$923)*($BD$500:$BD$923&gt;$BD508))+COUNTIF($BD$500:$BD508,$BD508))</f>
        <v/>
      </c>
      <c r="B508">
        <f>IF($H508="","",IF($H508&lt;5,"Yes","Maintain"))</f>
        <v/>
      </c>
      <c r="C508" t="inlineStr">
        <is>
          <t>Company Geography</t>
        </is>
      </c>
      <c r="D508" t="inlineStr">
        <is>
          <t>Geographical distribution</t>
        </is>
      </c>
      <c r="E508" t="inlineStr">
        <is>
          <t>COMP-009</t>
        </is>
      </c>
      <c r="F508" t="inlineStr">
        <is>
          <t>Geographic, entity and market exposure</t>
        </is>
      </c>
      <c r="G508">
        <f>IF($H508="","",IFERROR(INDEX('_ENGINE_Risk'!$H$41:$M$920,MATCH($E508,'_ENGINE_Risk'!$A$41:$A$920,0),$H508+1),""))</f>
        <v/>
      </c>
      <c r="H508">
        <f>IFERROR(VALUE(INDEX(_DATA_Assessment_Model!$H$5:$H$884,MATCH($E508,_DATA_Assessment_Model!$A$5:$A$884,0))),"")</f>
        <v/>
      </c>
      <c r="I508">
        <f>IF($H508="","",IFERROR(INDEX(_DATA_Assessment_Model!$L$5:$L$884,MATCH($E508,_DATA_Assessment_Model!$A$5:$A$884,0)),IF($H508&lt;=1,"Critical",IF($H508=2,"High",IF($H508=3,"Medium",IF($H508=4,"Low","Resilient"))))))</f>
        <v/>
      </c>
      <c r="J508">
        <f>IF($H508="","",MIN(5,MAX(1,6-$H508)))</f>
        <v/>
      </c>
      <c r="K508">
        <f>IF($H508="","",MAX(1,MIN(5,ROUNDUP(($U508*0.45)+($W508*0.35)+($X508*0.2),0))))</f>
        <v/>
      </c>
      <c r="L508">
        <f>IF($H508="","",$J508*$K508)</f>
        <v/>
      </c>
      <c r="M508">
        <f>IF($H508="","",MAX(1,MIN(5,ROUNDUP($L508/5,0))))</f>
        <v/>
      </c>
      <c r="N508">
        <f>IF($H508="","",IFERROR(INDEX('_ENGINE_Risk'!$T$41:$Y$920,MATCH($E508,'_ENGINE_Risk'!$A$41:$A$920,0),$H508+1),""))</f>
        <v/>
      </c>
      <c r="O508">
        <f>IF($H508="","",MAX(1,MIN(5,($U508+$V508+$X508)/3)))</f>
        <v/>
      </c>
      <c r="P508">
        <f>IF($H508="","",IF($I508="Critical",5,IF($I508="High",4,IF($I508="Medium",3,IF($I508="Low",2,1)))))</f>
        <v/>
      </c>
      <c r="Q508">
        <f>IF($H508="","",MAX(1,MIN(5,((5-$H508)*0.65)+($W508*0.35))))</f>
        <v/>
      </c>
      <c r="R508">
        <f>IF($H508="","",MAX(1,MIN(5,($V508+$X508)/2)))</f>
        <v/>
      </c>
      <c r="S508">
        <f>IF(OR($H508="",$N508=""),"",ROUND(($O508+$P508+$Q508+$R508)/$N508,2))</f>
        <v/>
      </c>
      <c r="T508">
        <f>IF($H508="","",IFERROR(INDEX('_ENGINE_Risk'!$N$41:$S$920,MATCH($E508,'_ENGINE_Risk'!$A$41:$A$920,0),$H508+1),""))</f>
        <v/>
      </c>
      <c r="U508">
        <f>IFERROR(INDEX(_DATA_Assessment_Model!$G$5:$G$884,MATCH($E508,_DATA_Assessment_Model!$A$5:$A$884,0)),"")</f>
        <v/>
      </c>
      <c r="V508">
        <f>IFERROR(INDEX(_DATA_Assessment_Model!$W$5:$W$884,MATCH($E508,_DATA_Assessment_Model!$A$5:$A$884,0)),"")</f>
        <v/>
      </c>
      <c r="W508">
        <f>IFERROR(INDEX(_DATA_Assessment_Model!$X$5:$X$884,MATCH($E508,_DATA_Assessment_Model!$A$5:$A$884,0)),"")</f>
        <v/>
      </c>
      <c r="X508">
        <f>IFERROR(INDEX(_DATA_Assessment_Model!$Y$5:$Y$884,MATCH($E508,_DATA_Assessment_Model!$A$5:$A$884,0)),"")</f>
        <v/>
      </c>
      <c r="Y508" t="inlineStr">
        <is>
          <t>Geopolitical risk; Physical site loss; Regulatory/legal shock</t>
        </is>
      </c>
      <c r="Z508" t="inlineStr">
        <is>
          <t>CEO / COO / Risk</t>
        </is>
      </c>
      <c r="AA508" t="inlineStr">
        <is>
          <t>Policy/SOP; owner/RACI; system report; dashboard; contracts; test records; incident history; interview evidence related to site distribution across offices, plants, warehouses, stores, labs and data centers.</t>
        </is>
      </c>
      <c r="AB508">
        <f>IFERROR(INDEX(_DATA_Assessment_Model!$U$5:$U$884,MATCH($E508,_DATA_Assessment_Model!$A$5:$A$884,0)),"")</f>
        <v/>
      </c>
      <c r="AF508" t="inlineStr">
        <is>
          <t>How mature is the organization in managing site distribution across offices, plants, warehouses, stores, labs and data centers, including ownership, evidence, metrics, fallback procedures and crisis stress testing?</t>
        </is>
      </c>
      <c r="AH508" t="inlineStr">
        <is>
          <t>Marketing Comms</t>
        </is>
      </c>
      <c r="AI508">
        <f>COUNTIFS($C$500:$C$923,AH508,$B$500:$B$923,"Yes")</f>
        <v/>
      </c>
      <c r="AJ508">
        <f>COUNTIFS($C$500:$C$923,AH508,$B$500:$B$923,"Yes",$I$500:$I$923,"Critical")+COUNTIFS($C$500:$C$923,AH508,$B$500:$B$923,"Yes",$I$500:$I$923,"High")</f>
        <v/>
      </c>
      <c r="AK508">
        <f>IFERROR(ROUND(AVERAGEIFS($L$500:$L$923,$C$500:$C$923,AH508,$B$500:$B$923,"Yes"),1),"")</f>
        <v/>
      </c>
      <c r="AL508">
        <f>IFERROR(_xlfn.MAXIFS($L$500:$L$923,$C$500:$C$923,AH508,$B$500:$B$923,"Yes"),"")</f>
        <v/>
      </c>
      <c r="AM508">
        <f>IFERROR(ROUND(AVERAGEIFS($S$500:$S$923,$C$500:$C$923,AH508,$B$500:$B$923,"Yes"),2),"")</f>
        <v/>
      </c>
      <c r="AN508">
        <f>COUNTIFS($C$500:$C$923,AH508,$H$500:$H$923,"")</f>
        <v/>
      </c>
      <c r="AO508">
        <f>IF($B508="Yes",IFERROR(INDEX(_ENGINE_Crisis!$F$501:$F$517,MATCH($C508,_ENGINE_Crisis!$A$501:$A$517,0)),1),"")</f>
        <v/>
      </c>
      <c r="AP508">
        <f>IF(AO508="","",ROUND($L508*AO508,1))</f>
        <v/>
      </c>
      <c r="AQ508">
        <f>IF(OR(AO508="",$S508=""),"",ROUND($S508*(0.7+0.3*AO508),2))</f>
        <v/>
      </c>
      <c r="AR508">
        <f>IFERROR(INDEX(_ENGINE_Crisis!$E$41:$E$700,MATCH('Resilience &amp; Risk Scenario'!$B$60&amp;"|"&amp;$C508,_ENGINE_Crisis!$I$41:$I$700,0)),"")</f>
        <v/>
      </c>
      <c r="AS508">
        <f>IFERROR(INDEX(_ENGINE_Crisis!$G$41:$G$700,MATCH('Resilience &amp; Risk Scenario'!$B$60&amp;"|"&amp;$C508,_ENGINE_Crisis!$I$41:$I$700,0)),"")</f>
        <v/>
      </c>
      <c r="AT508">
        <f>IFERROR(INDEX(_ENGINE_Initiatives!$A$5:$A$532,MATCH(1,INDEX((_ENGINE_Initiatives!$B$5:$B$532=$C508)*(_ENGINE_Initiatives!$C$5:$C$532=$D508),0),0)),"")</f>
        <v/>
      </c>
      <c r="AU508">
        <f>IFERROR(INDEX(_ENGINE_Initiatives!$F$5:$F$532,MATCH(1,INDEX((_ENGINE_Initiatives!$B$5:$B$532=$C508)*(_ENGINE_Initiatives!$C$5:$C$532=$D508),0),0)),"")</f>
        <v/>
      </c>
      <c r="AV508">
        <f>IFERROR(INDEX(_ENGINE_Initiatives!$AC$5:$AC$532,MATCH(1,INDEX((_ENGINE_Initiatives!$B$5:$B$532=$C508)*(_ENGINE_Initiatives!$C$5:$C$532=$D508),0),0)),"")</f>
        <v/>
      </c>
      <c r="AW508">
        <f>IFERROR(INDEX(_ENGINE_Initiatives!$AE$5:$AE$532,MATCH(1,INDEX((_ENGINE_Initiatives!$B$5:$B$532=$C508)*(_ENGINE_Initiatives!$C$5:$C$532=$D508),0),0)),"")</f>
        <v/>
      </c>
      <c r="AX508">
        <f>IF($B508="Yes",IFERROR(IF(SUMIFS(_REF_Model_Content!$E$1:$E$613,_REF_Model_Content!$A$1:$A$613,'Company Profile'!$B$9,_REF_Model_Content!$B$1:$B$613,$C508)=0,1,SUMIFS(_REF_Model_Content!$E$1:$E$613,_REF_Model_Content!$A$1:$A$613,'Company Profile'!$B$9,_REF_Model_Content!$B$1:$B$613,$C508)),1),"")</f>
        <v/>
      </c>
      <c r="AY508">
        <f>IF($L508="","",ROUND(IF($AP508="",$L508,$AP508)*IF($AX508="",1,$AX508),2))</f>
        <v/>
      </c>
      <c r="AZ508">
        <f>IF($S508="","",ROUND(IF($AQ508="",$S508,$AQ508)*IF($AX508="",1,$AX508),2))</f>
        <v/>
      </c>
      <c r="BB508">
        <f>IF($H508="","",IFERROR(INDEX('_ENGINE_Risk'!$AE$41:$AE$920,MATCH($E508,'_ENGINE_Risk'!$A$41:$A$920,0)),"Medium"))</f>
        <v/>
      </c>
      <c r="BC508">
        <f>IF($BB508="","",IF($BB508="Fast",1.25,IF($BB508="Slow",0.85,1)))</f>
        <v/>
      </c>
      <c r="BD508">
        <f>IF(OR($AZ508="",$BC508=""),"",ROUND($AZ508*$BC508,2))</f>
        <v/>
      </c>
      <c r="BF508">
        <f>IF(OR($H508="",$J508=""),"",_xlfn.IFNA(VLOOKUP($J508,_CONFIG_Model_Settings!$D$610:$E$614,2,0),""))</f>
        <v/>
      </c>
      <c r="BG508">
        <f>IF(OR($H508="",$K508=""),"",ROUND('Company Profile'!$B$569*INDEX(_CONFIG_Model_Settings!$H$610:$H$614,MATCH($K508,_CONFIG_Model_Settings!$G$610:$G$614,0)),0))</f>
        <v/>
      </c>
      <c r="BH508">
        <f>IF(OR($BF508="",$BG508=""),"",ROUND($BF508*$BG508,1))</f>
        <v/>
      </c>
      <c r="BI508">
        <f>IF($BH508="","",IF($AO508="",$BH508,ROUND($BH508*$AO508,1)))</f>
        <v/>
      </c>
      <c r="BJ508">
        <f>IF($E508="","",IFERROR(VLOOKUP($C508,'_CONFIG_Risk_Calibration'!$A$5:$H$21,2,FALSE),3))</f>
        <v/>
      </c>
      <c r="BK508">
        <f>IF($E508="","",IFERROR(VLOOKUP($C508,'_CONFIG_Risk_Calibration'!$A$5:$H$21,3,FALSE),0))</f>
        <v/>
      </c>
      <c r="BL508">
        <f>IF($E508="","",IFERROR(VLOOKUP($C508,'_CONFIG_Risk_Calibration'!$A$5:$H$21,4,FALSE),3))</f>
        <v/>
      </c>
      <c r="BM508">
        <f>IF($E508="","",IFERROR(VLOOKUP($C508,'_CONFIG_Risk_Calibration'!$A$5:$H$21,5,FALSE),3))</f>
        <v/>
      </c>
      <c r="BN508">
        <f>IF($E508="","",IFERROR(VLOOKUP($C508,'_CONFIG_Risk_Calibration'!$A$5:$H$21,6,FALSE),"No"))</f>
        <v/>
      </c>
      <c r="BO508">
        <f>IF($E508="","",IFERROR(VLOOKUP($C508,'_CONFIG_Risk_Calibration'!$A$5:$H$21,7,FALSE),1))</f>
        <v/>
      </c>
      <c r="BP508">
        <f>IF($H508="","",MAX(1,MIN(5,((6-$H508)*0.45)+($BJ508*0.20)+('Resilience &amp; Risk Scenario'!$B$7*0.15)+($BK508*0.10)+($BL508*0.05)+(IF($BB508="Fast",5,IF($BB508="Slow",1,3))*0.05))))</f>
        <v/>
      </c>
      <c r="BQ508">
        <f>IF($H508="","",MAX(IF($BN508="Yes",$BO508,1),MIN(5,($U508*0.20)+($V508*0.15)+($W508*0.25)+($X508*0.15)+($BJ508*0.10)+($BM508*0.15))))</f>
        <v/>
      </c>
      <c r="BR508">
        <f>IF(OR($BP508="",$BQ508=""),"",ROUND($BP508*$BQ508,2))</f>
        <v/>
      </c>
      <c r="BS508">
        <f>IF($BR508="","",ROUND($BR508*IF($AO508="",1,$AO508)*IF($AX508="",1,$AX508)*(1+(($BM508-3)*0.10))*IF($BC508="",1,$BC508),2))</f>
        <v/>
      </c>
    </row>
    <row r="509" ht="69.90000000000001" customHeight="1" s="209">
      <c r="A509">
        <f>IF($BD509="","",SUMPRODUCT(ISNUMBER($BD$500:$BD$923)*($BD$500:$BD$923&gt;$BD509))+COUNTIF($BD$500:$BD509,$BD509))</f>
        <v/>
      </c>
      <c r="B509">
        <f>IF($H509="","",IF($H509&lt;5,"Yes","Maintain"))</f>
        <v/>
      </c>
      <c r="C509" t="inlineStr">
        <is>
          <t>Company Geography</t>
        </is>
      </c>
      <c r="D509" t="inlineStr">
        <is>
          <t>Geographical distribution</t>
        </is>
      </c>
      <c r="E509" t="inlineStr">
        <is>
          <t>COMP-010</t>
        </is>
      </c>
      <c r="F509" t="inlineStr">
        <is>
          <t>Geographic, entity and market exposure</t>
        </is>
      </c>
      <c r="G509">
        <f>IF($H509="","",IFERROR(INDEX('_ENGINE_Risk'!$H$41:$M$920,MATCH($E509,'_ENGINE_Risk'!$A$41:$A$920,0),$H509+1),""))</f>
        <v/>
      </c>
      <c r="H509">
        <f>IFERROR(VALUE(INDEX(_DATA_Assessment_Model!$H$5:$H$884,MATCH($E509,_DATA_Assessment_Model!$A$5:$A$884,0))),"")</f>
        <v/>
      </c>
      <c r="I509">
        <f>IF($H509="","",IFERROR(INDEX(_DATA_Assessment_Model!$L$5:$L$884,MATCH($E509,_DATA_Assessment_Model!$A$5:$A$884,0)),IF($H509&lt;=1,"Critical",IF($H509=2,"High",IF($H509=3,"Medium",IF($H509=4,"Low","Resilient"))))))</f>
        <v/>
      </c>
      <c r="J509">
        <f>IF($H509="","",MIN(5,MAX(1,6-$H509)))</f>
        <v/>
      </c>
      <c r="K509">
        <f>IF($H509="","",MAX(1,MIN(5,ROUNDUP(($U509*0.45)+($W509*0.35)+($X509*0.2),0))))</f>
        <v/>
      </c>
      <c r="L509">
        <f>IF($H509="","",$J509*$K509)</f>
        <v/>
      </c>
      <c r="M509">
        <f>IF($H509="","",MAX(1,MIN(5,ROUNDUP($L509/5,0))))</f>
        <v/>
      </c>
      <c r="N509">
        <f>IF($H509="","",IFERROR(INDEX('_ENGINE_Risk'!$T$41:$Y$920,MATCH($E509,'_ENGINE_Risk'!$A$41:$A$920,0),$H509+1),""))</f>
        <v/>
      </c>
      <c r="O509">
        <f>IF($H509="","",MAX(1,MIN(5,($U509+$V509+$X509)/3)))</f>
        <v/>
      </c>
      <c r="P509">
        <f>IF($H509="","",IF($I509="Critical",5,IF($I509="High",4,IF($I509="Medium",3,IF($I509="Low",2,1)))))</f>
        <v/>
      </c>
      <c r="Q509">
        <f>IF($H509="","",MAX(1,MIN(5,((5-$H509)*0.65)+($W509*0.35))))</f>
        <v/>
      </c>
      <c r="R509">
        <f>IF($H509="","",MAX(1,MIN(5,($V509+$X509)/2)))</f>
        <v/>
      </c>
      <c r="S509">
        <f>IF(OR($H509="",$N509=""),"",ROUND(($O509+$P509+$Q509+$R509)/$N509,2))</f>
        <v/>
      </c>
      <c r="T509">
        <f>IF($H509="","",IFERROR(INDEX('_ENGINE_Risk'!$N$41:$S$920,MATCH($E509,'_ENGINE_Risk'!$A$41:$A$920,0),$H509+1),""))</f>
        <v/>
      </c>
      <c r="U509">
        <f>IFERROR(INDEX(_DATA_Assessment_Model!$G$5:$G$884,MATCH($E509,_DATA_Assessment_Model!$A$5:$A$884,0)),"")</f>
        <v/>
      </c>
      <c r="V509">
        <f>IFERROR(INDEX(_DATA_Assessment_Model!$W$5:$W$884,MATCH($E509,_DATA_Assessment_Model!$A$5:$A$884,0)),"")</f>
        <v/>
      </c>
      <c r="W509">
        <f>IFERROR(INDEX(_DATA_Assessment_Model!$X$5:$X$884,MATCH($E509,_DATA_Assessment_Model!$A$5:$A$884,0)),"")</f>
        <v/>
      </c>
      <c r="X509">
        <f>IFERROR(INDEX(_DATA_Assessment_Model!$Y$5:$Y$884,MATCH($E509,_DATA_Assessment_Model!$A$5:$A$884,0)),"")</f>
        <v/>
      </c>
      <c r="Y509" t="inlineStr">
        <is>
          <t>Geopolitical risk; Physical site loss; Regulatory/legal shock</t>
        </is>
      </c>
      <c r="Z509" t="inlineStr">
        <is>
          <t>CEO / COO / Risk</t>
        </is>
      </c>
      <c r="AA509" t="inlineStr">
        <is>
          <t>Policy/SOP; owner/RACI; system report; dashboard; contracts; test records; incident history; interview evidence related to revenue distribution by country, currency, customer geography and market exposure.</t>
        </is>
      </c>
      <c r="AB509">
        <f>IFERROR(INDEX(_DATA_Assessment_Model!$U$5:$U$884,MATCH($E509,_DATA_Assessment_Model!$A$5:$A$884,0)),"")</f>
        <v/>
      </c>
      <c r="AF509" t="inlineStr">
        <is>
          <t>How mature is the organization in managing revenue distribution by country, currency, customer geography and market exposure, including ownership, evidence, metrics, fallback procedures and crisis stress testing?</t>
        </is>
      </c>
      <c r="AH509" t="inlineStr">
        <is>
          <t>IT Cloud DR</t>
        </is>
      </c>
      <c r="AI509">
        <f>COUNTIFS($C$500:$C$923,AH509,$B$500:$B$923,"Yes")</f>
        <v/>
      </c>
      <c r="AJ509">
        <f>COUNTIFS($C$500:$C$923,AH509,$B$500:$B$923,"Yes",$I$500:$I$923,"Critical")+COUNTIFS($C$500:$C$923,AH509,$B$500:$B$923,"Yes",$I$500:$I$923,"High")</f>
        <v/>
      </c>
      <c r="AK509">
        <f>IFERROR(ROUND(AVERAGEIFS($L$500:$L$923,$C$500:$C$923,AH509,$B$500:$B$923,"Yes"),1),"")</f>
        <v/>
      </c>
      <c r="AL509">
        <f>IFERROR(_xlfn.MAXIFS($L$500:$L$923,$C$500:$C$923,AH509,$B$500:$B$923,"Yes"),"")</f>
        <v/>
      </c>
      <c r="AM509">
        <f>IFERROR(ROUND(AVERAGEIFS($S$500:$S$923,$C$500:$C$923,AH509,$B$500:$B$923,"Yes"),2),"")</f>
        <v/>
      </c>
      <c r="AN509">
        <f>COUNTIFS($C$500:$C$923,AH509,$H$500:$H$923,"")</f>
        <v/>
      </c>
      <c r="AO509">
        <f>IF($B509="Yes",IFERROR(INDEX(_ENGINE_Crisis!$F$501:$F$517,MATCH($C509,_ENGINE_Crisis!$A$501:$A$517,0)),1),"")</f>
        <v/>
      </c>
      <c r="AP509">
        <f>IF(AO509="","",ROUND($L509*AO509,1))</f>
        <v/>
      </c>
      <c r="AQ509">
        <f>IF(OR(AO509="",$S509=""),"",ROUND($S509*(0.7+0.3*AO509),2))</f>
        <v/>
      </c>
      <c r="AR509">
        <f>IFERROR(INDEX(_ENGINE_Crisis!$E$41:$E$700,MATCH('Resilience &amp; Risk Scenario'!$B$60&amp;"|"&amp;$C509,_ENGINE_Crisis!$I$41:$I$700,0)),"")</f>
        <v/>
      </c>
      <c r="AS509">
        <f>IFERROR(INDEX(_ENGINE_Crisis!$G$41:$G$700,MATCH('Resilience &amp; Risk Scenario'!$B$60&amp;"|"&amp;$C509,_ENGINE_Crisis!$I$41:$I$700,0)),"")</f>
        <v/>
      </c>
      <c r="AT509">
        <f>IFERROR(INDEX(_ENGINE_Initiatives!$A$5:$A$532,MATCH(1,INDEX((_ENGINE_Initiatives!$B$5:$B$532=$C509)*(_ENGINE_Initiatives!$C$5:$C$532=$D509),0),0)),"")</f>
        <v/>
      </c>
      <c r="AU509">
        <f>IFERROR(INDEX(_ENGINE_Initiatives!$F$5:$F$532,MATCH(1,INDEX((_ENGINE_Initiatives!$B$5:$B$532=$C509)*(_ENGINE_Initiatives!$C$5:$C$532=$D509),0),0)),"")</f>
        <v/>
      </c>
      <c r="AV509">
        <f>IFERROR(INDEX(_ENGINE_Initiatives!$AC$5:$AC$532,MATCH(1,INDEX((_ENGINE_Initiatives!$B$5:$B$532=$C509)*(_ENGINE_Initiatives!$C$5:$C$532=$D509),0),0)),"")</f>
        <v/>
      </c>
      <c r="AW509">
        <f>IFERROR(INDEX(_ENGINE_Initiatives!$AE$5:$AE$532,MATCH(1,INDEX((_ENGINE_Initiatives!$B$5:$B$532=$C509)*(_ENGINE_Initiatives!$C$5:$C$532=$D509),0),0)),"")</f>
        <v/>
      </c>
      <c r="AX509">
        <f>IF($B509="Yes",IFERROR(IF(SUMIFS(_REF_Model_Content!$E$1:$E$613,_REF_Model_Content!$A$1:$A$613,'Company Profile'!$B$9,_REF_Model_Content!$B$1:$B$613,$C509)=0,1,SUMIFS(_REF_Model_Content!$E$1:$E$613,_REF_Model_Content!$A$1:$A$613,'Company Profile'!$B$9,_REF_Model_Content!$B$1:$B$613,$C509)),1),"")</f>
        <v/>
      </c>
      <c r="AY509">
        <f>IF($L509="","",ROUND(IF($AP509="",$L509,$AP509)*IF($AX509="",1,$AX509),2))</f>
        <v/>
      </c>
      <c r="AZ509">
        <f>IF($S509="","",ROUND(IF($AQ509="",$S509,$AQ509)*IF($AX509="",1,$AX509),2))</f>
        <v/>
      </c>
      <c r="BB509">
        <f>IF($H509="","",IFERROR(INDEX('_ENGINE_Risk'!$AE$41:$AE$920,MATCH($E509,'_ENGINE_Risk'!$A$41:$A$920,0)),"Medium"))</f>
        <v/>
      </c>
      <c r="BC509">
        <f>IF($BB509="","",IF($BB509="Fast",1.25,IF($BB509="Slow",0.85,1)))</f>
        <v/>
      </c>
      <c r="BD509">
        <f>IF(OR($AZ509="",$BC509=""),"",ROUND($AZ509*$BC509,2))</f>
        <v/>
      </c>
      <c r="BF509">
        <f>IF(OR($H509="",$J509=""),"",_xlfn.IFNA(VLOOKUP($J509,_CONFIG_Model_Settings!$D$610:$E$614,2,0),""))</f>
        <v/>
      </c>
      <c r="BG509">
        <f>IF(OR($H509="",$K509=""),"",ROUND('Company Profile'!$B$569*INDEX(_CONFIG_Model_Settings!$H$610:$H$614,MATCH($K509,_CONFIG_Model_Settings!$G$610:$G$614,0)),0))</f>
        <v/>
      </c>
      <c r="BH509">
        <f>IF(OR($BF509="",$BG509=""),"",ROUND($BF509*$BG509,1))</f>
        <v/>
      </c>
      <c r="BI509">
        <f>IF($BH509="","",IF($AO509="",$BH509,ROUND($BH509*$AO509,1)))</f>
        <v/>
      </c>
      <c r="BJ509">
        <f>IF($E509="","",IFERROR(VLOOKUP($C509,'_CONFIG_Risk_Calibration'!$A$5:$H$21,2,FALSE),3))</f>
        <v/>
      </c>
      <c r="BK509">
        <f>IF($E509="","",IFERROR(VLOOKUP($C509,'_CONFIG_Risk_Calibration'!$A$5:$H$21,3,FALSE),0))</f>
        <v/>
      </c>
      <c r="BL509">
        <f>IF($E509="","",IFERROR(VLOOKUP($C509,'_CONFIG_Risk_Calibration'!$A$5:$H$21,4,FALSE),3))</f>
        <v/>
      </c>
      <c r="BM509">
        <f>IF($E509="","",IFERROR(VLOOKUP($C509,'_CONFIG_Risk_Calibration'!$A$5:$H$21,5,FALSE),3))</f>
        <v/>
      </c>
      <c r="BN509">
        <f>IF($E509="","",IFERROR(VLOOKUP($C509,'_CONFIG_Risk_Calibration'!$A$5:$H$21,6,FALSE),"No"))</f>
        <v/>
      </c>
      <c r="BO509">
        <f>IF($E509="","",IFERROR(VLOOKUP($C509,'_CONFIG_Risk_Calibration'!$A$5:$H$21,7,FALSE),1))</f>
        <v/>
      </c>
      <c r="BP509">
        <f>IF($H509="","",MAX(1,MIN(5,((6-$H509)*0.45)+($BJ509*0.20)+('Resilience &amp; Risk Scenario'!$B$7*0.15)+($BK509*0.10)+($BL509*0.05)+(IF($BB509="Fast",5,IF($BB509="Slow",1,3))*0.05))))</f>
        <v/>
      </c>
      <c r="BQ509">
        <f>IF($H509="","",MAX(IF($BN509="Yes",$BO509,1),MIN(5,($U509*0.20)+($V509*0.15)+($W509*0.25)+($X509*0.15)+($BJ509*0.10)+($BM509*0.15))))</f>
        <v/>
      </c>
      <c r="BR509">
        <f>IF(OR($BP509="",$BQ509=""),"",ROUND($BP509*$BQ509,2))</f>
        <v/>
      </c>
      <c r="BS509">
        <f>IF($BR509="","",ROUND($BR509*IF($AO509="",1,$AO509)*IF($AX509="",1,$AX509)*(1+(($BM509-3)*0.10))*IF($BC509="",1,$BC509),2))</f>
        <v/>
      </c>
    </row>
    <row r="510" ht="69.90000000000001" customHeight="1" s="209">
      <c r="A510">
        <f>IF($BD510="","",SUMPRODUCT(ISNUMBER($BD$500:$BD$923)*($BD$500:$BD$923&gt;$BD510))+COUNTIF($BD$500:$BD510,$BD510))</f>
        <v/>
      </c>
      <c r="B510">
        <f>IF($H510="","",IF($H510&lt;5,"Yes","Maintain"))</f>
        <v/>
      </c>
      <c r="C510" t="inlineStr">
        <is>
          <t>Company Geography</t>
        </is>
      </c>
      <c r="D510" t="inlineStr">
        <is>
          <t>Geographical distribution</t>
        </is>
      </c>
      <c r="E510" t="inlineStr">
        <is>
          <t>COMP-011</t>
        </is>
      </c>
      <c r="F510" t="inlineStr">
        <is>
          <t>Geographic, entity and market exposure</t>
        </is>
      </c>
      <c r="G510">
        <f>IF($H510="","",IFERROR(INDEX('_ENGINE_Risk'!$H$41:$M$920,MATCH($E510,'_ENGINE_Risk'!$A$41:$A$920,0),$H510+1),""))</f>
        <v/>
      </c>
      <c r="H510">
        <f>IFERROR(VALUE(INDEX(_DATA_Assessment_Model!$H$5:$H$884,MATCH($E510,_DATA_Assessment_Model!$A$5:$A$884,0))),"")</f>
        <v/>
      </c>
      <c r="I510">
        <f>IF($H510="","",IFERROR(INDEX(_DATA_Assessment_Model!$L$5:$L$884,MATCH($E510,_DATA_Assessment_Model!$A$5:$A$884,0)),IF($H510&lt;=1,"Critical",IF($H510=2,"High",IF($H510=3,"Medium",IF($H510=4,"Low","Resilient"))))))</f>
        <v/>
      </c>
      <c r="J510">
        <f>IF($H510="","",MIN(5,MAX(1,6-$H510)))</f>
        <v/>
      </c>
      <c r="K510">
        <f>IF($H510="","",MAX(1,MIN(5,ROUNDUP(($U510*0.45)+($W510*0.35)+($X510*0.2),0))))</f>
        <v/>
      </c>
      <c r="L510">
        <f>IF($H510="","",$J510*$K510)</f>
        <v/>
      </c>
      <c r="M510">
        <f>IF($H510="","",MAX(1,MIN(5,ROUNDUP($L510/5,0))))</f>
        <v/>
      </c>
      <c r="N510">
        <f>IF($H510="","",IFERROR(INDEX('_ENGINE_Risk'!$T$41:$Y$920,MATCH($E510,'_ENGINE_Risk'!$A$41:$A$920,0),$H510+1),""))</f>
        <v/>
      </c>
      <c r="O510">
        <f>IF($H510="","",MAX(1,MIN(5,($U510+$V510+$X510)/3)))</f>
        <v/>
      </c>
      <c r="P510">
        <f>IF($H510="","",IF($I510="Critical",5,IF($I510="High",4,IF($I510="Medium",3,IF($I510="Low",2,1)))))</f>
        <v/>
      </c>
      <c r="Q510">
        <f>IF($H510="","",MAX(1,MIN(5,((5-$H510)*0.65)+($W510*0.35))))</f>
        <v/>
      </c>
      <c r="R510">
        <f>IF($H510="","",MAX(1,MIN(5,($V510+$X510)/2)))</f>
        <v/>
      </c>
      <c r="S510">
        <f>IF(OR($H510="",$N510=""),"",ROUND(($O510+$P510+$Q510+$R510)/$N510,2))</f>
        <v/>
      </c>
      <c r="T510">
        <f>IF($H510="","",IFERROR(INDEX('_ENGINE_Risk'!$N$41:$S$920,MATCH($E510,'_ENGINE_Risk'!$A$41:$A$920,0),$H510+1),""))</f>
        <v/>
      </c>
      <c r="U510">
        <f>IFERROR(INDEX(_DATA_Assessment_Model!$G$5:$G$884,MATCH($E510,_DATA_Assessment_Model!$A$5:$A$884,0)),"")</f>
        <v/>
      </c>
      <c r="V510">
        <f>IFERROR(INDEX(_DATA_Assessment_Model!$W$5:$W$884,MATCH($E510,_DATA_Assessment_Model!$A$5:$A$884,0)),"")</f>
        <v/>
      </c>
      <c r="W510">
        <f>IFERROR(INDEX(_DATA_Assessment_Model!$X$5:$X$884,MATCH($E510,_DATA_Assessment_Model!$A$5:$A$884,0)),"")</f>
        <v/>
      </c>
      <c r="X510">
        <f>IFERROR(INDEX(_DATA_Assessment_Model!$Y$5:$Y$884,MATCH($E510,_DATA_Assessment_Model!$A$5:$A$884,0)),"")</f>
        <v/>
      </c>
      <c r="Y510" t="inlineStr">
        <is>
          <t>Geopolitical risk; Physical site loss; Regulatory/legal shock</t>
        </is>
      </c>
      <c r="Z510" t="inlineStr">
        <is>
          <t>CEO / COO / Risk</t>
        </is>
      </c>
      <c r="AA510" t="inlineStr">
        <is>
          <t>Policy/SOP; owner/RACI; system report; dashboard; contracts; test records; incident history; interview evidence related to supplier distribution by country, tier, criticality and replacement options.</t>
        </is>
      </c>
      <c r="AB510">
        <f>IFERROR(INDEX(_DATA_Assessment_Model!$U$5:$U$884,MATCH($E510,_DATA_Assessment_Model!$A$5:$A$884,0)),"")</f>
        <v/>
      </c>
      <c r="AF510" t="inlineStr">
        <is>
          <t>How mature is the organization in managing supplier distribution by country, tier, criticality and replacement options, including ownership, evidence, metrics, fallback procedures and crisis stress testing?</t>
        </is>
      </c>
      <c r="AH510" t="inlineStr">
        <is>
          <t>Business Systems</t>
        </is>
      </c>
      <c r="AI510">
        <f>COUNTIFS($C$500:$C$923,AH510,$B$500:$B$923,"Yes")</f>
        <v/>
      </c>
      <c r="AJ510">
        <f>COUNTIFS($C$500:$C$923,AH510,$B$500:$B$923,"Yes",$I$500:$I$923,"Critical")+COUNTIFS($C$500:$C$923,AH510,$B$500:$B$923,"Yes",$I$500:$I$923,"High")</f>
        <v/>
      </c>
      <c r="AK510">
        <f>IFERROR(ROUND(AVERAGEIFS($L$500:$L$923,$C$500:$C$923,AH510,$B$500:$B$923,"Yes"),1),"")</f>
        <v/>
      </c>
      <c r="AL510">
        <f>IFERROR(_xlfn.MAXIFS($L$500:$L$923,$C$500:$C$923,AH510,$B$500:$B$923,"Yes"),"")</f>
        <v/>
      </c>
      <c r="AM510">
        <f>IFERROR(ROUND(AVERAGEIFS($S$500:$S$923,$C$500:$C$923,AH510,$B$500:$B$923,"Yes"),2),"")</f>
        <v/>
      </c>
      <c r="AN510">
        <f>COUNTIFS($C$500:$C$923,AH510,$H$500:$H$923,"")</f>
        <v/>
      </c>
      <c r="AO510">
        <f>IF($B510="Yes",IFERROR(INDEX(_ENGINE_Crisis!$F$501:$F$517,MATCH($C510,_ENGINE_Crisis!$A$501:$A$517,0)),1),"")</f>
        <v/>
      </c>
      <c r="AP510">
        <f>IF(AO510="","",ROUND($L510*AO510,1))</f>
        <v/>
      </c>
      <c r="AQ510">
        <f>IF(OR(AO510="",$S510=""),"",ROUND($S510*(0.7+0.3*AO510),2))</f>
        <v/>
      </c>
      <c r="AR510">
        <f>IFERROR(INDEX(_ENGINE_Crisis!$E$41:$E$700,MATCH('Resilience &amp; Risk Scenario'!$B$60&amp;"|"&amp;$C510,_ENGINE_Crisis!$I$41:$I$700,0)),"")</f>
        <v/>
      </c>
      <c r="AS510">
        <f>IFERROR(INDEX(_ENGINE_Crisis!$G$41:$G$700,MATCH('Resilience &amp; Risk Scenario'!$B$60&amp;"|"&amp;$C510,_ENGINE_Crisis!$I$41:$I$700,0)),"")</f>
        <v/>
      </c>
      <c r="AT510">
        <f>IFERROR(INDEX(_ENGINE_Initiatives!$A$5:$A$532,MATCH(1,INDEX((_ENGINE_Initiatives!$B$5:$B$532=$C510)*(_ENGINE_Initiatives!$C$5:$C$532=$D510),0),0)),"")</f>
        <v/>
      </c>
      <c r="AU510">
        <f>IFERROR(INDEX(_ENGINE_Initiatives!$F$5:$F$532,MATCH(1,INDEX((_ENGINE_Initiatives!$B$5:$B$532=$C510)*(_ENGINE_Initiatives!$C$5:$C$532=$D510),0),0)),"")</f>
        <v/>
      </c>
      <c r="AV510">
        <f>IFERROR(INDEX(_ENGINE_Initiatives!$AC$5:$AC$532,MATCH(1,INDEX((_ENGINE_Initiatives!$B$5:$B$532=$C510)*(_ENGINE_Initiatives!$C$5:$C$532=$D510),0),0)),"")</f>
        <v/>
      </c>
      <c r="AW510">
        <f>IFERROR(INDEX(_ENGINE_Initiatives!$AE$5:$AE$532,MATCH(1,INDEX((_ENGINE_Initiatives!$B$5:$B$532=$C510)*(_ENGINE_Initiatives!$C$5:$C$532=$D510),0),0)),"")</f>
        <v/>
      </c>
      <c r="AX510">
        <f>IF($B510="Yes",IFERROR(IF(SUMIFS(_REF_Model_Content!$E$1:$E$613,_REF_Model_Content!$A$1:$A$613,'Company Profile'!$B$9,_REF_Model_Content!$B$1:$B$613,$C510)=0,1,SUMIFS(_REF_Model_Content!$E$1:$E$613,_REF_Model_Content!$A$1:$A$613,'Company Profile'!$B$9,_REF_Model_Content!$B$1:$B$613,$C510)),1),"")</f>
        <v/>
      </c>
      <c r="AY510">
        <f>IF($L510="","",ROUND(IF($AP510="",$L510,$AP510)*IF($AX510="",1,$AX510),2))</f>
        <v/>
      </c>
      <c r="AZ510">
        <f>IF($S510="","",ROUND(IF($AQ510="",$S510,$AQ510)*IF($AX510="",1,$AX510),2))</f>
        <v/>
      </c>
      <c r="BB510">
        <f>IF($H510="","",IFERROR(INDEX('_ENGINE_Risk'!$AE$41:$AE$920,MATCH($E510,'_ENGINE_Risk'!$A$41:$A$920,0)),"Medium"))</f>
        <v/>
      </c>
      <c r="BC510">
        <f>IF($BB510="","",IF($BB510="Fast",1.25,IF($BB510="Slow",0.85,1)))</f>
        <v/>
      </c>
      <c r="BD510">
        <f>IF(OR($AZ510="",$BC510=""),"",ROUND($AZ510*$BC510,2))</f>
        <v/>
      </c>
      <c r="BF510">
        <f>IF(OR($H510="",$J510=""),"",_xlfn.IFNA(VLOOKUP($J510,_CONFIG_Model_Settings!$D$610:$E$614,2,0),""))</f>
        <v/>
      </c>
      <c r="BG510">
        <f>IF(OR($H510="",$K510=""),"",ROUND('Company Profile'!$B$569*INDEX(_CONFIG_Model_Settings!$H$610:$H$614,MATCH($K510,_CONFIG_Model_Settings!$G$610:$G$614,0)),0))</f>
        <v/>
      </c>
      <c r="BH510">
        <f>IF(OR($BF510="",$BG510=""),"",ROUND($BF510*$BG510,1))</f>
        <v/>
      </c>
      <c r="BI510">
        <f>IF($BH510="","",IF($AO510="",$BH510,ROUND($BH510*$AO510,1)))</f>
        <v/>
      </c>
      <c r="BJ510">
        <f>IF($E510="","",IFERROR(VLOOKUP($C510,'_CONFIG_Risk_Calibration'!$A$5:$H$21,2,FALSE),3))</f>
        <v/>
      </c>
      <c r="BK510">
        <f>IF($E510="","",IFERROR(VLOOKUP($C510,'_CONFIG_Risk_Calibration'!$A$5:$H$21,3,FALSE),0))</f>
        <v/>
      </c>
      <c r="BL510">
        <f>IF($E510="","",IFERROR(VLOOKUP($C510,'_CONFIG_Risk_Calibration'!$A$5:$H$21,4,FALSE),3))</f>
        <v/>
      </c>
      <c r="BM510">
        <f>IF($E510="","",IFERROR(VLOOKUP($C510,'_CONFIG_Risk_Calibration'!$A$5:$H$21,5,FALSE),3))</f>
        <v/>
      </c>
      <c r="BN510">
        <f>IF($E510="","",IFERROR(VLOOKUP($C510,'_CONFIG_Risk_Calibration'!$A$5:$H$21,6,FALSE),"No"))</f>
        <v/>
      </c>
      <c r="BO510">
        <f>IF($E510="","",IFERROR(VLOOKUP($C510,'_CONFIG_Risk_Calibration'!$A$5:$H$21,7,FALSE),1))</f>
        <v/>
      </c>
      <c r="BP510">
        <f>IF($H510="","",MAX(1,MIN(5,((6-$H510)*0.45)+($BJ510*0.20)+('Resilience &amp; Risk Scenario'!$B$7*0.15)+($BK510*0.10)+($BL510*0.05)+(IF($BB510="Fast",5,IF($BB510="Slow",1,3))*0.05))))</f>
        <v/>
      </c>
      <c r="BQ510">
        <f>IF($H510="","",MAX(IF($BN510="Yes",$BO510,1),MIN(5,($U510*0.20)+($V510*0.15)+($W510*0.25)+($X510*0.15)+($BJ510*0.10)+($BM510*0.15))))</f>
        <v/>
      </c>
      <c r="BR510">
        <f>IF(OR($BP510="",$BQ510=""),"",ROUND($BP510*$BQ510,2))</f>
        <v/>
      </c>
      <c r="BS510">
        <f>IF($BR510="","",ROUND($BR510*IF($AO510="",1,$AO510)*IF($AX510="",1,$AX510)*(1+(($BM510-3)*0.10))*IF($BC510="",1,$BC510),2))</f>
        <v/>
      </c>
    </row>
    <row r="511" ht="69.90000000000001" customHeight="1" s="209">
      <c r="A511">
        <f>IF($BD511="","",SUMPRODUCT(ISNUMBER($BD$500:$BD$923)*($BD$500:$BD$923&gt;$BD511))+COUNTIF($BD$500:$BD511,$BD511))</f>
        <v/>
      </c>
      <c r="B511">
        <f>IF($H511="","",IF($H511&lt;5,"Yes","Maintain"))</f>
        <v/>
      </c>
      <c r="C511" t="inlineStr">
        <is>
          <t>Company Geography</t>
        </is>
      </c>
      <c r="D511" t="inlineStr">
        <is>
          <t>Geographical distribution</t>
        </is>
      </c>
      <c r="E511" t="inlineStr">
        <is>
          <t>COMP-012</t>
        </is>
      </c>
      <c r="F511" t="inlineStr">
        <is>
          <t>Geographic, entity and market exposure</t>
        </is>
      </c>
      <c r="G511">
        <f>IF($H511="","",IFERROR(INDEX('_ENGINE_Risk'!$H$41:$M$920,MATCH($E511,'_ENGINE_Risk'!$A$41:$A$920,0),$H511+1),""))</f>
        <v/>
      </c>
      <c r="H511">
        <f>IFERROR(VALUE(INDEX(_DATA_Assessment_Model!$H$5:$H$884,MATCH($E511,_DATA_Assessment_Model!$A$5:$A$884,0))),"")</f>
        <v/>
      </c>
      <c r="I511">
        <f>IF($H511="","",IFERROR(INDEX(_DATA_Assessment_Model!$L$5:$L$884,MATCH($E511,_DATA_Assessment_Model!$A$5:$A$884,0)),IF($H511&lt;=1,"Critical",IF($H511=2,"High",IF($H511=3,"Medium",IF($H511=4,"Low","Resilient"))))))</f>
        <v/>
      </c>
      <c r="J511">
        <f>IF($H511="","",MIN(5,MAX(1,6-$H511)))</f>
        <v/>
      </c>
      <c r="K511">
        <f>IF($H511="","",MAX(1,MIN(5,ROUNDUP(($U511*0.45)+($W511*0.35)+($X511*0.2),0))))</f>
        <v/>
      </c>
      <c r="L511">
        <f>IF($H511="","",$J511*$K511)</f>
        <v/>
      </c>
      <c r="M511">
        <f>IF($H511="","",MAX(1,MIN(5,ROUNDUP($L511/5,0))))</f>
        <v/>
      </c>
      <c r="N511">
        <f>IF($H511="","",IFERROR(INDEX('_ENGINE_Risk'!$T$41:$Y$920,MATCH($E511,'_ENGINE_Risk'!$A$41:$A$920,0),$H511+1),""))</f>
        <v/>
      </c>
      <c r="O511">
        <f>IF($H511="","",MAX(1,MIN(5,($U511+$V511+$X511)/3)))</f>
        <v/>
      </c>
      <c r="P511">
        <f>IF($H511="","",IF($I511="Critical",5,IF($I511="High",4,IF($I511="Medium",3,IF($I511="Low",2,1)))))</f>
        <v/>
      </c>
      <c r="Q511">
        <f>IF($H511="","",MAX(1,MIN(5,((5-$H511)*0.65)+($W511*0.35))))</f>
        <v/>
      </c>
      <c r="R511">
        <f>IF($H511="","",MAX(1,MIN(5,($V511+$X511)/2)))</f>
        <v/>
      </c>
      <c r="S511">
        <f>IF(OR($H511="",$N511=""),"",ROUND(($O511+$P511+$Q511+$R511)/$N511,2))</f>
        <v/>
      </c>
      <c r="T511">
        <f>IF($H511="","",IFERROR(INDEX('_ENGINE_Risk'!$N$41:$S$920,MATCH($E511,'_ENGINE_Risk'!$A$41:$A$920,0),$H511+1),""))</f>
        <v/>
      </c>
      <c r="U511">
        <f>IFERROR(INDEX(_DATA_Assessment_Model!$G$5:$G$884,MATCH($E511,_DATA_Assessment_Model!$A$5:$A$884,0)),"")</f>
        <v/>
      </c>
      <c r="V511">
        <f>IFERROR(INDEX(_DATA_Assessment_Model!$W$5:$W$884,MATCH($E511,_DATA_Assessment_Model!$A$5:$A$884,0)),"")</f>
        <v/>
      </c>
      <c r="W511">
        <f>IFERROR(INDEX(_DATA_Assessment_Model!$X$5:$X$884,MATCH($E511,_DATA_Assessment_Model!$A$5:$A$884,0)),"")</f>
        <v/>
      </c>
      <c r="X511">
        <f>IFERROR(INDEX(_DATA_Assessment_Model!$Y$5:$Y$884,MATCH($E511,_DATA_Assessment_Model!$A$5:$A$884,0)),"")</f>
        <v/>
      </c>
      <c r="Y511" t="inlineStr">
        <is>
          <t>Geopolitical risk; Physical site loss; Regulatory/legal shock</t>
        </is>
      </c>
      <c r="Z511" t="inlineStr">
        <is>
          <t>CEO / COO / Risk</t>
        </is>
      </c>
      <c r="AA511" t="inlineStr">
        <is>
          <t>Policy/SOP; owner/RACI; system report; dashboard; contracts; test records; incident history; interview evidence related to customer distribution by geography, industry, contract and crisis sensitivity.</t>
        </is>
      </c>
      <c r="AB511">
        <f>IFERROR(INDEX(_DATA_Assessment_Model!$U$5:$U$884,MATCH($E511,_DATA_Assessment_Model!$A$5:$A$884,0)),"")</f>
        <v/>
      </c>
      <c r="AF511" t="inlineStr">
        <is>
          <t>How mature is the organization in managing customer distribution by geography, industry, contract and crisis sensitivity, including ownership, evidence, metrics, fallback procedures and crisis stress testing?</t>
        </is>
      </c>
      <c r="AH511" t="inlineStr">
        <is>
          <t>Data BI AI</t>
        </is>
      </c>
      <c r="AI511">
        <f>COUNTIFS($C$500:$C$923,AH511,$B$500:$B$923,"Yes")</f>
        <v/>
      </c>
      <c r="AJ511">
        <f>COUNTIFS($C$500:$C$923,AH511,$B$500:$B$923,"Yes",$I$500:$I$923,"Critical")+COUNTIFS($C$500:$C$923,AH511,$B$500:$B$923,"Yes",$I$500:$I$923,"High")</f>
        <v/>
      </c>
      <c r="AK511">
        <f>IFERROR(ROUND(AVERAGEIFS($L$500:$L$923,$C$500:$C$923,AH511,$B$500:$B$923,"Yes"),1),"")</f>
        <v/>
      </c>
      <c r="AL511">
        <f>IFERROR(_xlfn.MAXIFS($L$500:$L$923,$C$500:$C$923,AH511,$B$500:$B$923,"Yes"),"")</f>
        <v/>
      </c>
      <c r="AM511">
        <f>IFERROR(ROUND(AVERAGEIFS($S$500:$S$923,$C$500:$C$923,AH511,$B$500:$B$923,"Yes"),2),"")</f>
        <v/>
      </c>
      <c r="AN511">
        <f>COUNTIFS($C$500:$C$923,AH511,$H$500:$H$923,"")</f>
        <v/>
      </c>
      <c r="AO511">
        <f>IF($B511="Yes",IFERROR(INDEX(_ENGINE_Crisis!$F$501:$F$517,MATCH($C511,_ENGINE_Crisis!$A$501:$A$517,0)),1),"")</f>
        <v/>
      </c>
      <c r="AP511">
        <f>IF(AO511="","",ROUND($L511*AO511,1))</f>
        <v/>
      </c>
      <c r="AQ511">
        <f>IF(OR(AO511="",$S511=""),"",ROUND($S511*(0.7+0.3*AO511),2))</f>
        <v/>
      </c>
      <c r="AR511">
        <f>IFERROR(INDEX(_ENGINE_Crisis!$E$41:$E$700,MATCH('Resilience &amp; Risk Scenario'!$B$60&amp;"|"&amp;$C511,_ENGINE_Crisis!$I$41:$I$700,0)),"")</f>
        <v/>
      </c>
      <c r="AS511">
        <f>IFERROR(INDEX(_ENGINE_Crisis!$G$41:$G$700,MATCH('Resilience &amp; Risk Scenario'!$B$60&amp;"|"&amp;$C511,_ENGINE_Crisis!$I$41:$I$700,0)),"")</f>
        <v/>
      </c>
      <c r="AT511">
        <f>IFERROR(INDEX(_ENGINE_Initiatives!$A$5:$A$532,MATCH(1,INDEX((_ENGINE_Initiatives!$B$5:$B$532=$C511)*(_ENGINE_Initiatives!$C$5:$C$532=$D511),0),0)),"")</f>
        <v/>
      </c>
      <c r="AU511">
        <f>IFERROR(INDEX(_ENGINE_Initiatives!$F$5:$F$532,MATCH(1,INDEX((_ENGINE_Initiatives!$B$5:$B$532=$C511)*(_ENGINE_Initiatives!$C$5:$C$532=$D511),0),0)),"")</f>
        <v/>
      </c>
      <c r="AV511">
        <f>IFERROR(INDEX(_ENGINE_Initiatives!$AC$5:$AC$532,MATCH(1,INDEX((_ENGINE_Initiatives!$B$5:$B$532=$C511)*(_ENGINE_Initiatives!$C$5:$C$532=$D511),0),0)),"")</f>
        <v/>
      </c>
      <c r="AW511">
        <f>IFERROR(INDEX(_ENGINE_Initiatives!$AE$5:$AE$532,MATCH(1,INDEX((_ENGINE_Initiatives!$B$5:$B$532=$C511)*(_ENGINE_Initiatives!$C$5:$C$532=$D511),0),0)),"")</f>
        <v/>
      </c>
      <c r="AX511">
        <f>IF($B511="Yes",IFERROR(IF(SUMIFS(_REF_Model_Content!$E$1:$E$613,_REF_Model_Content!$A$1:$A$613,'Company Profile'!$B$9,_REF_Model_Content!$B$1:$B$613,$C511)=0,1,SUMIFS(_REF_Model_Content!$E$1:$E$613,_REF_Model_Content!$A$1:$A$613,'Company Profile'!$B$9,_REF_Model_Content!$B$1:$B$613,$C511)),1),"")</f>
        <v/>
      </c>
      <c r="AY511">
        <f>IF($L511="","",ROUND(IF($AP511="",$L511,$AP511)*IF($AX511="",1,$AX511),2))</f>
        <v/>
      </c>
      <c r="AZ511">
        <f>IF($S511="","",ROUND(IF($AQ511="",$S511,$AQ511)*IF($AX511="",1,$AX511),2))</f>
        <v/>
      </c>
      <c r="BB511">
        <f>IF($H511="","",IFERROR(INDEX('_ENGINE_Risk'!$AE$41:$AE$920,MATCH($E511,'_ENGINE_Risk'!$A$41:$A$920,0)),"Medium"))</f>
        <v/>
      </c>
      <c r="BC511">
        <f>IF($BB511="","",IF($BB511="Fast",1.25,IF($BB511="Slow",0.85,1)))</f>
        <v/>
      </c>
      <c r="BD511">
        <f>IF(OR($AZ511="",$BC511=""),"",ROUND($AZ511*$BC511,2))</f>
        <v/>
      </c>
      <c r="BF511">
        <f>IF(OR($H511="",$J511=""),"",_xlfn.IFNA(VLOOKUP($J511,_CONFIG_Model_Settings!$D$610:$E$614,2,0),""))</f>
        <v/>
      </c>
      <c r="BG511">
        <f>IF(OR($H511="",$K511=""),"",ROUND('Company Profile'!$B$569*INDEX(_CONFIG_Model_Settings!$H$610:$H$614,MATCH($K511,_CONFIG_Model_Settings!$G$610:$G$614,0)),0))</f>
        <v/>
      </c>
      <c r="BH511">
        <f>IF(OR($BF511="",$BG511=""),"",ROUND($BF511*$BG511,1))</f>
        <v/>
      </c>
      <c r="BI511">
        <f>IF($BH511="","",IF($AO511="",$BH511,ROUND($BH511*$AO511,1)))</f>
        <v/>
      </c>
      <c r="BJ511">
        <f>IF($E511="","",IFERROR(VLOOKUP($C511,'_CONFIG_Risk_Calibration'!$A$5:$H$21,2,FALSE),3))</f>
        <v/>
      </c>
      <c r="BK511">
        <f>IF($E511="","",IFERROR(VLOOKUP($C511,'_CONFIG_Risk_Calibration'!$A$5:$H$21,3,FALSE),0))</f>
        <v/>
      </c>
      <c r="BL511">
        <f>IF($E511="","",IFERROR(VLOOKUP($C511,'_CONFIG_Risk_Calibration'!$A$5:$H$21,4,FALSE),3))</f>
        <v/>
      </c>
      <c r="BM511">
        <f>IF($E511="","",IFERROR(VLOOKUP($C511,'_CONFIG_Risk_Calibration'!$A$5:$H$21,5,FALSE),3))</f>
        <v/>
      </c>
      <c r="BN511">
        <f>IF($E511="","",IFERROR(VLOOKUP($C511,'_CONFIG_Risk_Calibration'!$A$5:$H$21,6,FALSE),"No"))</f>
        <v/>
      </c>
      <c r="BO511">
        <f>IF($E511="","",IFERROR(VLOOKUP($C511,'_CONFIG_Risk_Calibration'!$A$5:$H$21,7,FALSE),1))</f>
        <v/>
      </c>
      <c r="BP511">
        <f>IF($H511="","",MAX(1,MIN(5,((6-$H511)*0.45)+($BJ511*0.20)+('Resilience &amp; Risk Scenario'!$B$7*0.15)+($BK511*0.10)+($BL511*0.05)+(IF($BB511="Fast",5,IF($BB511="Slow",1,3))*0.05))))</f>
        <v/>
      </c>
      <c r="BQ511">
        <f>IF($H511="","",MAX(IF($BN511="Yes",$BO511,1),MIN(5,($U511*0.20)+($V511*0.15)+($W511*0.25)+($X511*0.15)+($BJ511*0.10)+($BM511*0.15))))</f>
        <v/>
      </c>
      <c r="BR511">
        <f>IF(OR($BP511="",$BQ511=""),"",ROUND($BP511*$BQ511,2))</f>
        <v/>
      </c>
      <c r="BS511">
        <f>IF($BR511="","",ROUND($BR511*IF($AO511="",1,$AO511)*IF($AX511="",1,$AX511)*(1+(($BM511-3)*0.10))*IF($BC511="",1,$BC511),2))</f>
        <v/>
      </c>
    </row>
    <row r="512" ht="69.90000000000001" customHeight="1" s="209">
      <c r="A512">
        <f>IF($BD512="","",SUMPRODUCT(ISNUMBER($BD$500:$BD$923)*($BD$500:$BD$923&gt;$BD512))+COUNTIF($BD$500:$BD512,$BD512))</f>
        <v/>
      </c>
      <c r="B512">
        <f>IF($H512="","",IF($H512&lt;5,"Yes","Maintain"))</f>
        <v/>
      </c>
      <c r="C512" t="inlineStr">
        <is>
          <t>Company Geography</t>
        </is>
      </c>
      <c r="D512" t="inlineStr">
        <is>
          <t>Geographical distribution</t>
        </is>
      </c>
      <c r="E512" t="inlineStr">
        <is>
          <t>COMP-013</t>
        </is>
      </c>
      <c r="F512" t="inlineStr">
        <is>
          <t>Geographic, entity and market exposure</t>
        </is>
      </c>
      <c r="G512">
        <f>IF($H512="","",IFERROR(INDEX('_ENGINE_Risk'!$H$41:$M$920,MATCH($E512,'_ENGINE_Risk'!$A$41:$A$920,0),$H512+1),""))</f>
        <v/>
      </c>
      <c r="H512">
        <f>IFERROR(VALUE(INDEX(_DATA_Assessment_Model!$H$5:$H$884,MATCH($E512,_DATA_Assessment_Model!$A$5:$A$884,0))),"")</f>
        <v/>
      </c>
      <c r="I512">
        <f>IF($H512="","",IFERROR(INDEX(_DATA_Assessment_Model!$L$5:$L$884,MATCH($E512,_DATA_Assessment_Model!$A$5:$A$884,0)),IF($H512&lt;=1,"Critical",IF($H512=2,"High",IF($H512=3,"Medium",IF($H512=4,"Low","Resilient"))))))</f>
        <v/>
      </c>
      <c r="J512">
        <f>IF($H512="","",MIN(5,MAX(1,6-$H512)))</f>
        <v/>
      </c>
      <c r="K512">
        <f>IF($H512="","",MAX(1,MIN(5,ROUNDUP(($U512*0.45)+($W512*0.35)+($X512*0.2),0))))</f>
        <v/>
      </c>
      <c r="L512">
        <f>IF($H512="","",$J512*$K512)</f>
        <v/>
      </c>
      <c r="M512">
        <f>IF($H512="","",MAX(1,MIN(5,ROUNDUP($L512/5,0))))</f>
        <v/>
      </c>
      <c r="N512">
        <f>IF($H512="","",IFERROR(INDEX('_ENGINE_Risk'!$T$41:$Y$920,MATCH($E512,'_ENGINE_Risk'!$A$41:$A$920,0),$H512+1),""))</f>
        <v/>
      </c>
      <c r="O512">
        <f>IF($H512="","",MAX(1,MIN(5,($U512+$V512+$X512)/3)))</f>
        <v/>
      </c>
      <c r="P512">
        <f>IF($H512="","",IF($I512="Critical",5,IF($I512="High",4,IF($I512="Medium",3,IF($I512="Low",2,1)))))</f>
        <v/>
      </c>
      <c r="Q512">
        <f>IF($H512="","",MAX(1,MIN(5,((5-$H512)*0.65)+($W512*0.35))))</f>
        <v/>
      </c>
      <c r="R512">
        <f>IF($H512="","",MAX(1,MIN(5,($V512+$X512)/2)))</f>
        <v/>
      </c>
      <c r="S512">
        <f>IF(OR($H512="",$N512=""),"",ROUND(($O512+$P512+$Q512+$R512)/$N512,2))</f>
        <v/>
      </c>
      <c r="T512">
        <f>IF($H512="","",IFERROR(INDEX('_ENGINE_Risk'!$N$41:$S$920,MATCH($E512,'_ENGINE_Risk'!$A$41:$A$920,0),$H512+1),""))</f>
        <v/>
      </c>
      <c r="U512">
        <f>IFERROR(INDEX(_DATA_Assessment_Model!$G$5:$G$884,MATCH($E512,_DATA_Assessment_Model!$A$5:$A$884,0)),"")</f>
        <v/>
      </c>
      <c r="V512">
        <f>IFERROR(INDEX(_DATA_Assessment_Model!$W$5:$W$884,MATCH($E512,_DATA_Assessment_Model!$A$5:$A$884,0)),"")</f>
        <v/>
      </c>
      <c r="W512">
        <f>IFERROR(INDEX(_DATA_Assessment_Model!$X$5:$X$884,MATCH($E512,_DATA_Assessment_Model!$A$5:$A$884,0)),"")</f>
        <v/>
      </c>
      <c r="X512">
        <f>IFERROR(INDEX(_DATA_Assessment_Model!$Y$5:$Y$884,MATCH($E512,_DATA_Assessment_Model!$A$5:$A$884,0)),"")</f>
        <v/>
      </c>
      <c r="Y512" t="inlineStr">
        <is>
          <t>Geopolitical risk; Physical site loss; Regulatory/legal shock</t>
        </is>
      </c>
      <c r="Z512" t="inlineStr">
        <is>
          <t>CEO / COO / Risk</t>
        </is>
      </c>
      <c r="AA512" t="inlineStr">
        <is>
          <t>Policy/SOP; owner/RACI; system report; dashboard; contracts; test records; incident history; interview evidence related to country risk monitoring for war, sanctions, political instability, natural disaster and energy risks.</t>
        </is>
      </c>
      <c r="AB512">
        <f>IFERROR(INDEX(_DATA_Assessment_Model!$U$5:$U$884,MATCH($E512,_DATA_Assessment_Model!$A$5:$A$884,0)),"")</f>
        <v/>
      </c>
      <c r="AF512" t="inlineStr">
        <is>
          <t>How mature is the organization in managing country risk monitoring for war, sanctions, political instability, natural disaster and energy risks, including ownership, evidence, metrics, fallback procedures and crisis stress testing?</t>
        </is>
      </c>
      <c r="AH512" t="inlineStr">
        <is>
          <t>Cyber Privacy</t>
        </is>
      </c>
      <c r="AI512">
        <f>COUNTIFS($C$500:$C$923,AH512,$B$500:$B$923,"Yes")</f>
        <v/>
      </c>
      <c r="AJ512">
        <f>COUNTIFS($C$500:$C$923,AH512,$B$500:$B$923,"Yes",$I$500:$I$923,"Critical")+COUNTIFS($C$500:$C$923,AH512,$B$500:$B$923,"Yes",$I$500:$I$923,"High")</f>
        <v/>
      </c>
      <c r="AK512">
        <f>IFERROR(ROUND(AVERAGEIFS($L$500:$L$923,$C$500:$C$923,AH512,$B$500:$B$923,"Yes"),1),"")</f>
        <v/>
      </c>
      <c r="AL512">
        <f>IFERROR(_xlfn.MAXIFS($L$500:$L$923,$C$500:$C$923,AH512,$B$500:$B$923,"Yes"),"")</f>
        <v/>
      </c>
      <c r="AM512">
        <f>IFERROR(ROUND(AVERAGEIFS($S$500:$S$923,$C$500:$C$923,AH512,$B$500:$B$923,"Yes"),2),"")</f>
        <v/>
      </c>
      <c r="AN512">
        <f>COUNTIFS($C$500:$C$923,AH512,$H$500:$H$923,"")</f>
        <v/>
      </c>
      <c r="AO512">
        <f>IF($B512="Yes",IFERROR(INDEX(_ENGINE_Crisis!$F$501:$F$517,MATCH($C512,_ENGINE_Crisis!$A$501:$A$517,0)),1),"")</f>
        <v/>
      </c>
      <c r="AP512">
        <f>IF(AO512="","",ROUND($L512*AO512,1))</f>
        <v/>
      </c>
      <c r="AQ512">
        <f>IF(OR(AO512="",$S512=""),"",ROUND($S512*(0.7+0.3*AO512),2))</f>
        <v/>
      </c>
      <c r="AR512">
        <f>IFERROR(INDEX(_ENGINE_Crisis!$E$41:$E$700,MATCH('Resilience &amp; Risk Scenario'!$B$60&amp;"|"&amp;$C512,_ENGINE_Crisis!$I$41:$I$700,0)),"")</f>
        <v/>
      </c>
      <c r="AS512">
        <f>IFERROR(INDEX(_ENGINE_Crisis!$G$41:$G$700,MATCH('Resilience &amp; Risk Scenario'!$B$60&amp;"|"&amp;$C512,_ENGINE_Crisis!$I$41:$I$700,0)),"")</f>
        <v/>
      </c>
      <c r="AT512">
        <f>IFERROR(INDEX(_ENGINE_Initiatives!$A$5:$A$532,MATCH(1,INDEX((_ENGINE_Initiatives!$B$5:$B$532=$C512)*(_ENGINE_Initiatives!$C$5:$C$532=$D512),0),0)),"")</f>
        <v/>
      </c>
      <c r="AU512">
        <f>IFERROR(INDEX(_ENGINE_Initiatives!$F$5:$F$532,MATCH(1,INDEX((_ENGINE_Initiatives!$B$5:$B$532=$C512)*(_ENGINE_Initiatives!$C$5:$C$532=$D512),0),0)),"")</f>
        <v/>
      </c>
      <c r="AV512">
        <f>IFERROR(INDEX(_ENGINE_Initiatives!$AC$5:$AC$532,MATCH(1,INDEX((_ENGINE_Initiatives!$B$5:$B$532=$C512)*(_ENGINE_Initiatives!$C$5:$C$532=$D512),0),0)),"")</f>
        <v/>
      </c>
      <c r="AW512">
        <f>IFERROR(INDEX(_ENGINE_Initiatives!$AE$5:$AE$532,MATCH(1,INDEX((_ENGINE_Initiatives!$B$5:$B$532=$C512)*(_ENGINE_Initiatives!$C$5:$C$532=$D512),0),0)),"")</f>
        <v/>
      </c>
      <c r="AX512">
        <f>IF($B512="Yes",IFERROR(IF(SUMIFS(_REF_Model_Content!$E$1:$E$613,_REF_Model_Content!$A$1:$A$613,'Company Profile'!$B$9,_REF_Model_Content!$B$1:$B$613,$C512)=0,1,SUMIFS(_REF_Model_Content!$E$1:$E$613,_REF_Model_Content!$A$1:$A$613,'Company Profile'!$B$9,_REF_Model_Content!$B$1:$B$613,$C512)),1),"")</f>
        <v/>
      </c>
      <c r="AY512">
        <f>IF($L512="","",ROUND(IF($AP512="",$L512,$AP512)*IF($AX512="",1,$AX512),2))</f>
        <v/>
      </c>
      <c r="AZ512">
        <f>IF($S512="","",ROUND(IF($AQ512="",$S512,$AQ512)*IF($AX512="",1,$AX512),2))</f>
        <v/>
      </c>
      <c r="BB512">
        <f>IF($H512="","",IFERROR(INDEX('_ENGINE_Risk'!$AE$41:$AE$920,MATCH($E512,'_ENGINE_Risk'!$A$41:$A$920,0)),"Medium"))</f>
        <v/>
      </c>
      <c r="BC512">
        <f>IF($BB512="","",IF($BB512="Fast",1.25,IF($BB512="Slow",0.85,1)))</f>
        <v/>
      </c>
      <c r="BD512">
        <f>IF(OR($AZ512="",$BC512=""),"",ROUND($AZ512*$BC512,2))</f>
        <v/>
      </c>
      <c r="BF512">
        <f>IF(OR($H512="",$J512=""),"",_xlfn.IFNA(VLOOKUP($J512,_CONFIG_Model_Settings!$D$610:$E$614,2,0),""))</f>
        <v/>
      </c>
      <c r="BG512">
        <f>IF(OR($H512="",$K512=""),"",ROUND('Company Profile'!$B$569*INDEX(_CONFIG_Model_Settings!$H$610:$H$614,MATCH($K512,_CONFIG_Model_Settings!$G$610:$G$614,0)),0))</f>
        <v/>
      </c>
      <c r="BH512">
        <f>IF(OR($BF512="",$BG512=""),"",ROUND($BF512*$BG512,1))</f>
        <v/>
      </c>
      <c r="BI512">
        <f>IF($BH512="","",IF($AO512="",$BH512,ROUND($BH512*$AO512,1)))</f>
        <v/>
      </c>
      <c r="BJ512">
        <f>IF($E512="","",IFERROR(VLOOKUP($C512,'_CONFIG_Risk_Calibration'!$A$5:$H$21,2,FALSE),3))</f>
        <v/>
      </c>
      <c r="BK512">
        <f>IF($E512="","",IFERROR(VLOOKUP($C512,'_CONFIG_Risk_Calibration'!$A$5:$H$21,3,FALSE),0))</f>
        <v/>
      </c>
      <c r="BL512">
        <f>IF($E512="","",IFERROR(VLOOKUP($C512,'_CONFIG_Risk_Calibration'!$A$5:$H$21,4,FALSE),3))</f>
        <v/>
      </c>
      <c r="BM512">
        <f>IF($E512="","",IFERROR(VLOOKUP($C512,'_CONFIG_Risk_Calibration'!$A$5:$H$21,5,FALSE),3))</f>
        <v/>
      </c>
      <c r="BN512">
        <f>IF($E512="","",IFERROR(VLOOKUP($C512,'_CONFIG_Risk_Calibration'!$A$5:$H$21,6,FALSE),"No"))</f>
        <v/>
      </c>
      <c r="BO512">
        <f>IF($E512="","",IFERROR(VLOOKUP($C512,'_CONFIG_Risk_Calibration'!$A$5:$H$21,7,FALSE),1))</f>
        <v/>
      </c>
      <c r="BP512">
        <f>IF($H512="","",MAX(1,MIN(5,((6-$H512)*0.45)+($BJ512*0.20)+('Resilience &amp; Risk Scenario'!$B$7*0.15)+($BK512*0.10)+($BL512*0.05)+(IF($BB512="Fast",5,IF($BB512="Slow",1,3))*0.05))))</f>
        <v/>
      </c>
      <c r="BQ512">
        <f>IF($H512="","",MAX(IF($BN512="Yes",$BO512,1),MIN(5,($U512*0.20)+($V512*0.15)+($W512*0.25)+($X512*0.15)+($BJ512*0.10)+($BM512*0.15))))</f>
        <v/>
      </c>
      <c r="BR512">
        <f>IF(OR($BP512="",$BQ512=""),"",ROUND($BP512*$BQ512,2))</f>
        <v/>
      </c>
      <c r="BS512">
        <f>IF($BR512="","",ROUND($BR512*IF($AO512="",1,$AO512)*IF($AX512="",1,$AX512)*(1+(($BM512-3)*0.10))*IF($BC512="",1,$BC512),2))</f>
        <v/>
      </c>
    </row>
    <row r="513" ht="69.90000000000001" customHeight="1" s="209">
      <c r="A513">
        <f>IF($BD513="","",SUMPRODUCT(ISNUMBER($BD$500:$BD$923)*($BD$500:$BD$923&gt;$BD513))+COUNTIF($BD$500:$BD513,$BD513))</f>
        <v/>
      </c>
      <c r="B513">
        <f>IF($H513="","",IF($H513&lt;5,"Yes","Maintain"))</f>
        <v/>
      </c>
      <c r="C513" t="inlineStr">
        <is>
          <t>Company Geography</t>
        </is>
      </c>
      <c r="D513" t="inlineStr">
        <is>
          <t>Geographical distribution</t>
        </is>
      </c>
      <c r="E513" t="inlineStr">
        <is>
          <t>COMP-014</t>
        </is>
      </c>
      <c r="F513" t="inlineStr">
        <is>
          <t>Geographic, entity and market exposure</t>
        </is>
      </c>
      <c r="G513">
        <f>IF($H513="","",IFERROR(INDEX('_ENGINE_Risk'!$H$41:$M$920,MATCH($E513,'_ENGINE_Risk'!$A$41:$A$920,0),$H513+1),""))</f>
        <v/>
      </c>
      <c r="H513">
        <f>IFERROR(VALUE(INDEX(_DATA_Assessment_Model!$H$5:$H$884,MATCH($E513,_DATA_Assessment_Model!$A$5:$A$884,0))),"")</f>
        <v/>
      </c>
      <c r="I513">
        <f>IF($H513="","",IFERROR(INDEX(_DATA_Assessment_Model!$L$5:$L$884,MATCH($E513,_DATA_Assessment_Model!$A$5:$A$884,0)),IF($H513&lt;=1,"Critical",IF($H513=2,"High",IF($H513=3,"Medium",IF($H513=4,"Low","Resilient"))))))</f>
        <v/>
      </c>
      <c r="J513">
        <f>IF($H513="","",MIN(5,MAX(1,6-$H513)))</f>
        <v/>
      </c>
      <c r="K513">
        <f>IF($H513="","",MAX(1,MIN(5,ROUNDUP(($U513*0.45)+($W513*0.35)+($X513*0.2),0))))</f>
        <v/>
      </c>
      <c r="L513">
        <f>IF($H513="","",$J513*$K513)</f>
        <v/>
      </c>
      <c r="M513">
        <f>IF($H513="","",MAX(1,MIN(5,ROUNDUP($L513/5,0))))</f>
        <v/>
      </c>
      <c r="N513">
        <f>IF($H513="","",IFERROR(INDEX('_ENGINE_Risk'!$T$41:$Y$920,MATCH($E513,'_ENGINE_Risk'!$A$41:$A$920,0),$H513+1),""))</f>
        <v/>
      </c>
      <c r="O513">
        <f>IF($H513="","",MAX(1,MIN(5,($U513+$V513+$X513)/3)))</f>
        <v/>
      </c>
      <c r="P513">
        <f>IF($H513="","",IF($I513="Critical",5,IF($I513="High",4,IF($I513="Medium",3,IF($I513="Low",2,1)))))</f>
        <v/>
      </c>
      <c r="Q513">
        <f>IF($H513="","",MAX(1,MIN(5,((5-$H513)*0.65)+($W513*0.35))))</f>
        <v/>
      </c>
      <c r="R513">
        <f>IF($H513="","",MAX(1,MIN(5,($V513+$X513)/2)))</f>
        <v/>
      </c>
      <c r="S513">
        <f>IF(OR($H513="",$N513=""),"",ROUND(($O513+$P513+$Q513+$R513)/$N513,2))</f>
        <v/>
      </c>
      <c r="T513">
        <f>IF($H513="","",IFERROR(INDEX('_ENGINE_Risk'!$N$41:$S$920,MATCH($E513,'_ENGINE_Risk'!$A$41:$A$920,0),$H513+1),""))</f>
        <v/>
      </c>
      <c r="U513">
        <f>IFERROR(INDEX(_DATA_Assessment_Model!$G$5:$G$884,MATCH($E513,_DATA_Assessment_Model!$A$5:$A$884,0)),"")</f>
        <v/>
      </c>
      <c r="V513">
        <f>IFERROR(INDEX(_DATA_Assessment_Model!$W$5:$W$884,MATCH($E513,_DATA_Assessment_Model!$A$5:$A$884,0)),"")</f>
        <v/>
      </c>
      <c r="W513">
        <f>IFERROR(INDEX(_DATA_Assessment_Model!$X$5:$X$884,MATCH($E513,_DATA_Assessment_Model!$A$5:$A$884,0)),"")</f>
        <v/>
      </c>
      <c r="X513">
        <f>IFERROR(INDEX(_DATA_Assessment_Model!$Y$5:$Y$884,MATCH($E513,_DATA_Assessment_Model!$A$5:$A$884,0)),"")</f>
        <v/>
      </c>
      <c r="Y513" t="inlineStr">
        <is>
          <t>Geopolitical risk; Physical site loss; Regulatory/legal shock</t>
        </is>
      </c>
      <c r="Z513" t="inlineStr">
        <is>
          <t>CEO / COO / Risk</t>
        </is>
      </c>
      <c r="AA513" t="inlineStr">
        <is>
          <t>Policy/SOP; owner/RACI; system report; dashboard; contracts; test records; incident history; interview evidence related to relocation and alternative location options for critical teams and operations.</t>
        </is>
      </c>
      <c r="AB513">
        <f>IFERROR(INDEX(_DATA_Assessment_Model!$U$5:$U$884,MATCH($E513,_DATA_Assessment_Model!$A$5:$A$884,0)),"")</f>
        <v/>
      </c>
      <c r="AF513" t="inlineStr">
        <is>
          <t>How mature is the organization in managing relocation and alternative location options for critical teams and operations, including ownership, evidence, metrics, fallback procedures and crisis stress testing?</t>
        </is>
      </c>
      <c r="AH513" t="inlineStr">
        <is>
          <t>Quality Portfolio</t>
        </is>
      </c>
      <c r="AI513">
        <f>COUNTIFS($C$500:$C$923,AH513,$B$500:$B$923,"Yes")</f>
        <v/>
      </c>
      <c r="AJ513">
        <f>COUNTIFS($C$500:$C$923,AH513,$B$500:$B$923,"Yes",$I$500:$I$923,"Critical")+COUNTIFS($C$500:$C$923,AH513,$B$500:$B$923,"Yes",$I$500:$I$923,"High")</f>
        <v/>
      </c>
      <c r="AK513">
        <f>IFERROR(ROUND(AVERAGEIFS($L$500:$L$923,$C$500:$C$923,AH513,$B$500:$B$923,"Yes"),1),"")</f>
        <v/>
      </c>
      <c r="AL513">
        <f>IFERROR(_xlfn.MAXIFS($L$500:$L$923,$C$500:$C$923,AH513,$B$500:$B$923,"Yes"),"")</f>
        <v/>
      </c>
      <c r="AM513">
        <f>IFERROR(ROUND(AVERAGEIFS($S$500:$S$923,$C$500:$C$923,AH513,$B$500:$B$923,"Yes"),2),"")</f>
        <v/>
      </c>
      <c r="AN513">
        <f>COUNTIFS($C$500:$C$923,AH513,$H$500:$H$923,"")</f>
        <v/>
      </c>
      <c r="AO513">
        <f>IF($B513="Yes",IFERROR(INDEX(_ENGINE_Crisis!$F$501:$F$517,MATCH($C513,_ENGINE_Crisis!$A$501:$A$517,0)),1),"")</f>
        <v/>
      </c>
      <c r="AP513">
        <f>IF(AO513="","",ROUND($L513*AO513,1))</f>
        <v/>
      </c>
      <c r="AQ513">
        <f>IF(OR(AO513="",$S513=""),"",ROUND($S513*(0.7+0.3*AO513),2))</f>
        <v/>
      </c>
      <c r="AR513">
        <f>IFERROR(INDEX(_ENGINE_Crisis!$E$41:$E$700,MATCH('Resilience &amp; Risk Scenario'!$B$60&amp;"|"&amp;$C513,_ENGINE_Crisis!$I$41:$I$700,0)),"")</f>
        <v/>
      </c>
      <c r="AS513">
        <f>IFERROR(INDEX(_ENGINE_Crisis!$G$41:$G$700,MATCH('Resilience &amp; Risk Scenario'!$B$60&amp;"|"&amp;$C513,_ENGINE_Crisis!$I$41:$I$700,0)),"")</f>
        <v/>
      </c>
      <c r="AT513">
        <f>IFERROR(INDEX(_ENGINE_Initiatives!$A$5:$A$532,MATCH(1,INDEX((_ENGINE_Initiatives!$B$5:$B$532=$C513)*(_ENGINE_Initiatives!$C$5:$C$532=$D513),0),0)),"")</f>
        <v/>
      </c>
      <c r="AU513">
        <f>IFERROR(INDEX(_ENGINE_Initiatives!$F$5:$F$532,MATCH(1,INDEX((_ENGINE_Initiatives!$B$5:$B$532=$C513)*(_ENGINE_Initiatives!$C$5:$C$532=$D513),0),0)),"")</f>
        <v/>
      </c>
      <c r="AV513">
        <f>IFERROR(INDEX(_ENGINE_Initiatives!$AC$5:$AC$532,MATCH(1,INDEX((_ENGINE_Initiatives!$B$5:$B$532=$C513)*(_ENGINE_Initiatives!$C$5:$C$532=$D513),0),0)),"")</f>
        <v/>
      </c>
      <c r="AW513">
        <f>IFERROR(INDEX(_ENGINE_Initiatives!$AE$5:$AE$532,MATCH(1,INDEX((_ENGINE_Initiatives!$B$5:$B$532=$C513)*(_ENGINE_Initiatives!$C$5:$C$532=$D513),0),0)),"")</f>
        <v/>
      </c>
      <c r="AX513">
        <f>IF($B513="Yes",IFERROR(IF(SUMIFS(_REF_Model_Content!$E$1:$E$613,_REF_Model_Content!$A$1:$A$613,'Company Profile'!$B$9,_REF_Model_Content!$B$1:$B$613,$C513)=0,1,SUMIFS(_REF_Model_Content!$E$1:$E$613,_REF_Model_Content!$A$1:$A$613,'Company Profile'!$B$9,_REF_Model_Content!$B$1:$B$613,$C513)),1),"")</f>
        <v/>
      </c>
      <c r="AY513">
        <f>IF($L513="","",ROUND(IF($AP513="",$L513,$AP513)*IF($AX513="",1,$AX513),2))</f>
        <v/>
      </c>
      <c r="AZ513">
        <f>IF($S513="","",ROUND(IF($AQ513="",$S513,$AQ513)*IF($AX513="",1,$AX513),2))</f>
        <v/>
      </c>
      <c r="BB513">
        <f>IF($H513="","",IFERROR(INDEX('_ENGINE_Risk'!$AE$41:$AE$920,MATCH($E513,'_ENGINE_Risk'!$A$41:$A$920,0)),"Medium"))</f>
        <v/>
      </c>
      <c r="BC513">
        <f>IF($BB513="","",IF($BB513="Fast",1.25,IF($BB513="Slow",0.85,1)))</f>
        <v/>
      </c>
      <c r="BD513">
        <f>IF(OR($AZ513="",$BC513=""),"",ROUND($AZ513*$BC513,2))</f>
        <v/>
      </c>
      <c r="BF513">
        <f>IF(OR($H513="",$J513=""),"",_xlfn.IFNA(VLOOKUP($J513,_CONFIG_Model_Settings!$D$610:$E$614,2,0),""))</f>
        <v/>
      </c>
      <c r="BG513">
        <f>IF(OR($H513="",$K513=""),"",ROUND('Company Profile'!$B$569*INDEX(_CONFIG_Model_Settings!$H$610:$H$614,MATCH($K513,_CONFIG_Model_Settings!$G$610:$G$614,0)),0))</f>
        <v/>
      </c>
      <c r="BH513">
        <f>IF(OR($BF513="",$BG513=""),"",ROUND($BF513*$BG513,1))</f>
        <v/>
      </c>
      <c r="BI513">
        <f>IF($BH513="","",IF($AO513="",$BH513,ROUND($BH513*$AO513,1)))</f>
        <v/>
      </c>
      <c r="BJ513">
        <f>IF($E513="","",IFERROR(VLOOKUP($C513,'_CONFIG_Risk_Calibration'!$A$5:$H$21,2,FALSE),3))</f>
        <v/>
      </c>
      <c r="BK513">
        <f>IF($E513="","",IFERROR(VLOOKUP($C513,'_CONFIG_Risk_Calibration'!$A$5:$H$21,3,FALSE),0))</f>
        <v/>
      </c>
      <c r="BL513">
        <f>IF($E513="","",IFERROR(VLOOKUP($C513,'_CONFIG_Risk_Calibration'!$A$5:$H$21,4,FALSE),3))</f>
        <v/>
      </c>
      <c r="BM513">
        <f>IF($E513="","",IFERROR(VLOOKUP($C513,'_CONFIG_Risk_Calibration'!$A$5:$H$21,5,FALSE),3))</f>
        <v/>
      </c>
      <c r="BN513">
        <f>IF($E513="","",IFERROR(VLOOKUP($C513,'_CONFIG_Risk_Calibration'!$A$5:$H$21,6,FALSE),"No"))</f>
        <v/>
      </c>
      <c r="BO513">
        <f>IF($E513="","",IFERROR(VLOOKUP($C513,'_CONFIG_Risk_Calibration'!$A$5:$H$21,7,FALSE),1))</f>
        <v/>
      </c>
      <c r="BP513">
        <f>IF($H513="","",MAX(1,MIN(5,((6-$H513)*0.45)+($BJ513*0.20)+('Resilience &amp; Risk Scenario'!$B$7*0.15)+($BK513*0.10)+($BL513*0.05)+(IF($BB513="Fast",5,IF($BB513="Slow",1,3))*0.05))))</f>
        <v/>
      </c>
      <c r="BQ513">
        <f>IF($H513="","",MAX(IF($BN513="Yes",$BO513,1),MIN(5,($U513*0.20)+($V513*0.15)+($W513*0.25)+($X513*0.15)+($BJ513*0.10)+($BM513*0.15))))</f>
        <v/>
      </c>
      <c r="BR513">
        <f>IF(OR($BP513="",$BQ513=""),"",ROUND($BP513*$BQ513,2))</f>
        <v/>
      </c>
      <c r="BS513">
        <f>IF($BR513="","",ROUND($BR513*IF($AO513="",1,$AO513)*IF($AX513="",1,$AX513)*(1+(($BM513-3)*0.10))*IF($BC513="",1,$BC513),2))</f>
        <v/>
      </c>
    </row>
    <row r="514" ht="69.90000000000001" customHeight="1" s="209">
      <c r="A514">
        <f>IF($BD514="","",SUMPRODUCT(ISNUMBER($BD$500:$BD$923)*($BD$500:$BD$923&gt;$BD514))+COUNTIF($BD$500:$BD514,$BD514))</f>
        <v/>
      </c>
      <c r="B514">
        <f>IF($H514="","",IF($H514&lt;5,"Yes","Maintain"))</f>
        <v/>
      </c>
      <c r="C514" t="inlineStr">
        <is>
          <t>Company Geography</t>
        </is>
      </c>
      <c r="D514" t="inlineStr">
        <is>
          <t>Context and dependencies</t>
        </is>
      </c>
      <c r="E514" t="inlineStr">
        <is>
          <t>COMP-016</t>
        </is>
      </c>
      <c r="F514" t="inlineStr">
        <is>
          <t>Geographic, entity and market exposure</t>
        </is>
      </c>
      <c r="G514">
        <f>IF($H514="","",IFERROR(INDEX('_ENGINE_Risk'!$H$41:$M$920,MATCH($E514,'_ENGINE_Risk'!$A$41:$A$920,0),$H514+1),""))</f>
        <v/>
      </c>
      <c r="H514">
        <f>IFERROR(VALUE(INDEX(_DATA_Assessment_Model!$H$5:$H$884,MATCH($E514,_DATA_Assessment_Model!$A$5:$A$884,0))),"")</f>
        <v/>
      </c>
      <c r="I514">
        <f>IF($H514="","",IFERROR(INDEX(_DATA_Assessment_Model!$L$5:$L$884,MATCH($E514,_DATA_Assessment_Model!$A$5:$A$884,0)),IF($H514&lt;=1,"Critical",IF($H514=2,"High",IF($H514=3,"Medium",IF($H514=4,"Low","Resilient"))))))</f>
        <v/>
      </c>
      <c r="J514">
        <f>IF($H514="","",MIN(5,MAX(1,6-$H514)))</f>
        <v/>
      </c>
      <c r="K514">
        <f>IF($H514="","",MAX(1,MIN(5,ROUNDUP(($U514*0.45)+($W514*0.35)+($X514*0.2),0))))</f>
        <v/>
      </c>
      <c r="L514">
        <f>IF($H514="","",$J514*$K514)</f>
        <v/>
      </c>
      <c r="M514">
        <f>IF($H514="","",MAX(1,MIN(5,ROUNDUP($L514/5,0))))</f>
        <v/>
      </c>
      <c r="N514">
        <f>IF($H514="","",IFERROR(INDEX('_ENGINE_Risk'!$T$41:$Y$920,MATCH($E514,'_ENGINE_Risk'!$A$41:$A$920,0),$H514+1),""))</f>
        <v/>
      </c>
      <c r="O514">
        <f>IF($H514="","",MAX(1,MIN(5,($U514+$V514+$X514)/3)))</f>
        <v/>
      </c>
      <c r="P514">
        <f>IF($H514="","",IF($I514="Critical",5,IF($I514="High",4,IF($I514="Medium",3,IF($I514="Low",2,1)))))</f>
        <v/>
      </c>
      <c r="Q514">
        <f>IF($H514="","",MAX(1,MIN(5,((5-$H514)*0.65)+($W514*0.35))))</f>
        <v/>
      </c>
      <c r="R514">
        <f>IF($H514="","",MAX(1,MIN(5,($V514+$X514)/2)))</f>
        <v/>
      </c>
      <c r="S514">
        <f>IF(OR($H514="",$N514=""),"",ROUND(($O514+$P514+$Q514+$R514)/$N514,2))</f>
        <v/>
      </c>
      <c r="T514">
        <f>IF($H514="","",IFERROR(INDEX('_ENGINE_Risk'!$N$41:$S$920,MATCH($E514,'_ENGINE_Risk'!$A$41:$A$920,0),$H514+1),""))</f>
        <v/>
      </c>
      <c r="U514">
        <f>IFERROR(INDEX(_DATA_Assessment_Model!$G$5:$G$884,MATCH($E514,_DATA_Assessment_Model!$A$5:$A$884,0)),"")</f>
        <v/>
      </c>
      <c r="V514">
        <f>IFERROR(INDEX(_DATA_Assessment_Model!$W$5:$W$884,MATCH($E514,_DATA_Assessment_Model!$A$5:$A$884,0)),"")</f>
        <v/>
      </c>
      <c r="W514">
        <f>IFERROR(INDEX(_DATA_Assessment_Model!$X$5:$X$884,MATCH($E514,_DATA_Assessment_Model!$A$5:$A$884,0)),"")</f>
        <v/>
      </c>
      <c r="X514">
        <f>IFERROR(INDEX(_DATA_Assessment_Model!$Y$5:$Y$884,MATCH($E514,_DATA_Assessment_Model!$A$5:$A$884,0)),"")</f>
        <v/>
      </c>
      <c r="Y514" t="inlineStr">
        <is>
          <t>Geopolitical risk; Physical site loss; Regulatory/legal shock</t>
        </is>
      </c>
      <c r="Z514" t="inlineStr">
        <is>
          <t>CEO / COO / Risk</t>
        </is>
      </c>
      <c r="AA514" t="inlineStr">
        <is>
          <t>Policy/SOP; owner/RACI; system report; dashboard; contracts; test records; incident history; interview evidence related to single-country, single-site and single-provider concentration risks.</t>
        </is>
      </c>
      <c r="AB514">
        <f>IFERROR(INDEX(_DATA_Assessment_Model!$U$5:$U$884,MATCH($E514,_DATA_Assessment_Model!$A$5:$A$884,0)),"")</f>
        <v/>
      </c>
      <c r="AF514" t="inlineStr">
        <is>
          <t>How mature is the organization in managing single-country, single-site and single-provider concentration risks, including ownership, evidence, metrics, fallback procedures and crisis stress testing?</t>
        </is>
      </c>
      <c r="AO514">
        <f>IF($B514="Yes",IFERROR(INDEX(_ENGINE_Crisis!$F$501:$F$517,MATCH($C514,_ENGINE_Crisis!$A$501:$A$517,0)),1),"")</f>
        <v/>
      </c>
      <c r="AP514">
        <f>IF(AO514="","",ROUND($L514*AO514,1))</f>
        <v/>
      </c>
      <c r="AQ514">
        <f>IF(OR(AO514="",$S514=""),"",ROUND($S514*(0.7+0.3*AO514),2))</f>
        <v/>
      </c>
      <c r="AR514">
        <f>IFERROR(INDEX(_ENGINE_Crisis!$E$41:$E$700,MATCH('Resilience &amp; Risk Scenario'!$B$60&amp;"|"&amp;$C514,_ENGINE_Crisis!$I$41:$I$700,0)),"")</f>
        <v/>
      </c>
      <c r="AS514">
        <f>IFERROR(INDEX(_ENGINE_Crisis!$G$41:$G$700,MATCH('Resilience &amp; Risk Scenario'!$B$60&amp;"|"&amp;$C514,_ENGINE_Crisis!$I$41:$I$700,0)),"")</f>
        <v/>
      </c>
      <c r="AT514">
        <f>IFERROR(INDEX(_ENGINE_Initiatives!$A$5:$A$532,MATCH(1,INDEX((_ENGINE_Initiatives!$B$5:$B$532=$C514)*(_ENGINE_Initiatives!$C$5:$C$532=$D514),0),0)),"")</f>
        <v/>
      </c>
      <c r="AU514">
        <f>IFERROR(INDEX(_ENGINE_Initiatives!$F$5:$F$532,MATCH(1,INDEX((_ENGINE_Initiatives!$B$5:$B$532=$C514)*(_ENGINE_Initiatives!$C$5:$C$532=$D514),0),0)),"")</f>
        <v/>
      </c>
      <c r="AV514">
        <f>IFERROR(INDEX(_ENGINE_Initiatives!$AC$5:$AC$532,MATCH(1,INDEX((_ENGINE_Initiatives!$B$5:$B$532=$C514)*(_ENGINE_Initiatives!$C$5:$C$532=$D514),0),0)),"")</f>
        <v/>
      </c>
      <c r="AW514">
        <f>IFERROR(INDEX(_ENGINE_Initiatives!$AE$5:$AE$532,MATCH(1,INDEX((_ENGINE_Initiatives!$B$5:$B$532=$C514)*(_ENGINE_Initiatives!$C$5:$C$532=$D514),0),0)),"")</f>
        <v/>
      </c>
      <c r="AX514">
        <f>IF($B514="Yes",IFERROR(IF(SUMIFS(_REF_Model_Content!$E$1:$E$613,_REF_Model_Content!$A$1:$A$613,'Company Profile'!$B$9,_REF_Model_Content!$B$1:$B$613,$C514)=0,1,SUMIFS(_REF_Model_Content!$E$1:$E$613,_REF_Model_Content!$A$1:$A$613,'Company Profile'!$B$9,_REF_Model_Content!$B$1:$B$613,$C514)),1),"")</f>
        <v/>
      </c>
      <c r="AY514">
        <f>IF($L514="","",ROUND(IF($AP514="",$L514,$AP514)*IF($AX514="",1,$AX514),2))</f>
        <v/>
      </c>
      <c r="AZ514">
        <f>IF($S514="","",ROUND(IF($AQ514="",$S514,$AQ514)*IF($AX514="",1,$AX514),2))</f>
        <v/>
      </c>
      <c r="BB514">
        <f>IF($H514="","",IFERROR(INDEX('_ENGINE_Risk'!$AE$41:$AE$920,MATCH($E514,'_ENGINE_Risk'!$A$41:$A$920,0)),"Medium"))</f>
        <v/>
      </c>
      <c r="BC514">
        <f>IF($BB514="","",IF($BB514="Fast",1.25,IF($BB514="Slow",0.85,1)))</f>
        <v/>
      </c>
      <c r="BD514">
        <f>IF(OR($AZ514="",$BC514=""),"",ROUND($AZ514*$BC514,2))</f>
        <v/>
      </c>
      <c r="BF514">
        <f>IF(OR($H514="",$J514=""),"",_xlfn.IFNA(VLOOKUP($J514,_CONFIG_Model_Settings!$D$610:$E$614,2,0),""))</f>
        <v/>
      </c>
      <c r="BG514">
        <f>IF(OR($H514="",$K514=""),"",ROUND('Company Profile'!$B$569*INDEX(_CONFIG_Model_Settings!$H$610:$H$614,MATCH($K514,_CONFIG_Model_Settings!$G$610:$G$614,0)),0))</f>
        <v/>
      </c>
      <c r="BH514">
        <f>IF(OR($BF514="",$BG514=""),"",ROUND($BF514*$BG514,1))</f>
        <v/>
      </c>
      <c r="BI514">
        <f>IF($BH514="","",IF($AO514="",$BH514,ROUND($BH514*$AO514,1)))</f>
        <v/>
      </c>
      <c r="BJ514">
        <f>IF($E514="","",IFERROR(VLOOKUP($C514,'_CONFIG_Risk_Calibration'!$A$5:$H$21,2,FALSE),3))</f>
        <v/>
      </c>
      <c r="BK514">
        <f>IF($E514="","",IFERROR(VLOOKUP($C514,'_CONFIG_Risk_Calibration'!$A$5:$H$21,3,FALSE),0))</f>
        <v/>
      </c>
      <c r="BL514">
        <f>IF($E514="","",IFERROR(VLOOKUP($C514,'_CONFIG_Risk_Calibration'!$A$5:$H$21,4,FALSE),3))</f>
        <v/>
      </c>
      <c r="BM514">
        <f>IF($E514="","",IFERROR(VLOOKUP($C514,'_CONFIG_Risk_Calibration'!$A$5:$H$21,5,FALSE),3))</f>
        <v/>
      </c>
      <c r="BN514">
        <f>IF($E514="","",IFERROR(VLOOKUP($C514,'_CONFIG_Risk_Calibration'!$A$5:$H$21,6,FALSE),"No"))</f>
        <v/>
      </c>
      <c r="BO514">
        <f>IF($E514="","",IFERROR(VLOOKUP($C514,'_CONFIG_Risk_Calibration'!$A$5:$H$21,7,FALSE),1))</f>
        <v/>
      </c>
      <c r="BP514">
        <f>IF($H514="","",MAX(1,MIN(5,((6-$H514)*0.45)+($BJ514*0.20)+('Resilience &amp; Risk Scenario'!$B$7*0.15)+($BK514*0.10)+($BL514*0.05)+(IF($BB514="Fast",5,IF($BB514="Slow",1,3))*0.05))))</f>
        <v/>
      </c>
      <c r="BQ514">
        <f>IF($H514="","",MAX(IF($BN514="Yes",$BO514,1),MIN(5,($U514*0.20)+($V514*0.15)+($W514*0.25)+($X514*0.15)+($BJ514*0.10)+($BM514*0.15))))</f>
        <v/>
      </c>
      <c r="BR514">
        <f>IF(OR($BP514="",$BQ514=""),"",ROUND($BP514*$BQ514,2))</f>
        <v/>
      </c>
      <c r="BS514">
        <f>IF($BR514="","",ROUND($BR514*IF($AO514="",1,$AO514)*IF($AX514="",1,$AX514)*(1+(($BM514-3)*0.10))*IF($BC514="",1,$BC514),2))</f>
        <v/>
      </c>
    </row>
    <row r="515" ht="69.90000000000001" customHeight="1" s="209">
      <c r="A515">
        <f>IF($BD515="","",SUMPRODUCT(ISNUMBER($BD$500:$BD$923)*($BD$500:$BD$923&gt;$BD515))+COUNTIF($BD$500:$BD515,$BD515))</f>
        <v/>
      </c>
      <c r="B515">
        <f>IF($H515="","",IF($H515&lt;5,"Yes","Maintain"))</f>
        <v/>
      </c>
      <c r="C515" t="inlineStr">
        <is>
          <t>Company Geography</t>
        </is>
      </c>
      <c r="D515" t="inlineStr">
        <is>
          <t>Context and dependencies</t>
        </is>
      </c>
      <c r="E515" t="inlineStr">
        <is>
          <t>COMP-017</t>
        </is>
      </c>
      <c r="F515" t="inlineStr">
        <is>
          <t>Geographic, entity and market exposure</t>
        </is>
      </c>
      <c r="G515">
        <f>IF($H515="","",IFERROR(INDEX('_ENGINE_Risk'!$H$41:$M$920,MATCH($E515,'_ENGINE_Risk'!$A$41:$A$920,0),$H515+1),""))</f>
        <v/>
      </c>
      <c r="H515">
        <f>IFERROR(VALUE(INDEX(_DATA_Assessment_Model!$H$5:$H$884,MATCH($E515,_DATA_Assessment_Model!$A$5:$A$884,0))),"")</f>
        <v/>
      </c>
      <c r="I515">
        <f>IF($H515="","",IFERROR(INDEX(_DATA_Assessment_Model!$L$5:$L$884,MATCH($E515,_DATA_Assessment_Model!$A$5:$A$884,0)),IF($H515&lt;=1,"Critical",IF($H515=2,"High",IF($H515=3,"Medium",IF($H515=4,"Low","Resilient"))))))</f>
        <v/>
      </c>
      <c r="J515">
        <f>IF($H515="","",MIN(5,MAX(1,6-$H515)))</f>
        <v/>
      </c>
      <c r="K515">
        <f>IF($H515="","",MAX(1,MIN(5,ROUNDUP(($U515*0.45)+($W515*0.35)+($X515*0.2),0))))</f>
        <v/>
      </c>
      <c r="L515">
        <f>IF($H515="","",$J515*$K515)</f>
        <v/>
      </c>
      <c r="M515">
        <f>IF($H515="","",MAX(1,MIN(5,ROUNDUP($L515/5,0))))</f>
        <v/>
      </c>
      <c r="N515">
        <f>IF($H515="","",IFERROR(INDEX('_ENGINE_Risk'!$T$41:$Y$920,MATCH($E515,'_ENGINE_Risk'!$A$41:$A$920,0),$H515+1),""))</f>
        <v/>
      </c>
      <c r="O515">
        <f>IF($H515="","",MAX(1,MIN(5,($U515+$V515+$X515)/3)))</f>
        <v/>
      </c>
      <c r="P515">
        <f>IF($H515="","",IF($I515="Critical",5,IF($I515="High",4,IF($I515="Medium",3,IF($I515="Low",2,1)))))</f>
        <v/>
      </c>
      <c r="Q515">
        <f>IF($H515="","",MAX(1,MIN(5,((5-$H515)*0.65)+($W515*0.35))))</f>
        <v/>
      </c>
      <c r="R515">
        <f>IF($H515="","",MAX(1,MIN(5,($V515+$X515)/2)))</f>
        <v/>
      </c>
      <c r="S515">
        <f>IF(OR($H515="",$N515=""),"",ROUND(($O515+$P515+$Q515+$R515)/$N515,2))</f>
        <v/>
      </c>
      <c r="T515">
        <f>IF($H515="","",IFERROR(INDEX('_ENGINE_Risk'!$N$41:$S$920,MATCH($E515,'_ENGINE_Risk'!$A$41:$A$920,0),$H515+1),""))</f>
        <v/>
      </c>
      <c r="U515">
        <f>IFERROR(INDEX(_DATA_Assessment_Model!$G$5:$G$884,MATCH($E515,_DATA_Assessment_Model!$A$5:$A$884,0)),"")</f>
        <v/>
      </c>
      <c r="V515">
        <f>IFERROR(INDEX(_DATA_Assessment_Model!$W$5:$W$884,MATCH($E515,_DATA_Assessment_Model!$A$5:$A$884,0)),"")</f>
        <v/>
      </c>
      <c r="W515">
        <f>IFERROR(INDEX(_DATA_Assessment_Model!$X$5:$X$884,MATCH($E515,_DATA_Assessment_Model!$A$5:$A$884,0)),"")</f>
        <v/>
      </c>
      <c r="X515">
        <f>IFERROR(INDEX(_DATA_Assessment_Model!$Y$5:$Y$884,MATCH($E515,_DATA_Assessment_Model!$A$5:$A$884,0)),"")</f>
        <v/>
      </c>
      <c r="Y515" t="inlineStr">
        <is>
          <t>Geopolitical risk; Physical site loss; Regulatory/legal shock</t>
        </is>
      </c>
      <c r="Z515" t="inlineStr">
        <is>
          <t>CEO / COO / Risk</t>
        </is>
      </c>
      <c r="AA515" t="inlineStr">
        <is>
          <t>Policy/SOP; owner/RACI; system report; dashboard; contracts; test records; incident history; interview evidence related to external stakeholder map: owners, banks, regulators, insurers, local authorities and strategic partners.</t>
        </is>
      </c>
      <c r="AB515">
        <f>IFERROR(INDEX(_DATA_Assessment_Model!$U$5:$U$884,MATCH($E515,_DATA_Assessment_Model!$A$5:$A$884,0)),"")</f>
        <v/>
      </c>
      <c r="AF515" t="inlineStr">
        <is>
          <t>How mature is the organization in managing external stakeholder map: owners, banks, regulators, insurers, local authorities and strategic partners, including ownership, evidence, metrics, fallback procedures and crisis stress testing?</t>
        </is>
      </c>
      <c r="AO515">
        <f>IF($B515="Yes",IFERROR(INDEX(_ENGINE_Crisis!$F$501:$F$517,MATCH($C515,_ENGINE_Crisis!$A$501:$A$517,0)),1),"")</f>
        <v/>
      </c>
      <c r="AP515">
        <f>IF(AO515="","",ROUND($L515*AO515,1))</f>
        <v/>
      </c>
      <c r="AQ515">
        <f>IF(OR(AO515="",$S515=""),"",ROUND($S515*(0.7+0.3*AO515),2))</f>
        <v/>
      </c>
      <c r="AR515">
        <f>IFERROR(INDEX(_ENGINE_Crisis!$E$41:$E$700,MATCH('Resilience &amp; Risk Scenario'!$B$60&amp;"|"&amp;$C515,_ENGINE_Crisis!$I$41:$I$700,0)),"")</f>
        <v/>
      </c>
      <c r="AS515">
        <f>IFERROR(INDEX(_ENGINE_Crisis!$G$41:$G$700,MATCH('Resilience &amp; Risk Scenario'!$B$60&amp;"|"&amp;$C515,_ENGINE_Crisis!$I$41:$I$700,0)),"")</f>
        <v/>
      </c>
      <c r="AT515">
        <f>IFERROR(INDEX(_ENGINE_Initiatives!$A$5:$A$532,MATCH(1,INDEX((_ENGINE_Initiatives!$B$5:$B$532=$C515)*(_ENGINE_Initiatives!$C$5:$C$532=$D515),0),0)),"")</f>
        <v/>
      </c>
      <c r="AU515">
        <f>IFERROR(INDEX(_ENGINE_Initiatives!$F$5:$F$532,MATCH(1,INDEX((_ENGINE_Initiatives!$B$5:$B$532=$C515)*(_ENGINE_Initiatives!$C$5:$C$532=$D515),0),0)),"")</f>
        <v/>
      </c>
      <c r="AV515">
        <f>IFERROR(INDEX(_ENGINE_Initiatives!$AC$5:$AC$532,MATCH(1,INDEX((_ENGINE_Initiatives!$B$5:$B$532=$C515)*(_ENGINE_Initiatives!$C$5:$C$532=$D515),0),0)),"")</f>
        <v/>
      </c>
      <c r="AW515">
        <f>IFERROR(INDEX(_ENGINE_Initiatives!$AE$5:$AE$532,MATCH(1,INDEX((_ENGINE_Initiatives!$B$5:$B$532=$C515)*(_ENGINE_Initiatives!$C$5:$C$532=$D515),0),0)),"")</f>
        <v/>
      </c>
      <c r="AX515">
        <f>IF($B515="Yes",IFERROR(IF(SUMIFS(_REF_Model_Content!$E$1:$E$613,_REF_Model_Content!$A$1:$A$613,'Company Profile'!$B$9,_REF_Model_Content!$B$1:$B$613,$C515)=0,1,SUMIFS(_REF_Model_Content!$E$1:$E$613,_REF_Model_Content!$A$1:$A$613,'Company Profile'!$B$9,_REF_Model_Content!$B$1:$B$613,$C515)),1),"")</f>
        <v/>
      </c>
      <c r="AY515">
        <f>IF($L515="","",ROUND(IF($AP515="",$L515,$AP515)*IF($AX515="",1,$AX515),2))</f>
        <v/>
      </c>
      <c r="AZ515">
        <f>IF($S515="","",ROUND(IF($AQ515="",$S515,$AQ515)*IF($AX515="",1,$AX515),2))</f>
        <v/>
      </c>
      <c r="BB515">
        <f>IF($H515="","",IFERROR(INDEX('_ENGINE_Risk'!$AE$41:$AE$920,MATCH($E515,'_ENGINE_Risk'!$A$41:$A$920,0)),"Medium"))</f>
        <v/>
      </c>
      <c r="BC515">
        <f>IF($BB515="","",IF($BB515="Fast",1.25,IF($BB515="Slow",0.85,1)))</f>
        <v/>
      </c>
      <c r="BD515">
        <f>IF(OR($AZ515="",$BC515=""),"",ROUND($AZ515*$BC515,2))</f>
        <v/>
      </c>
      <c r="BF515">
        <f>IF(OR($H515="",$J515=""),"",_xlfn.IFNA(VLOOKUP($J515,_CONFIG_Model_Settings!$D$610:$E$614,2,0),""))</f>
        <v/>
      </c>
      <c r="BG515">
        <f>IF(OR($H515="",$K515=""),"",ROUND('Company Profile'!$B$569*INDEX(_CONFIG_Model_Settings!$H$610:$H$614,MATCH($K515,_CONFIG_Model_Settings!$G$610:$G$614,0)),0))</f>
        <v/>
      </c>
      <c r="BH515">
        <f>IF(OR($BF515="",$BG515=""),"",ROUND($BF515*$BG515,1))</f>
        <v/>
      </c>
      <c r="BI515">
        <f>IF($BH515="","",IF($AO515="",$BH515,ROUND($BH515*$AO515,1)))</f>
        <v/>
      </c>
      <c r="BJ515">
        <f>IF($E515="","",IFERROR(VLOOKUP($C515,'_CONFIG_Risk_Calibration'!$A$5:$H$21,2,FALSE),3))</f>
        <v/>
      </c>
      <c r="BK515">
        <f>IF($E515="","",IFERROR(VLOOKUP($C515,'_CONFIG_Risk_Calibration'!$A$5:$H$21,3,FALSE),0))</f>
        <v/>
      </c>
      <c r="BL515">
        <f>IF($E515="","",IFERROR(VLOOKUP($C515,'_CONFIG_Risk_Calibration'!$A$5:$H$21,4,FALSE),3))</f>
        <v/>
      </c>
      <c r="BM515">
        <f>IF($E515="","",IFERROR(VLOOKUP($C515,'_CONFIG_Risk_Calibration'!$A$5:$H$21,5,FALSE),3))</f>
        <v/>
      </c>
      <c r="BN515">
        <f>IF($E515="","",IFERROR(VLOOKUP($C515,'_CONFIG_Risk_Calibration'!$A$5:$H$21,6,FALSE),"No"))</f>
        <v/>
      </c>
      <c r="BO515">
        <f>IF($E515="","",IFERROR(VLOOKUP($C515,'_CONFIG_Risk_Calibration'!$A$5:$H$21,7,FALSE),1))</f>
        <v/>
      </c>
      <c r="BP515">
        <f>IF($H515="","",MAX(1,MIN(5,((6-$H515)*0.45)+($BJ515*0.20)+('Resilience &amp; Risk Scenario'!$B$7*0.15)+($BK515*0.10)+($BL515*0.05)+(IF($BB515="Fast",5,IF($BB515="Slow",1,3))*0.05))))</f>
        <v/>
      </c>
      <c r="BQ515">
        <f>IF($H515="","",MAX(IF($BN515="Yes",$BO515,1),MIN(5,($U515*0.20)+($V515*0.15)+($W515*0.25)+($X515*0.15)+($BJ515*0.10)+($BM515*0.15))))</f>
        <v/>
      </c>
      <c r="BR515">
        <f>IF(OR($BP515="",$BQ515=""),"",ROUND($BP515*$BQ515,2))</f>
        <v/>
      </c>
      <c r="BS515">
        <f>IF($BR515="","",ROUND($BR515*IF($AO515="",1,$AO515)*IF($AX515="",1,$AX515)*(1+(($BM515-3)*0.10))*IF($BC515="",1,$BC515),2))</f>
        <v/>
      </c>
    </row>
    <row r="516" ht="69.90000000000001" customHeight="1" s="209">
      <c r="A516">
        <f>IF($BD516="","",SUMPRODUCT(ISNUMBER($BD$500:$BD$923)*($BD$500:$BD$923&gt;$BD516))+COUNTIF($BD$500:$BD516,$BD516))</f>
        <v/>
      </c>
      <c r="B516">
        <f>IF($H516="","",IF($H516&lt;5,"Yes","Maintain"))</f>
        <v/>
      </c>
      <c r="C516" t="inlineStr">
        <is>
          <t>Company Geography</t>
        </is>
      </c>
      <c r="D516" t="inlineStr">
        <is>
          <t>Context and dependencies</t>
        </is>
      </c>
      <c r="E516" t="inlineStr">
        <is>
          <t>COMP-018</t>
        </is>
      </c>
      <c r="F516" t="inlineStr">
        <is>
          <t>Geographic, entity and market exposure</t>
        </is>
      </c>
      <c r="G516">
        <f>IF($H516="","",IFERROR(INDEX('_ENGINE_Risk'!$H$41:$M$920,MATCH($E516,'_ENGINE_Risk'!$A$41:$A$920,0),$H516+1),""))</f>
        <v/>
      </c>
      <c r="H516">
        <f>IFERROR(VALUE(INDEX(_DATA_Assessment_Model!$H$5:$H$884,MATCH($E516,_DATA_Assessment_Model!$A$5:$A$884,0))),"")</f>
        <v/>
      </c>
      <c r="I516">
        <f>IF($H516="","",IFERROR(INDEX(_DATA_Assessment_Model!$L$5:$L$884,MATCH($E516,_DATA_Assessment_Model!$A$5:$A$884,0)),IF($H516&lt;=1,"Critical",IF($H516=2,"High",IF($H516=3,"Medium",IF($H516=4,"Low","Resilient"))))))</f>
        <v/>
      </c>
      <c r="J516">
        <f>IF($H516="","",MIN(5,MAX(1,6-$H516)))</f>
        <v/>
      </c>
      <c r="K516">
        <f>IF($H516="","",MAX(1,MIN(5,ROUNDUP(($U516*0.45)+($W516*0.35)+($X516*0.2),0))))</f>
        <v/>
      </c>
      <c r="L516">
        <f>IF($H516="","",$J516*$K516)</f>
        <v/>
      </c>
      <c r="M516">
        <f>IF($H516="","",MAX(1,MIN(5,ROUNDUP($L516/5,0))))</f>
        <v/>
      </c>
      <c r="N516">
        <f>IF($H516="","",IFERROR(INDEX('_ENGINE_Risk'!$T$41:$Y$920,MATCH($E516,'_ENGINE_Risk'!$A$41:$A$920,0),$H516+1),""))</f>
        <v/>
      </c>
      <c r="O516">
        <f>IF($H516="","",MAX(1,MIN(5,($U516+$V516+$X516)/3)))</f>
        <v/>
      </c>
      <c r="P516">
        <f>IF($H516="","",IF($I516="Critical",5,IF($I516="High",4,IF($I516="Medium",3,IF($I516="Low",2,1)))))</f>
        <v/>
      </c>
      <c r="Q516">
        <f>IF($H516="","",MAX(1,MIN(5,((5-$H516)*0.65)+($W516*0.35))))</f>
        <v/>
      </c>
      <c r="R516">
        <f>IF($H516="","",MAX(1,MIN(5,($V516+$X516)/2)))</f>
        <v/>
      </c>
      <c r="S516">
        <f>IF(OR($H516="",$N516=""),"",ROUND(($O516+$P516+$Q516+$R516)/$N516,2))</f>
        <v/>
      </c>
      <c r="T516">
        <f>IF($H516="","",IFERROR(INDEX('_ENGINE_Risk'!$N$41:$S$920,MATCH($E516,'_ENGINE_Risk'!$A$41:$A$920,0),$H516+1),""))</f>
        <v/>
      </c>
      <c r="U516">
        <f>IFERROR(INDEX(_DATA_Assessment_Model!$G$5:$G$884,MATCH($E516,_DATA_Assessment_Model!$A$5:$A$884,0)),"")</f>
        <v/>
      </c>
      <c r="V516">
        <f>IFERROR(INDEX(_DATA_Assessment_Model!$W$5:$W$884,MATCH($E516,_DATA_Assessment_Model!$A$5:$A$884,0)),"")</f>
        <v/>
      </c>
      <c r="W516">
        <f>IFERROR(INDEX(_DATA_Assessment_Model!$X$5:$X$884,MATCH($E516,_DATA_Assessment_Model!$A$5:$A$884,0)),"")</f>
        <v/>
      </c>
      <c r="X516">
        <f>IFERROR(INDEX(_DATA_Assessment_Model!$Y$5:$Y$884,MATCH($E516,_DATA_Assessment_Model!$A$5:$A$884,0)),"")</f>
        <v/>
      </c>
      <c r="Y516" t="inlineStr">
        <is>
          <t>Geopolitical risk; Physical site loss; Regulatory/legal shock</t>
        </is>
      </c>
      <c r="Z516" t="inlineStr">
        <is>
          <t>CEO / COO / Risk</t>
        </is>
      </c>
      <c r="AA516" t="inlineStr">
        <is>
          <t>Policy/SOP; owner/RACI; system report; dashboard; contracts; test records; incident history; interview evidence related to data residency and cross-border transfer exposure by system and geography.</t>
        </is>
      </c>
      <c r="AB516">
        <f>IFERROR(INDEX(_DATA_Assessment_Model!$U$5:$U$884,MATCH($E516,_DATA_Assessment_Model!$A$5:$A$884,0)),"")</f>
        <v/>
      </c>
      <c r="AF516" t="inlineStr">
        <is>
          <t>How mature is the organization in managing data residency and cross-border transfer exposure by system and geography, including ownership, evidence, metrics, fallback procedures and crisis stress testing?</t>
        </is>
      </c>
      <c r="AO516">
        <f>IF($B516="Yes",IFERROR(INDEX(_ENGINE_Crisis!$F$501:$F$517,MATCH($C516,_ENGINE_Crisis!$A$501:$A$517,0)),1),"")</f>
        <v/>
      </c>
      <c r="AP516">
        <f>IF(AO516="","",ROUND($L516*AO516,1))</f>
        <v/>
      </c>
      <c r="AQ516">
        <f>IF(OR(AO516="",$S516=""),"",ROUND($S516*(0.7+0.3*AO516),2))</f>
        <v/>
      </c>
      <c r="AR516">
        <f>IFERROR(INDEX(_ENGINE_Crisis!$E$41:$E$700,MATCH('Resilience &amp; Risk Scenario'!$B$60&amp;"|"&amp;$C516,_ENGINE_Crisis!$I$41:$I$700,0)),"")</f>
        <v/>
      </c>
      <c r="AS516">
        <f>IFERROR(INDEX(_ENGINE_Crisis!$G$41:$G$700,MATCH('Resilience &amp; Risk Scenario'!$B$60&amp;"|"&amp;$C516,_ENGINE_Crisis!$I$41:$I$700,0)),"")</f>
        <v/>
      </c>
      <c r="AT516">
        <f>IFERROR(INDEX(_ENGINE_Initiatives!$A$5:$A$532,MATCH(1,INDEX((_ENGINE_Initiatives!$B$5:$B$532=$C516)*(_ENGINE_Initiatives!$C$5:$C$532=$D516),0),0)),"")</f>
        <v/>
      </c>
      <c r="AU516">
        <f>IFERROR(INDEX(_ENGINE_Initiatives!$F$5:$F$532,MATCH(1,INDEX((_ENGINE_Initiatives!$B$5:$B$532=$C516)*(_ENGINE_Initiatives!$C$5:$C$532=$D516),0),0)),"")</f>
        <v/>
      </c>
      <c r="AV516">
        <f>IFERROR(INDEX(_ENGINE_Initiatives!$AC$5:$AC$532,MATCH(1,INDEX((_ENGINE_Initiatives!$B$5:$B$532=$C516)*(_ENGINE_Initiatives!$C$5:$C$532=$D516),0),0)),"")</f>
        <v/>
      </c>
      <c r="AW516">
        <f>IFERROR(INDEX(_ENGINE_Initiatives!$AE$5:$AE$532,MATCH(1,INDEX((_ENGINE_Initiatives!$B$5:$B$532=$C516)*(_ENGINE_Initiatives!$C$5:$C$532=$D516),0),0)),"")</f>
        <v/>
      </c>
      <c r="AX516">
        <f>IF($B516="Yes",IFERROR(IF(SUMIFS(_REF_Model_Content!$E$1:$E$613,_REF_Model_Content!$A$1:$A$613,'Company Profile'!$B$9,_REF_Model_Content!$B$1:$B$613,$C516)=0,1,SUMIFS(_REF_Model_Content!$E$1:$E$613,_REF_Model_Content!$A$1:$A$613,'Company Profile'!$B$9,_REF_Model_Content!$B$1:$B$613,$C516)),1),"")</f>
        <v/>
      </c>
      <c r="AY516">
        <f>IF($L516="","",ROUND(IF($AP516="",$L516,$AP516)*IF($AX516="",1,$AX516),2))</f>
        <v/>
      </c>
      <c r="AZ516">
        <f>IF($S516="","",ROUND(IF($AQ516="",$S516,$AQ516)*IF($AX516="",1,$AX516),2))</f>
        <v/>
      </c>
      <c r="BB516">
        <f>IF($H516="","",IFERROR(INDEX('_ENGINE_Risk'!$AE$41:$AE$920,MATCH($E516,'_ENGINE_Risk'!$A$41:$A$920,0)),"Medium"))</f>
        <v/>
      </c>
      <c r="BC516">
        <f>IF($BB516="","",IF($BB516="Fast",1.25,IF($BB516="Slow",0.85,1)))</f>
        <v/>
      </c>
      <c r="BD516">
        <f>IF(OR($AZ516="",$BC516=""),"",ROUND($AZ516*$BC516,2))</f>
        <v/>
      </c>
      <c r="BF516">
        <f>IF(OR($H516="",$J516=""),"",_xlfn.IFNA(VLOOKUP($J516,_CONFIG_Model_Settings!$D$610:$E$614,2,0),""))</f>
        <v/>
      </c>
      <c r="BG516">
        <f>IF(OR($H516="",$K516=""),"",ROUND('Company Profile'!$B$569*INDEX(_CONFIG_Model_Settings!$H$610:$H$614,MATCH($K516,_CONFIG_Model_Settings!$G$610:$G$614,0)),0))</f>
        <v/>
      </c>
      <c r="BH516">
        <f>IF(OR($BF516="",$BG516=""),"",ROUND($BF516*$BG516,1))</f>
        <v/>
      </c>
      <c r="BI516">
        <f>IF($BH516="","",IF($AO516="",$BH516,ROUND($BH516*$AO516,1)))</f>
        <v/>
      </c>
      <c r="BJ516">
        <f>IF($E516="","",IFERROR(VLOOKUP($C516,'_CONFIG_Risk_Calibration'!$A$5:$H$21,2,FALSE),3))</f>
        <v/>
      </c>
      <c r="BK516">
        <f>IF($E516="","",IFERROR(VLOOKUP($C516,'_CONFIG_Risk_Calibration'!$A$5:$H$21,3,FALSE),0))</f>
        <v/>
      </c>
      <c r="BL516">
        <f>IF($E516="","",IFERROR(VLOOKUP($C516,'_CONFIG_Risk_Calibration'!$A$5:$H$21,4,FALSE),3))</f>
        <v/>
      </c>
      <c r="BM516">
        <f>IF($E516="","",IFERROR(VLOOKUP($C516,'_CONFIG_Risk_Calibration'!$A$5:$H$21,5,FALSE),3))</f>
        <v/>
      </c>
      <c r="BN516">
        <f>IF($E516="","",IFERROR(VLOOKUP($C516,'_CONFIG_Risk_Calibration'!$A$5:$H$21,6,FALSE),"No"))</f>
        <v/>
      </c>
      <c r="BO516">
        <f>IF($E516="","",IFERROR(VLOOKUP($C516,'_CONFIG_Risk_Calibration'!$A$5:$H$21,7,FALSE),1))</f>
        <v/>
      </c>
      <c r="BP516">
        <f>IF($H516="","",MAX(1,MIN(5,((6-$H516)*0.45)+($BJ516*0.20)+('Resilience &amp; Risk Scenario'!$B$7*0.15)+($BK516*0.10)+($BL516*0.05)+(IF($BB516="Fast",5,IF($BB516="Slow",1,3))*0.05))))</f>
        <v/>
      </c>
      <c r="BQ516">
        <f>IF($H516="","",MAX(IF($BN516="Yes",$BO516,1),MIN(5,($U516*0.20)+($V516*0.15)+($W516*0.25)+($X516*0.15)+($BJ516*0.10)+($BM516*0.15))))</f>
        <v/>
      </c>
      <c r="BR516">
        <f>IF(OR($BP516="",$BQ516=""),"",ROUND($BP516*$BQ516,2))</f>
        <v/>
      </c>
      <c r="BS516">
        <f>IF($BR516="","",ROUND($BR516*IF($AO516="",1,$AO516)*IF($AX516="",1,$AX516)*(1+(($BM516-3)*0.10))*IF($BC516="",1,$BC516),2))</f>
        <v/>
      </c>
    </row>
    <row r="517" ht="69.90000000000001" customHeight="1" s="209">
      <c r="A517">
        <f>IF($BD517="","",SUMPRODUCT(ISNUMBER($BD$500:$BD$923)*($BD$500:$BD$923&gt;$BD517))+COUNTIF($BD$500:$BD517,$BD517))</f>
        <v/>
      </c>
      <c r="B517">
        <f>IF($H517="","",IF($H517&lt;5,"Yes","Maintain"))</f>
        <v/>
      </c>
      <c r="C517" t="inlineStr">
        <is>
          <t>Company Geography</t>
        </is>
      </c>
      <c r="D517" t="inlineStr">
        <is>
          <t>Context and dependencies</t>
        </is>
      </c>
      <c r="E517" t="inlineStr">
        <is>
          <t>COMP-019</t>
        </is>
      </c>
      <c r="F517" t="inlineStr">
        <is>
          <t>Geographic, entity and market exposure</t>
        </is>
      </c>
      <c r="G517">
        <f>IF($H517="","",IFERROR(INDEX('_ENGINE_Risk'!$H$41:$M$920,MATCH($E517,'_ENGINE_Risk'!$A$41:$A$920,0),$H517+1),""))</f>
        <v/>
      </c>
      <c r="H517">
        <f>IFERROR(VALUE(INDEX(_DATA_Assessment_Model!$H$5:$H$884,MATCH($E517,_DATA_Assessment_Model!$A$5:$A$884,0))),"")</f>
        <v/>
      </c>
      <c r="I517">
        <f>IF($H517="","",IFERROR(INDEX(_DATA_Assessment_Model!$L$5:$L$884,MATCH($E517,_DATA_Assessment_Model!$A$5:$A$884,0)),IF($H517&lt;=1,"Critical",IF($H517=2,"High",IF($H517=3,"Medium",IF($H517=4,"Low","Resilient"))))))</f>
        <v/>
      </c>
      <c r="J517">
        <f>IF($H517="","",MIN(5,MAX(1,6-$H517)))</f>
        <v/>
      </c>
      <c r="K517">
        <f>IF($H517="","",MAX(1,MIN(5,ROUNDUP(($U517*0.45)+($W517*0.35)+($X517*0.2),0))))</f>
        <v/>
      </c>
      <c r="L517">
        <f>IF($H517="","",$J517*$K517)</f>
        <v/>
      </c>
      <c r="M517">
        <f>IF($H517="","",MAX(1,MIN(5,ROUNDUP($L517/5,0))))</f>
        <v/>
      </c>
      <c r="N517">
        <f>IF($H517="","",IFERROR(INDEX('_ENGINE_Risk'!$T$41:$Y$920,MATCH($E517,'_ENGINE_Risk'!$A$41:$A$920,0),$H517+1),""))</f>
        <v/>
      </c>
      <c r="O517">
        <f>IF($H517="","",MAX(1,MIN(5,($U517+$V517+$X517)/3)))</f>
        <v/>
      </c>
      <c r="P517">
        <f>IF($H517="","",IF($I517="Critical",5,IF($I517="High",4,IF($I517="Medium",3,IF($I517="Low",2,1)))))</f>
        <v/>
      </c>
      <c r="Q517">
        <f>IF($H517="","",MAX(1,MIN(5,((5-$H517)*0.65)+($W517*0.35))))</f>
        <v/>
      </c>
      <c r="R517">
        <f>IF($H517="","",MAX(1,MIN(5,($V517+$X517)/2)))</f>
        <v/>
      </c>
      <c r="S517">
        <f>IF(OR($H517="",$N517=""),"",ROUND(($O517+$P517+$Q517+$R517)/$N517,2))</f>
        <v/>
      </c>
      <c r="T517">
        <f>IF($H517="","",IFERROR(INDEX('_ENGINE_Risk'!$N$41:$S$920,MATCH($E517,'_ENGINE_Risk'!$A$41:$A$920,0),$H517+1),""))</f>
        <v/>
      </c>
      <c r="U517">
        <f>IFERROR(INDEX(_DATA_Assessment_Model!$G$5:$G$884,MATCH($E517,_DATA_Assessment_Model!$A$5:$A$884,0)),"")</f>
        <v/>
      </c>
      <c r="V517">
        <f>IFERROR(INDEX(_DATA_Assessment_Model!$W$5:$W$884,MATCH($E517,_DATA_Assessment_Model!$A$5:$A$884,0)),"")</f>
        <v/>
      </c>
      <c r="W517">
        <f>IFERROR(INDEX(_DATA_Assessment_Model!$X$5:$X$884,MATCH($E517,_DATA_Assessment_Model!$A$5:$A$884,0)),"")</f>
        <v/>
      </c>
      <c r="X517">
        <f>IFERROR(INDEX(_DATA_Assessment_Model!$Y$5:$Y$884,MATCH($E517,_DATA_Assessment_Model!$A$5:$A$884,0)),"")</f>
        <v/>
      </c>
      <c r="Y517" t="inlineStr">
        <is>
          <t>Geopolitical risk; Physical site loss; Regulatory/legal shock</t>
        </is>
      </c>
      <c r="Z517" t="inlineStr">
        <is>
          <t>CEO / COO / Risk</t>
        </is>
      </c>
      <c r="AA517" t="inlineStr">
        <is>
          <t>Policy/SOP; owner/RACI; system report; dashboard; contracts; test records; incident history; interview evidence related to acceptable downtime thresholds by geography, function, customer and process.</t>
        </is>
      </c>
      <c r="AB517">
        <f>IFERROR(INDEX(_DATA_Assessment_Model!$U$5:$U$884,MATCH($E517,_DATA_Assessment_Model!$A$5:$A$884,0)),"")</f>
        <v/>
      </c>
      <c r="AF517" t="inlineStr">
        <is>
          <t>How mature is the organization in managing acceptable downtime thresholds by geography, function, customer and process, including ownership, evidence, metrics, fallback procedures and crisis stress testing?</t>
        </is>
      </c>
      <c r="AO517">
        <f>IF($B517="Yes",IFERROR(INDEX(_ENGINE_Crisis!$F$501:$F$517,MATCH($C517,_ENGINE_Crisis!$A$501:$A$517,0)),1),"")</f>
        <v/>
      </c>
      <c r="AP517">
        <f>IF(AO517="","",ROUND($L517*AO517,1))</f>
        <v/>
      </c>
      <c r="AQ517">
        <f>IF(OR(AO517="",$S517=""),"",ROUND($S517*(0.7+0.3*AO517),2))</f>
        <v/>
      </c>
      <c r="AR517">
        <f>IFERROR(INDEX(_ENGINE_Crisis!$E$41:$E$700,MATCH('Resilience &amp; Risk Scenario'!$B$60&amp;"|"&amp;$C517,_ENGINE_Crisis!$I$41:$I$700,0)),"")</f>
        <v/>
      </c>
      <c r="AS517">
        <f>IFERROR(INDEX(_ENGINE_Crisis!$G$41:$G$700,MATCH('Resilience &amp; Risk Scenario'!$B$60&amp;"|"&amp;$C517,_ENGINE_Crisis!$I$41:$I$700,0)),"")</f>
        <v/>
      </c>
      <c r="AT517">
        <f>IFERROR(INDEX(_ENGINE_Initiatives!$A$5:$A$532,MATCH(1,INDEX((_ENGINE_Initiatives!$B$5:$B$532=$C517)*(_ENGINE_Initiatives!$C$5:$C$532=$D517),0),0)),"")</f>
        <v/>
      </c>
      <c r="AU517">
        <f>IFERROR(INDEX(_ENGINE_Initiatives!$F$5:$F$532,MATCH(1,INDEX((_ENGINE_Initiatives!$B$5:$B$532=$C517)*(_ENGINE_Initiatives!$C$5:$C$532=$D517),0),0)),"")</f>
        <v/>
      </c>
      <c r="AV517">
        <f>IFERROR(INDEX(_ENGINE_Initiatives!$AC$5:$AC$532,MATCH(1,INDEX((_ENGINE_Initiatives!$B$5:$B$532=$C517)*(_ENGINE_Initiatives!$C$5:$C$532=$D517),0),0)),"")</f>
        <v/>
      </c>
      <c r="AW517">
        <f>IFERROR(INDEX(_ENGINE_Initiatives!$AE$5:$AE$532,MATCH(1,INDEX((_ENGINE_Initiatives!$B$5:$B$532=$C517)*(_ENGINE_Initiatives!$C$5:$C$532=$D517),0),0)),"")</f>
        <v/>
      </c>
      <c r="AX517">
        <f>IF($B517="Yes",IFERROR(IF(SUMIFS(_REF_Model_Content!$E$1:$E$613,_REF_Model_Content!$A$1:$A$613,'Company Profile'!$B$9,_REF_Model_Content!$B$1:$B$613,$C517)=0,1,SUMIFS(_REF_Model_Content!$E$1:$E$613,_REF_Model_Content!$A$1:$A$613,'Company Profile'!$B$9,_REF_Model_Content!$B$1:$B$613,$C517)),1),"")</f>
        <v/>
      </c>
      <c r="AY517">
        <f>IF($L517="","",ROUND(IF($AP517="",$L517,$AP517)*IF($AX517="",1,$AX517),2))</f>
        <v/>
      </c>
      <c r="AZ517">
        <f>IF($S517="","",ROUND(IF($AQ517="",$S517,$AQ517)*IF($AX517="",1,$AX517),2))</f>
        <v/>
      </c>
      <c r="BB517">
        <f>IF($H517="","",IFERROR(INDEX('_ENGINE_Risk'!$AE$41:$AE$920,MATCH($E517,'_ENGINE_Risk'!$A$41:$A$920,0)),"Medium"))</f>
        <v/>
      </c>
      <c r="BC517">
        <f>IF($BB517="","",IF($BB517="Fast",1.25,IF($BB517="Slow",0.85,1)))</f>
        <v/>
      </c>
      <c r="BD517">
        <f>IF(OR($AZ517="",$BC517=""),"",ROUND($AZ517*$BC517,2))</f>
        <v/>
      </c>
      <c r="BF517">
        <f>IF(OR($H517="",$J517=""),"",_xlfn.IFNA(VLOOKUP($J517,_CONFIG_Model_Settings!$D$610:$E$614,2,0),""))</f>
        <v/>
      </c>
      <c r="BG517">
        <f>IF(OR($H517="",$K517=""),"",ROUND('Company Profile'!$B$569*INDEX(_CONFIG_Model_Settings!$H$610:$H$614,MATCH($K517,_CONFIG_Model_Settings!$G$610:$G$614,0)),0))</f>
        <v/>
      </c>
      <c r="BH517">
        <f>IF(OR($BF517="",$BG517=""),"",ROUND($BF517*$BG517,1))</f>
        <v/>
      </c>
      <c r="BI517">
        <f>IF($BH517="","",IF($AO517="",$BH517,ROUND($BH517*$AO517,1)))</f>
        <v/>
      </c>
      <c r="BJ517">
        <f>IF($E517="","",IFERROR(VLOOKUP($C517,'_CONFIG_Risk_Calibration'!$A$5:$H$21,2,FALSE),3))</f>
        <v/>
      </c>
      <c r="BK517">
        <f>IF($E517="","",IFERROR(VLOOKUP($C517,'_CONFIG_Risk_Calibration'!$A$5:$H$21,3,FALSE),0))</f>
        <v/>
      </c>
      <c r="BL517">
        <f>IF($E517="","",IFERROR(VLOOKUP($C517,'_CONFIG_Risk_Calibration'!$A$5:$H$21,4,FALSE),3))</f>
        <v/>
      </c>
      <c r="BM517">
        <f>IF($E517="","",IFERROR(VLOOKUP($C517,'_CONFIG_Risk_Calibration'!$A$5:$H$21,5,FALSE),3))</f>
        <v/>
      </c>
      <c r="BN517">
        <f>IF($E517="","",IFERROR(VLOOKUP($C517,'_CONFIG_Risk_Calibration'!$A$5:$H$21,6,FALSE),"No"))</f>
        <v/>
      </c>
      <c r="BO517">
        <f>IF($E517="","",IFERROR(VLOOKUP($C517,'_CONFIG_Risk_Calibration'!$A$5:$H$21,7,FALSE),1))</f>
        <v/>
      </c>
      <c r="BP517">
        <f>IF($H517="","",MAX(1,MIN(5,((6-$H517)*0.45)+($BJ517*0.20)+('Resilience &amp; Risk Scenario'!$B$7*0.15)+($BK517*0.10)+($BL517*0.05)+(IF($BB517="Fast",5,IF($BB517="Slow",1,3))*0.05))))</f>
        <v/>
      </c>
      <c r="BQ517">
        <f>IF($H517="","",MAX(IF($BN517="Yes",$BO517,1),MIN(5,($U517*0.20)+($V517*0.15)+($W517*0.25)+($X517*0.15)+($BJ517*0.10)+($BM517*0.15))))</f>
        <v/>
      </c>
      <c r="BR517">
        <f>IF(OR($BP517="",$BQ517=""),"",ROUND($BP517*$BQ517,2))</f>
        <v/>
      </c>
      <c r="BS517">
        <f>IF($BR517="","",ROUND($BR517*IF($AO517="",1,$AO517)*IF($AX517="",1,$AX517)*(1+(($BM517-3)*0.10))*IF($BC517="",1,$BC517),2))</f>
        <v/>
      </c>
    </row>
    <row r="518" ht="69.90000000000001" customHeight="1" s="209">
      <c r="A518">
        <f>IF($BD518="","",SUMPRODUCT(ISNUMBER($BD$500:$BD$923)*($BD$500:$BD$923&gt;$BD518))+COUNTIF($BD$500:$BD518,$BD518))</f>
        <v/>
      </c>
      <c r="B518">
        <f>IF($H518="","",IF($H518&lt;5,"Yes","Maintain"))</f>
        <v/>
      </c>
      <c r="C518" t="inlineStr">
        <is>
          <t>Company Geography</t>
        </is>
      </c>
      <c r="D518" t="inlineStr">
        <is>
          <t>Context and dependencies</t>
        </is>
      </c>
      <c r="E518" t="inlineStr">
        <is>
          <t>COMP-021</t>
        </is>
      </c>
      <c r="F518" t="inlineStr">
        <is>
          <t>Geographic, entity and market exposure</t>
        </is>
      </c>
      <c r="G518">
        <f>IF($H518="","",IFERROR(INDEX('_ENGINE_Risk'!$H$41:$M$920,MATCH($E518,'_ENGINE_Risk'!$A$41:$A$920,0),$H518+1),""))</f>
        <v/>
      </c>
      <c r="H518">
        <f>IFERROR(VALUE(INDEX(_DATA_Assessment_Model!$H$5:$H$884,MATCH($E518,_DATA_Assessment_Model!$A$5:$A$884,0))),"")</f>
        <v/>
      </c>
      <c r="I518">
        <f>IF($H518="","",IFERROR(INDEX(_DATA_Assessment_Model!$L$5:$L$884,MATCH($E518,_DATA_Assessment_Model!$A$5:$A$884,0)),IF($H518&lt;=1,"Critical",IF($H518=2,"High",IF($H518=3,"Medium",IF($H518=4,"Low","Resilient"))))))</f>
        <v/>
      </c>
      <c r="J518">
        <f>IF($H518="","",MIN(5,MAX(1,6-$H518)))</f>
        <v/>
      </c>
      <c r="K518">
        <f>IF($H518="","",MAX(1,MIN(5,ROUNDUP(($U518*0.45)+($W518*0.35)+($X518*0.2),0))))</f>
        <v/>
      </c>
      <c r="L518">
        <f>IF($H518="","",$J518*$K518)</f>
        <v/>
      </c>
      <c r="M518">
        <f>IF($H518="","",MAX(1,MIN(5,ROUNDUP($L518/5,0))))</f>
        <v/>
      </c>
      <c r="N518">
        <f>IF($H518="","",IFERROR(INDEX('_ENGINE_Risk'!$T$41:$Y$920,MATCH($E518,'_ENGINE_Risk'!$A$41:$A$920,0),$H518+1),""))</f>
        <v/>
      </c>
      <c r="O518">
        <f>IF($H518="","",MAX(1,MIN(5,($U518+$V518+$X518)/3)))</f>
        <v/>
      </c>
      <c r="P518">
        <f>IF($H518="","",IF($I518="Critical",5,IF($I518="High",4,IF($I518="Medium",3,IF($I518="Low",2,1)))))</f>
        <v/>
      </c>
      <c r="Q518">
        <f>IF($H518="","",MAX(1,MIN(5,((5-$H518)*0.65)+($W518*0.35))))</f>
        <v/>
      </c>
      <c r="R518">
        <f>IF($H518="","",MAX(1,MIN(5,($V518+$X518)/2)))</f>
        <v/>
      </c>
      <c r="S518">
        <f>IF(OR($H518="",$N518=""),"",ROUND(($O518+$P518+$Q518+$R518)/$N518,2))</f>
        <v/>
      </c>
      <c r="T518">
        <f>IF($H518="","",IFERROR(INDEX('_ENGINE_Risk'!$N$41:$S$920,MATCH($E518,'_ENGINE_Risk'!$A$41:$A$920,0),$H518+1),""))</f>
        <v/>
      </c>
      <c r="U518">
        <f>IFERROR(INDEX(_DATA_Assessment_Model!$G$5:$G$884,MATCH($E518,_DATA_Assessment_Model!$A$5:$A$884,0)),"")</f>
        <v/>
      </c>
      <c r="V518">
        <f>IFERROR(INDEX(_DATA_Assessment_Model!$W$5:$W$884,MATCH($E518,_DATA_Assessment_Model!$A$5:$A$884,0)),"")</f>
        <v/>
      </c>
      <c r="W518">
        <f>IFERROR(INDEX(_DATA_Assessment_Model!$X$5:$X$884,MATCH($E518,_DATA_Assessment_Model!$A$5:$A$884,0)),"")</f>
        <v/>
      </c>
      <c r="X518">
        <f>IFERROR(INDEX(_DATA_Assessment_Model!$Y$5:$Y$884,MATCH($E518,_DATA_Assessment_Model!$A$5:$A$884,0)),"")</f>
        <v/>
      </c>
      <c r="Y518" t="inlineStr">
        <is>
          <t>War/security crisis; Energy/utilities outage; Regulatory/legal shock</t>
        </is>
      </c>
      <c r="Z518" t="inlineStr">
        <is>
          <t>CEO / Legal</t>
        </is>
      </c>
      <c r="AA518" t="inlineStr">
        <is>
          <t>Policy/SOP; owner/RACI; system report; dashboard; contracts; test records; incident history; interview evidence related to critical infrastructure status and government emergency obligations across operating geographies</t>
        </is>
      </c>
      <c r="AB518">
        <f>IFERROR(INDEX(_DATA_Assessment_Model!$U$5:$U$884,MATCH($E518,_DATA_Assessment_Model!$A$5:$A$884,0)),"")</f>
        <v/>
      </c>
      <c r="AF518" t="inlineStr">
        <is>
          <t>How mature is the organization in managing critical infrastructure status and government emergency obligations across operating geographies, including ownership, evidence, metrics, fallback procedures and crisis stress testing?</t>
        </is>
      </c>
      <c r="AO518">
        <f>IF($B518="Yes",IFERROR(INDEX(_ENGINE_Crisis!$F$501:$F$517,MATCH($C518,_ENGINE_Crisis!$A$501:$A$517,0)),1),"")</f>
        <v/>
      </c>
      <c r="AP518">
        <f>IF(AO518="","",ROUND($L518*AO518,1))</f>
        <v/>
      </c>
      <c r="AQ518">
        <f>IF(OR(AO518="",$S518=""),"",ROUND($S518*(0.7+0.3*AO518),2))</f>
        <v/>
      </c>
      <c r="AR518">
        <f>IFERROR(INDEX(_ENGINE_Crisis!$E$41:$E$700,MATCH('Resilience &amp; Risk Scenario'!$B$60&amp;"|"&amp;$C518,_ENGINE_Crisis!$I$41:$I$700,0)),"")</f>
        <v/>
      </c>
      <c r="AS518">
        <f>IFERROR(INDEX(_ENGINE_Crisis!$G$41:$G$700,MATCH('Resilience &amp; Risk Scenario'!$B$60&amp;"|"&amp;$C518,_ENGINE_Crisis!$I$41:$I$700,0)),"")</f>
        <v/>
      </c>
      <c r="AT518">
        <f>IFERROR(INDEX(_ENGINE_Initiatives!$A$5:$A$532,MATCH(1,INDEX((_ENGINE_Initiatives!$B$5:$B$532=$C518)*(_ENGINE_Initiatives!$C$5:$C$532=$D518),0),0)),"")</f>
        <v/>
      </c>
      <c r="AU518">
        <f>IFERROR(INDEX(_ENGINE_Initiatives!$F$5:$F$532,MATCH(1,INDEX((_ENGINE_Initiatives!$B$5:$B$532=$C518)*(_ENGINE_Initiatives!$C$5:$C$532=$D518),0),0)),"")</f>
        <v/>
      </c>
      <c r="AV518">
        <f>IFERROR(INDEX(_ENGINE_Initiatives!$AC$5:$AC$532,MATCH(1,INDEX((_ENGINE_Initiatives!$B$5:$B$532=$C518)*(_ENGINE_Initiatives!$C$5:$C$532=$D518),0),0)),"")</f>
        <v/>
      </c>
      <c r="AW518">
        <f>IFERROR(INDEX(_ENGINE_Initiatives!$AE$5:$AE$532,MATCH(1,INDEX((_ENGINE_Initiatives!$B$5:$B$532=$C518)*(_ENGINE_Initiatives!$C$5:$C$532=$D518),0),0)),"")</f>
        <v/>
      </c>
      <c r="AX518">
        <f>IF($B518="Yes",IFERROR(IF(SUMIFS(_REF_Model_Content!$E$1:$E$613,_REF_Model_Content!$A$1:$A$613,'Company Profile'!$B$9,_REF_Model_Content!$B$1:$B$613,$C518)=0,1,SUMIFS(_REF_Model_Content!$E$1:$E$613,_REF_Model_Content!$A$1:$A$613,'Company Profile'!$B$9,_REF_Model_Content!$B$1:$B$613,$C518)),1),"")</f>
        <v/>
      </c>
      <c r="AY518">
        <f>IF($L518="","",ROUND(IF($AP518="",$L518,$AP518)*IF($AX518="",1,$AX518),2))</f>
        <v/>
      </c>
      <c r="AZ518">
        <f>IF($S518="","",ROUND(IF($AQ518="",$S518,$AQ518)*IF($AX518="",1,$AX518),2))</f>
        <v/>
      </c>
      <c r="BB518">
        <f>IF($H518="","",IFERROR(INDEX('_ENGINE_Risk'!$AE$41:$AE$920,MATCH($E518,'_ENGINE_Risk'!$A$41:$A$920,0)),"Medium"))</f>
        <v/>
      </c>
      <c r="BC518">
        <f>IF($BB518="","",IF($BB518="Fast",1.25,IF($BB518="Slow",0.85,1)))</f>
        <v/>
      </c>
      <c r="BD518">
        <f>IF(OR($AZ518="",$BC518=""),"",ROUND($AZ518*$BC518,2))</f>
        <v/>
      </c>
      <c r="BF518">
        <f>IF(OR($H518="",$J518=""),"",_xlfn.IFNA(VLOOKUP($J518,_CONFIG_Model_Settings!$D$610:$E$614,2,0),""))</f>
        <v/>
      </c>
      <c r="BG518">
        <f>IF(OR($H518="",$K518=""),"",ROUND('Company Profile'!$B$569*INDEX(_CONFIG_Model_Settings!$H$610:$H$614,MATCH($K518,_CONFIG_Model_Settings!$G$610:$G$614,0)),0))</f>
        <v/>
      </c>
      <c r="BH518">
        <f>IF(OR($BF518="",$BG518=""),"",ROUND($BF518*$BG518,1))</f>
        <v/>
      </c>
      <c r="BI518">
        <f>IF($BH518="","",IF($AO518="",$BH518,ROUND($BH518*$AO518,1)))</f>
        <v/>
      </c>
      <c r="BJ518">
        <f>IF($E518="","",IFERROR(VLOOKUP($C518,'_CONFIG_Risk_Calibration'!$A$5:$H$21,2,FALSE),3))</f>
        <v/>
      </c>
      <c r="BK518">
        <f>IF($E518="","",IFERROR(VLOOKUP($C518,'_CONFIG_Risk_Calibration'!$A$5:$H$21,3,FALSE),0))</f>
        <v/>
      </c>
      <c r="BL518">
        <f>IF($E518="","",IFERROR(VLOOKUP($C518,'_CONFIG_Risk_Calibration'!$A$5:$H$21,4,FALSE),3))</f>
        <v/>
      </c>
      <c r="BM518">
        <f>IF($E518="","",IFERROR(VLOOKUP($C518,'_CONFIG_Risk_Calibration'!$A$5:$H$21,5,FALSE),3))</f>
        <v/>
      </c>
      <c r="BN518">
        <f>IF($E518="","",IFERROR(VLOOKUP($C518,'_CONFIG_Risk_Calibration'!$A$5:$H$21,6,FALSE),"No"))</f>
        <v/>
      </c>
      <c r="BO518">
        <f>IF($E518="","",IFERROR(VLOOKUP($C518,'_CONFIG_Risk_Calibration'!$A$5:$H$21,7,FALSE),1))</f>
        <v/>
      </c>
      <c r="BP518">
        <f>IF($H518="","",MAX(1,MIN(5,((6-$H518)*0.45)+($BJ518*0.20)+('Resilience &amp; Risk Scenario'!$B$7*0.15)+($BK518*0.10)+($BL518*0.05)+(IF($BB518="Fast",5,IF($BB518="Slow",1,3))*0.05))))</f>
        <v/>
      </c>
      <c r="BQ518">
        <f>IF($H518="","",MAX(IF($BN518="Yes",$BO518,1),MIN(5,($U518*0.20)+($V518*0.15)+($W518*0.25)+($X518*0.15)+($BJ518*0.10)+($BM518*0.15))))</f>
        <v/>
      </c>
      <c r="BR518">
        <f>IF(OR($BP518="",$BQ518=""),"",ROUND($BP518*$BQ518,2))</f>
        <v/>
      </c>
      <c r="BS518">
        <f>IF($BR518="","",ROUND($BR518*IF($AO518="",1,$AO518)*IF($AX518="",1,$AX518)*(1+(($BM518-3)*0.10))*IF($BC518="",1,$BC518),2))</f>
        <v/>
      </c>
    </row>
    <row r="519" ht="69.90000000000001" customHeight="1" s="209">
      <c r="A519">
        <f>IF($BD519="","",SUMPRODUCT(ISNUMBER($BD$500:$BD$923)*($BD$500:$BD$923&gt;$BD519))+COUNTIF($BD$500:$BD519,$BD519))</f>
        <v/>
      </c>
      <c r="B519">
        <f>IF($H519="","",IF($H519&lt;5,"Yes","Maintain"))</f>
        <v/>
      </c>
      <c r="C519" t="inlineStr">
        <is>
          <t>Strategy GTM</t>
        </is>
      </c>
      <c r="D519" t="inlineStr">
        <is>
          <t>Corporate strategy</t>
        </is>
      </c>
      <c r="E519" t="inlineStr">
        <is>
          <t>STRA-001</t>
        </is>
      </c>
      <c r="F519" t="inlineStr">
        <is>
          <t>Strategic and go-to-market resilience</t>
        </is>
      </c>
      <c r="G519">
        <f>IF($H519="","",IFERROR(INDEX('_ENGINE_Risk'!$H$41:$M$920,MATCH($E519,'_ENGINE_Risk'!$A$41:$A$920,0),$H519+1),""))</f>
        <v/>
      </c>
      <c r="H519">
        <f>IFERROR(VALUE(INDEX(_DATA_Assessment_Model!$H$5:$H$884,MATCH($E519,_DATA_Assessment_Model!$A$5:$A$884,0))),"")</f>
        <v/>
      </c>
      <c r="I519">
        <f>IF($H519="","",IFERROR(INDEX(_DATA_Assessment_Model!$L$5:$L$884,MATCH($E519,_DATA_Assessment_Model!$A$5:$A$884,0)),IF($H519&lt;=1,"Critical",IF($H519=2,"High",IF($H519=3,"Medium",IF($H519=4,"Low","Resilient"))))))</f>
        <v/>
      </c>
      <c r="J519">
        <f>IF($H519="","",MIN(5,MAX(1,6-$H519)))</f>
        <v/>
      </c>
      <c r="K519">
        <f>IF($H519="","",MAX(1,MIN(5,ROUNDUP(($U519*0.45)+($W519*0.35)+($X519*0.2),0))))</f>
        <v/>
      </c>
      <c r="L519">
        <f>IF($H519="","",$J519*$K519)</f>
        <v/>
      </c>
      <c r="M519">
        <f>IF($H519="","",MAX(1,MIN(5,ROUNDUP($L519/5,0))))</f>
        <v/>
      </c>
      <c r="N519">
        <f>IF($H519="","",IFERROR(INDEX('_ENGINE_Risk'!$T$41:$Y$920,MATCH($E519,'_ENGINE_Risk'!$A$41:$A$920,0),$H519+1),""))</f>
        <v/>
      </c>
      <c r="O519">
        <f>IF($H519="","",MAX(1,MIN(5,($U519+$V519+$X519)/3)))</f>
        <v/>
      </c>
      <c r="P519">
        <f>IF($H519="","",IF($I519="Critical",5,IF($I519="High",4,IF($I519="Medium",3,IF($I519="Low",2,1)))))</f>
        <v/>
      </c>
      <c r="Q519">
        <f>IF($H519="","",MAX(1,MIN(5,((5-$H519)*0.65)+($W519*0.35))))</f>
        <v/>
      </c>
      <c r="R519">
        <f>IF($H519="","",MAX(1,MIN(5,($V519+$X519)/2)))</f>
        <v/>
      </c>
      <c r="S519">
        <f>IF(OR($H519="",$N519=""),"",ROUND(($O519+$P519+$Q519+$R519)/$N519,2))</f>
        <v/>
      </c>
      <c r="T519">
        <f>IF($H519="","",IFERROR(INDEX('_ENGINE_Risk'!$N$41:$S$920,MATCH($E519,'_ENGINE_Risk'!$A$41:$A$920,0),$H519+1),""))</f>
        <v/>
      </c>
      <c r="U519">
        <f>IFERROR(INDEX(_DATA_Assessment_Model!$G$5:$G$884,MATCH($E519,_DATA_Assessment_Model!$A$5:$A$884,0)),"")</f>
        <v/>
      </c>
      <c r="V519">
        <f>IFERROR(INDEX(_DATA_Assessment_Model!$W$5:$W$884,MATCH($E519,_DATA_Assessment_Model!$A$5:$A$884,0)),"")</f>
        <v/>
      </c>
      <c r="W519">
        <f>IFERROR(INDEX(_DATA_Assessment_Model!$X$5:$X$884,MATCH($E519,_DATA_Assessment_Model!$A$5:$A$884,0)),"")</f>
        <v/>
      </c>
      <c r="X519">
        <f>IFERROR(INDEX(_DATA_Assessment_Model!$Y$5:$Y$884,MATCH($E519,_DATA_Assessment_Model!$A$5:$A$884,0)),"")</f>
        <v/>
      </c>
      <c r="Y519" t="inlineStr">
        <is>
          <t>Demand shock; Financial liquidity crisis; Reputation crisis</t>
        </is>
      </c>
      <c r="Z519" t="inlineStr">
        <is>
          <t>CEO / CSO / CCO</t>
        </is>
      </c>
      <c r="AA519" t="inlineStr">
        <is>
          <t>Policy/SOP; owner/RACI; system report; dashboard; contracts; test records; incident history; interview evidence related to documented strategy translated into objectives, KPIs, budgets and accountable owners.</t>
        </is>
      </c>
      <c r="AB519">
        <f>IFERROR(INDEX(_DATA_Assessment_Model!$U$5:$U$884,MATCH($E519,_DATA_Assessment_Model!$A$5:$A$884,0)),"")</f>
        <v/>
      </c>
      <c r="AF519" t="inlineStr">
        <is>
          <t>How mature is the organization in managing documented strategy translated into objectives, KPIs, budgets and accountable owners, including ownership, evidence, metrics, fallback procedures and crisis stress testing?</t>
        </is>
      </c>
      <c r="AO519">
        <f>IF($B519="Yes",IFERROR(INDEX(_ENGINE_Crisis!$F$501:$F$517,MATCH($C519,_ENGINE_Crisis!$A$501:$A$517,0)),1),"")</f>
        <v/>
      </c>
      <c r="AP519">
        <f>IF(AO519="","",ROUND($L519*AO519,1))</f>
        <v/>
      </c>
      <c r="AQ519">
        <f>IF(OR(AO519="",$S519=""),"",ROUND($S519*(0.7+0.3*AO519),2))</f>
        <v/>
      </c>
      <c r="AR519">
        <f>IFERROR(INDEX(_ENGINE_Crisis!$E$41:$E$700,MATCH('Resilience &amp; Risk Scenario'!$B$60&amp;"|"&amp;$C519,_ENGINE_Crisis!$I$41:$I$700,0)),"")</f>
        <v/>
      </c>
      <c r="AS519">
        <f>IFERROR(INDEX(_ENGINE_Crisis!$G$41:$G$700,MATCH('Resilience &amp; Risk Scenario'!$B$60&amp;"|"&amp;$C519,_ENGINE_Crisis!$I$41:$I$700,0)),"")</f>
        <v/>
      </c>
      <c r="AT519">
        <f>IFERROR(INDEX(_ENGINE_Initiatives!$A$5:$A$532,MATCH(1,INDEX((_ENGINE_Initiatives!$B$5:$B$532=$C519)*(_ENGINE_Initiatives!$C$5:$C$532=$D519),0),0)),"")</f>
        <v/>
      </c>
      <c r="AU519">
        <f>IFERROR(INDEX(_ENGINE_Initiatives!$F$5:$F$532,MATCH(1,INDEX((_ENGINE_Initiatives!$B$5:$B$532=$C519)*(_ENGINE_Initiatives!$C$5:$C$532=$D519),0),0)),"")</f>
        <v/>
      </c>
      <c r="AV519">
        <f>IFERROR(INDEX(_ENGINE_Initiatives!$AC$5:$AC$532,MATCH(1,INDEX((_ENGINE_Initiatives!$B$5:$B$532=$C519)*(_ENGINE_Initiatives!$C$5:$C$532=$D519),0),0)),"")</f>
        <v/>
      </c>
      <c r="AW519">
        <f>IFERROR(INDEX(_ENGINE_Initiatives!$AE$5:$AE$532,MATCH(1,INDEX((_ENGINE_Initiatives!$B$5:$B$532=$C519)*(_ENGINE_Initiatives!$C$5:$C$532=$D519),0),0)),"")</f>
        <v/>
      </c>
      <c r="AX519">
        <f>IF($B519="Yes",IFERROR(IF(SUMIFS(_REF_Model_Content!$E$1:$E$613,_REF_Model_Content!$A$1:$A$613,'Company Profile'!$B$9,_REF_Model_Content!$B$1:$B$613,$C519)=0,1,SUMIFS(_REF_Model_Content!$E$1:$E$613,_REF_Model_Content!$A$1:$A$613,'Company Profile'!$B$9,_REF_Model_Content!$B$1:$B$613,$C519)),1),"")</f>
        <v/>
      </c>
      <c r="AY519">
        <f>IF($L519="","",ROUND(IF($AP519="",$L519,$AP519)*IF($AX519="",1,$AX519),2))</f>
        <v/>
      </c>
      <c r="AZ519">
        <f>IF($S519="","",ROUND(IF($AQ519="",$S519,$AQ519)*IF($AX519="",1,$AX519),2))</f>
        <v/>
      </c>
      <c r="BB519">
        <f>IF($H519="","",IFERROR(INDEX('_ENGINE_Risk'!$AE$41:$AE$920,MATCH($E519,'_ENGINE_Risk'!$A$41:$A$920,0)),"Medium"))</f>
        <v/>
      </c>
      <c r="BC519">
        <f>IF($BB519="","",IF($BB519="Fast",1.25,IF($BB519="Slow",0.85,1)))</f>
        <v/>
      </c>
      <c r="BD519">
        <f>IF(OR($AZ519="",$BC519=""),"",ROUND($AZ519*$BC519,2))</f>
        <v/>
      </c>
      <c r="BF519">
        <f>IF(OR($H519="",$J519=""),"",_xlfn.IFNA(VLOOKUP($J519,_CONFIG_Model_Settings!$D$610:$E$614,2,0),""))</f>
        <v/>
      </c>
      <c r="BG519">
        <f>IF(OR($H519="",$K519=""),"",ROUND('Company Profile'!$B$569*INDEX(_CONFIG_Model_Settings!$H$610:$H$614,MATCH($K519,_CONFIG_Model_Settings!$G$610:$G$614,0)),0))</f>
        <v/>
      </c>
      <c r="BH519">
        <f>IF(OR($BF519="",$BG519=""),"",ROUND($BF519*$BG519,1))</f>
        <v/>
      </c>
      <c r="BI519">
        <f>IF($BH519="","",IF($AO519="",$BH519,ROUND($BH519*$AO519,1)))</f>
        <v/>
      </c>
      <c r="BJ519">
        <f>IF($E519="","",IFERROR(VLOOKUP($C519,'_CONFIG_Risk_Calibration'!$A$5:$H$21,2,FALSE),3))</f>
        <v/>
      </c>
      <c r="BK519">
        <f>IF($E519="","",IFERROR(VLOOKUP($C519,'_CONFIG_Risk_Calibration'!$A$5:$H$21,3,FALSE),0))</f>
        <v/>
      </c>
      <c r="BL519">
        <f>IF($E519="","",IFERROR(VLOOKUP($C519,'_CONFIG_Risk_Calibration'!$A$5:$H$21,4,FALSE),3))</f>
        <v/>
      </c>
      <c r="BM519">
        <f>IF($E519="","",IFERROR(VLOOKUP($C519,'_CONFIG_Risk_Calibration'!$A$5:$H$21,5,FALSE),3))</f>
        <v/>
      </c>
      <c r="BN519">
        <f>IF($E519="","",IFERROR(VLOOKUP($C519,'_CONFIG_Risk_Calibration'!$A$5:$H$21,6,FALSE),"No"))</f>
        <v/>
      </c>
      <c r="BO519">
        <f>IF($E519="","",IFERROR(VLOOKUP($C519,'_CONFIG_Risk_Calibration'!$A$5:$H$21,7,FALSE),1))</f>
        <v/>
      </c>
      <c r="BP519">
        <f>IF($H519="","",MAX(1,MIN(5,((6-$H519)*0.45)+($BJ519*0.20)+('Resilience &amp; Risk Scenario'!$B$7*0.15)+($BK519*0.10)+($BL519*0.05)+(IF($BB519="Fast",5,IF($BB519="Slow",1,3))*0.05))))</f>
        <v/>
      </c>
      <c r="BQ519">
        <f>IF($H519="","",MAX(IF($BN519="Yes",$BO519,1),MIN(5,($U519*0.20)+($V519*0.15)+($W519*0.25)+($X519*0.15)+($BJ519*0.10)+($BM519*0.15))))</f>
        <v/>
      </c>
      <c r="BR519">
        <f>IF(OR($BP519="",$BQ519=""),"",ROUND($BP519*$BQ519,2))</f>
        <v/>
      </c>
      <c r="BS519">
        <f>IF($BR519="","",ROUND($BR519*IF($AO519="",1,$AO519)*IF($AX519="",1,$AX519)*(1+(($BM519-3)*0.10))*IF($BC519="",1,$BC519),2))</f>
        <v/>
      </c>
    </row>
    <row r="520" ht="69.90000000000001" customHeight="1" s="209">
      <c r="A520">
        <f>IF($BD520="","",SUMPRODUCT(ISNUMBER($BD$500:$BD$923)*($BD$500:$BD$923&gt;$BD520))+COUNTIF($BD$500:$BD520,$BD520))</f>
        <v/>
      </c>
      <c r="B520">
        <f>IF($H520="","",IF($H520&lt;5,"Yes","Maintain"))</f>
        <v/>
      </c>
      <c r="C520" t="inlineStr">
        <is>
          <t>Strategy GTM</t>
        </is>
      </c>
      <c r="D520" t="inlineStr">
        <is>
          <t>Corporate strategy</t>
        </is>
      </c>
      <c r="E520" t="inlineStr">
        <is>
          <t>STRA-002</t>
        </is>
      </c>
      <c r="F520" t="inlineStr">
        <is>
          <t>Strategic and go-to-market resilience</t>
        </is>
      </c>
      <c r="G520">
        <f>IF($H520="","",IFERROR(INDEX('_ENGINE_Risk'!$H$41:$M$920,MATCH($E520,'_ENGINE_Risk'!$A$41:$A$920,0),$H520+1),""))</f>
        <v/>
      </c>
      <c r="H520">
        <f>IFERROR(VALUE(INDEX(_DATA_Assessment_Model!$H$5:$H$884,MATCH($E520,_DATA_Assessment_Model!$A$5:$A$884,0))),"")</f>
        <v/>
      </c>
      <c r="I520">
        <f>IF($H520="","",IFERROR(INDEX(_DATA_Assessment_Model!$L$5:$L$884,MATCH($E520,_DATA_Assessment_Model!$A$5:$A$884,0)),IF($H520&lt;=1,"Critical",IF($H520=2,"High",IF($H520=3,"Medium",IF($H520=4,"Low","Resilient"))))))</f>
        <v/>
      </c>
      <c r="J520">
        <f>IF($H520="","",MIN(5,MAX(1,6-$H520)))</f>
        <v/>
      </c>
      <c r="K520">
        <f>IF($H520="","",MAX(1,MIN(5,ROUNDUP(($U520*0.45)+($W520*0.35)+($X520*0.2),0))))</f>
        <v/>
      </c>
      <c r="L520">
        <f>IF($H520="","",$J520*$K520)</f>
        <v/>
      </c>
      <c r="M520">
        <f>IF($H520="","",MAX(1,MIN(5,ROUNDUP($L520/5,0))))</f>
        <v/>
      </c>
      <c r="N520">
        <f>IF($H520="","",IFERROR(INDEX('_ENGINE_Risk'!$T$41:$Y$920,MATCH($E520,'_ENGINE_Risk'!$A$41:$A$920,0),$H520+1),""))</f>
        <v/>
      </c>
      <c r="O520">
        <f>IF($H520="","",MAX(1,MIN(5,($U520+$V520+$X520)/3)))</f>
        <v/>
      </c>
      <c r="P520">
        <f>IF($H520="","",IF($I520="Critical",5,IF($I520="High",4,IF($I520="Medium",3,IF($I520="Low",2,1)))))</f>
        <v/>
      </c>
      <c r="Q520">
        <f>IF($H520="","",MAX(1,MIN(5,((5-$H520)*0.65)+($W520*0.35))))</f>
        <v/>
      </c>
      <c r="R520">
        <f>IF($H520="","",MAX(1,MIN(5,($V520+$X520)/2)))</f>
        <v/>
      </c>
      <c r="S520">
        <f>IF(OR($H520="",$N520=""),"",ROUND(($O520+$P520+$Q520+$R520)/$N520,2))</f>
        <v/>
      </c>
      <c r="T520">
        <f>IF($H520="","",IFERROR(INDEX('_ENGINE_Risk'!$N$41:$S$920,MATCH($E520,'_ENGINE_Risk'!$A$41:$A$920,0),$H520+1),""))</f>
        <v/>
      </c>
      <c r="U520">
        <f>IFERROR(INDEX(_DATA_Assessment_Model!$G$5:$G$884,MATCH($E520,_DATA_Assessment_Model!$A$5:$A$884,0)),"")</f>
        <v/>
      </c>
      <c r="V520">
        <f>IFERROR(INDEX(_DATA_Assessment_Model!$W$5:$W$884,MATCH($E520,_DATA_Assessment_Model!$A$5:$A$884,0)),"")</f>
        <v/>
      </c>
      <c r="W520">
        <f>IFERROR(INDEX(_DATA_Assessment_Model!$X$5:$X$884,MATCH($E520,_DATA_Assessment_Model!$A$5:$A$884,0)),"")</f>
        <v/>
      </c>
      <c r="X520">
        <f>IFERROR(INDEX(_DATA_Assessment_Model!$Y$5:$Y$884,MATCH($E520,_DATA_Assessment_Model!$A$5:$A$884,0)),"")</f>
        <v/>
      </c>
      <c r="Y520" t="inlineStr">
        <is>
          <t>Demand shock; Financial liquidity crisis; Reputation crisis</t>
        </is>
      </c>
      <c r="Z520" t="inlineStr">
        <is>
          <t>CEO / CSO / CCO</t>
        </is>
      </c>
      <c r="AA520" t="inlineStr">
        <is>
          <t>Policy/SOP; owner/RACI; system report; dashboard; contracts; test records; incident history; interview evidence related to explicit strategic assumptions and periodic challenge of those assumptions.</t>
        </is>
      </c>
      <c r="AB520">
        <f>IFERROR(INDEX(_DATA_Assessment_Model!$U$5:$U$884,MATCH($E520,_DATA_Assessment_Model!$A$5:$A$884,0)),"")</f>
        <v/>
      </c>
      <c r="AF520" t="inlineStr">
        <is>
          <t>How mature is the organization in managing explicit strategic assumptions and periodic challenge of those assumptions, including ownership, evidence, metrics, fallback procedures and crisis stress testing?</t>
        </is>
      </c>
      <c r="AO520">
        <f>IF($B520="Yes",IFERROR(INDEX(_ENGINE_Crisis!$F$501:$F$517,MATCH($C520,_ENGINE_Crisis!$A$501:$A$517,0)),1),"")</f>
        <v/>
      </c>
      <c r="AP520">
        <f>IF(AO520="","",ROUND($L520*AO520,1))</f>
        <v/>
      </c>
      <c r="AQ520">
        <f>IF(OR(AO520="",$S520=""),"",ROUND($S520*(0.7+0.3*AO520),2))</f>
        <v/>
      </c>
      <c r="AR520">
        <f>IFERROR(INDEX(_ENGINE_Crisis!$E$41:$E$700,MATCH('Resilience &amp; Risk Scenario'!$B$60&amp;"|"&amp;$C520,_ENGINE_Crisis!$I$41:$I$700,0)),"")</f>
        <v/>
      </c>
      <c r="AS520">
        <f>IFERROR(INDEX(_ENGINE_Crisis!$G$41:$G$700,MATCH('Resilience &amp; Risk Scenario'!$B$60&amp;"|"&amp;$C520,_ENGINE_Crisis!$I$41:$I$700,0)),"")</f>
        <v/>
      </c>
      <c r="AT520">
        <f>IFERROR(INDEX(_ENGINE_Initiatives!$A$5:$A$532,MATCH(1,INDEX((_ENGINE_Initiatives!$B$5:$B$532=$C520)*(_ENGINE_Initiatives!$C$5:$C$532=$D520),0),0)),"")</f>
        <v/>
      </c>
      <c r="AU520">
        <f>IFERROR(INDEX(_ENGINE_Initiatives!$F$5:$F$532,MATCH(1,INDEX((_ENGINE_Initiatives!$B$5:$B$532=$C520)*(_ENGINE_Initiatives!$C$5:$C$532=$D520),0),0)),"")</f>
        <v/>
      </c>
      <c r="AV520">
        <f>IFERROR(INDEX(_ENGINE_Initiatives!$AC$5:$AC$532,MATCH(1,INDEX((_ENGINE_Initiatives!$B$5:$B$532=$C520)*(_ENGINE_Initiatives!$C$5:$C$532=$D520),0),0)),"")</f>
        <v/>
      </c>
      <c r="AW520">
        <f>IFERROR(INDEX(_ENGINE_Initiatives!$AE$5:$AE$532,MATCH(1,INDEX((_ENGINE_Initiatives!$B$5:$B$532=$C520)*(_ENGINE_Initiatives!$C$5:$C$532=$D520),0),0)),"")</f>
        <v/>
      </c>
      <c r="AX520">
        <f>IF($B520="Yes",IFERROR(IF(SUMIFS(_REF_Model_Content!$E$1:$E$613,_REF_Model_Content!$A$1:$A$613,'Company Profile'!$B$9,_REF_Model_Content!$B$1:$B$613,$C520)=0,1,SUMIFS(_REF_Model_Content!$E$1:$E$613,_REF_Model_Content!$A$1:$A$613,'Company Profile'!$B$9,_REF_Model_Content!$B$1:$B$613,$C520)),1),"")</f>
        <v/>
      </c>
      <c r="AY520">
        <f>IF($L520="","",ROUND(IF($AP520="",$L520,$AP520)*IF($AX520="",1,$AX520),2))</f>
        <v/>
      </c>
      <c r="AZ520">
        <f>IF($S520="","",ROUND(IF($AQ520="",$S520,$AQ520)*IF($AX520="",1,$AX520),2))</f>
        <v/>
      </c>
      <c r="BB520">
        <f>IF($H520="","",IFERROR(INDEX('_ENGINE_Risk'!$AE$41:$AE$920,MATCH($E520,'_ENGINE_Risk'!$A$41:$A$920,0)),"Medium"))</f>
        <v/>
      </c>
      <c r="BC520">
        <f>IF($BB520="","",IF($BB520="Fast",1.25,IF($BB520="Slow",0.85,1)))</f>
        <v/>
      </c>
      <c r="BD520">
        <f>IF(OR($AZ520="",$BC520=""),"",ROUND($AZ520*$BC520,2))</f>
        <v/>
      </c>
      <c r="BF520">
        <f>IF(OR($H520="",$J520=""),"",_xlfn.IFNA(VLOOKUP($J520,_CONFIG_Model_Settings!$D$610:$E$614,2,0),""))</f>
        <v/>
      </c>
      <c r="BG520">
        <f>IF(OR($H520="",$K520=""),"",ROUND('Company Profile'!$B$569*INDEX(_CONFIG_Model_Settings!$H$610:$H$614,MATCH($K520,_CONFIG_Model_Settings!$G$610:$G$614,0)),0))</f>
        <v/>
      </c>
      <c r="BH520">
        <f>IF(OR($BF520="",$BG520=""),"",ROUND($BF520*$BG520,1))</f>
        <v/>
      </c>
      <c r="BI520">
        <f>IF($BH520="","",IF($AO520="",$BH520,ROUND($BH520*$AO520,1)))</f>
        <v/>
      </c>
      <c r="BJ520">
        <f>IF($E520="","",IFERROR(VLOOKUP($C520,'_CONFIG_Risk_Calibration'!$A$5:$H$21,2,FALSE),3))</f>
        <v/>
      </c>
      <c r="BK520">
        <f>IF($E520="","",IFERROR(VLOOKUP($C520,'_CONFIG_Risk_Calibration'!$A$5:$H$21,3,FALSE),0))</f>
        <v/>
      </c>
      <c r="BL520">
        <f>IF($E520="","",IFERROR(VLOOKUP($C520,'_CONFIG_Risk_Calibration'!$A$5:$H$21,4,FALSE),3))</f>
        <v/>
      </c>
      <c r="BM520">
        <f>IF($E520="","",IFERROR(VLOOKUP($C520,'_CONFIG_Risk_Calibration'!$A$5:$H$21,5,FALSE),3))</f>
        <v/>
      </c>
      <c r="BN520">
        <f>IF($E520="","",IFERROR(VLOOKUP($C520,'_CONFIG_Risk_Calibration'!$A$5:$H$21,6,FALSE),"No"))</f>
        <v/>
      </c>
      <c r="BO520">
        <f>IF($E520="","",IFERROR(VLOOKUP($C520,'_CONFIG_Risk_Calibration'!$A$5:$H$21,7,FALSE),1))</f>
        <v/>
      </c>
      <c r="BP520">
        <f>IF($H520="","",MAX(1,MIN(5,((6-$H520)*0.45)+($BJ520*0.20)+('Resilience &amp; Risk Scenario'!$B$7*0.15)+($BK520*0.10)+($BL520*0.05)+(IF($BB520="Fast",5,IF($BB520="Slow",1,3))*0.05))))</f>
        <v/>
      </c>
      <c r="BQ520">
        <f>IF($H520="","",MAX(IF($BN520="Yes",$BO520,1),MIN(5,($U520*0.20)+($V520*0.15)+($W520*0.25)+($X520*0.15)+($BJ520*0.10)+($BM520*0.15))))</f>
        <v/>
      </c>
      <c r="BR520">
        <f>IF(OR($BP520="",$BQ520=""),"",ROUND($BP520*$BQ520,2))</f>
        <v/>
      </c>
      <c r="BS520">
        <f>IF($BR520="","",ROUND($BR520*IF($AO520="",1,$AO520)*IF($AX520="",1,$AX520)*(1+(($BM520-3)*0.10))*IF($BC520="",1,$BC520),2))</f>
        <v/>
      </c>
    </row>
    <row r="521" ht="69.90000000000001" customHeight="1" s="209">
      <c r="A521">
        <f>IF($BD521="","",SUMPRODUCT(ISNUMBER($BD$500:$BD$923)*($BD$500:$BD$923&gt;$BD521))+COUNTIF($BD$500:$BD521,$BD521))</f>
        <v/>
      </c>
      <c r="B521">
        <f>IF($H521="","",IF($H521&lt;5,"Yes","Maintain"))</f>
        <v/>
      </c>
      <c r="C521" t="inlineStr">
        <is>
          <t>Strategy GTM</t>
        </is>
      </c>
      <c r="D521" t="inlineStr">
        <is>
          <t>Corporate strategy</t>
        </is>
      </c>
      <c r="E521" t="inlineStr">
        <is>
          <t>STRA-003</t>
        </is>
      </c>
      <c r="F521" t="inlineStr">
        <is>
          <t>Strategic and go-to-market resilience</t>
        </is>
      </c>
      <c r="G521">
        <f>IF($H521="","",IFERROR(INDEX('_ENGINE_Risk'!$H$41:$M$920,MATCH($E521,'_ENGINE_Risk'!$A$41:$A$920,0),$H521+1),""))</f>
        <v/>
      </c>
      <c r="H521">
        <f>IFERROR(VALUE(INDEX(_DATA_Assessment_Model!$H$5:$H$884,MATCH($E521,_DATA_Assessment_Model!$A$5:$A$884,0))),"")</f>
        <v/>
      </c>
      <c r="I521">
        <f>IF($H521="","",IFERROR(INDEX(_DATA_Assessment_Model!$L$5:$L$884,MATCH($E521,_DATA_Assessment_Model!$A$5:$A$884,0)),IF($H521&lt;=1,"Critical",IF($H521=2,"High",IF($H521=3,"Medium",IF($H521=4,"Low","Resilient"))))))</f>
        <v/>
      </c>
      <c r="J521">
        <f>IF($H521="","",MIN(5,MAX(1,6-$H521)))</f>
        <v/>
      </c>
      <c r="K521">
        <f>IF($H521="","",MAX(1,MIN(5,ROUNDUP(($U521*0.45)+($W521*0.35)+($X521*0.2),0))))</f>
        <v/>
      </c>
      <c r="L521">
        <f>IF($H521="","",$J521*$K521)</f>
        <v/>
      </c>
      <c r="M521">
        <f>IF($H521="","",MAX(1,MIN(5,ROUNDUP($L521/5,0))))</f>
        <v/>
      </c>
      <c r="N521">
        <f>IF($H521="","",IFERROR(INDEX('_ENGINE_Risk'!$T$41:$Y$920,MATCH($E521,'_ENGINE_Risk'!$A$41:$A$920,0),$H521+1),""))</f>
        <v/>
      </c>
      <c r="O521">
        <f>IF($H521="","",MAX(1,MIN(5,($U521+$V521+$X521)/3)))</f>
        <v/>
      </c>
      <c r="P521">
        <f>IF($H521="","",IF($I521="Critical",5,IF($I521="High",4,IF($I521="Medium",3,IF($I521="Low",2,1)))))</f>
        <v/>
      </c>
      <c r="Q521">
        <f>IF($H521="","",MAX(1,MIN(5,((5-$H521)*0.65)+($W521*0.35))))</f>
        <v/>
      </c>
      <c r="R521">
        <f>IF($H521="","",MAX(1,MIN(5,($V521+$X521)/2)))</f>
        <v/>
      </c>
      <c r="S521">
        <f>IF(OR($H521="",$N521=""),"",ROUND(($O521+$P521+$Q521+$R521)/$N521,2))</f>
        <v/>
      </c>
      <c r="T521">
        <f>IF($H521="","",IFERROR(INDEX('_ENGINE_Risk'!$N$41:$S$920,MATCH($E521,'_ENGINE_Risk'!$A$41:$A$920,0),$H521+1),""))</f>
        <v/>
      </c>
      <c r="U521">
        <f>IFERROR(INDEX(_DATA_Assessment_Model!$G$5:$G$884,MATCH($E521,_DATA_Assessment_Model!$A$5:$A$884,0)),"")</f>
        <v/>
      </c>
      <c r="V521">
        <f>IFERROR(INDEX(_DATA_Assessment_Model!$W$5:$W$884,MATCH($E521,_DATA_Assessment_Model!$A$5:$A$884,0)),"")</f>
        <v/>
      </c>
      <c r="W521">
        <f>IFERROR(INDEX(_DATA_Assessment_Model!$X$5:$X$884,MATCH($E521,_DATA_Assessment_Model!$A$5:$A$884,0)),"")</f>
        <v/>
      </c>
      <c r="X521">
        <f>IFERROR(INDEX(_DATA_Assessment_Model!$Y$5:$Y$884,MATCH($E521,_DATA_Assessment_Model!$A$5:$A$884,0)),"")</f>
        <v/>
      </c>
      <c r="Y521" t="inlineStr">
        <is>
          <t>Demand shock; Financial liquidity crisis; Reputation crisis</t>
        </is>
      </c>
      <c r="Z521" t="inlineStr">
        <is>
          <t>CEO / CSO / CCO</t>
        </is>
      </c>
      <c r="AA521" t="inlineStr">
        <is>
          <t>Policy/SOP; owner/RACI; system report; dashboard; contracts; test records; incident history; interview evidence related to crisis-resilient strategy including adaptation, continuity, digital enablement and recovery options.</t>
        </is>
      </c>
      <c r="AB521">
        <f>IFERROR(INDEX(_DATA_Assessment_Model!$U$5:$U$884,MATCH($E521,_DATA_Assessment_Model!$A$5:$A$884,0)),"")</f>
        <v/>
      </c>
      <c r="AF521" t="inlineStr">
        <is>
          <t>How mature is the organization in managing crisis-resilient strategy including adaptation, continuity, digital enablement and recovery options, including ownership, evidence, metrics, fallback procedures and crisis stress testing?</t>
        </is>
      </c>
      <c r="AO521">
        <f>IF($B521="Yes",IFERROR(INDEX(_ENGINE_Crisis!$F$501:$F$517,MATCH($C521,_ENGINE_Crisis!$A$501:$A$517,0)),1),"")</f>
        <v/>
      </c>
      <c r="AP521">
        <f>IF(AO521="","",ROUND($L521*AO521,1))</f>
        <v/>
      </c>
      <c r="AQ521">
        <f>IF(OR(AO521="",$S521=""),"",ROUND($S521*(0.7+0.3*AO521),2))</f>
        <v/>
      </c>
      <c r="AR521">
        <f>IFERROR(INDEX(_ENGINE_Crisis!$E$41:$E$700,MATCH('Resilience &amp; Risk Scenario'!$B$60&amp;"|"&amp;$C521,_ENGINE_Crisis!$I$41:$I$700,0)),"")</f>
        <v/>
      </c>
      <c r="AS521">
        <f>IFERROR(INDEX(_ENGINE_Crisis!$G$41:$G$700,MATCH('Resilience &amp; Risk Scenario'!$B$60&amp;"|"&amp;$C521,_ENGINE_Crisis!$I$41:$I$700,0)),"")</f>
        <v/>
      </c>
      <c r="AT521">
        <f>IFERROR(INDEX(_ENGINE_Initiatives!$A$5:$A$532,MATCH(1,INDEX((_ENGINE_Initiatives!$B$5:$B$532=$C521)*(_ENGINE_Initiatives!$C$5:$C$532=$D521),0),0)),"")</f>
        <v/>
      </c>
      <c r="AU521">
        <f>IFERROR(INDEX(_ENGINE_Initiatives!$F$5:$F$532,MATCH(1,INDEX((_ENGINE_Initiatives!$B$5:$B$532=$C521)*(_ENGINE_Initiatives!$C$5:$C$532=$D521),0),0)),"")</f>
        <v/>
      </c>
      <c r="AV521">
        <f>IFERROR(INDEX(_ENGINE_Initiatives!$AC$5:$AC$532,MATCH(1,INDEX((_ENGINE_Initiatives!$B$5:$B$532=$C521)*(_ENGINE_Initiatives!$C$5:$C$532=$D521),0),0)),"")</f>
        <v/>
      </c>
      <c r="AW521">
        <f>IFERROR(INDEX(_ENGINE_Initiatives!$AE$5:$AE$532,MATCH(1,INDEX((_ENGINE_Initiatives!$B$5:$B$532=$C521)*(_ENGINE_Initiatives!$C$5:$C$532=$D521),0),0)),"")</f>
        <v/>
      </c>
      <c r="AX521">
        <f>IF($B521="Yes",IFERROR(IF(SUMIFS(_REF_Model_Content!$E$1:$E$613,_REF_Model_Content!$A$1:$A$613,'Company Profile'!$B$9,_REF_Model_Content!$B$1:$B$613,$C521)=0,1,SUMIFS(_REF_Model_Content!$E$1:$E$613,_REF_Model_Content!$A$1:$A$613,'Company Profile'!$B$9,_REF_Model_Content!$B$1:$B$613,$C521)),1),"")</f>
        <v/>
      </c>
      <c r="AY521">
        <f>IF($L521="","",ROUND(IF($AP521="",$L521,$AP521)*IF($AX521="",1,$AX521),2))</f>
        <v/>
      </c>
      <c r="AZ521">
        <f>IF($S521="","",ROUND(IF($AQ521="",$S521,$AQ521)*IF($AX521="",1,$AX521),2))</f>
        <v/>
      </c>
      <c r="BB521">
        <f>IF($H521="","",IFERROR(INDEX('_ENGINE_Risk'!$AE$41:$AE$920,MATCH($E521,'_ENGINE_Risk'!$A$41:$A$920,0)),"Medium"))</f>
        <v/>
      </c>
      <c r="BC521">
        <f>IF($BB521="","",IF($BB521="Fast",1.25,IF($BB521="Slow",0.85,1)))</f>
        <v/>
      </c>
      <c r="BD521">
        <f>IF(OR($AZ521="",$BC521=""),"",ROUND($AZ521*$BC521,2))</f>
        <v/>
      </c>
      <c r="BF521">
        <f>IF(OR($H521="",$J521=""),"",_xlfn.IFNA(VLOOKUP($J521,_CONFIG_Model_Settings!$D$610:$E$614,2,0),""))</f>
        <v/>
      </c>
      <c r="BG521">
        <f>IF(OR($H521="",$K521=""),"",ROUND('Company Profile'!$B$569*INDEX(_CONFIG_Model_Settings!$H$610:$H$614,MATCH($K521,_CONFIG_Model_Settings!$G$610:$G$614,0)),0))</f>
        <v/>
      </c>
      <c r="BH521">
        <f>IF(OR($BF521="",$BG521=""),"",ROUND($BF521*$BG521,1))</f>
        <v/>
      </c>
      <c r="BI521">
        <f>IF($BH521="","",IF($AO521="",$BH521,ROUND($BH521*$AO521,1)))</f>
        <v/>
      </c>
      <c r="BJ521">
        <f>IF($E521="","",IFERROR(VLOOKUP($C521,'_CONFIG_Risk_Calibration'!$A$5:$H$21,2,FALSE),3))</f>
        <v/>
      </c>
      <c r="BK521">
        <f>IF($E521="","",IFERROR(VLOOKUP($C521,'_CONFIG_Risk_Calibration'!$A$5:$H$21,3,FALSE),0))</f>
        <v/>
      </c>
      <c r="BL521">
        <f>IF($E521="","",IFERROR(VLOOKUP($C521,'_CONFIG_Risk_Calibration'!$A$5:$H$21,4,FALSE),3))</f>
        <v/>
      </c>
      <c r="BM521">
        <f>IF($E521="","",IFERROR(VLOOKUP($C521,'_CONFIG_Risk_Calibration'!$A$5:$H$21,5,FALSE),3))</f>
        <v/>
      </c>
      <c r="BN521">
        <f>IF($E521="","",IFERROR(VLOOKUP($C521,'_CONFIG_Risk_Calibration'!$A$5:$H$21,6,FALSE),"No"))</f>
        <v/>
      </c>
      <c r="BO521">
        <f>IF($E521="","",IFERROR(VLOOKUP($C521,'_CONFIG_Risk_Calibration'!$A$5:$H$21,7,FALSE),1))</f>
        <v/>
      </c>
      <c r="BP521">
        <f>IF($H521="","",MAX(1,MIN(5,((6-$H521)*0.45)+($BJ521*0.20)+('Resilience &amp; Risk Scenario'!$B$7*0.15)+($BK521*0.10)+($BL521*0.05)+(IF($BB521="Fast",5,IF($BB521="Slow",1,3))*0.05))))</f>
        <v/>
      </c>
      <c r="BQ521">
        <f>IF($H521="","",MAX(IF($BN521="Yes",$BO521,1),MIN(5,($U521*0.20)+($V521*0.15)+($W521*0.25)+($X521*0.15)+($BJ521*0.10)+($BM521*0.15))))</f>
        <v/>
      </c>
      <c r="BR521">
        <f>IF(OR($BP521="",$BQ521=""),"",ROUND($BP521*$BQ521,2))</f>
        <v/>
      </c>
      <c r="BS521">
        <f>IF($BR521="","",ROUND($BR521*IF($AO521="",1,$AO521)*IF($AX521="",1,$AX521)*(1+(($BM521-3)*0.10))*IF($BC521="",1,$BC521),2))</f>
        <v/>
      </c>
    </row>
    <row r="522" ht="69.90000000000001" customHeight="1" s="209">
      <c r="A522">
        <f>IF($BD522="","",SUMPRODUCT(ISNUMBER($BD$500:$BD$923)*($BD$500:$BD$923&gt;$BD522))+COUNTIF($BD$500:$BD522,$BD522))</f>
        <v/>
      </c>
      <c r="B522">
        <f>IF($H522="","",IF($H522&lt;5,"Yes","Maintain"))</f>
        <v/>
      </c>
      <c r="C522" t="inlineStr">
        <is>
          <t>Strategy GTM</t>
        </is>
      </c>
      <c r="D522" t="inlineStr">
        <is>
          <t>Corporate strategy</t>
        </is>
      </c>
      <c r="E522" t="inlineStr">
        <is>
          <t>STRA-004</t>
        </is>
      </c>
      <c r="F522" t="inlineStr">
        <is>
          <t>Strategic and go-to-market resilience</t>
        </is>
      </c>
      <c r="G522">
        <f>IF($H522="","",IFERROR(INDEX('_ENGINE_Risk'!$H$41:$M$920,MATCH($E522,'_ENGINE_Risk'!$A$41:$A$920,0),$H522+1),""))</f>
        <v/>
      </c>
      <c r="H522">
        <f>IFERROR(VALUE(INDEX(_DATA_Assessment_Model!$H$5:$H$884,MATCH($E522,_DATA_Assessment_Model!$A$5:$A$884,0))),"")</f>
        <v/>
      </c>
      <c r="I522">
        <f>IF($H522="","",IFERROR(INDEX(_DATA_Assessment_Model!$L$5:$L$884,MATCH($E522,_DATA_Assessment_Model!$A$5:$A$884,0)),IF($H522&lt;=1,"Critical",IF($H522=2,"High",IF($H522=3,"Medium",IF($H522=4,"Low","Resilient"))))))</f>
        <v/>
      </c>
      <c r="J522">
        <f>IF($H522="","",MIN(5,MAX(1,6-$H522)))</f>
        <v/>
      </c>
      <c r="K522">
        <f>IF($H522="","",MAX(1,MIN(5,ROUNDUP(($U522*0.45)+($W522*0.35)+($X522*0.2),0))))</f>
        <v/>
      </c>
      <c r="L522">
        <f>IF($H522="","",$J522*$K522)</f>
        <v/>
      </c>
      <c r="M522">
        <f>IF($H522="","",MAX(1,MIN(5,ROUNDUP($L522/5,0))))</f>
        <v/>
      </c>
      <c r="N522">
        <f>IF($H522="","",IFERROR(INDEX('_ENGINE_Risk'!$T$41:$Y$920,MATCH($E522,'_ENGINE_Risk'!$A$41:$A$920,0),$H522+1),""))</f>
        <v/>
      </c>
      <c r="O522">
        <f>IF($H522="","",MAX(1,MIN(5,($U522+$V522+$X522)/3)))</f>
        <v/>
      </c>
      <c r="P522">
        <f>IF($H522="","",IF($I522="Critical",5,IF($I522="High",4,IF($I522="Medium",3,IF($I522="Low",2,1)))))</f>
        <v/>
      </c>
      <c r="Q522">
        <f>IF($H522="","",MAX(1,MIN(5,((5-$H522)*0.65)+($W522*0.35))))</f>
        <v/>
      </c>
      <c r="R522">
        <f>IF($H522="","",MAX(1,MIN(5,($V522+$X522)/2)))</f>
        <v/>
      </c>
      <c r="S522">
        <f>IF(OR($H522="",$N522=""),"",ROUND(($O522+$P522+$Q522+$R522)/$N522,2))</f>
        <v/>
      </c>
      <c r="T522">
        <f>IF($H522="","",IFERROR(INDEX('_ENGINE_Risk'!$N$41:$S$920,MATCH($E522,'_ENGINE_Risk'!$A$41:$A$920,0),$H522+1),""))</f>
        <v/>
      </c>
      <c r="U522">
        <f>IFERROR(INDEX(_DATA_Assessment_Model!$G$5:$G$884,MATCH($E522,_DATA_Assessment_Model!$A$5:$A$884,0)),"")</f>
        <v/>
      </c>
      <c r="V522">
        <f>IFERROR(INDEX(_DATA_Assessment_Model!$W$5:$W$884,MATCH($E522,_DATA_Assessment_Model!$A$5:$A$884,0)),"")</f>
        <v/>
      </c>
      <c r="W522">
        <f>IFERROR(INDEX(_DATA_Assessment_Model!$X$5:$X$884,MATCH($E522,_DATA_Assessment_Model!$A$5:$A$884,0)),"")</f>
        <v/>
      </c>
      <c r="X522">
        <f>IFERROR(INDEX(_DATA_Assessment_Model!$Y$5:$Y$884,MATCH($E522,_DATA_Assessment_Model!$A$5:$A$884,0)),"")</f>
        <v/>
      </c>
      <c r="Y522" t="inlineStr">
        <is>
          <t>Demand shock; Financial liquidity crisis; Reputation crisis</t>
        </is>
      </c>
      <c r="Z522" t="inlineStr">
        <is>
          <t>CEO / CSO / CCO</t>
        </is>
      </c>
      <c r="AA522" t="inlineStr">
        <is>
          <t>Policy/SOP; owner/RACI; system report; dashboard; contracts; test records; incident history; interview evidence related to strategic priorities ranked by business value, urgency, risk and resource constraints.</t>
        </is>
      </c>
      <c r="AB522">
        <f>IFERROR(INDEX(_DATA_Assessment_Model!$U$5:$U$884,MATCH($E522,_DATA_Assessment_Model!$A$5:$A$884,0)),"")</f>
        <v/>
      </c>
      <c r="AF522" t="inlineStr">
        <is>
          <t>How mature is the organization in managing strategic priorities ranked by business value, urgency, risk and resource constraints, including ownership, evidence, metrics, fallback procedures and crisis stress testing?</t>
        </is>
      </c>
      <c r="AO522">
        <f>IF($B522="Yes",IFERROR(INDEX(_ENGINE_Crisis!$F$501:$F$517,MATCH($C522,_ENGINE_Crisis!$A$501:$A$517,0)),1),"")</f>
        <v/>
      </c>
      <c r="AP522">
        <f>IF(AO522="","",ROUND($L522*AO522,1))</f>
        <v/>
      </c>
      <c r="AQ522">
        <f>IF(OR(AO522="",$S522=""),"",ROUND($S522*(0.7+0.3*AO522),2))</f>
        <v/>
      </c>
      <c r="AR522">
        <f>IFERROR(INDEX(_ENGINE_Crisis!$E$41:$E$700,MATCH('Resilience &amp; Risk Scenario'!$B$60&amp;"|"&amp;$C522,_ENGINE_Crisis!$I$41:$I$700,0)),"")</f>
        <v/>
      </c>
      <c r="AS522">
        <f>IFERROR(INDEX(_ENGINE_Crisis!$G$41:$G$700,MATCH('Resilience &amp; Risk Scenario'!$B$60&amp;"|"&amp;$C522,_ENGINE_Crisis!$I$41:$I$700,0)),"")</f>
        <v/>
      </c>
      <c r="AT522">
        <f>IFERROR(INDEX(_ENGINE_Initiatives!$A$5:$A$532,MATCH(1,INDEX((_ENGINE_Initiatives!$B$5:$B$532=$C522)*(_ENGINE_Initiatives!$C$5:$C$532=$D522),0),0)),"")</f>
        <v/>
      </c>
      <c r="AU522">
        <f>IFERROR(INDEX(_ENGINE_Initiatives!$F$5:$F$532,MATCH(1,INDEX((_ENGINE_Initiatives!$B$5:$B$532=$C522)*(_ENGINE_Initiatives!$C$5:$C$532=$D522),0),0)),"")</f>
        <v/>
      </c>
      <c r="AV522">
        <f>IFERROR(INDEX(_ENGINE_Initiatives!$AC$5:$AC$532,MATCH(1,INDEX((_ENGINE_Initiatives!$B$5:$B$532=$C522)*(_ENGINE_Initiatives!$C$5:$C$532=$D522),0),0)),"")</f>
        <v/>
      </c>
      <c r="AW522">
        <f>IFERROR(INDEX(_ENGINE_Initiatives!$AE$5:$AE$532,MATCH(1,INDEX((_ENGINE_Initiatives!$B$5:$B$532=$C522)*(_ENGINE_Initiatives!$C$5:$C$532=$D522),0),0)),"")</f>
        <v/>
      </c>
      <c r="AX522">
        <f>IF($B522="Yes",IFERROR(IF(SUMIFS(_REF_Model_Content!$E$1:$E$613,_REF_Model_Content!$A$1:$A$613,'Company Profile'!$B$9,_REF_Model_Content!$B$1:$B$613,$C522)=0,1,SUMIFS(_REF_Model_Content!$E$1:$E$613,_REF_Model_Content!$A$1:$A$613,'Company Profile'!$B$9,_REF_Model_Content!$B$1:$B$613,$C522)),1),"")</f>
        <v/>
      </c>
      <c r="AY522">
        <f>IF($L522="","",ROUND(IF($AP522="",$L522,$AP522)*IF($AX522="",1,$AX522),2))</f>
        <v/>
      </c>
      <c r="AZ522">
        <f>IF($S522="","",ROUND(IF($AQ522="",$S522,$AQ522)*IF($AX522="",1,$AX522),2))</f>
        <v/>
      </c>
      <c r="BB522">
        <f>IF($H522="","",IFERROR(INDEX('_ENGINE_Risk'!$AE$41:$AE$920,MATCH($E522,'_ENGINE_Risk'!$A$41:$A$920,0)),"Medium"))</f>
        <v/>
      </c>
      <c r="BC522">
        <f>IF($BB522="","",IF($BB522="Fast",1.25,IF($BB522="Slow",0.85,1)))</f>
        <v/>
      </c>
      <c r="BD522">
        <f>IF(OR($AZ522="",$BC522=""),"",ROUND($AZ522*$BC522,2))</f>
        <v/>
      </c>
      <c r="BF522">
        <f>IF(OR($H522="",$J522=""),"",_xlfn.IFNA(VLOOKUP($J522,_CONFIG_Model_Settings!$D$610:$E$614,2,0),""))</f>
        <v/>
      </c>
      <c r="BG522">
        <f>IF(OR($H522="",$K522=""),"",ROUND('Company Profile'!$B$569*INDEX(_CONFIG_Model_Settings!$H$610:$H$614,MATCH($K522,_CONFIG_Model_Settings!$G$610:$G$614,0)),0))</f>
        <v/>
      </c>
      <c r="BH522">
        <f>IF(OR($BF522="",$BG522=""),"",ROUND($BF522*$BG522,1))</f>
        <v/>
      </c>
      <c r="BI522">
        <f>IF($BH522="","",IF($AO522="",$BH522,ROUND($BH522*$AO522,1)))</f>
        <v/>
      </c>
      <c r="BJ522">
        <f>IF($E522="","",IFERROR(VLOOKUP($C522,'_CONFIG_Risk_Calibration'!$A$5:$H$21,2,FALSE),3))</f>
        <v/>
      </c>
      <c r="BK522">
        <f>IF($E522="","",IFERROR(VLOOKUP($C522,'_CONFIG_Risk_Calibration'!$A$5:$H$21,3,FALSE),0))</f>
        <v/>
      </c>
      <c r="BL522">
        <f>IF($E522="","",IFERROR(VLOOKUP($C522,'_CONFIG_Risk_Calibration'!$A$5:$H$21,4,FALSE),3))</f>
        <v/>
      </c>
      <c r="BM522">
        <f>IF($E522="","",IFERROR(VLOOKUP($C522,'_CONFIG_Risk_Calibration'!$A$5:$H$21,5,FALSE),3))</f>
        <v/>
      </c>
      <c r="BN522">
        <f>IF($E522="","",IFERROR(VLOOKUP($C522,'_CONFIG_Risk_Calibration'!$A$5:$H$21,6,FALSE),"No"))</f>
        <v/>
      </c>
      <c r="BO522">
        <f>IF($E522="","",IFERROR(VLOOKUP($C522,'_CONFIG_Risk_Calibration'!$A$5:$H$21,7,FALSE),1))</f>
        <v/>
      </c>
      <c r="BP522">
        <f>IF($H522="","",MAX(1,MIN(5,((6-$H522)*0.45)+($BJ522*0.20)+('Resilience &amp; Risk Scenario'!$B$7*0.15)+($BK522*0.10)+($BL522*0.05)+(IF($BB522="Fast",5,IF($BB522="Slow",1,3))*0.05))))</f>
        <v/>
      </c>
      <c r="BQ522">
        <f>IF($H522="","",MAX(IF($BN522="Yes",$BO522,1),MIN(5,($U522*0.20)+($V522*0.15)+($W522*0.25)+($X522*0.15)+($BJ522*0.10)+($BM522*0.15))))</f>
        <v/>
      </c>
      <c r="BR522">
        <f>IF(OR($BP522="",$BQ522=""),"",ROUND($BP522*$BQ522,2))</f>
        <v/>
      </c>
      <c r="BS522">
        <f>IF($BR522="","",ROUND($BR522*IF($AO522="",1,$AO522)*IF($AX522="",1,$AX522)*(1+(($BM522-3)*0.10))*IF($BC522="",1,$BC522),2))</f>
        <v/>
      </c>
    </row>
    <row r="523" ht="69.90000000000001" customHeight="1" s="209">
      <c r="A523">
        <f>IF($BD523="","",SUMPRODUCT(ISNUMBER($BD$500:$BD$923)*($BD$500:$BD$923&gt;$BD523))+COUNTIF($BD$500:$BD523,$BD523))</f>
        <v/>
      </c>
      <c r="B523">
        <f>IF($H523="","",IF($H523&lt;5,"Yes","Maintain"))</f>
        <v/>
      </c>
      <c r="C523" t="inlineStr">
        <is>
          <t>Strategy GTM</t>
        </is>
      </c>
      <c r="D523" t="inlineStr">
        <is>
          <t>Corporate strategy</t>
        </is>
      </c>
      <c r="E523" t="inlineStr">
        <is>
          <t>STRA-005</t>
        </is>
      </c>
      <c r="F523" t="inlineStr">
        <is>
          <t>Strategic and go-to-market resilience</t>
        </is>
      </c>
      <c r="G523">
        <f>IF($H523="","",IFERROR(INDEX('_ENGINE_Risk'!$H$41:$M$920,MATCH($E523,'_ENGINE_Risk'!$A$41:$A$920,0),$H523+1),""))</f>
        <v/>
      </c>
      <c r="H523">
        <f>IFERROR(VALUE(INDEX(_DATA_Assessment_Model!$H$5:$H$884,MATCH($E523,_DATA_Assessment_Model!$A$5:$A$884,0))),"")</f>
        <v/>
      </c>
      <c r="I523">
        <f>IF($H523="","",IFERROR(INDEX(_DATA_Assessment_Model!$L$5:$L$884,MATCH($E523,_DATA_Assessment_Model!$A$5:$A$884,0)),IF($H523&lt;=1,"Critical",IF($H523=2,"High",IF($H523=3,"Medium",IF($H523=4,"Low","Resilient"))))))</f>
        <v/>
      </c>
      <c r="J523">
        <f>IF($H523="","",MIN(5,MAX(1,6-$H523)))</f>
        <v/>
      </c>
      <c r="K523">
        <f>IF($H523="","",MAX(1,MIN(5,ROUNDUP(($U523*0.45)+($W523*0.35)+($X523*0.2),0))))</f>
        <v/>
      </c>
      <c r="L523">
        <f>IF($H523="","",$J523*$K523)</f>
        <v/>
      </c>
      <c r="M523">
        <f>IF($H523="","",MAX(1,MIN(5,ROUNDUP($L523/5,0))))</f>
        <v/>
      </c>
      <c r="N523">
        <f>IF($H523="","",IFERROR(INDEX('_ENGINE_Risk'!$T$41:$Y$920,MATCH($E523,'_ENGINE_Risk'!$A$41:$A$920,0),$H523+1),""))</f>
        <v/>
      </c>
      <c r="O523">
        <f>IF($H523="","",MAX(1,MIN(5,($U523+$V523+$X523)/3)))</f>
        <v/>
      </c>
      <c r="P523">
        <f>IF($H523="","",IF($I523="Critical",5,IF($I523="High",4,IF($I523="Medium",3,IF($I523="Low",2,1)))))</f>
        <v/>
      </c>
      <c r="Q523">
        <f>IF($H523="","",MAX(1,MIN(5,((5-$H523)*0.65)+($W523*0.35))))</f>
        <v/>
      </c>
      <c r="R523">
        <f>IF($H523="","",MAX(1,MIN(5,($V523+$X523)/2)))</f>
        <v/>
      </c>
      <c r="S523">
        <f>IF(OR($H523="",$N523=""),"",ROUND(($O523+$P523+$Q523+$R523)/$N523,2))</f>
        <v/>
      </c>
      <c r="T523">
        <f>IF($H523="","",IFERROR(INDEX('_ENGINE_Risk'!$N$41:$S$920,MATCH($E523,'_ENGINE_Risk'!$A$41:$A$920,0),$H523+1),""))</f>
        <v/>
      </c>
      <c r="U523">
        <f>IFERROR(INDEX(_DATA_Assessment_Model!$G$5:$G$884,MATCH($E523,_DATA_Assessment_Model!$A$5:$A$884,0)),"")</f>
        <v/>
      </c>
      <c r="V523">
        <f>IFERROR(INDEX(_DATA_Assessment_Model!$W$5:$W$884,MATCH($E523,_DATA_Assessment_Model!$A$5:$A$884,0)),"")</f>
        <v/>
      </c>
      <c r="W523">
        <f>IFERROR(INDEX(_DATA_Assessment_Model!$X$5:$X$884,MATCH($E523,_DATA_Assessment_Model!$A$5:$A$884,0)),"")</f>
        <v/>
      </c>
      <c r="X523">
        <f>IFERROR(INDEX(_DATA_Assessment_Model!$Y$5:$Y$884,MATCH($E523,_DATA_Assessment_Model!$A$5:$A$884,0)),"")</f>
        <v/>
      </c>
      <c r="Y523" t="inlineStr">
        <is>
          <t>Demand shock; Financial liquidity crisis; Reputation crisis</t>
        </is>
      </c>
      <c r="Z523" t="inlineStr">
        <is>
          <t>CEO / CSO / CCO</t>
        </is>
      </c>
      <c r="AA523" t="inlineStr">
        <is>
          <t>Policy/SOP; owner/RACI; system report; dashboard; contracts; test records; incident history; interview evidence related to strategic options for pivoting under demand shock, war, regulation, supply or liquidity crisis.</t>
        </is>
      </c>
      <c r="AB523">
        <f>IFERROR(INDEX(_DATA_Assessment_Model!$U$5:$U$884,MATCH($E523,_DATA_Assessment_Model!$A$5:$A$884,0)),"")</f>
        <v/>
      </c>
      <c r="AF523" t="inlineStr">
        <is>
          <t>How mature is the organization in managing strategic options for pivoting under demand shock, war, regulation, supply or liquidity crisis, including ownership, evidence, metrics, fallback procedures and crisis stress testing?</t>
        </is>
      </c>
      <c r="AO523">
        <f>IF($B523="Yes",IFERROR(INDEX(_ENGINE_Crisis!$F$501:$F$517,MATCH($C523,_ENGINE_Crisis!$A$501:$A$517,0)),1),"")</f>
        <v/>
      </c>
      <c r="AP523">
        <f>IF(AO523="","",ROUND($L523*AO523,1))</f>
        <v/>
      </c>
      <c r="AQ523">
        <f>IF(OR(AO523="",$S523=""),"",ROUND($S523*(0.7+0.3*AO523),2))</f>
        <v/>
      </c>
      <c r="AR523">
        <f>IFERROR(INDEX(_ENGINE_Crisis!$E$41:$E$700,MATCH('Resilience &amp; Risk Scenario'!$B$60&amp;"|"&amp;$C523,_ENGINE_Crisis!$I$41:$I$700,0)),"")</f>
        <v/>
      </c>
      <c r="AS523">
        <f>IFERROR(INDEX(_ENGINE_Crisis!$G$41:$G$700,MATCH('Resilience &amp; Risk Scenario'!$B$60&amp;"|"&amp;$C523,_ENGINE_Crisis!$I$41:$I$700,0)),"")</f>
        <v/>
      </c>
      <c r="AT523">
        <f>IFERROR(INDEX(_ENGINE_Initiatives!$A$5:$A$532,MATCH(1,INDEX((_ENGINE_Initiatives!$B$5:$B$532=$C523)*(_ENGINE_Initiatives!$C$5:$C$532=$D523),0),0)),"")</f>
        <v/>
      </c>
      <c r="AU523">
        <f>IFERROR(INDEX(_ENGINE_Initiatives!$F$5:$F$532,MATCH(1,INDEX((_ENGINE_Initiatives!$B$5:$B$532=$C523)*(_ENGINE_Initiatives!$C$5:$C$532=$D523),0),0)),"")</f>
        <v/>
      </c>
      <c r="AV523">
        <f>IFERROR(INDEX(_ENGINE_Initiatives!$AC$5:$AC$532,MATCH(1,INDEX((_ENGINE_Initiatives!$B$5:$B$532=$C523)*(_ENGINE_Initiatives!$C$5:$C$532=$D523),0),0)),"")</f>
        <v/>
      </c>
      <c r="AW523">
        <f>IFERROR(INDEX(_ENGINE_Initiatives!$AE$5:$AE$532,MATCH(1,INDEX((_ENGINE_Initiatives!$B$5:$B$532=$C523)*(_ENGINE_Initiatives!$C$5:$C$532=$D523),0),0)),"")</f>
        <v/>
      </c>
      <c r="AX523">
        <f>IF($B523="Yes",IFERROR(IF(SUMIFS(_REF_Model_Content!$E$1:$E$613,_REF_Model_Content!$A$1:$A$613,'Company Profile'!$B$9,_REF_Model_Content!$B$1:$B$613,$C523)=0,1,SUMIFS(_REF_Model_Content!$E$1:$E$613,_REF_Model_Content!$A$1:$A$613,'Company Profile'!$B$9,_REF_Model_Content!$B$1:$B$613,$C523)),1),"")</f>
        <v/>
      </c>
      <c r="AY523">
        <f>IF($L523="","",ROUND(IF($AP523="",$L523,$AP523)*IF($AX523="",1,$AX523),2))</f>
        <v/>
      </c>
      <c r="AZ523">
        <f>IF($S523="","",ROUND(IF($AQ523="",$S523,$AQ523)*IF($AX523="",1,$AX523),2))</f>
        <v/>
      </c>
      <c r="BB523">
        <f>IF($H523="","",IFERROR(INDEX('_ENGINE_Risk'!$AE$41:$AE$920,MATCH($E523,'_ENGINE_Risk'!$A$41:$A$920,0)),"Medium"))</f>
        <v/>
      </c>
      <c r="BC523">
        <f>IF($BB523="","",IF($BB523="Fast",1.25,IF($BB523="Slow",0.85,1)))</f>
        <v/>
      </c>
      <c r="BD523">
        <f>IF(OR($AZ523="",$BC523=""),"",ROUND($AZ523*$BC523,2))</f>
        <v/>
      </c>
      <c r="BF523">
        <f>IF(OR($H523="",$J523=""),"",_xlfn.IFNA(VLOOKUP($J523,_CONFIG_Model_Settings!$D$610:$E$614,2,0),""))</f>
        <v/>
      </c>
      <c r="BG523">
        <f>IF(OR($H523="",$K523=""),"",ROUND('Company Profile'!$B$569*INDEX(_CONFIG_Model_Settings!$H$610:$H$614,MATCH($K523,_CONFIG_Model_Settings!$G$610:$G$614,0)),0))</f>
        <v/>
      </c>
      <c r="BH523">
        <f>IF(OR($BF523="",$BG523=""),"",ROUND($BF523*$BG523,1))</f>
        <v/>
      </c>
      <c r="BI523">
        <f>IF($BH523="","",IF($AO523="",$BH523,ROUND($BH523*$AO523,1)))</f>
        <v/>
      </c>
      <c r="BJ523">
        <f>IF($E523="","",IFERROR(VLOOKUP($C523,'_CONFIG_Risk_Calibration'!$A$5:$H$21,2,FALSE),3))</f>
        <v/>
      </c>
      <c r="BK523">
        <f>IF($E523="","",IFERROR(VLOOKUP($C523,'_CONFIG_Risk_Calibration'!$A$5:$H$21,3,FALSE),0))</f>
        <v/>
      </c>
      <c r="BL523">
        <f>IF($E523="","",IFERROR(VLOOKUP($C523,'_CONFIG_Risk_Calibration'!$A$5:$H$21,4,FALSE),3))</f>
        <v/>
      </c>
      <c r="BM523">
        <f>IF($E523="","",IFERROR(VLOOKUP($C523,'_CONFIG_Risk_Calibration'!$A$5:$H$21,5,FALSE),3))</f>
        <v/>
      </c>
      <c r="BN523">
        <f>IF($E523="","",IFERROR(VLOOKUP($C523,'_CONFIG_Risk_Calibration'!$A$5:$H$21,6,FALSE),"No"))</f>
        <v/>
      </c>
      <c r="BO523">
        <f>IF($E523="","",IFERROR(VLOOKUP($C523,'_CONFIG_Risk_Calibration'!$A$5:$H$21,7,FALSE),1))</f>
        <v/>
      </c>
      <c r="BP523">
        <f>IF($H523="","",MAX(1,MIN(5,((6-$H523)*0.45)+($BJ523*0.20)+('Resilience &amp; Risk Scenario'!$B$7*0.15)+($BK523*0.10)+($BL523*0.05)+(IF($BB523="Fast",5,IF($BB523="Slow",1,3))*0.05))))</f>
        <v/>
      </c>
      <c r="BQ523">
        <f>IF($H523="","",MAX(IF($BN523="Yes",$BO523,1),MIN(5,($U523*0.20)+($V523*0.15)+($W523*0.25)+($X523*0.15)+($BJ523*0.10)+($BM523*0.15))))</f>
        <v/>
      </c>
      <c r="BR523">
        <f>IF(OR($BP523="",$BQ523=""),"",ROUND($BP523*$BQ523,2))</f>
        <v/>
      </c>
      <c r="BS523">
        <f>IF($BR523="","",ROUND($BR523*IF($AO523="",1,$AO523)*IF($AX523="",1,$AX523)*(1+(($BM523-3)*0.10))*IF($BC523="",1,$BC523),2))</f>
        <v/>
      </c>
    </row>
    <row r="524" ht="69.90000000000001" customHeight="1" s="209">
      <c r="A524">
        <f>IF($BD524="","",SUMPRODUCT(ISNUMBER($BD$500:$BD$923)*($BD$500:$BD$923&gt;$BD524))+COUNTIF($BD$500:$BD524,$BD524))</f>
        <v/>
      </c>
      <c r="B524">
        <f>IF($H524="","",IF($H524&lt;5,"Yes","Maintain"))</f>
        <v/>
      </c>
      <c r="C524" t="inlineStr">
        <is>
          <t>Strategy GTM</t>
        </is>
      </c>
      <c r="D524" t="inlineStr">
        <is>
          <t>Corporate strategy</t>
        </is>
      </c>
      <c r="E524" t="inlineStr">
        <is>
          <t>STRA-006</t>
        </is>
      </c>
      <c r="F524" t="inlineStr">
        <is>
          <t>Strategic and go-to-market resilience</t>
        </is>
      </c>
      <c r="G524">
        <f>IF($H524="","",IFERROR(INDEX('_ENGINE_Risk'!$H$41:$M$920,MATCH($E524,'_ENGINE_Risk'!$A$41:$A$920,0),$H524+1),""))</f>
        <v/>
      </c>
      <c r="H524">
        <f>IFERROR(VALUE(INDEX(_DATA_Assessment_Model!$H$5:$H$884,MATCH($E524,_DATA_Assessment_Model!$A$5:$A$884,0))),"")</f>
        <v/>
      </c>
      <c r="I524">
        <f>IF($H524="","",IFERROR(INDEX(_DATA_Assessment_Model!$L$5:$L$884,MATCH($E524,_DATA_Assessment_Model!$A$5:$A$884,0)),IF($H524&lt;=1,"Critical",IF($H524=2,"High",IF($H524=3,"Medium",IF($H524=4,"Low","Resilient"))))))</f>
        <v/>
      </c>
      <c r="J524">
        <f>IF($H524="","",MIN(5,MAX(1,6-$H524)))</f>
        <v/>
      </c>
      <c r="K524">
        <f>IF($H524="","",MAX(1,MIN(5,ROUNDUP(($U524*0.45)+($W524*0.35)+($X524*0.2),0))))</f>
        <v/>
      </c>
      <c r="L524">
        <f>IF($H524="","",$J524*$K524)</f>
        <v/>
      </c>
      <c r="M524">
        <f>IF($H524="","",MAX(1,MIN(5,ROUNDUP($L524/5,0))))</f>
        <v/>
      </c>
      <c r="N524">
        <f>IF($H524="","",IFERROR(INDEX('_ENGINE_Risk'!$T$41:$Y$920,MATCH($E524,'_ENGINE_Risk'!$A$41:$A$920,0),$H524+1),""))</f>
        <v/>
      </c>
      <c r="O524">
        <f>IF($H524="","",MAX(1,MIN(5,($U524+$V524+$X524)/3)))</f>
        <v/>
      </c>
      <c r="P524">
        <f>IF($H524="","",IF($I524="Critical",5,IF($I524="High",4,IF($I524="Medium",3,IF($I524="Low",2,1)))))</f>
        <v/>
      </c>
      <c r="Q524">
        <f>IF($H524="","",MAX(1,MIN(5,((5-$H524)*0.65)+($W524*0.35))))</f>
        <v/>
      </c>
      <c r="R524">
        <f>IF($H524="","",MAX(1,MIN(5,($V524+$X524)/2)))</f>
        <v/>
      </c>
      <c r="S524">
        <f>IF(OR($H524="",$N524=""),"",ROUND(($O524+$P524+$Q524+$R524)/$N524,2))</f>
        <v/>
      </c>
      <c r="T524">
        <f>IF($H524="","",IFERROR(INDEX('_ENGINE_Risk'!$N$41:$S$920,MATCH($E524,'_ENGINE_Risk'!$A$41:$A$920,0),$H524+1),""))</f>
        <v/>
      </c>
      <c r="U524">
        <f>IFERROR(INDEX(_DATA_Assessment_Model!$G$5:$G$884,MATCH($E524,_DATA_Assessment_Model!$A$5:$A$884,0)),"")</f>
        <v/>
      </c>
      <c r="V524">
        <f>IFERROR(INDEX(_DATA_Assessment_Model!$W$5:$W$884,MATCH($E524,_DATA_Assessment_Model!$A$5:$A$884,0)),"")</f>
        <v/>
      </c>
      <c r="W524">
        <f>IFERROR(INDEX(_DATA_Assessment_Model!$X$5:$X$884,MATCH($E524,_DATA_Assessment_Model!$A$5:$A$884,0)),"")</f>
        <v/>
      </c>
      <c r="X524">
        <f>IFERROR(INDEX(_DATA_Assessment_Model!$Y$5:$Y$884,MATCH($E524,_DATA_Assessment_Model!$A$5:$A$884,0)),"")</f>
        <v/>
      </c>
      <c r="Y524" t="inlineStr">
        <is>
          <t>Demand shock; Financial liquidity crisis; Reputation crisis</t>
        </is>
      </c>
      <c r="Z524" t="inlineStr">
        <is>
          <t>CEO / CSO / CCO</t>
        </is>
      </c>
      <c r="AA524" t="inlineStr">
        <is>
          <t>Policy/SOP; owner/RACI; system report; dashboard; contracts; test records; incident history; interview evidence related to alignment between strategy, structure, systems, skills, staff, leadership style and culture.</t>
        </is>
      </c>
      <c r="AB524">
        <f>IFERROR(INDEX(_DATA_Assessment_Model!$U$5:$U$884,MATCH($E524,_DATA_Assessment_Model!$A$5:$A$884,0)),"")</f>
        <v/>
      </c>
      <c r="AF524" t="inlineStr">
        <is>
          <t>How mature is the organization in managing alignment between strategy, structure, systems, skills, staff, leadership style and culture, including ownership, evidence, metrics, fallback procedures and crisis stress testing?</t>
        </is>
      </c>
      <c r="AO524">
        <f>IF($B524="Yes",IFERROR(INDEX(_ENGINE_Crisis!$F$501:$F$517,MATCH($C524,_ENGINE_Crisis!$A$501:$A$517,0)),1),"")</f>
        <v/>
      </c>
      <c r="AP524">
        <f>IF(AO524="","",ROUND($L524*AO524,1))</f>
        <v/>
      </c>
      <c r="AQ524">
        <f>IF(OR(AO524="",$S524=""),"",ROUND($S524*(0.7+0.3*AO524),2))</f>
        <v/>
      </c>
      <c r="AR524">
        <f>IFERROR(INDEX(_ENGINE_Crisis!$E$41:$E$700,MATCH('Resilience &amp; Risk Scenario'!$B$60&amp;"|"&amp;$C524,_ENGINE_Crisis!$I$41:$I$700,0)),"")</f>
        <v/>
      </c>
      <c r="AS524">
        <f>IFERROR(INDEX(_ENGINE_Crisis!$G$41:$G$700,MATCH('Resilience &amp; Risk Scenario'!$B$60&amp;"|"&amp;$C524,_ENGINE_Crisis!$I$41:$I$700,0)),"")</f>
        <v/>
      </c>
      <c r="AT524">
        <f>IFERROR(INDEX(_ENGINE_Initiatives!$A$5:$A$532,MATCH(1,INDEX((_ENGINE_Initiatives!$B$5:$B$532=$C524)*(_ENGINE_Initiatives!$C$5:$C$532=$D524),0),0)),"")</f>
        <v/>
      </c>
      <c r="AU524">
        <f>IFERROR(INDEX(_ENGINE_Initiatives!$F$5:$F$532,MATCH(1,INDEX((_ENGINE_Initiatives!$B$5:$B$532=$C524)*(_ENGINE_Initiatives!$C$5:$C$532=$D524),0),0)),"")</f>
        <v/>
      </c>
      <c r="AV524">
        <f>IFERROR(INDEX(_ENGINE_Initiatives!$AC$5:$AC$532,MATCH(1,INDEX((_ENGINE_Initiatives!$B$5:$B$532=$C524)*(_ENGINE_Initiatives!$C$5:$C$532=$D524),0),0)),"")</f>
        <v/>
      </c>
      <c r="AW524">
        <f>IFERROR(INDEX(_ENGINE_Initiatives!$AE$5:$AE$532,MATCH(1,INDEX((_ENGINE_Initiatives!$B$5:$B$532=$C524)*(_ENGINE_Initiatives!$C$5:$C$532=$D524),0),0)),"")</f>
        <v/>
      </c>
      <c r="AX524">
        <f>IF($B524="Yes",IFERROR(IF(SUMIFS(_REF_Model_Content!$E$1:$E$613,_REF_Model_Content!$A$1:$A$613,'Company Profile'!$B$9,_REF_Model_Content!$B$1:$B$613,$C524)=0,1,SUMIFS(_REF_Model_Content!$E$1:$E$613,_REF_Model_Content!$A$1:$A$613,'Company Profile'!$B$9,_REF_Model_Content!$B$1:$B$613,$C524)),1),"")</f>
        <v/>
      </c>
      <c r="AY524">
        <f>IF($L524="","",ROUND(IF($AP524="",$L524,$AP524)*IF($AX524="",1,$AX524),2))</f>
        <v/>
      </c>
      <c r="AZ524">
        <f>IF($S524="","",ROUND(IF($AQ524="",$S524,$AQ524)*IF($AX524="",1,$AX524),2))</f>
        <v/>
      </c>
      <c r="BB524">
        <f>IF($H524="","",IFERROR(INDEX('_ENGINE_Risk'!$AE$41:$AE$920,MATCH($E524,'_ENGINE_Risk'!$A$41:$A$920,0)),"Medium"))</f>
        <v/>
      </c>
      <c r="BC524">
        <f>IF($BB524="","",IF($BB524="Fast",1.25,IF($BB524="Slow",0.85,1)))</f>
        <v/>
      </c>
      <c r="BD524">
        <f>IF(OR($AZ524="",$BC524=""),"",ROUND($AZ524*$BC524,2))</f>
        <v/>
      </c>
      <c r="BF524">
        <f>IF(OR($H524="",$J524=""),"",_xlfn.IFNA(VLOOKUP($J524,_CONFIG_Model_Settings!$D$610:$E$614,2,0),""))</f>
        <v/>
      </c>
      <c r="BG524">
        <f>IF(OR($H524="",$K524=""),"",ROUND('Company Profile'!$B$569*INDEX(_CONFIG_Model_Settings!$H$610:$H$614,MATCH($K524,_CONFIG_Model_Settings!$G$610:$G$614,0)),0))</f>
        <v/>
      </c>
      <c r="BH524">
        <f>IF(OR($BF524="",$BG524=""),"",ROUND($BF524*$BG524,1))</f>
        <v/>
      </c>
      <c r="BI524">
        <f>IF($BH524="","",IF($AO524="",$BH524,ROUND($BH524*$AO524,1)))</f>
        <v/>
      </c>
      <c r="BJ524">
        <f>IF($E524="","",IFERROR(VLOOKUP($C524,'_CONFIG_Risk_Calibration'!$A$5:$H$21,2,FALSE),3))</f>
        <v/>
      </c>
      <c r="BK524">
        <f>IF($E524="","",IFERROR(VLOOKUP($C524,'_CONFIG_Risk_Calibration'!$A$5:$H$21,3,FALSE),0))</f>
        <v/>
      </c>
      <c r="BL524">
        <f>IF($E524="","",IFERROR(VLOOKUP($C524,'_CONFIG_Risk_Calibration'!$A$5:$H$21,4,FALSE),3))</f>
        <v/>
      </c>
      <c r="BM524">
        <f>IF($E524="","",IFERROR(VLOOKUP($C524,'_CONFIG_Risk_Calibration'!$A$5:$H$21,5,FALSE),3))</f>
        <v/>
      </c>
      <c r="BN524">
        <f>IF($E524="","",IFERROR(VLOOKUP($C524,'_CONFIG_Risk_Calibration'!$A$5:$H$21,6,FALSE),"No"))</f>
        <v/>
      </c>
      <c r="BO524">
        <f>IF($E524="","",IFERROR(VLOOKUP($C524,'_CONFIG_Risk_Calibration'!$A$5:$H$21,7,FALSE),1))</f>
        <v/>
      </c>
      <c r="BP524">
        <f>IF($H524="","",MAX(1,MIN(5,((6-$H524)*0.45)+($BJ524*0.20)+('Resilience &amp; Risk Scenario'!$B$7*0.15)+($BK524*0.10)+($BL524*0.05)+(IF($BB524="Fast",5,IF($BB524="Slow",1,3))*0.05))))</f>
        <v/>
      </c>
      <c r="BQ524">
        <f>IF($H524="","",MAX(IF($BN524="Yes",$BO524,1),MIN(5,($U524*0.20)+($V524*0.15)+($W524*0.25)+($X524*0.15)+($BJ524*0.10)+($BM524*0.15))))</f>
        <v/>
      </c>
      <c r="BR524">
        <f>IF(OR($BP524="",$BQ524=""),"",ROUND($BP524*$BQ524,2))</f>
        <v/>
      </c>
      <c r="BS524">
        <f>IF($BR524="","",ROUND($BR524*IF($AO524="",1,$AO524)*IF($AX524="",1,$AX524)*(1+(($BM524-3)*0.10))*IF($BC524="",1,$BC524),2))</f>
        <v/>
      </c>
    </row>
    <row r="525" ht="69.90000000000001" customHeight="1" s="209">
      <c r="A525">
        <f>IF($BD525="","",SUMPRODUCT(ISNUMBER($BD$500:$BD$923)*($BD$500:$BD$923&gt;$BD525))+COUNTIF($BD$500:$BD525,$BD525))</f>
        <v/>
      </c>
      <c r="B525">
        <f>IF($H525="","",IF($H525&lt;5,"Yes","Maintain"))</f>
        <v/>
      </c>
      <c r="C525" t="inlineStr">
        <is>
          <t>Strategy GTM</t>
        </is>
      </c>
      <c r="D525" t="inlineStr">
        <is>
          <t>Market and ICP</t>
        </is>
      </c>
      <c r="E525" t="inlineStr">
        <is>
          <t>STRA-007</t>
        </is>
      </c>
      <c r="F525" t="inlineStr">
        <is>
          <t>Strategic and go-to-market resilience</t>
        </is>
      </c>
      <c r="G525">
        <f>IF($H525="","",IFERROR(INDEX('_ENGINE_Risk'!$H$41:$M$920,MATCH($E525,'_ENGINE_Risk'!$A$41:$A$920,0),$H525+1),""))</f>
        <v/>
      </c>
      <c r="H525">
        <f>IFERROR(VALUE(INDEX(_DATA_Assessment_Model!$H$5:$H$884,MATCH($E525,_DATA_Assessment_Model!$A$5:$A$884,0))),"")</f>
        <v/>
      </c>
      <c r="I525">
        <f>IF($H525="","",IFERROR(INDEX(_DATA_Assessment_Model!$L$5:$L$884,MATCH($E525,_DATA_Assessment_Model!$A$5:$A$884,0)),IF($H525&lt;=1,"Critical",IF($H525=2,"High",IF($H525=3,"Medium",IF($H525=4,"Low","Resilient"))))))</f>
        <v/>
      </c>
      <c r="J525">
        <f>IF($H525="","",MIN(5,MAX(1,6-$H525)))</f>
        <v/>
      </c>
      <c r="K525">
        <f>IF($H525="","",MAX(1,MIN(5,ROUNDUP(($U525*0.45)+($W525*0.35)+($X525*0.2),0))))</f>
        <v/>
      </c>
      <c r="L525">
        <f>IF($H525="","",$J525*$K525)</f>
        <v/>
      </c>
      <c r="M525">
        <f>IF($H525="","",MAX(1,MIN(5,ROUNDUP($L525/5,0))))</f>
        <v/>
      </c>
      <c r="N525">
        <f>IF($H525="","",IFERROR(INDEX('_ENGINE_Risk'!$T$41:$Y$920,MATCH($E525,'_ENGINE_Risk'!$A$41:$A$920,0),$H525+1),""))</f>
        <v/>
      </c>
      <c r="O525">
        <f>IF($H525="","",MAX(1,MIN(5,($U525+$V525+$X525)/3)))</f>
        <v/>
      </c>
      <c r="P525">
        <f>IF($H525="","",IF($I525="Critical",5,IF($I525="High",4,IF($I525="Medium",3,IF($I525="Low",2,1)))))</f>
        <v/>
      </c>
      <c r="Q525">
        <f>IF($H525="","",MAX(1,MIN(5,((5-$H525)*0.65)+($W525*0.35))))</f>
        <v/>
      </c>
      <c r="R525">
        <f>IF($H525="","",MAX(1,MIN(5,($V525+$X525)/2)))</f>
        <v/>
      </c>
      <c r="S525">
        <f>IF(OR($H525="",$N525=""),"",ROUND(($O525+$P525+$Q525+$R525)/$N525,2))</f>
        <v/>
      </c>
      <c r="T525">
        <f>IF($H525="","",IFERROR(INDEX('_ENGINE_Risk'!$N$41:$S$920,MATCH($E525,'_ENGINE_Risk'!$A$41:$A$920,0),$H525+1),""))</f>
        <v/>
      </c>
      <c r="U525">
        <f>IFERROR(INDEX(_DATA_Assessment_Model!$G$5:$G$884,MATCH($E525,_DATA_Assessment_Model!$A$5:$A$884,0)),"")</f>
        <v/>
      </c>
      <c r="V525">
        <f>IFERROR(INDEX(_DATA_Assessment_Model!$W$5:$W$884,MATCH($E525,_DATA_Assessment_Model!$A$5:$A$884,0)),"")</f>
        <v/>
      </c>
      <c r="W525">
        <f>IFERROR(INDEX(_DATA_Assessment_Model!$X$5:$X$884,MATCH($E525,_DATA_Assessment_Model!$A$5:$A$884,0)),"")</f>
        <v/>
      </c>
      <c r="X525">
        <f>IFERROR(INDEX(_DATA_Assessment_Model!$Y$5:$Y$884,MATCH($E525,_DATA_Assessment_Model!$A$5:$A$884,0)),"")</f>
        <v/>
      </c>
      <c r="Y525" t="inlineStr">
        <is>
          <t>Demand shock; Financial liquidity crisis; Reputation crisis</t>
        </is>
      </c>
      <c r="Z525" t="inlineStr">
        <is>
          <t>CEO / CSO / CCO</t>
        </is>
      </c>
      <c r="AA525" t="inlineStr">
        <is>
          <t>Policy/SOP; owner/RACI; system report; dashboard; contracts; test records; incident history; interview evidence related to ideal customer profile by segment, geography, industry, company size, pain, budget and buying trigger.</t>
        </is>
      </c>
      <c r="AB525">
        <f>IFERROR(INDEX(_DATA_Assessment_Model!$U$5:$U$884,MATCH($E525,_DATA_Assessment_Model!$A$5:$A$884,0)),"")</f>
        <v/>
      </c>
      <c r="AF525" t="inlineStr">
        <is>
          <t>How mature is the organization in managing ideal customer profile by segment, geography, industry, company size, pain, budget and buying trigger, including ownership, evidence, metrics, fallback procedures and crisis stress testing?</t>
        </is>
      </c>
      <c r="AO525">
        <f>IF($B525="Yes",IFERROR(INDEX(_ENGINE_Crisis!$F$501:$F$517,MATCH($C525,_ENGINE_Crisis!$A$501:$A$517,0)),1),"")</f>
        <v/>
      </c>
      <c r="AP525">
        <f>IF(AO525="","",ROUND($L525*AO525,1))</f>
        <v/>
      </c>
      <c r="AQ525">
        <f>IF(OR(AO525="",$S525=""),"",ROUND($S525*(0.7+0.3*AO525),2))</f>
        <v/>
      </c>
      <c r="AR525">
        <f>IFERROR(INDEX(_ENGINE_Crisis!$E$41:$E$700,MATCH('Resilience &amp; Risk Scenario'!$B$60&amp;"|"&amp;$C525,_ENGINE_Crisis!$I$41:$I$700,0)),"")</f>
        <v/>
      </c>
      <c r="AS525">
        <f>IFERROR(INDEX(_ENGINE_Crisis!$G$41:$G$700,MATCH('Resilience &amp; Risk Scenario'!$B$60&amp;"|"&amp;$C525,_ENGINE_Crisis!$I$41:$I$700,0)),"")</f>
        <v/>
      </c>
      <c r="AT525">
        <f>IFERROR(INDEX(_ENGINE_Initiatives!$A$5:$A$532,MATCH(1,INDEX((_ENGINE_Initiatives!$B$5:$B$532=$C525)*(_ENGINE_Initiatives!$C$5:$C$532=$D525),0),0)),"")</f>
        <v/>
      </c>
      <c r="AU525">
        <f>IFERROR(INDEX(_ENGINE_Initiatives!$F$5:$F$532,MATCH(1,INDEX((_ENGINE_Initiatives!$B$5:$B$532=$C525)*(_ENGINE_Initiatives!$C$5:$C$532=$D525),0),0)),"")</f>
        <v/>
      </c>
      <c r="AV525">
        <f>IFERROR(INDEX(_ENGINE_Initiatives!$AC$5:$AC$532,MATCH(1,INDEX((_ENGINE_Initiatives!$B$5:$B$532=$C525)*(_ENGINE_Initiatives!$C$5:$C$532=$D525),0),0)),"")</f>
        <v/>
      </c>
      <c r="AW525">
        <f>IFERROR(INDEX(_ENGINE_Initiatives!$AE$5:$AE$532,MATCH(1,INDEX((_ENGINE_Initiatives!$B$5:$B$532=$C525)*(_ENGINE_Initiatives!$C$5:$C$532=$D525),0),0)),"")</f>
        <v/>
      </c>
      <c r="AX525">
        <f>IF($B525="Yes",IFERROR(IF(SUMIFS(_REF_Model_Content!$E$1:$E$613,_REF_Model_Content!$A$1:$A$613,'Company Profile'!$B$9,_REF_Model_Content!$B$1:$B$613,$C525)=0,1,SUMIFS(_REF_Model_Content!$E$1:$E$613,_REF_Model_Content!$A$1:$A$613,'Company Profile'!$B$9,_REF_Model_Content!$B$1:$B$613,$C525)),1),"")</f>
        <v/>
      </c>
      <c r="AY525">
        <f>IF($L525="","",ROUND(IF($AP525="",$L525,$AP525)*IF($AX525="",1,$AX525),2))</f>
        <v/>
      </c>
      <c r="AZ525">
        <f>IF($S525="","",ROUND(IF($AQ525="",$S525,$AQ525)*IF($AX525="",1,$AX525),2))</f>
        <v/>
      </c>
      <c r="BB525">
        <f>IF($H525="","",IFERROR(INDEX('_ENGINE_Risk'!$AE$41:$AE$920,MATCH($E525,'_ENGINE_Risk'!$A$41:$A$920,0)),"Medium"))</f>
        <v/>
      </c>
      <c r="BC525">
        <f>IF($BB525="","",IF($BB525="Fast",1.25,IF($BB525="Slow",0.85,1)))</f>
        <v/>
      </c>
      <c r="BD525">
        <f>IF(OR($AZ525="",$BC525=""),"",ROUND($AZ525*$BC525,2))</f>
        <v/>
      </c>
      <c r="BF525">
        <f>IF(OR($H525="",$J525=""),"",_xlfn.IFNA(VLOOKUP($J525,_CONFIG_Model_Settings!$D$610:$E$614,2,0),""))</f>
        <v/>
      </c>
      <c r="BG525">
        <f>IF(OR($H525="",$K525=""),"",ROUND('Company Profile'!$B$569*INDEX(_CONFIG_Model_Settings!$H$610:$H$614,MATCH($K525,_CONFIG_Model_Settings!$G$610:$G$614,0)),0))</f>
        <v/>
      </c>
      <c r="BH525">
        <f>IF(OR($BF525="",$BG525=""),"",ROUND($BF525*$BG525,1))</f>
        <v/>
      </c>
      <c r="BI525">
        <f>IF($BH525="","",IF($AO525="",$BH525,ROUND($BH525*$AO525,1)))</f>
        <v/>
      </c>
      <c r="BJ525">
        <f>IF($E525="","",IFERROR(VLOOKUP($C525,'_CONFIG_Risk_Calibration'!$A$5:$H$21,2,FALSE),3))</f>
        <v/>
      </c>
      <c r="BK525">
        <f>IF($E525="","",IFERROR(VLOOKUP($C525,'_CONFIG_Risk_Calibration'!$A$5:$H$21,3,FALSE),0))</f>
        <v/>
      </c>
      <c r="BL525">
        <f>IF($E525="","",IFERROR(VLOOKUP($C525,'_CONFIG_Risk_Calibration'!$A$5:$H$21,4,FALSE),3))</f>
        <v/>
      </c>
      <c r="BM525">
        <f>IF($E525="","",IFERROR(VLOOKUP($C525,'_CONFIG_Risk_Calibration'!$A$5:$H$21,5,FALSE),3))</f>
        <v/>
      </c>
      <c r="BN525">
        <f>IF($E525="","",IFERROR(VLOOKUP($C525,'_CONFIG_Risk_Calibration'!$A$5:$H$21,6,FALSE),"No"))</f>
        <v/>
      </c>
      <c r="BO525">
        <f>IF($E525="","",IFERROR(VLOOKUP($C525,'_CONFIG_Risk_Calibration'!$A$5:$H$21,7,FALSE),1))</f>
        <v/>
      </c>
      <c r="BP525">
        <f>IF($H525="","",MAX(1,MIN(5,((6-$H525)*0.45)+($BJ525*0.20)+('Resilience &amp; Risk Scenario'!$B$7*0.15)+($BK525*0.10)+($BL525*0.05)+(IF($BB525="Fast",5,IF($BB525="Slow",1,3))*0.05))))</f>
        <v/>
      </c>
      <c r="BQ525">
        <f>IF($H525="","",MAX(IF($BN525="Yes",$BO525,1),MIN(5,($U525*0.20)+($V525*0.15)+($W525*0.25)+($X525*0.15)+($BJ525*0.10)+($BM525*0.15))))</f>
        <v/>
      </c>
      <c r="BR525">
        <f>IF(OR($BP525="",$BQ525=""),"",ROUND($BP525*$BQ525,2))</f>
        <v/>
      </c>
      <c r="BS525">
        <f>IF($BR525="","",ROUND($BR525*IF($AO525="",1,$AO525)*IF($AX525="",1,$AX525)*(1+(($BM525-3)*0.10))*IF($BC525="",1,$BC525),2))</f>
        <v/>
      </c>
    </row>
    <row r="526" ht="69.90000000000001" customHeight="1" s="209">
      <c r="A526">
        <f>IF($BD526="","",SUMPRODUCT(ISNUMBER($BD$500:$BD$923)*($BD$500:$BD$923&gt;$BD526))+COUNTIF($BD$500:$BD526,$BD526))</f>
        <v/>
      </c>
      <c r="B526">
        <f>IF($H526="","",IF($H526&lt;5,"Yes","Maintain"))</f>
        <v/>
      </c>
      <c r="C526" t="inlineStr">
        <is>
          <t>Strategy GTM</t>
        </is>
      </c>
      <c r="D526" t="inlineStr">
        <is>
          <t>Market and ICP</t>
        </is>
      </c>
      <c r="E526" t="inlineStr">
        <is>
          <t>STRA-008</t>
        </is>
      </c>
      <c r="F526" t="inlineStr">
        <is>
          <t>Strategic and go-to-market resilience</t>
        </is>
      </c>
      <c r="G526">
        <f>IF($H526="","",IFERROR(INDEX('_ENGINE_Risk'!$H$41:$M$920,MATCH($E526,'_ENGINE_Risk'!$A$41:$A$920,0),$H526+1),""))</f>
        <v/>
      </c>
      <c r="H526">
        <f>IFERROR(VALUE(INDEX(_DATA_Assessment_Model!$H$5:$H$884,MATCH($E526,_DATA_Assessment_Model!$A$5:$A$884,0))),"")</f>
        <v/>
      </c>
      <c r="I526">
        <f>IF($H526="","",IFERROR(INDEX(_DATA_Assessment_Model!$L$5:$L$884,MATCH($E526,_DATA_Assessment_Model!$A$5:$A$884,0)),IF($H526&lt;=1,"Critical",IF($H526=2,"High",IF($H526=3,"Medium",IF($H526=4,"Low","Resilient"))))))</f>
        <v/>
      </c>
      <c r="J526">
        <f>IF($H526="","",MIN(5,MAX(1,6-$H526)))</f>
        <v/>
      </c>
      <c r="K526">
        <f>IF($H526="","",MAX(1,MIN(5,ROUNDUP(($U526*0.45)+($W526*0.35)+($X526*0.2),0))))</f>
        <v/>
      </c>
      <c r="L526">
        <f>IF($H526="","",$J526*$K526)</f>
        <v/>
      </c>
      <c r="M526">
        <f>IF($H526="","",MAX(1,MIN(5,ROUNDUP($L526/5,0))))</f>
        <v/>
      </c>
      <c r="N526">
        <f>IF($H526="","",IFERROR(INDEX('_ENGINE_Risk'!$T$41:$Y$920,MATCH($E526,'_ENGINE_Risk'!$A$41:$A$920,0),$H526+1),""))</f>
        <v/>
      </c>
      <c r="O526">
        <f>IF($H526="","",MAX(1,MIN(5,($U526+$V526+$X526)/3)))</f>
        <v/>
      </c>
      <c r="P526">
        <f>IF($H526="","",IF($I526="Critical",5,IF($I526="High",4,IF($I526="Medium",3,IF($I526="Low",2,1)))))</f>
        <v/>
      </c>
      <c r="Q526">
        <f>IF($H526="","",MAX(1,MIN(5,((5-$H526)*0.65)+($W526*0.35))))</f>
        <v/>
      </c>
      <c r="R526">
        <f>IF($H526="","",MAX(1,MIN(5,($V526+$X526)/2)))</f>
        <v/>
      </c>
      <c r="S526">
        <f>IF(OR($H526="",$N526=""),"",ROUND(($O526+$P526+$Q526+$R526)/$N526,2))</f>
        <v/>
      </c>
      <c r="T526">
        <f>IF($H526="","",IFERROR(INDEX('_ENGINE_Risk'!$N$41:$S$920,MATCH($E526,'_ENGINE_Risk'!$A$41:$A$920,0),$H526+1),""))</f>
        <v/>
      </c>
      <c r="U526">
        <f>IFERROR(INDEX(_DATA_Assessment_Model!$G$5:$G$884,MATCH($E526,_DATA_Assessment_Model!$A$5:$A$884,0)),"")</f>
        <v/>
      </c>
      <c r="V526">
        <f>IFERROR(INDEX(_DATA_Assessment_Model!$W$5:$W$884,MATCH($E526,_DATA_Assessment_Model!$A$5:$A$884,0)),"")</f>
        <v/>
      </c>
      <c r="W526">
        <f>IFERROR(INDEX(_DATA_Assessment_Model!$X$5:$X$884,MATCH($E526,_DATA_Assessment_Model!$A$5:$A$884,0)),"")</f>
        <v/>
      </c>
      <c r="X526">
        <f>IFERROR(INDEX(_DATA_Assessment_Model!$Y$5:$Y$884,MATCH($E526,_DATA_Assessment_Model!$A$5:$A$884,0)),"")</f>
        <v/>
      </c>
      <c r="Y526" t="inlineStr">
        <is>
          <t>Demand shock; Financial liquidity crisis; Reputation crisis</t>
        </is>
      </c>
      <c r="Z526" t="inlineStr">
        <is>
          <t>CEO / CSO / CCO</t>
        </is>
      </c>
      <c r="AA526" t="inlineStr">
        <is>
          <t>Policy/SOP; owner/RACI; system report; dashboard; contracts; test records; incident history; interview evidence related to buyer personas covering economic buyer, technical buyer, user, influencer and blocker.</t>
        </is>
      </c>
      <c r="AB526">
        <f>IFERROR(INDEX(_DATA_Assessment_Model!$U$5:$U$884,MATCH($E526,_DATA_Assessment_Model!$A$5:$A$884,0)),"")</f>
        <v/>
      </c>
      <c r="AF526" t="inlineStr">
        <is>
          <t>How mature is the organization in managing buyer personas covering economic buyer, technical buyer, user, influencer and blocker, including ownership, evidence, metrics, fallback procedures and crisis stress testing?</t>
        </is>
      </c>
      <c r="AO526">
        <f>IF($B526="Yes",IFERROR(INDEX(_ENGINE_Crisis!$F$501:$F$517,MATCH($C526,_ENGINE_Crisis!$A$501:$A$517,0)),1),"")</f>
        <v/>
      </c>
      <c r="AP526">
        <f>IF(AO526="","",ROUND($L526*AO526,1))</f>
        <v/>
      </c>
      <c r="AQ526">
        <f>IF(OR(AO526="",$S526=""),"",ROUND($S526*(0.7+0.3*AO526),2))</f>
        <v/>
      </c>
      <c r="AR526">
        <f>IFERROR(INDEX(_ENGINE_Crisis!$E$41:$E$700,MATCH('Resilience &amp; Risk Scenario'!$B$60&amp;"|"&amp;$C526,_ENGINE_Crisis!$I$41:$I$700,0)),"")</f>
        <v/>
      </c>
      <c r="AS526">
        <f>IFERROR(INDEX(_ENGINE_Crisis!$G$41:$G$700,MATCH('Resilience &amp; Risk Scenario'!$B$60&amp;"|"&amp;$C526,_ENGINE_Crisis!$I$41:$I$700,0)),"")</f>
        <v/>
      </c>
      <c r="AT526">
        <f>IFERROR(INDEX(_ENGINE_Initiatives!$A$5:$A$532,MATCH(1,INDEX((_ENGINE_Initiatives!$B$5:$B$532=$C526)*(_ENGINE_Initiatives!$C$5:$C$532=$D526),0),0)),"")</f>
        <v/>
      </c>
      <c r="AU526">
        <f>IFERROR(INDEX(_ENGINE_Initiatives!$F$5:$F$532,MATCH(1,INDEX((_ENGINE_Initiatives!$B$5:$B$532=$C526)*(_ENGINE_Initiatives!$C$5:$C$532=$D526),0),0)),"")</f>
        <v/>
      </c>
      <c r="AV526">
        <f>IFERROR(INDEX(_ENGINE_Initiatives!$AC$5:$AC$532,MATCH(1,INDEX((_ENGINE_Initiatives!$B$5:$B$532=$C526)*(_ENGINE_Initiatives!$C$5:$C$532=$D526),0),0)),"")</f>
        <v/>
      </c>
      <c r="AW526">
        <f>IFERROR(INDEX(_ENGINE_Initiatives!$AE$5:$AE$532,MATCH(1,INDEX((_ENGINE_Initiatives!$B$5:$B$532=$C526)*(_ENGINE_Initiatives!$C$5:$C$532=$D526),0),0)),"")</f>
        <v/>
      </c>
      <c r="AX526">
        <f>IF($B526="Yes",IFERROR(IF(SUMIFS(_REF_Model_Content!$E$1:$E$613,_REF_Model_Content!$A$1:$A$613,'Company Profile'!$B$9,_REF_Model_Content!$B$1:$B$613,$C526)=0,1,SUMIFS(_REF_Model_Content!$E$1:$E$613,_REF_Model_Content!$A$1:$A$613,'Company Profile'!$B$9,_REF_Model_Content!$B$1:$B$613,$C526)),1),"")</f>
        <v/>
      </c>
      <c r="AY526">
        <f>IF($L526="","",ROUND(IF($AP526="",$L526,$AP526)*IF($AX526="",1,$AX526),2))</f>
        <v/>
      </c>
      <c r="AZ526">
        <f>IF($S526="","",ROUND(IF($AQ526="",$S526,$AQ526)*IF($AX526="",1,$AX526),2))</f>
        <v/>
      </c>
      <c r="BB526">
        <f>IF($H526="","",IFERROR(INDEX('_ENGINE_Risk'!$AE$41:$AE$920,MATCH($E526,'_ENGINE_Risk'!$A$41:$A$920,0)),"Medium"))</f>
        <v/>
      </c>
      <c r="BC526">
        <f>IF($BB526="","",IF($BB526="Fast",1.25,IF($BB526="Slow",0.85,1)))</f>
        <v/>
      </c>
      <c r="BD526">
        <f>IF(OR($AZ526="",$BC526=""),"",ROUND($AZ526*$BC526,2))</f>
        <v/>
      </c>
      <c r="BF526">
        <f>IF(OR($H526="",$J526=""),"",_xlfn.IFNA(VLOOKUP($J526,_CONFIG_Model_Settings!$D$610:$E$614,2,0),""))</f>
        <v/>
      </c>
      <c r="BG526">
        <f>IF(OR($H526="",$K526=""),"",ROUND('Company Profile'!$B$569*INDEX(_CONFIG_Model_Settings!$H$610:$H$614,MATCH($K526,_CONFIG_Model_Settings!$G$610:$G$614,0)),0))</f>
        <v/>
      </c>
      <c r="BH526">
        <f>IF(OR($BF526="",$BG526=""),"",ROUND($BF526*$BG526,1))</f>
        <v/>
      </c>
      <c r="BI526">
        <f>IF($BH526="","",IF($AO526="",$BH526,ROUND($BH526*$AO526,1)))</f>
        <v/>
      </c>
      <c r="BJ526">
        <f>IF($E526="","",IFERROR(VLOOKUP($C526,'_CONFIG_Risk_Calibration'!$A$5:$H$21,2,FALSE),3))</f>
        <v/>
      </c>
      <c r="BK526">
        <f>IF($E526="","",IFERROR(VLOOKUP($C526,'_CONFIG_Risk_Calibration'!$A$5:$H$21,3,FALSE),0))</f>
        <v/>
      </c>
      <c r="BL526">
        <f>IF($E526="","",IFERROR(VLOOKUP($C526,'_CONFIG_Risk_Calibration'!$A$5:$H$21,4,FALSE),3))</f>
        <v/>
      </c>
      <c r="BM526">
        <f>IF($E526="","",IFERROR(VLOOKUP($C526,'_CONFIG_Risk_Calibration'!$A$5:$H$21,5,FALSE),3))</f>
        <v/>
      </c>
      <c r="BN526">
        <f>IF($E526="","",IFERROR(VLOOKUP($C526,'_CONFIG_Risk_Calibration'!$A$5:$H$21,6,FALSE),"No"))</f>
        <v/>
      </c>
      <c r="BO526">
        <f>IF($E526="","",IFERROR(VLOOKUP($C526,'_CONFIG_Risk_Calibration'!$A$5:$H$21,7,FALSE),1))</f>
        <v/>
      </c>
      <c r="BP526">
        <f>IF($H526="","",MAX(1,MIN(5,((6-$H526)*0.45)+($BJ526*0.20)+('Resilience &amp; Risk Scenario'!$B$7*0.15)+($BK526*0.10)+($BL526*0.05)+(IF($BB526="Fast",5,IF($BB526="Slow",1,3))*0.05))))</f>
        <v/>
      </c>
      <c r="BQ526">
        <f>IF($H526="","",MAX(IF($BN526="Yes",$BO526,1),MIN(5,($U526*0.20)+($V526*0.15)+($W526*0.25)+($X526*0.15)+($BJ526*0.10)+($BM526*0.15))))</f>
        <v/>
      </c>
      <c r="BR526">
        <f>IF(OR($BP526="",$BQ526=""),"",ROUND($BP526*$BQ526,2))</f>
        <v/>
      </c>
      <c r="BS526">
        <f>IF($BR526="","",ROUND($BR526*IF($AO526="",1,$AO526)*IF($AX526="",1,$AX526)*(1+(($BM526-3)*0.10))*IF($BC526="",1,$BC526),2))</f>
        <v/>
      </c>
    </row>
    <row r="527" ht="69.90000000000001" customHeight="1" s="209">
      <c r="A527">
        <f>IF($BD527="","",SUMPRODUCT(ISNUMBER($BD$500:$BD$923)*($BD$500:$BD$923&gt;$BD527))+COUNTIF($BD$500:$BD527,$BD527))</f>
        <v/>
      </c>
      <c r="B527">
        <f>IF($H527="","",IF($H527&lt;5,"Yes","Maintain"))</f>
        <v/>
      </c>
      <c r="C527" t="inlineStr">
        <is>
          <t>Strategy GTM</t>
        </is>
      </c>
      <c r="D527" t="inlineStr">
        <is>
          <t>Market and ICP</t>
        </is>
      </c>
      <c r="E527" t="inlineStr">
        <is>
          <t>STRA-009</t>
        </is>
      </c>
      <c r="F527" t="inlineStr">
        <is>
          <t>Strategic and go-to-market resilience</t>
        </is>
      </c>
      <c r="G527">
        <f>IF($H527="","",IFERROR(INDEX('_ENGINE_Risk'!$H$41:$M$920,MATCH($E527,'_ENGINE_Risk'!$A$41:$A$920,0),$H527+1),""))</f>
        <v/>
      </c>
      <c r="H527">
        <f>IFERROR(VALUE(INDEX(_DATA_Assessment_Model!$H$5:$H$884,MATCH($E527,_DATA_Assessment_Model!$A$5:$A$884,0))),"")</f>
        <v/>
      </c>
      <c r="I527">
        <f>IF($H527="","",IFERROR(INDEX(_DATA_Assessment_Model!$L$5:$L$884,MATCH($E527,_DATA_Assessment_Model!$A$5:$A$884,0)),IF($H527&lt;=1,"Critical",IF($H527=2,"High",IF($H527=3,"Medium",IF($H527=4,"Low","Resilient"))))))</f>
        <v/>
      </c>
      <c r="J527">
        <f>IF($H527="","",MIN(5,MAX(1,6-$H527)))</f>
        <v/>
      </c>
      <c r="K527">
        <f>IF($H527="","",MAX(1,MIN(5,ROUNDUP(($U527*0.45)+($W527*0.35)+($X527*0.2),0))))</f>
        <v/>
      </c>
      <c r="L527">
        <f>IF($H527="","",$J527*$K527)</f>
        <v/>
      </c>
      <c r="M527">
        <f>IF($H527="","",MAX(1,MIN(5,ROUNDUP($L527/5,0))))</f>
        <v/>
      </c>
      <c r="N527">
        <f>IF($H527="","",IFERROR(INDEX('_ENGINE_Risk'!$T$41:$Y$920,MATCH($E527,'_ENGINE_Risk'!$A$41:$A$920,0),$H527+1),""))</f>
        <v/>
      </c>
      <c r="O527">
        <f>IF($H527="","",MAX(1,MIN(5,($U527+$V527+$X527)/3)))</f>
        <v/>
      </c>
      <c r="P527">
        <f>IF($H527="","",IF($I527="Critical",5,IF($I527="High",4,IF($I527="Medium",3,IF($I527="Low",2,1)))))</f>
        <v/>
      </c>
      <c r="Q527">
        <f>IF($H527="","",MAX(1,MIN(5,((5-$H527)*0.65)+($W527*0.35))))</f>
        <v/>
      </c>
      <c r="R527">
        <f>IF($H527="","",MAX(1,MIN(5,($V527+$X527)/2)))</f>
        <v/>
      </c>
      <c r="S527">
        <f>IF(OR($H527="",$N527=""),"",ROUND(($O527+$P527+$Q527+$R527)/$N527,2))</f>
        <v/>
      </c>
      <c r="T527">
        <f>IF($H527="","",IFERROR(INDEX('_ENGINE_Risk'!$N$41:$S$920,MATCH($E527,'_ENGINE_Risk'!$A$41:$A$920,0),$H527+1),""))</f>
        <v/>
      </c>
      <c r="U527">
        <f>IFERROR(INDEX(_DATA_Assessment_Model!$G$5:$G$884,MATCH($E527,_DATA_Assessment_Model!$A$5:$A$884,0)),"")</f>
        <v/>
      </c>
      <c r="V527">
        <f>IFERROR(INDEX(_DATA_Assessment_Model!$W$5:$W$884,MATCH($E527,_DATA_Assessment_Model!$A$5:$A$884,0)),"")</f>
        <v/>
      </c>
      <c r="W527">
        <f>IFERROR(INDEX(_DATA_Assessment_Model!$X$5:$X$884,MATCH($E527,_DATA_Assessment_Model!$A$5:$A$884,0)),"")</f>
        <v/>
      </c>
      <c r="X527">
        <f>IFERROR(INDEX(_DATA_Assessment_Model!$Y$5:$Y$884,MATCH($E527,_DATA_Assessment_Model!$A$5:$A$884,0)),"")</f>
        <v/>
      </c>
      <c r="Y527" t="inlineStr">
        <is>
          <t>Demand shock; Financial liquidity crisis; Reputation crisis</t>
        </is>
      </c>
      <c r="Z527" t="inlineStr">
        <is>
          <t>CEO / CSO / CCO</t>
        </is>
      </c>
      <c r="AA527" t="inlineStr">
        <is>
          <t>Policy/SOP; owner/RACI; system report; dashboard; contracts; test records; incident history; interview evidence related to validated customer problems, jobs-to-be-done, urgency triggers and willingness to pay.</t>
        </is>
      </c>
      <c r="AB527">
        <f>IFERROR(INDEX(_DATA_Assessment_Model!$U$5:$U$884,MATCH($E527,_DATA_Assessment_Model!$A$5:$A$884,0)),"")</f>
        <v/>
      </c>
      <c r="AF527" t="inlineStr">
        <is>
          <t>How mature is the organization in managing validated customer problems, jobs-to-be-done, urgency triggers and willingness to pay, including ownership, evidence, metrics, fallback procedures and crisis stress testing?</t>
        </is>
      </c>
      <c r="AO527">
        <f>IF($B527="Yes",IFERROR(INDEX(_ENGINE_Crisis!$F$501:$F$517,MATCH($C527,_ENGINE_Crisis!$A$501:$A$517,0)),1),"")</f>
        <v/>
      </c>
      <c r="AP527">
        <f>IF(AO527="","",ROUND($L527*AO527,1))</f>
        <v/>
      </c>
      <c r="AQ527">
        <f>IF(OR(AO527="",$S527=""),"",ROUND($S527*(0.7+0.3*AO527),2))</f>
        <v/>
      </c>
      <c r="AR527">
        <f>IFERROR(INDEX(_ENGINE_Crisis!$E$41:$E$700,MATCH('Resilience &amp; Risk Scenario'!$B$60&amp;"|"&amp;$C527,_ENGINE_Crisis!$I$41:$I$700,0)),"")</f>
        <v/>
      </c>
      <c r="AS527">
        <f>IFERROR(INDEX(_ENGINE_Crisis!$G$41:$G$700,MATCH('Resilience &amp; Risk Scenario'!$B$60&amp;"|"&amp;$C527,_ENGINE_Crisis!$I$41:$I$700,0)),"")</f>
        <v/>
      </c>
      <c r="AT527">
        <f>IFERROR(INDEX(_ENGINE_Initiatives!$A$5:$A$532,MATCH(1,INDEX((_ENGINE_Initiatives!$B$5:$B$532=$C527)*(_ENGINE_Initiatives!$C$5:$C$532=$D527),0),0)),"")</f>
        <v/>
      </c>
      <c r="AU527">
        <f>IFERROR(INDEX(_ENGINE_Initiatives!$F$5:$F$532,MATCH(1,INDEX((_ENGINE_Initiatives!$B$5:$B$532=$C527)*(_ENGINE_Initiatives!$C$5:$C$532=$D527),0),0)),"")</f>
        <v/>
      </c>
      <c r="AV527">
        <f>IFERROR(INDEX(_ENGINE_Initiatives!$AC$5:$AC$532,MATCH(1,INDEX((_ENGINE_Initiatives!$B$5:$B$532=$C527)*(_ENGINE_Initiatives!$C$5:$C$532=$D527),0),0)),"")</f>
        <v/>
      </c>
      <c r="AW527">
        <f>IFERROR(INDEX(_ENGINE_Initiatives!$AE$5:$AE$532,MATCH(1,INDEX((_ENGINE_Initiatives!$B$5:$B$532=$C527)*(_ENGINE_Initiatives!$C$5:$C$532=$D527),0),0)),"")</f>
        <v/>
      </c>
      <c r="AX527">
        <f>IF($B527="Yes",IFERROR(IF(SUMIFS(_REF_Model_Content!$E$1:$E$613,_REF_Model_Content!$A$1:$A$613,'Company Profile'!$B$9,_REF_Model_Content!$B$1:$B$613,$C527)=0,1,SUMIFS(_REF_Model_Content!$E$1:$E$613,_REF_Model_Content!$A$1:$A$613,'Company Profile'!$B$9,_REF_Model_Content!$B$1:$B$613,$C527)),1),"")</f>
        <v/>
      </c>
      <c r="AY527">
        <f>IF($L527="","",ROUND(IF($AP527="",$L527,$AP527)*IF($AX527="",1,$AX527),2))</f>
        <v/>
      </c>
      <c r="AZ527">
        <f>IF($S527="","",ROUND(IF($AQ527="",$S527,$AQ527)*IF($AX527="",1,$AX527),2))</f>
        <v/>
      </c>
      <c r="BB527">
        <f>IF($H527="","",IFERROR(INDEX('_ENGINE_Risk'!$AE$41:$AE$920,MATCH($E527,'_ENGINE_Risk'!$A$41:$A$920,0)),"Medium"))</f>
        <v/>
      </c>
      <c r="BC527">
        <f>IF($BB527="","",IF($BB527="Fast",1.25,IF($BB527="Slow",0.85,1)))</f>
        <v/>
      </c>
      <c r="BD527">
        <f>IF(OR($AZ527="",$BC527=""),"",ROUND($AZ527*$BC527,2))</f>
        <v/>
      </c>
      <c r="BF527">
        <f>IF(OR($H527="",$J527=""),"",_xlfn.IFNA(VLOOKUP($J527,_CONFIG_Model_Settings!$D$610:$E$614,2,0),""))</f>
        <v/>
      </c>
      <c r="BG527">
        <f>IF(OR($H527="",$K527=""),"",ROUND('Company Profile'!$B$569*INDEX(_CONFIG_Model_Settings!$H$610:$H$614,MATCH($K527,_CONFIG_Model_Settings!$G$610:$G$614,0)),0))</f>
        <v/>
      </c>
      <c r="BH527">
        <f>IF(OR($BF527="",$BG527=""),"",ROUND($BF527*$BG527,1))</f>
        <v/>
      </c>
      <c r="BI527">
        <f>IF($BH527="","",IF($AO527="",$BH527,ROUND($BH527*$AO527,1)))</f>
        <v/>
      </c>
      <c r="BJ527">
        <f>IF($E527="","",IFERROR(VLOOKUP($C527,'_CONFIG_Risk_Calibration'!$A$5:$H$21,2,FALSE),3))</f>
        <v/>
      </c>
      <c r="BK527">
        <f>IF($E527="","",IFERROR(VLOOKUP($C527,'_CONFIG_Risk_Calibration'!$A$5:$H$21,3,FALSE),0))</f>
        <v/>
      </c>
      <c r="BL527">
        <f>IF($E527="","",IFERROR(VLOOKUP($C527,'_CONFIG_Risk_Calibration'!$A$5:$H$21,4,FALSE),3))</f>
        <v/>
      </c>
      <c r="BM527">
        <f>IF($E527="","",IFERROR(VLOOKUP($C527,'_CONFIG_Risk_Calibration'!$A$5:$H$21,5,FALSE),3))</f>
        <v/>
      </c>
      <c r="BN527">
        <f>IF($E527="","",IFERROR(VLOOKUP($C527,'_CONFIG_Risk_Calibration'!$A$5:$H$21,6,FALSE),"No"))</f>
        <v/>
      </c>
      <c r="BO527">
        <f>IF($E527="","",IFERROR(VLOOKUP($C527,'_CONFIG_Risk_Calibration'!$A$5:$H$21,7,FALSE),1))</f>
        <v/>
      </c>
      <c r="BP527">
        <f>IF($H527="","",MAX(1,MIN(5,((6-$H527)*0.45)+($BJ527*0.20)+('Resilience &amp; Risk Scenario'!$B$7*0.15)+($BK527*0.10)+($BL527*0.05)+(IF($BB527="Fast",5,IF($BB527="Slow",1,3))*0.05))))</f>
        <v/>
      </c>
      <c r="BQ527">
        <f>IF($H527="","",MAX(IF($BN527="Yes",$BO527,1),MIN(5,($U527*0.20)+($V527*0.15)+($W527*0.25)+($X527*0.15)+($BJ527*0.10)+($BM527*0.15))))</f>
        <v/>
      </c>
      <c r="BR527">
        <f>IF(OR($BP527="",$BQ527=""),"",ROUND($BP527*$BQ527,2))</f>
        <v/>
      </c>
      <c r="BS527">
        <f>IF($BR527="","",ROUND($BR527*IF($AO527="",1,$AO527)*IF($AX527="",1,$AX527)*(1+(($BM527-3)*0.10))*IF($BC527="",1,$BC527),2))</f>
        <v/>
      </c>
    </row>
    <row r="528" ht="69.90000000000001" customHeight="1" s="209">
      <c r="A528">
        <f>IF($BD528="","",SUMPRODUCT(ISNUMBER($BD$500:$BD$923)*($BD$500:$BD$923&gt;$BD528))+COUNTIF($BD$500:$BD528,$BD528))</f>
        <v/>
      </c>
      <c r="B528">
        <f>IF($H528="","",IF($H528&lt;5,"Yes","Maintain"))</f>
        <v/>
      </c>
      <c r="C528" t="inlineStr">
        <is>
          <t>Strategy GTM</t>
        </is>
      </c>
      <c r="D528" t="inlineStr">
        <is>
          <t>Market and ICP</t>
        </is>
      </c>
      <c r="E528" t="inlineStr">
        <is>
          <t>STRA-010</t>
        </is>
      </c>
      <c r="F528" t="inlineStr">
        <is>
          <t>Strategic and go-to-market resilience</t>
        </is>
      </c>
      <c r="G528">
        <f>IF($H528="","",IFERROR(INDEX('_ENGINE_Risk'!$H$41:$M$920,MATCH($E528,'_ENGINE_Risk'!$A$41:$A$920,0),$H528+1),""))</f>
        <v/>
      </c>
      <c r="H528">
        <f>IFERROR(VALUE(INDEX(_DATA_Assessment_Model!$H$5:$H$884,MATCH($E528,_DATA_Assessment_Model!$A$5:$A$884,0))),"")</f>
        <v/>
      </c>
      <c r="I528">
        <f>IF($H528="","",IFERROR(INDEX(_DATA_Assessment_Model!$L$5:$L$884,MATCH($E528,_DATA_Assessment_Model!$A$5:$A$884,0)),IF($H528&lt;=1,"Critical",IF($H528=2,"High",IF($H528=3,"Medium",IF($H528=4,"Low","Resilient"))))))</f>
        <v/>
      </c>
      <c r="J528">
        <f>IF($H528="","",MIN(5,MAX(1,6-$H528)))</f>
        <v/>
      </c>
      <c r="K528">
        <f>IF($H528="","",MAX(1,MIN(5,ROUNDUP(($U528*0.45)+($W528*0.35)+($X528*0.2),0))))</f>
        <v/>
      </c>
      <c r="L528">
        <f>IF($H528="","",$J528*$K528)</f>
        <v/>
      </c>
      <c r="M528">
        <f>IF($H528="","",MAX(1,MIN(5,ROUNDUP($L528/5,0))))</f>
        <v/>
      </c>
      <c r="N528">
        <f>IF($H528="","",IFERROR(INDEX('_ENGINE_Risk'!$T$41:$Y$920,MATCH($E528,'_ENGINE_Risk'!$A$41:$A$920,0),$H528+1),""))</f>
        <v/>
      </c>
      <c r="O528">
        <f>IF($H528="","",MAX(1,MIN(5,($U528+$V528+$X528)/3)))</f>
        <v/>
      </c>
      <c r="P528">
        <f>IF($H528="","",IF($I528="Critical",5,IF($I528="High",4,IF($I528="Medium",3,IF($I528="Low",2,1)))))</f>
        <v/>
      </c>
      <c r="Q528">
        <f>IF($H528="","",MAX(1,MIN(5,((5-$H528)*0.65)+($W528*0.35))))</f>
        <v/>
      </c>
      <c r="R528">
        <f>IF($H528="","",MAX(1,MIN(5,($V528+$X528)/2)))</f>
        <v/>
      </c>
      <c r="S528">
        <f>IF(OR($H528="",$N528=""),"",ROUND(($O528+$P528+$Q528+$R528)/$N528,2))</f>
        <v/>
      </c>
      <c r="T528">
        <f>IF($H528="","",IFERROR(INDEX('_ENGINE_Risk'!$N$41:$S$920,MATCH($E528,'_ENGINE_Risk'!$A$41:$A$920,0),$H528+1),""))</f>
        <v/>
      </c>
      <c r="U528">
        <f>IFERROR(INDEX(_DATA_Assessment_Model!$G$5:$G$884,MATCH($E528,_DATA_Assessment_Model!$A$5:$A$884,0)),"")</f>
        <v/>
      </c>
      <c r="V528">
        <f>IFERROR(INDEX(_DATA_Assessment_Model!$W$5:$W$884,MATCH($E528,_DATA_Assessment_Model!$A$5:$A$884,0)),"")</f>
        <v/>
      </c>
      <c r="W528">
        <f>IFERROR(INDEX(_DATA_Assessment_Model!$X$5:$X$884,MATCH($E528,_DATA_Assessment_Model!$A$5:$A$884,0)),"")</f>
        <v/>
      </c>
      <c r="X528">
        <f>IFERROR(INDEX(_DATA_Assessment_Model!$Y$5:$Y$884,MATCH($E528,_DATA_Assessment_Model!$A$5:$A$884,0)),"")</f>
        <v/>
      </c>
      <c r="Y528" t="inlineStr">
        <is>
          <t>Demand shock; Financial liquidity crisis; Reputation crisis</t>
        </is>
      </c>
      <c r="Z528" t="inlineStr">
        <is>
          <t>CEO / CSO / CCO</t>
        </is>
      </c>
      <c r="AA528" t="inlineStr">
        <is>
          <t>Policy/SOP; owner/RACI; system report; dashboard; contracts; test records; incident history; interview evidence related to market segmentation by attractiveness, accessibility, profitability and crisis sensitivity.</t>
        </is>
      </c>
      <c r="AB528">
        <f>IFERROR(INDEX(_DATA_Assessment_Model!$U$5:$U$884,MATCH($E528,_DATA_Assessment_Model!$A$5:$A$884,0)),"")</f>
        <v/>
      </c>
      <c r="AF528" t="inlineStr">
        <is>
          <t>How mature is the organization in managing market segmentation by attractiveness, accessibility, profitability and crisis sensitivity, including ownership, evidence, metrics, fallback procedures and crisis stress testing?</t>
        </is>
      </c>
      <c r="AO528">
        <f>IF($B528="Yes",IFERROR(INDEX(_ENGINE_Crisis!$F$501:$F$517,MATCH($C528,_ENGINE_Crisis!$A$501:$A$517,0)),1),"")</f>
        <v/>
      </c>
      <c r="AP528">
        <f>IF(AO528="","",ROUND($L528*AO528,1))</f>
        <v/>
      </c>
      <c r="AQ528">
        <f>IF(OR(AO528="",$S528=""),"",ROUND($S528*(0.7+0.3*AO528),2))</f>
        <v/>
      </c>
      <c r="AR528">
        <f>IFERROR(INDEX(_ENGINE_Crisis!$E$41:$E$700,MATCH('Resilience &amp; Risk Scenario'!$B$60&amp;"|"&amp;$C528,_ENGINE_Crisis!$I$41:$I$700,0)),"")</f>
        <v/>
      </c>
      <c r="AS528">
        <f>IFERROR(INDEX(_ENGINE_Crisis!$G$41:$G$700,MATCH('Resilience &amp; Risk Scenario'!$B$60&amp;"|"&amp;$C528,_ENGINE_Crisis!$I$41:$I$700,0)),"")</f>
        <v/>
      </c>
      <c r="AT528">
        <f>IFERROR(INDEX(_ENGINE_Initiatives!$A$5:$A$532,MATCH(1,INDEX((_ENGINE_Initiatives!$B$5:$B$532=$C528)*(_ENGINE_Initiatives!$C$5:$C$532=$D528),0),0)),"")</f>
        <v/>
      </c>
      <c r="AU528">
        <f>IFERROR(INDEX(_ENGINE_Initiatives!$F$5:$F$532,MATCH(1,INDEX((_ENGINE_Initiatives!$B$5:$B$532=$C528)*(_ENGINE_Initiatives!$C$5:$C$532=$D528),0),0)),"")</f>
        <v/>
      </c>
      <c r="AV528">
        <f>IFERROR(INDEX(_ENGINE_Initiatives!$AC$5:$AC$532,MATCH(1,INDEX((_ENGINE_Initiatives!$B$5:$B$532=$C528)*(_ENGINE_Initiatives!$C$5:$C$532=$D528),0),0)),"")</f>
        <v/>
      </c>
      <c r="AW528">
        <f>IFERROR(INDEX(_ENGINE_Initiatives!$AE$5:$AE$532,MATCH(1,INDEX((_ENGINE_Initiatives!$B$5:$B$532=$C528)*(_ENGINE_Initiatives!$C$5:$C$532=$D528),0),0)),"")</f>
        <v/>
      </c>
      <c r="AX528">
        <f>IF($B528="Yes",IFERROR(IF(SUMIFS(_REF_Model_Content!$E$1:$E$613,_REF_Model_Content!$A$1:$A$613,'Company Profile'!$B$9,_REF_Model_Content!$B$1:$B$613,$C528)=0,1,SUMIFS(_REF_Model_Content!$E$1:$E$613,_REF_Model_Content!$A$1:$A$613,'Company Profile'!$B$9,_REF_Model_Content!$B$1:$B$613,$C528)),1),"")</f>
        <v/>
      </c>
      <c r="AY528">
        <f>IF($L528="","",ROUND(IF($AP528="",$L528,$AP528)*IF($AX528="",1,$AX528),2))</f>
        <v/>
      </c>
      <c r="AZ528">
        <f>IF($S528="","",ROUND(IF($AQ528="",$S528,$AQ528)*IF($AX528="",1,$AX528),2))</f>
        <v/>
      </c>
      <c r="BB528">
        <f>IF($H528="","",IFERROR(INDEX('_ENGINE_Risk'!$AE$41:$AE$920,MATCH($E528,'_ENGINE_Risk'!$A$41:$A$920,0)),"Medium"))</f>
        <v/>
      </c>
      <c r="BC528">
        <f>IF($BB528="","",IF($BB528="Fast",1.25,IF($BB528="Slow",0.85,1)))</f>
        <v/>
      </c>
      <c r="BD528">
        <f>IF(OR($AZ528="",$BC528=""),"",ROUND($AZ528*$BC528,2))</f>
        <v/>
      </c>
      <c r="BF528">
        <f>IF(OR($H528="",$J528=""),"",_xlfn.IFNA(VLOOKUP($J528,_CONFIG_Model_Settings!$D$610:$E$614,2,0),""))</f>
        <v/>
      </c>
      <c r="BG528">
        <f>IF(OR($H528="",$K528=""),"",ROUND('Company Profile'!$B$569*INDEX(_CONFIG_Model_Settings!$H$610:$H$614,MATCH($K528,_CONFIG_Model_Settings!$G$610:$G$614,0)),0))</f>
        <v/>
      </c>
      <c r="BH528">
        <f>IF(OR($BF528="",$BG528=""),"",ROUND($BF528*$BG528,1))</f>
        <v/>
      </c>
      <c r="BI528">
        <f>IF($BH528="","",IF($AO528="",$BH528,ROUND($BH528*$AO528,1)))</f>
        <v/>
      </c>
      <c r="BJ528">
        <f>IF($E528="","",IFERROR(VLOOKUP($C528,'_CONFIG_Risk_Calibration'!$A$5:$H$21,2,FALSE),3))</f>
        <v/>
      </c>
      <c r="BK528">
        <f>IF($E528="","",IFERROR(VLOOKUP($C528,'_CONFIG_Risk_Calibration'!$A$5:$H$21,3,FALSE),0))</f>
        <v/>
      </c>
      <c r="BL528">
        <f>IF($E528="","",IFERROR(VLOOKUP($C528,'_CONFIG_Risk_Calibration'!$A$5:$H$21,4,FALSE),3))</f>
        <v/>
      </c>
      <c r="BM528">
        <f>IF($E528="","",IFERROR(VLOOKUP($C528,'_CONFIG_Risk_Calibration'!$A$5:$H$21,5,FALSE),3))</f>
        <v/>
      </c>
      <c r="BN528">
        <f>IF($E528="","",IFERROR(VLOOKUP($C528,'_CONFIG_Risk_Calibration'!$A$5:$H$21,6,FALSE),"No"))</f>
        <v/>
      </c>
      <c r="BO528">
        <f>IF($E528="","",IFERROR(VLOOKUP($C528,'_CONFIG_Risk_Calibration'!$A$5:$H$21,7,FALSE),1))</f>
        <v/>
      </c>
      <c r="BP528">
        <f>IF($H528="","",MAX(1,MIN(5,((6-$H528)*0.45)+($BJ528*0.20)+('Resilience &amp; Risk Scenario'!$B$7*0.15)+($BK528*0.10)+($BL528*0.05)+(IF($BB528="Fast",5,IF($BB528="Slow",1,3))*0.05))))</f>
        <v/>
      </c>
      <c r="BQ528">
        <f>IF($H528="","",MAX(IF($BN528="Yes",$BO528,1),MIN(5,($U528*0.20)+($V528*0.15)+($W528*0.25)+($X528*0.15)+($BJ528*0.10)+($BM528*0.15))))</f>
        <v/>
      </c>
      <c r="BR528">
        <f>IF(OR($BP528="",$BQ528=""),"",ROUND($BP528*$BQ528,2))</f>
        <v/>
      </c>
      <c r="BS528">
        <f>IF($BR528="","",ROUND($BR528*IF($AO528="",1,$AO528)*IF($AX528="",1,$AX528)*(1+(($BM528-3)*0.10))*IF($BC528="",1,$BC528),2))</f>
        <v/>
      </c>
    </row>
    <row r="529" ht="69.90000000000001" customHeight="1" s="209">
      <c r="A529">
        <f>IF($BD529="","",SUMPRODUCT(ISNUMBER($BD$500:$BD$923)*($BD$500:$BD$923&gt;$BD529))+COUNTIF($BD$500:$BD529,$BD529))</f>
        <v/>
      </c>
      <c r="B529">
        <f>IF($H529="","",IF($H529&lt;5,"Yes","Maintain"))</f>
        <v/>
      </c>
      <c r="C529" t="inlineStr">
        <is>
          <t>Strategy GTM</t>
        </is>
      </c>
      <c r="D529" t="inlineStr">
        <is>
          <t>Market and ICP</t>
        </is>
      </c>
      <c r="E529" t="inlineStr">
        <is>
          <t>STRA-011</t>
        </is>
      </c>
      <c r="F529" t="inlineStr">
        <is>
          <t>Strategic and go-to-market resilience</t>
        </is>
      </c>
      <c r="G529">
        <f>IF($H529="","",IFERROR(INDEX('_ENGINE_Risk'!$H$41:$M$920,MATCH($E529,'_ENGINE_Risk'!$A$41:$A$920,0),$H529+1),""))</f>
        <v/>
      </c>
      <c r="H529">
        <f>IFERROR(VALUE(INDEX(_DATA_Assessment_Model!$H$5:$H$884,MATCH($E529,_DATA_Assessment_Model!$A$5:$A$884,0))),"")</f>
        <v/>
      </c>
      <c r="I529">
        <f>IF($H529="","",IFERROR(INDEX(_DATA_Assessment_Model!$L$5:$L$884,MATCH($E529,_DATA_Assessment_Model!$A$5:$A$884,0)),IF($H529&lt;=1,"Critical",IF($H529=2,"High",IF($H529=3,"Medium",IF($H529=4,"Low","Resilient"))))))</f>
        <v/>
      </c>
      <c r="J529">
        <f>IF($H529="","",MIN(5,MAX(1,6-$H529)))</f>
        <v/>
      </c>
      <c r="K529">
        <f>IF($H529="","",MAX(1,MIN(5,ROUNDUP(($U529*0.45)+($W529*0.35)+($X529*0.2),0))))</f>
        <v/>
      </c>
      <c r="L529">
        <f>IF($H529="","",$J529*$K529)</f>
        <v/>
      </c>
      <c r="M529">
        <f>IF($H529="","",MAX(1,MIN(5,ROUNDUP($L529/5,0))))</f>
        <v/>
      </c>
      <c r="N529">
        <f>IF($H529="","",IFERROR(INDEX('_ENGINE_Risk'!$T$41:$Y$920,MATCH($E529,'_ENGINE_Risk'!$A$41:$A$920,0),$H529+1),""))</f>
        <v/>
      </c>
      <c r="O529">
        <f>IF($H529="","",MAX(1,MIN(5,($U529+$V529+$X529)/3)))</f>
        <v/>
      </c>
      <c r="P529">
        <f>IF($H529="","",IF($I529="Critical",5,IF($I529="High",4,IF($I529="Medium",3,IF($I529="Low",2,1)))))</f>
        <v/>
      </c>
      <c r="Q529">
        <f>IF($H529="","",MAX(1,MIN(5,((5-$H529)*0.65)+($W529*0.35))))</f>
        <v/>
      </c>
      <c r="R529">
        <f>IF($H529="","",MAX(1,MIN(5,($V529+$X529)/2)))</f>
        <v/>
      </c>
      <c r="S529">
        <f>IF(OR($H529="",$N529=""),"",ROUND(($O529+$P529+$Q529+$R529)/$N529,2))</f>
        <v/>
      </c>
      <c r="T529">
        <f>IF($H529="","",IFERROR(INDEX('_ENGINE_Risk'!$N$41:$S$920,MATCH($E529,'_ENGINE_Risk'!$A$41:$A$920,0),$H529+1),""))</f>
        <v/>
      </c>
      <c r="U529">
        <f>IFERROR(INDEX(_DATA_Assessment_Model!$G$5:$G$884,MATCH($E529,_DATA_Assessment_Model!$A$5:$A$884,0)),"")</f>
        <v/>
      </c>
      <c r="V529">
        <f>IFERROR(INDEX(_DATA_Assessment_Model!$W$5:$W$884,MATCH($E529,_DATA_Assessment_Model!$A$5:$A$884,0)),"")</f>
        <v/>
      </c>
      <c r="W529">
        <f>IFERROR(INDEX(_DATA_Assessment_Model!$X$5:$X$884,MATCH($E529,_DATA_Assessment_Model!$A$5:$A$884,0)),"")</f>
        <v/>
      </c>
      <c r="X529">
        <f>IFERROR(INDEX(_DATA_Assessment_Model!$Y$5:$Y$884,MATCH($E529,_DATA_Assessment_Model!$A$5:$A$884,0)),"")</f>
        <v/>
      </c>
      <c r="Y529" t="inlineStr">
        <is>
          <t>Demand shock; Financial liquidity crisis; Reputation crisis</t>
        </is>
      </c>
      <c r="Z529" t="inlineStr">
        <is>
          <t>CEO / CSO / CCO</t>
        </is>
      </c>
      <c r="AA529" t="inlineStr">
        <is>
          <t>Policy/SOP; owner/RACI; system report; dashboard; contracts; test records; incident history; interview evidence related to market size and growth assumptions with explicit evidence and uncertainty level.</t>
        </is>
      </c>
      <c r="AB529">
        <f>IFERROR(INDEX(_DATA_Assessment_Model!$U$5:$U$884,MATCH($E529,_DATA_Assessment_Model!$A$5:$A$884,0)),"")</f>
        <v/>
      </c>
      <c r="AF529" t="inlineStr">
        <is>
          <t>How mature is the organization in managing market size and growth assumptions with explicit evidence and uncertainty level, including ownership, evidence, metrics, fallback procedures and crisis stress testing?</t>
        </is>
      </c>
      <c r="AO529">
        <f>IF($B529="Yes",IFERROR(INDEX(_ENGINE_Crisis!$F$501:$F$517,MATCH($C529,_ENGINE_Crisis!$A$501:$A$517,0)),1),"")</f>
        <v/>
      </c>
      <c r="AP529">
        <f>IF(AO529="","",ROUND($L529*AO529,1))</f>
        <v/>
      </c>
      <c r="AQ529">
        <f>IF(OR(AO529="",$S529=""),"",ROUND($S529*(0.7+0.3*AO529),2))</f>
        <v/>
      </c>
      <c r="AR529">
        <f>IFERROR(INDEX(_ENGINE_Crisis!$E$41:$E$700,MATCH('Resilience &amp; Risk Scenario'!$B$60&amp;"|"&amp;$C529,_ENGINE_Crisis!$I$41:$I$700,0)),"")</f>
        <v/>
      </c>
      <c r="AS529">
        <f>IFERROR(INDEX(_ENGINE_Crisis!$G$41:$G$700,MATCH('Resilience &amp; Risk Scenario'!$B$60&amp;"|"&amp;$C529,_ENGINE_Crisis!$I$41:$I$700,0)),"")</f>
        <v/>
      </c>
      <c r="AT529">
        <f>IFERROR(INDEX(_ENGINE_Initiatives!$A$5:$A$532,MATCH(1,INDEX((_ENGINE_Initiatives!$B$5:$B$532=$C529)*(_ENGINE_Initiatives!$C$5:$C$532=$D529),0),0)),"")</f>
        <v/>
      </c>
      <c r="AU529">
        <f>IFERROR(INDEX(_ENGINE_Initiatives!$F$5:$F$532,MATCH(1,INDEX((_ENGINE_Initiatives!$B$5:$B$532=$C529)*(_ENGINE_Initiatives!$C$5:$C$532=$D529),0),0)),"")</f>
        <v/>
      </c>
      <c r="AV529">
        <f>IFERROR(INDEX(_ENGINE_Initiatives!$AC$5:$AC$532,MATCH(1,INDEX((_ENGINE_Initiatives!$B$5:$B$532=$C529)*(_ENGINE_Initiatives!$C$5:$C$532=$D529),0),0)),"")</f>
        <v/>
      </c>
      <c r="AW529">
        <f>IFERROR(INDEX(_ENGINE_Initiatives!$AE$5:$AE$532,MATCH(1,INDEX((_ENGINE_Initiatives!$B$5:$B$532=$C529)*(_ENGINE_Initiatives!$C$5:$C$532=$D529),0),0)),"")</f>
        <v/>
      </c>
      <c r="AX529">
        <f>IF($B529="Yes",IFERROR(IF(SUMIFS(_REF_Model_Content!$E$1:$E$613,_REF_Model_Content!$A$1:$A$613,'Company Profile'!$B$9,_REF_Model_Content!$B$1:$B$613,$C529)=0,1,SUMIFS(_REF_Model_Content!$E$1:$E$613,_REF_Model_Content!$A$1:$A$613,'Company Profile'!$B$9,_REF_Model_Content!$B$1:$B$613,$C529)),1),"")</f>
        <v/>
      </c>
      <c r="AY529">
        <f>IF($L529="","",ROUND(IF($AP529="",$L529,$AP529)*IF($AX529="",1,$AX529),2))</f>
        <v/>
      </c>
      <c r="AZ529">
        <f>IF($S529="","",ROUND(IF($AQ529="",$S529,$AQ529)*IF($AX529="",1,$AX529),2))</f>
        <v/>
      </c>
      <c r="BB529">
        <f>IF($H529="","",IFERROR(INDEX('_ENGINE_Risk'!$AE$41:$AE$920,MATCH($E529,'_ENGINE_Risk'!$A$41:$A$920,0)),"Medium"))</f>
        <v/>
      </c>
      <c r="BC529">
        <f>IF($BB529="","",IF($BB529="Fast",1.25,IF($BB529="Slow",0.85,1)))</f>
        <v/>
      </c>
      <c r="BD529">
        <f>IF(OR($AZ529="",$BC529=""),"",ROUND($AZ529*$BC529,2))</f>
        <v/>
      </c>
      <c r="BF529">
        <f>IF(OR($H529="",$J529=""),"",_xlfn.IFNA(VLOOKUP($J529,_CONFIG_Model_Settings!$D$610:$E$614,2,0),""))</f>
        <v/>
      </c>
      <c r="BG529">
        <f>IF(OR($H529="",$K529=""),"",ROUND('Company Profile'!$B$569*INDEX(_CONFIG_Model_Settings!$H$610:$H$614,MATCH($K529,_CONFIG_Model_Settings!$G$610:$G$614,0)),0))</f>
        <v/>
      </c>
      <c r="BH529">
        <f>IF(OR($BF529="",$BG529=""),"",ROUND($BF529*$BG529,1))</f>
        <v/>
      </c>
      <c r="BI529">
        <f>IF($BH529="","",IF($AO529="",$BH529,ROUND($BH529*$AO529,1)))</f>
        <v/>
      </c>
      <c r="BJ529">
        <f>IF($E529="","",IFERROR(VLOOKUP($C529,'_CONFIG_Risk_Calibration'!$A$5:$H$21,2,FALSE),3))</f>
        <v/>
      </c>
      <c r="BK529">
        <f>IF($E529="","",IFERROR(VLOOKUP($C529,'_CONFIG_Risk_Calibration'!$A$5:$H$21,3,FALSE),0))</f>
        <v/>
      </c>
      <c r="BL529">
        <f>IF($E529="","",IFERROR(VLOOKUP($C529,'_CONFIG_Risk_Calibration'!$A$5:$H$21,4,FALSE),3))</f>
        <v/>
      </c>
      <c r="BM529">
        <f>IF($E529="","",IFERROR(VLOOKUP($C529,'_CONFIG_Risk_Calibration'!$A$5:$H$21,5,FALSE),3))</f>
        <v/>
      </c>
      <c r="BN529">
        <f>IF($E529="","",IFERROR(VLOOKUP($C529,'_CONFIG_Risk_Calibration'!$A$5:$H$21,6,FALSE),"No"))</f>
        <v/>
      </c>
      <c r="BO529">
        <f>IF($E529="","",IFERROR(VLOOKUP($C529,'_CONFIG_Risk_Calibration'!$A$5:$H$21,7,FALSE),1))</f>
        <v/>
      </c>
      <c r="BP529">
        <f>IF($H529="","",MAX(1,MIN(5,((6-$H529)*0.45)+($BJ529*0.20)+('Resilience &amp; Risk Scenario'!$B$7*0.15)+($BK529*0.10)+($BL529*0.05)+(IF($BB529="Fast",5,IF($BB529="Slow",1,3))*0.05))))</f>
        <v/>
      </c>
      <c r="BQ529">
        <f>IF($H529="","",MAX(IF($BN529="Yes",$BO529,1),MIN(5,($U529*0.20)+($V529*0.15)+($W529*0.25)+($X529*0.15)+($BJ529*0.10)+($BM529*0.15))))</f>
        <v/>
      </c>
      <c r="BR529">
        <f>IF(OR($BP529="",$BQ529=""),"",ROUND($BP529*$BQ529,2))</f>
        <v/>
      </c>
      <c r="BS529">
        <f>IF($BR529="","",ROUND($BR529*IF($AO529="",1,$AO529)*IF($AX529="",1,$AX529)*(1+(($BM529-3)*0.10))*IF($BC529="",1,$BC529),2))</f>
        <v/>
      </c>
    </row>
    <row r="530" ht="69.90000000000001" customHeight="1" s="209">
      <c r="A530">
        <f>IF($BD530="","",SUMPRODUCT(ISNUMBER($BD$500:$BD$923)*($BD$500:$BD$923&gt;$BD530))+COUNTIF($BD$500:$BD530,$BD530))</f>
        <v/>
      </c>
      <c r="B530">
        <f>IF($H530="","",IF($H530&lt;5,"Yes","Maintain"))</f>
        <v/>
      </c>
      <c r="C530" t="inlineStr">
        <is>
          <t>Strategy GTM</t>
        </is>
      </c>
      <c r="D530" t="inlineStr">
        <is>
          <t>Market and ICP</t>
        </is>
      </c>
      <c r="E530" t="inlineStr">
        <is>
          <t>STRA-012</t>
        </is>
      </c>
      <c r="F530" t="inlineStr">
        <is>
          <t>Strategic and go-to-market resilience</t>
        </is>
      </c>
      <c r="G530">
        <f>IF($H530="","",IFERROR(INDEX('_ENGINE_Risk'!$H$41:$M$920,MATCH($E530,'_ENGINE_Risk'!$A$41:$A$920,0),$H530+1),""))</f>
        <v/>
      </c>
      <c r="H530">
        <f>IFERROR(VALUE(INDEX(_DATA_Assessment_Model!$H$5:$H$884,MATCH($E530,_DATA_Assessment_Model!$A$5:$A$884,0))),"")</f>
        <v/>
      </c>
      <c r="I530">
        <f>IF($H530="","",IFERROR(INDEX(_DATA_Assessment_Model!$L$5:$L$884,MATCH($E530,_DATA_Assessment_Model!$A$5:$A$884,0)),IF($H530&lt;=1,"Critical",IF($H530=2,"High",IF($H530=3,"Medium",IF($H530=4,"Low","Resilient"))))))</f>
        <v/>
      </c>
      <c r="J530">
        <f>IF($H530="","",MIN(5,MAX(1,6-$H530)))</f>
        <v/>
      </c>
      <c r="K530">
        <f>IF($H530="","",MAX(1,MIN(5,ROUNDUP(($U530*0.45)+($W530*0.35)+($X530*0.2),0))))</f>
        <v/>
      </c>
      <c r="L530">
        <f>IF($H530="","",$J530*$K530)</f>
        <v/>
      </c>
      <c r="M530">
        <f>IF($H530="","",MAX(1,MIN(5,ROUNDUP($L530/5,0))))</f>
        <v/>
      </c>
      <c r="N530">
        <f>IF($H530="","",IFERROR(INDEX('_ENGINE_Risk'!$T$41:$Y$920,MATCH($E530,'_ENGINE_Risk'!$A$41:$A$920,0),$H530+1),""))</f>
        <v/>
      </c>
      <c r="O530">
        <f>IF($H530="","",MAX(1,MIN(5,($U530+$V530+$X530)/3)))</f>
        <v/>
      </c>
      <c r="P530">
        <f>IF($H530="","",IF($I530="Critical",5,IF($I530="High",4,IF($I530="Medium",3,IF($I530="Low",2,1)))))</f>
        <v/>
      </c>
      <c r="Q530">
        <f>IF($H530="","",MAX(1,MIN(5,((5-$H530)*0.65)+($W530*0.35))))</f>
        <v/>
      </c>
      <c r="R530">
        <f>IF($H530="","",MAX(1,MIN(5,($V530+$X530)/2)))</f>
        <v/>
      </c>
      <c r="S530">
        <f>IF(OR($H530="",$N530=""),"",ROUND(($O530+$P530+$Q530+$R530)/$N530,2))</f>
        <v/>
      </c>
      <c r="T530">
        <f>IF($H530="","",IFERROR(INDEX('_ENGINE_Risk'!$N$41:$S$920,MATCH($E530,'_ENGINE_Risk'!$A$41:$A$920,0),$H530+1),""))</f>
        <v/>
      </c>
      <c r="U530">
        <f>IFERROR(INDEX(_DATA_Assessment_Model!$G$5:$G$884,MATCH($E530,_DATA_Assessment_Model!$A$5:$A$884,0)),"")</f>
        <v/>
      </c>
      <c r="V530">
        <f>IFERROR(INDEX(_DATA_Assessment_Model!$W$5:$W$884,MATCH($E530,_DATA_Assessment_Model!$A$5:$A$884,0)),"")</f>
        <v/>
      </c>
      <c r="W530">
        <f>IFERROR(INDEX(_DATA_Assessment_Model!$X$5:$X$884,MATCH($E530,_DATA_Assessment_Model!$A$5:$A$884,0)),"")</f>
        <v/>
      </c>
      <c r="X530">
        <f>IFERROR(INDEX(_DATA_Assessment_Model!$Y$5:$Y$884,MATCH($E530,_DATA_Assessment_Model!$A$5:$A$884,0)),"")</f>
        <v/>
      </c>
      <c r="Y530" t="inlineStr">
        <is>
          <t>Demand shock; Financial liquidity crisis; Reputation crisis</t>
        </is>
      </c>
      <c r="Z530" t="inlineStr">
        <is>
          <t>CEO / CSO / CCO</t>
        </is>
      </c>
      <c r="AA530" t="inlineStr">
        <is>
          <t>Policy/SOP; owner/RACI; system report; dashboard; contracts; test records; incident history; interview evidence related to customer concentration and exposure to specific industries, geographies or budget cycles.</t>
        </is>
      </c>
      <c r="AB530">
        <f>IFERROR(INDEX(_DATA_Assessment_Model!$U$5:$U$884,MATCH($E530,_DATA_Assessment_Model!$A$5:$A$884,0)),"")</f>
        <v/>
      </c>
      <c r="AF530" t="inlineStr">
        <is>
          <t>How mature is the organization in managing customer concentration and exposure to specific industries, geographies or budget cycles, including ownership, evidence, metrics, fallback procedures and crisis stress testing?</t>
        </is>
      </c>
      <c r="AO530">
        <f>IF($B530="Yes",IFERROR(INDEX(_ENGINE_Crisis!$F$501:$F$517,MATCH($C530,_ENGINE_Crisis!$A$501:$A$517,0)),1),"")</f>
        <v/>
      </c>
      <c r="AP530">
        <f>IF(AO530="","",ROUND($L530*AO530,1))</f>
        <v/>
      </c>
      <c r="AQ530">
        <f>IF(OR(AO530="",$S530=""),"",ROUND($S530*(0.7+0.3*AO530),2))</f>
        <v/>
      </c>
      <c r="AR530">
        <f>IFERROR(INDEX(_ENGINE_Crisis!$E$41:$E$700,MATCH('Resilience &amp; Risk Scenario'!$B$60&amp;"|"&amp;$C530,_ENGINE_Crisis!$I$41:$I$700,0)),"")</f>
        <v/>
      </c>
      <c r="AS530">
        <f>IFERROR(INDEX(_ENGINE_Crisis!$G$41:$G$700,MATCH('Resilience &amp; Risk Scenario'!$B$60&amp;"|"&amp;$C530,_ENGINE_Crisis!$I$41:$I$700,0)),"")</f>
        <v/>
      </c>
      <c r="AT530">
        <f>IFERROR(INDEX(_ENGINE_Initiatives!$A$5:$A$532,MATCH(1,INDEX((_ENGINE_Initiatives!$B$5:$B$532=$C530)*(_ENGINE_Initiatives!$C$5:$C$532=$D530),0),0)),"")</f>
        <v/>
      </c>
      <c r="AU530">
        <f>IFERROR(INDEX(_ENGINE_Initiatives!$F$5:$F$532,MATCH(1,INDEX((_ENGINE_Initiatives!$B$5:$B$532=$C530)*(_ENGINE_Initiatives!$C$5:$C$532=$D530),0),0)),"")</f>
        <v/>
      </c>
      <c r="AV530">
        <f>IFERROR(INDEX(_ENGINE_Initiatives!$AC$5:$AC$532,MATCH(1,INDEX((_ENGINE_Initiatives!$B$5:$B$532=$C530)*(_ENGINE_Initiatives!$C$5:$C$532=$D530),0),0)),"")</f>
        <v/>
      </c>
      <c r="AW530">
        <f>IFERROR(INDEX(_ENGINE_Initiatives!$AE$5:$AE$532,MATCH(1,INDEX((_ENGINE_Initiatives!$B$5:$B$532=$C530)*(_ENGINE_Initiatives!$C$5:$C$532=$D530),0),0)),"")</f>
        <v/>
      </c>
      <c r="AX530">
        <f>IF($B530="Yes",IFERROR(IF(SUMIFS(_REF_Model_Content!$E$1:$E$613,_REF_Model_Content!$A$1:$A$613,'Company Profile'!$B$9,_REF_Model_Content!$B$1:$B$613,$C530)=0,1,SUMIFS(_REF_Model_Content!$E$1:$E$613,_REF_Model_Content!$A$1:$A$613,'Company Profile'!$B$9,_REF_Model_Content!$B$1:$B$613,$C530)),1),"")</f>
        <v/>
      </c>
      <c r="AY530">
        <f>IF($L530="","",ROUND(IF($AP530="",$L530,$AP530)*IF($AX530="",1,$AX530),2))</f>
        <v/>
      </c>
      <c r="AZ530">
        <f>IF($S530="","",ROUND(IF($AQ530="",$S530,$AQ530)*IF($AX530="",1,$AX530),2))</f>
        <v/>
      </c>
      <c r="BB530">
        <f>IF($H530="","",IFERROR(INDEX('_ENGINE_Risk'!$AE$41:$AE$920,MATCH($E530,'_ENGINE_Risk'!$A$41:$A$920,0)),"Medium"))</f>
        <v/>
      </c>
      <c r="BC530">
        <f>IF($BB530="","",IF($BB530="Fast",1.25,IF($BB530="Slow",0.85,1)))</f>
        <v/>
      </c>
      <c r="BD530">
        <f>IF(OR($AZ530="",$BC530=""),"",ROUND($AZ530*$BC530,2))</f>
        <v/>
      </c>
      <c r="BF530">
        <f>IF(OR($H530="",$J530=""),"",_xlfn.IFNA(VLOOKUP($J530,_CONFIG_Model_Settings!$D$610:$E$614,2,0),""))</f>
        <v/>
      </c>
      <c r="BG530">
        <f>IF(OR($H530="",$K530=""),"",ROUND('Company Profile'!$B$569*INDEX(_CONFIG_Model_Settings!$H$610:$H$614,MATCH($K530,_CONFIG_Model_Settings!$G$610:$G$614,0)),0))</f>
        <v/>
      </c>
      <c r="BH530">
        <f>IF(OR($BF530="",$BG530=""),"",ROUND($BF530*$BG530,1))</f>
        <v/>
      </c>
      <c r="BI530">
        <f>IF($BH530="","",IF($AO530="",$BH530,ROUND($BH530*$AO530,1)))</f>
        <v/>
      </c>
      <c r="BJ530">
        <f>IF($E530="","",IFERROR(VLOOKUP($C530,'_CONFIG_Risk_Calibration'!$A$5:$H$21,2,FALSE),3))</f>
        <v/>
      </c>
      <c r="BK530">
        <f>IF($E530="","",IFERROR(VLOOKUP($C530,'_CONFIG_Risk_Calibration'!$A$5:$H$21,3,FALSE),0))</f>
        <v/>
      </c>
      <c r="BL530">
        <f>IF($E530="","",IFERROR(VLOOKUP($C530,'_CONFIG_Risk_Calibration'!$A$5:$H$21,4,FALSE),3))</f>
        <v/>
      </c>
      <c r="BM530">
        <f>IF($E530="","",IFERROR(VLOOKUP($C530,'_CONFIG_Risk_Calibration'!$A$5:$H$21,5,FALSE),3))</f>
        <v/>
      </c>
      <c r="BN530">
        <f>IF($E530="","",IFERROR(VLOOKUP($C530,'_CONFIG_Risk_Calibration'!$A$5:$H$21,6,FALSE),"No"))</f>
        <v/>
      </c>
      <c r="BO530">
        <f>IF($E530="","",IFERROR(VLOOKUP($C530,'_CONFIG_Risk_Calibration'!$A$5:$H$21,7,FALSE),1))</f>
        <v/>
      </c>
      <c r="BP530">
        <f>IF($H530="","",MAX(1,MIN(5,((6-$H530)*0.45)+($BJ530*0.20)+('Resilience &amp; Risk Scenario'!$B$7*0.15)+($BK530*0.10)+($BL530*0.05)+(IF($BB530="Fast",5,IF($BB530="Slow",1,3))*0.05))))</f>
        <v/>
      </c>
      <c r="BQ530">
        <f>IF($H530="","",MAX(IF($BN530="Yes",$BO530,1),MIN(5,($U530*0.20)+($V530*0.15)+($W530*0.25)+($X530*0.15)+($BJ530*0.10)+($BM530*0.15))))</f>
        <v/>
      </c>
      <c r="BR530">
        <f>IF(OR($BP530="",$BQ530=""),"",ROUND($BP530*$BQ530,2))</f>
        <v/>
      </c>
      <c r="BS530">
        <f>IF($BR530="","",ROUND($BR530*IF($AO530="",1,$AO530)*IF($AX530="",1,$AX530)*(1+(($BM530-3)*0.10))*IF($BC530="",1,$BC530),2))</f>
        <v/>
      </c>
    </row>
    <row r="531" ht="69.90000000000001" customHeight="1" s="209">
      <c r="A531">
        <f>IF($BD531="","",SUMPRODUCT(ISNUMBER($BD$500:$BD$923)*($BD$500:$BD$923&gt;$BD531))+COUNTIF($BD$500:$BD531,$BD531))</f>
        <v/>
      </c>
      <c r="B531">
        <f>IF($H531="","",IF($H531&lt;5,"Yes","Maintain"))</f>
        <v/>
      </c>
      <c r="C531" t="inlineStr">
        <is>
          <t>Strategy GTM</t>
        </is>
      </c>
      <c r="D531" t="inlineStr">
        <is>
          <t>Offering and positioning</t>
        </is>
      </c>
      <c r="E531" t="inlineStr">
        <is>
          <t>STRA-013</t>
        </is>
      </c>
      <c r="F531" t="inlineStr">
        <is>
          <t>Strategic and go-to-market resilience</t>
        </is>
      </c>
      <c r="G531">
        <f>IF($H531="","",IFERROR(INDEX('_ENGINE_Risk'!$H$41:$M$920,MATCH($E531,'_ENGINE_Risk'!$A$41:$A$920,0),$H531+1),""))</f>
        <v/>
      </c>
      <c r="H531">
        <f>IFERROR(VALUE(INDEX(_DATA_Assessment_Model!$H$5:$H$884,MATCH($E531,_DATA_Assessment_Model!$A$5:$A$884,0))),"")</f>
        <v/>
      </c>
      <c r="I531">
        <f>IF($H531="","",IFERROR(INDEX(_DATA_Assessment_Model!$L$5:$L$884,MATCH($E531,_DATA_Assessment_Model!$A$5:$A$884,0)),IF($H531&lt;=1,"Critical",IF($H531=2,"High",IF($H531=3,"Medium",IF($H531=4,"Low","Resilient"))))))</f>
        <v/>
      </c>
      <c r="J531">
        <f>IF($H531="","",MIN(5,MAX(1,6-$H531)))</f>
        <v/>
      </c>
      <c r="K531">
        <f>IF($H531="","",MAX(1,MIN(5,ROUNDUP(($U531*0.45)+($W531*0.35)+($X531*0.2),0))))</f>
        <v/>
      </c>
      <c r="L531">
        <f>IF($H531="","",$J531*$K531)</f>
        <v/>
      </c>
      <c r="M531">
        <f>IF($H531="","",MAX(1,MIN(5,ROUNDUP($L531/5,0))))</f>
        <v/>
      </c>
      <c r="N531">
        <f>IF($H531="","",IFERROR(INDEX('_ENGINE_Risk'!$T$41:$Y$920,MATCH($E531,'_ENGINE_Risk'!$A$41:$A$920,0),$H531+1),""))</f>
        <v/>
      </c>
      <c r="O531">
        <f>IF($H531="","",MAX(1,MIN(5,($U531+$V531+$X531)/3)))</f>
        <v/>
      </c>
      <c r="P531">
        <f>IF($H531="","",IF($I531="Critical",5,IF($I531="High",4,IF($I531="Medium",3,IF($I531="Low",2,1)))))</f>
        <v/>
      </c>
      <c r="Q531">
        <f>IF($H531="","",MAX(1,MIN(5,((5-$H531)*0.65)+($W531*0.35))))</f>
        <v/>
      </c>
      <c r="R531">
        <f>IF($H531="","",MAX(1,MIN(5,($V531+$X531)/2)))</f>
        <v/>
      </c>
      <c r="S531">
        <f>IF(OR($H531="",$N531=""),"",ROUND(($O531+$P531+$Q531+$R531)/$N531,2))</f>
        <v/>
      </c>
      <c r="T531">
        <f>IF($H531="","",IFERROR(INDEX('_ENGINE_Risk'!$N$41:$S$920,MATCH($E531,'_ENGINE_Risk'!$A$41:$A$920,0),$H531+1),""))</f>
        <v/>
      </c>
      <c r="U531">
        <f>IFERROR(INDEX(_DATA_Assessment_Model!$G$5:$G$884,MATCH($E531,_DATA_Assessment_Model!$A$5:$A$884,0)),"")</f>
        <v/>
      </c>
      <c r="V531">
        <f>IFERROR(INDEX(_DATA_Assessment_Model!$W$5:$W$884,MATCH($E531,_DATA_Assessment_Model!$A$5:$A$884,0)),"")</f>
        <v/>
      </c>
      <c r="W531">
        <f>IFERROR(INDEX(_DATA_Assessment_Model!$X$5:$X$884,MATCH($E531,_DATA_Assessment_Model!$A$5:$A$884,0)),"")</f>
        <v/>
      </c>
      <c r="X531">
        <f>IFERROR(INDEX(_DATA_Assessment_Model!$Y$5:$Y$884,MATCH($E531,_DATA_Assessment_Model!$A$5:$A$884,0)),"")</f>
        <v/>
      </c>
      <c r="Y531" t="inlineStr">
        <is>
          <t>Demand shock; Financial liquidity crisis; Reputation crisis</t>
        </is>
      </c>
      <c r="Z531" t="inlineStr">
        <is>
          <t>CEO / CSO / CCO</t>
        </is>
      </c>
      <c r="AA531" t="inlineStr">
        <is>
          <t>Policy/SOP; owner/RACI; system report; dashboard; contracts; test records; incident history; interview evidence related to structured offering catalog with packages, scope, outcomes, assumptions and delivery requirements.</t>
        </is>
      </c>
      <c r="AB531">
        <f>IFERROR(INDEX(_DATA_Assessment_Model!$U$5:$U$884,MATCH($E531,_DATA_Assessment_Model!$A$5:$A$884,0)),"")</f>
        <v/>
      </c>
      <c r="AF531" t="inlineStr">
        <is>
          <t>How mature is the organization in managing structured offering catalog with packages, scope, outcomes, assumptions and delivery requirements, including ownership, evidence, metrics, fallback procedures and crisis stress testing?</t>
        </is>
      </c>
      <c r="AO531">
        <f>IF($B531="Yes",IFERROR(INDEX(_ENGINE_Crisis!$F$501:$F$517,MATCH($C531,_ENGINE_Crisis!$A$501:$A$517,0)),1),"")</f>
        <v/>
      </c>
      <c r="AP531">
        <f>IF(AO531="","",ROUND($L531*AO531,1))</f>
        <v/>
      </c>
      <c r="AQ531">
        <f>IF(OR(AO531="",$S531=""),"",ROUND($S531*(0.7+0.3*AO531),2))</f>
        <v/>
      </c>
      <c r="AR531">
        <f>IFERROR(INDEX(_ENGINE_Crisis!$E$41:$E$700,MATCH('Resilience &amp; Risk Scenario'!$B$60&amp;"|"&amp;$C531,_ENGINE_Crisis!$I$41:$I$700,0)),"")</f>
        <v/>
      </c>
      <c r="AS531">
        <f>IFERROR(INDEX(_ENGINE_Crisis!$G$41:$G$700,MATCH('Resilience &amp; Risk Scenario'!$B$60&amp;"|"&amp;$C531,_ENGINE_Crisis!$I$41:$I$700,0)),"")</f>
        <v/>
      </c>
      <c r="AT531">
        <f>IFERROR(INDEX(_ENGINE_Initiatives!$A$5:$A$532,MATCH(1,INDEX((_ENGINE_Initiatives!$B$5:$B$532=$C531)*(_ENGINE_Initiatives!$C$5:$C$532=$D531),0),0)),"")</f>
        <v/>
      </c>
      <c r="AU531">
        <f>IFERROR(INDEX(_ENGINE_Initiatives!$F$5:$F$532,MATCH(1,INDEX((_ENGINE_Initiatives!$B$5:$B$532=$C531)*(_ENGINE_Initiatives!$C$5:$C$532=$D531),0),0)),"")</f>
        <v/>
      </c>
      <c r="AV531">
        <f>IFERROR(INDEX(_ENGINE_Initiatives!$AC$5:$AC$532,MATCH(1,INDEX((_ENGINE_Initiatives!$B$5:$B$532=$C531)*(_ENGINE_Initiatives!$C$5:$C$532=$D531),0),0)),"")</f>
        <v/>
      </c>
      <c r="AW531">
        <f>IFERROR(INDEX(_ENGINE_Initiatives!$AE$5:$AE$532,MATCH(1,INDEX((_ENGINE_Initiatives!$B$5:$B$532=$C531)*(_ENGINE_Initiatives!$C$5:$C$532=$D531),0),0)),"")</f>
        <v/>
      </c>
      <c r="AX531">
        <f>IF($B531="Yes",IFERROR(IF(SUMIFS(_REF_Model_Content!$E$1:$E$613,_REF_Model_Content!$A$1:$A$613,'Company Profile'!$B$9,_REF_Model_Content!$B$1:$B$613,$C531)=0,1,SUMIFS(_REF_Model_Content!$E$1:$E$613,_REF_Model_Content!$A$1:$A$613,'Company Profile'!$B$9,_REF_Model_Content!$B$1:$B$613,$C531)),1),"")</f>
        <v/>
      </c>
      <c r="AY531">
        <f>IF($L531="","",ROUND(IF($AP531="",$L531,$AP531)*IF($AX531="",1,$AX531),2))</f>
        <v/>
      </c>
      <c r="AZ531">
        <f>IF($S531="","",ROUND(IF($AQ531="",$S531,$AQ531)*IF($AX531="",1,$AX531),2))</f>
        <v/>
      </c>
      <c r="BB531">
        <f>IF($H531="","",IFERROR(INDEX('_ENGINE_Risk'!$AE$41:$AE$920,MATCH($E531,'_ENGINE_Risk'!$A$41:$A$920,0)),"Medium"))</f>
        <v/>
      </c>
      <c r="BC531">
        <f>IF($BB531="","",IF($BB531="Fast",1.25,IF($BB531="Slow",0.85,1)))</f>
        <v/>
      </c>
      <c r="BD531">
        <f>IF(OR($AZ531="",$BC531=""),"",ROUND($AZ531*$BC531,2))</f>
        <v/>
      </c>
      <c r="BF531">
        <f>IF(OR($H531="",$J531=""),"",_xlfn.IFNA(VLOOKUP($J531,_CONFIG_Model_Settings!$D$610:$E$614,2,0),""))</f>
        <v/>
      </c>
      <c r="BG531">
        <f>IF(OR($H531="",$K531=""),"",ROUND('Company Profile'!$B$569*INDEX(_CONFIG_Model_Settings!$H$610:$H$614,MATCH($K531,_CONFIG_Model_Settings!$G$610:$G$614,0)),0))</f>
        <v/>
      </c>
      <c r="BH531">
        <f>IF(OR($BF531="",$BG531=""),"",ROUND($BF531*$BG531,1))</f>
        <v/>
      </c>
      <c r="BI531">
        <f>IF($BH531="","",IF($AO531="",$BH531,ROUND($BH531*$AO531,1)))</f>
        <v/>
      </c>
      <c r="BJ531">
        <f>IF($E531="","",IFERROR(VLOOKUP($C531,'_CONFIG_Risk_Calibration'!$A$5:$H$21,2,FALSE),3))</f>
        <v/>
      </c>
      <c r="BK531">
        <f>IF($E531="","",IFERROR(VLOOKUP($C531,'_CONFIG_Risk_Calibration'!$A$5:$H$21,3,FALSE),0))</f>
        <v/>
      </c>
      <c r="BL531">
        <f>IF($E531="","",IFERROR(VLOOKUP($C531,'_CONFIG_Risk_Calibration'!$A$5:$H$21,4,FALSE),3))</f>
        <v/>
      </c>
      <c r="BM531">
        <f>IF($E531="","",IFERROR(VLOOKUP($C531,'_CONFIG_Risk_Calibration'!$A$5:$H$21,5,FALSE),3))</f>
        <v/>
      </c>
      <c r="BN531">
        <f>IF($E531="","",IFERROR(VLOOKUP($C531,'_CONFIG_Risk_Calibration'!$A$5:$H$21,6,FALSE),"No"))</f>
        <v/>
      </c>
      <c r="BO531">
        <f>IF($E531="","",IFERROR(VLOOKUP($C531,'_CONFIG_Risk_Calibration'!$A$5:$H$21,7,FALSE),1))</f>
        <v/>
      </c>
      <c r="BP531">
        <f>IF($H531="","",MAX(1,MIN(5,((6-$H531)*0.45)+($BJ531*0.20)+('Resilience &amp; Risk Scenario'!$B$7*0.15)+($BK531*0.10)+($BL531*0.05)+(IF($BB531="Fast",5,IF($BB531="Slow",1,3))*0.05))))</f>
        <v/>
      </c>
      <c r="BQ531">
        <f>IF($H531="","",MAX(IF($BN531="Yes",$BO531,1),MIN(5,($U531*0.20)+($V531*0.15)+($W531*0.25)+($X531*0.15)+($BJ531*0.10)+($BM531*0.15))))</f>
        <v/>
      </c>
      <c r="BR531">
        <f>IF(OR($BP531="",$BQ531=""),"",ROUND($BP531*$BQ531,2))</f>
        <v/>
      </c>
      <c r="BS531">
        <f>IF($BR531="","",ROUND($BR531*IF($AO531="",1,$AO531)*IF($AX531="",1,$AX531)*(1+(($BM531-3)*0.10))*IF($BC531="",1,$BC531),2))</f>
        <v/>
      </c>
    </row>
    <row r="532" ht="69.90000000000001" customHeight="1" s="209">
      <c r="A532">
        <f>IF($BD532="","",SUMPRODUCT(ISNUMBER($BD$500:$BD$923)*($BD$500:$BD$923&gt;$BD532))+COUNTIF($BD$500:$BD532,$BD532))</f>
        <v/>
      </c>
      <c r="B532">
        <f>IF($H532="","",IF($H532&lt;5,"Yes","Maintain"))</f>
        <v/>
      </c>
      <c r="C532" t="inlineStr">
        <is>
          <t>Strategy GTM</t>
        </is>
      </c>
      <c r="D532" t="inlineStr">
        <is>
          <t>Offering and positioning</t>
        </is>
      </c>
      <c r="E532" t="inlineStr">
        <is>
          <t>STRA-014</t>
        </is>
      </c>
      <c r="F532" t="inlineStr">
        <is>
          <t>Strategic and go-to-market resilience</t>
        </is>
      </c>
      <c r="G532">
        <f>IF($H532="","",IFERROR(INDEX('_ENGINE_Risk'!$H$41:$M$920,MATCH($E532,'_ENGINE_Risk'!$A$41:$A$920,0),$H532+1),""))</f>
        <v/>
      </c>
      <c r="H532">
        <f>IFERROR(VALUE(INDEX(_DATA_Assessment_Model!$H$5:$H$884,MATCH($E532,_DATA_Assessment_Model!$A$5:$A$884,0))),"")</f>
        <v/>
      </c>
      <c r="I532">
        <f>IF($H532="","",IFERROR(INDEX(_DATA_Assessment_Model!$L$5:$L$884,MATCH($E532,_DATA_Assessment_Model!$A$5:$A$884,0)),IF($H532&lt;=1,"Critical",IF($H532=2,"High",IF($H532=3,"Medium",IF($H532=4,"Low","Resilient"))))))</f>
        <v/>
      </c>
      <c r="J532">
        <f>IF($H532="","",MIN(5,MAX(1,6-$H532)))</f>
        <v/>
      </c>
      <c r="K532">
        <f>IF($H532="","",MAX(1,MIN(5,ROUNDUP(($U532*0.45)+($W532*0.35)+($X532*0.2),0))))</f>
        <v/>
      </c>
      <c r="L532">
        <f>IF($H532="","",$J532*$K532)</f>
        <v/>
      </c>
      <c r="M532">
        <f>IF($H532="","",MAX(1,MIN(5,ROUNDUP($L532/5,0))))</f>
        <v/>
      </c>
      <c r="N532">
        <f>IF($H532="","",IFERROR(INDEX('_ENGINE_Risk'!$T$41:$Y$920,MATCH($E532,'_ENGINE_Risk'!$A$41:$A$920,0),$H532+1),""))</f>
        <v/>
      </c>
      <c r="O532">
        <f>IF($H532="","",MAX(1,MIN(5,($U532+$V532+$X532)/3)))</f>
        <v/>
      </c>
      <c r="P532">
        <f>IF($H532="","",IF($I532="Critical",5,IF($I532="High",4,IF($I532="Medium",3,IF($I532="Low",2,1)))))</f>
        <v/>
      </c>
      <c r="Q532">
        <f>IF($H532="","",MAX(1,MIN(5,((5-$H532)*0.65)+($W532*0.35))))</f>
        <v/>
      </c>
      <c r="R532">
        <f>IF($H532="","",MAX(1,MIN(5,($V532+$X532)/2)))</f>
        <v/>
      </c>
      <c r="S532">
        <f>IF(OR($H532="",$N532=""),"",ROUND(($O532+$P532+$Q532+$R532)/$N532,2))</f>
        <v/>
      </c>
      <c r="T532">
        <f>IF($H532="","",IFERROR(INDEX('_ENGINE_Risk'!$N$41:$S$920,MATCH($E532,'_ENGINE_Risk'!$A$41:$A$920,0),$H532+1),""))</f>
        <v/>
      </c>
      <c r="U532">
        <f>IFERROR(INDEX(_DATA_Assessment_Model!$G$5:$G$884,MATCH($E532,_DATA_Assessment_Model!$A$5:$A$884,0)),"")</f>
        <v/>
      </c>
      <c r="V532">
        <f>IFERROR(INDEX(_DATA_Assessment_Model!$W$5:$W$884,MATCH($E532,_DATA_Assessment_Model!$A$5:$A$884,0)),"")</f>
        <v/>
      </c>
      <c r="W532">
        <f>IFERROR(INDEX(_DATA_Assessment_Model!$X$5:$X$884,MATCH($E532,_DATA_Assessment_Model!$A$5:$A$884,0)),"")</f>
        <v/>
      </c>
      <c r="X532">
        <f>IFERROR(INDEX(_DATA_Assessment_Model!$Y$5:$Y$884,MATCH($E532,_DATA_Assessment_Model!$A$5:$A$884,0)),"")</f>
        <v/>
      </c>
      <c r="Y532" t="inlineStr">
        <is>
          <t>Demand shock; Financial liquidity crisis; Reputation crisis</t>
        </is>
      </c>
      <c r="Z532" t="inlineStr">
        <is>
          <t>CEO / CSO / CCO</t>
        </is>
      </c>
      <c r="AA532" t="inlineStr">
        <is>
          <t>Policy/SOP; owner/RACI; system report; dashboard; contracts; test records; incident history; interview evidence related to clear differentiation against direct competitors, substitutes and in-house alternatives.</t>
        </is>
      </c>
      <c r="AB532">
        <f>IFERROR(INDEX(_DATA_Assessment_Model!$U$5:$U$884,MATCH($E532,_DATA_Assessment_Model!$A$5:$A$884,0)),"")</f>
        <v/>
      </c>
      <c r="AF532" t="inlineStr">
        <is>
          <t>How mature is the organization in managing clear differentiation against direct competitors, substitutes and in-house alternatives, including ownership, evidence, metrics, fallback procedures and crisis stress testing?</t>
        </is>
      </c>
      <c r="AO532">
        <f>IF($B532="Yes",IFERROR(INDEX(_ENGINE_Crisis!$F$501:$F$517,MATCH($C532,_ENGINE_Crisis!$A$501:$A$517,0)),1),"")</f>
        <v/>
      </c>
      <c r="AP532">
        <f>IF(AO532="","",ROUND($L532*AO532,1))</f>
        <v/>
      </c>
      <c r="AQ532">
        <f>IF(OR(AO532="",$S532=""),"",ROUND($S532*(0.7+0.3*AO532),2))</f>
        <v/>
      </c>
      <c r="AR532">
        <f>IFERROR(INDEX(_ENGINE_Crisis!$E$41:$E$700,MATCH('Resilience &amp; Risk Scenario'!$B$60&amp;"|"&amp;$C532,_ENGINE_Crisis!$I$41:$I$700,0)),"")</f>
        <v/>
      </c>
      <c r="AS532">
        <f>IFERROR(INDEX(_ENGINE_Crisis!$G$41:$G$700,MATCH('Resilience &amp; Risk Scenario'!$B$60&amp;"|"&amp;$C532,_ENGINE_Crisis!$I$41:$I$700,0)),"")</f>
        <v/>
      </c>
      <c r="AT532">
        <f>IFERROR(INDEX(_ENGINE_Initiatives!$A$5:$A$532,MATCH(1,INDEX((_ENGINE_Initiatives!$B$5:$B$532=$C532)*(_ENGINE_Initiatives!$C$5:$C$532=$D532),0),0)),"")</f>
        <v/>
      </c>
      <c r="AU532">
        <f>IFERROR(INDEX(_ENGINE_Initiatives!$F$5:$F$532,MATCH(1,INDEX((_ENGINE_Initiatives!$B$5:$B$532=$C532)*(_ENGINE_Initiatives!$C$5:$C$532=$D532),0),0)),"")</f>
        <v/>
      </c>
      <c r="AV532">
        <f>IFERROR(INDEX(_ENGINE_Initiatives!$AC$5:$AC$532,MATCH(1,INDEX((_ENGINE_Initiatives!$B$5:$B$532=$C532)*(_ENGINE_Initiatives!$C$5:$C$532=$D532),0),0)),"")</f>
        <v/>
      </c>
      <c r="AW532">
        <f>IFERROR(INDEX(_ENGINE_Initiatives!$AE$5:$AE$532,MATCH(1,INDEX((_ENGINE_Initiatives!$B$5:$B$532=$C532)*(_ENGINE_Initiatives!$C$5:$C$532=$D532),0),0)),"")</f>
        <v/>
      </c>
      <c r="AX532">
        <f>IF($B532="Yes",IFERROR(IF(SUMIFS(_REF_Model_Content!$E$1:$E$613,_REF_Model_Content!$A$1:$A$613,'Company Profile'!$B$9,_REF_Model_Content!$B$1:$B$613,$C532)=0,1,SUMIFS(_REF_Model_Content!$E$1:$E$613,_REF_Model_Content!$A$1:$A$613,'Company Profile'!$B$9,_REF_Model_Content!$B$1:$B$613,$C532)),1),"")</f>
        <v/>
      </c>
      <c r="AY532">
        <f>IF($L532="","",ROUND(IF($AP532="",$L532,$AP532)*IF($AX532="",1,$AX532),2))</f>
        <v/>
      </c>
      <c r="AZ532">
        <f>IF($S532="","",ROUND(IF($AQ532="",$S532,$AQ532)*IF($AX532="",1,$AX532),2))</f>
        <v/>
      </c>
      <c r="BB532">
        <f>IF($H532="","",IFERROR(INDEX('_ENGINE_Risk'!$AE$41:$AE$920,MATCH($E532,'_ENGINE_Risk'!$A$41:$A$920,0)),"Medium"))</f>
        <v/>
      </c>
      <c r="BC532">
        <f>IF($BB532="","",IF($BB532="Fast",1.25,IF($BB532="Slow",0.85,1)))</f>
        <v/>
      </c>
      <c r="BD532">
        <f>IF(OR($AZ532="",$BC532=""),"",ROUND($AZ532*$BC532,2))</f>
        <v/>
      </c>
      <c r="BF532">
        <f>IF(OR($H532="",$J532=""),"",_xlfn.IFNA(VLOOKUP($J532,_CONFIG_Model_Settings!$D$610:$E$614,2,0),""))</f>
        <v/>
      </c>
      <c r="BG532">
        <f>IF(OR($H532="",$K532=""),"",ROUND('Company Profile'!$B$569*INDEX(_CONFIG_Model_Settings!$H$610:$H$614,MATCH($K532,_CONFIG_Model_Settings!$G$610:$G$614,0)),0))</f>
        <v/>
      </c>
      <c r="BH532">
        <f>IF(OR($BF532="",$BG532=""),"",ROUND($BF532*$BG532,1))</f>
        <v/>
      </c>
      <c r="BI532">
        <f>IF($BH532="","",IF($AO532="",$BH532,ROUND($BH532*$AO532,1)))</f>
        <v/>
      </c>
      <c r="BJ532">
        <f>IF($E532="","",IFERROR(VLOOKUP($C532,'_CONFIG_Risk_Calibration'!$A$5:$H$21,2,FALSE),3))</f>
        <v/>
      </c>
      <c r="BK532">
        <f>IF($E532="","",IFERROR(VLOOKUP($C532,'_CONFIG_Risk_Calibration'!$A$5:$H$21,3,FALSE),0))</f>
        <v/>
      </c>
      <c r="BL532">
        <f>IF($E532="","",IFERROR(VLOOKUP($C532,'_CONFIG_Risk_Calibration'!$A$5:$H$21,4,FALSE),3))</f>
        <v/>
      </c>
      <c r="BM532">
        <f>IF($E532="","",IFERROR(VLOOKUP($C532,'_CONFIG_Risk_Calibration'!$A$5:$H$21,5,FALSE),3))</f>
        <v/>
      </c>
      <c r="BN532">
        <f>IF($E532="","",IFERROR(VLOOKUP($C532,'_CONFIG_Risk_Calibration'!$A$5:$H$21,6,FALSE),"No"))</f>
        <v/>
      </c>
      <c r="BO532">
        <f>IF($E532="","",IFERROR(VLOOKUP($C532,'_CONFIG_Risk_Calibration'!$A$5:$H$21,7,FALSE),1))</f>
        <v/>
      </c>
      <c r="BP532">
        <f>IF($H532="","",MAX(1,MIN(5,((6-$H532)*0.45)+($BJ532*0.20)+('Resilience &amp; Risk Scenario'!$B$7*0.15)+($BK532*0.10)+($BL532*0.05)+(IF($BB532="Fast",5,IF($BB532="Slow",1,3))*0.05))))</f>
        <v/>
      </c>
      <c r="BQ532">
        <f>IF($H532="","",MAX(IF($BN532="Yes",$BO532,1),MIN(5,($U532*0.20)+($V532*0.15)+($W532*0.25)+($X532*0.15)+($BJ532*0.10)+($BM532*0.15))))</f>
        <v/>
      </c>
      <c r="BR532">
        <f>IF(OR($BP532="",$BQ532=""),"",ROUND($BP532*$BQ532,2))</f>
        <v/>
      </c>
      <c r="BS532">
        <f>IF($BR532="","",ROUND($BR532*IF($AO532="",1,$AO532)*IF($AX532="",1,$AX532)*(1+(($BM532-3)*0.10))*IF($BC532="",1,$BC532),2))</f>
        <v/>
      </c>
    </row>
    <row r="533" ht="69.90000000000001" customHeight="1" s="209">
      <c r="A533">
        <f>IF($BD533="","",SUMPRODUCT(ISNUMBER($BD$500:$BD$923)*($BD$500:$BD$923&gt;$BD533))+COUNTIF($BD$500:$BD533,$BD533))</f>
        <v/>
      </c>
      <c r="B533">
        <f>IF($H533="","",IF($H533&lt;5,"Yes","Maintain"))</f>
        <v/>
      </c>
      <c r="C533" t="inlineStr">
        <is>
          <t>Strategy GTM</t>
        </is>
      </c>
      <c r="D533" t="inlineStr">
        <is>
          <t>Offering and positioning</t>
        </is>
      </c>
      <c r="E533" t="inlineStr">
        <is>
          <t>STRA-015</t>
        </is>
      </c>
      <c r="F533" t="inlineStr">
        <is>
          <t>Strategic and go-to-market resilience</t>
        </is>
      </c>
      <c r="G533">
        <f>IF($H533="","",IFERROR(INDEX('_ENGINE_Risk'!$H$41:$M$920,MATCH($E533,'_ENGINE_Risk'!$A$41:$A$920,0),$H533+1),""))</f>
        <v/>
      </c>
      <c r="H533">
        <f>IFERROR(VALUE(INDEX(_DATA_Assessment_Model!$H$5:$H$884,MATCH($E533,_DATA_Assessment_Model!$A$5:$A$884,0))),"")</f>
        <v/>
      </c>
      <c r="I533">
        <f>IF($H533="","",IFERROR(INDEX(_DATA_Assessment_Model!$L$5:$L$884,MATCH($E533,_DATA_Assessment_Model!$A$5:$A$884,0)),IF($H533&lt;=1,"Critical",IF($H533=2,"High",IF($H533=3,"Medium",IF($H533=4,"Low","Resilient"))))))</f>
        <v/>
      </c>
      <c r="J533">
        <f>IF($H533="","",MIN(5,MAX(1,6-$H533)))</f>
        <v/>
      </c>
      <c r="K533">
        <f>IF($H533="","",MAX(1,MIN(5,ROUNDUP(($U533*0.45)+($W533*0.35)+($X533*0.2),0))))</f>
        <v/>
      </c>
      <c r="L533">
        <f>IF($H533="","",$J533*$K533)</f>
        <v/>
      </c>
      <c r="M533">
        <f>IF($H533="","",MAX(1,MIN(5,ROUNDUP($L533/5,0))))</f>
        <v/>
      </c>
      <c r="N533">
        <f>IF($H533="","",IFERROR(INDEX('_ENGINE_Risk'!$T$41:$Y$920,MATCH($E533,'_ENGINE_Risk'!$A$41:$A$920,0),$H533+1),""))</f>
        <v/>
      </c>
      <c r="O533">
        <f>IF($H533="","",MAX(1,MIN(5,($U533+$V533+$X533)/3)))</f>
        <v/>
      </c>
      <c r="P533">
        <f>IF($H533="","",IF($I533="Critical",5,IF($I533="High",4,IF($I533="Medium",3,IF($I533="Low",2,1)))))</f>
        <v/>
      </c>
      <c r="Q533">
        <f>IF($H533="","",MAX(1,MIN(5,((5-$H533)*0.65)+($W533*0.35))))</f>
        <v/>
      </c>
      <c r="R533">
        <f>IF($H533="","",MAX(1,MIN(5,($V533+$X533)/2)))</f>
        <v/>
      </c>
      <c r="S533">
        <f>IF(OR($H533="",$N533=""),"",ROUND(($O533+$P533+$Q533+$R533)/$N533,2))</f>
        <v/>
      </c>
      <c r="T533">
        <f>IF($H533="","",IFERROR(INDEX('_ENGINE_Risk'!$N$41:$S$920,MATCH($E533,'_ENGINE_Risk'!$A$41:$A$920,0),$H533+1),""))</f>
        <v/>
      </c>
      <c r="U533">
        <f>IFERROR(INDEX(_DATA_Assessment_Model!$G$5:$G$884,MATCH($E533,_DATA_Assessment_Model!$A$5:$A$884,0)),"")</f>
        <v/>
      </c>
      <c r="V533">
        <f>IFERROR(INDEX(_DATA_Assessment_Model!$W$5:$W$884,MATCH($E533,_DATA_Assessment_Model!$A$5:$A$884,0)),"")</f>
        <v/>
      </c>
      <c r="W533">
        <f>IFERROR(INDEX(_DATA_Assessment_Model!$X$5:$X$884,MATCH($E533,_DATA_Assessment_Model!$A$5:$A$884,0)),"")</f>
        <v/>
      </c>
      <c r="X533">
        <f>IFERROR(INDEX(_DATA_Assessment_Model!$Y$5:$Y$884,MATCH($E533,_DATA_Assessment_Model!$A$5:$A$884,0)),"")</f>
        <v/>
      </c>
      <c r="Y533" t="inlineStr">
        <is>
          <t>Demand shock; Financial liquidity crisis; Reputation crisis</t>
        </is>
      </c>
      <c r="Z533" t="inlineStr">
        <is>
          <t>CEO / CSO / CCO</t>
        </is>
      </c>
      <c r="AA533" t="inlineStr">
        <is>
          <t>Policy/SOP; owner/RACI; system report; dashboard; contracts; test records; incident history; interview evidence related to value proposition linked to measurable customer economic value, risk reduction or continuity impact.</t>
        </is>
      </c>
      <c r="AB533">
        <f>IFERROR(INDEX(_DATA_Assessment_Model!$U$5:$U$884,MATCH($E533,_DATA_Assessment_Model!$A$5:$A$884,0)),"")</f>
        <v/>
      </c>
      <c r="AF533" t="inlineStr">
        <is>
          <t>How mature is the organization in managing value proposition linked to measurable customer economic value, risk reduction or continuity impact, including ownership, evidence, metrics, fallback procedures and crisis stress testing?</t>
        </is>
      </c>
      <c r="AO533">
        <f>IF($B533="Yes",IFERROR(INDEX(_ENGINE_Crisis!$F$501:$F$517,MATCH($C533,_ENGINE_Crisis!$A$501:$A$517,0)),1),"")</f>
        <v/>
      </c>
      <c r="AP533">
        <f>IF(AO533="","",ROUND($L533*AO533,1))</f>
        <v/>
      </c>
      <c r="AQ533">
        <f>IF(OR(AO533="",$S533=""),"",ROUND($S533*(0.7+0.3*AO533),2))</f>
        <v/>
      </c>
      <c r="AR533">
        <f>IFERROR(INDEX(_ENGINE_Crisis!$E$41:$E$700,MATCH('Resilience &amp; Risk Scenario'!$B$60&amp;"|"&amp;$C533,_ENGINE_Crisis!$I$41:$I$700,0)),"")</f>
        <v/>
      </c>
      <c r="AS533">
        <f>IFERROR(INDEX(_ENGINE_Crisis!$G$41:$G$700,MATCH('Resilience &amp; Risk Scenario'!$B$60&amp;"|"&amp;$C533,_ENGINE_Crisis!$I$41:$I$700,0)),"")</f>
        <v/>
      </c>
      <c r="AT533">
        <f>IFERROR(INDEX(_ENGINE_Initiatives!$A$5:$A$532,MATCH(1,INDEX((_ENGINE_Initiatives!$B$5:$B$532=$C533)*(_ENGINE_Initiatives!$C$5:$C$532=$D533),0),0)),"")</f>
        <v/>
      </c>
      <c r="AU533">
        <f>IFERROR(INDEX(_ENGINE_Initiatives!$F$5:$F$532,MATCH(1,INDEX((_ENGINE_Initiatives!$B$5:$B$532=$C533)*(_ENGINE_Initiatives!$C$5:$C$532=$D533),0),0)),"")</f>
        <v/>
      </c>
      <c r="AV533">
        <f>IFERROR(INDEX(_ENGINE_Initiatives!$AC$5:$AC$532,MATCH(1,INDEX((_ENGINE_Initiatives!$B$5:$B$532=$C533)*(_ENGINE_Initiatives!$C$5:$C$532=$D533),0),0)),"")</f>
        <v/>
      </c>
      <c r="AW533">
        <f>IFERROR(INDEX(_ENGINE_Initiatives!$AE$5:$AE$532,MATCH(1,INDEX((_ENGINE_Initiatives!$B$5:$B$532=$C533)*(_ENGINE_Initiatives!$C$5:$C$532=$D533),0),0)),"")</f>
        <v/>
      </c>
      <c r="AX533">
        <f>IF($B533="Yes",IFERROR(IF(SUMIFS(_REF_Model_Content!$E$1:$E$613,_REF_Model_Content!$A$1:$A$613,'Company Profile'!$B$9,_REF_Model_Content!$B$1:$B$613,$C533)=0,1,SUMIFS(_REF_Model_Content!$E$1:$E$613,_REF_Model_Content!$A$1:$A$613,'Company Profile'!$B$9,_REF_Model_Content!$B$1:$B$613,$C533)),1),"")</f>
        <v/>
      </c>
      <c r="AY533">
        <f>IF($L533="","",ROUND(IF($AP533="",$L533,$AP533)*IF($AX533="",1,$AX533),2))</f>
        <v/>
      </c>
      <c r="AZ533">
        <f>IF($S533="","",ROUND(IF($AQ533="",$S533,$AQ533)*IF($AX533="",1,$AX533),2))</f>
        <v/>
      </c>
      <c r="BB533">
        <f>IF($H533="","",IFERROR(INDEX('_ENGINE_Risk'!$AE$41:$AE$920,MATCH($E533,'_ENGINE_Risk'!$A$41:$A$920,0)),"Medium"))</f>
        <v/>
      </c>
      <c r="BC533">
        <f>IF($BB533="","",IF($BB533="Fast",1.25,IF($BB533="Slow",0.85,1)))</f>
        <v/>
      </c>
      <c r="BD533">
        <f>IF(OR($AZ533="",$BC533=""),"",ROUND($AZ533*$BC533,2))</f>
        <v/>
      </c>
      <c r="BF533">
        <f>IF(OR($H533="",$J533=""),"",_xlfn.IFNA(VLOOKUP($J533,_CONFIG_Model_Settings!$D$610:$E$614,2,0),""))</f>
        <v/>
      </c>
      <c r="BG533">
        <f>IF(OR($H533="",$K533=""),"",ROUND('Company Profile'!$B$569*INDEX(_CONFIG_Model_Settings!$H$610:$H$614,MATCH($K533,_CONFIG_Model_Settings!$G$610:$G$614,0)),0))</f>
        <v/>
      </c>
      <c r="BH533">
        <f>IF(OR($BF533="",$BG533=""),"",ROUND($BF533*$BG533,1))</f>
        <v/>
      </c>
      <c r="BI533">
        <f>IF($BH533="","",IF($AO533="",$BH533,ROUND($BH533*$AO533,1)))</f>
        <v/>
      </c>
      <c r="BJ533">
        <f>IF($E533="","",IFERROR(VLOOKUP($C533,'_CONFIG_Risk_Calibration'!$A$5:$H$21,2,FALSE),3))</f>
        <v/>
      </c>
      <c r="BK533">
        <f>IF($E533="","",IFERROR(VLOOKUP($C533,'_CONFIG_Risk_Calibration'!$A$5:$H$21,3,FALSE),0))</f>
        <v/>
      </c>
      <c r="BL533">
        <f>IF($E533="","",IFERROR(VLOOKUP($C533,'_CONFIG_Risk_Calibration'!$A$5:$H$21,4,FALSE),3))</f>
        <v/>
      </c>
      <c r="BM533">
        <f>IF($E533="","",IFERROR(VLOOKUP($C533,'_CONFIG_Risk_Calibration'!$A$5:$H$21,5,FALSE),3))</f>
        <v/>
      </c>
      <c r="BN533">
        <f>IF($E533="","",IFERROR(VLOOKUP($C533,'_CONFIG_Risk_Calibration'!$A$5:$H$21,6,FALSE),"No"))</f>
        <v/>
      </c>
      <c r="BO533">
        <f>IF($E533="","",IFERROR(VLOOKUP($C533,'_CONFIG_Risk_Calibration'!$A$5:$H$21,7,FALSE),1))</f>
        <v/>
      </c>
      <c r="BP533">
        <f>IF($H533="","",MAX(1,MIN(5,((6-$H533)*0.45)+($BJ533*0.20)+('Resilience &amp; Risk Scenario'!$B$7*0.15)+($BK533*0.10)+($BL533*0.05)+(IF($BB533="Fast",5,IF($BB533="Slow",1,3))*0.05))))</f>
        <v/>
      </c>
      <c r="BQ533">
        <f>IF($H533="","",MAX(IF($BN533="Yes",$BO533,1),MIN(5,($U533*0.20)+($V533*0.15)+($W533*0.25)+($X533*0.15)+($BJ533*0.10)+($BM533*0.15))))</f>
        <v/>
      </c>
      <c r="BR533">
        <f>IF(OR($BP533="",$BQ533=""),"",ROUND($BP533*$BQ533,2))</f>
        <v/>
      </c>
      <c r="BS533">
        <f>IF($BR533="","",ROUND($BR533*IF($AO533="",1,$AO533)*IF($AX533="",1,$AX533)*(1+(($BM533-3)*0.10))*IF($BC533="",1,$BC533),2))</f>
        <v/>
      </c>
    </row>
    <row r="534" ht="69.90000000000001" customHeight="1" s="209">
      <c r="A534">
        <f>IF($BD534="","",SUMPRODUCT(ISNUMBER($BD$500:$BD$923)*($BD$500:$BD$923&gt;$BD534))+COUNTIF($BD$500:$BD534,$BD534))</f>
        <v/>
      </c>
      <c r="B534">
        <f>IF($H534="","",IF($H534&lt;5,"Yes","Maintain"))</f>
        <v/>
      </c>
      <c r="C534" t="inlineStr">
        <is>
          <t>Strategy GTM</t>
        </is>
      </c>
      <c r="D534" t="inlineStr">
        <is>
          <t>Offering and positioning</t>
        </is>
      </c>
      <c r="E534" t="inlineStr">
        <is>
          <t>STRA-016</t>
        </is>
      </c>
      <c r="F534" t="inlineStr">
        <is>
          <t>Strategic and go-to-market resilience</t>
        </is>
      </c>
      <c r="G534">
        <f>IF($H534="","",IFERROR(INDEX('_ENGINE_Risk'!$H$41:$M$920,MATCH($E534,'_ENGINE_Risk'!$A$41:$A$920,0),$H534+1),""))</f>
        <v/>
      </c>
      <c r="H534">
        <f>IFERROR(VALUE(INDEX(_DATA_Assessment_Model!$H$5:$H$884,MATCH($E534,_DATA_Assessment_Model!$A$5:$A$884,0))),"")</f>
        <v/>
      </c>
      <c r="I534">
        <f>IF($H534="","",IFERROR(INDEX(_DATA_Assessment_Model!$L$5:$L$884,MATCH($E534,_DATA_Assessment_Model!$A$5:$A$884,0)),IF($H534&lt;=1,"Critical",IF($H534=2,"High",IF($H534=3,"Medium",IF($H534=4,"Low","Resilient"))))))</f>
        <v/>
      </c>
      <c r="J534">
        <f>IF($H534="","",MIN(5,MAX(1,6-$H534)))</f>
        <v/>
      </c>
      <c r="K534">
        <f>IF($H534="","",MAX(1,MIN(5,ROUNDUP(($U534*0.45)+($W534*0.35)+($X534*0.2),0))))</f>
        <v/>
      </c>
      <c r="L534">
        <f>IF($H534="","",$J534*$K534)</f>
        <v/>
      </c>
      <c r="M534">
        <f>IF($H534="","",MAX(1,MIN(5,ROUNDUP($L534/5,0))))</f>
        <v/>
      </c>
      <c r="N534">
        <f>IF($H534="","",IFERROR(INDEX('_ENGINE_Risk'!$T$41:$Y$920,MATCH($E534,'_ENGINE_Risk'!$A$41:$A$920,0),$H534+1),""))</f>
        <v/>
      </c>
      <c r="O534">
        <f>IF($H534="","",MAX(1,MIN(5,($U534+$V534+$X534)/3)))</f>
        <v/>
      </c>
      <c r="P534">
        <f>IF($H534="","",IF($I534="Critical",5,IF($I534="High",4,IF($I534="Medium",3,IF($I534="Low",2,1)))))</f>
        <v/>
      </c>
      <c r="Q534">
        <f>IF($H534="","",MAX(1,MIN(5,((5-$H534)*0.65)+($W534*0.35))))</f>
        <v/>
      </c>
      <c r="R534">
        <f>IF($H534="","",MAX(1,MIN(5,($V534+$X534)/2)))</f>
        <v/>
      </c>
      <c r="S534">
        <f>IF(OR($H534="",$N534=""),"",ROUND(($O534+$P534+$Q534+$R534)/$N534,2))</f>
        <v/>
      </c>
      <c r="T534">
        <f>IF($H534="","",IFERROR(INDEX('_ENGINE_Risk'!$N$41:$S$920,MATCH($E534,'_ENGINE_Risk'!$A$41:$A$920,0),$H534+1),""))</f>
        <v/>
      </c>
      <c r="U534">
        <f>IFERROR(INDEX(_DATA_Assessment_Model!$G$5:$G$884,MATCH($E534,_DATA_Assessment_Model!$A$5:$A$884,0)),"")</f>
        <v/>
      </c>
      <c r="V534">
        <f>IFERROR(INDEX(_DATA_Assessment_Model!$W$5:$W$884,MATCH($E534,_DATA_Assessment_Model!$A$5:$A$884,0)),"")</f>
        <v/>
      </c>
      <c r="W534">
        <f>IFERROR(INDEX(_DATA_Assessment_Model!$X$5:$X$884,MATCH($E534,_DATA_Assessment_Model!$A$5:$A$884,0)),"")</f>
        <v/>
      </c>
      <c r="X534">
        <f>IFERROR(INDEX(_DATA_Assessment_Model!$Y$5:$Y$884,MATCH($E534,_DATA_Assessment_Model!$A$5:$A$884,0)),"")</f>
        <v/>
      </c>
      <c r="Y534" t="inlineStr">
        <is>
          <t>Demand shock; Financial liquidity crisis; Reputation crisis</t>
        </is>
      </c>
      <c r="Z534" t="inlineStr">
        <is>
          <t>CEO / CSO / CCO</t>
        </is>
      </c>
      <c r="AA534" t="inlineStr">
        <is>
          <t>Policy/SOP; owner/RACI; system report; dashboard; contracts; test records; incident history; interview evidence related to pricing strategy with margin thresholds, discount governance and crisis boundaries.</t>
        </is>
      </c>
      <c r="AB534">
        <f>IFERROR(INDEX(_DATA_Assessment_Model!$U$5:$U$884,MATCH($E534,_DATA_Assessment_Model!$A$5:$A$884,0)),"")</f>
        <v/>
      </c>
      <c r="AF534" t="inlineStr">
        <is>
          <t>How mature is the organization in managing pricing strategy with margin thresholds, discount governance and crisis boundaries, including ownership, evidence, metrics, fallback procedures and crisis stress testing?</t>
        </is>
      </c>
      <c r="AO534">
        <f>IF($B534="Yes",IFERROR(INDEX(_ENGINE_Crisis!$F$501:$F$517,MATCH($C534,_ENGINE_Crisis!$A$501:$A$517,0)),1),"")</f>
        <v/>
      </c>
      <c r="AP534">
        <f>IF(AO534="","",ROUND($L534*AO534,1))</f>
        <v/>
      </c>
      <c r="AQ534">
        <f>IF(OR(AO534="",$S534=""),"",ROUND($S534*(0.7+0.3*AO534),2))</f>
        <v/>
      </c>
      <c r="AR534">
        <f>IFERROR(INDEX(_ENGINE_Crisis!$E$41:$E$700,MATCH('Resilience &amp; Risk Scenario'!$B$60&amp;"|"&amp;$C534,_ENGINE_Crisis!$I$41:$I$700,0)),"")</f>
        <v/>
      </c>
      <c r="AS534">
        <f>IFERROR(INDEX(_ENGINE_Crisis!$G$41:$G$700,MATCH('Resilience &amp; Risk Scenario'!$B$60&amp;"|"&amp;$C534,_ENGINE_Crisis!$I$41:$I$700,0)),"")</f>
        <v/>
      </c>
      <c r="AT534">
        <f>IFERROR(INDEX(_ENGINE_Initiatives!$A$5:$A$532,MATCH(1,INDEX((_ENGINE_Initiatives!$B$5:$B$532=$C534)*(_ENGINE_Initiatives!$C$5:$C$532=$D534),0),0)),"")</f>
        <v/>
      </c>
      <c r="AU534">
        <f>IFERROR(INDEX(_ENGINE_Initiatives!$F$5:$F$532,MATCH(1,INDEX((_ENGINE_Initiatives!$B$5:$B$532=$C534)*(_ENGINE_Initiatives!$C$5:$C$532=$D534),0),0)),"")</f>
        <v/>
      </c>
      <c r="AV534">
        <f>IFERROR(INDEX(_ENGINE_Initiatives!$AC$5:$AC$532,MATCH(1,INDEX((_ENGINE_Initiatives!$B$5:$B$532=$C534)*(_ENGINE_Initiatives!$C$5:$C$532=$D534),0),0)),"")</f>
        <v/>
      </c>
      <c r="AW534">
        <f>IFERROR(INDEX(_ENGINE_Initiatives!$AE$5:$AE$532,MATCH(1,INDEX((_ENGINE_Initiatives!$B$5:$B$532=$C534)*(_ENGINE_Initiatives!$C$5:$C$532=$D534),0),0)),"")</f>
        <v/>
      </c>
      <c r="AX534">
        <f>IF($B534="Yes",IFERROR(IF(SUMIFS(_REF_Model_Content!$E$1:$E$613,_REF_Model_Content!$A$1:$A$613,'Company Profile'!$B$9,_REF_Model_Content!$B$1:$B$613,$C534)=0,1,SUMIFS(_REF_Model_Content!$E$1:$E$613,_REF_Model_Content!$A$1:$A$613,'Company Profile'!$B$9,_REF_Model_Content!$B$1:$B$613,$C534)),1),"")</f>
        <v/>
      </c>
      <c r="AY534">
        <f>IF($L534="","",ROUND(IF($AP534="",$L534,$AP534)*IF($AX534="",1,$AX534),2))</f>
        <v/>
      </c>
      <c r="AZ534">
        <f>IF($S534="","",ROUND(IF($AQ534="",$S534,$AQ534)*IF($AX534="",1,$AX534),2))</f>
        <v/>
      </c>
      <c r="BB534">
        <f>IF($H534="","",IFERROR(INDEX('_ENGINE_Risk'!$AE$41:$AE$920,MATCH($E534,'_ENGINE_Risk'!$A$41:$A$920,0)),"Medium"))</f>
        <v/>
      </c>
      <c r="BC534">
        <f>IF($BB534="","",IF($BB534="Fast",1.25,IF($BB534="Slow",0.85,1)))</f>
        <v/>
      </c>
      <c r="BD534">
        <f>IF(OR($AZ534="",$BC534=""),"",ROUND($AZ534*$BC534,2))</f>
        <v/>
      </c>
      <c r="BF534">
        <f>IF(OR($H534="",$J534=""),"",_xlfn.IFNA(VLOOKUP($J534,_CONFIG_Model_Settings!$D$610:$E$614,2,0),""))</f>
        <v/>
      </c>
      <c r="BG534">
        <f>IF(OR($H534="",$K534=""),"",ROUND('Company Profile'!$B$569*INDEX(_CONFIG_Model_Settings!$H$610:$H$614,MATCH($K534,_CONFIG_Model_Settings!$G$610:$G$614,0)),0))</f>
        <v/>
      </c>
      <c r="BH534">
        <f>IF(OR($BF534="",$BG534=""),"",ROUND($BF534*$BG534,1))</f>
        <v/>
      </c>
      <c r="BI534">
        <f>IF($BH534="","",IF($AO534="",$BH534,ROUND($BH534*$AO534,1)))</f>
        <v/>
      </c>
      <c r="BJ534">
        <f>IF($E534="","",IFERROR(VLOOKUP($C534,'_CONFIG_Risk_Calibration'!$A$5:$H$21,2,FALSE),3))</f>
        <v/>
      </c>
      <c r="BK534">
        <f>IF($E534="","",IFERROR(VLOOKUP($C534,'_CONFIG_Risk_Calibration'!$A$5:$H$21,3,FALSE),0))</f>
        <v/>
      </c>
      <c r="BL534">
        <f>IF($E534="","",IFERROR(VLOOKUP($C534,'_CONFIG_Risk_Calibration'!$A$5:$H$21,4,FALSE),3))</f>
        <v/>
      </c>
      <c r="BM534">
        <f>IF($E534="","",IFERROR(VLOOKUP($C534,'_CONFIG_Risk_Calibration'!$A$5:$H$21,5,FALSE),3))</f>
        <v/>
      </c>
      <c r="BN534">
        <f>IF($E534="","",IFERROR(VLOOKUP($C534,'_CONFIG_Risk_Calibration'!$A$5:$H$21,6,FALSE),"No"))</f>
        <v/>
      </c>
      <c r="BO534">
        <f>IF($E534="","",IFERROR(VLOOKUP($C534,'_CONFIG_Risk_Calibration'!$A$5:$H$21,7,FALSE),1))</f>
        <v/>
      </c>
      <c r="BP534">
        <f>IF($H534="","",MAX(1,MIN(5,((6-$H534)*0.45)+($BJ534*0.20)+('Resilience &amp; Risk Scenario'!$B$7*0.15)+($BK534*0.10)+($BL534*0.05)+(IF($BB534="Fast",5,IF($BB534="Slow",1,3))*0.05))))</f>
        <v/>
      </c>
      <c r="BQ534">
        <f>IF($H534="","",MAX(IF($BN534="Yes",$BO534,1),MIN(5,($U534*0.20)+($V534*0.15)+($W534*0.25)+($X534*0.15)+($BJ534*0.10)+($BM534*0.15))))</f>
        <v/>
      </c>
      <c r="BR534">
        <f>IF(OR($BP534="",$BQ534=""),"",ROUND($BP534*$BQ534,2))</f>
        <v/>
      </c>
      <c r="BS534">
        <f>IF($BR534="","",ROUND($BR534*IF($AO534="",1,$AO534)*IF($AX534="",1,$AX534)*(1+(($BM534-3)*0.10))*IF($BC534="",1,$BC534),2))</f>
        <v/>
      </c>
    </row>
    <row r="535" ht="69.90000000000001" customHeight="1" s="209">
      <c r="A535">
        <f>IF($BD535="","",SUMPRODUCT(ISNUMBER($BD$500:$BD$923)*($BD$500:$BD$923&gt;$BD535))+COUNTIF($BD$500:$BD535,$BD535))</f>
        <v/>
      </c>
      <c r="B535">
        <f>IF($H535="","",IF($H535&lt;5,"Yes","Maintain"))</f>
        <v/>
      </c>
      <c r="C535" t="inlineStr">
        <is>
          <t>Strategy GTM</t>
        </is>
      </c>
      <c r="D535" t="inlineStr">
        <is>
          <t>Offering and positioning</t>
        </is>
      </c>
      <c r="E535" t="inlineStr">
        <is>
          <t>STRA-017</t>
        </is>
      </c>
      <c r="F535" t="inlineStr">
        <is>
          <t>Strategic and go-to-market resilience</t>
        </is>
      </c>
      <c r="G535">
        <f>IF($H535="","",IFERROR(INDEX('_ENGINE_Risk'!$H$41:$M$920,MATCH($E535,'_ENGINE_Risk'!$A$41:$A$920,0),$H535+1),""))</f>
        <v/>
      </c>
      <c r="H535">
        <f>IFERROR(VALUE(INDEX(_DATA_Assessment_Model!$H$5:$H$884,MATCH($E535,_DATA_Assessment_Model!$A$5:$A$884,0))),"")</f>
        <v/>
      </c>
      <c r="I535">
        <f>IF($H535="","",IFERROR(INDEX(_DATA_Assessment_Model!$L$5:$L$884,MATCH($E535,_DATA_Assessment_Model!$A$5:$A$884,0)),IF($H535&lt;=1,"Critical",IF($H535=2,"High",IF($H535=3,"Medium",IF($H535=4,"Low","Resilient"))))))</f>
        <v/>
      </c>
      <c r="J535">
        <f>IF($H535="","",MIN(5,MAX(1,6-$H535)))</f>
        <v/>
      </c>
      <c r="K535">
        <f>IF($H535="","",MAX(1,MIN(5,ROUNDUP(($U535*0.45)+($W535*0.35)+($X535*0.2),0))))</f>
        <v/>
      </c>
      <c r="L535">
        <f>IF($H535="","",$J535*$K535)</f>
        <v/>
      </c>
      <c r="M535">
        <f>IF($H535="","",MAX(1,MIN(5,ROUNDUP($L535/5,0))))</f>
        <v/>
      </c>
      <c r="N535">
        <f>IF($H535="","",IFERROR(INDEX('_ENGINE_Risk'!$T$41:$Y$920,MATCH($E535,'_ENGINE_Risk'!$A$41:$A$920,0),$H535+1),""))</f>
        <v/>
      </c>
      <c r="O535">
        <f>IF($H535="","",MAX(1,MIN(5,($U535+$V535+$X535)/3)))</f>
        <v/>
      </c>
      <c r="P535">
        <f>IF($H535="","",IF($I535="Critical",5,IF($I535="High",4,IF($I535="Medium",3,IF($I535="Low",2,1)))))</f>
        <v/>
      </c>
      <c r="Q535">
        <f>IF($H535="","",MAX(1,MIN(5,((5-$H535)*0.65)+($W535*0.35))))</f>
        <v/>
      </c>
      <c r="R535">
        <f>IF($H535="","",MAX(1,MIN(5,($V535+$X535)/2)))</f>
        <v/>
      </c>
      <c r="S535">
        <f>IF(OR($H535="",$N535=""),"",ROUND(($O535+$P535+$Q535+$R535)/$N535,2))</f>
        <v/>
      </c>
      <c r="T535">
        <f>IF($H535="","",IFERROR(INDEX('_ENGINE_Risk'!$N$41:$S$920,MATCH($E535,'_ENGINE_Risk'!$A$41:$A$920,0),$H535+1),""))</f>
        <v/>
      </c>
      <c r="U535">
        <f>IFERROR(INDEX(_DATA_Assessment_Model!$G$5:$G$884,MATCH($E535,_DATA_Assessment_Model!$A$5:$A$884,0)),"")</f>
        <v/>
      </c>
      <c r="V535">
        <f>IFERROR(INDEX(_DATA_Assessment_Model!$W$5:$W$884,MATCH($E535,_DATA_Assessment_Model!$A$5:$A$884,0)),"")</f>
        <v/>
      </c>
      <c r="W535">
        <f>IFERROR(INDEX(_DATA_Assessment_Model!$X$5:$X$884,MATCH($E535,_DATA_Assessment_Model!$A$5:$A$884,0)),"")</f>
        <v/>
      </c>
      <c r="X535">
        <f>IFERROR(INDEX(_DATA_Assessment_Model!$Y$5:$Y$884,MATCH($E535,_DATA_Assessment_Model!$A$5:$A$884,0)),"")</f>
        <v/>
      </c>
      <c r="Y535" t="inlineStr">
        <is>
          <t>Demand shock; Financial liquidity crisis; Reputation crisis</t>
        </is>
      </c>
      <c r="Z535" t="inlineStr">
        <is>
          <t>CEO / CSO / CCO</t>
        </is>
      </c>
      <c r="AA535" t="inlineStr">
        <is>
          <t>Policy/SOP; owner/RACI; system report; dashboard; contracts; test records; incident history; interview evidence related to proof assets such as case studies, references, certifications, security evidence and continuity commitments.</t>
        </is>
      </c>
      <c r="AB535">
        <f>IFERROR(INDEX(_DATA_Assessment_Model!$U$5:$U$884,MATCH($E535,_DATA_Assessment_Model!$A$5:$A$884,0)),"")</f>
        <v/>
      </c>
      <c r="AF535" t="inlineStr">
        <is>
          <t>How mature is the organization in managing proof assets such as case studies, references, certifications, security evidence and continuity commitments, including ownership, evidence, metrics, fallback procedures and crisis stress testing?</t>
        </is>
      </c>
      <c r="AO535">
        <f>IF($B535="Yes",IFERROR(INDEX(_ENGINE_Crisis!$F$501:$F$517,MATCH($C535,_ENGINE_Crisis!$A$501:$A$517,0)),1),"")</f>
        <v/>
      </c>
      <c r="AP535">
        <f>IF(AO535="","",ROUND($L535*AO535,1))</f>
        <v/>
      </c>
      <c r="AQ535">
        <f>IF(OR(AO535="",$S535=""),"",ROUND($S535*(0.7+0.3*AO535),2))</f>
        <v/>
      </c>
      <c r="AR535">
        <f>IFERROR(INDEX(_ENGINE_Crisis!$E$41:$E$700,MATCH('Resilience &amp; Risk Scenario'!$B$60&amp;"|"&amp;$C535,_ENGINE_Crisis!$I$41:$I$700,0)),"")</f>
        <v/>
      </c>
      <c r="AS535">
        <f>IFERROR(INDEX(_ENGINE_Crisis!$G$41:$G$700,MATCH('Resilience &amp; Risk Scenario'!$B$60&amp;"|"&amp;$C535,_ENGINE_Crisis!$I$41:$I$700,0)),"")</f>
        <v/>
      </c>
      <c r="AT535">
        <f>IFERROR(INDEX(_ENGINE_Initiatives!$A$5:$A$532,MATCH(1,INDEX((_ENGINE_Initiatives!$B$5:$B$532=$C535)*(_ENGINE_Initiatives!$C$5:$C$532=$D535),0),0)),"")</f>
        <v/>
      </c>
      <c r="AU535">
        <f>IFERROR(INDEX(_ENGINE_Initiatives!$F$5:$F$532,MATCH(1,INDEX((_ENGINE_Initiatives!$B$5:$B$532=$C535)*(_ENGINE_Initiatives!$C$5:$C$532=$D535),0),0)),"")</f>
        <v/>
      </c>
      <c r="AV535">
        <f>IFERROR(INDEX(_ENGINE_Initiatives!$AC$5:$AC$532,MATCH(1,INDEX((_ENGINE_Initiatives!$B$5:$B$532=$C535)*(_ENGINE_Initiatives!$C$5:$C$532=$D535),0),0)),"")</f>
        <v/>
      </c>
      <c r="AW535">
        <f>IFERROR(INDEX(_ENGINE_Initiatives!$AE$5:$AE$532,MATCH(1,INDEX((_ENGINE_Initiatives!$B$5:$B$532=$C535)*(_ENGINE_Initiatives!$C$5:$C$532=$D535),0),0)),"")</f>
        <v/>
      </c>
      <c r="AX535">
        <f>IF($B535="Yes",IFERROR(IF(SUMIFS(_REF_Model_Content!$E$1:$E$613,_REF_Model_Content!$A$1:$A$613,'Company Profile'!$B$9,_REF_Model_Content!$B$1:$B$613,$C535)=0,1,SUMIFS(_REF_Model_Content!$E$1:$E$613,_REF_Model_Content!$A$1:$A$613,'Company Profile'!$B$9,_REF_Model_Content!$B$1:$B$613,$C535)),1),"")</f>
        <v/>
      </c>
      <c r="AY535">
        <f>IF($L535="","",ROUND(IF($AP535="",$L535,$AP535)*IF($AX535="",1,$AX535),2))</f>
        <v/>
      </c>
      <c r="AZ535">
        <f>IF($S535="","",ROUND(IF($AQ535="",$S535,$AQ535)*IF($AX535="",1,$AX535),2))</f>
        <v/>
      </c>
      <c r="BB535">
        <f>IF($H535="","",IFERROR(INDEX('_ENGINE_Risk'!$AE$41:$AE$920,MATCH($E535,'_ENGINE_Risk'!$A$41:$A$920,0)),"Medium"))</f>
        <v/>
      </c>
      <c r="BC535">
        <f>IF($BB535="","",IF($BB535="Fast",1.25,IF($BB535="Slow",0.85,1)))</f>
        <v/>
      </c>
      <c r="BD535">
        <f>IF(OR($AZ535="",$BC535=""),"",ROUND($AZ535*$BC535,2))</f>
        <v/>
      </c>
      <c r="BF535">
        <f>IF(OR($H535="",$J535=""),"",_xlfn.IFNA(VLOOKUP($J535,_CONFIG_Model_Settings!$D$610:$E$614,2,0),""))</f>
        <v/>
      </c>
      <c r="BG535">
        <f>IF(OR($H535="",$K535=""),"",ROUND('Company Profile'!$B$569*INDEX(_CONFIG_Model_Settings!$H$610:$H$614,MATCH($K535,_CONFIG_Model_Settings!$G$610:$G$614,0)),0))</f>
        <v/>
      </c>
      <c r="BH535">
        <f>IF(OR($BF535="",$BG535=""),"",ROUND($BF535*$BG535,1))</f>
        <v/>
      </c>
      <c r="BI535">
        <f>IF($BH535="","",IF($AO535="",$BH535,ROUND($BH535*$AO535,1)))</f>
        <v/>
      </c>
      <c r="BJ535">
        <f>IF($E535="","",IFERROR(VLOOKUP($C535,'_CONFIG_Risk_Calibration'!$A$5:$H$21,2,FALSE),3))</f>
        <v/>
      </c>
      <c r="BK535">
        <f>IF($E535="","",IFERROR(VLOOKUP($C535,'_CONFIG_Risk_Calibration'!$A$5:$H$21,3,FALSE),0))</f>
        <v/>
      </c>
      <c r="BL535">
        <f>IF($E535="","",IFERROR(VLOOKUP($C535,'_CONFIG_Risk_Calibration'!$A$5:$H$21,4,FALSE),3))</f>
        <v/>
      </c>
      <c r="BM535">
        <f>IF($E535="","",IFERROR(VLOOKUP($C535,'_CONFIG_Risk_Calibration'!$A$5:$H$21,5,FALSE),3))</f>
        <v/>
      </c>
      <c r="BN535">
        <f>IF($E535="","",IFERROR(VLOOKUP($C535,'_CONFIG_Risk_Calibration'!$A$5:$H$21,6,FALSE),"No"))</f>
        <v/>
      </c>
      <c r="BO535">
        <f>IF($E535="","",IFERROR(VLOOKUP($C535,'_CONFIG_Risk_Calibration'!$A$5:$H$21,7,FALSE),1))</f>
        <v/>
      </c>
      <c r="BP535">
        <f>IF($H535="","",MAX(1,MIN(5,((6-$H535)*0.45)+($BJ535*0.20)+('Resilience &amp; Risk Scenario'!$B$7*0.15)+($BK535*0.10)+($BL535*0.05)+(IF($BB535="Fast",5,IF($BB535="Slow",1,3))*0.05))))</f>
        <v/>
      </c>
      <c r="BQ535">
        <f>IF($H535="","",MAX(IF($BN535="Yes",$BO535,1),MIN(5,($U535*0.20)+($V535*0.15)+($W535*0.25)+($X535*0.15)+($BJ535*0.10)+($BM535*0.15))))</f>
        <v/>
      </c>
      <c r="BR535">
        <f>IF(OR($BP535="",$BQ535=""),"",ROUND($BP535*$BQ535,2))</f>
        <v/>
      </c>
      <c r="BS535">
        <f>IF($BR535="","",ROUND($BR535*IF($AO535="",1,$AO535)*IF($AX535="",1,$AX535)*(1+(($BM535-3)*0.10))*IF($BC535="",1,$BC535),2))</f>
        <v/>
      </c>
    </row>
    <row r="536" ht="69.90000000000001" customHeight="1" s="209">
      <c r="A536">
        <f>IF($BD536="","",SUMPRODUCT(ISNUMBER($BD$500:$BD$923)*($BD$500:$BD$923&gt;$BD536))+COUNTIF($BD$500:$BD536,$BD536))</f>
        <v/>
      </c>
      <c r="B536">
        <f>IF($H536="","",IF($H536&lt;5,"Yes","Maintain"))</f>
        <v/>
      </c>
      <c r="C536" t="inlineStr">
        <is>
          <t>Strategy GTM</t>
        </is>
      </c>
      <c r="D536" t="inlineStr">
        <is>
          <t>Offering and positioning</t>
        </is>
      </c>
      <c r="E536" t="inlineStr">
        <is>
          <t>STRA-018</t>
        </is>
      </c>
      <c r="F536" t="inlineStr">
        <is>
          <t>Strategic and go-to-market resilience</t>
        </is>
      </c>
      <c r="G536">
        <f>IF($H536="","",IFERROR(INDEX('_ENGINE_Risk'!$H$41:$M$920,MATCH($E536,'_ENGINE_Risk'!$A$41:$A$920,0),$H536+1),""))</f>
        <v/>
      </c>
      <c r="H536">
        <f>IFERROR(VALUE(INDEX(_DATA_Assessment_Model!$H$5:$H$884,MATCH($E536,_DATA_Assessment_Model!$A$5:$A$884,0))),"")</f>
        <v/>
      </c>
      <c r="I536">
        <f>IF($H536="","",IFERROR(INDEX(_DATA_Assessment_Model!$L$5:$L$884,MATCH($E536,_DATA_Assessment_Model!$A$5:$A$884,0)),IF($H536&lt;=1,"Critical",IF($H536=2,"High",IF($H536=3,"Medium",IF($H536=4,"Low","Resilient"))))))</f>
        <v/>
      </c>
      <c r="J536">
        <f>IF($H536="","",MIN(5,MAX(1,6-$H536)))</f>
        <v/>
      </c>
      <c r="K536">
        <f>IF($H536="","",MAX(1,MIN(5,ROUNDUP(($U536*0.45)+($W536*0.35)+($X536*0.2),0))))</f>
        <v/>
      </c>
      <c r="L536">
        <f>IF($H536="","",$J536*$K536)</f>
        <v/>
      </c>
      <c r="M536">
        <f>IF($H536="","",MAX(1,MIN(5,ROUNDUP($L536/5,0))))</f>
        <v/>
      </c>
      <c r="N536">
        <f>IF($H536="","",IFERROR(INDEX('_ENGINE_Risk'!$T$41:$Y$920,MATCH($E536,'_ENGINE_Risk'!$A$41:$A$920,0),$H536+1),""))</f>
        <v/>
      </c>
      <c r="O536">
        <f>IF($H536="","",MAX(1,MIN(5,($U536+$V536+$X536)/3)))</f>
        <v/>
      </c>
      <c r="P536">
        <f>IF($H536="","",IF($I536="Critical",5,IF($I536="High",4,IF($I536="Medium",3,IF($I536="Low",2,1)))))</f>
        <v/>
      </c>
      <c r="Q536">
        <f>IF($H536="","",MAX(1,MIN(5,((5-$H536)*0.65)+($W536*0.35))))</f>
        <v/>
      </c>
      <c r="R536">
        <f>IF($H536="","",MAX(1,MIN(5,($V536+$X536)/2)))</f>
        <v/>
      </c>
      <c r="S536">
        <f>IF(OR($H536="",$N536=""),"",ROUND(($O536+$P536+$Q536+$R536)/$N536,2))</f>
        <v/>
      </c>
      <c r="T536">
        <f>IF($H536="","",IFERROR(INDEX('_ENGINE_Risk'!$N$41:$S$920,MATCH($E536,'_ENGINE_Risk'!$A$41:$A$920,0),$H536+1),""))</f>
        <v/>
      </c>
      <c r="U536">
        <f>IFERROR(INDEX(_DATA_Assessment_Model!$G$5:$G$884,MATCH($E536,_DATA_Assessment_Model!$A$5:$A$884,0)),"")</f>
        <v/>
      </c>
      <c r="V536">
        <f>IFERROR(INDEX(_DATA_Assessment_Model!$W$5:$W$884,MATCH($E536,_DATA_Assessment_Model!$A$5:$A$884,0)),"")</f>
        <v/>
      </c>
      <c r="W536">
        <f>IFERROR(INDEX(_DATA_Assessment_Model!$X$5:$X$884,MATCH($E536,_DATA_Assessment_Model!$A$5:$A$884,0)),"")</f>
        <v/>
      </c>
      <c r="X536">
        <f>IFERROR(INDEX(_DATA_Assessment_Model!$Y$5:$Y$884,MATCH($E536,_DATA_Assessment_Model!$A$5:$A$884,0)),"")</f>
        <v/>
      </c>
      <c r="Y536" t="inlineStr">
        <is>
          <t>Demand shock; Financial liquidity crisis; Reputation crisis</t>
        </is>
      </c>
      <c r="Z536" t="inlineStr">
        <is>
          <t>CEO / CSO / CCO</t>
        </is>
      </c>
      <c r="AA536" t="inlineStr">
        <is>
          <t>Policy/SOP; owner/RACI; system report; dashboard; contracts; test records; incident history; interview evidence related to product or service modularity that allows budget-sensitive or crisis-driven adaptation.</t>
        </is>
      </c>
      <c r="AB536">
        <f>IFERROR(INDEX(_DATA_Assessment_Model!$U$5:$U$884,MATCH($E536,_DATA_Assessment_Model!$A$5:$A$884,0)),"")</f>
        <v/>
      </c>
      <c r="AF536" t="inlineStr">
        <is>
          <t>How mature is the organization in managing product or service modularity that allows budget-sensitive or crisis-driven adaptation, including ownership, evidence, metrics, fallback procedures and crisis stress testing?</t>
        </is>
      </c>
      <c r="AO536">
        <f>IF($B536="Yes",IFERROR(INDEX(_ENGINE_Crisis!$F$501:$F$517,MATCH($C536,_ENGINE_Crisis!$A$501:$A$517,0)),1),"")</f>
        <v/>
      </c>
      <c r="AP536">
        <f>IF(AO536="","",ROUND($L536*AO536,1))</f>
        <v/>
      </c>
      <c r="AQ536">
        <f>IF(OR(AO536="",$S536=""),"",ROUND($S536*(0.7+0.3*AO536),2))</f>
        <v/>
      </c>
      <c r="AR536">
        <f>IFERROR(INDEX(_ENGINE_Crisis!$E$41:$E$700,MATCH('Resilience &amp; Risk Scenario'!$B$60&amp;"|"&amp;$C536,_ENGINE_Crisis!$I$41:$I$700,0)),"")</f>
        <v/>
      </c>
      <c r="AS536">
        <f>IFERROR(INDEX(_ENGINE_Crisis!$G$41:$G$700,MATCH('Resilience &amp; Risk Scenario'!$B$60&amp;"|"&amp;$C536,_ENGINE_Crisis!$I$41:$I$700,0)),"")</f>
        <v/>
      </c>
      <c r="AT536">
        <f>IFERROR(INDEX(_ENGINE_Initiatives!$A$5:$A$532,MATCH(1,INDEX((_ENGINE_Initiatives!$B$5:$B$532=$C536)*(_ENGINE_Initiatives!$C$5:$C$532=$D536),0),0)),"")</f>
        <v/>
      </c>
      <c r="AU536">
        <f>IFERROR(INDEX(_ENGINE_Initiatives!$F$5:$F$532,MATCH(1,INDEX((_ENGINE_Initiatives!$B$5:$B$532=$C536)*(_ENGINE_Initiatives!$C$5:$C$532=$D536),0),0)),"")</f>
        <v/>
      </c>
      <c r="AV536">
        <f>IFERROR(INDEX(_ENGINE_Initiatives!$AC$5:$AC$532,MATCH(1,INDEX((_ENGINE_Initiatives!$B$5:$B$532=$C536)*(_ENGINE_Initiatives!$C$5:$C$532=$D536),0),0)),"")</f>
        <v/>
      </c>
      <c r="AW536">
        <f>IFERROR(INDEX(_ENGINE_Initiatives!$AE$5:$AE$532,MATCH(1,INDEX((_ENGINE_Initiatives!$B$5:$B$532=$C536)*(_ENGINE_Initiatives!$C$5:$C$532=$D536),0),0)),"")</f>
        <v/>
      </c>
      <c r="AX536">
        <f>IF($B536="Yes",IFERROR(IF(SUMIFS(_REF_Model_Content!$E$1:$E$613,_REF_Model_Content!$A$1:$A$613,'Company Profile'!$B$9,_REF_Model_Content!$B$1:$B$613,$C536)=0,1,SUMIFS(_REF_Model_Content!$E$1:$E$613,_REF_Model_Content!$A$1:$A$613,'Company Profile'!$B$9,_REF_Model_Content!$B$1:$B$613,$C536)),1),"")</f>
        <v/>
      </c>
      <c r="AY536">
        <f>IF($L536="","",ROUND(IF($AP536="",$L536,$AP536)*IF($AX536="",1,$AX536),2))</f>
        <v/>
      </c>
      <c r="AZ536">
        <f>IF($S536="","",ROUND(IF($AQ536="",$S536,$AQ536)*IF($AX536="",1,$AX536),2))</f>
        <v/>
      </c>
      <c r="BB536">
        <f>IF($H536="","",IFERROR(INDEX('_ENGINE_Risk'!$AE$41:$AE$920,MATCH($E536,'_ENGINE_Risk'!$A$41:$A$920,0)),"Medium"))</f>
        <v/>
      </c>
      <c r="BC536">
        <f>IF($BB536="","",IF($BB536="Fast",1.25,IF($BB536="Slow",0.85,1)))</f>
        <v/>
      </c>
      <c r="BD536">
        <f>IF(OR($AZ536="",$BC536=""),"",ROUND($AZ536*$BC536,2))</f>
        <v/>
      </c>
      <c r="BF536">
        <f>IF(OR($H536="",$J536=""),"",_xlfn.IFNA(VLOOKUP($J536,_CONFIG_Model_Settings!$D$610:$E$614,2,0),""))</f>
        <v/>
      </c>
      <c r="BG536">
        <f>IF(OR($H536="",$K536=""),"",ROUND('Company Profile'!$B$569*INDEX(_CONFIG_Model_Settings!$H$610:$H$614,MATCH($K536,_CONFIG_Model_Settings!$G$610:$G$614,0)),0))</f>
        <v/>
      </c>
      <c r="BH536">
        <f>IF(OR($BF536="",$BG536=""),"",ROUND($BF536*$BG536,1))</f>
        <v/>
      </c>
      <c r="BI536">
        <f>IF($BH536="","",IF($AO536="",$BH536,ROUND($BH536*$AO536,1)))</f>
        <v/>
      </c>
      <c r="BJ536">
        <f>IF($E536="","",IFERROR(VLOOKUP($C536,'_CONFIG_Risk_Calibration'!$A$5:$H$21,2,FALSE),3))</f>
        <v/>
      </c>
      <c r="BK536">
        <f>IF($E536="","",IFERROR(VLOOKUP($C536,'_CONFIG_Risk_Calibration'!$A$5:$H$21,3,FALSE),0))</f>
        <v/>
      </c>
      <c r="BL536">
        <f>IF($E536="","",IFERROR(VLOOKUP($C536,'_CONFIG_Risk_Calibration'!$A$5:$H$21,4,FALSE),3))</f>
        <v/>
      </c>
      <c r="BM536">
        <f>IF($E536="","",IFERROR(VLOOKUP($C536,'_CONFIG_Risk_Calibration'!$A$5:$H$21,5,FALSE),3))</f>
        <v/>
      </c>
      <c r="BN536">
        <f>IF($E536="","",IFERROR(VLOOKUP($C536,'_CONFIG_Risk_Calibration'!$A$5:$H$21,6,FALSE),"No"))</f>
        <v/>
      </c>
      <c r="BO536">
        <f>IF($E536="","",IFERROR(VLOOKUP($C536,'_CONFIG_Risk_Calibration'!$A$5:$H$21,7,FALSE),1))</f>
        <v/>
      </c>
      <c r="BP536">
        <f>IF($H536="","",MAX(1,MIN(5,((6-$H536)*0.45)+($BJ536*0.20)+('Resilience &amp; Risk Scenario'!$B$7*0.15)+($BK536*0.10)+($BL536*0.05)+(IF($BB536="Fast",5,IF($BB536="Slow",1,3))*0.05))))</f>
        <v/>
      </c>
      <c r="BQ536">
        <f>IF($H536="","",MAX(IF($BN536="Yes",$BO536,1),MIN(5,($U536*0.20)+($V536*0.15)+($W536*0.25)+($X536*0.15)+($BJ536*0.10)+($BM536*0.15))))</f>
        <v/>
      </c>
      <c r="BR536">
        <f>IF(OR($BP536="",$BQ536=""),"",ROUND($BP536*$BQ536,2))</f>
        <v/>
      </c>
      <c r="BS536">
        <f>IF($BR536="","",ROUND($BR536*IF($AO536="",1,$AO536)*IF($AX536="",1,$AX536)*(1+(($BM536-3)*0.10))*IF($BC536="",1,$BC536),2))</f>
        <v/>
      </c>
    </row>
    <row r="537" ht="69.90000000000001" customHeight="1" s="209">
      <c r="A537">
        <f>IF($BD537="","",SUMPRODUCT(ISNUMBER($BD$500:$BD$923)*($BD$500:$BD$923&gt;$BD537))+COUNTIF($BD$500:$BD537,$BD537))</f>
        <v/>
      </c>
      <c r="B537">
        <f>IF($H537="","",IF($H537&lt;5,"Yes","Maintain"))</f>
        <v/>
      </c>
      <c r="C537" t="inlineStr">
        <is>
          <t>Strategy GTM</t>
        </is>
      </c>
      <c r="D537" t="inlineStr">
        <is>
          <t>GTM execution</t>
        </is>
      </c>
      <c r="E537" t="inlineStr">
        <is>
          <t>STRA-019</t>
        </is>
      </c>
      <c r="F537" t="inlineStr">
        <is>
          <t>Strategic and go-to-market resilience</t>
        </is>
      </c>
      <c r="G537">
        <f>IF($H537="","",IFERROR(INDEX('_ENGINE_Risk'!$H$41:$M$920,MATCH($E537,'_ENGINE_Risk'!$A$41:$A$920,0),$H537+1),""))</f>
        <v/>
      </c>
      <c r="H537">
        <f>IFERROR(VALUE(INDEX(_DATA_Assessment_Model!$H$5:$H$884,MATCH($E537,_DATA_Assessment_Model!$A$5:$A$884,0))),"")</f>
        <v/>
      </c>
      <c r="I537">
        <f>IF($H537="","",IFERROR(INDEX(_DATA_Assessment_Model!$L$5:$L$884,MATCH($E537,_DATA_Assessment_Model!$A$5:$A$884,0)),IF($H537&lt;=1,"Critical",IF($H537=2,"High",IF($H537=3,"Medium",IF($H537=4,"Low","Resilient"))))))</f>
        <v/>
      </c>
      <c r="J537">
        <f>IF($H537="","",MIN(5,MAX(1,6-$H537)))</f>
        <v/>
      </c>
      <c r="K537">
        <f>IF($H537="","",MAX(1,MIN(5,ROUNDUP(($U537*0.45)+($W537*0.35)+($X537*0.2),0))))</f>
        <v/>
      </c>
      <c r="L537">
        <f>IF($H537="","",$J537*$K537)</f>
        <v/>
      </c>
      <c r="M537">
        <f>IF($H537="","",MAX(1,MIN(5,ROUNDUP($L537/5,0))))</f>
        <v/>
      </c>
      <c r="N537">
        <f>IF($H537="","",IFERROR(INDEX('_ENGINE_Risk'!$T$41:$Y$920,MATCH($E537,'_ENGINE_Risk'!$A$41:$A$920,0),$H537+1),""))</f>
        <v/>
      </c>
      <c r="O537">
        <f>IF($H537="","",MAX(1,MIN(5,($U537+$V537+$X537)/3)))</f>
        <v/>
      </c>
      <c r="P537">
        <f>IF($H537="","",IF($I537="Critical",5,IF($I537="High",4,IF($I537="Medium",3,IF($I537="Low",2,1)))))</f>
        <v/>
      </c>
      <c r="Q537">
        <f>IF($H537="","",MAX(1,MIN(5,((5-$H537)*0.65)+($W537*0.35))))</f>
        <v/>
      </c>
      <c r="R537">
        <f>IF($H537="","",MAX(1,MIN(5,($V537+$X537)/2)))</f>
        <v/>
      </c>
      <c r="S537">
        <f>IF(OR($H537="",$N537=""),"",ROUND(($O537+$P537+$Q537+$R537)/$N537,2))</f>
        <v/>
      </c>
      <c r="T537">
        <f>IF($H537="","",IFERROR(INDEX('_ENGINE_Risk'!$N$41:$S$920,MATCH($E537,'_ENGINE_Risk'!$A$41:$A$920,0),$H537+1),""))</f>
        <v/>
      </c>
      <c r="U537">
        <f>IFERROR(INDEX(_DATA_Assessment_Model!$G$5:$G$884,MATCH($E537,_DATA_Assessment_Model!$A$5:$A$884,0)),"")</f>
        <v/>
      </c>
      <c r="V537">
        <f>IFERROR(INDEX(_DATA_Assessment_Model!$W$5:$W$884,MATCH($E537,_DATA_Assessment_Model!$A$5:$A$884,0)),"")</f>
        <v/>
      </c>
      <c r="W537">
        <f>IFERROR(INDEX(_DATA_Assessment_Model!$X$5:$X$884,MATCH($E537,_DATA_Assessment_Model!$A$5:$A$884,0)),"")</f>
        <v/>
      </c>
      <c r="X537">
        <f>IFERROR(INDEX(_DATA_Assessment_Model!$Y$5:$Y$884,MATCH($E537,_DATA_Assessment_Model!$A$5:$A$884,0)),"")</f>
        <v/>
      </c>
      <c r="Y537" t="inlineStr">
        <is>
          <t>Demand shock; Financial liquidity crisis; Reputation crisis</t>
        </is>
      </c>
      <c r="Z537" t="inlineStr">
        <is>
          <t>CEO / CSO / CCO</t>
        </is>
      </c>
      <c r="AA537" t="inlineStr">
        <is>
          <t>Policy/SOP; owner/RACI; system report; dashboard; contracts; test records; incident history; interview evidence related to sales playbooks for ICPs, offerings, objections, competitors and crisis-specific customer concerns.</t>
        </is>
      </c>
      <c r="AB537">
        <f>IFERROR(INDEX(_DATA_Assessment_Model!$U$5:$U$884,MATCH($E537,_DATA_Assessment_Model!$A$5:$A$884,0)),"")</f>
        <v/>
      </c>
      <c r="AF537" t="inlineStr">
        <is>
          <t>How mature is the organization in managing sales playbooks for ICPs, offerings, objections, competitors and crisis-specific customer concerns, including ownership, evidence, metrics, fallback procedures and crisis stress testing?</t>
        </is>
      </c>
      <c r="AO537">
        <f>IF($B537="Yes",IFERROR(INDEX(_ENGINE_Crisis!$F$501:$F$517,MATCH($C537,_ENGINE_Crisis!$A$501:$A$517,0)),1),"")</f>
        <v/>
      </c>
      <c r="AP537">
        <f>IF(AO537="","",ROUND($L537*AO537,1))</f>
        <v/>
      </c>
      <c r="AQ537">
        <f>IF(OR(AO537="",$S537=""),"",ROUND($S537*(0.7+0.3*AO537),2))</f>
        <v/>
      </c>
      <c r="AR537">
        <f>IFERROR(INDEX(_ENGINE_Crisis!$E$41:$E$700,MATCH('Resilience &amp; Risk Scenario'!$B$60&amp;"|"&amp;$C537,_ENGINE_Crisis!$I$41:$I$700,0)),"")</f>
        <v/>
      </c>
      <c r="AS537">
        <f>IFERROR(INDEX(_ENGINE_Crisis!$G$41:$G$700,MATCH('Resilience &amp; Risk Scenario'!$B$60&amp;"|"&amp;$C537,_ENGINE_Crisis!$I$41:$I$700,0)),"")</f>
        <v/>
      </c>
      <c r="AT537">
        <f>IFERROR(INDEX(_ENGINE_Initiatives!$A$5:$A$532,MATCH(1,INDEX((_ENGINE_Initiatives!$B$5:$B$532=$C537)*(_ENGINE_Initiatives!$C$5:$C$532=$D537),0),0)),"")</f>
        <v/>
      </c>
      <c r="AU537">
        <f>IFERROR(INDEX(_ENGINE_Initiatives!$F$5:$F$532,MATCH(1,INDEX((_ENGINE_Initiatives!$B$5:$B$532=$C537)*(_ENGINE_Initiatives!$C$5:$C$532=$D537),0),0)),"")</f>
        <v/>
      </c>
      <c r="AV537">
        <f>IFERROR(INDEX(_ENGINE_Initiatives!$AC$5:$AC$532,MATCH(1,INDEX((_ENGINE_Initiatives!$B$5:$B$532=$C537)*(_ENGINE_Initiatives!$C$5:$C$532=$D537),0),0)),"")</f>
        <v/>
      </c>
      <c r="AW537">
        <f>IFERROR(INDEX(_ENGINE_Initiatives!$AE$5:$AE$532,MATCH(1,INDEX((_ENGINE_Initiatives!$B$5:$B$532=$C537)*(_ENGINE_Initiatives!$C$5:$C$532=$D537),0),0)),"")</f>
        <v/>
      </c>
      <c r="AX537">
        <f>IF($B537="Yes",IFERROR(IF(SUMIFS(_REF_Model_Content!$E$1:$E$613,_REF_Model_Content!$A$1:$A$613,'Company Profile'!$B$9,_REF_Model_Content!$B$1:$B$613,$C537)=0,1,SUMIFS(_REF_Model_Content!$E$1:$E$613,_REF_Model_Content!$A$1:$A$613,'Company Profile'!$B$9,_REF_Model_Content!$B$1:$B$613,$C537)),1),"")</f>
        <v/>
      </c>
      <c r="AY537">
        <f>IF($L537="","",ROUND(IF($AP537="",$L537,$AP537)*IF($AX537="",1,$AX537),2))</f>
        <v/>
      </c>
      <c r="AZ537">
        <f>IF($S537="","",ROUND(IF($AQ537="",$S537,$AQ537)*IF($AX537="",1,$AX537),2))</f>
        <v/>
      </c>
      <c r="BB537">
        <f>IF($H537="","",IFERROR(INDEX('_ENGINE_Risk'!$AE$41:$AE$920,MATCH($E537,'_ENGINE_Risk'!$A$41:$A$920,0)),"Medium"))</f>
        <v/>
      </c>
      <c r="BC537">
        <f>IF($BB537="","",IF($BB537="Fast",1.25,IF($BB537="Slow",0.85,1)))</f>
        <v/>
      </c>
      <c r="BD537">
        <f>IF(OR($AZ537="",$BC537=""),"",ROUND($AZ537*$BC537,2))</f>
        <v/>
      </c>
      <c r="BF537">
        <f>IF(OR($H537="",$J537=""),"",_xlfn.IFNA(VLOOKUP($J537,_CONFIG_Model_Settings!$D$610:$E$614,2,0),""))</f>
        <v/>
      </c>
      <c r="BG537">
        <f>IF(OR($H537="",$K537=""),"",ROUND('Company Profile'!$B$569*INDEX(_CONFIG_Model_Settings!$H$610:$H$614,MATCH($K537,_CONFIG_Model_Settings!$G$610:$G$614,0)),0))</f>
        <v/>
      </c>
      <c r="BH537">
        <f>IF(OR($BF537="",$BG537=""),"",ROUND($BF537*$BG537,1))</f>
        <v/>
      </c>
      <c r="BI537">
        <f>IF($BH537="","",IF($AO537="",$BH537,ROUND($BH537*$AO537,1)))</f>
        <v/>
      </c>
      <c r="BJ537">
        <f>IF($E537="","",IFERROR(VLOOKUP($C537,'_CONFIG_Risk_Calibration'!$A$5:$H$21,2,FALSE),3))</f>
        <v/>
      </c>
      <c r="BK537">
        <f>IF($E537="","",IFERROR(VLOOKUP($C537,'_CONFIG_Risk_Calibration'!$A$5:$H$21,3,FALSE),0))</f>
        <v/>
      </c>
      <c r="BL537">
        <f>IF($E537="","",IFERROR(VLOOKUP($C537,'_CONFIG_Risk_Calibration'!$A$5:$H$21,4,FALSE),3))</f>
        <v/>
      </c>
      <c r="BM537">
        <f>IF($E537="","",IFERROR(VLOOKUP($C537,'_CONFIG_Risk_Calibration'!$A$5:$H$21,5,FALSE),3))</f>
        <v/>
      </c>
      <c r="BN537">
        <f>IF($E537="","",IFERROR(VLOOKUP($C537,'_CONFIG_Risk_Calibration'!$A$5:$H$21,6,FALSE),"No"))</f>
        <v/>
      </c>
      <c r="BO537">
        <f>IF($E537="","",IFERROR(VLOOKUP($C537,'_CONFIG_Risk_Calibration'!$A$5:$H$21,7,FALSE),1))</f>
        <v/>
      </c>
      <c r="BP537">
        <f>IF($H537="","",MAX(1,MIN(5,((6-$H537)*0.45)+($BJ537*0.20)+('Resilience &amp; Risk Scenario'!$B$7*0.15)+($BK537*0.10)+($BL537*0.05)+(IF($BB537="Fast",5,IF($BB537="Slow",1,3))*0.05))))</f>
        <v/>
      </c>
      <c r="BQ537">
        <f>IF($H537="","",MAX(IF($BN537="Yes",$BO537,1),MIN(5,($U537*0.20)+($V537*0.15)+($W537*0.25)+($X537*0.15)+($BJ537*0.10)+($BM537*0.15))))</f>
        <v/>
      </c>
      <c r="BR537">
        <f>IF(OR($BP537="",$BQ537=""),"",ROUND($BP537*$BQ537,2))</f>
        <v/>
      </c>
      <c r="BS537">
        <f>IF($BR537="","",ROUND($BR537*IF($AO537="",1,$AO537)*IF($AX537="",1,$AX537)*(1+(($BM537-3)*0.10))*IF($BC537="",1,$BC537),2))</f>
        <v/>
      </c>
    </row>
    <row r="538" ht="69.90000000000001" customHeight="1" s="209">
      <c r="A538">
        <f>IF($BD538="","",SUMPRODUCT(ISNUMBER($BD$500:$BD$923)*($BD$500:$BD$923&gt;$BD538))+COUNTIF($BD$500:$BD538,$BD538))</f>
        <v/>
      </c>
      <c r="B538">
        <f>IF($H538="","",IF($H538&lt;5,"Yes","Maintain"))</f>
        <v/>
      </c>
      <c r="C538" t="inlineStr">
        <is>
          <t>Strategy GTM</t>
        </is>
      </c>
      <c r="D538" t="inlineStr">
        <is>
          <t>GTM execution</t>
        </is>
      </c>
      <c r="E538" t="inlineStr">
        <is>
          <t>STRA-020</t>
        </is>
      </c>
      <c r="F538" t="inlineStr">
        <is>
          <t>Strategic and go-to-market resilience</t>
        </is>
      </c>
      <c r="G538">
        <f>IF($H538="","",IFERROR(INDEX('_ENGINE_Risk'!$H$41:$M$920,MATCH($E538,'_ENGINE_Risk'!$A$41:$A$920,0),$H538+1),""))</f>
        <v/>
      </c>
      <c r="H538">
        <f>IFERROR(VALUE(INDEX(_DATA_Assessment_Model!$H$5:$H$884,MATCH($E538,_DATA_Assessment_Model!$A$5:$A$884,0))),"")</f>
        <v/>
      </c>
      <c r="I538">
        <f>IF($H538="","",IFERROR(INDEX(_DATA_Assessment_Model!$L$5:$L$884,MATCH($E538,_DATA_Assessment_Model!$A$5:$A$884,0)),IF($H538&lt;=1,"Critical",IF($H538=2,"High",IF($H538=3,"Medium",IF($H538=4,"Low","Resilient"))))))</f>
        <v/>
      </c>
      <c r="J538">
        <f>IF($H538="","",MIN(5,MAX(1,6-$H538)))</f>
        <v/>
      </c>
      <c r="K538">
        <f>IF($H538="","",MAX(1,MIN(5,ROUNDUP(($U538*0.45)+($W538*0.35)+($X538*0.2),0))))</f>
        <v/>
      </c>
      <c r="L538">
        <f>IF($H538="","",$J538*$K538)</f>
        <v/>
      </c>
      <c r="M538">
        <f>IF($H538="","",MAX(1,MIN(5,ROUNDUP($L538/5,0))))</f>
        <v/>
      </c>
      <c r="N538">
        <f>IF($H538="","",IFERROR(INDEX('_ENGINE_Risk'!$T$41:$Y$920,MATCH($E538,'_ENGINE_Risk'!$A$41:$A$920,0),$H538+1),""))</f>
        <v/>
      </c>
      <c r="O538">
        <f>IF($H538="","",MAX(1,MIN(5,($U538+$V538+$X538)/3)))</f>
        <v/>
      </c>
      <c r="P538">
        <f>IF($H538="","",IF($I538="Critical",5,IF($I538="High",4,IF($I538="Medium",3,IF($I538="Low",2,1)))))</f>
        <v/>
      </c>
      <c r="Q538">
        <f>IF($H538="","",MAX(1,MIN(5,((5-$H538)*0.65)+($W538*0.35))))</f>
        <v/>
      </c>
      <c r="R538">
        <f>IF($H538="","",MAX(1,MIN(5,($V538+$X538)/2)))</f>
        <v/>
      </c>
      <c r="S538">
        <f>IF(OR($H538="",$N538=""),"",ROUND(($O538+$P538+$Q538+$R538)/$N538,2))</f>
        <v/>
      </c>
      <c r="T538">
        <f>IF($H538="","",IFERROR(INDEX('_ENGINE_Risk'!$N$41:$S$920,MATCH($E538,'_ENGINE_Risk'!$A$41:$A$920,0),$H538+1),""))</f>
        <v/>
      </c>
      <c r="U538">
        <f>IFERROR(INDEX(_DATA_Assessment_Model!$G$5:$G$884,MATCH($E538,_DATA_Assessment_Model!$A$5:$A$884,0)),"")</f>
        <v/>
      </c>
      <c r="V538">
        <f>IFERROR(INDEX(_DATA_Assessment_Model!$W$5:$W$884,MATCH($E538,_DATA_Assessment_Model!$A$5:$A$884,0)),"")</f>
        <v/>
      </c>
      <c r="W538">
        <f>IFERROR(INDEX(_DATA_Assessment_Model!$X$5:$X$884,MATCH($E538,_DATA_Assessment_Model!$A$5:$A$884,0)),"")</f>
        <v/>
      </c>
      <c r="X538">
        <f>IFERROR(INDEX(_DATA_Assessment_Model!$Y$5:$Y$884,MATCH($E538,_DATA_Assessment_Model!$A$5:$A$884,0)),"")</f>
        <v/>
      </c>
      <c r="Y538" t="inlineStr">
        <is>
          <t>Demand shock; Financial liquidity crisis; Reputation crisis</t>
        </is>
      </c>
      <c r="Z538" t="inlineStr">
        <is>
          <t>CEO / CSO / CCO</t>
        </is>
      </c>
      <c r="AA538" t="inlineStr">
        <is>
          <t>Policy/SOP; owner/RACI; system report; dashboard; contracts; test records; incident history; interview evidence related to pipeline governance with clear stages, qualification criteria, forecast probability and CRM discipline.</t>
        </is>
      </c>
      <c r="AB538">
        <f>IFERROR(INDEX(_DATA_Assessment_Model!$U$5:$U$884,MATCH($E538,_DATA_Assessment_Model!$A$5:$A$884,0)),"")</f>
        <v/>
      </c>
      <c r="AF538" t="inlineStr">
        <is>
          <t>How mature is the organization in managing pipeline governance with clear stages, qualification criteria, forecast probability and CRM discipline, including ownership, evidence, metrics, fallback procedures and crisis stress testing?</t>
        </is>
      </c>
      <c r="AO538">
        <f>IF($B538="Yes",IFERROR(INDEX(_ENGINE_Crisis!$F$501:$F$517,MATCH($C538,_ENGINE_Crisis!$A$501:$A$517,0)),1),"")</f>
        <v/>
      </c>
      <c r="AP538">
        <f>IF(AO538="","",ROUND($L538*AO538,1))</f>
        <v/>
      </c>
      <c r="AQ538">
        <f>IF(OR(AO538="",$S538=""),"",ROUND($S538*(0.7+0.3*AO538),2))</f>
        <v/>
      </c>
      <c r="AR538">
        <f>IFERROR(INDEX(_ENGINE_Crisis!$E$41:$E$700,MATCH('Resilience &amp; Risk Scenario'!$B$60&amp;"|"&amp;$C538,_ENGINE_Crisis!$I$41:$I$700,0)),"")</f>
        <v/>
      </c>
      <c r="AS538">
        <f>IFERROR(INDEX(_ENGINE_Crisis!$G$41:$G$700,MATCH('Resilience &amp; Risk Scenario'!$B$60&amp;"|"&amp;$C538,_ENGINE_Crisis!$I$41:$I$700,0)),"")</f>
        <v/>
      </c>
      <c r="AT538">
        <f>IFERROR(INDEX(_ENGINE_Initiatives!$A$5:$A$532,MATCH(1,INDEX((_ENGINE_Initiatives!$B$5:$B$532=$C538)*(_ENGINE_Initiatives!$C$5:$C$532=$D538),0),0)),"")</f>
        <v/>
      </c>
      <c r="AU538">
        <f>IFERROR(INDEX(_ENGINE_Initiatives!$F$5:$F$532,MATCH(1,INDEX((_ENGINE_Initiatives!$B$5:$B$532=$C538)*(_ENGINE_Initiatives!$C$5:$C$532=$D538),0),0)),"")</f>
        <v/>
      </c>
      <c r="AV538">
        <f>IFERROR(INDEX(_ENGINE_Initiatives!$AC$5:$AC$532,MATCH(1,INDEX((_ENGINE_Initiatives!$B$5:$B$532=$C538)*(_ENGINE_Initiatives!$C$5:$C$532=$D538),0),0)),"")</f>
        <v/>
      </c>
      <c r="AW538">
        <f>IFERROR(INDEX(_ENGINE_Initiatives!$AE$5:$AE$532,MATCH(1,INDEX((_ENGINE_Initiatives!$B$5:$B$532=$C538)*(_ENGINE_Initiatives!$C$5:$C$532=$D538),0),0)),"")</f>
        <v/>
      </c>
      <c r="AX538">
        <f>IF($B538="Yes",IFERROR(IF(SUMIFS(_REF_Model_Content!$E$1:$E$613,_REF_Model_Content!$A$1:$A$613,'Company Profile'!$B$9,_REF_Model_Content!$B$1:$B$613,$C538)=0,1,SUMIFS(_REF_Model_Content!$E$1:$E$613,_REF_Model_Content!$A$1:$A$613,'Company Profile'!$B$9,_REF_Model_Content!$B$1:$B$613,$C538)),1),"")</f>
        <v/>
      </c>
      <c r="AY538">
        <f>IF($L538="","",ROUND(IF($AP538="",$L538,$AP538)*IF($AX538="",1,$AX538),2))</f>
        <v/>
      </c>
      <c r="AZ538">
        <f>IF($S538="","",ROUND(IF($AQ538="",$S538,$AQ538)*IF($AX538="",1,$AX538),2))</f>
        <v/>
      </c>
      <c r="BB538">
        <f>IF($H538="","",IFERROR(INDEX('_ENGINE_Risk'!$AE$41:$AE$920,MATCH($E538,'_ENGINE_Risk'!$A$41:$A$920,0)),"Medium"))</f>
        <v/>
      </c>
      <c r="BC538">
        <f>IF($BB538="","",IF($BB538="Fast",1.25,IF($BB538="Slow",0.85,1)))</f>
        <v/>
      </c>
      <c r="BD538">
        <f>IF(OR($AZ538="",$BC538=""),"",ROUND($AZ538*$BC538,2))</f>
        <v/>
      </c>
      <c r="BF538">
        <f>IF(OR($H538="",$J538=""),"",_xlfn.IFNA(VLOOKUP($J538,_CONFIG_Model_Settings!$D$610:$E$614,2,0),""))</f>
        <v/>
      </c>
      <c r="BG538">
        <f>IF(OR($H538="",$K538=""),"",ROUND('Company Profile'!$B$569*INDEX(_CONFIG_Model_Settings!$H$610:$H$614,MATCH($K538,_CONFIG_Model_Settings!$G$610:$G$614,0)),0))</f>
        <v/>
      </c>
      <c r="BH538">
        <f>IF(OR($BF538="",$BG538=""),"",ROUND($BF538*$BG538,1))</f>
        <v/>
      </c>
      <c r="BI538">
        <f>IF($BH538="","",IF($AO538="",$BH538,ROUND($BH538*$AO538,1)))</f>
        <v/>
      </c>
      <c r="BJ538">
        <f>IF($E538="","",IFERROR(VLOOKUP($C538,'_CONFIG_Risk_Calibration'!$A$5:$H$21,2,FALSE),3))</f>
        <v/>
      </c>
      <c r="BK538">
        <f>IF($E538="","",IFERROR(VLOOKUP($C538,'_CONFIG_Risk_Calibration'!$A$5:$H$21,3,FALSE),0))</f>
        <v/>
      </c>
      <c r="BL538">
        <f>IF($E538="","",IFERROR(VLOOKUP($C538,'_CONFIG_Risk_Calibration'!$A$5:$H$21,4,FALSE),3))</f>
        <v/>
      </c>
      <c r="BM538">
        <f>IF($E538="","",IFERROR(VLOOKUP($C538,'_CONFIG_Risk_Calibration'!$A$5:$H$21,5,FALSE),3))</f>
        <v/>
      </c>
      <c r="BN538">
        <f>IF($E538="","",IFERROR(VLOOKUP($C538,'_CONFIG_Risk_Calibration'!$A$5:$H$21,6,FALSE),"No"))</f>
        <v/>
      </c>
      <c r="BO538">
        <f>IF($E538="","",IFERROR(VLOOKUP($C538,'_CONFIG_Risk_Calibration'!$A$5:$H$21,7,FALSE),1))</f>
        <v/>
      </c>
      <c r="BP538">
        <f>IF($H538="","",MAX(1,MIN(5,((6-$H538)*0.45)+($BJ538*0.20)+('Resilience &amp; Risk Scenario'!$B$7*0.15)+($BK538*0.10)+($BL538*0.05)+(IF($BB538="Fast",5,IF($BB538="Slow",1,3))*0.05))))</f>
        <v/>
      </c>
      <c r="BQ538">
        <f>IF($H538="","",MAX(IF($BN538="Yes",$BO538,1),MIN(5,($U538*0.20)+($V538*0.15)+($W538*0.25)+($X538*0.15)+($BJ538*0.10)+($BM538*0.15))))</f>
        <v/>
      </c>
      <c r="BR538">
        <f>IF(OR($BP538="",$BQ538=""),"",ROUND($BP538*$BQ538,2))</f>
        <v/>
      </c>
      <c r="BS538">
        <f>IF($BR538="","",ROUND($BR538*IF($AO538="",1,$AO538)*IF($AX538="",1,$AX538)*(1+(($BM538-3)*0.10))*IF($BC538="",1,$BC538),2))</f>
        <v/>
      </c>
    </row>
    <row r="539" ht="69.90000000000001" customHeight="1" s="209">
      <c r="A539">
        <f>IF($BD539="","",SUMPRODUCT(ISNUMBER($BD$500:$BD$923)*($BD$500:$BD$923&gt;$BD539))+COUNTIF($BD$500:$BD539,$BD539))</f>
        <v/>
      </c>
      <c r="B539">
        <f>IF($H539="","",IF($H539&lt;5,"Yes","Maintain"))</f>
        <v/>
      </c>
      <c r="C539" t="inlineStr">
        <is>
          <t>Strategy GTM</t>
        </is>
      </c>
      <c r="D539" t="inlineStr">
        <is>
          <t>GTM execution</t>
        </is>
      </c>
      <c r="E539" t="inlineStr">
        <is>
          <t>STRA-021</t>
        </is>
      </c>
      <c r="F539" t="inlineStr">
        <is>
          <t>Strategic and go-to-market resilience</t>
        </is>
      </c>
      <c r="G539">
        <f>IF($H539="","",IFERROR(INDEX('_ENGINE_Risk'!$H$41:$M$920,MATCH($E539,'_ENGINE_Risk'!$A$41:$A$920,0),$H539+1),""))</f>
        <v/>
      </c>
      <c r="H539">
        <f>IFERROR(VALUE(INDEX(_DATA_Assessment_Model!$H$5:$H$884,MATCH($E539,_DATA_Assessment_Model!$A$5:$A$884,0))),"")</f>
        <v/>
      </c>
      <c r="I539">
        <f>IF($H539="","",IFERROR(INDEX(_DATA_Assessment_Model!$L$5:$L$884,MATCH($E539,_DATA_Assessment_Model!$A$5:$A$884,0)),IF($H539&lt;=1,"Critical",IF($H539=2,"High",IF($H539=3,"Medium",IF($H539=4,"Low","Resilient"))))))</f>
        <v/>
      </c>
      <c r="J539">
        <f>IF($H539="","",MIN(5,MAX(1,6-$H539)))</f>
        <v/>
      </c>
      <c r="K539">
        <f>IF($H539="","",MAX(1,MIN(5,ROUNDUP(($U539*0.45)+($W539*0.35)+($X539*0.2),0))))</f>
        <v/>
      </c>
      <c r="L539">
        <f>IF($H539="","",$J539*$K539)</f>
        <v/>
      </c>
      <c r="M539">
        <f>IF($H539="","",MAX(1,MIN(5,ROUNDUP($L539/5,0))))</f>
        <v/>
      </c>
      <c r="N539">
        <f>IF($H539="","",IFERROR(INDEX('_ENGINE_Risk'!$T$41:$Y$920,MATCH($E539,'_ENGINE_Risk'!$A$41:$A$920,0),$H539+1),""))</f>
        <v/>
      </c>
      <c r="O539">
        <f>IF($H539="","",MAX(1,MIN(5,($U539+$V539+$X539)/3)))</f>
        <v/>
      </c>
      <c r="P539">
        <f>IF($H539="","",IF($I539="Critical",5,IF($I539="High",4,IF($I539="Medium",3,IF($I539="Low",2,1)))))</f>
        <v/>
      </c>
      <c r="Q539">
        <f>IF($H539="","",MAX(1,MIN(5,((5-$H539)*0.65)+($W539*0.35))))</f>
        <v/>
      </c>
      <c r="R539">
        <f>IF($H539="","",MAX(1,MIN(5,($V539+$X539)/2)))</f>
        <v/>
      </c>
      <c r="S539">
        <f>IF(OR($H539="",$N539=""),"",ROUND(($O539+$P539+$Q539+$R539)/$N539,2))</f>
        <v/>
      </c>
      <c r="T539">
        <f>IF($H539="","",IFERROR(INDEX('_ENGINE_Risk'!$N$41:$S$920,MATCH($E539,'_ENGINE_Risk'!$A$41:$A$920,0),$H539+1),""))</f>
        <v/>
      </c>
      <c r="U539">
        <f>IFERROR(INDEX(_DATA_Assessment_Model!$G$5:$G$884,MATCH($E539,_DATA_Assessment_Model!$A$5:$A$884,0)),"")</f>
        <v/>
      </c>
      <c r="V539">
        <f>IFERROR(INDEX(_DATA_Assessment_Model!$W$5:$W$884,MATCH($E539,_DATA_Assessment_Model!$A$5:$A$884,0)),"")</f>
        <v/>
      </c>
      <c r="W539">
        <f>IFERROR(INDEX(_DATA_Assessment_Model!$X$5:$X$884,MATCH($E539,_DATA_Assessment_Model!$A$5:$A$884,0)),"")</f>
        <v/>
      </c>
      <c r="X539">
        <f>IFERROR(INDEX(_DATA_Assessment_Model!$Y$5:$Y$884,MATCH($E539,_DATA_Assessment_Model!$A$5:$A$884,0)),"")</f>
        <v/>
      </c>
      <c r="Y539" t="inlineStr">
        <is>
          <t>Demand shock; Financial liquidity crisis; Reputation crisis</t>
        </is>
      </c>
      <c r="Z539" t="inlineStr">
        <is>
          <t>CEO / CSO / CCO</t>
        </is>
      </c>
      <c r="AA539" t="inlineStr">
        <is>
          <t>Policy/SOP; owner/RACI; system report; dashboard; contracts; test records; incident history; interview evidence related to channel strategy across direct sales, partners, ecommerce, marketplaces, distributors and digital channels.</t>
        </is>
      </c>
      <c r="AB539">
        <f>IFERROR(INDEX(_DATA_Assessment_Model!$U$5:$U$884,MATCH($E539,_DATA_Assessment_Model!$A$5:$A$884,0)),"")</f>
        <v/>
      </c>
      <c r="AF539" t="inlineStr">
        <is>
          <t>How mature is the organization in managing channel strategy across direct sales, partners, ecommerce, marketplaces, distributors and digital channels, including ownership, evidence, metrics, fallback procedures and crisis stress testing?</t>
        </is>
      </c>
      <c r="AO539">
        <f>IF($B539="Yes",IFERROR(INDEX(_ENGINE_Crisis!$F$501:$F$517,MATCH($C539,_ENGINE_Crisis!$A$501:$A$517,0)),1),"")</f>
        <v/>
      </c>
      <c r="AP539">
        <f>IF(AO539="","",ROUND($L539*AO539,1))</f>
        <v/>
      </c>
      <c r="AQ539">
        <f>IF(OR(AO539="",$S539=""),"",ROUND($S539*(0.7+0.3*AO539),2))</f>
        <v/>
      </c>
      <c r="AR539">
        <f>IFERROR(INDEX(_ENGINE_Crisis!$E$41:$E$700,MATCH('Resilience &amp; Risk Scenario'!$B$60&amp;"|"&amp;$C539,_ENGINE_Crisis!$I$41:$I$700,0)),"")</f>
        <v/>
      </c>
      <c r="AS539">
        <f>IFERROR(INDEX(_ENGINE_Crisis!$G$41:$G$700,MATCH('Resilience &amp; Risk Scenario'!$B$60&amp;"|"&amp;$C539,_ENGINE_Crisis!$I$41:$I$700,0)),"")</f>
        <v/>
      </c>
      <c r="AT539">
        <f>IFERROR(INDEX(_ENGINE_Initiatives!$A$5:$A$532,MATCH(1,INDEX((_ENGINE_Initiatives!$B$5:$B$532=$C539)*(_ENGINE_Initiatives!$C$5:$C$532=$D539),0),0)),"")</f>
        <v/>
      </c>
      <c r="AU539">
        <f>IFERROR(INDEX(_ENGINE_Initiatives!$F$5:$F$532,MATCH(1,INDEX((_ENGINE_Initiatives!$B$5:$B$532=$C539)*(_ENGINE_Initiatives!$C$5:$C$532=$D539),0),0)),"")</f>
        <v/>
      </c>
      <c r="AV539">
        <f>IFERROR(INDEX(_ENGINE_Initiatives!$AC$5:$AC$532,MATCH(1,INDEX((_ENGINE_Initiatives!$B$5:$B$532=$C539)*(_ENGINE_Initiatives!$C$5:$C$532=$D539),0),0)),"")</f>
        <v/>
      </c>
      <c r="AW539">
        <f>IFERROR(INDEX(_ENGINE_Initiatives!$AE$5:$AE$532,MATCH(1,INDEX((_ENGINE_Initiatives!$B$5:$B$532=$C539)*(_ENGINE_Initiatives!$C$5:$C$532=$D539),0),0)),"")</f>
        <v/>
      </c>
      <c r="AX539">
        <f>IF($B539="Yes",IFERROR(IF(SUMIFS(_REF_Model_Content!$E$1:$E$613,_REF_Model_Content!$A$1:$A$613,'Company Profile'!$B$9,_REF_Model_Content!$B$1:$B$613,$C539)=0,1,SUMIFS(_REF_Model_Content!$E$1:$E$613,_REF_Model_Content!$A$1:$A$613,'Company Profile'!$B$9,_REF_Model_Content!$B$1:$B$613,$C539)),1),"")</f>
        <v/>
      </c>
      <c r="AY539">
        <f>IF($L539="","",ROUND(IF($AP539="",$L539,$AP539)*IF($AX539="",1,$AX539),2))</f>
        <v/>
      </c>
      <c r="AZ539">
        <f>IF($S539="","",ROUND(IF($AQ539="",$S539,$AQ539)*IF($AX539="",1,$AX539),2))</f>
        <v/>
      </c>
      <c r="BB539">
        <f>IF($H539="","",IFERROR(INDEX('_ENGINE_Risk'!$AE$41:$AE$920,MATCH($E539,'_ENGINE_Risk'!$A$41:$A$920,0)),"Medium"))</f>
        <v/>
      </c>
      <c r="BC539">
        <f>IF($BB539="","",IF($BB539="Fast",1.25,IF($BB539="Slow",0.85,1)))</f>
        <v/>
      </c>
      <c r="BD539">
        <f>IF(OR($AZ539="",$BC539=""),"",ROUND($AZ539*$BC539,2))</f>
        <v/>
      </c>
      <c r="BF539">
        <f>IF(OR($H539="",$J539=""),"",_xlfn.IFNA(VLOOKUP($J539,_CONFIG_Model_Settings!$D$610:$E$614,2,0),""))</f>
        <v/>
      </c>
      <c r="BG539">
        <f>IF(OR($H539="",$K539=""),"",ROUND('Company Profile'!$B$569*INDEX(_CONFIG_Model_Settings!$H$610:$H$614,MATCH($K539,_CONFIG_Model_Settings!$G$610:$G$614,0)),0))</f>
        <v/>
      </c>
      <c r="BH539">
        <f>IF(OR($BF539="",$BG539=""),"",ROUND($BF539*$BG539,1))</f>
        <v/>
      </c>
      <c r="BI539">
        <f>IF($BH539="","",IF($AO539="",$BH539,ROUND($BH539*$AO539,1)))</f>
        <v/>
      </c>
      <c r="BJ539">
        <f>IF($E539="","",IFERROR(VLOOKUP($C539,'_CONFIG_Risk_Calibration'!$A$5:$H$21,2,FALSE),3))</f>
        <v/>
      </c>
      <c r="BK539">
        <f>IF($E539="","",IFERROR(VLOOKUP($C539,'_CONFIG_Risk_Calibration'!$A$5:$H$21,3,FALSE),0))</f>
        <v/>
      </c>
      <c r="BL539">
        <f>IF($E539="","",IFERROR(VLOOKUP($C539,'_CONFIG_Risk_Calibration'!$A$5:$H$21,4,FALSE),3))</f>
        <v/>
      </c>
      <c r="BM539">
        <f>IF($E539="","",IFERROR(VLOOKUP($C539,'_CONFIG_Risk_Calibration'!$A$5:$H$21,5,FALSE),3))</f>
        <v/>
      </c>
      <c r="BN539">
        <f>IF($E539="","",IFERROR(VLOOKUP($C539,'_CONFIG_Risk_Calibration'!$A$5:$H$21,6,FALSE),"No"))</f>
        <v/>
      </c>
      <c r="BO539">
        <f>IF($E539="","",IFERROR(VLOOKUP($C539,'_CONFIG_Risk_Calibration'!$A$5:$H$21,7,FALSE),1))</f>
        <v/>
      </c>
      <c r="BP539">
        <f>IF($H539="","",MAX(1,MIN(5,((6-$H539)*0.45)+($BJ539*0.20)+('Resilience &amp; Risk Scenario'!$B$7*0.15)+($BK539*0.10)+($BL539*0.05)+(IF($BB539="Fast",5,IF($BB539="Slow",1,3))*0.05))))</f>
        <v/>
      </c>
      <c r="BQ539">
        <f>IF($H539="","",MAX(IF($BN539="Yes",$BO539,1),MIN(5,($U539*0.20)+($V539*0.15)+($W539*0.25)+($X539*0.15)+($BJ539*0.10)+($BM539*0.15))))</f>
        <v/>
      </c>
      <c r="BR539">
        <f>IF(OR($BP539="",$BQ539=""),"",ROUND($BP539*$BQ539,2))</f>
        <v/>
      </c>
      <c r="BS539">
        <f>IF($BR539="","",ROUND($BR539*IF($AO539="",1,$AO539)*IF($AX539="",1,$AX539)*(1+(($BM539-3)*0.10))*IF($BC539="",1,$BC539),2))</f>
        <v/>
      </c>
    </row>
    <row r="540" ht="69.90000000000001" customHeight="1" s="209">
      <c r="A540">
        <f>IF($BD540="","",SUMPRODUCT(ISNUMBER($BD$500:$BD$923)*($BD$500:$BD$923&gt;$BD540))+COUNTIF($BD$500:$BD540,$BD540))</f>
        <v/>
      </c>
      <c r="B540">
        <f>IF($H540="","",IF($H540&lt;5,"Yes","Maintain"))</f>
        <v/>
      </c>
      <c r="C540" t="inlineStr">
        <is>
          <t>Strategy GTM</t>
        </is>
      </c>
      <c r="D540" t="inlineStr">
        <is>
          <t>GTM execution</t>
        </is>
      </c>
      <c r="E540" t="inlineStr">
        <is>
          <t>STRA-022</t>
        </is>
      </c>
      <c r="F540" t="inlineStr">
        <is>
          <t>Strategic and go-to-market resilience</t>
        </is>
      </c>
      <c r="G540">
        <f>IF($H540="","",IFERROR(INDEX('_ENGINE_Risk'!$H$41:$M$920,MATCH($E540,'_ENGINE_Risk'!$A$41:$A$920,0),$H540+1),""))</f>
        <v/>
      </c>
      <c r="H540">
        <f>IFERROR(VALUE(INDEX(_DATA_Assessment_Model!$H$5:$H$884,MATCH($E540,_DATA_Assessment_Model!$A$5:$A$884,0))),"")</f>
        <v/>
      </c>
      <c r="I540">
        <f>IF($H540="","",IFERROR(INDEX(_DATA_Assessment_Model!$L$5:$L$884,MATCH($E540,_DATA_Assessment_Model!$A$5:$A$884,0)),IF($H540&lt;=1,"Critical",IF($H540=2,"High",IF($H540=3,"Medium",IF($H540=4,"Low","Resilient"))))))</f>
        <v/>
      </c>
      <c r="J540">
        <f>IF($H540="","",MIN(5,MAX(1,6-$H540)))</f>
        <v/>
      </c>
      <c r="K540">
        <f>IF($H540="","",MAX(1,MIN(5,ROUNDUP(($U540*0.45)+($W540*0.35)+($X540*0.2),0))))</f>
        <v/>
      </c>
      <c r="L540">
        <f>IF($H540="","",$J540*$K540)</f>
        <v/>
      </c>
      <c r="M540">
        <f>IF($H540="","",MAX(1,MIN(5,ROUNDUP($L540/5,0))))</f>
        <v/>
      </c>
      <c r="N540">
        <f>IF($H540="","",IFERROR(INDEX('_ENGINE_Risk'!$T$41:$Y$920,MATCH($E540,'_ENGINE_Risk'!$A$41:$A$920,0),$H540+1),""))</f>
        <v/>
      </c>
      <c r="O540">
        <f>IF($H540="","",MAX(1,MIN(5,($U540+$V540+$X540)/3)))</f>
        <v/>
      </c>
      <c r="P540">
        <f>IF($H540="","",IF($I540="Critical",5,IF($I540="High",4,IF($I540="Medium",3,IF($I540="Low",2,1)))))</f>
        <v/>
      </c>
      <c r="Q540">
        <f>IF($H540="","",MAX(1,MIN(5,((5-$H540)*0.65)+($W540*0.35))))</f>
        <v/>
      </c>
      <c r="R540">
        <f>IF($H540="","",MAX(1,MIN(5,($V540+$X540)/2)))</f>
        <v/>
      </c>
      <c r="S540">
        <f>IF(OR($H540="",$N540=""),"",ROUND(($O540+$P540+$Q540+$R540)/$N540,2))</f>
        <v/>
      </c>
      <c r="T540">
        <f>IF($H540="","",IFERROR(INDEX('_ENGINE_Risk'!$N$41:$S$920,MATCH($E540,'_ENGINE_Risk'!$A$41:$A$920,0),$H540+1),""))</f>
        <v/>
      </c>
      <c r="U540">
        <f>IFERROR(INDEX(_DATA_Assessment_Model!$G$5:$G$884,MATCH($E540,_DATA_Assessment_Model!$A$5:$A$884,0)),"")</f>
        <v/>
      </c>
      <c r="V540">
        <f>IFERROR(INDEX(_DATA_Assessment_Model!$W$5:$W$884,MATCH($E540,_DATA_Assessment_Model!$A$5:$A$884,0)),"")</f>
        <v/>
      </c>
      <c r="W540">
        <f>IFERROR(INDEX(_DATA_Assessment_Model!$X$5:$X$884,MATCH($E540,_DATA_Assessment_Model!$A$5:$A$884,0)),"")</f>
        <v/>
      </c>
      <c r="X540">
        <f>IFERROR(INDEX(_DATA_Assessment_Model!$Y$5:$Y$884,MATCH($E540,_DATA_Assessment_Model!$A$5:$A$884,0)),"")</f>
        <v/>
      </c>
      <c r="Y540" t="inlineStr">
        <is>
          <t>Demand shock; Financial liquidity crisis; Reputation crisis</t>
        </is>
      </c>
      <c r="Z540" t="inlineStr">
        <is>
          <t>CEO / CSO / CCO</t>
        </is>
      </c>
      <c r="AA540" t="inlineStr">
        <is>
          <t>Policy/SOP; owner/RACI; system report; dashboard; contracts; test records; incident history; interview evidence related to win/loss analysis feeding back into strategy, offering, pricing and messaging.</t>
        </is>
      </c>
      <c r="AB540">
        <f>IFERROR(INDEX(_DATA_Assessment_Model!$U$5:$U$884,MATCH($E540,_DATA_Assessment_Model!$A$5:$A$884,0)),"")</f>
        <v/>
      </c>
      <c r="AF540" t="inlineStr">
        <is>
          <t>How mature is the organization in managing win/loss analysis feeding back into strategy, offering, pricing and messaging, including ownership, evidence, metrics, fallback procedures and crisis stress testing?</t>
        </is>
      </c>
      <c r="AO540">
        <f>IF($B540="Yes",IFERROR(INDEX(_ENGINE_Crisis!$F$501:$F$517,MATCH($C540,_ENGINE_Crisis!$A$501:$A$517,0)),1),"")</f>
        <v/>
      </c>
      <c r="AP540">
        <f>IF(AO540="","",ROUND($L540*AO540,1))</f>
        <v/>
      </c>
      <c r="AQ540">
        <f>IF(OR(AO540="",$S540=""),"",ROUND($S540*(0.7+0.3*AO540),2))</f>
        <v/>
      </c>
      <c r="AR540">
        <f>IFERROR(INDEX(_ENGINE_Crisis!$E$41:$E$700,MATCH('Resilience &amp; Risk Scenario'!$B$60&amp;"|"&amp;$C540,_ENGINE_Crisis!$I$41:$I$700,0)),"")</f>
        <v/>
      </c>
      <c r="AS540">
        <f>IFERROR(INDEX(_ENGINE_Crisis!$G$41:$G$700,MATCH('Resilience &amp; Risk Scenario'!$B$60&amp;"|"&amp;$C540,_ENGINE_Crisis!$I$41:$I$700,0)),"")</f>
        <v/>
      </c>
      <c r="AT540">
        <f>IFERROR(INDEX(_ENGINE_Initiatives!$A$5:$A$532,MATCH(1,INDEX((_ENGINE_Initiatives!$B$5:$B$532=$C540)*(_ENGINE_Initiatives!$C$5:$C$532=$D540),0),0)),"")</f>
        <v/>
      </c>
      <c r="AU540">
        <f>IFERROR(INDEX(_ENGINE_Initiatives!$F$5:$F$532,MATCH(1,INDEX((_ENGINE_Initiatives!$B$5:$B$532=$C540)*(_ENGINE_Initiatives!$C$5:$C$532=$D540),0),0)),"")</f>
        <v/>
      </c>
      <c r="AV540">
        <f>IFERROR(INDEX(_ENGINE_Initiatives!$AC$5:$AC$532,MATCH(1,INDEX((_ENGINE_Initiatives!$B$5:$B$532=$C540)*(_ENGINE_Initiatives!$C$5:$C$532=$D540),0),0)),"")</f>
        <v/>
      </c>
      <c r="AW540">
        <f>IFERROR(INDEX(_ENGINE_Initiatives!$AE$5:$AE$532,MATCH(1,INDEX((_ENGINE_Initiatives!$B$5:$B$532=$C540)*(_ENGINE_Initiatives!$C$5:$C$532=$D540),0),0)),"")</f>
        <v/>
      </c>
      <c r="AX540">
        <f>IF($B540="Yes",IFERROR(IF(SUMIFS(_REF_Model_Content!$E$1:$E$613,_REF_Model_Content!$A$1:$A$613,'Company Profile'!$B$9,_REF_Model_Content!$B$1:$B$613,$C540)=0,1,SUMIFS(_REF_Model_Content!$E$1:$E$613,_REF_Model_Content!$A$1:$A$613,'Company Profile'!$B$9,_REF_Model_Content!$B$1:$B$613,$C540)),1),"")</f>
        <v/>
      </c>
      <c r="AY540">
        <f>IF($L540="","",ROUND(IF($AP540="",$L540,$AP540)*IF($AX540="",1,$AX540),2))</f>
        <v/>
      </c>
      <c r="AZ540">
        <f>IF($S540="","",ROUND(IF($AQ540="",$S540,$AQ540)*IF($AX540="",1,$AX540),2))</f>
        <v/>
      </c>
      <c r="BB540">
        <f>IF($H540="","",IFERROR(INDEX('_ENGINE_Risk'!$AE$41:$AE$920,MATCH($E540,'_ENGINE_Risk'!$A$41:$A$920,0)),"Medium"))</f>
        <v/>
      </c>
      <c r="BC540">
        <f>IF($BB540="","",IF($BB540="Fast",1.25,IF($BB540="Slow",0.85,1)))</f>
        <v/>
      </c>
      <c r="BD540">
        <f>IF(OR($AZ540="",$BC540=""),"",ROUND($AZ540*$BC540,2))</f>
        <v/>
      </c>
      <c r="BF540">
        <f>IF(OR($H540="",$J540=""),"",_xlfn.IFNA(VLOOKUP($J540,_CONFIG_Model_Settings!$D$610:$E$614,2,0),""))</f>
        <v/>
      </c>
      <c r="BG540">
        <f>IF(OR($H540="",$K540=""),"",ROUND('Company Profile'!$B$569*INDEX(_CONFIG_Model_Settings!$H$610:$H$614,MATCH($K540,_CONFIG_Model_Settings!$G$610:$G$614,0)),0))</f>
        <v/>
      </c>
      <c r="BH540">
        <f>IF(OR($BF540="",$BG540=""),"",ROUND($BF540*$BG540,1))</f>
        <v/>
      </c>
      <c r="BI540">
        <f>IF($BH540="","",IF($AO540="",$BH540,ROUND($BH540*$AO540,1)))</f>
        <v/>
      </c>
      <c r="BJ540">
        <f>IF($E540="","",IFERROR(VLOOKUP($C540,'_CONFIG_Risk_Calibration'!$A$5:$H$21,2,FALSE),3))</f>
        <v/>
      </c>
      <c r="BK540">
        <f>IF($E540="","",IFERROR(VLOOKUP($C540,'_CONFIG_Risk_Calibration'!$A$5:$H$21,3,FALSE),0))</f>
        <v/>
      </c>
      <c r="BL540">
        <f>IF($E540="","",IFERROR(VLOOKUP($C540,'_CONFIG_Risk_Calibration'!$A$5:$H$21,4,FALSE),3))</f>
        <v/>
      </c>
      <c r="BM540">
        <f>IF($E540="","",IFERROR(VLOOKUP($C540,'_CONFIG_Risk_Calibration'!$A$5:$H$21,5,FALSE),3))</f>
        <v/>
      </c>
      <c r="BN540">
        <f>IF($E540="","",IFERROR(VLOOKUP($C540,'_CONFIG_Risk_Calibration'!$A$5:$H$21,6,FALSE),"No"))</f>
        <v/>
      </c>
      <c r="BO540">
        <f>IF($E540="","",IFERROR(VLOOKUP($C540,'_CONFIG_Risk_Calibration'!$A$5:$H$21,7,FALSE),1))</f>
        <v/>
      </c>
      <c r="BP540">
        <f>IF($H540="","",MAX(1,MIN(5,((6-$H540)*0.45)+($BJ540*0.20)+('Resilience &amp; Risk Scenario'!$B$7*0.15)+($BK540*0.10)+($BL540*0.05)+(IF($BB540="Fast",5,IF($BB540="Slow",1,3))*0.05))))</f>
        <v/>
      </c>
      <c r="BQ540">
        <f>IF($H540="","",MAX(IF($BN540="Yes",$BO540,1),MIN(5,($U540*0.20)+($V540*0.15)+($W540*0.25)+($X540*0.15)+($BJ540*0.10)+($BM540*0.15))))</f>
        <v/>
      </c>
      <c r="BR540">
        <f>IF(OR($BP540="",$BQ540=""),"",ROUND($BP540*$BQ540,2))</f>
        <v/>
      </c>
      <c r="BS540">
        <f>IF($BR540="","",ROUND($BR540*IF($AO540="",1,$AO540)*IF($AX540="",1,$AX540)*(1+(($BM540-3)*0.10))*IF($BC540="",1,$BC540),2))</f>
        <v/>
      </c>
    </row>
    <row r="541" ht="69.90000000000001" customHeight="1" s="209">
      <c r="A541">
        <f>IF($BD541="","",SUMPRODUCT(ISNUMBER($BD$500:$BD$923)*($BD$500:$BD$923&gt;$BD541))+COUNTIF($BD$500:$BD541,$BD541))</f>
        <v/>
      </c>
      <c r="B541">
        <f>IF($H541="","",IF($H541&lt;5,"Yes","Maintain"))</f>
        <v/>
      </c>
      <c r="C541" t="inlineStr">
        <is>
          <t>Strategy GTM</t>
        </is>
      </c>
      <c r="D541" t="inlineStr">
        <is>
          <t>GTM execution</t>
        </is>
      </c>
      <c r="E541" t="inlineStr">
        <is>
          <t>STRA-024</t>
        </is>
      </c>
      <c r="F541" t="inlineStr">
        <is>
          <t>Strategic and go-to-market resilience</t>
        </is>
      </c>
      <c r="G541">
        <f>IF($H541="","",IFERROR(INDEX('_ENGINE_Risk'!$H$41:$M$920,MATCH($E541,'_ENGINE_Risk'!$A$41:$A$920,0),$H541+1),""))</f>
        <v/>
      </c>
      <c r="H541">
        <f>IFERROR(VALUE(INDEX(_DATA_Assessment_Model!$H$5:$H$884,MATCH($E541,_DATA_Assessment_Model!$A$5:$A$884,0))),"")</f>
        <v/>
      </c>
      <c r="I541">
        <f>IF($H541="","",IFERROR(INDEX(_DATA_Assessment_Model!$L$5:$L$884,MATCH($E541,_DATA_Assessment_Model!$A$5:$A$884,0)),IF($H541&lt;=1,"Critical",IF($H541=2,"High",IF($H541=3,"Medium",IF($H541=4,"Low","Resilient"))))))</f>
        <v/>
      </c>
      <c r="J541">
        <f>IF($H541="","",MIN(5,MAX(1,6-$H541)))</f>
        <v/>
      </c>
      <c r="K541">
        <f>IF($H541="","",MAX(1,MIN(5,ROUNDUP(($U541*0.45)+($W541*0.35)+($X541*0.2),0))))</f>
        <v/>
      </c>
      <c r="L541">
        <f>IF($H541="","",$J541*$K541)</f>
        <v/>
      </c>
      <c r="M541">
        <f>IF($H541="","",MAX(1,MIN(5,ROUNDUP($L541/5,0))))</f>
        <v/>
      </c>
      <c r="N541">
        <f>IF($H541="","",IFERROR(INDEX('_ENGINE_Risk'!$T$41:$Y$920,MATCH($E541,'_ENGINE_Risk'!$A$41:$A$920,0),$H541+1),""))</f>
        <v/>
      </c>
      <c r="O541">
        <f>IF($H541="","",MAX(1,MIN(5,($U541+$V541+$X541)/3)))</f>
        <v/>
      </c>
      <c r="P541">
        <f>IF($H541="","",IF($I541="Critical",5,IF($I541="High",4,IF($I541="Medium",3,IF($I541="Low",2,1)))))</f>
        <v/>
      </c>
      <c r="Q541">
        <f>IF($H541="","",MAX(1,MIN(5,((5-$H541)*0.65)+($W541*0.35))))</f>
        <v/>
      </c>
      <c r="R541">
        <f>IF($H541="","",MAX(1,MIN(5,($V541+$X541)/2)))</f>
        <v/>
      </c>
      <c r="S541">
        <f>IF(OR($H541="",$N541=""),"",ROUND(($O541+$P541+$Q541+$R541)/$N541,2))</f>
        <v/>
      </c>
      <c r="T541">
        <f>IF($H541="","",IFERROR(INDEX('_ENGINE_Risk'!$N$41:$S$920,MATCH($E541,'_ENGINE_Risk'!$A$41:$A$920,0),$H541+1),""))</f>
        <v/>
      </c>
      <c r="U541">
        <f>IFERROR(INDEX(_DATA_Assessment_Model!$G$5:$G$884,MATCH($E541,_DATA_Assessment_Model!$A$5:$A$884,0)),"")</f>
        <v/>
      </c>
      <c r="V541">
        <f>IFERROR(INDEX(_DATA_Assessment_Model!$W$5:$W$884,MATCH($E541,_DATA_Assessment_Model!$A$5:$A$884,0)),"")</f>
        <v/>
      </c>
      <c r="W541">
        <f>IFERROR(INDEX(_DATA_Assessment_Model!$X$5:$X$884,MATCH($E541,_DATA_Assessment_Model!$A$5:$A$884,0)),"")</f>
        <v/>
      </c>
      <c r="X541">
        <f>IFERROR(INDEX(_DATA_Assessment_Model!$Y$5:$Y$884,MATCH($E541,_DATA_Assessment_Model!$A$5:$A$884,0)),"")</f>
        <v/>
      </c>
      <c r="Y541" t="inlineStr">
        <is>
          <t>Demand shock; Financial liquidity crisis; Reputation crisis</t>
        </is>
      </c>
      <c r="Z541" t="inlineStr">
        <is>
          <t>CEO / CSO / CCO</t>
        </is>
      </c>
      <c r="AA541" t="inlineStr">
        <is>
          <t>Policy/SOP; owner/RACI; system report; dashboard; contracts; test records; incident history; interview evidence related to leading indicators for demand, churn, pricing pressure, conversion, sales velocity and customer health.</t>
        </is>
      </c>
      <c r="AB541">
        <f>IFERROR(INDEX(_DATA_Assessment_Model!$U$5:$U$884,MATCH($E541,_DATA_Assessment_Model!$A$5:$A$884,0)),"")</f>
        <v/>
      </c>
      <c r="AF541" t="inlineStr">
        <is>
          <t>How mature is the organization in managing leading indicators for demand, churn, pricing pressure, conversion, sales velocity and customer health, including ownership, evidence, metrics, fallback procedures and crisis stress testing?</t>
        </is>
      </c>
      <c r="AO541">
        <f>IF($B541="Yes",IFERROR(INDEX(_ENGINE_Crisis!$F$501:$F$517,MATCH($C541,_ENGINE_Crisis!$A$501:$A$517,0)),1),"")</f>
        <v/>
      </c>
      <c r="AP541">
        <f>IF(AO541="","",ROUND($L541*AO541,1))</f>
        <v/>
      </c>
      <c r="AQ541">
        <f>IF(OR(AO541="",$S541=""),"",ROUND($S541*(0.7+0.3*AO541),2))</f>
        <v/>
      </c>
      <c r="AR541">
        <f>IFERROR(INDEX(_ENGINE_Crisis!$E$41:$E$700,MATCH('Resilience &amp; Risk Scenario'!$B$60&amp;"|"&amp;$C541,_ENGINE_Crisis!$I$41:$I$700,0)),"")</f>
        <v/>
      </c>
      <c r="AS541">
        <f>IFERROR(INDEX(_ENGINE_Crisis!$G$41:$G$700,MATCH('Resilience &amp; Risk Scenario'!$B$60&amp;"|"&amp;$C541,_ENGINE_Crisis!$I$41:$I$700,0)),"")</f>
        <v/>
      </c>
      <c r="AT541">
        <f>IFERROR(INDEX(_ENGINE_Initiatives!$A$5:$A$532,MATCH(1,INDEX((_ENGINE_Initiatives!$B$5:$B$532=$C541)*(_ENGINE_Initiatives!$C$5:$C$532=$D541),0),0)),"")</f>
        <v/>
      </c>
      <c r="AU541">
        <f>IFERROR(INDEX(_ENGINE_Initiatives!$F$5:$F$532,MATCH(1,INDEX((_ENGINE_Initiatives!$B$5:$B$532=$C541)*(_ENGINE_Initiatives!$C$5:$C$532=$D541),0),0)),"")</f>
        <v/>
      </c>
      <c r="AV541">
        <f>IFERROR(INDEX(_ENGINE_Initiatives!$AC$5:$AC$532,MATCH(1,INDEX((_ENGINE_Initiatives!$B$5:$B$532=$C541)*(_ENGINE_Initiatives!$C$5:$C$532=$D541),0),0)),"")</f>
        <v/>
      </c>
      <c r="AW541">
        <f>IFERROR(INDEX(_ENGINE_Initiatives!$AE$5:$AE$532,MATCH(1,INDEX((_ENGINE_Initiatives!$B$5:$B$532=$C541)*(_ENGINE_Initiatives!$C$5:$C$532=$D541),0),0)),"")</f>
        <v/>
      </c>
      <c r="AX541">
        <f>IF($B541="Yes",IFERROR(IF(SUMIFS(_REF_Model_Content!$E$1:$E$613,_REF_Model_Content!$A$1:$A$613,'Company Profile'!$B$9,_REF_Model_Content!$B$1:$B$613,$C541)=0,1,SUMIFS(_REF_Model_Content!$E$1:$E$613,_REF_Model_Content!$A$1:$A$613,'Company Profile'!$B$9,_REF_Model_Content!$B$1:$B$613,$C541)),1),"")</f>
        <v/>
      </c>
      <c r="AY541">
        <f>IF($L541="","",ROUND(IF($AP541="",$L541,$AP541)*IF($AX541="",1,$AX541),2))</f>
        <v/>
      </c>
      <c r="AZ541">
        <f>IF($S541="","",ROUND(IF($AQ541="",$S541,$AQ541)*IF($AX541="",1,$AX541),2))</f>
        <v/>
      </c>
      <c r="BB541">
        <f>IF($H541="","",IFERROR(INDEX('_ENGINE_Risk'!$AE$41:$AE$920,MATCH($E541,'_ENGINE_Risk'!$A$41:$A$920,0)),"Medium"))</f>
        <v/>
      </c>
      <c r="BC541">
        <f>IF($BB541="","",IF($BB541="Fast",1.25,IF($BB541="Slow",0.85,1)))</f>
        <v/>
      </c>
      <c r="BD541">
        <f>IF(OR($AZ541="",$BC541=""),"",ROUND($AZ541*$BC541,2))</f>
        <v/>
      </c>
      <c r="BF541">
        <f>IF(OR($H541="",$J541=""),"",_xlfn.IFNA(VLOOKUP($J541,_CONFIG_Model_Settings!$D$610:$E$614,2,0),""))</f>
        <v/>
      </c>
      <c r="BG541">
        <f>IF(OR($H541="",$K541=""),"",ROUND('Company Profile'!$B$569*INDEX(_CONFIG_Model_Settings!$H$610:$H$614,MATCH($K541,_CONFIG_Model_Settings!$G$610:$G$614,0)),0))</f>
        <v/>
      </c>
      <c r="BH541">
        <f>IF(OR($BF541="",$BG541=""),"",ROUND($BF541*$BG541,1))</f>
        <v/>
      </c>
      <c r="BI541">
        <f>IF($BH541="","",IF($AO541="",$BH541,ROUND($BH541*$AO541,1)))</f>
        <v/>
      </c>
      <c r="BJ541">
        <f>IF($E541="","",IFERROR(VLOOKUP($C541,'_CONFIG_Risk_Calibration'!$A$5:$H$21,2,FALSE),3))</f>
        <v/>
      </c>
      <c r="BK541">
        <f>IF($E541="","",IFERROR(VLOOKUP($C541,'_CONFIG_Risk_Calibration'!$A$5:$H$21,3,FALSE),0))</f>
        <v/>
      </c>
      <c r="BL541">
        <f>IF($E541="","",IFERROR(VLOOKUP($C541,'_CONFIG_Risk_Calibration'!$A$5:$H$21,4,FALSE),3))</f>
        <v/>
      </c>
      <c r="BM541">
        <f>IF($E541="","",IFERROR(VLOOKUP($C541,'_CONFIG_Risk_Calibration'!$A$5:$H$21,5,FALSE),3))</f>
        <v/>
      </c>
      <c r="BN541">
        <f>IF($E541="","",IFERROR(VLOOKUP($C541,'_CONFIG_Risk_Calibration'!$A$5:$H$21,6,FALSE),"No"))</f>
        <v/>
      </c>
      <c r="BO541">
        <f>IF($E541="","",IFERROR(VLOOKUP($C541,'_CONFIG_Risk_Calibration'!$A$5:$H$21,7,FALSE),1))</f>
        <v/>
      </c>
      <c r="BP541">
        <f>IF($H541="","",MAX(1,MIN(5,((6-$H541)*0.45)+($BJ541*0.20)+('Resilience &amp; Risk Scenario'!$B$7*0.15)+($BK541*0.10)+($BL541*0.05)+(IF($BB541="Fast",5,IF($BB541="Slow",1,3))*0.05))))</f>
        <v/>
      </c>
      <c r="BQ541">
        <f>IF($H541="","",MAX(IF($BN541="Yes",$BO541,1),MIN(5,($U541*0.20)+($V541*0.15)+($W541*0.25)+($X541*0.15)+($BJ541*0.10)+($BM541*0.15))))</f>
        <v/>
      </c>
      <c r="BR541">
        <f>IF(OR($BP541="",$BQ541=""),"",ROUND($BP541*$BQ541,2))</f>
        <v/>
      </c>
      <c r="BS541">
        <f>IF($BR541="","",ROUND($BR541*IF($AO541="",1,$AO541)*IF($AX541="",1,$AX541)*(1+(($BM541-3)*0.10))*IF($BC541="",1,$BC541),2))</f>
        <v/>
      </c>
    </row>
    <row r="542" ht="69.90000000000001" customHeight="1" s="209">
      <c r="A542">
        <f>IF($BD542="","",SUMPRODUCT(ISNUMBER($BD$500:$BD$923)*($BD$500:$BD$923&gt;$BD542))+COUNTIF($BD$500:$BD542,$BD542))</f>
        <v/>
      </c>
      <c r="B542">
        <f>IF($H542="","",IF($H542&lt;5,"Yes","Maintain"))</f>
        <v/>
      </c>
      <c r="C542" t="inlineStr">
        <is>
          <t>Strategy GTM</t>
        </is>
      </c>
      <c r="D542" t="inlineStr">
        <is>
          <t>External relations and partnerships</t>
        </is>
      </c>
      <c r="E542" t="inlineStr">
        <is>
          <t>STRA-025</t>
        </is>
      </c>
      <c r="F542" t="inlineStr">
        <is>
          <t>External relationships and stakeholder resilience</t>
        </is>
      </c>
      <c r="G542">
        <f>IF($H542="","",IFERROR(INDEX('_ENGINE_Risk'!$H$41:$M$920,MATCH($E542,'_ENGINE_Risk'!$A$41:$A$920,0),$H542+1),""))</f>
        <v/>
      </c>
      <c r="H542">
        <f>IFERROR(VALUE(INDEX(_DATA_Assessment_Model!$H$5:$H$884,MATCH($E542,_DATA_Assessment_Model!$A$5:$A$884,0))),"")</f>
        <v/>
      </c>
      <c r="I542">
        <f>IF($H542="","",IFERROR(INDEX(_DATA_Assessment_Model!$L$5:$L$884,MATCH($E542,_DATA_Assessment_Model!$A$5:$A$884,0)),IF($H542&lt;=1,"Critical",IF($H542=2,"High",IF($H542=3,"Medium",IF($H542=4,"Low","Resilient"))))))</f>
        <v/>
      </c>
      <c r="J542">
        <f>IF($H542="","",MIN(5,MAX(1,6-$H542)))</f>
        <v/>
      </c>
      <c r="K542">
        <f>IF($H542="","",MAX(1,MIN(5,ROUNDUP(($U542*0.45)+($W542*0.35)+($X542*0.2),0))))</f>
        <v/>
      </c>
      <c r="L542">
        <f>IF($H542="","",$J542*$K542)</f>
        <v/>
      </c>
      <c r="M542">
        <f>IF($H542="","",MAX(1,MIN(5,ROUNDUP($L542/5,0))))</f>
        <v/>
      </c>
      <c r="N542">
        <f>IF($H542="","",IFERROR(INDEX('_ENGINE_Risk'!$T$41:$Y$920,MATCH($E542,'_ENGINE_Risk'!$A$41:$A$920,0),$H542+1),""))</f>
        <v/>
      </c>
      <c r="O542">
        <f>IF($H542="","",MAX(1,MIN(5,($U542+$V542+$X542)/3)))</f>
        <v/>
      </c>
      <c r="P542">
        <f>IF($H542="","",IF($I542="Critical",5,IF($I542="High",4,IF($I542="Medium",3,IF($I542="Low",2,1)))))</f>
        <v/>
      </c>
      <c r="Q542">
        <f>IF($H542="","",MAX(1,MIN(5,((5-$H542)*0.65)+($W542*0.35))))</f>
        <v/>
      </c>
      <c r="R542">
        <f>IF($H542="","",MAX(1,MIN(5,($V542+$X542)/2)))</f>
        <v/>
      </c>
      <c r="S542">
        <f>IF(OR($H542="",$N542=""),"",ROUND(($O542+$P542+$Q542+$R542)/$N542,2))</f>
        <v/>
      </c>
      <c r="T542">
        <f>IF($H542="","",IFERROR(INDEX('_ENGINE_Risk'!$N$41:$S$920,MATCH($E542,'_ENGINE_Risk'!$A$41:$A$920,0),$H542+1),""))</f>
        <v/>
      </c>
      <c r="U542">
        <f>IFERROR(INDEX(_DATA_Assessment_Model!$G$5:$G$884,MATCH($E542,_DATA_Assessment_Model!$A$5:$A$884,0)),"")</f>
        <v/>
      </c>
      <c r="V542">
        <f>IFERROR(INDEX(_DATA_Assessment_Model!$W$5:$W$884,MATCH($E542,_DATA_Assessment_Model!$A$5:$A$884,0)),"")</f>
        <v/>
      </c>
      <c r="W542">
        <f>IFERROR(INDEX(_DATA_Assessment_Model!$X$5:$X$884,MATCH($E542,_DATA_Assessment_Model!$A$5:$A$884,0)),"")</f>
        <v/>
      </c>
      <c r="X542">
        <f>IFERROR(INDEX(_DATA_Assessment_Model!$Y$5:$Y$884,MATCH($E542,_DATA_Assessment_Model!$A$5:$A$884,0)),"")</f>
        <v/>
      </c>
      <c r="Y542" t="inlineStr">
        <is>
          <t>Demand shock; Supplier/logistics disruption; Reputation crisis</t>
        </is>
      </c>
      <c r="Z542" t="inlineStr">
        <is>
          <t>CEO / Head of Partnerships</t>
        </is>
      </c>
      <c r="AA542" t="inlineStr">
        <is>
          <t>Policy/SOP; owner/RACI; system report; dashboard; contracts; test records; incident history; interview evidence related to partner and alliance portfolio management with selection criteria, contracts, performance review and dependency control</t>
        </is>
      </c>
      <c r="AB542">
        <f>IFERROR(INDEX(_DATA_Assessment_Model!$U$5:$U$884,MATCH($E542,_DATA_Assessment_Model!$A$5:$A$884,0)),"")</f>
        <v/>
      </c>
      <c r="AF542" t="inlineStr">
        <is>
          <t>How mature is the organization in managing partner and alliance portfolio management with selection criteria, contracts, performance review and dependency control, including ownership, evidence, metrics, fallback procedures and crisis stress testing?</t>
        </is>
      </c>
      <c r="AO542">
        <f>IF($B542="Yes",IFERROR(INDEX(_ENGINE_Crisis!$F$501:$F$517,MATCH($C542,_ENGINE_Crisis!$A$501:$A$517,0)),1),"")</f>
        <v/>
      </c>
      <c r="AP542">
        <f>IF(AO542="","",ROUND($L542*AO542,1))</f>
        <v/>
      </c>
      <c r="AQ542">
        <f>IF(OR(AO542="",$S542=""),"",ROUND($S542*(0.7+0.3*AO542),2))</f>
        <v/>
      </c>
      <c r="AR542">
        <f>IFERROR(INDEX(_ENGINE_Crisis!$E$41:$E$700,MATCH('Resilience &amp; Risk Scenario'!$B$60&amp;"|"&amp;$C542,_ENGINE_Crisis!$I$41:$I$700,0)),"")</f>
        <v/>
      </c>
      <c r="AS542">
        <f>IFERROR(INDEX(_ENGINE_Crisis!$G$41:$G$700,MATCH('Resilience &amp; Risk Scenario'!$B$60&amp;"|"&amp;$C542,_ENGINE_Crisis!$I$41:$I$700,0)),"")</f>
        <v/>
      </c>
      <c r="AT542">
        <f>IFERROR(INDEX(_ENGINE_Initiatives!$A$5:$A$532,MATCH(1,INDEX((_ENGINE_Initiatives!$B$5:$B$532=$C542)*(_ENGINE_Initiatives!$C$5:$C$532=$D542),0),0)),"")</f>
        <v/>
      </c>
      <c r="AU542">
        <f>IFERROR(INDEX(_ENGINE_Initiatives!$F$5:$F$532,MATCH(1,INDEX((_ENGINE_Initiatives!$B$5:$B$532=$C542)*(_ENGINE_Initiatives!$C$5:$C$532=$D542),0),0)),"")</f>
        <v/>
      </c>
      <c r="AV542">
        <f>IFERROR(INDEX(_ENGINE_Initiatives!$AC$5:$AC$532,MATCH(1,INDEX((_ENGINE_Initiatives!$B$5:$B$532=$C542)*(_ENGINE_Initiatives!$C$5:$C$532=$D542),0),0)),"")</f>
        <v/>
      </c>
      <c r="AW542">
        <f>IFERROR(INDEX(_ENGINE_Initiatives!$AE$5:$AE$532,MATCH(1,INDEX((_ENGINE_Initiatives!$B$5:$B$532=$C542)*(_ENGINE_Initiatives!$C$5:$C$532=$D542),0),0)),"")</f>
        <v/>
      </c>
      <c r="AX542">
        <f>IF($B542="Yes",IFERROR(IF(SUMIFS(_REF_Model_Content!$E$1:$E$613,_REF_Model_Content!$A$1:$A$613,'Company Profile'!$B$9,_REF_Model_Content!$B$1:$B$613,$C542)=0,1,SUMIFS(_REF_Model_Content!$E$1:$E$613,_REF_Model_Content!$A$1:$A$613,'Company Profile'!$B$9,_REF_Model_Content!$B$1:$B$613,$C542)),1),"")</f>
        <v/>
      </c>
      <c r="AY542">
        <f>IF($L542="","",ROUND(IF($AP542="",$L542,$AP542)*IF($AX542="",1,$AX542),2))</f>
        <v/>
      </c>
      <c r="AZ542">
        <f>IF($S542="","",ROUND(IF($AQ542="",$S542,$AQ542)*IF($AX542="",1,$AX542),2))</f>
        <v/>
      </c>
      <c r="BB542">
        <f>IF($H542="","",IFERROR(INDEX('_ENGINE_Risk'!$AE$41:$AE$920,MATCH($E542,'_ENGINE_Risk'!$A$41:$A$920,0)),"Medium"))</f>
        <v/>
      </c>
      <c r="BC542">
        <f>IF($BB542="","",IF($BB542="Fast",1.25,IF($BB542="Slow",0.85,1)))</f>
        <v/>
      </c>
      <c r="BD542">
        <f>IF(OR($AZ542="",$BC542=""),"",ROUND($AZ542*$BC542,2))</f>
        <v/>
      </c>
      <c r="BF542">
        <f>IF(OR($H542="",$J542=""),"",_xlfn.IFNA(VLOOKUP($J542,_CONFIG_Model_Settings!$D$610:$E$614,2,0),""))</f>
        <v/>
      </c>
      <c r="BG542">
        <f>IF(OR($H542="",$K542=""),"",ROUND('Company Profile'!$B$569*INDEX(_CONFIG_Model_Settings!$H$610:$H$614,MATCH($K542,_CONFIG_Model_Settings!$G$610:$G$614,0)),0))</f>
        <v/>
      </c>
      <c r="BH542">
        <f>IF(OR($BF542="",$BG542=""),"",ROUND($BF542*$BG542,1))</f>
        <v/>
      </c>
      <c r="BI542">
        <f>IF($BH542="","",IF($AO542="",$BH542,ROUND($BH542*$AO542,1)))</f>
        <v/>
      </c>
      <c r="BJ542">
        <f>IF($E542="","",IFERROR(VLOOKUP($C542,'_CONFIG_Risk_Calibration'!$A$5:$H$21,2,FALSE),3))</f>
        <v/>
      </c>
      <c r="BK542">
        <f>IF($E542="","",IFERROR(VLOOKUP($C542,'_CONFIG_Risk_Calibration'!$A$5:$H$21,3,FALSE),0))</f>
        <v/>
      </c>
      <c r="BL542">
        <f>IF($E542="","",IFERROR(VLOOKUP($C542,'_CONFIG_Risk_Calibration'!$A$5:$H$21,4,FALSE),3))</f>
        <v/>
      </c>
      <c r="BM542">
        <f>IF($E542="","",IFERROR(VLOOKUP($C542,'_CONFIG_Risk_Calibration'!$A$5:$H$21,5,FALSE),3))</f>
        <v/>
      </c>
      <c r="BN542">
        <f>IF($E542="","",IFERROR(VLOOKUP($C542,'_CONFIG_Risk_Calibration'!$A$5:$H$21,6,FALSE),"No"))</f>
        <v/>
      </c>
      <c r="BO542">
        <f>IF($E542="","",IFERROR(VLOOKUP($C542,'_CONFIG_Risk_Calibration'!$A$5:$H$21,7,FALSE),1))</f>
        <v/>
      </c>
      <c r="BP542">
        <f>IF($H542="","",MAX(1,MIN(5,((6-$H542)*0.45)+($BJ542*0.20)+('Resilience &amp; Risk Scenario'!$B$7*0.15)+($BK542*0.10)+($BL542*0.05)+(IF($BB542="Fast",5,IF($BB542="Slow",1,3))*0.05))))</f>
        <v/>
      </c>
      <c r="BQ542">
        <f>IF($H542="","",MAX(IF($BN542="Yes",$BO542,1),MIN(5,($U542*0.20)+($V542*0.15)+($W542*0.25)+($X542*0.15)+($BJ542*0.10)+($BM542*0.15))))</f>
        <v/>
      </c>
      <c r="BR542">
        <f>IF(OR($BP542="",$BQ542=""),"",ROUND($BP542*$BQ542,2))</f>
        <v/>
      </c>
      <c r="BS542">
        <f>IF($BR542="","",ROUND($BR542*IF($AO542="",1,$AO542)*IF($AX542="",1,$AX542)*(1+(($BM542-3)*0.10))*IF($BC542="",1,$BC542),2))</f>
        <v/>
      </c>
    </row>
    <row r="543" ht="69.90000000000001" customHeight="1" s="209">
      <c r="A543">
        <f>IF($BD543="","",SUMPRODUCT(ISNUMBER($BD$500:$BD$923)*($BD$500:$BD$923&gt;$BD543))+COUNTIF($BD$500:$BD543,$BD543))</f>
        <v/>
      </c>
      <c r="B543">
        <f>IF($H543="","",IF($H543&lt;5,"Yes","Maintain"))</f>
        <v/>
      </c>
      <c r="C543" t="inlineStr">
        <is>
          <t>Strategy GTM</t>
        </is>
      </c>
      <c r="D543" t="inlineStr">
        <is>
          <t>External relations and partnerships</t>
        </is>
      </c>
      <c r="E543" t="inlineStr">
        <is>
          <t>STRA-026</t>
        </is>
      </c>
      <c r="F543" t="inlineStr">
        <is>
          <t>External relationships and stakeholder resilience</t>
        </is>
      </c>
      <c r="G543">
        <f>IF($H543="","",IFERROR(INDEX('_ENGINE_Risk'!$H$41:$M$920,MATCH($E543,'_ENGINE_Risk'!$A$41:$A$920,0),$H543+1),""))</f>
        <v/>
      </c>
      <c r="H543">
        <f>IFERROR(VALUE(INDEX(_DATA_Assessment_Model!$H$5:$H$884,MATCH($E543,_DATA_Assessment_Model!$A$5:$A$884,0))),"")</f>
        <v/>
      </c>
      <c r="I543">
        <f>IF($H543="","",IFERROR(INDEX(_DATA_Assessment_Model!$L$5:$L$884,MATCH($E543,_DATA_Assessment_Model!$A$5:$A$884,0)),IF($H543&lt;=1,"Critical",IF($H543=2,"High",IF($H543=3,"Medium",IF($H543=4,"Low","Resilient"))))))</f>
        <v/>
      </c>
      <c r="J543">
        <f>IF($H543="","",MIN(5,MAX(1,6-$H543)))</f>
        <v/>
      </c>
      <c r="K543">
        <f>IF($H543="","",MAX(1,MIN(5,ROUNDUP(($U543*0.45)+($W543*0.35)+($X543*0.2),0))))</f>
        <v/>
      </c>
      <c r="L543">
        <f>IF($H543="","",$J543*$K543)</f>
        <v/>
      </c>
      <c r="M543">
        <f>IF($H543="","",MAX(1,MIN(5,ROUNDUP($L543/5,0))))</f>
        <v/>
      </c>
      <c r="N543">
        <f>IF($H543="","",IFERROR(INDEX('_ENGINE_Risk'!$T$41:$Y$920,MATCH($E543,'_ENGINE_Risk'!$A$41:$A$920,0),$H543+1),""))</f>
        <v/>
      </c>
      <c r="O543">
        <f>IF($H543="","",MAX(1,MIN(5,($U543+$V543+$X543)/3)))</f>
        <v/>
      </c>
      <c r="P543">
        <f>IF($H543="","",IF($I543="Critical",5,IF($I543="High",4,IF($I543="Medium",3,IF($I543="Low",2,1)))))</f>
        <v/>
      </c>
      <c r="Q543">
        <f>IF($H543="","",MAX(1,MIN(5,((5-$H543)*0.65)+($W543*0.35))))</f>
        <v/>
      </c>
      <c r="R543">
        <f>IF($H543="","",MAX(1,MIN(5,($V543+$X543)/2)))</f>
        <v/>
      </c>
      <c r="S543">
        <f>IF(OR($H543="",$N543=""),"",ROUND(($O543+$P543+$Q543+$R543)/$N543,2))</f>
        <v/>
      </c>
      <c r="T543">
        <f>IF($H543="","",IFERROR(INDEX('_ENGINE_Risk'!$N$41:$S$920,MATCH($E543,'_ENGINE_Risk'!$A$41:$A$920,0),$H543+1),""))</f>
        <v/>
      </c>
      <c r="U543">
        <f>IFERROR(INDEX(_DATA_Assessment_Model!$G$5:$G$884,MATCH($E543,_DATA_Assessment_Model!$A$5:$A$884,0)),"")</f>
        <v/>
      </c>
      <c r="V543">
        <f>IFERROR(INDEX(_DATA_Assessment_Model!$W$5:$W$884,MATCH($E543,_DATA_Assessment_Model!$A$5:$A$884,0)),"")</f>
        <v/>
      </c>
      <c r="W543">
        <f>IFERROR(INDEX(_DATA_Assessment_Model!$X$5:$X$884,MATCH($E543,_DATA_Assessment_Model!$A$5:$A$884,0)),"")</f>
        <v/>
      </c>
      <c r="X543">
        <f>IFERROR(INDEX(_DATA_Assessment_Model!$Y$5:$Y$884,MATCH($E543,_DATA_Assessment_Model!$A$5:$A$884,0)),"")</f>
        <v/>
      </c>
      <c r="Y543" t="inlineStr">
        <is>
          <t>Regulatory/legal shock; War/security crisis</t>
        </is>
      </c>
      <c r="Z543" t="inlineStr">
        <is>
          <t>CEO / Legal</t>
        </is>
      </c>
      <c r="AA543" t="inlineStr">
        <is>
          <t>Policy/SOP; owner/RACI; system report; dashboard; contracts; test records; incident history; interview evidence related to government and regulator relations with named owners, engagement plan and crisis escalation contacts</t>
        </is>
      </c>
      <c r="AB543">
        <f>IFERROR(INDEX(_DATA_Assessment_Model!$U$5:$U$884,MATCH($E543,_DATA_Assessment_Model!$A$5:$A$884,0)),"")</f>
        <v/>
      </c>
      <c r="AF543" t="inlineStr">
        <is>
          <t>How mature is the organization in managing government and regulator relations with named owners, engagement plan and crisis escalation contacts, including ownership, evidence, metrics, fallback procedures and crisis stress testing?</t>
        </is>
      </c>
      <c r="AO543">
        <f>IF($B543="Yes",IFERROR(INDEX(_ENGINE_Crisis!$F$501:$F$517,MATCH($C543,_ENGINE_Crisis!$A$501:$A$517,0)),1),"")</f>
        <v/>
      </c>
      <c r="AP543">
        <f>IF(AO543="","",ROUND($L543*AO543,1))</f>
        <v/>
      </c>
      <c r="AQ543">
        <f>IF(OR(AO543="",$S543=""),"",ROUND($S543*(0.7+0.3*AO543),2))</f>
        <v/>
      </c>
      <c r="AR543">
        <f>IFERROR(INDEX(_ENGINE_Crisis!$E$41:$E$700,MATCH('Resilience &amp; Risk Scenario'!$B$60&amp;"|"&amp;$C543,_ENGINE_Crisis!$I$41:$I$700,0)),"")</f>
        <v/>
      </c>
      <c r="AS543">
        <f>IFERROR(INDEX(_ENGINE_Crisis!$G$41:$G$700,MATCH('Resilience &amp; Risk Scenario'!$B$60&amp;"|"&amp;$C543,_ENGINE_Crisis!$I$41:$I$700,0)),"")</f>
        <v/>
      </c>
      <c r="AT543">
        <f>IFERROR(INDEX(_ENGINE_Initiatives!$A$5:$A$532,MATCH(1,INDEX((_ENGINE_Initiatives!$B$5:$B$532=$C543)*(_ENGINE_Initiatives!$C$5:$C$532=$D543),0),0)),"")</f>
        <v/>
      </c>
      <c r="AU543">
        <f>IFERROR(INDEX(_ENGINE_Initiatives!$F$5:$F$532,MATCH(1,INDEX((_ENGINE_Initiatives!$B$5:$B$532=$C543)*(_ENGINE_Initiatives!$C$5:$C$532=$D543),0),0)),"")</f>
        <v/>
      </c>
      <c r="AV543">
        <f>IFERROR(INDEX(_ENGINE_Initiatives!$AC$5:$AC$532,MATCH(1,INDEX((_ENGINE_Initiatives!$B$5:$B$532=$C543)*(_ENGINE_Initiatives!$C$5:$C$532=$D543),0),0)),"")</f>
        <v/>
      </c>
      <c r="AW543">
        <f>IFERROR(INDEX(_ENGINE_Initiatives!$AE$5:$AE$532,MATCH(1,INDEX((_ENGINE_Initiatives!$B$5:$B$532=$C543)*(_ENGINE_Initiatives!$C$5:$C$532=$D543),0),0)),"")</f>
        <v/>
      </c>
      <c r="AX543">
        <f>IF($B543="Yes",IFERROR(IF(SUMIFS(_REF_Model_Content!$E$1:$E$613,_REF_Model_Content!$A$1:$A$613,'Company Profile'!$B$9,_REF_Model_Content!$B$1:$B$613,$C543)=0,1,SUMIFS(_REF_Model_Content!$E$1:$E$613,_REF_Model_Content!$A$1:$A$613,'Company Profile'!$B$9,_REF_Model_Content!$B$1:$B$613,$C543)),1),"")</f>
        <v/>
      </c>
      <c r="AY543">
        <f>IF($L543="","",ROUND(IF($AP543="",$L543,$AP543)*IF($AX543="",1,$AX543),2))</f>
        <v/>
      </c>
      <c r="AZ543">
        <f>IF($S543="","",ROUND(IF($AQ543="",$S543,$AQ543)*IF($AX543="",1,$AX543),2))</f>
        <v/>
      </c>
      <c r="BB543">
        <f>IF($H543="","",IFERROR(INDEX('_ENGINE_Risk'!$AE$41:$AE$920,MATCH($E543,'_ENGINE_Risk'!$A$41:$A$920,0)),"Medium"))</f>
        <v/>
      </c>
      <c r="BC543">
        <f>IF($BB543="","",IF($BB543="Fast",1.25,IF($BB543="Slow",0.85,1)))</f>
        <v/>
      </c>
      <c r="BD543">
        <f>IF(OR($AZ543="",$BC543=""),"",ROUND($AZ543*$BC543,2))</f>
        <v/>
      </c>
      <c r="BF543">
        <f>IF(OR($H543="",$J543=""),"",_xlfn.IFNA(VLOOKUP($J543,_CONFIG_Model_Settings!$D$610:$E$614,2,0),""))</f>
        <v/>
      </c>
      <c r="BG543">
        <f>IF(OR($H543="",$K543=""),"",ROUND('Company Profile'!$B$569*INDEX(_CONFIG_Model_Settings!$H$610:$H$614,MATCH($K543,_CONFIG_Model_Settings!$G$610:$G$614,0)),0))</f>
        <v/>
      </c>
      <c r="BH543">
        <f>IF(OR($BF543="",$BG543=""),"",ROUND($BF543*$BG543,1))</f>
        <v/>
      </c>
      <c r="BI543">
        <f>IF($BH543="","",IF($AO543="",$BH543,ROUND($BH543*$AO543,1)))</f>
        <v/>
      </c>
      <c r="BJ543">
        <f>IF($E543="","",IFERROR(VLOOKUP($C543,'_CONFIG_Risk_Calibration'!$A$5:$H$21,2,FALSE),3))</f>
        <v/>
      </c>
      <c r="BK543">
        <f>IF($E543="","",IFERROR(VLOOKUP($C543,'_CONFIG_Risk_Calibration'!$A$5:$H$21,3,FALSE),0))</f>
        <v/>
      </c>
      <c r="BL543">
        <f>IF($E543="","",IFERROR(VLOOKUP($C543,'_CONFIG_Risk_Calibration'!$A$5:$H$21,4,FALSE),3))</f>
        <v/>
      </c>
      <c r="BM543">
        <f>IF($E543="","",IFERROR(VLOOKUP($C543,'_CONFIG_Risk_Calibration'!$A$5:$H$21,5,FALSE),3))</f>
        <v/>
      </c>
      <c r="BN543">
        <f>IF($E543="","",IFERROR(VLOOKUP($C543,'_CONFIG_Risk_Calibration'!$A$5:$H$21,6,FALSE),"No"))</f>
        <v/>
      </c>
      <c r="BO543">
        <f>IF($E543="","",IFERROR(VLOOKUP($C543,'_CONFIG_Risk_Calibration'!$A$5:$H$21,7,FALSE),1))</f>
        <v/>
      </c>
      <c r="BP543">
        <f>IF($H543="","",MAX(1,MIN(5,((6-$H543)*0.45)+($BJ543*0.20)+('Resilience &amp; Risk Scenario'!$B$7*0.15)+($BK543*0.10)+($BL543*0.05)+(IF($BB543="Fast",5,IF($BB543="Slow",1,3))*0.05))))</f>
        <v/>
      </c>
      <c r="BQ543">
        <f>IF($H543="","",MAX(IF($BN543="Yes",$BO543,1),MIN(5,($U543*0.20)+($V543*0.15)+($W543*0.25)+($X543*0.15)+($BJ543*0.10)+($BM543*0.15))))</f>
        <v/>
      </c>
      <c r="BR543">
        <f>IF(OR($BP543="",$BQ543=""),"",ROUND($BP543*$BQ543,2))</f>
        <v/>
      </c>
      <c r="BS543">
        <f>IF($BR543="","",ROUND($BR543*IF($AO543="",1,$AO543)*IF($AX543="",1,$AX543)*(1+(($BM543-3)*0.10))*IF($BC543="",1,$BC543),2))</f>
        <v/>
      </c>
    </row>
    <row r="544" ht="69.90000000000001" customHeight="1" s="209">
      <c r="A544">
        <f>IF($BD544="","",SUMPRODUCT(ISNUMBER($BD$500:$BD$923)*($BD$500:$BD$923&gt;$BD544))+COUNTIF($BD$500:$BD544,$BD544))</f>
        <v/>
      </c>
      <c r="B544">
        <f>IF($H544="","",IF($H544&lt;5,"Yes","Maintain"))</f>
        <v/>
      </c>
      <c r="C544" t="inlineStr">
        <is>
          <t>Strategy GTM</t>
        </is>
      </c>
      <c r="D544" t="inlineStr">
        <is>
          <t>External relations and partnerships</t>
        </is>
      </c>
      <c r="E544" t="inlineStr">
        <is>
          <t>STRA-028</t>
        </is>
      </c>
      <c r="F544" t="inlineStr">
        <is>
          <t>External relationships and stakeholder resilience</t>
        </is>
      </c>
      <c r="G544">
        <f>IF($H544="","",IFERROR(INDEX('_ENGINE_Risk'!$H$41:$M$920,MATCH($E544,'_ENGINE_Risk'!$A$41:$A$920,0),$H544+1),""))</f>
        <v/>
      </c>
      <c r="H544">
        <f>IFERROR(VALUE(INDEX(_DATA_Assessment_Model!$H$5:$H$884,MATCH($E544,_DATA_Assessment_Model!$A$5:$A$884,0))),"")</f>
        <v/>
      </c>
      <c r="I544">
        <f>IF($H544="","",IFERROR(INDEX(_DATA_Assessment_Model!$L$5:$L$884,MATCH($E544,_DATA_Assessment_Model!$A$5:$A$884,0)),IF($H544&lt;=1,"Critical",IF($H544=2,"High",IF($H544=3,"Medium",IF($H544=4,"Low","Resilient"))))))</f>
        <v/>
      </c>
      <c r="J544">
        <f>IF($H544="","",MIN(5,MAX(1,6-$H544)))</f>
        <v/>
      </c>
      <c r="K544">
        <f>IF($H544="","",MAX(1,MIN(5,ROUNDUP(($U544*0.45)+($W544*0.35)+($X544*0.2),0))))</f>
        <v/>
      </c>
      <c r="L544">
        <f>IF($H544="","",$J544*$K544)</f>
        <v/>
      </c>
      <c r="M544">
        <f>IF($H544="","",MAX(1,MIN(5,ROUNDUP($L544/5,0))))</f>
        <v/>
      </c>
      <c r="N544">
        <f>IF($H544="","",IFERROR(INDEX('_ENGINE_Risk'!$T$41:$Y$920,MATCH($E544,'_ENGINE_Risk'!$A$41:$A$920,0),$H544+1),""))</f>
        <v/>
      </c>
      <c r="O544">
        <f>IF($H544="","",MAX(1,MIN(5,($U544+$V544+$X544)/3)))</f>
        <v/>
      </c>
      <c r="P544">
        <f>IF($H544="","",IF($I544="Critical",5,IF($I544="High",4,IF($I544="Medium",3,IF($I544="Low",2,1)))))</f>
        <v/>
      </c>
      <c r="Q544">
        <f>IF($H544="","",MAX(1,MIN(5,((5-$H544)*0.65)+($W544*0.35))))</f>
        <v/>
      </c>
      <c r="R544">
        <f>IF($H544="","",MAX(1,MIN(5,($V544+$X544)/2)))</f>
        <v/>
      </c>
      <c r="S544">
        <f>IF(OR($H544="",$N544=""),"",ROUND(($O544+$P544+$Q544+$R544)/$N544,2))</f>
        <v/>
      </c>
      <c r="T544">
        <f>IF($H544="","",IFERROR(INDEX('_ENGINE_Risk'!$N$41:$S$920,MATCH($E544,'_ENGINE_Risk'!$A$41:$A$920,0),$H544+1),""))</f>
        <v/>
      </c>
      <c r="U544">
        <f>IFERROR(INDEX(_DATA_Assessment_Model!$G$5:$G$884,MATCH($E544,_DATA_Assessment_Model!$A$5:$A$884,0)),"")</f>
        <v/>
      </c>
      <c r="V544">
        <f>IFERROR(INDEX(_DATA_Assessment_Model!$W$5:$W$884,MATCH($E544,_DATA_Assessment_Model!$A$5:$A$884,0)),"")</f>
        <v/>
      </c>
      <c r="W544">
        <f>IFERROR(INDEX(_DATA_Assessment_Model!$X$5:$X$884,MATCH($E544,_DATA_Assessment_Model!$A$5:$A$884,0)),"")</f>
        <v/>
      </c>
      <c r="X544">
        <f>IFERROR(INDEX(_DATA_Assessment_Model!$Y$5:$Y$884,MATCH($E544,_DATA_Assessment_Model!$A$5:$A$884,0)),"")</f>
        <v/>
      </c>
      <c r="Y544" t="inlineStr">
        <is>
          <t>Financial/liquidity crisis; Reputation crisis</t>
        </is>
      </c>
      <c r="Z544" t="inlineStr">
        <is>
          <t>CEO / CFO</t>
        </is>
      </c>
      <c r="AA544" t="inlineStr">
        <is>
          <t>Policy/SOP; owner/RACI; system report; dashboard; contracts; test records; incident history; interview evidence related to owner, investor and lender communication discipline including bad-news protocols and crisis updates</t>
        </is>
      </c>
      <c r="AB544">
        <f>IFERROR(INDEX(_DATA_Assessment_Model!$U$5:$U$884,MATCH($E544,_DATA_Assessment_Model!$A$5:$A$884,0)),"")</f>
        <v/>
      </c>
      <c r="AF544" t="inlineStr">
        <is>
          <t>How mature is the organization in managing owner, investor and lender communication discipline including bad-news protocols and crisis updates, including ownership, evidence, metrics, fallback procedures and crisis stress testing?</t>
        </is>
      </c>
      <c r="AO544">
        <f>IF($B544="Yes",IFERROR(INDEX(_ENGINE_Crisis!$F$501:$F$517,MATCH($C544,_ENGINE_Crisis!$A$501:$A$517,0)),1),"")</f>
        <v/>
      </c>
      <c r="AP544">
        <f>IF(AO544="","",ROUND($L544*AO544,1))</f>
        <v/>
      </c>
      <c r="AQ544">
        <f>IF(OR(AO544="",$S544=""),"",ROUND($S544*(0.7+0.3*AO544),2))</f>
        <v/>
      </c>
      <c r="AR544">
        <f>IFERROR(INDEX(_ENGINE_Crisis!$E$41:$E$700,MATCH('Resilience &amp; Risk Scenario'!$B$60&amp;"|"&amp;$C544,_ENGINE_Crisis!$I$41:$I$700,0)),"")</f>
        <v/>
      </c>
      <c r="AS544">
        <f>IFERROR(INDEX(_ENGINE_Crisis!$G$41:$G$700,MATCH('Resilience &amp; Risk Scenario'!$B$60&amp;"|"&amp;$C544,_ENGINE_Crisis!$I$41:$I$700,0)),"")</f>
        <v/>
      </c>
      <c r="AT544">
        <f>IFERROR(INDEX(_ENGINE_Initiatives!$A$5:$A$532,MATCH(1,INDEX((_ENGINE_Initiatives!$B$5:$B$532=$C544)*(_ENGINE_Initiatives!$C$5:$C$532=$D544),0),0)),"")</f>
        <v/>
      </c>
      <c r="AU544">
        <f>IFERROR(INDEX(_ENGINE_Initiatives!$F$5:$F$532,MATCH(1,INDEX((_ENGINE_Initiatives!$B$5:$B$532=$C544)*(_ENGINE_Initiatives!$C$5:$C$532=$D544),0),0)),"")</f>
        <v/>
      </c>
      <c r="AV544">
        <f>IFERROR(INDEX(_ENGINE_Initiatives!$AC$5:$AC$532,MATCH(1,INDEX((_ENGINE_Initiatives!$B$5:$B$532=$C544)*(_ENGINE_Initiatives!$C$5:$C$532=$D544),0),0)),"")</f>
        <v/>
      </c>
      <c r="AW544">
        <f>IFERROR(INDEX(_ENGINE_Initiatives!$AE$5:$AE$532,MATCH(1,INDEX((_ENGINE_Initiatives!$B$5:$B$532=$C544)*(_ENGINE_Initiatives!$C$5:$C$532=$D544),0),0)),"")</f>
        <v/>
      </c>
      <c r="AX544">
        <f>IF($B544="Yes",IFERROR(IF(SUMIFS(_REF_Model_Content!$E$1:$E$613,_REF_Model_Content!$A$1:$A$613,'Company Profile'!$B$9,_REF_Model_Content!$B$1:$B$613,$C544)=0,1,SUMIFS(_REF_Model_Content!$E$1:$E$613,_REF_Model_Content!$A$1:$A$613,'Company Profile'!$B$9,_REF_Model_Content!$B$1:$B$613,$C544)),1),"")</f>
        <v/>
      </c>
      <c r="AY544">
        <f>IF($L544="","",ROUND(IF($AP544="",$L544,$AP544)*IF($AX544="",1,$AX544),2))</f>
        <v/>
      </c>
      <c r="AZ544">
        <f>IF($S544="","",ROUND(IF($AQ544="",$S544,$AQ544)*IF($AX544="",1,$AX544),2))</f>
        <v/>
      </c>
      <c r="BB544">
        <f>IF($H544="","",IFERROR(INDEX('_ENGINE_Risk'!$AE$41:$AE$920,MATCH($E544,'_ENGINE_Risk'!$A$41:$A$920,0)),"Medium"))</f>
        <v/>
      </c>
      <c r="BC544">
        <f>IF($BB544="","",IF($BB544="Fast",1.25,IF($BB544="Slow",0.85,1)))</f>
        <v/>
      </c>
      <c r="BD544">
        <f>IF(OR($AZ544="",$BC544=""),"",ROUND($AZ544*$BC544,2))</f>
        <v/>
      </c>
      <c r="BF544">
        <f>IF(OR($H544="",$J544=""),"",_xlfn.IFNA(VLOOKUP($J544,_CONFIG_Model_Settings!$D$610:$E$614,2,0),""))</f>
        <v/>
      </c>
      <c r="BG544">
        <f>IF(OR($H544="",$K544=""),"",ROUND('Company Profile'!$B$569*INDEX(_CONFIG_Model_Settings!$H$610:$H$614,MATCH($K544,_CONFIG_Model_Settings!$G$610:$G$614,0)),0))</f>
        <v/>
      </c>
      <c r="BH544">
        <f>IF(OR($BF544="",$BG544=""),"",ROUND($BF544*$BG544,1))</f>
        <v/>
      </c>
      <c r="BI544">
        <f>IF($BH544="","",IF($AO544="",$BH544,ROUND($BH544*$AO544,1)))</f>
        <v/>
      </c>
      <c r="BJ544">
        <f>IF($E544="","",IFERROR(VLOOKUP($C544,'_CONFIG_Risk_Calibration'!$A$5:$H$21,2,FALSE),3))</f>
        <v/>
      </c>
      <c r="BK544">
        <f>IF($E544="","",IFERROR(VLOOKUP($C544,'_CONFIG_Risk_Calibration'!$A$5:$H$21,3,FALSE),0))</f>
        <v/>
      </c>
      <c r="BL544">
        <f>IF($E544="","",IFERROR(VLOOKUP($C544,'_CONFIG_Risk_Calibration'!$A$5:$H$21,4,FALSE),3))</f>
        <v/>
      </c>
      <c r="BM544">
        <f>IF($E544="","",IFERROR(VLOOKUP($C544,'_CONFIG_Risk_Calibration'!$A$5:$H$21,5,FALSE),3))</f>
        <v/>
      </c>
      <c r="BN544">
        <f>IF($E544="","",IFERROR(VLOOKUP($C544,'_CONFIG_Risk_Calibration'!$A$5:$H$21,6,FALSE),"No"))</f>
        <v/>
      </c>
      <c r="BO544">
        <f>IF($E544="","",IFERROR(VLOOKUP($C544,'_CONFIG_Risk_Calibration'!$A$5:$H$21,7,FALSE),1))</f>
        <v/>
      </c>
      <c r="BP544">
        <f>IF($H544="","",MAX(1,MIN(5,((6-$H544)*0.45)+($BJ544*0.20)+('Resilience &amp; Risk Scenario'!$B$7*0.15)+($BK544*0.10)+($BL544*0.05)+(IF($BB544="Fast",5,IF($BB544="Slow",1,3))*0.05))))</f>
        <v/>
      </c>
      <c r="BQ544">
        <f>IF($H544="","",MAX(IF($BN544="Yes",$BO544,1),MIN(5,($U544*0.20)+($V544*0.15)+($W544*0.25)+($X544*0.15)+($BJ544*0.10)+($BM544*0.15))))</f>
        <v/>
      </c>
      <c r="BR544">
        <f>IF(OR($BP544="",$BQ544=""),"",ROUND($BP544*$BQ544,2))</f>
        <v/>
      </c>
      <c r="BS544">
        <f>IF($BR544="","",ROUND($BR544*IF($AO544="",1,$AO544)*IF($AX544="",1,$AX544)*(1+(($BM544-3)*0.10))*IF($BC544="",1,$BC544),2))</f>
        <v/>
      </c>
    </row>
    <row r="545" ht="69.90000000000001" customHeight="1" s="209">
      <c r="A545">
        <f>IF($BD545="","",SUMPRODUCT(ISNUMBER($BD$500:$BD$923)*($BD$500:$BD$923&gt;$BD545))+COUNTIF($BD$500:$BD545,$BD545))</f>
        <v/>
      </c>
      <c r="B545">
        <f>IF($H545="","",IF($H545&lt;5,"Yes","Maintain"))</f>
        <v/>
      </c>
      <c r="C545" t="inlineStr">
        <is>
          <t>Governance Crisis</t>
        </is>
      </c>
      <c r="D545" t="inlineStr">
        <is>
          <t>Crisis governance</t>
        </is>
      </c>
      <c r="E545" t="inlineStr">
        <is>
          <t>GOVE-001</t>
        </is>
      </c>
      <c r="F545" t="inlineStr">
        <is>
          <t>Crisis governance and decision-making</t>
        </is>
      </c>
      <c r="G545">
        <f>IF($H545="","",IFERROR(INDEX('_ENGINE_Risk'!$H$41:$M$920,MATCH($E545,'_ENGINE_Risk'!$A$41:$A$920,0),$H545+1),""))</f>
        <v/>
      </c>
      <c r="H545">
        <f>IFERROR(VALUE(INDEX(_DATA_Assessment_Model!$H$5:$H$884,MATCH($E545,_DATA_Assessment_Model!$A$5:$A$884,0))),"")</f>
        <v/>
      </c>
      <c r="I545">
        <f>IF($H545="","",IFERROR(INDEX(_DATA_Assessment_Model!$L$5:$L$884,MATCH($E545,_DATA_Assessment_Model!$A$5:$A$884,0)),IF($H545&lt;=1,"Critical",IF($H545=2,"High",IF($H545=3,"Medium",IF($H545=4,"Low","Resilient"))))))</f>
        <v/>
      </c>
      <c r="J545">
        <f>IF($H545="","",MIN(5,MAX(1,6-$H545)))</f>
        <v/>
      </c>
      <c r="K545">
        <f>IF($H545="","",MAX(1,MIN(5,ROUNDUP(($U545*0.45)+($W545*0.35)+($X545*0.2),0))))</f>
        <v/>
      </c>
      <c r="L545">
        <f>IF($H545="","",$J545*$K545)</f>
        <v/>
      </c>
      <c r="M545">
        <f>IF($H545="","",MAX(1,MIN(5,ROUNDUP($L545/5,0))))</f>
        <v/>
      </c>
      <c r="N545">
        <f>IF($H545="","",IFERROR(INDEX('_ENGINE_Risk'!$T$41:$Y$920,MATCH($E545,'_ENGINE_Risk'!$A$41:$A$920,0),$H545+1),""))</f>
        <v/>
      </c>
      <c r="O545">
        <f>IF($H545="","",MAX(1,MIN(5,($U545+$V545+$X545)/3)))</f>
        <v/>
      </c>
      <c r="P545">
        <f>IF($H545="","",IF($I545="Critical",5,IF($I545="High",4,IF($I545="Medium",3,IF($I545="Low",2,1)))))</f>
        <v/>
      </c>
      <c r="Q545">
        <f>IF($H545="","",MAX(1,MIN(5,((5-$H545)*0.65)+($W545*0.35))))</f>
        <v/>
      </c>
      <c r="R545">
        <f>IF($H545="","",MAX(1,MIN(5,($V545+$X545)/2)))</f>
        <v/>
      </c>
      <c r="S545">
        <f>IF(OR($H545="",$N545=""),"",ROUND(($O545+$P545+$Q545+$R545)/$N545,2))</f>
        <v/>
      </c>
      <c r="T545">
        <f>IF($H545="","",IFERROR(INDEX('_ENGINE_Risk'!$N$41:$S$920,MATCH($E545,'_ENGINE_Risk'!$A$41:$A$920,0),$H545+1),""))</f>
        <v/>
      </c>
      <c r="U545">
        <f>IFERROR(INDEX(_DATA_Assessment_Model!$G$5:$G$884,MATCH($E545,_DATA_Assessment_Model!$A$5:$A$884,0)),"")</f>
        <v/>
      </c>
      <c r="V545">
        <f>IFERROR(INDEX(_DATA_Assessment_Model!$W$5:$W$884,MATCH($E545,_DATA_Assessment_Model!$A$5:$A$884,0)),"")</f>
        <v/>
      </c>
      <c r="W545">
        <f>IFERROR(INDEX(_DATA_Assessment_Model!$X$5:$X$884,MATCH($E545,_DATA_Assessment_Model!$A$5:$A$884,0)),"")</f>
        <v/>
      </c>
      <c r="X545">
        <f>IFERROR(INDEX(_DATA_Assessment_Model!$Y$5:$Y$884,MATCH($E545,_DATA_Assessment_Model!$A$5:$A$884,0)),"")</f>
        <v/>
      </c>
      <c r="Y545" t="inlineStr">
        <is>
          <t>All crisis types</t>
        </is>
      </c>
      <c r="Z545" t="inlineStr">
        <is>
          <t>CEO / COO / Risk</t>
        </is>
      </c>
      <c r="AA545" t="inlineStr">
        <is>
          <t>Policy/SOP; owner/RACI; system report; dashboard; contracts; test records; incident history; interview evidence related to formal crisis management structure with named roles, deputies, escalation paths and decision authority.</t>
        </is>
      </c>
      <c r="AB545">
        <f>IFERROR(INDEX(_DATA_Assessment_Model!$U$5:$U$884,MATCH($E545,_DATA_Assessment_Model!$A$5:$A$884,0)),"")</f>
        <v/>
      </c>
      <c r="AF545" t="inlineStr">
        <is>
          <t>How mature is the organization in managing formal crisis management structure with named roles, deputies, escalation paths and decision authority, including ownership, evidence, metrics, fallback procedures and crisis stress testing?</t>
        </is>
      </c>
      <c r="AO545">
        <f>IF($B545="Yes",IFERROR(INDEX(_ENGINE_Crisis!$F$501:$F$517,MATCH($C545,_ENGINE_Crisis!$A$501:$A$517,0)),1),"")</f>
        <v/>
      </c>
      <c r="AP545">
        <f>IF(AO545="","",ROUND($L545*AO545,1))</f>
        <v/>
      </c>
      <c r="AQ545">
        <f>IF(OR(AO545="",$S545=""),"",ROUND($S545*(0.7+0.3*AO545),2))</f>
        <v/>
      </c>
      <c r="AR545">
        <f>IFERROR(INDEX(_ENGINE_Crisis!$E$41:$E$700,MATCH('Resilience &amp; Risk Scenario'!$B$60&amp;"|"&amp;$C545,_ENGINE_Crisis!$I$41:$I$700,0)),"")</f>
        <v/>
      </c>
      <c r="AS545">
        <f>IFERROR(INDEX(_ENGINE_Crisis!$G$41:$G$700,MATCH('Resilience &amp; Risk Scenario'!$B$60&amp;"|"&amp;$C545,_ENGINE_Crisis!$I$41:$I$700,0)),"")</f>
        <v/>
      </c>
      <c r="AT545">
        <f>IFERROR(INDEX(_ENGINE_Initiatives!$A$5:$A$532,MATCH(1,INDEX((_ENGINE_Initiatives!$B$5:$B$532=$C545)*(_ENGINE_Initiatives!$C$5:$C$532=$D545),0),0)),"")</f>
        <v/>
      </c>
      <c r="AU545">
        <f>IFERROR(INDEX(_ENGINE_Initiatives!$F$5:$F$532,MATCH(1,INDEX((_ENGINE_Initiatives!$B$5:$B$532=$C545)*(_ENGINE_Initiatives!$C$5:$C$532=$D545),0),0)),"")</f>
        <v/>
      </c>
      <c r="AV545">
        <f>IFERROR(INDEX(_ENGINE_Initiatives!$AC$5:$AC$532,MATCH(1,INDEX((_ENGINE_Initiatives!$B$5:$B$532=$C545)*(_ENGINE_Initiatives!$C$5:$C$532=$D545),0),0)),"")</f>
        <v/>
      </c>
      <c r="AW545">
        <f>IFERROR(INDEX(_ENGINE_Initiatives!$AE$5:$AE$532,MATCH(1,INDEX((_ENGINE_Initiatives!$B$5:$B$532=$C545)*(_ENGINE_Initiatives!$C$5:$C$532=$D545),0),0)),"")</f>
        <v/>
      </c>
      <c r="AX545">
        <f>IF($B545="Yes",IFERROR(IF(SUMIFS(_REF_Model_Content!$E$1:$E$613,_REF_Model_Content!$A$1:$A$613,'Company Profile'!$B$9,_REF_Model_Content!$B$1:$B$613,$C545)=0,1,SUMIFS(_REF_Model_Content!$E$1:$E$613,_REF_Model_Content!$A$1:$A$613,'Company Profile'!$B$9,_REF_Model_Content!$B$1:$B$613,$C545)),1),"")</f>
        <v/>
      </c>
      <c r="AY545">
        <f>IF($L545="","",ROUND(IF($AP545="",$L545,$AP545)*IF($AX545="",1,$AX545),2))</f>
        <v/>
      </c>
      <c r="AZ545">
        <f>IF($S545="","",ROUND(IF($AQ545="",$S545,$AQ545)*IF($AX545="",1,$AX545),2))</f>
        <v/>
      </c>
      <c r="BB545">
        <f>IF($H545="","",IFERROR(INDEX('_ENGINE_Risk'!$AE$41:$AE$920,MATCH($E545,'_ENGINE_Risk'!$A$41:$A$920,0)),"Medium"))</f>
        <v/>
      </c>
      <c r="BC545">
        <f>IF($BB545="","",IF($BB545="Fast",1.25,IF($BB545="Slow",0.85,1)))</f>
        <v/>
      </c>
      <c r="BD545">
        <f>IF(OR($AZ545="",$BC545=""),"",ROUND($AZ545*$BC545,2))</f>
        <v/>
      </c>
      <c r="BF545">
        <f>IF(OR($H545="",$J545=""),"",_xlfn.IFNA(VLOOKUP($J545,_CONFIG_Model_Settings!$D$610:$E$614,2,0),""))</f>
        <v/>
      </c>
      <c r="BG545">
        <f>IF(OR($H545="",$K545=""),"",ROUND('Company Profile'!$B$569*INDEX(_CONFIG_Model_Settings!$H$610:$H$614,MATCH($K545,_CONFIG_Model_Settings!$G$610:$G$614,0)),0))</f>
        <v/>
      </c>
      <c r="BH545">
        <f>IF(OR($BF545="",$BG545=""),"",ROUND($BF545*$BG545,1))</f>
        <v/>
      </c>
      <c r="BI545">
        <f>IF($BH545="","",IF($AO545="",$BH545,ROUND($BH545*$AO545,1)))</f>
        <v/>
      </c>
      <c r="BJ545">
        <f>IF($E545="","",IFERROR(VLOOKUP($C545,'_CONFIG_Risk_Calibration'!$A$5:$H$21,2,FALSE),3))</f>
        <v/>
      </c>
      <c r="BK545">
        <f>IF($E545="","",IFERROR(VLOOKUP($C545,'_CONFIG_Risk_Calibration'!$A$5:$H$21,3,FALSE),0))</f>
        <v/>
      </c>
      <c r="BL545">
        <f>IF($E545="","",IFERROR(VLOOKUP($C545,'_CONFIG_Risk_Calibration'!$A$5:$H$21,4,FALSE),3))</f>
        <v/>
      </c>
      <c r="BM545">
        <f>IF($E545="","",IFERROR(VLOOKUP($C545,'_CONFIG_Risk_Calibration'!$A$5:$H$21,5,FALSE),3))</f>
        <v/>
      </c>
      <c r="BN545">
        <f>IF($E545="","",IFERROR(VLOOKUP($C545,'_CONFIG_Risk_Calibration'!$A$5:$H$21,6,FALSE),"No"))</f>
        <v/>
      </c>
      <c r="BO545">
        <f>IF($E545="","",IFERROR(VLOOKUP($C545,'_CONFIG_Risk_Calibration'!$A$5:$H$21,7,FALSE),1))</f>
        <v/>
      </c>
      <c r="BP545">
        <f>IF($H545="","",MAX(1,MIN(5,((6-$H545)*0.45)+($BJ545*0.20)+('Resilience &amp; Risk Scenario'!$B$7*0.15)+($BK545*0.10)+($BL545*0.05)+(IF($BB545="Fast",5,IF($BB545="Slow",1,3))*0.05))))</f>
        <v/>
      </c>
      <c r="BQ545">
        <f>IF($H545="","",MAX(IF($BN545="Yes",$BO545,1),MIN(5,($U545*0.20)+($V545*0.15)+($W545*0.25)+($X545*0.15)+($BJ545*0.10)+($BM545*0.15))))</f>
        <v/>
      </c>
      <c r="BR545">
        <f>IF(OR($BP545="",$BQ545=""),"",ROUND($BP545*$BQ545,2))</f>
        <v/>
      </c>
      <c r="BS545">
        <f>IF($BR545="","",ROUND($BR545*IF($AO545="",1,$AO545)*IF($AX545="",1,$AX545)*(1+(($BM545-3)*0.10))*IF($BC545="",1,$BC545),2))</f>
        <v/>
      </c>
    </row>
    <row r="546" ht="69.90000000000001" customHeight="1" s="209">
      <c r="A546">
        <f>IF($BD546="","",SUMPRODUCT(ISNUMBER($BD$500:$BD$923)*($BD$500:$BD$923&gt;$BD546))+COUNTIF($BD$500:$BD546,$BD546))</f>
        <v/>
      </c>
      <c r="B546">
        <f>IF($H546="","",IF($H546&lt;5,"Yes","Maintain"))</f>
        <v/>
      </c>
      <c r="C546" t="inlineStr">
        <is>
          <t>Governance Crisis</t>
        </is>
      </c>
      <c r="D546" t="inlineStr">
        <is>
          <t>Crisis governance</t>
        </is>
      </c>
      <c r="E546" t="inlineStr">
        <is>
          <t>GOVE-002</t>
        </is>
      </c>
      <c r="F546" t="inlineStr">
        <is>
          <t>Crisis governance and decision-making</t>
        </is>
      </c>
      <c r="G546">
        <f>IF($H546="","",IFERROR(INDEX('_ENGINE_Risk'!$H$41:$M$920,MATCH($E546,'_ENGINE_Risk'!$A$41:$A$920,0),$H546+1),""))</f>
        <v/>
      </c>
      <c r="H546">
        <f>IFERROR(VALUE(INDEX(_DATA_Assessment_Model!$H$5:$H$884,MATCH($E546,_DATA_Assessment_Model!$A$5:$A$884,0))),"")</f>
        <v/>
      </c>
      <c r="I546">
        <f>IF($H546="","",IFERROR(INDEX(_DATA_Assessment_Model!$L$5:$L$884,MATCH($E546,_DATA_Assessment_Model!$A$5:$A$884,0)),IF($H546&lt;=1,"Critical",IF($H546=2,"High",IF($H546=3,"Medium",IF($H546=4,"Low","Resilient"))))))</f>
        <v/>
      </c>
      <c r="J546">
        <f>IF($H546="","",MIN(5,MAX(1,6-$H546)))</f>
        <v/>
      </c>
      <c r="K546">
        <f>IF($H546="","",MAX(1,MIN(5,ROUNDUP(($U546*0.45)+($W546*0.35)+($X546*0.2),0))))</f>
        <v/>
      </c>
      <c r="L546">
        <f>IF($H546="","",$J546*$K546)</f>
        <v/>
      </c>
      <c r="M546">
        <f>IF($H546="","",MAX(1,MIN(5,ROUNDUP($L546/5,0))))</f>
        <v/>
      </c>
      <c r="N546">
        <f>IF($H546="","",IFERROR(INDEX('_ENGINE_Risk'!$T$41:$Y$920,MATCH($E546,'_ENGINE_Risk'!$A$41:$A$920,0),$H546+1),""))</f>
        <v/>
      </c>
      <c r="O546">
        <f>IF($H546="","",MAX(1,MIN(5,($U546+$V546+$X546)/3)))</f>
        <v/>
      </c>
      <c r="P546">
        <f>IF($H546="","",IF($I546="Critical",5,IF($I546="High",4,IF($I546="Medium",3,IF($I546="Low",2,1)))))</f>
        <v/>
      </c>
      <c r="Q546">
        <f>IF($H546="","",MAX(1,MIN(5,((5-$H546)*0.65)+($W546*0.35))))</f>
        <v/>
      </c>
      <c r="R546">
        <f>IF($H546="","",MAX(1,MIN(5,($V546+$X546)/2)))</f>
        <v/>
      </c>
      <c r="S546">
        <f>IF(OR($H546="",$N546=""),"",ROUND(($O546+$P546+$Q546+$R546)/$N546,2))</f>
        <v/>
      </c>
      <c r="T546">
        <f>IF($H546="","",IFERROR(INDEX('_ENGINE_Risk'!$N$41:$S$920,MATCH($E546,'_ENGINE_Risk'!$A$41:$A$920,0),$H546+1),""))</f>
        <v/>
      </c>
      <c r="U546">
        <f>IFERROR(INDEX(_DATA_Assessment_Model!$G$5:$G$884,MATCH($E546,_DATA_Assessment_Model!$A$5:$A$884,0)),"")</f>
        <v/>
      </c>
      <c r="V546">
        <f>IFERROR(INDEX(_DATA_Assessment_Model!$W$5:$W$884,MATCH($E546,_DATA_Assessment_Model!$A$5:$A$884,0)),"")</f>
        <v/>
      </c>
      <c r="W546">
        <f>IFERROR(INDEX(_DATA_Assessment_Model!$X$5:$X$884,MATCH($E546,_DATA_Assessment_Model!$A$5:$A$884,0)),"")</f>
        <v/>
      </c>
      <c r="X546">
        <f>IFERROR(INDEX(_DATA_Assessment_Model!$Y$5:$Y$884,MATCH($E546,_DATA_Assessment_Model!$A$5:$A$884,0)),"")</f>
        <v/>
      </c>
      <c r="Y546" t="inlineStr">
        <is>
          <t>All crisis types</t>
        </is>
      </c>
      <c r="Z546" t="inlineStr">
        <is>
          <t>CEO / COO / Risk</t>
        </is>
      </c>
      <c r="AA546" t="inlineStr">
        <is>
          <t>Policy/SOP; owner/RACI; system report; dashboard; contracts; test records; incident history; interview evidence related to executive crisis team trained for cross-functional crisis response.</t>
        </is>
      </c>
      <c r="AB546">
        <f>IFERROR(INDEX(_DATA_Assessment_Model!$U$5:$U$884,MATCH($E546,_DATA_Assessment_Model!$A$5:$A$884,0)),"")</f>
        <v/>
      </c>
      <c r="AF546" t="inlineStr">
        <is>
          <t>How mature is the organization in managing executive crisis team trained for cross-functional crisis response, including ownership, evidence, metrics, fallback procedures and crisis stress testing?</t>
        </is>
      </c>
      <c r="AO546">
        <f>IF($B546="Yes",IFERROR(INDEX(_ENGINE_Crisis!$F$501:$F$517,MATCH($C546,_ENGINE_Crisis!$A$501:$A$517,0)),1),"")</f>
        <v/>
      </c>
      <c r="AP546">
        <f>IF(AO546="","",ROUND($L546*AO546,1))</f>
        <v/>
      </c>
      <c r="AQ546">
        <f>IF(OR(AO546="",$S546=""),"",ROUND($S546*(0.7+0.3*AO546),2))</f>
        <v/>
      </c>
      <c r="AR546">
        <f>IFERROR(INDEX(_ENGINE_Crisis!$E$41:$E$700,MATCH('Resilience &amp; Risk Scenario'!$B$60&amp;"|"&amp;$C546,_ENGINE_Crisis!$I$41:$I$700,0)),"")</f>
        <v/>
      </c>
      <c r="AS546">
        <f>IFERROR(INDEX(_ENGINE_Crisis!$G$41:$G$700,MATCH('Resilience &amp; Risk Scenario'!$B$60&amp;"|"&amp;$C546,_ENGINE_Crisis!$I$41:$I$700,0)),"")</f>
        <v/>
      </c>
      <c r="AT546">
        <f>IFERROR(INDEX(_ENGINE_Initiatives!$A$5:$A$532,MATCH(1,INDEX((_ENGINE_Initiatives!$B$5:$B$532=$C546)*(_ENGINE_Initiatives!$C$5:$C$532=$D546),0),0)),"")</f>
        <v/>
      </c>
      <c r="AU546">
        <f>IFERROR(INDEX(_ENGINE_Initiatives!$F$5:$F$532,MATCH(1,INDEX((_ENGINE_Initiatives!$B$5:$B$532=$C546)*(_ENGINE_Initiatives!$C$5:$C$532=$D546),0),0)),"")</f>
        <v/>
      </c>
      <c r="AV546">
        <f>IFERROR(INDEX(_ENGINE_Initiatives!$AC$5:$AC$532,MATCH(1,INDEX((_ENGINE_Initiatives!$B$5:$B$532=$C546)*(_ENGINE_Initiatives!$C$5:$C$532=$D546),0),0)),"")</f>
        <v/>
      </c>
      <c r="AW546">
        <f>IFERROR(INDEX(_ENGINE_Initiatives!$AE$5:$AE$532,MATCH(1,INDEX((_ENGINE_Initiatives!$B$5:$B$532=$C546)*(_ENGINE_Initiatives!$C$5:$C$532=$D546),0),0)),"")</f>
        <v/>
      </c>
      <c r="AX546">
        <f>IF($B546="Yes",IFERROR(IF(SUMIFS(_REF_Model_Content!$E$1:$E$613,_REF_Model_Content!$A$1:$A$613,'Company Profile'!$B$9,_REF_Model_Content!$B$1:$B$613,$C546)=0,1,SUMIFS(_REF_Model_Content!$E$1:$E$613,_REF_Model_Content!$A$1:$A$613,'Company Profile'!$B$9,_REF_Model_Content!$B$1:$B$613,$C546)),1),"")</f>
        <v/>
      </c>
      <c r="AY546">
        <f>IF($L546="","",ROUND(IF($AP546="",$L546,$AP546)*IF($AX546="",1,$AX546),2))</f>
        <v/>
      </c>
      <c r="AZ546">
        <f>IF($S546="","",ROUND(IF($AQ546="",$S546,$AQ546)*IF($AX546="",1,$AX546),2))</f>
        <v/>
      </c>
      <c r="BB546">
        <f>IF($H546="","",IFERROR(INDEX('_ENGINE_Risk'!$AE$41:$AE$920,MATCH($E546,'_ENGINE_Risk'!$A$41:$A$920,0)),"Medium"))</f>
        <v/>
      </c>
      <c r="BC546">
        <f>IF($BB546="","",IF($BB546="Fast",1.25,IF($BB546="Slow",0.85,1)))</f>
        <v/>
      </c>
      <c r="BD546">
        <f>IF(OR($AZ546="",$BC546=""),"",ROUND($AZ546*$BC546,2))</f>
        <v/>
      </c>
      <c r="BF546">
        <f>IF(OR($H546="",$J546=""),"",_xlfn.IFNA(VLOOKUP($J546,_CONFIG_Model_Settings!$D$610:$E$614,2,0),""))</f>
        <v/>
      </c>
      <c r="BG546">
        <f>IF(OR($H546="",$K546=""),"",ROUND('Company Profile'!$B$569*INDEX(_CONFIG_Model_Settings!$H$610:$H$614,MATCH($K546,_CONFIG_Model_Settings!$G$610:$G$614,0)),0))</f>
        <v/>
      </c>
      <c r="BH546">
        <f>IF(OR($BF546="",$BG546=""),"",ROUND($BF546*$BG546,1))</f>
        <v/>
      </c>
      <c r="BI546">
        <f>IF($BH546="","",IF($AO546="",$BH546,ROUND($BH546*$AO546,1)))</f>
        <v/>
      </c>
      <c r="BJ546">
        <f>IF($E546="","",IFERROR(VLOOKUP($C546,'_CONFIG_Risk_Calibration'!$A$5:$H$21,2,FALSE),3))</f>
        <v/>
      </c>
      <c r="BK546">
        <f>IF($E546="","",IFERROR(VLOOKUP($C546,'_CONFIG_Risk_Calibration'!$A$5:$H$21,3,FALSE),0))</f>
        <v/>
      </c>
      <c r="BL546">
        <f>IF($E546="","",IFERROR(VLOOKUP($C546,'_CONFIG_Risk_Calibration'!$A$5:$H$21,4,FALSE),3))</f>
        <v/>
      </c>
      <c r="BM546">
        <f>IF($E546="","",IFERROR(VLOOKUP($C546,'_CONFIG_Risk_Calibration'!$A$5:$H$21,5,FALSE),3))</f>
        <v/>
      </c>
      <c r="BN546">
        <f>IF($E546="","",IFERROR(VLOOKUP($C546,'_CONFIG_Risk_Calibration'!$A$5:$H$21,6,FALSE),"No"))</f>
        <v/>
      </c>
      <c r="BO546">
        <f>IF($E546="","",IFERROR(VLOOKUP($C546,'_CONFIG_Risk_Calibration'!$A$5:$H$21,7,FALSE),1))</f>
        <v/>
      </c>
      <c r="BP546">
        <f>IF($H546="","",MAX(1,MIN(5,((6-$H546)*0.45)+($BJ546*0.20)+('Resilience &amp; Risk Scenario'!$B$7*0.15)+($BK546*0.10)+($BL546*0.05)+(IF($BB546="Fast",5,IF($BB546="Slow",1,3))*0.05))))</f>
        <v/>
      </c>
      <c r="BQ546">
        <f>IF($H546="","",MAX(IF($BN546="Yes",$BO546,1),MIN(5,($U546*0.20)+($V546*0.15)+($W546*0.25)+($X546*0.15)+($BJ546*0.10)+($BM546*0.15))))</f>
        <v/>
      </c>
      <c r="BR546">
        <f>IF(OR($BP546="",$BQ546=""),"",ROUND($BP546*$BQ546,2))</f>
        <v/>
      </c>
      <c r="BS546">
        <f>IF($BR546="","",ROUND($BR546*IF($AO546="",1,$AO546)*IF($AX546="",1,$AX546)*(1+(($BM546-3)*0.10))*IF($BC546="",1,$BC546),2))</f>
        <v/>
      </c>
    </row>
    <row r="547" ht="69.90000000000001" customHeight="1" s="209">
      <c r="A547">
        <f>IF($BD547="","",SUMPRODUCT(ISNUMBER($BD$500:$BD$923)*($BD$500:$BD$923&gt;$BD547))+COUNTIF($BD$500:$BD547,$BD547))</f>
        <v/>
      </c>
      <c r="B547">
        <f>IF($H547="","",IF($H547&lt;5,"Yes","Maintain"))</f>
        <v/>
      </c>
      <c r="C547" t="inlineStr">
        <is>
          <t>Governance Crisis</t>
        </is>
      </c>
      <c r="D547" t="inlineStr">
        <is>
          <t>Crisis governance</t>
        </is>
      </c>
      <c r="E547" t="inlineStr">
        <is>
          <t>GOVE-003</t>
        </is>
      </c>
      <c r="F547" t="inlineStr">
        <is>
          <t>Crisis governance and decision-making</t>
        </is>
      </c>
      <c r="G547">
        <f>IF($H547="","",IFERROR(INDEX('_ENGINE_Risk'!$H$41:$M$920,MATCH($E547,'_ENGINE_Risk'!$A$41:$A$920,0),$H547+1),""))</f>
        <v/>
      </c>
      <c r="H547">
        <f>IFERROR(VALUE(INDEX(_DATA_Assessment_Model!$H$5:$H$884,MATCH($E547,_DATA_Assessment_Model!$A$5:$A$884,0))),"")</f>
        <v/>
      </c>
      <c r="I547">
        <f>IF($H547="","",IFERROR(INDEX(_DATA_Assessment_Model!$L$5:$L$884,MATCH($E547,_DATA_Assessment_Model!$A$5:$A$884,0)),IF($H547&lt;=1,"Critical",IF($H547=2,"High",IF($H547=3,"Medium",IF($H547=4,"Low","Resilient"))))))</f>
        <v/>
      </c>
      <c r="J547">
        <f>IF($H547="","",MIN(5,MAX(1,6-$H547)))</f>
        <v/>
      </c>
      <c r="K547">
        <f>IF($H547="","",MAX(1,MIN(5,ROUNDUP(($U547*0.45)+($W547*0.35)+($X547*0.2),0))))</f>
        <v/>
      </c>
      <c r="L547">
        <f>IF($H547="","",$J547*$K547)</f>
        <v/>
      </c>
      <c r="M547">
        <f>IF($H547="","",MAX(1,MIN(5,ROUNDUP($L547/5,0))))</f>
        <v/>
      </c>
      <c r="N547">
        <f>IF($H547="","",IFERROR(INDEX('_ENGINE_Risk'!$T$41:$Y$920,MATCH($E547,'_ENGINE_Risk'!$A$41:$A$920,0),$H547+1),""))</f>
        <v/>
      </c>
      <c r="O547">
        <f>IF($H547="","",MAX(1,MIN(5,($U547+$V547+$X547)/3)))</f>
        <v/>
      </c>
      <c r="P547">
        <f>IF($H547="","",IF($I547="Critical",5,IF($I547="High",4,IF($I547="Medium",3,IF($I547="Low",2,1)))))</f>
        <v/>
      </c>
      <c r="Q547">
        <f>IF($H547="","",MAX(1,MIN(5,((5-$H547)*0.65)+($W547*0.35))))</f>
        <v/>
      </c>
      <c r="R547">
        <f>IF($H547="","",MAX(1,MIN(5,($V547+$X547)/2)))</f>
        <v/>
      </c>
      <c r="S547">
        <f>IF(OR($H547="",$N547=""),"",ROUND(($O547+$P547+$Q547+$R547)/$N547,2))</f>
        <v/>
      </c>
      <c r="T547">
        <f>IF($H547="","",IFERROR(INDEX('_ENGINE_Risk'!$N$41:$S$920,MATCH($E547,'_ENGINE_Risk'!$A$41:$A$920,0),$H547+1),""))</f>
        <v/>
      </c>
      <c r="U547">
        <f>IFERROR(INDEX(_DATA_Assessment_Model!$G$5:$G$884,MATCH($E547,_DATA_Assessment_Model!$A$5:$A$884,0)),"")</f>
        <v/>
      </c>
      <c r="V547">
        <f>IFERROR(INDEX(_DATA_Assessment_Model!$W$5:$W$884,MATCH($E547,_DATA_Assessment_Model!$A$5:$A$884,0)),"")</f>
        <v/>
      </c>
      <c r="W547">
        <f>IFERROR(INDEX(_DATA_Assessment_Model!$X$5:$X$884,MATCH($E547,_DATA_Assessment_Model!$A$5:$A$884,0)),"")</f>
        <v/>
      </c>
      <c r="X547">
        <f>IFERROR(INDEX(_DATA_Assessment_Model!$Y$5:$Y$884,MATCH($E547,_DATA_Assessment_Model!$A$5:$A$884,0)),"")</f>
        <v/>
      </c>
      <c r="Y547" t="inlineStr">
        <is>
          <t>All crisis types</t>
        </is>
      </c>
      <c r="Z547" t="inlineStr">
        <is>
          <t>CEO / COO / Risk</t>
        </is>
      </c>
      <c r="AA547" t="inlineStr">
        <is>
          <t>Policy/SOP; owner/RACI; system report; dashboard; contracts; test records; incident history; interview evidence related to clear crisis decision rights for finance, people, operations, IT, legal, safety and communications.</t>
        </is>
      </c>
      <c r="AB547">
        <f>IFERROR(INDEX(_DATA_Assessment_Model!$U$5:$U$884,MATCH($E547,_DATA_Assessment_Model!$A$5:$A$884,0)),"")</f>
        <v/>
      </c>
      <c r="AF547" t="inlineStr">
        <is>
          <t>How mature is the organization in managing clear crisis decision rights for finance, people, operations, IT, legal, safety and communications, including ownership, evidence, metrics, fallback procedures and crisis stress testing?</t>
        </is>
      </c>
      <c r="AO547">
        <f>IF($B547="Yes",IFERROR(INDEX(_ENGINE_Crisis!$F$501:$F$517,MATCH($C547,_ENGINE_Crisis!$A$501:$A$517,0)),1),"")</f>
        <v/>
      </c>
      <c r="AP547">
        <f>IF(AO547="","",ROUND($L547*AO547,1))</f>
        <v/>
      </c>
      <c r="AQ547">
        <f>IF(OR(AO547="",$S547=""),"",ROUND($S547*(0.7+0.3*AO547),2))</f>
        <v/>
      </c>
      <c r="AR547">
        <f>IFERROR(INDEX(_ENGINE_Crisis!$E$41:$E$700,MATCH('Resilience &amp; Risk Scenario'!$B$60&amp;"|"&amp;$C547,_ENGINE_Crisis!$I$41:$I$700,0)),"")</f>
        <v/>
      </c>
      <c r="AS547">
        <f>IFERROR(INDEX(_ENGINE_Crisis!$G$41:$G$700,MATCH('Resilience &amp; Risk Scenario'!$B$60&amp;"|"&amp;$C547,_ENGINE_Crisis!$I$41:$I$700,0)),"")</f>
        <v/>
      </c>
      <c r="AT547">
        <f>IFERROR(INDEX(_ENGINE_Initiatives!$A$5:$A$532,MATCH(1,INDEX((_ENGINE_Initiatives!$B$5:$B$532=$C547)*(_ENGINE_Initiatives!$C$5:$C$532=$D547),0),0)),"")</f>
        <v/>
      </c>
      <c r="AU547">
        <f>IFERROR(INDEX(_ENGINE_Initiatives!$F$5:$F$532,MATCH(1,INDEX((_ENGINE_Initiatives!$B$5:$B$532=$C547)*(_ENGINE_Initiatives!$C$5:$C$532=$D547),0),0)),"")</f>
        <v/>
      </c>
      <c r="AV547">
        <f>IFERROR(INDEX(_ENGINE_Initiatives!$AC$5:$AC$532,MATCH(1,INDEX((_ENGINE_Initiatives!$B$5:$B$532=$C547)*(_ENGINE_Initiatives!$C$5:$C$532=$D547),0),0)),"")</f>
        <v/>
      </c>
      <c r="AW547">
        <f>IFERROR(INDEX(_ENGINE_Initiatives!$AE$5:$AE$532,MATCH(1,INDEX((_ENGINE_Initiatives!$B$5:$B$532=$C547)*(_ENGINE_Initiatives!$C$5:$C$532=$D547),0),0)),"")</f>
        <v/>
      </c>
      <c r="AX547">
        <f>IF($B547="Yes",IFERROR(IF(SUMIFS(_REF_Model_Content!$E$1:$E$613,_REF_Model_Content!$A$1:$A$613,'Company Profile'!$B$9,_REF_Model_Content!$B$1:$B$613,$C547)=0,1,SUMIFS(_REF_Model_Content!$E$1:$E$613,_REF_Model_Content!$A$1:$A$613,'Company Profile'!$B$9,_REF_Model_Content!$B$1:$B$613,$C547)),1),"")</f>
        <v/>
      </c>
      <c r="AY547">
        <f>IF($L547="","",ROUND(IF($AP547="",$L547,$AP547)*IF($AX547="",1,$AX547),2))</f>
        <v/>
      </c>
      <c r="AZ547">
        <f>IF($S547="","",ROUND(IF($AQ547="",$S547,$AQ547)*IF($AX547="",1,$AX547),2))</f>
        <v/>
      </c>
      <c r="BB547">
        <f>IF($H547="","",IFERROR(INDEX('_ENGINE_Risk'!$AE$41:$AE$920,MATCH($E547,'_ENGINE_Risk'!$A$41:$A$920,0)),"Medium"))</f>
        <v/>
      </c>
      <c r="BC547">
        <f>IF($BB547="","",IF($BB547="Fast",1.25,IF($BB547="Slow",0.85,1)))</f>
        <v/>
      </c>
      <c r="BD547">
        <f>IF(OR($AZ547="",$BC547=""),"",ROUND($AZ547*$BC547,2))</f>
        <v/>
      </c>
      <c r="BF547">
        <f>IF(OR($H547="",$J547=""),"",_xlfn.IFNA(VLOOKUP($J547,_CONFIG_Model_Settings!$D$610:$E$614,2,0),""))</f>
        <v/>
      </c>
      <c r="BG547">
        <f>IF(OR($H547="",$K547=""),"",ROUND('Company Profile'!$B$569*INDEX(_CONFIG_Model_Settings!$H$610:$H$614,MATCH($K547,_CONFIG_Model_Settings!$G$610:$G$614,0)),0))</f>
        <v/>
      </c>
      <c r="BH547">
        <f>IF(OR($BF547="",$BG547=""),"",ROUND($BF547*$BG547,1))</f>
        <v/>
      </c>
      <c r="BI547">
        <f>IF($BH547="","",IF($AO547="",$BH547,ROUND($BH547*$AO547,1)))</f>
        <v/>
      </c>
      <c r="BJ547">
        <f>IF($E547="","",IFERROR(VLOOKUP($C547,'_CONFIG_Risk_Calibration'!$A$5:$H$21,2,FALSE),3))</f>
        <v/>
      </c>
      <c r="BK547">
        <f>IF($E547="","",IFERROR(VLOOKUP($C547,'_CONFIG_Risk_Calibration'!$A$5:$H$21,3,FALSE),0))</f>
        <v/>
      </c>
      <c r="BL547">
        <f>IF($E547="","",IFERROR(VLOOKUP($C547,'_CONFIG_Risk_Calibration'!$A$5:$H$21,4,FALSE),3))</f>
        <v/>
      </c>
      <c r="BM547">
        <f>IF($E547="","",IFERROR(VLOOKUP($C547,'_CONFIG_Risk_Calibration'!$A$5:$H$21,5,FALSE),3))</f>
        <v/>
      </c>
      <c r="BN547">
        <f>IF($E547="","",IFERROR(VLOOKUP($C547,'_CONFIG_Risk_Calibration'!$A$5:$H$21,6,FALSE),"No"))</f>
        <v/>
      </c>
      <c r="BO547">
        <f>IF($E547="","",IFERROR(VLOOKUP($C547,'_CONFIG_Risk_Calibration'!$A$5:$H$21,7,FALSE),1))</f>
        <v/>
      </c>
      <c r="BP547">
        <f>IF($H547="","",MAX(1,MIN(5,((6-$H547)*0.45)+($BJ547*0.20)+('Resilience &amp; Risk Scenario'!$B$7*0.15)+($BK547*0.10)+($BL547*0.05)+(IF($BB547="Fast",5,IF($BB547="Slow",1,3))*0.05))))</f>
        <v/>
      </c>
      <c r="BQ547">
        <f>IF($H547="","",MAX(IF($BN547="Yes",$BO547,1),MIN(5,($U547*0.20)+($V547*0.15)+($W547*0.25)+($X547*0.15)+($BJ547*0.10)+($BM547*0.15))))</f>
        <v/>
      </c>
      <c r="BR547">
        <f>IF(OR($BP547="",$BQ547=""),"",ROUND($BP547*$BQ547,2))</f>
        <v/>
      </c>
      <c r="BS547">
        <f>IF($BR547="","",ROUND($BR547*IF($AO547="",1,$AO547)*IF($AX547="",1,$AX547)*(1+(($BM547-3)*0.10))*IF($BC547="",1,$BC547),2))</f>
        <v/>
      </c>
    </row>
    <row r="548" ht="69.90000000000001" customHeight="1" s="209">
      <c r="A548">
        <f>IF($BD548="","",SUMPRODUCT(ISNUMBER($BD$500:$BD$923)*($BD$500:$BD$923&gt;$BD548))+COUNTIF($BD$500:$BD548,$BD548))</f>
        <v/>
      </c>
      <c r="B548">
        <f>IF($H548="","",IF($H548&lt;5,"Yes","Maintain"))</f>
        <v/>
      </c>
      <c r="C548" t="inlineStr">
        <is>
          <t>Governance Crisis</t>
        </is>
      </c>
      <c r="D548" t="inlineStr">
        <is>
          <t>Crisis governance</t>
        </is>
      </c>
      <c r="E548" t="inlineStr">
        <is>
          <t>GOVE-004</t>
        </is>
      </c>
      <c r="F548" t="inlineStr">
        <is>
          <t>Crisis governance and decision-making</t>
        </is>
      </c>
      <c r="G548">
        <f>IF($H548="","",IFERROR(INDEX('_ENGINE_Risk'!$H$41:$M$920,MATCH($E548,'_ENGINE_Risk'!$A$41:$A$920,0),$H548+1),""))</f>
        <v/>
      </c>
      <c r="H548">
        <f>IFERROR(VALUE(INDEX(_DATA_Assessment_Model!$H$5:$H$884,MATCH($E548,_DATA_Assessment_Model!$A$5:$A$884,0))),"")</f>
        <v/>
      </c>
      <c r="I548">
        <f>IF($H548="","",IFERROR(INDEX(_DATA_Assessment_Model!$L$5:$L$884,MATCH($E548,_DATA_Assessment_Model!$A$5:$A$884,0)),IF($H548&lt;=1,"Critical",IF($H548=2,"High",IF($H548=3,"Medium",IF($H548=4,"Low","Resilient"))))))</f>
        <v/>
      </c>
      <c r="J548">
        <f>IF($H548="","",MIN(5,MAX(1,6-$H548)))</f>
        <v/>
      </c>
      <c r="K548">
        <f>IF($H548="","",MAX(1,MIN(5,ROUNDUP(($U548*0.45)+($W548*0.35)+($X548*0.2),0))))</f>
        <v/>
      </c>
      <c r="L548">
        <f>IF($H548="","",$J548*$K548)</f>
        <v/>
      </c>
      <c r="M548">
        <f>IF($H548="","",MAX(1,MIN(5,ROUNDUP($L548/5,0))))</f>
        <v/>
      </c>
      <c r="N548">
        <f>IF($H548="","",IFERROR(INDEX('_ENGINE_Risk'!$T$41:$Y$920,MATCH($E548,'_ENGINE_Risk'!$A$41:$A$920,0),$H548+1),""))</f>
        <v/>
      </c>
      <c r="O548">
        <f>IF($H548="","",MAX(1,MIN(5,($U548+$V548+$X548)/3)))</f>
        <v/>
      </c>
      <c r="P548">
        <f>IF($H548="","",IF($I548="Critical",5,IF($I548="High",4,IF($I548="Medium",3,IF($I548="Low",2,1)))))</f>
        <v/>
      </c>
      <c r="Q548">
        <f>IF($H548="","",MAX(1,MIN(5,((5-$H548)*0.65)+($W548*0.35))))</f>
        <v/>
      </c>
      <c r="R548">
        <f>IF($H548="","",MAX(1,MIN(5,($V548+$X548)/2)))</f>
        <v/>
      </c>
      <c r="S548">
        <f>IF(OR($H548="",$N548=""),"",ROUND(($O548+$P548+$Q548+$R548)/$N548,2))</f>
        <v/>
      </c>
      <c r="T548">
        <f>IF($H548="","",IFERROR(INDEX('_ENGINE_Risk'!$N$41:$S$920,MATCH($E548,'_ENGINE_Risk'!$A$41:$A$920,0),$H548+1),""))</f>
        <v/>
      </c>
      <c r="U548">
        <f>IFERROR(INDEX(_DATA_Assessment_Model!$G$5:$G$884,MATCH($E548,_DATA_Assessment_Model!$A$5:$A$884,0)),"")</f>
        <v/>
      </c>
      <c r="V548">
        <f>IFERROR(INDEX(_DATA_Assessment_Model!$W$5:$W$884,MATCH($E548,_DATA_Assessment_Model!$A$5:$A$884,0)),"")</f>
        <v/>
      </c>
      <c r="W548">
        <f>IFERROR(INDEX(_DATA_Assessment_Model!$X$5:$X$884,MATCH($E548,_DATA_Assessment_Model!$A$5:$A$884,0)),"")</f>
        <v/>
      </c>
      <c r="X548">
        <f>IFERROR(INDEX(_DATA_Assessment_Model!$Y$5:$Y$884,MATCH($E548,_DATA_Assessment_Model!$A$5:$A$884,0)),"")</f>
        <v/>
      </c>
      <c r="Y548" t="inlineStr">
        <is>
          <t>All crisis types</t>
        </is>
      </c>
      <c r="Z548" t="inlineStr">
        <is>
          <t>CEO / COO / Risk</t>
        </is>
      </c>
      <c r="AA548" t="inlineStr">
        <is>
          <t>Policy/SOP; owner/RACI; system report; dashboard; contracts; test records; incident history; interview evidence related to crisis cadence for situation reports, decisions, action owners, deadlines and follow-up.</t>
        </is>
      </c>
      <c r="AB548">
        <f>IFERROR(INDEX(_DATA_Assessment_Model!$U$5:$U$884,MATCH($E548,_DATA_Assessment_Model!$A$5:$A$884,0)),"")</f>
        <v/>
      </c>
      <c r="AF548" t="inlineStr">
        <is>
          <t>How mature is the organization in managing crisis cadence for situation reports, decisions, action owners, deadlines and follow-up, including ownership, evidence, metrics, fallback procedures and crisis stress testing?</t>
        </is>
      </c>
      <c r="AO548">
        <f>IF($B548="Yes",IFERROR(INDEX(_ENGINE_Crisis!$F$501:$F$517,MATCH($C548,_ENGINE_Crisis!$A$501:$A$517,0)),1),"")</f>
        <v/>
      </c>
      <c r="AP548">
        <f>IF(AO548="","",ROUND($L548*AO548,1))</f>
        <v/>
      </c>
      <c r="AQ548">
        <f>IF(OR(AO548="",$S548=""),"",ROUND($S548*(0.7+0.3*AO548),2))</f>
        <v/>
      </c>
      <c r="AR548">
        <f>IFERROR(INDEX(_ENGINE_Crisis!$E$41:$E$700,MATCH('Resilience &amp; Risk Scenario'!$B$60&amp;"|"&amp;$C548,_ENGINE_Crisis!$I$41:$I$700,0)),"")</f>
        <v/>
      </c>
      <c r="AS548">
        <f>IFERROR(INDEX(_ENGINE_Crisis!$G$41:$G$700,MATCH('Resilience &amp; Risk Scenario'!$B$60&amp;"|"&amp;$C548,_ENGINE_Crisis!$I$41:$I$700,0)),"")</f>
        <v/>
      </c>
      <c r="AT548">
        <f>IFERROR(INDEX(_ENGINE_Initiatives!$A$5:$A$532,MATCH(1,INDEX((_ENGINE_Initiatives!$B$5:$B$532=$C548)*(_ENGINE_Initiatives!$C$5:$C$532=$D548),0),0)),"")</f>
        <v/>
      </c>
      <c r="AU548">
        <f>IFERROR(INDEX(_ENGINE_Initiatives!$F$5:$F$532,MATCH(1,INDEX((_ENGINE_Initiatives!$B$5:$B$532=$C548)*(_ENGINE_Initiatives!$C$5:$C$532=$D548),0),0)),"")</f>
        <v/>
      </c>
      <c r="AV548">
        <f>IFERROR(INDEX(_ENGINE_Initiatives!$AC$5:$AC$532,MATCH(1,INDEX((_ENGINE_Initiatives!$B$5:$B$532=$C548)*(_ENGINE_Initiatives!$C$5:$C$532=$D548),0),0)),"")</f>
        <v/>
      </c>
      <c r="AW548">
        <f>IFERROR(INDEX(_ENGINE_Initiatives!$AE$5:$AE$532,MATCH(1,INDEX((_ENGINE_Initiatives!$B$5:$B$532=$C548)*(_ENGINE_Initiatives!$C$5:$C$532=$D548),0),0)),"")</f>
        <v/>
      </c>
      <c r="AX548">
        <f>IF($B548="Yes",IFERROR(IF(SUMIFS(_REF_Model_Content!$E$1:$E$613,_REF_Model_Content!$A$1:$A$613,'Company Profile'!$B$9,_REF_Model_Content!$B$1:$B$613,$C548)=0,1,SUMIFS(_REF_Model_Content!$E$1:$E$613,_REF_Model_Content!$A$1:$A$613,'Company Profile'!$B$9,_REF_Model_Content!$B$1:$B$613,$C548)),1),"")</f>
        <v/>
      </c>
      <c r="AY548">
        <f>IF($L548="","",ROUND(IF($AP548="",$L548,$AP548)*IF($AX548="",1,$AX548),2))</f>
        <v/>
      </c>
      <c r="AZ548">
        <f>IF($S548="","",ROUND(IF($AQ548="",$S548,$AQ548)*IF($AX548="",1,$AX548),2))</f>
        <v/>
      </c>
      <c r="BB548">
        <f>IF($H548="","",IFERROR(INDEX('_ENGINE_Risk'!$AE$41:$AE$920,MATCH($E548,'_ENGINE_Risk'!$A$41:$A$920,0)),"Medium"))</f>
        <v/>
      </c>
      <c r="BC548">
        <f>IF($BB548="","",IF($BB548="Fast",1.25,IF($BB548="Slow",0.85,1)))</f>
        <v/>
      </c>
      <c r="BD548">
        <f>IF(OR($AZ548="",$BC548=""),"",ROUND($AZ548*$BC548,2))</f>
        <v/>
      </c>
      <c r="BF548">
        <f>IF(OR($H548="",$J548=""),"",_xlfn.IFNA(VLOOKUP($J548,_CONFIG_Model_Settings!$D$610:$E$614,2,0),""))</f>
        <v/>
      </c>
      <c r="BG548">
        <f>IF(OR($H548="",$K548=""),"",ROUND('Company Profile'!$B$569*INDEX(_CONFIG_Model_Settings!$H$610:$H$614,MATCH($K548,_CONFIG_Model_Settings!$G$610:$G$614,0)),0))</f>
        <v/>
      </c>
      <c r="BH548">
        <f>IF(OR($BF548="",$BG548=""),"",ROUND($BF548*$BG548,1))</f>
        <v/>
      </c>
      <c r="BI548">
        <f>IF($BH548="","",IF($AO548="",$BH548,ROUND($BH548*$AO548,1)))</f>
        <v/>
      </c>
      <c r="BJ548">
        <f>IF($E548="","",IFERROR(VLOOKUP($C548,'_CONFIG_Risk_Calibration'!$A$5:$H$21,2,FALSE),3))</f>
        <v/>
      </c>
      <c r="BK548">
        <f>IF($E548="","",IFERROR(VLOOKUP($C548,'_CONFIG_Risk_Calibration'!$A$5:$H$21,3,FALSE),0))</f>
        <v/>
      </c>
      <c r="BL548">
        <f>IF($E548="","",IFERROR(VLOOKUP($C548,'_CONFIG_Risk_Calibration'!$A$5:$H$21,4,FALSE),3))</f>
        <v/>
      </c>
      <c r="BM548">
        <f>IF($E548="","",IFERROR(VLOOKUP($C548,'_CONFIG_Risk_Calibration'!$A$5:$H$21,5,FALSE),3))</f>
        <v/>
      </c>
      <c r="BN548">
        <f>IF($E548="","",IFERROR(VLOOKUP($C548,'_CONFIG_Risk_Calibration'!$A$5:$H$21,6,FALSE),"No"))</f>
        <v/>
      </c>
      <c r="BO548">
        <f>IF($E548="","",IFERROR(VLOOKUP($C548,'_CONFIG_Risk_Calibration'!$A$5:$H$21,7,FALSE),1))</f>
        <v/>
      </c>
      <c r="BP548">
        <f>IF($H548="","",MAX(1,MIN(5,((6-$H548)*0.45)+($BJ548*0.20)+('Resilience &amp; Risk Scenario'!$B$7*0.15)+($BK548*0.10)+($BL548*0.05)+(IF($BB548="Fast",5,IF($BB548="Slow",1,3))*0.05))))</f>
        <v/>
      </c>
      <c r="BQ548">
        <f>IF($H548="","",MAX(IF($BN548="Yes",$BO548,1),MIN(5,($U548*0.20)+($V548*0.15)+($W548*0.25)+($X548*0.15)+($BJ548*0.10)+($BM548*0.15))))</f>
        <v/>
      </c>
      <c r="BR548">
        <f>IF(OR($BP548="",$BQ548=""),"",ROUND($BP548*$BQ548,2))</f>
        <v/>
      </c>
      <c r="BS548">
        <f>IF($BR548="","",ROUND($BR548*IF($AO548="",1,$AO548)*IF($AX548="",1,$AX548)*(1+(($BM548-3)*0.10))*IF($BC548="",1,$BC548),2))</f>
        <v/>
      </c>
    </row>
    <row r="549" ht="69.90000000000001" customHeight="1" s="209">
      <c r="A549">
        <f>IF($BD549="","",SUMPRODUCT(ISNUMBER($BD$500:$BD$923)*($BD$500:$BD$923&gt;$BD549))+COUNTIF($BD$500:$BD549,$BD549))</f>
        <v/>
      </c>
      <c r="B549">
        <f>IF($H549="","",IF($H549&lt;5,"Yes","Maintain"))</f>
        <v/>
      </c>
      <c r="C549" t="inlineStr">
        <is>
          <t>Governance Crisis</t>
        </is>
      </c>
      <c r="D549" t="inlineStr">
        <is>
          <t>Crisis governance</t>
        </is>
      </c>
      <c r="E549" t="inlineStr">
        <is>
          <t>GOVE-005</t>
        </is>
      </c>
      <c r="F549" t="inlineStr">
        <is>
          <t>Crisis governance and decision-making</t>
        </is>
      </c>
      <c r="G549">
        <f>IF($H549="","",IFERROR(INDEX('_ENGINE_Risk'!$H$41:$M$920,MATCH($E549,'_ENGINE_Risk'!$A$41:$A$920,0),$H549+1),""))</f>
        <v/>
      </c>
      <c r="H549">
        <f>IFERROR(VALUE(INDEX(_DATA_Assessment_Model!$H$5:$H$884,MATCH($E549,_DATA_Assessment_Model!$A$5:$A$884,0))),"")</f>
        <v/>
      </c>
      <c r="I549">
        <f>IF($H549="","",IFERROR(INDEX(_DATA_Assessment_Model!$L$5:$L$884,MATCH($E549,_DATA_Assessment_Model!$A$5:$A$884,0)),IF($H549&lt;=1,"Critical",IF($H549=2,"High",IF($H549=3,"Medium",IF($H549=4,"Low","Resilient"))))))</f>
        <v/>
      </c>
      <c r="J549">
        <f>IF($H549="","",MIN(5,MAX(1,6-$H549)))</f>
        <v/>
      </c>
      <c r="K549">
        <f>IF($H549="","",MAX(1,MIN(5,ROUNDUP(($U549*0.45)+($W549*0.35)+($X549*0.2),0))))</f>
        <v/>
      </c>
      <c r="L549">
        <f>IF($H549="","",$J549*$K549)</f>
        <v/>
      </c>
      <c r="M549">
        <f>IF($H549="","",MAX(1,MIN(5,ROUNDUP($L549/5,0))))</f>
        <v/>
      </c>
      <c r="N549">
        <f>IF($H549="","",IFERROR(INDEX('_ENGINE_Risk'!$T$41:$Y$920,MATCH($E549,'_ENGINE_Risk'!$A$41:$A$920,0),$H549+1),""))</f>
        <v/>
      </c>
      <c r="O549">
        <f>IF($H549="","",MAX(1,MIN(5,($U549+$V549+$X549)/3)))</f>
        <v/>
      </c>
      <c r="P549">
        <f>IF($H549="","",IF($I549="Critical",5,IF($I549="High",4,IF($I549="Medium",3,IF($I549="Low",2,1)))))</f>
        <v/>
      </c>
      <c r="Q549">
        <f>IF($H549="","",MAX(1,MIN(5,((5-$H549)*0.65)+($W549*0.35))))</f>
        <v/>
      </c>
      <c r="R549">
        <f>IF($H549="","",MAX(1,MIN(5,($V549+$X549)/2)))</f>
        <v/>
      </c>
      <c r="S549">
        <f>IF(OR($H549="",$N549=""),"",ROUND(($O549+$P549+$Q549+$R549)/$N549,2))</f>
        <v/>
      </c>
      <c r="T549">
        <f>IF($H549="","",IFERROR(INDEX('_ENGINE_Risk'!$N$41:$S$920,MATCH($E549,'_ENGINE_Risk'!$A$41:$A$920,0),$H549+1),""))</f>
        <v/>
      </c>
      <c r="U549">
        <f>IFERROR(INDEX(_DATA_Assessment_Model!$G$5:$G$884,MATCH($E549,_DATA_Assessment_Model!$A$5:$A$884,0)),"")</f>
        <v/>
      </c>
      <c r="V549">
        <f>IFERROR(INDEX(_DATA_Assessment_Model!$W$5:$W$884,MATCH($E549,_DATA_Assessment_Model!$A$5:$A$884,0)),"")</f>
        <v/>
      </c>
      <c r="W549">
        <f>IFERROR(INDEX(_DATA_Assessment_Model!$X$5:$X$884,MATCH($E549,_DATA_Assessment_Model!$A$5:$A$884,0)),"")</f>
        <v/>
      </c>
      <c r="X549">
        <f>IFERROR(INDEX(_DATA_Assessment_Model!$Y$5:$Y$884,MATCH($E549,_DATA_Assessment_Model!$A$5:$A$884,0)),"")</f>
        <v/>
      </c>
      <c r="Y549" t="inlineStr">
        <is>
          <t>All crisis types</t>
        </is>
      </c>
      <c r="Z549" t="inlineStr">
        <is>
          <t>CEO / COO / Risk</t>
        </is>
      </c>
      <c r="AA549" t="inlineStr">
        <is>
          <t>Policy/SOP; owner/RACI; system report; dashboard; contracts; test records; incident history; interview evidence related to board or owner-level oversight of resilience, continuity and enterprise risk.</t>
        </is>
      </c>
      <c r="AB549">
        <f>IFERROR(INDEX(_DATA_Assessment_Model!$U$5:$U$884,MATCH($E549,_DATA_Assessment_Model!$A$5:$A$884,0)),"")</f>
        <v/>
      </c>
      <c r="AF549" t="inlineStr">
        <is>
          <t>How mature is the organization in managing board or owner-level oversight of resilience, continuity and enterprise risk, including ownership, evidence, metrics, fallback procedures and crisis stress testing?</t>
        </is>
      </c>
      <c r="AO549">
        <f>IF($B549="Yes",IFERROR(INDEX(_ENGINE_Crisis!$F$501:$F$517,MATCH($C549,_ENGINE_Crisis!$A$501:$A$517,0)),1),"")</f>
        <v/>
      </c>
      <c r="AP549">
        <f>IF(AO549="","",ROUND($L549*AO549,1))</f>
        <v/>
      </c>
      <c r="AQ549">
        <f>IF(OR(AO549="",$S549=""),"",ROUND($S549*(0.7+0.3*AO549),2))</f>
        <v/>
      </c>
      <c r="AR549">
        <f>IFERROR(INDEX(_ENGINE_Crisis!$E$41:$E$700,MATCH('Resilience &amp; Risk Scenario'!$B$60&amp;"|"&amp;$C549,_ENGINE_Crisis!$I$41:$I$700,0)),"")</f>
        <v/>
      </c>
      <c r="AS549">
        <f>IFERROR(INDEX(_ENGINE_Crisis!$G$41:$G$700,MATCH('Resilience &amp; Risk Scenario'!$B$60&amp;"|"&amp;$C549,_ENGINE_Crisis!$I$41:$I$700,0)),"")</f>
        <v/>
      </c>
      <c r="AT549">
        <f>IFERROR(INDEX(_ENGINE_Initiatives!$A$5:$A$532,MATCH(1,INDEX((_ENGINE_Initiatives!$B$5:$B$532=$C549)*(_ENGINE_Initiatives!$C$5:$C$532=$D549),0),0)),"")</f>
        <v/>
      </c>
      <c r="AU549">
        <f>IFERROR(INDEX(_ENGINE_Initiatives!$F$5:$F$532,MATCH(1,INDEX((_ENGINE_Initiatives!$B$5:$B$532=$C549)*(_ENGINE_Initiatives!$C$5:$C$532=$D549),0),0)),"")</f>
        <v/>
      </c>
      <c r="AV549">
        <f>IFERROR(INDEX(_ENGINE_Initiatives!$AC$5:$AC$532,MATCH(1,INDEX((_ENGINE_Initiatives!$B$5:$B$532=$C549)*(_ENGINE_Initiatives!$C$5:$C$532=$D549),0),0)),"")</f>
        <v/>
      </c>
      <c r="AW549">
        <f>IFERROR(INDEX(_ENGINE_Initiatives!$AE$5:$AE$532,MATCH(1,INDEX((_ENGINE_Initiatives!$B$5:$B$532=$C549)*(_ENGINE_Initiatives!$C$5:$C$532=$D549),0),0)),"")</f>
        <v/>
      </c>
      <c r="AX549">
        <f>IF($B549="Yes",IFERROR(IF(SUMIFS(_REF_Model_Content!$E$1:$E$613,_REF_Model_Content!$A$1:$A$613,'Company Profile'!$B$9,_REF_Model_Content!$B$1:$B$613,$C549)=0,1,SUMIFS(_REF_Model_Content!$E$1:$E$613,_REF_Model_Content!$A$1:$A$613,'Company Profile'!$B$9,_REF_Model_Content!$B$1:$B$613,$C549)),1),"")</f>
        <v/>
      </c>
      <c r="AY549">
        <f>IF($L549="","",ROUND(IF($AP549="",$L549,$AP549)*IF($AX549="",1,$AX549),2))</f>
        <v/>
      </c>
      <c r="AZ549">
        <f>IF($S549="","",ROUND(IF($AQ549="",$S549,$AQ549)*IF($AX549="",1,$AX549),2))</f>
        <v/>
      </c>
      <c r="BB549">
        <f>IF($H549="","",IFERROR(INDEX('_ENGINE_Risk'!$AE$41:$AE$920,MATCH($E549,'_ENGINE_Risk'!$A$41:$A$920,0)),"Medium"))</f>
        <v/>
      </c>
      <c r="BC549">
        <f>IF($BB549="","",IF($BB549="Fast",1.25,IF($BB549="Slow",0.85,1)))</f>
        <v/>
      </c>
      <c r="BD549">
        <f>IF(OR($AZ549="",$BC549=""),"",ROUND($AZ549*$BC549,2))</f>
        <v/>
      </c>
      <c r="BF549">
        <f>IF(OR($H549="",$J549=""),"",_xlfn.IFNA(VLOOKUP($J549,_CONFIG_Model_Settings!$D$610:$E$614,2,0),""))</f>
        <v/>
      </c>
      <c r="BG549">
        <f>IF(OR($H549="",$K549=""),"",ROUND('Company Profile'!$B$569*INDEX(_CONFIG_Model_Settings!$H$610:$H$614,MATCH($K549,_CONFIG_Model_Settings!$G$610:$G$614,0)),0))</f>
        <v/>
      </c>
      <c r="BH549">
        <f>IF(OR($BF549="",$BG549=""),"",ROUND($BF549*$BG549,1))</f>
        <v/>
      </c>
      <c r="BI549">
        <f>IF($BH549="","",IF($AO549="",$BH549,ROUND($BH549*$AO549,1)))</f>
        <v/>
      </c>
      <c r="BJ549">
        <f>IF($E549="","",IFERROR(VLOOKUP($C549,'_CONFIG_Risk_Calibration'!$A$5:$H$21,2,FALSE),3))</f>
        <v/>
      </c>
      <c r="BK549">
        <f>IF($E549="","",IFERROR(VLOOKUP($C549,'_CONFIG_Risk_Calibration'!$A$5:$H$21,3,FALSE),0))</f>
        <v/>
      </c>
      <c r="BL549">
        <f>IF($E549="","",IFERROR(VLOOKUP($C549,'_CONFIG_Risk_Calibration'!$A$5:$H$21,4,FALSE),3))</f>
        <v/>
      </c>
      <c r="BM549">
        <f>IF($E549="","",IFERROR(VLOOKUP($C549,'_CONFIG_Risk_Calibration'!$A$5:$H$21,5,FALSE),3))</f>
        <v/>
      </c>
      <c r="BN549">
        <f>IF($E549="","",IFERROR(VLOOKUP($C549,'_CONFIG_Risk_Calibration'!$A$5:$H$21,6,FALSE),"No"))</f>
        <v/>
      </c>
      <c r="BO549">
        <f>IF($E549="","",IFERROR(VLOOKUP($C549,'_CONFIG_Risk_Calibration'!$A$5:$H$21,7,FALSE),1))</f>
        <v/>
      </c>
      <c r="BP549">
        <f>IF($H549="","",MAX(1,MIN(5,((6-$H549)*0.45)+($BJ549*0.20)+('Resilience &amp; Risk Scenario'!$B$7*0.15)+($BK549*0.10)+($BL549*0.05)+(IF($BB549="Fast",5,IF($BB549="Slow",1,3))*0.05))))</f>
        <v/>
      </c>
      <c r="BQ549">
        <f>IF($H549="","",MAX(IF($BN549="Yes",$BO549,1),MIN(5,($U549*0.20)+($V549*0.15)+($W549*0.25)+($X549*0.15)+($BJ549*0.10)+($BM549*0.15))))</f>
        <v/>
      </c>
      <c r="BR549">
        <f>IF(OR($BP549="",$BQ549=""),"",ROUND($BP549*$BQ549,2))</f>
        <v/>
      </c>
      <c r="BS549">
        <f>IF($BR549="","",ROUND($BR549*IF($AO549="",1,$AO549)*IF($AX549="",1,$AX549)*(1+(($BM549-3)*0.10))*IF($BC549="",1,$BC549),2))</f>
        <v/>
      </c>
    </row>
    <row r="550" ht="69.90000000000001" customHeight="1" s="209">
      <c r="A550">
        <f>IF($BD550="","",SUMPRODUCT(ISNUMBER($BD$500:$BD$923)*($BD$500:$BD$923&gt;$BD550))+COUNTIF($BD$500:$BD550,$BD550))</f>
        <v/>
      </c>
      <c r="B550">
        <f>IF($H550="","",IF($H550&lt;5,"Yes","Maintain"))</f>
        <v/>
      </c>
      <c r="C550" t="inlineStr">
        <is>
          <t>Governance Crisis</t>
        </is>
      </c>
      <c r="D550" t="inlineStr">
        <is>
          <t>Crisis governance</t>
        </is>
      </c>
      <c r="E550" t="inlineStr">
        <is>
          <t>GOVE-006</t>
        </is>
      </c>
      <c r="F550" t="inlineStr">
        <is>
          <t>Crisis governance and decision-making</t>
        </is>
      </c>
      <c r="G550">
        <f>IF($H550="","",IFERROR(INDEX('_ENGINE_Risk'!$H$41:$M$920,MATCH($E550,'_ENGINE_Risk'!$A$41:$A$920,0),$H550+1),""))</f>
        <v/>
      </c>
      <c r="H550">
        <f>IFERROR(VALUE(INDEX(_DATA_Assessment_Model!$H$5:$H$884,MATCH($E550,_DATA_Assessment_Model!$A$5:$A$884,0))),"")</f>
        <v/>
      </c>
      <c r="I550">
        <f>IF($H550="","",IFERROR(INDEX(_DATA_Assessment_Model!$L$5:$L$884,MATCH($E550,_DATA_Assessment_Model!$A$5:$A$884,0)),IF($H550&lt;=1,"Critical",IF($H550=2,"High",IF($H550=3,"Medium",IF($H550=4,"Low","Resilient"))))))</f>
        <v/>
      </c>
      <c r="J550">
        <f>IF($H550="","",MIN(5,MAX(1,6-$H550)))</f>
        <v/>
      </c>
      <c r="K550">
        <f>IF($H550="","",MAX(1,MIN(5,ROUNDUP(($U550*0.45)+($W550*0.35)+($X550*0.2),0))))</f>
        <v/>
      </c>
      <c r="L550">
        <f>IF($H550="","",$J550*$K550)</f>
        <v/>
      </c>
      <c r="M550">
        <f>IF($H550="","",MAX(1,MIN(5,ROUNDUP($L550/5,0))))</f>
        <v/>
      </c>
      <c r="N550">
        <f>IF($H550="","",IFERROR(INDEX('_ENGINE_Risk'!$T$41:$Y$920,MATCH($E550,'_ENGINE_Risk'!$A$41:$A$920,0),$H550+1),""))</f>
        <v/>
      </c>
      <c r="O550">
        <f>IF($H550="","",MAX(1,MIN(5,($U550+$V550+$X550)/3)))</f>
        <v/>
      </c>
      <c r="P550">
        <f>IF($H550="","",IF($I550="Critical",5,IF($I550="High",4,IF($I550="Medium",3,IF($I550="Low",2,1)))))</f>
        <v/>
      </c>
      <c r="Q550">
        <f>IF($H550="","",MAX(1,MIN(5,((5-$H550)*0.65)+($W550*0.35))))</f>
        <v/>
      </c>
      <c r="R550">
        <f>IF($H550="","",MAX(1,MIN(5,($V550+$X550)/2)))</f>
        <v/>
      </c>
      <c r="S550">
        <f>IF(OR($H550="",$N550=""),"",ROUND(($O550+$P550+$Q550+$R550)/$N550,2))</f>
        <v/>
      </c>
      <c r="T550">
        <f>IF($H550="","",IFERROR(INDEX('_ENGINE_Risk'!$N$41:$S$920,MATCH($E550,'_ENGINE_Risk'!$A$41:$A$920,0),$H550+1),""))</f>
        <v/>
      </c>
      <c r="U550">
        <f>IFERROR(INDEX(_DATA_Assessment_Model!$G$5:$G$884,MATCH($E550,_DATA_Assessment_Model!$A$5:$A$884,0)),"")</f>
        <v/>
      </c>
      <c r="V550">
        <f>IFERROR(INDEX(_DATA_Assessment_Model!$W$5:$W$884,MATCH($E550,_DATA_Assessment_Model!$A$5:$A$884,0)),"")</f>
        <v/>
      </c>
      <c r="W550">
        <f>IFERROR(INDEX(_DATA_Assessment_Model!$X$5:$X$884,MATCH($E550,_DATA_Assessment_Model!$A$5:$A$884,0)),"")</f>
        <v/>
      </c>
      <c r="X550">
        <f>IFERROR(INDEX(_DATA_Assessment_Model!$Y$5:$Y$884,MATCH($E550,_DATA_Assessment_Model!$A$5:$A$884,0)),"")</f>
        <v/>
      </c>
      <c r="Y550" t="inlineStr">
        <is>
          <t>All crisis types</t>
        </is>
      </c>
      <c r="Z550" t="inlineStr">
        <is>
          <t>CEO / COO / Risk</t>
        </is>
      </c>
      <c r="AA550" t="inlineStr">
        <is>
          <t>Policy/SOP; owner/RACI; system report; dashboard; contracts; test records; incident history; interview evidence related to emergency spending authority and budget release rules.</t>
        </is>
      </c>
      <c r="AB550">
        <f>IFERROR(INDEX(_DATA_Assessment_Model!$U$5:$U$884,MATCH($E550,_DATA_Assessment_Model!$A$5:$A$884,0)),"")</f>
        <v/>
      </c>
      <c r="AF550" t="inlineStr">
        <is>
          <t>How mature is the organization in managing emergency spending authority and budget release rules, including ownership, evidence, metrics, fallback procedures and crisis stress testing?</t>
        </is>
      </c>
      <c r="AO550">
        <f>IF($B550="Yes",IFERROR(INDEX(_ENGINE_Crisis!$F$501:$F$517,MATCH($C550,_ENGINE_Crisis!$A$501:$A$517,0)),1),"")</f>
        <v/>
      </c>
      <c r="AP550">
        <f>IF(AO550="","",ROUND($L550*AO550,1))</f>
        <v/>
      </c>
      <c r="AQ550">
        <f>IF(OR(AO550="",$S550=""),"",ROUND($S550*(0.7+0.3*AO550),2))</f>
        <v/>
      </c>
      <c r="AR550">
        <f>IFERROR(INDEX(_ENGINE_Crisis!$E$41:$E$700,MATCH('Resilience &amp; Risk Scenario'!$B$60&amp;"|"&amp;$C550,_ENGINE_Crisis!$I$41:$I$700,0)),"")</f>
        <v/>
      </c>
      <c r="AS550">
        <f>IFERROR(INDEX(_ENGINE_Crisis!$G$41:$G$700,MATCH('Resilience &amp; Risk Scenario'!$B$60&amp;"|"&amp;$C550,_ENGINE_Crisis!$I$41:$I$700,0)),"")</f>
        <v/>
      </c>
      <c r="AT550">
        <f>IFERROR(INDEX(_ENGINE_Initiatives!$A$5:$A$532,MATCH(1,INDEX((_ENGINE_Initiatives!$B$5:$B$532=$C550)*(_ENGINE_Initiatives!$C$5:$C$532=$D550),0),0)),"")</f>
        <v/>
      </c>
      <c r="AU550">
        <f>IFERROR(INDEX(_ENGINE_Initiatives!$F$5:$F$532,MATCH(1,INDEX((_ENGINE_Initiatives!$B$5:$B$532=$C550)*(_ENGINE_Initiatives!$C$5:$C$532=$D550),0),0)),"")</f>
        <v/>
      </c>
      <c r="AV550">
        <f>IFERROR(INDEX(_ENGINE_Initiatives!$AC$5:$AC$532,MATCH(1,INDEX((_ENGINE_Initiatives!$B$5:$B$532=$C550)*(_ENGINE_Initiatives!$C$5:$C$532=$D550),0),0)),"")</f>
        <v/>
      </c>
      <c r="AW550">
        <f>IFERROR(INDEX(_ENGINE_Initiatives!$AE$5:$AE$532,MATCH(1,INDEX((_ENGINE_Initiatives!$B$5:$B$532=$C550)*(_ENGINE_Initiatives!$C$5:$C$532=$D550),0),0)),"")</f>
        <v/>
      </c>
      <c r="AX550">
        <f>IF($B550="Yes",IFERROR(IF(SUMIFS(_REF_Model_Content!$E$1:$E$613,_REF_Model_Content!$A$1:$A$613,'Company Profile'!$B$9,_REF_Model_Content!$B$1:$B$613,$C550)=0,1,SUMIFS(_REF_Model_Content!$E$1:$E$613,_REF_Model_Content!$A$1:$A$613,'Company Profile'!$B$9,_REF_Model_Content!$B$1:$B$613,$C550)),1),"")</f>
        <v/>
      </c>
      <c r="AY550">
        <f>IF($L550="","",ROUND(IF($AP550="",$L550,$AP550)*IF($AX550="",1,$AX550),2))</f>
        <v/>
      </c>
      <c r="AZ550">
        <f>IF($S550="","",ROUND(IF($AQ550="",$S550,$AQ550)*IF($AX550="",1,$AX550),2))</f>
        <v/>
      </c>
      <c r="BB550">
        <f>IF($H550="","",IFERROR(INDEX('_ENGINE_Risk'!$AE$41:$AE$920,MATCH($E550,'_ENGINE_Risk'!$A$41:$A$920,0)),"Medium"))</f>
        <v/>
      </c>
      <c r="BC550">
        <f>IF($BB550="","",IF($BB550="Fast",1.25,IF($BB550="Slow",0.85,1)))</f>
        <v/>
      </c>
      <c r="BD550">
        <f>IF(OR($AZ550="",$BC550=""),"",ROUND($AZ550*$BC550,2))</f>
        <v/>
      </c>
      <c r="BF550">
        <f>IF(OR($H550="",$J550=""),"",_xlfn.IFNA(VLOOKUP($J550,_CONFIG_Model_Settings!$D$610:$E$614,2,0),""))</f>
        <v/>
      </c>
      <c r="BG550">
        <f>IF(OR($H550="",$K550=""),"",ROUND('Company Profile'!$B$569*INDEX(_CONFIG_Model_Settings!$H$610:$H$614,MATCH($K550,_CONFIG_Model_Settings!$G$610:$G$614,0)),0))</f>
        <v/>
      </c>
      <c r="BH550">
        <f>IF(OR($BF550="",$BG550=""),"",ROUND($BF550*$BG550,1))</f>
        <v/>
      </c>
      <c r="BI550">
        <f>IF($BH550="","",IF($AO550="",$BH550,ROUND($BH550*$AO550,1)))</f>
        <v/>
      </c>
      <c r="BJ550">
        <f>IF($E550="","",IFERROR(VLOOKUP($C550,'_CONFIG_Risk_Calibration'!$A$5:$H$21,2,FALSE),3))</f>
        <v/>
      </c>
      <c r="BK550">
        <f>IF($E550="","",IFERROR(VLOOKUP($C550,'_CONFIG_Risk_Calibration'!$A$5:$H$21,3,FALSE),0))</f>
        <v/>
      </c>
      <c r="BL550">
        <f>IF($E550="","",IFERROR(VLOOKUP($C550,'_CONFIG_Risk_Calibration'!$A$5:$H$21,4,FALSE),3))</f>
        <v/>
      </c>
      <c r="BM550">
        <f>IF($E550="","",IFERROR(VLOOKUP($C550,'_CONFIG_Risk_Calibration'!$A$5:$H$21,5,FALSE),3))</f>
        <v/>
      </c>
      <c r="BN550">
        <f>IF($E550="","",IFERROR(VLOOKUP($C550,'_CONFIG_Risk_Calibration'!$A$5:$H$21,6,FALSE),"No"))</f>
        <v/>
      </c>
      <c r="BO550">
        <f>IF($E550="","",IFERROR(VLOOKUP($C550,'_CONFIG_Risk_Calibration'!$A$5:$H$21,7,FALSE),1))</f>
        <v/>
      </c>
      <c r="BP550">
        <f>IF($H550="","",MAX(1,MIN(5,((6-$H550)*0.45)+($BJ550*0.20)+('Resilience &amp; Risk Scenario'!$B$7*0.15)+($BK550*0.10)+($BL550*0.05)+(IF($BB550="Fast",5,IF($BB550="Slow",1,3))*0.05))))</f>
        <v/>
      </c>
      <c r="BQ550">
        <f>IF($H550="","",MAX(IF($BN550="Yes",$BO550,1),MIN(5,($U550*0.20)+($V550*0.15)+($W550*0.25)+($X550*0.15)+($BJ550*0.10)+($BM550*0.15))))</f>
        <v/>
      </c>
      <c r="BR550">
        <f>IF(OR($BP550="",$BQ550=""),"",ROUND($BP550*$BQ550,2))</f>
        <v/>
      </c>
      <c r="BS550">
        <f>IF($BR550="","",ROUND($BR550*IF($AO550="",1,$AO550)*IF($AX550="",1,$AX550)*(1+(($BM550-3)*0.10))*IF($BC550="",1,$BC550),2))</f>
        <v/>
      </c>
    </row>
    <row r="551" ht="69.90000000000001" customHeight="1" s="209">
      <c r="A551">
        <f>IF($BD551="","",SUMPRODUCT(ISNUMBER($BD$500:$BD$923)*($BD$500:$BD$923&gt;$BD551))+COUNTIF($BD$500:$BD551,$BD551))</f>
        <v/>
      </c>
      <c r="B551">
        <f>IF($H551="","",IF($H551&lt;5,"Yes","Maintain"))</f>
        <v/>
      </c>
      <c r="C551" t="inlineStr">
        <is>
          <t>Governance Crisis</t>
        </is>
      </c>
      <c r="D551" t="inlineStr">
        <is>
          <t>Risk and continuity</t>
        </is>
      </c>
      <c r="E551" t="inlineStr">
        <is>
          <t>GOVE-007</t>
        </is>
      </c>
      <c r="F551" t="inlineStr">
        <is>
          <t>Crisis governance and decision-making</t>
        </is>
      </c>
      <c r="G551">
        <f>IF($H551="","",IFERROR(INDEX('_ENGINE_Risk'!$H$41:$M$920,MATCH($E551,'_ENGINE_Risk'!$A$41:$A$920,0),$H551+1),""))</f>
        <v/>
      </c>
      <c r="H551">
        <f>IFERROR(VALUE(INDEX(_DATA_Assessment_Model!$H$5:$H$884,MATCH($E551,_DATA_Assessment_Model!$A$5:$A$884,0))),"")</f>
        <v/>
      </c>
      <c r="I551">
        <f>IF($H551="","",IFERROR(INDEX(_DATA_Assessment_Model!$L$5:$L$884,MATCH($E551,_DATA_Assessment_Model!$A$5:$A$884,0)),IF($H551&lt;=1,"Critical",IF($H551=2,"High",IF($H551=3,"Medium",IF($H551=4,"Low","Resilient"))))))</f>
        <v/>
      </c>
      <c r="J551">
        <f>IF($H551="","",MIN(5,MAX(1,6-$H551)))</f>
        <v/>
      </c>
      <c r="K551">
        <f>IF($H551="","",MAX(1,MIN(5,ROUNDUP(($U551*0.45)+($W551*0.35)+($X551*0.2),0))))</f>
        <v/>
      </c>
      <c r="L551">
        <f>IF($H551="","",$J551*$K551)</f>
        <v/>
      </c>
      <c r="M551">
        <f>IF($H551="","",MAX(1,MIN(5,ROUNDUP($L551/5,0))))</f>
        <v/>
      </c>
      <c r="N551">
        <f>IF($H551="","",IFERROR(INDEX('_ENGINE_Risk'!$T$41:$Y$920,MATCH($E551,'_ENGINE_Risk'!$A$41:$A$920,0),$H551+1),""))</f>
        <v/>
      </c>
      <c r="O551">
        <f>IF($H551="","",MAX(1,MIN(5,($U551+$V551+$X551)/3)))</f>
        <v/>
      </c>
      <c r="P551">
        <f>IF($H551="","",IF($I551="Critical",5,IF($I551="High",4,IF($I551="Medium",3,IF($I551="Low",2,1)))))</f>
        <v/>
      </c>
      <c r="Q551">
        <f>IF($H551="","",MAX(1,MIN(5,((5-$H551)*0.65)+($W551*0.35))))</f>
        <v/>
      </c>
      <c r="R551">
        <f>IF($H551="","",MAX(1,MIN(5,($V551+$X551)/2)))</f>
        <v/>
      </c>
      <c r="S551">
        <f>IF(OR($H551="",$N551=""),"",ROUND(($O551+$P551+$Q551+$R551)/$N551,2))</f>
        <v/>
      </c>
      <c r="T551">
        <f>IF($H551="","",IFERROR(INDEX('_ENGINE_Risk'!$N$41:$S$920,MATCH($E551,'_ENGINE_Risk'!$A$41:$A$920,0),$H551+1),""))</f>
        <v/>
      </c>
      <c r="U551">
        <f>IFERROR(INDEX(_DATA_Assessment_Model!$G$5:$G$884,MATCH($E551,_DATA_Assessment_Model!$A$5:$A$884,0)),"")</f>
        <v/>
      </c>
      <c r="V551">
        <f>IFERROR(INDEX(_DATA_Assessment_Model!$W$5:$W$884,MATCH($E551,_DATA_Assessment_Model!$A$5:$A$884,0)),"")</f>
        <v/>
      </c>
      <c r="W551">
        <f>IFERROR(INDEX(_DATA_Assessment_Model!$X$5:$X$884,MATCH($E551,_DATA_Assessment_Model!$A$5:$A$884,0)),"")</f>
        <v/>
      </c>
      <c r="X551">
        <f>IFERROR(INDEX(_DATA_Assessment_Model!$Y$5:$Y$884,MATCH($E551,_DATA_Assessment_Model!$A$5:$A$884,0)),"")</f>
        <v/>
      </c>
      <c r="Y551" t="inlineStr">
        <is>
          <t>All crisis types</t>
        </is>
      </c>
      <c r="Z551" t="inlineStr">
        <is>
          <t>CEO / COO / Risk</t>
        </is>
      </c>
      <c r="AA551" t="inlineStr">
        <is>
          <t>Policy/SOP; owner/RACI; system report; dashboard; contracts; test records; incident history; interview evidence related to enterprise risk register with owners, likelihood, impact, controls, triggers and residual risk.</t>
        </is>
      </c>
      <c r="AB551">
        <f>IFERROR(INDEX(_DATA_Assessment_Model!$U$5:$U$884,MATCH($E551,_DATA_Assessment_Model!$A$5:$A$884,0)),"")</f>
        <v/>
      </c>
      <c r="AF551" t="inlineStr">
        <is>
          <t>How mature is the organization in managing enterprise risk register with owners, likelihood, impact, controls, triggers and residual risk, including ownership, evidence, metrics, fallback procedures and crisis stress testing?</t>
        </is>
      </c>
      <c r="AO551">
        <f>IF($B551="Yes",IFERROR(INDEX(_ENGINE_Crisis!$F$501:$F$517,MATCH($C551,_ENGINE_Crisis!$A$501:$A$517,0)),1),"")</f>
        <v/>
      </c>
      <c r="AP551">
        <f>IF(AO551="","",ROUND($L551*AO551,1))</f>
        <v/>
      </c>
      <c r="AQ551">
        <f>IF(OR(AO551="",$S551=""),"",ROUND($S551*(0.7+0.3*AO551),2))</f>
        <v/>
      </c>
      <c r="AR551">
        <f>IFERROR(INDEX(_ENGINE_Crisis!$E$41:$E$700,MATCH('Resilience &amp; Risk Scenario'!$B$60&amp;"|"&amp;$C551,_ENGINE_Crisis!$I$41:$I$700,0)),"")</f>
        <v/>
      </c>
      <c r="AS551">
        <f>IFERROR(INDEX(_ENGINE_Crisis!$G$41:$G$700,MATCH('Resilience &amp; Risk Scenario'!$B$60&amp;"|"&amp;$C551,_ENGINE_Crisis!$I$41:$I$700,0)),"")</f>
        <v/>
      </c>
      <c r="AT551">
        <f>IFERROR(INDEX(_ENGINE_Initiatives!$A$5:$A$532,MATCH(1,INDEX((_ENGINE_Initiatives!$B$5:$B$532=$C551)*(_ENGINE_Initiatives!$C$5:$C$532=$D551),0),0)),"")</f>
        <v/>
      </c>
      <c r="AU551">
        <f>IFERROR(INDEX(_ENGINE_Initiatives!$F$5:$F$532,MATCH(1,INDEX((_ENGINE_Initiatives!$B$5:$B$532=$C551)*(_ENGINE_Initiatives!$C$5:$C$532=$D551),0),0)),"")</f>
        <v/>
      </c>
      <c r="AV551">
        <f>IFERROR(INDEX(_ENGINE_Initiatives!$AC$5:$AC$532,MATCH(1,INDEX((_ENGINE_Initiatives!$B$5:$B$532=$C551)*(_ENGINE_Initiatives!$C$5:$C$532=$D551),0),0)),"")</f>
        <v/>
      </c>
      <c r="AW551">
        <f>IFERROR(INDEX(_ENGINE_Initiatives!$AE$5:$AE$532,MATCH(1,INDEX((_ENGINE_Initiatives!$B$5:$B$532=$C551)*(_ENGINE_Initiatives!$C$5:$C$532=$D551),0),0)),"")</f>
        <v/>
      </c>
      <c r="AX551">
        <f>IF($B551="Yes",IFERROR(IF(SUMIFS(_REF_Model_Content!$E$1:$E$613,_REF_Model_Content!$A$1:$A$613,'Company Profile'!$B$9,_REF_Model_Content!$B$1:$B$613,$C551)=0,1,SUMIFS(_REF_Model_Content!$E$1:$E$613,_REF_Model_Content!$A$1:$A$613,'Company Profile'!$B$9,_REF_Model_Content!$B$1:$B$613,$C551)),1),"")</f>
        <v/>
      </c>
      <c r="AY551">
        <f>IF($L551="","",ROUND(IF($AP551="",$L551,$AP551)*IF($AX551="",1,$AX551),2))</f>
        <v/>
      </c>
      <c r="AZ551">
        <f>IF($S551="","",ROUND(IF($AQ551="",$S551,$AQ551)*IF($AX551="",1,$AX551),2))</f>
        <v/>
      </c>
      <c r="BB551">
        <f>IF($H551="","",IFERROR(INDEX('_ENGINE_Risk'!$AE$41:$AE$920,MATCH($E551,'_ENGINE_Risk'!$A$41:$A$920,0)),"Medium"))</f>
        <v/>
      </c>
      <c r="BC551">
        <f>IF($BB551="","",IF($BB551="Fast",1.25,IF($BB551="Slow",0.85,1)))</f>
        <v/>
      </c>
      <c r="BD551">
        <f>IF(OR($AZ551="",$BC551=""),"",ROUND($AZ551*$BC551,2))</f>
        <v/>
      </c>
      <c r="BF551">
        <f>IF(OR($H551="",$J551=""),"",_xlfn.IFNA(VLOOKUP($J551,_CONFIG_Model_Settings!$D$610:$E$614,2,0),""))</f>
        <v/>
      </c>
      <c r="BG551">
        <f>IF(OR($H551="",$K551=""),"",ROUND('Company Profile'!$B$569*INDEX(_CONFIG_Model_Settings!$H$610:$H$614,MATCH($K551,_CONFIG_Model_Settings!$G$610:$G$614,0)),0))</f>
        <v/>
      </c>
      <c r="BH551">
        <f>IF(OR($BF551="",$BG551=""),"",ROUND($BF551*$BG551,1))</f>
        <v/>
      </c>
      <c r="BI551">
        <f>IF($BH551="","",IF($AO551="",$BH551,ROUND($BH551*$AO551,1)))</f>
        <v/>
      </c>
      <c r="BJ551">
        <f>IF($E551="","",IFERROR(VLOOKUP($C551,'_CONFIG_Risk_Calibration'!$A$5:$H$21,2,FALSE),3))</f>
        <v/>
      </c>
      <c r="BK551">
        <f>IF($E551="","",IFERROR(VLOOKUP($C551,'_CONFIG_Risk_Calibration'!$A$5:$H$21,3,FALSE),0))</f>
        <v/>
      </c>
      <c r="BL551">
        <f>IF($E551="","",IFERROR(VLOOKUP($C551,'_CONFIG_Risk_Calibration'!$A$5:$H$21,4,FALSE),3))</f>
        <v/>
      </c>
      <c r="BM551">
        <f>IF($E551="","",IFERROR(VLOOKUP($C551,'_CONFIG_Risk_Calibration'!$A$5:$H$21,5,FALSE),3))</f>
        <v/>
      </c>
      <c r="BN551">
        <f>IF($E551="","",IFERROR(VLOOKUP($C551,'_CONFIG_Risk_Calibration'!$A$5:$H$21,6,FALSE),"No"))</f>
        <v/>
      </c>
      <c r="BO551">
        <f>IF($E551="","",IFERROR(VLOOKUP($C551,'_CONFIG_Risk_Calibration'!$A$5:$H$21,7,FALSE),1))</f>
        <v/>
      </c>
      <c r="BP551">
        <f>IF($H551="","",MAX(1,MIN(5,((6-$H551)*0.45)+($BJ551*0.20)+('Resilience &amp; Risk Scenario'!$B$7*0.15)+($BK551*0.10)+($BL551*0.05)+(IF($BB551="Fast",5,IF($BB551="Slow",1,3))*0.05))))</f>
        <v/>
      </c>
      <c r="BQ551">
        <f>IF($H551="","",MAX(IF($BN551="Yes",$BO551,1),MIN(5,($U551*0.20)+($V551*0.15)+($W551*0.25)+($X551*0.15)+($BJ551*0.10)+($BM551*0.15))))</f>
        <v/>
      </c>
      <c r="BR551">
        <f>IF(OR($BP551="",$BQ551=""),"",ROUND($BP551*$BQ551,2))</f>
        <v/>
      </c>
      <c r="BS551">
        <f>IF($BR551="","",ROUND($BR551*IF($AO551="",1,$AO551)*IF($AX551="",1,$AX551)*(1+(($BM551-3)*0.10))*IF($BC551="",1,$BC551),2))</f>
        <v/>
      </c>
    </row>
    <row r="552" ht="69.90000000000001" customHeight="1" s="209">
      <c r="A552">
        <f>IF($BD552="","",SUMPRODUCT(ISNUMBER($BD$500:$BD$923)*($BD$500:$BD$923&gt;$BD552))+COUNTIF($BD$500:$BD552,$BD552))</f>
        <v/>
      </c>
      <c r="B552">
        <f>IF($H552="","",IF($H552&lt;5,"Yes","Maintain"))</f>
        <v/>
      </c>
      <c r="C552" t="inlineStr">
        <is>
          <t>Governance Crisis</t>
        </is>
      </c>
      <c r="D552" t="inlineStr">
        <is>
          <t>Risk and continuity</t>
        </is>
      </c>
      <c r="E552" t="inlineStr">
        <is>
          <t>GOVE-008</t>
        </is>
      </c>
      <c r="F552" t="inlineStr">
        <is>
          <t>Crisis governance and decision-making</t>
        </is>
      </c>
      <c r="G552">
        <f>IF($H552="","",IFERROR(INDEX('_ENGINE_Risk'!$H$41:$M$920,MATCH($E552,'_ENGINE_Risk'!$A$41:$A$920,0),$H552+1),""))</f>
        <v/>
      </c>
      <c r="H552">
        <f>IFERROR(VALUE(INDEX(_DATA_Assessment_Model!$H$5:$H$884,MATCH($E552,_DATA_Assessment_Model!$A$5:$A$884,0))),"")</f>
        <v/>
      </c>
      <c r="I552">
        <f>IF($H552="","",IFERROR(INDEX(_DATA_Assessment_Model!$L$5:$L$884,MATCH($E552,_DATA_Assessment_Model!$A$5:$A$884,0)),IF($H552&lt;=1,"Critical",IF($H552=2,"High",IF($H552=3,"Medium",IF($H552=4,"Low","Resilient"))))))</f>
        <v/>
      </c>
      <c r="J552">
        <f>IF($H552="","",MIN(5,MAX(1,6-$H552)))</f>
        <v/>
      </c>
      <c r="K552">
        <f>IF($H552="","",MAX(1,MIN(5,ROUNDUP(($U552*0.45)+($W552*0.35)+($X552*0.2),0))))</f>
        <v/>
      </c>
      <c r="L552">
        <f>IF($H552="","",$J552*$K552)</f>
        <v/>
      </c>
      <c r="M552">
        <f>IF($H552="","",MAX(1,MIN(5,ROUNDUP($L552/5,0))))</f>
        <v/>
      </c>
      <c r="N552">
        <f>IF($H552="","",IFERROR(INDEX('_ENGINE_Risk'!$T$41:$Y$920,MATCH($E552,'_ENGINE_Risk'!$A$41:$A$920,0),$H552+1),""))</f>
        <v/>
      </c>
      <c r="O552">
        <f>IF($H552="","",MAX(1,MIN(5,($U552+$V552+$X552)/3)))</f>
        <v/>
      </c>
      <c r="P552">
        <f>IF($H552="","",IF($I552="Critical",5,IF($I552="High",4,IF($I552="Medium",3,IF($I552="Low",2,1)))))</f>
        <v/>
      </c>
      <c r="Q552">
        <f>IF($H552="","",MAX(1,MIN(5,((5-$H552)*0.65)+($W552*0.35))))</f>
        <v/>
      </c>
      <c r="R552">
        <f>IF($H552="","",MAX(1,MIN(5,($V552+$X552)/2)))</f>
        <v/>
      </c>
      <c r="S552">
        <f>IF(OR($H552="",$N552=""),"",ROUND(($O552+$P552+$Q552+$R552)/$N552,2))</f>
        <v/>
      </c>
      <c r="T552">
        <f>IF($H552="","",IFERROR(INDEX('_ENGINE_Risk'!$N$41:$S$920,MATCH($E552,'_ENGINE_Risk'!$A$41:$A$920,0),$H552+1),""))</f>
        <v/>
      </c>
      <c r="U552">
        <f>IFERROR(INDEX(_DATA_Assessment_Model!$G$5:$G$884,MATCH($E552,_DATA_Assessment_Model!$A$5:$A$884,0)),"")</f>
        <v/>
      </c>
      <c r="V552">
        <f>IFERROR(INDEX(_DATA_Assessment_Model!$W$5:$W$884,MATCH($E552,_DATA_Assessment_Model!$A$5:$A$884,0)),"")</f>
        <v/>
      </c>
      <c r="W552">
        <f>IFERROR(INDEX(_DATA_Assessment_Model!$X$5:$X$884,MATCH($E552,_DATA_Assessment_Model!$A$5:$A$884,0)),"")</f>
        <v/>
      </c>
      <c r="X552">
        <f>IFERROR(INDEX(_DATA_Assessment_Model!$Y$5:$Y$884,MATCH($E552,_DATA_Assessment_Model!$A$5:$A$884,0)),"")</f>
        <v/>
      </c>
      <c r="Y552" t="inlineStr">
        <is>
          <t>All crisis types</t>
        </is>
      </c>
      <c r="Z552" t="inlineStr">
        <is>
          <t>CEO / COO / Risk</t>
        </is>
      </c>
      <c r="AA552" t="inlineStr">
        <is>
          <t>Policy/SOP; owner/RACI; system report; dashboard; contracts; test records; incident history; interview evidence related to risk appetite for safety, cash, cyber, delivery, compliance, reputation and operational continuity.</t>
        </is>
      </c>
      <c r="AB552">
        <f>IFERROR(INDEX(_DATA_Assessment_Model!$U$5:$U$884,MATCH($E552,_DATA_Assessment_Model!$A$5:$A$884,0)),"")</f>
        <v/>
      </c>
      <c r="AF552" t="inlineStr">
        <is>
          <t>How mature is the organization in managing risk appetite for safety, cash, cyber, delivery, compliance, reputation and operational continuity, including ownership, evidence, metrics, fallback procedures and crisis stress testing?</t>
        </is>
      </c>
      <c r="AO552">
        <f>IF($B552="Yes",IFERROR(INDEX(_ENGINE_Crisis!$F$501:$F$517,MATCH($C552,_ENGINE_Crisis!$A$501:$A$517,0)),1),"")</f>
        <v/>
      </c>
      <c r="AP552">
        <f>IF(AO552="","",ROUND($L552*AO552,1))</f>
        <v/>
      </c>
      <c r="AQ552">
        <f>IF(OR(AO552="",$S552=""),"",ROUND($S552*(0.7+0.3*AO552),2))</f>
        <v/>
      </c>
      <c r="AR552">
        <f>IFERROR(INDEX(_ENGINE_Crisis!$E$41:$E$700,MATCH('Resilience &amp; Risk Scenario'!$B$60&amp;"|"&amp;$C552,_ENGINE_Crisis!$I$41:$I$700,0)),"")</f>
        <v/>
      </c>
      <c r="AS552">
        <f>IFERROR(INDEX(_ENGINE_Crisis!$G$41:$G$700,MATCH('Resilience &amp; Risk Scenario'!$B$60&amp;"|"&amp;$C552,_ENGINE_Crisis!$I$41:$I$700,0)),"")</f>
        <v/>
      </c>
      <c r="AT552">
        <f>IFERROR(INDEX(_ENGINE_Initiatives!$A$5:$A$532,MATCH(1,INDEX((_ENGINE_Initiatives!$B$5:$B$532=$C552)*(_ENGINE_Initiatives!$C$5:$C$532=$D552),0),0)),"")</f>
        <v/>
      </c>
      <c r="AU552">
        <f>IFERROR(INDEX(_ENGINE_Initiatives!$F$5:$F$532,MATCH(1,INDEX((_ENGINE_Initiatives!$B$5:$B$532=$C552)*(_ENGINE_Initiatives!$C$5:$C$532=$D552),0),0)),"")</f>
        <v/>
      </c>
      <c r="AV552">
        <f>IFERROR(INDEX(_ENGINE_Initiatives!$AC$5:$AC$532,MATCH(1,INDEX((_ENGINE_Initiatives!$B$5:$B$532=$C552)*(_ENGINE_Initiatives!$C$5:$C$532=$D552),0),0)),"")</f>
        <v/>
      </c>
      <c r="AW552">
        <f>IFERROR(INDEX(_ENGINE_Initiatives!$AE$5:$AE$532,MATCH(1,INDEX((_ENGINE_Initiatives!$B$5:$B$532=$C552)*(_ENGINE_Initiatives!$C$5:$C$532=$D552),0),0)),"")</f>
        <v/>
      </c>
      <c r="AX552">
        <f>IF($B552="Yes",IFERROR(IF(SUMIFS(_REF_Model_Content!$E$1:$E$613,_REF_Model_Content!$A$1:$A$613,'Company Profile'!$B$9,_REF_Model_Content!$B$1:$B$613,$C552)=0,1,SUMIFS(_REF_Model_Content!$E$1:$E$613,_REF_Model_Content!$A$1:$A$613,'Company Profile'!$B$9,_REF_Model_Content!$B$1:$B$613,$C552)),1),"")</f>
        <v/>
      </c>
      <c r="AY552">
        <f>IF($L552="","",ROUND(IF($AP552="",$L552,$AP552)*IF($AX552="",1,$AX552),2))</f>
        <v/>
      </c>
      <c r="AZ552">
        <f>IF($S552="","",ROUND(IF($AQ552="",$S552,$AQ552)*IF($AX552="",1,$AX552),2))</f>
        <v/>
      </c>
      <c r="BB552">
        <f>IF($H552="","",IFERROR(INDEX('_ENGINE_Risk'!$AE$41:$AE$920,MATCH($E552,'_ENGINE_Risk'!$A$41:$A$920,0)),"Medium"))</f>
        <v/>
      </c>
      <c r="BC552">
        <f>IF($BB552="","",IF($BB552="Fast",1.25,IF($BB552="Slow",0.85,1)))</f>
        <v/>
      </c>
      <c r="BD552">
        <f>IF(OR($AZ552="",$BC552=""),"",ROUND($AZ552*$BC552,2))</f>
        <v/>
      </c>
      <c r="BF552">
        <f>IF(OR($H552="",$J552=""),"",_xlfn.IFNA(VLOOKUP($J552,_CONFIG_Model_Settings!$D$610:$E$614,2,0),""))</f>
        <v/>
      </c>
      <c r="BG552">
        <f>IF(OR($H552="",$K552=""),"",ROUND('Company Profile'!$B$569*INDEX(_CONFIG_Model_Settings!$H$610:$H$614,MATCH($K552,_CONFIG_Model_Settings!$G$610:$G$614,0)),0))</f>
        <v/>
      </c>
      <c r="BH552">
        <f>IF(OR($BF552="",$BG552=""),"",ROUND($BF552*$BG552,1))</f>
        <v/>
      </c>
      <c r="BI552">
        <f>IF($BH552="","",IF($AO552="",$BH552,ROUND($BH552*$AO552,1)))</f>
        <v/>
      </c>
      <c r="BJ552">
        <f>IF($E552="","",IFERROR(VLOOKUP($C552,'_CONFIG_Risk_Calibration'!$A$5:$H$21,2,FALSE),3))</f>
        <v/>
      </c>
      <c r="BK552">
        <f>IF($E552="","",IFERROR(VLOOKUP($C552,'_CONFIG_Risk_Calibration'!$A$5:$H$21,3,FALSE),0))</f>
        <v/>
      </c>
      <c r="BL552">
        <f>IF($E552="","",IFERROR(VLOOKUP($C552,'_CONFIG_Risk_Calibration'!$A$5:$H$21,4,FALSE),3))</f>
        <v/>
      </c>
      <c r="BM552">
        <f>IF($E552="","",IFERROR(VLOOKUP($C552,'_CONFIG_Risk_Calibration'!$A$5:$H$21,5,FALSE),3))</f>
        <v/>
      </c>
      <c r="BN552">
        <f>IF($E552="","",IFERROR(VLOOKUP($C552,'_CONFIG_Risk_Calibration'!$A$5:$H$21,6,FALSE),"No"))</f>
        <v/>
      </c>
      <c r="BO552">
        <f>IF($E552="","",IFERROR(VLOOKUP($C552,'_CONFIG_Risk_Calibration'!$A$5:$H$21,7,FALSE),1))</f>
        <v/>
      </c>
      <c r="BP552">
        <f>IF($H552="","",MAX(1,MIN(5,((6-$H552)*0.45)+($BJ552*0.20)+('Resilience &amp; Risk Scenario'!$B$7*0.15)+($BK552*0.10)+($BL552*0.05)+(IF($BB552="Fast",5,IF($BB552="Slow",1,3))*0.05))))</f>
        <v/>
      </c>
      <c r="BQ552">
        <f>IF($H552="","",MAX(IF($BN552="Yes",$BO552,1),MIN(5,($U552*0.20)+($V552*0.15)+($W552*0.25)+($X552*0.15)+($BJ552*0.10)+($BM552*0.15))))</f>
        <v/>
      </c>
      <c r="BR552">
        <f>IF(OR($BP552="",$BQ552=""),"",ROUND($BP552*$BQ552,2))</f>
        <v/>
      </c>
      <c r="BS552">
        <f>IF($BR552="","",ROUND($BR552*IF($AO552="",1,$AO552)*IF($AX552="",1,$AX552)*(1+(($BM552-3)*0.10))*IF($BC552="",1,$BC552),2))</f>
        <v/>
      </c>
    </row>
    <row r="553" ht="69.90000000000001" customHeight="1" s="209">
      <c r="A553">
        <f>IF($BD553="","",SUMPRODUCT(ISNUMBER($BD$500:$BD$923)*($BD$500:$BD$923&gt;$BD553))+COUNTIF($BD$500:$BD553,$BD553))</f>
        <v/>
      </c>
      <c r="B553">
        <f>IF($H553="","",IF($H553&lt;5,"Yes","Maintain"))</f>
        <v/>
      </c>
      <c r="C553" t="inlineStr">
        <is>
          <t>Governance Crisis</t>
        </is>
      </c>
      <c r="D553" t="inlineStr">
        <is>
          <t>Risk and continuity</t>
        </is>
      </c>
      <c r="E553" t="inlineStr">
        <is>
          <t>GOVE-009</t>
        </is>
      </c>
      <c r="F553" t="inlineStr">
        <is>
          <t>Crisis governance and decision-making</t>
        </is>
      </c>
      <c r="G553">
        <f>IF($H553="","",IFERROR(INDEX('_ENGINE_Risk'!$H$41:$M$920,MATCH($E553,'_ENGINE_Risk'!$A$41:$A$920,0),$H553+1),""))</f>
        <v/>
      </c>
      <c r="H553">
        <f>IFERROR(VALUE(INDEX(_DATA_Assessment_Model!$H$5:$H$884,MATCH($E553,_DATA_Assessment_Model!$A$5:$A$884,0))),"")</f>
        <v/>
      </c>
      <c r="I553">
        <f>IF($H553="","",IFERROR(INDEX(_DATA_Assessment_Model!$L$5:$L$884,MATCH($E553,_DATA_Assessment_Model!$A$5:$A$884,0)),IF($H553&lt;=1,"Critical",IF($H553=2,"High",IF($H553=3,"Medium",IF($H553=4,"Low","Resilient"))))))</f>
        <v/>
      </c>
      <c r="J553">
        <f>IF($H553="","",MIN(5,MAX(1,6-$H553)))</f>
        <v/>
      </c>
      <c r="K553">
        <f>IF($H553="","",MAX(1,MIN(5,ROUNDUP(($U553*0.45)+($W553*0.35)+($X553*0.2),0))))</f>
        <v/>
      </c>
      <c r="L553">
        <f>IF($H553="","",$J553*$K553)</f>
        <v/>
      </c>
      <c r="M553">
        <f>IF($H553="","",MAX(1,MIN(5,ROUNDUP($L553/5,0))))</f>
        <v/>
      </c>
      <c r="N553">
        <f>IF($H553="","",IFERROR(INDEX('_ENGINE_Risk'!$T$41:$Y$920,MATCH($E553,'_ENGINE_Risk'!$A$41:$A$920,0),$H553+1),""))</f>
        <v/>
      </c>
      <c r="O553">
        <f>IF($H553="","",MAX(1,MIN(5,($U553+$V553+$X553)/3)))</f>
        <v/>
      </c>
      <c r="P553">
        <f>IF($H553="","",IF($I553="Critical",5,IF($I553="High",4,IF($I553="Medium",3,IF($I553="Low",2,1)))))</f>
        <v/>
      </c>
      <c r="Q553">
        <f>IF($H553="","",MAX(1,MIN(5,((5-$H553)*0.65)+($W553*0.35))))</f>
        <v/>
      </c>
      <c r="R553">
        <f>IF($H553="","",MAX(1,MIN(5,($V553+$X553)/2)))</f>
        <v/>
      </c>
      <c r="S553">
        <f>IF(OR($H553="",$N553=""),"",ROUND(($O553+$P553+$Q553+$R553)/$N553,2))</f>
        <v/>
      </c>
      <c r="T553">
        <f>IF($H553="","",IFERROR(INDEX('_ENGINE_Risk'!$N$41:$S$920,MATCH($E553,'_ENGINE_Risk'!$A$41:$A$920,0),$H553+1),""))</f>
        <v/>
      </c>
      <c r="U553">
        <f>IFERROR(INDEX(_DATA_Assessment_Model!$G$5:$G$884,MATCH($E553,_DATA_Assessment_Model!$A$5:$A$884,0)),"")</f>
        <v/>
      </c>
      <c r="V553">
        <f>IFERROR(INDEX(_DATA_Assessment_Model!$W$5:$W$884,MATCH($E553,_DATA_Assessment_Model!$A$5:$A$884,0)),"")</f>
        <v/>
      </c>
      <c r="W553">
        <f>IFERROR(INDEX(_DATA_Assessment_Model!$X$5:$X$884,MATCH($E553,_DATA_Assessment_Model!$A$5:$A$884,0)),"")</f>
        <v/>
      </c>
      <c r="X553">
        <f>IFERROR(INDEX(_DATA_Assessment_Model!$Y$5:$Y$884,MATCH($E553,_DATA_Assessment_Model!$A$5:$A$884,0)),"")</f>
        <v/>
      </c>
      <c r="Y553" t="inlineStr">
        <is>
          <t>All crisis types</t>
        </is>
      </c>
      <c r="Z553" t="inlineStr">
        <is>
          <t>CEO / COO / Risk</t>
        </is>
      </c>
      <c r="AA553" t="inlineStr">
        <is>
          <t>Policy/SOP; owner/RACI; system report; dashboard; contracts; test records; incident history; interview evidence related to early warning indicators for major crisis types and objective crisis activation triggers.</t>
        </is>
      </c>
      <c r="AB553">
        <f>IFERROR(INDEX(_DATA_Assessment_Model!$U$5:$U$884,MATCH($E553,_DATA_Assessment_Model!$A$5:$A$884,0)),"")</f>
        <v/>
      </c>
      <c r="AF553" t="inlineStr">
        <is>
          <t>How mature is the organization in managing early warning indicators for major crisis types and objective crisis activation triggers, including ownership, evidence, metrics, fallback procedures and crisis stress testing?</t>
        </is>
      </c>
      <c r="AO553">
        <f>IF($B553="Yes",IFERROR(INDEX(_ENGINE_Crisis!$F$501:$F$517,MATCH($C553,_ENGINE_Crisis!$A$501:$A$517,0)),1),"")</f>
        <v/>
      </c>
      <c r="AP553">
        <f>IF(AO553="","",ROUND($L553*AO553,1))</f>
        <v/>
      </c>
      <c r="AQ553">
        <f>IF(OR(AO553="",$S553=""),"",ROUND($S553*(0.7+0.3*AO553),2))</f>
        <v/>
      </c>
      <c r="AR553">
        <f>IFERROR(INDEX(_ENGINE_Crisis!$E$41:$E$700,MATCH('Resilience &amp; Risk Scenario'!$B$60&amp;"|"&amp;$C553,_ENGINE_Crisis!$I$41:$I$700,0)),"")</f>
        <v/>
      </c>
      <c r="AS553">
        <f>IFERROR(INDEX(_ENGINE_Crisis!$G$41:$G$700,MATCH('Resilience &amp; Risk Scenario'!$B$60&amp;"|"&amp;$C553,_ENGINE_Crisis!$I$41:$I$700,0)),"")</f>
        <v/>
      </c>
      <c r="AT553">
        <f>IFERROR(INDEX(_ENGINE_Initiatives!$A$5:$A$532,MATCH(1,INDEX((_ENGINE_Initiatives!$B$5:$B$532=$C553)*(_ENGINE_Initiatives!$C$5:$C$532=$D553),0),0)),"")</f>
        <v/>
      </c>
      <c r="AU553">
        <f>IFERROR(INDEX(_ENGINE_Initiatives!$F$5:$F$532,MATCH(1,INDEX((_ENGINE_Initiatives!$B$5:$B$532=$C553)*(_ENGINE_Initiatives!$C$5:$C$532=$D553),0),0)),"")</f>
        <v/>
      </c>
      <c r="AV553">
        <f>IFERROR(INDEX(_ENGINE_Initiatives!$AC$5:$AC$532,MATCH(1,INDEX((_ENGINE_Initiatives!$B$5:$B$532=$C553)*(_ENGINE_Initiatives!$C$5:$C$532=$D553),0),0)),"")</f>
        <v/>
      </c>
      <c r="AW553">
        <f>IFERROR(INDEX(_ENGINE_Initiatives!$AE$5:$AE$532,MATCH(1,INDEX((_ENGINE_Initiatives!$B$5:$B$532=$C553)*(_ENGINE_Initiatives!$C$5:$C$532=$D553),0),0)),"")</f>
        <v/>
      </c>
      <c r="AX553">
        <f>IF($B553="Yes",IFERROR(IF(SUMIFS(_REF_Model_Content!$E$1:$E$613,_REF_Model_Content!$A$1:$A$613,'Company Profile'!$B$9,_REF_Model_Content!$B$1:$B$613,$C553)=0,1,SUMIFS(_REF_Model_Content!$E$1:$E$613,_REF_Model_Content!$A$1:$A$613,'Company Profile'!$B$9,_REF_Model_Content!$B$1:$B$613,$C553)),1),"")</f>
        <v/>
      </c>
      <c r="AY553">
        <f>IF($L553="","",ROUND(IF($AP553="",$L553,$AP553)*IF($AX553="",1,$AX553),2))</f>
        <v/>
      </c>
      <c r="AZ553">
        <f>IF($S553="","",ROUND(IF($AQ553="",$S553,$AQ553)*IF($AX553="",1,$AX553),2))</f>
        <v/>
      </c>
      <c r="BB553">
        <f>IF($H553="","",IFERROR(INDEX('_ENGINE_Risk'!$AE$41:$AE$920,MATCH($E553,'_ENGINE_Risk'!$A$41:$A$920,0)),"Medium"))</f>
        <v/>
      </c>
      <c r="BC553">
        <f>IF($BB553="","",IF($BB553="Fast",1.25,IF($BB553="Slow",0.85,1)))</f>
        <v/>
      </c>
      <c r="BD553">
        <f>IF(OR($AZ553="",$BC553=""),"",ROUND($AZ553*$BC553,2))</f>
        <v/>
      </c>
      <c r="BF553">
        <f>IF(OR($H553="",$J553=""),"",_xlfn.IFNA(VLOOKUP($J553,_CONFIG_Model_Settings!$D$610:$E$614,2,0),""))</f>
        <v/>
      </c>
      <c r="BG553">
        <f>IF(OR($H553="",$K553=""),"",ROUND('Company Profile'!$B$569*INDEX(_CONFIG_Model_Settings!$H$610:$H$614,MATCH($K553,_CONFIG_Model_Settings!$G$610:$G$614,0)),0))</f>
        <v/>
      </c>
      <c r="BH553">
        <f>IF(OR($BF553="",$BG553=""),"",ROUND($BF553*$BG553,1))</f>
        <v/>
      </c>
      <c r="BI553">
        <f>IF($BH553="","",IF($AO553="",$BH553,ROUND($BH553*$AO553,1)))</f>
        <v/>
      </c>
      <c r="BJ553">
        <f>IF($E553="","",IFERROR(VLOOKUP($C553,'_CONFIG_Risk_Calibration'!$A$5:$H$21,2,FALSE),3))</f>
        <v/>
      </c>
      <c r="BK553">
        <f>IF($E553="","",IFERROR(VLOOKUP($C553,'_CONFIG_Risk_Calibration'!$A$5:$H$21,3,FALSE),0))</f>
        <v/>
      </c>
      <c r="BL553">
        <f>IF($E553="","",IFERROR(VLOOKUP($C553,'_CONFIG_Risk_Calibration'!$A$5:$H$21,4,FALSE),3))</f>
        <v/>
      </c>
      <c r="BM553">
        <f>IF($E553="","",IFERROR(VLOOKUP($C553,'_CONFIG_Risk_Calibration'!$A$5:$H$21,5,FALSE),3))</f>
        <v/>
      </c>
      <c r="BN553">
        <f>IF($E553="","",IFERROR(VLOOKUP($C553,'_CONFIG_Risk_Calibration'!$A$5:$H$21,6,FALSE),"No"))</f>
        <v/>
      </c>
      <c r="BO553">
        <f>IF($E553="","",IFERROR(VLOOKUP($C553,'_CONFIG_Risk_Calibration'!$A$5:$H$21,7,FALSE),1))</f>
        <v/>
      </c>
      <c r="BP553">
        <f>IF($H553="","",MAX(1,MIN(5,((6-$H553)*0.45)+($BJ553*0.20)+('Resilience &amp; Risk Scenario'!$B$7*0.15)+($BK553*0.10)+($BL553*0.05)+(IF($BB553="Fast",5,IF($BB553="Slow",1,3))*0.05))))</f>
        <v/>
      </c>
      <c r="BQ553">
        <f>IF($H553="","",MAX(IF($BN553="Yes",$BO553,1),MIN(5,($U553*0.20)+($V553*0.15)+($W553*0.25)+($X553*0.15)+($BJ553*0.10)+($BM553*0.15))))</f>
        <v/>
      </c>
      <c r="BR553">
        <f>IF(OR($BP553="",$BQ553=""),"",ROUND($BP553*$BQ553,2))</f>
        <v/>
      </c>
      <c r="BS553">
        <f>IF($BR553="","",ROUND($BR553*IF($AO553="",1,$AO553)*IF($AX553="",1,$AX553)*(1+(($BM553-3)*0.10))*IF($BC553="",1,$BC553),2))</f>
        <v/>
      </c>
    </row>
    <row r="554" ht="69.90000000000001" customHeight="1" s="209">
      <c r="A554">
        <f>IF($BD554="","",SUMPRODUCT(ISNUMBER($BD$500:$BD$923)*($BD$500:$BD$923&gt;$BD554))+COUNTIF($BD$500:$BD554,$BD554))</f>
        <v/>
      </c>
      <c r="B554">
        <f>IF($H554="","",IF($H554&lt;5,"Yes","Maintain"))</f>
        <v/>
      </c>
      <c r="C554" t="inlineStr">
        <is>
          <t>Governance Crisis</t>
        </is>
      </c>
      <c r="D554" t="inlineStr">
        <is>
          <t>Risk and continuity</t>
        </is>
      </c>
      <c r="E554" t="inlineStr">
        <is>
          <t>GOVE-010</t>
        </is>
      </c>
      <c r="F554" t="inlineStr">
        <is>
          <t>Crisis governance and decision-making</t>
        </is>
      </c>
      <c r="G554">
        <f>IF($H554="","",IFERROR(INDEX('_ENGINE_Risk'!$H$41:$M$920,MATCH($E554,'_ENGINE_Risk'!$A$41:$A$920,0),$H554+1),""))</f>
        <v/>
      </c>
      <c r="H554">
        <f>IFERROR(VALUE(INDEX(_DATA_Assessment_Model!$H$5:$H$884,MATCH($E554,_DATA_Assessment_Model!$A$5:$A$884,0))),"")</f>
        <v/>
      </c>
      <c r="I554">
        <f>IF($H554="","",IFERROR(INDEX(_DATA_Assessment_Model!$L$5:$L$884,MATCH($E554,_DATA_Assessment_Model!$A$5:$A$884,0)),IF($H554&lt;=1,"Critical",IF($H554=2,"High",IF($H554=3,"Medium",IF($H554=4,"Low","Resilient"))))))</f>
        <v/>
      </c>
      <c r="J554">
        <f>IF($H554="","",MIN(5,MAX(1,6-$H554)))</f>
        <v/>
      </c>
      <c r="K554">
        <f>IF($H554="","",MAX(1,MIN(5,ROUNDUP(($U554*0.45)+($W554*0.35)+($X554*0.2),0))))</f>
        <v/>
      </c>
      <c r="L554">
        <f>IF($H554="","",$J554*$K554)</f>
        <v/>
      </c>
      <c r="M554">
        <f>IF($H554="","",MAX(1,MIN(5,ROUNDUP($L554/5,0))))</f>
        <v/>
      </c>
      <c r="N554">
        <f>IF($H554="","",IFERROR(INDEX('_ENGINE_Risk'!$T$41:$Y$920,MATCH($E554,'_ENGINE_Risk'!$A$41:$A$920,0),$H554+1),""))</f>
        <v/>
      </c>
      <c r="O554">
        <f>IF($H554="","",MAX(1,MIN(5,($U554+$V554+$X554)/3)))</f>
        <v/>
      </c>
      <c r="P554">
        <f>IF($H554="","",IF($I554="Critical",5,IF($I554="High",4,IF($I554="Medium",3,IF($I554="Low",2,1)))))</f>
        <v/>
      </c>
      <c r="Q554">
        <f>IF($H554="","",MAX(1,MIN(5,((5-$H554)*0.65)+($W554*0.35))))</f>
        <v/>
      </c>
      <c r="R554">
        <f>IF($H554="","",MAX(1,MIN(5,($V554+$X554)/2)))</f>
        <v/>
      </c>
      <c r="S554">
        <f>IF(OR($H554="",$N554=""),"",ROUND(($O554+$P554+$Q554+$R554)/$N554,2))</f>
        <v/>
      </c>
      <c r="T554">
        <f>IF($H554="","",IFERROR(INDEX('_ENGINE_Risk'!$N$41:$S$920,MATCH($E554,'_ENGINE_Risk'!$A$41:$A$920,0),$H554+1),""))</f>
        <v/>
      </c>
      <c r="U554">
        <f>IFERROR(INDEX(_DATA_Assessment_Model!$G$5:$G$884,MATCH($E554,_DATA_Assessment_Model!$A$5:$A$884,0)),"")</f>
        <v/>
      </c>
      <c r="V554">
        <f>IFERROR(INDEX(_DATA_Assessment_Model!$W$5:$W$884,MATCH($E554,_DATA_Assessment_Model!$A$5:$A$884,0)),"")</f>
        <v/>
      </c>
      <c r="W554">
        <f>IFERROR(INDEX(_DATA_Assessment_Model!$X$5:$X$884,MATCH($E554,_DATA_Assessment_Model!$A$5:$A$884,0)),"")</f>
        <v/>
      </c>
      <c r="X554">
        <f>IFERROR(INDEX(_DATA_Assessment_Model!$Y$5:$Y$884,MATCH($E554,_DATA_Assessment_Model!$A$5:$A$884,0)),"")</f>
        <v/>
      </c>
      <c r="Y554" t="inlineStr">
        <is>
          <t>All crisis types</t>
        </is>
      </c>
      <c r="Z554" t="inlineStr">
        <is>
          <t>CEO / COO / Risk</t>
        </is>
      </c>
      <c r="AA554" t="inlineStr">
        <is>
          <t>Policy/SOP; owner/RACI; system report; dashboard; contracts; test records; incident history; interview evidence related to business impact analysis across functions, sites, systems, people and suppliers.</t>
        </is>
      </c>
      <c r="AB554">
        <f>IFERROR(INDEX(_DATA_Assessment_Model!$U$5:$U$884,MATCH($E554,_DATA_Assessment_Model!$A$5:$A$884,0)),"")</f>
        <v/>
      </c>
      <c r="AF554" t="inlineStr">
        <is>
          <t>How mature is the organization in managing business impact analysis across functions, sites, systems, people and suppliers, including ownership, evidence, metrics, fallback procedures and crisis stress testing?</t>
        </is>
      </c>
      <c r="AO554">
        <f>IF($B554="Yes",IFERROR(INDEX(_ENGINE_Crisis!$F$501:$F$517,MATCH($C554,_ENGINE_Crisis!$A$501:$A$517,0)),1),"")</f>
        <v/>
      </c>
      <c r="AP554">
        <f>IF(AO554="","",ROUND($L554*AO554,1))</f>
        <v/>
      </c>
      <c r="AQ554">
        <f>IF(OR(AO554="",$S554=""),"",ROUND($S554*(0.7+0.3*AO554),2))</f>
        <v/>
      </c>
      <c r="AR554">
        <f>IFERROR(INDEX(_ENGINE_Crisis!$E$41:$E$700,MATCH('Resilience &amp; Risk Scenario'!$B$60&amp;"|"&amp;$C554,_ENGINE_Crisis!$I$41:$I$700,0)),"")</f>
        <v/>
      </c>
      <c r="AS554">
        <f>IFERROR(INDEX(_ENGINE_Crisis!$G$41:$G$700,MATCH('Resilience &amp; Risk Scenario'!$B$60&amp;"|"&amp;$C554,_ENGINE_Crisis!$I$41:$I$700,0)),"")</f>
        <v/>
      </c>
      <c r="AT554">
        <f>IFERROR(INDEX(_ENGINE_Initiatives!$A$5:$A$532,MATCH(1,INDEX((_ENGINE_Initiatives!$B$5:$B$532=$C554)*(_ENGINE_Initiatives!$C$5:$C$532=$D554),0),0)),"")</f>
        <v/>
      </c>
      <c r="AU554">
        <f>IFERROR(INDEX(_ENGINE_Initiatives!$F$5:$F$532,MATCH(1,INDEX((_ENGINE_Initiatives!$B$5:$B$532=$C554)*(_ENGINE_Initiatives!$C$5:$C$532=$D554),0),0)),"")</f>
        <v/>
      </c>
      <c r="AV554">
        <f>IFERROR(INDEX(_ENGINE_Initiatives!$AC$5:$AC$532,MATCH(1,INDEX((_ENGINE_Initiatives!$B$5:$B$532=$C554)*(_ENGINE_Initiatives!$C$5:$C$532=$D554),0),0)),"")</f>
        <v/>
      </c>
      <c r="AW554">
        <f>IFERROR(INDEX(_ENGINE_Initiatives!$AE$5:$AE$532,MATCH(1,INDEX((_ENGINE_Initiatives!$B$5:$B$532=$C554)*(_ENGINE_Initiatives!$C$5:$C$532=$D554),0),0)),"")</f>
        <v/>
      </c>
      <c r="AX554">
        <f>IF($B554="Yes",IFERROR(IF(SUMIFS(_REF_Model_Content!$E$1:$E$613,_REF_Model_Content!$A$1:$A$613,'Company Profile'!$B$9,_REF_Model_Content!$B$1:$B$613,$C554)=0,1,SUMIFS(_REF_Model_Content!$E$1:$E$613,_REF_Model_Content!$A$1:$A$613,'Company Profile'!$B$9,_REF_Model_Content!$B$1:$B$613,$C554)),1),"")</f>
        <v/>
      </c>
      <c r="AY554">
        <f>IF($L554="","",ROUND(IF($AP554="",$L554,$AP554)*IF($AX554="",1,$AX554),2))</f>
        <v/>
      </c>
      <c r="AZ554">
        <f>IF($S554="","",ROUND(IF($AQ554="",$S554,$AQ554)*IF($AX554="",1,$AX554),2))</f>
        <v/>
      </c>
      <c r="BB554">
        <f>IF($H554="","",IFERROR(INDEX('_ENGINE_Risk'!$AE$41:$AE$920,MATCH($E554,'_ENGINE_Risk'!$A$41:$A$920,0)),"Medium"))</f>
        <v/>
      </c>
      <c r="BC554">
        <f>IF($BB554="","",IF($BB554="Fast",1.25,IF($BB554="Slow",0.85,1)))</f>
        <v/>
      </c>
      <c r="BD554">
        <f>IF(OR($AZ554="",$BC554=""),"",ROUND($AZ554*$BC554,2))</f>
        <v/>
      </c>
      <c r="BF554">
        <f>IF(OR($H554="",$J554=""),"",_xlfn.IFNA(VLOOKUP($J554,_CONFIG_Model_Settings!$D$610:$E$614,2,0),""))</f>
        <v/>
      </c>
      <c r="BG554">
        <f>IF(OR($H554="",$K554=""),"",ROUND('Company Profile'!$B$569*INDEX(_CONFIG_Model_Settings!$H$610:$H$614,MATCH($K554,_CONFIG_Model_Settings!$G$610:$G$614,0)),0))</f>
        <v/>
      </c>
      <c r="BH554">
        <f>IF(OR($BF554="",$BG554=""),"",ROUND($BF554*$BG554,1))</f>
        <v/>
      </c>
      <c r="BI554">
        <f>IF($BH554="","",IF($AO554="",$BH554,ROUND($BH554*$AO554,1)))</f>
        <v/>
      </c>
      <c r="BJ554">
        <f>IF($E554="","",IFERROR(VLOOKUP($C554,'_CONFIG_Risk_Calibration'!$A$5:$H$21,2,FALSE),3))</f>
        <v/>
      </c>
      <c r="BK554">
        <f>IF($E554="","",IFERROR(VLOOKUP($C554,'_CONFIG_Risk_Calibration'!$A$5:$H$21,3,FALSE),0))</f>
        <v/>
      </c>
      <c r="BL554">
        <f>IF($E554="","",IFERROR(VLOOKUP($C554,'_CONFIG_Risk_Calibration'!$A$5:$H$21,4,FALSE),3))</f>
        <v/>
      </c>
      <c r="BM554">
        <f>IF($E554="","",IFERROR(VLOOKUP($C554,'_CONFIG_Risk_Calibration'!$A$5:$H$21,5,FALSE),3))</f>
        <v/>
      </c>
      <c r="BN554">
        <f>IF($E554="","",IFERROR(VLOOKUP($C554,'_CONFIG_Risk_Calibration'!$A$5:$H$21,6,FALSE),"No"))</f>
        <v/>
      </c>
      <c r="BO554">
        <f>IF($E554="","",IFERROR(VLOOKUP($C554,'_CONFIG_Risk_Calibration'!$A$5:$H$21,7,FALSE),1))</f>
        <v/>
      </c>
      <c r="BP554">
        <f>IF($H554="","",MAX(1,MIN(5,((6-$H554)*0.45)+($BJ554*0.20)+('Resilience &amp; Risk Scenario'!$B$7*0.15)+($BK554*0.10)+($BL554*0.05)+(IF($BB554="Fast",5,IF($BB554="Slow",1,3))*0.05))))</f>
        <v/>
      </c>
      <c r="BQ554">
        <f>IF($H554="","",MAX(IF($BN554="Yes",$BO554,1),MIN(5,($U554*0.20)+($V554*0.15)+($W554*0.25)+($X554*0.15)+($BJ554*0.10)+($BM554*0.15))))</f>
        <v/>
      </c>
      <c r="BR554">
        <f>IF(OR($BP554="",$BQ554=""),"",ROUND($BP554*$BQ554,2))</f>
        <v/>
      </c>
      <c r="BS554">
        <f>IF($BR554="","",ROUND($BR554*IF($AO554="",1,$AO554)*IF($AX554="",1,$AX554)*(1+(($BM554-3)*0.10))*IF($BC554="",1,$BC554),2))</f>
        <v/>
      </c>
    </row>
    <row r="555" ht="69.90000000000001" customHeight="1" s="209">
      <c r="A555">
        <f>IF($BD555="","",SUMPRODUCT(ISNUMBER($BD$500:$BD$923)*($BD$500:$BD$923&gt;$BD555))+COUNTIF($BD$500:$BD555,$BD555))</f>
        <v/>
      </c>
      <c r="B555">
        <f>IF($H555="","",IF($H555&lt;5,"Yes","Maintain"))</f>
        <v/>
      </c>
      <c r="C555" t="inlineStr">
        <is>
          <t>Governance Crisis</t>
        </is>
      </c>
      <c r="D555" t="inlineStr">
        <is>
          <t>Risk and continuity</t>
        </is>
      </c>
      <c r="E555" t="inlineStr">
        <is>
          <t>GOVE-011</t>
        </is>
      </c>
      <c r="F555" t="inlineStr">
        <is>
          <t>Crisis governance and decision-making</t>
        </is>
      </c>
      <c r="G555">
        <f>IF($H555="","",IFERROR(INDEX('_ENGINE_Risk'!$H$41:$M$920,MATCH($E555,'_ENGINE_Risk'!$A$41:$A$920,0),$H555+1),""))</f>
        <v/>
      </c>
      <c r="H555">
        <f>IFERROR(VALUE(INDEX(_DATA_Assessment_Model!$H$5:$H$884,MATCH($E555,_DATA_Assessment_Model!$A$5:$A$884,0))),"")</f>
        <v/>
      </c>
      <c r="I555">
        <f>IF($H555="","",IFERROR(INDEX(_DATA_Assessment_Model!$L$5:$L$884,MATCH($E555,_DATA_Assessment_Model!$A$5:$A$884,0)),IF($H555&lt;=1,"Critical",IF($H555=2,"High",IF($H555=3,"Medium",IF($H555=4,"Low","Resilient"))))))</f>
        <v/>
      </c>
      <c r="J555">
        <f>IF($H555="","",MIN(5,MAX(1,6-$H555)))</f>
        <v/>
      </c>
      <c r="K555">
        <f>IF($H555="","",MAX(1,MIN(5,ROUNDUP(($U555*0.45)+($W555*0.35)+($X555*0.2),0))))</f>
        <v/>
      </c>
      <c r="L555">
        <f>IF($H555="","",$J555*$K555)</f>
        <v/>
      </c>
      <c r="M555">
        <f>IF($H555="","",MAX(1,MIN(5,ROUNDUP($L555/5,0))))</f>
        <v/>
      </c>
      <c r="N555">
        <f>IF($H555="","",IFERROR(INDEX('_ENGINE_Risk'!$T$41:$Y$920,MATCH($E555,'_ENGINE_Risk'!$A$41:$A$920,0),$H555+1),""))</f>
        <v/>
      </c>
      <c r="O555">
        <f>IF($H555="","",MAX(1,MIN(5,($U555+$V555+$X555)/3)))</f>
        <v/>
      </c>
      <c r="P555">
        <f>IF($H555="","",IF($I555="Critical",5,IF($I555="High",4,IF($I555="Medium",3,IF($I555="Low",2,1)))))</f>
        <v/>
      </c>
      <c r="Q555">
        <f>IF($H555="","",MAX(1,MIN(5,((5-$H555)*0.65)+($W555*0.35))))</f>
        <v/>
      </c>
      <c r="R555">
        <f>IF($H555="","",MAX(1,MIN(5,($V555+$X555)/2)))</f>
        <v/>
      </c>
      <c r="S555">
        <f>IF(OR($H555="",$N555=""),"",ROUND(($O555+$P555+$Q555+$R555)/$N555,2))</f>
        <v/>
      </c>
      <c r="T555">
        <f>IF($H555="","",IFERROR(INDEX('_ENGINE_Risk'!$N$41:$S$920,MATCH($E555,'_ENGINE_Risk'!$A$41:$A$920,0),$H555+1),""))</f>
        <v/>
      </c>
      <c r="U555">
        <f>IFERROR(INDEX(_DATA_Assessment_Model!$G$5:$G$884,MATCH($E555,_DATA_Assessment_Model!$A$5:$A$884,0)),"")</f>
        <v/>
      </c>
      <c r="V555">
        <f>IFERROR(INDEX(_DATA_Assessment_Model!$W$5:$W$884,MATCH($E555,_DATA_Assessment_Model!$A$5:$A$884,0)),"")</f>
        <v/>
      </c>
      <c r="W555">
        <f>IFERROR(INDEX(_DATA_Assessment_Model!$X$5:$X$884,MATCH($E555,_DATA_Assessment_Model!$A$5:$A$884,0)),"")</f>
        <v/>
      </c>
      <c r="X555">
        <f>IFERROR(INDEX(_DATA_Assessment_Model!$Y$5:$Y$884,MATCH($E555,_DATA_Assessment_Model!$A$5:$A$884,0)),"")</f>
        <v/>
      </c>
      <c r="Y555" t="inlineStr">
        <is>
          <t>All crisis types</t>
        </is>
      </c>
      <c r="Z555" t="inlineStr">
        <is>
          <t>CEO / COO / Risk</t>
        </is>
      </c>
      <c r="AA555" t="inlineStr">
        <is>
          <t>Policy/SOP; owner/RACI; system report; dashboard; contracts; test records; incident history; interview evidence related to business continuity plans covering critical processes, people, systems, sites, suppliers and communication.</t>
        </is>
      </c>
      <c r="AB555">
        <f>IFERROR(INDEX(_DATA_Assessment_Model!$U$5:$U$884,MATCH($E555,_DATA_Assessment_Model!$A$5:$A$884,0)),"")</f>
        <v/>
      </c>
      <c r="AF555" t="inlineStr">
        <is>
          <t>How mature is the organization in managing business continuity plans covering critical processes, people, systems, sites, suppliers and communication, including ownership, evidence, metrics, fallback procedures and crisis stress testing?</t>
        </is>
      </c>
      <c r="AO555">
        <f>IF($B555="Yes",IFERROR(INDEX(_ENGINE_Crisis!$F$501:$F$517,MATCH($C555,_ENGINE_Crisis!$A$501:$A$517,0)),1),"")</f>
        <v/>
      </c>
      <c r="AP555">
        <f>IF(AO555="","",ROUND($L555*AO555,1))</f>
        <v/>
      </c>
      <c r="AQ555">
        <f>IF(OR(AO555="",$S555=""),"",ROUND($S555*(0.7+0.3*AO555),2))</f>
        <v/>
      </c>
      <c r="AR555">
        <f>IFERROR(INDEX(_ENGINE_Crisis!$E$41:$E$700,MATCH('Resilience &amp; Risk Scenario'!$B$60&amp;"|"&amp;$C555,_ENGINE_Crisis!$I$41:$I$700,0)),"")</f>
        <v/>
      </c>
      <c r="AS555">
        <f>IFERROR(INDEX(_ENGINE_Crisis!$G$41:$G$700,MATCH('Resilience &amp; Risk Scenario'!$B$60&amp;"|"&amp;$C555,_ENGINE_Crisis!$I$41:$I$700,0)),"")</f>
        <v/>
      </c>
      <c r="AT555">
        <f>IFERROR(INDEX(_ENGINE_Initiatives!$A$5:$A$532,MATCH(1,INDEX((_ENGINE_Initiatives!$B$5:$B$532=$C555)*(_ENGINE_Initiatives!$C$5:$C$532=$D555),0),0)),"")</f>
        <v/>
      </c>
      <c r="AU555">
        <f>IFERROR(INDEX(_ENGINE_Initiatives!$F$5:$F$532,MATCH(1,INDEX((_ENGINE_Initiatives!$B$5:$B$532=$C555)*(_ENGINE_Initiatives!$C$5:$C$532=$D555),0),0)),"")</f>
        <v/>
      </c>
      <c r="AV555">
        <f>IFERROR(INDEX(_ENGINE_Initiatives!$AC$5:$AC$532,MATCH(1,INDEX((_ENGINE_Initiatives!$B$5:$B$532=$C555)*(_ENGINE_Initiatives!$C$5:$C$532=$D555),0),0)),"")</f>
        <v/>
      </c>
      <c r="AW555">
        <f>IFERROR(INDEX(_ENGINE_Initiatives!$AE$5:$AE$532,MATCH(1,INDEX((_ENGINE_Initiatives!$B$5:$B$532=$C555)*(_ENGINE_Initiatives!$C$5:$C$532=$D555),0),0)),"")</f>
        <v/>
      </c>
      <c r="AX555">
        <f>IF($B555="Yes",IFERROR(IF(SUMIFS(_REF_Model_Content!$E$1:$E$613,_REF_Model_Content!$A$1:$A$613,'Company Profile'!$B$9,_REF_Model_Content!$B$1:$B$613,$C555)=0,1,SUMIFS(_REF_Model_Content!$E$1:$E$613,_REF_Model_Content!$A$1:$A$613,'Company Profile'!$B$9,_REF_Model_Content!$B$1:$B$613,$C555)),1),"")</f>
        <v/>
      </c>
      <c r="AY555">
        <f>IF($L555="","",ROUND(IF($AP555="",$L555,$AP555)*IF($AX555="",1,$AX555),2))</f>
        <v/>
      </c>
      <c r="AZ555">
        <f>IF($S555="","",ROUND(IF($AQ555="",$S555,$AQ555)*IF($AX555="",1,$AX555),2))</f>
        <v/>
      </c>
      <c r="BB555">
        <f>IF($H555="","",IFERROR(INDEX('_ENGINE_Risk'!$AE$41:$AE$920,MATCH($E555,'_ENGINE_Risk'!$A$41:$A$920,0)),"Medium"))</f>
        <v/>
      </c>
      <c r="BC555">
        <f>IF($BB555="","",IF($BB555="Fast",1.25,IF($BB555="Slow",0.85,1)))</f>
        <v/>
      </c>
      <c r="BD555">
        <f>IF(OR($AZ555="",$BC555=""),"",ROUND($AZ555*$BC555,2))</f>
        <v/>
      </c>
      <c r="BF555">
        <f>IF(OR($H555="",$J555=""),"",_xlfn.IFNA(VLOOKUP($J555,_CONFIG_Model_Settings!$D$610:$E$614,2,0),""))</f>
        <v/>
      </c>
      <c r="BG555">
        <f>IF(OR($H555="",$K555=""),"",ROUND('Company Profile'!$B$569*INDEX(_CONFIG_Model_Settings!$H$610:$H$614,MATCH($K555,_CONFIG_Model_Settings!$G$610:$G$614,0)),0))</f>
        <v/>
      </c>
      <c r="BH555">
        <f>IF(OR($BF555="",$BG555=""),"",ROUND($BF555*$BG555,1))</f>
        <v/>
      </c>
      <c r="BI555">
        <f>IF($BH555="","",IF($AO555="",$BH555,ROUND($BH555*$AO555,1)))</f>
        <v/>
      </c>
      <c r="BJ555">
        <f>IF($E555="","",IFERROR(VLOOKUP($C555,'_CONFIG_Risk_Calibration'!$A$5:$H$21,2,FALSE),3))</f>
        <v/>
      </c>
      <c r="BK555">
        <f>IF($E555="","",IFERROR(VLOOKUP($C555,'_CONFIG_Risk_Calibration'!$A$5:$H$21,3,FALSE),0))</f>
        <v/>
      </c>
      <c r="BL555">
        <f>IF($E555="","",IFERROR(VLOOKUP($C555,'_CONFIG_Risk_Calibration'!$A$5:$H$21,4,FALSE),3))</f>
        <v/>
      </c>
      <c r="BM555">
        <f>IF($E555="","",IFERROR(VLOOKUP($C555,'_CONFIG_Risk_Calibration'!$A$5:$H$21,5,FALSE),3))</f>
        <v/>
      </c>
      <c r="BN555">
        <f>IF($E555="","",IFERROR(VLOOKUP($C555,'_CONFIG_Risk_Calibration'!$A$5:$H$21,6,FALSE),"No"))</f>
        <v/>
      </c>
      <c r="BO555">
        <f>IF($E555="","",IFERROR(VLOOKUP($C555,'_CONFIG_Risk_Calibration'!$A$5:$H$21,7,FALSE),1))</f>
        <v/>
      </c>
      <c r="BP555">
        <f>IF($H555="","",MAX(1,MIN(5,((6-$H555)*0.45)+($BJ555*0.20)+('Resilience &amp; Risk Scenario'!$B$7*0.15)+($BK555*0.10)+($BL555*0.05)+(IF($BB555="Fast",5,IF($BB555="Slow",1,3))*0.05))))</f>
        <v/>
      </c>
      <c r="BQ555">
        <f>IF($H555="","",MAX(IF($BN555="Yes",$BO555,1),MIN(5,($U555*0.20)+($V555*0.15)+($W555*0.25)+($X555*0.15)+($BJ555*0.10)+($BM555*0.15))))</f>
        <v/>
      </c>
      <c r="BR555">
        <f>IF(OR($BP555="",$BQ555=""),"",ROUND($BP555*$BQ555,2))</f>
        <v/>
      </c>
      <c r="BS555">
        <f>IF($BR555="","",ROUND($BR555*IF($AO555="",1,$AO555)*IF($AX555="",1,$AX555)*(1+(($BM555-3)*0.10))*IF($BC555="",1,$BC555),2))</f>
        <v/>
      </c>
    </row>
    <row r="556" ht="69.90000000000001" customHeight="1" s="209">
      <c r="A556">
        <f>IF($BD556="","",SUMPRODUCT(ISNUMBER($BD$500:$BD$923)*($BD$500:$BD$923&gt;$BD556))+COUNTIF($BD$500:$BD556,$BD556))</f>
        <v/>
      </c>
      <c r="B556">
        <f>IF($H556="","",IF($H556&lt;5,"Yes","Maintain"))</f>
        <v/>
      </c>
      <c r="C556" t="inlineStr">
        <is>
          <t>Governance Crisis</t>
        </is>
      </c>
      <c r="D556" t="inlineStr">
        <is>
          <t>Risk and continuity</t>
        </is>
      </c>
      <c r="E556" t="inlineStr">
        <is>
          <t>GOVE-012</t>
        </is>
      </c>
      <c r="F556" t="inlineStr">
        <is>
          <t>Crisis governance and decision-making</t>
        </is>
      </c>
      <c r="G556">
        <f>IF($H556="","",IFERROR(INDEX('_ENGINE_Risk'!$H$41:$M$920,MATCH($E556,'_ENGINE_Risk'!$A$41:$A$920,0),$H556+1),""))</f>
        <v/>
      </c>
      <c r="H556">
        <f>IFERROR(VALUE(INDEX(_DATA_Assessment_Model!$H$5:$H$884,MATCH($E556,_DATA_Assessment_Model!$A$5:$A$884,0))),"")</f>
        <v/>
      </c>
      <c r="I556">
        <f>IF($H556="","",IFERROR(INDEX(_DATA_Assessment_Model!$L$5:$L$884,MATCH($E556,_DATA_Assessment_Model!$A$5:$A$884,0)),IF($H556&lt;=1,"Critical",IF($H556=2,"High",IF($H556=3,"Medium",IF($H556=4,"Low","Resilient"))))))</f>
        <v/>
      </c>
      <c r="J556">
        <f>IF($H556="","",MIN(5,MAX(1,6-$H556)))</f>
        <v/>
      </c>
      <c r="K556">
        <f>IF($H556="","",MAX(1,MIN(5,ROUNDUP(($U556*0.45)+($W556*0.35)+($X556*0.2),0))))</f>
        <v/>
      </c>
      <c r="L556">
        <f>IF($H556="","",$J556*$K556)</f>
        <v/>
      </c>
      <c r="M556">
        <f>IF($H556="","",MAX(1,MIN(5,ROUNDUP($L556/5,0))))</f>
        <v/>
      </c>
      <c r="N556">
        <f>IF($H556="","",IFERROR(INDEX('_ENGINE_Risk'!$T$41:$Y$920,MATCH($E556,'_ENGINE_Risk'!$A$41:$A$920,0),$H556+1),""))</f>
        <v/>
      </c>
      <c r="O556">
        <f>IF($H556="","",MAX(1,MIN(5,($U556+$V556+$X556)/3)))</f>
        <v/>
      </c>
      <c r="P556">
        <f>IF($H556="","",IF($I556="Critical",5,IF($I556="High",4,IF($I556="Medium",3,IF($I556="Low",2,1)))))</f>
        <v/>
      </c>
      <c r="Q556">
        <f>IF($H556="","",MAX(1,MIN(5,((5-$H556)*0.65)+($W556*0.35))))</f>
        <v/>
      </c>
      <c r="R556">
        <f>IF($H556="","",MAX(1,MIN(5,($V556+$X556)/2)))</f>
        <v/>
      </c>
      <c r="S556">
        <f>IF(OR($H556="",$N556=""),"",ROUND(($O556+$P556+$Q556+$R556)/$N556,2))</f>
        <v/>
      </c>
      <c r="T556">
        <f>IF($H556="","",IFERROR(INDEX('_ENGINE_Risk'!$N$41:$S$920,MATCH($E556,'_ENGINE_Risk'!$A$41:$A$920,0),$H556+1),""))</f>
        <v/>
      </c>
      <c r="U556">
        <f>IFERROR(INDEX(_DATA_Assessment_Model!$G$5:$G$884,MATCH($E556,_DATA_Assessment_Model!$A$5:$A$884,0)),"")</f>
        <v/>
      </c>
      <c r="V556">
        <f>IFERROR(INDEX(_DATA_Assessment_Model!$W$5:$W$884,MATCH($E556,_DATA_Assessment_Model!$A$5:$A$884,0)),"")</f>
        <v/>
      </c>
      <c r="W556">
        <f>IFERROR(INDEX(_DATA_Assessment_Model!$X$5:$X$884,MATCH($E556,_DATA_Assessment_Model!$A$5:$A$884,0)),"")</f>
        <v/>
      </c>
      <c r="X556">
        <f>IFERROR(INDEX(_DATA_Assessment_Model!$Y$5:$Y$884,MATCH($E556,_DATA_Assessment_Model!$A$5:$A$884,0)),"")</f>
        <v/>
      </c>
      <c r="Y556" t="inlineStr">
        <is>
          <t>All crisis types</t>
        </is>
      </c>
      <c r="Z556" t="inlineStr">
        <is>
          <t>CEO / COO / Risk</t>
        </is>
      </c>
      <c r="AA556" t="inlineStr">
        <is>
          <t>Policy/SOP; owner/RACI; system report; dashboard; contracts; test records; incident history; interview evidence related to scenario library covering cyberattack, war/security, site loss, supplier disruption, cloud outage, pandemic, demand shock and liquidity crisis.</t>
        </is>
      </c>
      <c r="AB556">
        <f>IFERROR(INDEX(_DATA_Assessment_Model!$U$5:$U$884,MATCH($E556,_DATA_Assessment_Model!$A$5:$A$884,0)),"")</f>
        <v/>
      </c>
      <c r="AF556" t="inlineStr">
        <is>
          <t>How mature is the organization in managing scenario library covering cyberattack, war/security, site loss, supplier disruption, cloud outage, pandemic, demand shock and liquidity crisis, including ownership, evidence, metrics, fallback procedures and crisis stress testing?</t>
        </is>
      </c>
      <c r="AO556">
        <f>IF($B556="Yes",IFERROR(INDEX(_ENGINE_Crisis!$F$501:$F$517,MATCH($C556,_ENGINE_Crisis!$A$501:$A$517,0)),1),"")</f>
        <v/>
      </c>
      <c r="AP556">
        <f>IF(AO556="","",ROUND($L556*AO556,1))</f>
        <v/>
      </c>
      <c r="AQ556">
        <f>IF(OR(AO556="",$S556=""),"",ROUND($S556*(0.7+0.3*AO556),2))</f>
        <v/>
      </c>
      <c r="AR556">
        <f>IFERROR(INDEX(_ENGINE_Crisis!$E$41:$E$700,MATCH('Resilience &amp; Risk Scenario'!$B$60&amp;"|"&amp;$C556,_ENGINE_Crisis!$I$41:$I$700,0)),"")</f>
        <v/>
      </c>
      <c r="AS556">
        <f>IFERROR(INDEX(_ENGINE_Crisis!$G$41:$G$700,MATCH('Resilience &amp; Risk Scenario'!$B$60&amp;"|"&amp;$C556,_ENGINE_Crisis!$I$41:$I$700,0)),"")</f>
        <v/>
      </c>
      <c r="AT556">
        <f>IFERROR(INDEX(_ENGINE_Initiatives!$A$5:$A$532,MATCH(1,INDEX((_ENGINE_Initiatives!$B$5:$B$532=$C556)*(_ENGINE_Initiatives!$C$5:$C$532=$D556),0),0)),"")</f>
        <v/>
      </c>
      <c r="AU556">
        <f>IFERROR(INDEX(_ENGINE_Initiatives!$F$5:$F$532,MATCH(1,INDEX((_ENGINE_Initiatives!$B$5:$B$532=$C556)*(_ENGINE_Initiatives!$C$5:$C$532=$D556),0),0)),"")</f>
        <v/>
      </c>
      <c r="AV556">
        <f>IFERROR(INDEX(_ENGINE_Initiatives!$AC$5:$AC$532,MATCH(1,INDEX((_ENGINE_Initiatives!$B$5:$B$532=$C556)*(_ENGINE_Initiatives!$C$5:$C$532=$D556),0),0)),"")</f>
        <v/>
      </c>
      <c r="AW556">
        <f>IFERROR(INDEX(_ENGINE_Initiatives!$AE$5:$AE$532,MATCH(1,INDEX((_ENGINE_Initiatives!$B$5:$B$532=$C556)*(_ENGINE_Initiatives!$C$5:$C$532=$D556),0),0)),"")</f>
        <v/>
      </c>
      <c r="AX556">
        <f>IF($B556="Yes",IFERROR(IF(SUMIFS(_REF_Model_Content!$E$1:$E$613,_REF_Model_Content!$A$1:$A$613,'Company Profile'!$B$9,_REF_Model_Content!$B$1:$B$613,$C556)=0,1,SUMIFS(_REF_Model_Content!$E$1:$E$613,_REF_Model_Content!$A$1:$A$613,'Company Profile'!$B$9,_REF_Model_Content!$B$1:$B$613,$C556)),1),"")</f>
        <v/>
      </c>
      <c r="AY556">
        <f>IF($L556="","",ROUND(IF($AP556="",$L556,$AP556)*IF($AX556="",1,$AX556),2))</f>
        <v/>
      </c>
      <c r="AZ556">
        <f>IF($S556="","",ROUND(IF($AQ556="",$S556,$AQ556)*IF($AX556="",1,$AX556),2))</f>
        <v/>
      </c>
      <c r="BB556">
        <f>IF($H556="","",IFERROR(INDEX('_ENGINE_Risk'!$AE$41:$AE$920,MATCH($E556,'_ENGINE_Risk'!$A$41:$A$920,0)),"Medium"))</f>
        <v/>
      </c>
      <c r="BC556">
        <f>IF($BB556="","",IF($BB556="Fast",1.25,IF($BB556="Slow",0.85,1)))</f>
        <v/>
      </c>
      <c r="BD556">
        <f>IF(OR($AZ556="",$BC556=""),"",ROUND($AZ556*$BC556,2))</f>
        <v/>
      </c>
      <c r="BF556">
        <f>IF(OR($H556="",$J556=""),"",_xlfn.IFNA(VLOOKUP($J556,_CONFIG_Model_Settings!$D$610:$E$614,2,0),""))</f>
        <v/>
      </c>
      <c r="BG556">
        <f>IF(OR($H556="",$K556=""),"",ROUND('Company Profile'!$B$569*INDEX(_CONFIG_Model_Settings!$H$610:$H$614,MATCH($K556,_CONFIG_Model_Settings!$G$610:$G$614,0)),0))</f>
        <v/>
      </c>
      <c r="BH556">
        <f>IF(OR($BF556="",$BG556=""),"",ROUND($BF556*$BG556,1))</f>
        <v/>
      </c>
      <c r="BI556">
        <f>IF($BH556="","",IF($AO556="",$BH556,ROUND($BH556*$AO556,1)))</f>
        <v/>
      </c>
      <c r="BJ556">
        <f>IF($E556="","",IFERROR(VLOOKUP($C556,'_CONFIG_Risk_Calibration'!$A$5:$H$21,2,FALSE),3))</f>
        <v/>
      </c>
      <c r="BK556">
        <f>IF($E556="","",IFERROR(VLOOKUP($C556,'_CONFIG_Risk_Calibration'!$A$5:$H$21,3,FALSE),0))</f>
        <v/>
      </c>
      <c r="BL556">
        <f>IF($E556="","",IFERROR(VLOOKUP($C556,'_CONFIG_Risk_Calibration'!$A$5:$H$21,4,FALSE),3))</f>
        <v/>
      </c>
      <c r="BM556">
        <f>IF($E556="","",IFERROR(VLOOKUP($C556,'_CONFIG_Risk_Calibration'!$A$5:$H$21,5,FALSE),3))</f>
        <v/>
      </c>
      <c r="BN556">
        <f>IF($E556="","",IFERROR(VLOOKUP($C556,'_CONFIG_Risk_Calibration'!$A$5:$H$21,6,FALSE),"No"))</f>
        <v/>
      </c>
      <c r="BO556">
        <f>IF($E556="","",IFERROR(VLOOKUP($C556,'_CONFIG_Risk_Calibration'!$A$5:$H$21,7,FALSE),1))</f>
        <v/>
      </c>
      <c r="BP556">
        <f>IF($H556="","",MAX(1,MIN(5,((6-$H556)*0.45)+($BJ556*0.20)+('Resilience &amp; Risk Scenario'!$B$7*0.15)+($BK556*0.10)+($BL556*0.05)+(IF($BB556="Fast",5,IF($BB556="Slow",1,3))*0.05))))</f>
        <v/>
      </c>
      <c r="BQ556">
        <f>IF($H556="","",MAX(IF($BN556="Yes",$BO556,1),MIN(5,($U556*0.20)+($V556*0.15)+($W556*0.25)+($X556*0.15)+($BJ556*0.10)+($BM556*0.15))))</f>
        <v/>
      </c>
      <c r="BR556">
        <f>IF(OR($BP556="",$BQ556=""),"",ROUND($BP556*$BQ556,2))</f>
        <v/>
      </c>
      <c r="BS556">
        <f>IF($BR556="","",ROUND($BR556*IF($AO556="",1,$AO556)*IF($AX556="",1,$AX556)*(1+(($BM556-3)*0.10))*IF($BC556="",1,$BC556),2))</f>
        <v/>
      </c>
    </row>
    <row r="557" ht="69.90000000000001" customHeight="1" s="209">
      <c r="A557">
        <f>IF($BD557="","",SUMPRODUCT(ISNUMBER($BD$500:$BD$923)*($BD$500:$BD$923&gt;$BD557))+COUNTIF($BD$500:$BD557,$BD557))</f>
        <v/>
      </c>
      <c r="B557">
        <f>IF($H557="","",IF($H557&lt;5,"Yes","Maintain"))</f>
        <v/>
      </c>
      <c r="C557" t="inlineStr">
        <is>
          <t>Governance Crisis</t>
        </is>
      </c>
      <c r="D557" t="inlineStr">
        <is>
          <t>Risk and continuity</t>
        </is>
      </c>
      <c r="E557" t="inlineStr">
        <is>
          <t>GOVE-013</t>
        </is>
      </c>
      <c r="F557" t="inlineStr">
        <is>
          <t>Crisis governance and decision-making</t>
        </is>
      </c>
      <c r="G557">
        <f>IF($H557="","",IFERROR(INDEX('_ENGINE_Risk'!$H$41:$M$920,MATCH($E557,'_ENGINE_Risk'!$A$41:$A$920,0),$H557+1),""))</f>
        <v/>
      </c>
      <c r="H557">
        <f>IFERROR(VALUE(INDEX(_DATA_Assessment_Model!$H$5:$H$884,MATCH($E557,_DATA_Assessment_Model!$A$5:$A$884,0))),"")</f>
        <v/>
      </c>
      <c r="I557">
        <f>IF($H557="","",IFERROR(INDEX(_DATA_Assessment_Model!$L$5:$L$884,MATCH($E557,_DATA_Assessment_Model!$A$5:$A$884,0)),IF($H557&lt;=1,"Critical",IF($H557=2,"High",IF($H557=3,"Medium",IF($H557=4,"Low","Resilient"))))))</f>
        <v/>
      </c>
      <c r="J557">
        <f>IF($H557="","",MIN(5,MAX(1,6-$H557)))</f>
        <v/>
      </c>
      <c r="K557">
        <f>IF($H557="","",MAX(1,MIN(5,ROUNDUP(($U557*0.45)+($W557*0.35)+($X557*0.2),0))))</f>
        <v/>
      </c>
      <c r="L557">
        <f>IF($H557="","",$J557*$K557)</f>
        <v/>
      </c>
      <c r="M557">
        <f>IF($H557="","",MAX(1,MIN(5,ROUNDUP($L557/5,0))))</f>
        <v/>
      </c>
      <c r="N557">
        <f>IF($H557="","",IFERROR(INDEX('_ENGINE_Risk'!$T$41:$Y$920,MATCH($E557,'_ENGINE_Risk'!$A$41:$A$920,0),$H557+1),""))</f>
        <v/>
      </c>
      <c r="O557">
        <f>IF($H557="","",MAX(1,MIN(5,($U557+$V557+$X557)/3)))</f>
        <v/>
      </c>
      <c r="P557">
        <f>IF($H557="","",IF($I557="Critical",5,IF($I557="High",4,IF($I557="Medium",3,IF($I557="Low",2,1)))))</f>
        <v/>
      </c>
      <c r="Q557">
        <f>IF($H557="","",MAX(1,MIN(5,((5-$H557)*0.65)+($W557*0.35))))</f>
        <v/>
      </c>
      <c r="R557">
        <f>IF($H557="","",MAX(1,MIN(5,($V557+$X557)/2)))</f>
        <v/>
      </c>
      <c r="S557">
        <f>IF(OR($H557="",$N557=""),"",ROUND(($O557+$P557+$Q557+$R557)/$N557,2))</f>
        <v/>
      </c>
      <c r="T557">
        <f>IF($H557="","",IFERROR(INDEX('_ENGINE_Risk'!$N$41:$S$920,MATCH($E557,'_ENGINE_Risk'!$A$41:$A$920,0),$H557+1),""))</f>
        <v/>
      </c>
      <c r="U557">
        <f>IFERROR(INDEX(_DATA_Assessment_Model!$G$5:$G$884,MATCH($E557,_DATA_Assessment_Model!$A$5:$A$884,0)),"")</f>
        <v/>
      </c>
      <c r="V557">
        <f>IFERROR(INDEX(_DATA_Assessment_Model!$W$5:$W$884,MATCH($E557,_DATA_Assessment_Model!$A$5:$A$884,0)),"")</f>
        <v/>
      </c>
      <c r="W557">
        <f>IFERROR(INDEX(_DATA_Assessment_Model!$X$5:$X$884,MATCH($E557,_DATA_Assessment_Model!$A$5:$A$884,0)),"")</f>
        <v/>
      </c>
      <c r="X557">
        <f>IFERROR(INDEX(_DATA_Assessment_Model!$Y$5:$Y$884,MATCH($E557,_DATA_Assessment_Model!$A$5:$A$884,0)),"")</f>
        <v/>
      </c>
      <c r="Y557" t="inlineStr">
        <is>
          <t>All crisis types</t>
        </is>
      </c>
      <c r="Z557" t="inlineStr">
        <is>
          <t>CEO / COO / Risk</t>
        </is>
      </c>
      <c r="AA557" t="inlineStr">
        <is>
          <t>Policy/SOP; owner/RACI; system report; dashboard; contracts; test records; incident history; interview evidence related to continuity testing through tabletop exercises, simulations and real incident reviews.</t>
        </is>
      </c>
      <c r="AB557">
        <f>IFERROR(INDEX(_DATA_Assessment_Model!$U$5:$U$884,MATCH($E557,_DATA_Assessment_Model!$A$5:$A$884,0)),"")</f>
        <v/>
      </c>
      <c r="AF557" t="inlineStr">
        <is>
          <t>How mature is the organization in managing continuity testing through tabletop exercises, simulations and real incident reviews, including ownership, evidence, metrics, fallback procedures and crisis stress testing?</t>
        </is>
      </c>
      <c r="AO557">
        <f>IF($B557="Yes",IFERROR(INDEX(_ENGINE_Crisis!$F$501:$F$517,MATCH($C557,_ENGINE_Crisis!$A$501:$A$517,0)),1),"")</f>
        <v/>
      </c>
      <c r="AP557">
        <f>IF(AO557="","",ROUND($L557*AO557,1))</f>
        <v/>
      </c>
      <c r="AQ557">
        <f>IF(OR(AO557="",$S557=""),"",ROUND($S557*(0.7+0.3*AO557),2))</f>
        <v/>
      </c>
      <c r="AR557">
        <f>IFERROR(INDEX(_ENGINE_Crisis!$E$41:$E$700,MATCH('Resilience &amp; Risk Scenario'!$B$60&amp;"|"&amp;$C557,_ENGINE_Crisis!$I$41:$I$700,0)),"")</f>
        <v/>
      </c>
      <c r="AS557">
        <f>IFERROR(INDEX(_ENGINE_Crisis!$G$41:$G$700,MATCH('Resilience &amp; Risk Scenario'!$B$60&amp;"|"&amp;$C557,_ENGINE_Crisis!$I$41:$I$700,0)),"")</f>
        <v/>
      </c>
      <c r="AT557">
        <f>IFERROR(INDEX(_ENGINE_Initiatives!$A$5:$A$532,MATCH(1,INDEX((_ENGINE_Initiatives!$B$5:$B$532=$C557)*(_ENGINE_Initiatives!$C$5:$C$532=$D557),0),0)),"")</f>
        <v/>
      </c>
      <c r="AU557">
        <f>IFERROR(INDEX(_ENGINE_Initiatives!$F$5:$F$532,MATCH(1,INDEX((_ENGINE_Initiatives!$B$5:$B$532=$C557)*(_ENGINE_Initiatives!$C$5:$C$532=$D557),0),0)),"")</f>
        <v/>
      </c>
      <c r="AV557">
        <f>IFERROR(INDEX(_ENGINE_Initiatives!$AC$5:$AC$532,MATCH(1,INDEX((_ENGINE_Initiatives!$B$5:$B$532=$C557)*(_ENGINE_Initiatives!$C$5:$C$532=$D557),0),0)),"")</f>
        <v/>
      </c>
      <c r="AW557">
        <f>IFERROR(INDEX(_ENGINE_Initiatives!$AE$5:$AE$532,MATCH(1,INDEX((_ENGINE_Initiatives!$B$5:$B$532=$C557)*(_ENGINE_Initiatives!$C$5:$C$532=$D557),0),0)),"")</f>
        <v/>
      </c>
      <c r="AX557">
        <f>IF($B557="Yes",IFERROR(IF(SUMIFS(_REF_Model_Content!$E$1:$E$613,_REF_Model_Content!$A$1:$A$613,'Company Profile'!$B$9,_REF_Model_Content!$B$1:$B$613,$C557)=0,1,SUMIFS(_REF_Model_Content!$E$1:$E$613,_REF_Model_Content!$A$1:$A$613,'Company Profile'!$B$9,_REF_Model_Content!$B$1:$B$613,$C557)),1),"")</f>
        <v/>
      </c>
      <c r="AY557">
        <f>IF($L557="","",ROUND(IF($AP557="",$L557,$AP557)*IF($AX557="",1,$AX557),2))</f>
        <v/>
      </c>
      <c r="AZ557">
        <f>IF($S557="","",ROUND(IF($AQ557="",$S557,$AQ557)*IF($AX557="",1,$AX557),2))</f>
        <v/>
      </c>
      <c r="BB557">
        <f>IF($H557="","",IFERROR(INDEX('_ENGINE_Risk'!$AE$41:$AE$920,MATCH($E557,'_ENGINE_Risk'!$A$41:$A$920,0)),"Medium"))</f>
        <v/>
      </c>
      <c r="BC557">
        <f>IF($BB557="","",IF($BB557="Fast",1.25,IF($BB557="Slow",0.85,1)))</f>
        <v/>
      </c>
      <c r="BD557">
        <f>IF(OR($AZ557="",$BC557=""),"",ROUND($AZ557*$BC557,2))</f>
        <v/>
      </c>
      <c r="BF557">
        <f>IF(OR($H557="",$J557=""),"",_xlfn.IFNA(VLOOKUP($J557,_CONFIG_Model_Settings!$D$610:$E$614,2,0),""))</f>
        <v/>
      </c>
      <c r="BG557">
        <f>IF(OR($H557="",$K557=""),"",ROUND('Company Profile'!$B$569*INDEX(_CONFIG_Model_Settings!$H$610:$H$614,MATCH($K557,_CONFIG_Model_Settings!$G$610:$G$614,0)),0))</f>
        <v/>
      </c>
      <c r="BH557">
        <f>IF(OR($BF557="",$BG557=""),"",ROUND($BF557*$BG557,1))</f>
        <v/>
      </c>
      <c r="BI557">
        <f>IF($BH557="","",IF($AO557="",$BH557,ROUND($BH557*$AO557,1)))</f>
        <v/>
      </c>
      <c r="BJ557">
        <f>IF($E557="","",IFERROR(VLOOKUP($C557,'_CONFIG_Risk_Calibration'!$A$5:$H$21,2,FALSE),3))</f>
        <v/>
      </c>
      <c r="BK557">
        <f>IF($E557="","",IFERROR(VLOOKUP($C557,'_CONFIG_Risk_Calibration'!$A$5:$H$21,3,FALSE),0))</f>
        <v/>
      </c>
      <c r="BL557">
        <f>IF($E557="","",IFERROR(VLOOKUP($C557,'_CONFIG_Risk_Calibration'!$A$5:$H$21,4,FALSE),3))</f>
        <v/>
      </c>
      <c r="BM557">
        <f>IF($E557="","",IFERROR(VLOOKUP($C557,'_CONFIG_Risk_Calibration'!$A$5:$H$21,5,FALSE),3))</f>
        <v/>
      </c>
      <c r="BN557">
        <f>IF($E557="","",IFERROR(VLOOKUP($C557,'_CONFIG_Risk_Calibration'!$A$5:$H$21,6,FALSE),"No"))</f>
        <v/>
      </c>
      <c r="BO557">
        <f>IF($E557="","",IFERROR(VLOOKUP($C557,'_CONFIG_Risk_Calibration'!$A$5:$H$21,7,FALSE),1))</f>
        <v/>
      </c>
      <c r="BP557">
        <f>IF($H557="","",MAX(1,MIN(5,((6-$H557)*0.45)+($BJ557*0.20)+('Resilience &amp; Risk Scenario'!$B$7*0.15)+($BK557*0.10)+($BL557*0.05)+(IF($BB557="Fast",5,IF($BB557="Slow",1,3))*0.05))))</f>
        <v/>
      </c>
      <c r="BQ557">
        <f>IF($H557="","",MAX(IF($BN557="Yes",$BO557,1),MIN(5,($U557*0.20)+($V557*0.15)+($W557*0.25)+($X557*0.15)+($BJ557*0.10)+($BM557*0.15))))</f>
        <v/>
      </c>
      <c r="BR557">
        <f>IF(OR($BP557="",$BQ557=""),"",ROUND($BP557*$BQ557,2))</f>
        <v/>
      </c>
      <c r="BS557">
        <f>IF($BR557="","",ROUND($BR557*IF($AO557="",1,$AO557)*IF($AX557="",1,$AX557)*(1+(($BM557-3)*0.10))*IF($BC557="",1,$BC557),2))</f>
        <v/>
      </c>
    </row>
    <row r="558" ht="69.90000000000001" customHeight="1" s="209">
      <c r="A558">
        <f>IF($BD558="","",SUMPRODUCT(ISNUMBER($BD$500:$BD$923)*($BD$500:$BD$923&gt;$BD558))+COUNTIF($BD$500:$BD558,$BD558))</f>
        <v/>
      </c>
      <c r="B558">
        <f>IF($H558="","",IF($H558&lt;5,"Yes","Maintain"))</f>
        <v/>
      </c>
      <c r="C558" t="inlineStr">
        <is>
          <t>Governance Crisis</t>
        </is>
      </c>
      <c r="D558" t="inlineStr">
        <is>
          <t>Incident management</t>
        </is>
      </c>
      <c r="E558" t="inlineStr">
        <is>
          <t>GOVE-014</t>
        </is>
      </c>
      <c r="F558" t="inlineStr">
        <is>
          <t>Crisis governance and decision-making</t>
        </is>
      </c>
      <c r="G558">
        <f>IF($H558="","",IFERROR(INDEX('_ENGINE_Risk'!$H$41:$M$920,MATCH($E558,'_ENGINE_Risk'!$A$41:$A$920,0),$H558+1),""))</f>
        <v/>
      </c>
      <c r="H558">
        <f>IFERROR(VALUE(INDEX(_DATA_Assessment_Model!$H$5:$H$884,MATCH($E558,_DATA_Assessment_Model!$A$5:$A$884,0))),"")</f>
        <v/>
      </c>
      <c r="I558">
        <f>IF($H558="","",IFERROR(INDEX(_DATA_Assessment_Model!$L$5:$L$884,MATCH($E558,_DATA_Assessment_Model!$A$5:$A$884,0)),IF($H558&lt;=1,"Critical",IF($H558=2,"High",IF($H558=3,"Medium",IF($H558=4,"Low","Resilient"))))))</f>
        <v/>
      </c>
      <c r="J558">
        <f>IF($H558="","",MIN(5,MAX(1,6-$H558)))</f>
        <v/>
      </c>
      <c r="K558">
        <f>IF($H558="","",MAX(1,MIN(5,ROUNDUP(($U558*0.45)+($W558*0.35)+($X558*0.2),0))))</f>
        <v/>
      </c>
      <c r="L558">
        <f>IF($H558="","",$J558*$K558)</f>
        <v/>
      </c>
      <c r="M558">
        <f>IF($H558="","",MAX(1,MIN(5,ROUNDUP($L558/5,0))))</f>
        <v/>
      </c>
      <c r="N558">
        <f>IF($H558="","",IFERROR(INDEX('_ENGINE_Risk'!$T$41:$Y$920,MATCH($E558,'_ENGINE_Risk'!$A$41:$A$920,0),$H558+1),""))</f>
        <v/>
      </c>
      <c r="O558">
        <f>IF($H558="","",MAX(1,MIN(5,($U558+$V558+$X558)/3)))</f>
        <v/>
      </c>
      <c r="P558">
        <f>IF($H558="","",IF($I558="Critical",5,IF($I558="High",4,IF($I558="Medium",3,IF($I558="Low",2,1)))))</f>
        <v/>
      </c>
      <c r="Q558">
        <f>IF($H558="","",MAX(1,MIN(5,((5-$H558)*0.65)+($W558*0.35))))</f>
        <v/>
      </c>
      <c r="R558">
        <f>IF($H558="","",MAX(1,MIN(5,($V558+$X558)/2)))</f>
        <v/>
      </c>
      <c r="S558">
        <f>IF(OR($H558="",$N558=""),"",ROUND(($O558+$P558+$Q558+$R558)/$N558,2))</f>
        <v/>
      </c>
      <c r="T558">
        <f>IF($H558="","",IFERROR(INDEX('_ENGINE_Risk'!$N$41:$S$920,MATCH($E558,'_ENGINE_Risk'!$A$41:$A$920,0),$H558+1),""))</f>
        <v/>
      </c>
      <c r="U558">
        <f>IFERROR(INDEX(_DATA_Assessment_Model!$G$5:$G$884,MATCH($E558,_DATA_Assessment_Model!$A$5:$A$884,0)),"")</f>
        <v/>
      </c>
      <c r="V558">
        <f>IFERROR(INDEX(_DATA_Assessment_Model!$W$5:$W$884,MATCH($E558,_DATA_Assessment_Model!$A$5:$A$884,0)),"")</f>
        <v/>
      </c>
      <c r="W558">
        <f>IFERROR(INDEX(_DATA_Assessment_Model!$X$5:$X$884,MATCH($E558,_DATA_Assessment_Model!$A$5:$A$884,0)),"")</f>
        <v/>
      </c>
      <c r="X558">
        <f>IFERROR(INDEX(_DATA_Assessment_Model!$Y$5:$Y$884,MATCH($E558,_DATA_Assessment_Model!$A$5:$A$884,0)),"")</f>
        <v/>
      </c>
      <c r="Y558" t="inlineStr">
        <is>
          <t>All crisis types</t>
        </is>
      </c>
      <c r="Z558" t="inlineStr">
        <is>
          <t>CEO / COO / Risk</t>
        </is>
      </c>
      <c r="AA558" t="inlineStr">
        <is>
          <t>Policy/SOP; owner/RACI; system report; dashboard; contracts; test records; incident history; interview evidence related to common incident classification model for severity, impact, escalation and communication.</t>
        </is>
      </c>
      <c r="AB558">
        <f>IFERROR(INDEX(_DATA_Assessment_Model!$U$5:$U$884,MATCH($E558,_DATA_Assessment_Model!$A$5:$A$884,0)),"")</f>
        <v/>
      </c>
      <c r="AF558" t="inlineStr">
        <is>
          <t>How mature is the organization in managing common incident classification model for severity, impact, escalation and communication, including ownership, evidence, metrics, fallback procedures and crisis stress testing?</t>
        </is>
      </c>
      <c r="AO558">
        <f>IF($B558="Yes",IFERROR(INDEX(_ENGINE_Crisis!$F$501:$F$517,MATCH($C558,_ENGINE_Crisis!$A$501:$A$517,0)),1),"")</f>
        <v/>
      </c>
      <c r="AP558">
        <f>IF(AO558="","",ROUND($L558*AO558,1))</f>
        <v/>
      </c>
      <c r="AQ558">
        <f>IF(OR(AO558="",$S558=""),"",ROUND($S558*(0.7+0.3*AO558),2))</f>
        <v/>
      </c>
      <c r="AR558">
        <f>IFERROR(INDEX(_ENGINE_Crisis!$E$41:$E$700,MATCH('Resilience &amp; Risk Scenario'!$B$60&amp;"|"&amp;$C558,_ENGINE_Crisis!$I$41:$I$700,0)),"")</f>
        <v/>
      </c>
      <c r="AS558">
        <f>IFERROR(INDEX(_ENGINE_Crisis!$G$41:$G$700,MATCH('Resilience &amp; Risk Scenario'!$B$60&amp;"|"&amp;$C558,_ENGINE_Crisis!$I$41:$I$700,0)),"")</f>
        <v/>
      </c>
      <c r="AT558">
        <f>IFERROR(INDEX(_ENGINE_Initiatives!$A$5:$A$532,MATCH(1,INDEX((_ENGINE_Initiatives!$B$5:$B$532=$C558)*(_ENGINE_Initiatives!$C$5:$C$532=$D558),0),0)),"")</f>
        <v/>
      </c>
      <c r="AU558">
        <f>IFERROR(INDEX(_ENGINE_Initiatives!$F$5:$F$532,MATCH(1,INDEX((_ENGINE_Initiatives!$B$5:$B$532=$C558)*(_ENGINE_Initiatives!$C$5:$C$532=$D558),0),0)),"")</f>
        <v/>
      </c>
      <c r="AV558">
        <f>IFERROR(INDEX(_ENGINE_Initiatives!$AC$5:$AC$532,MATCH(1,INDEX((_ENGINE_Initiatives!$B$5:$B$532=$C558)*(_ENGINE_Initiatives!$C$5:$C$532=$D558),0),0)),"")</f>
        <v/>
      </c>
      <c r="AW558">
        <f>IFERROR(INDEX(_ENGINE_Initiatives!$AE$5:$AE$532,MATCH(1,INDEX((_ENGINE_Initiatives!$B$5:$B$532=$C558)*(_ENGINE_Initiatives!$C$5:$C$532=$D558),0),0)),"")</f>
        <v/>
      </c>
      <c r="AX558">
        <f>IF($B558="Yes",IFERROR(IF(SUMIFS(_REF_Model_Content!$E$1:$E$613,_REF_Model_Content!$A$1:$A$613,'Company Profile'!$B$9,_REF_Model_Content!$B$1:$B$613,$C558)=0,1,SUMIFS(_REF_Model_Content!$E$1:$E$613,_REF_Model_Content!$A$1:$A$613,'Company Profile'!$B$9,_REF_Model_Content!$B$1:$B$613,$C558)),1),"")</f>
        <v/>
      </c>
      <c r="AY558">
        <f>IF($L558="","",ROUND(IF($AP558="",$L558,$AP558)*IF($AX558="",1,$AX558),2))</f>
        <v/>
      </c>
      <c r="AZ558">
        <f>IF($S558="","",ROUND(IF($AQ558="",$S558,$AQ558)*IF($AX558="",1,$AX558),2))</f>
        <v/>
      </c>
      <c r="BB558">
        <f>IF($H558="","",IFERROR(INDEX('_ENGINE_Risk'!$AE$41:$AE$920,MATCH($E558,'_ENGINE_Risk'!$A$41:$A$920,0)),"Medium"))</f>
        <v/>
      </c>
      <c r="BC558">
        <f>IF($BB558="","",IF($BB558="Fast",1.25,IF($BB558="Slow",0.85,1)))</f>
        <v/>
      </c>
      <c r="BD558">
        <f>IF(OR($AZ558="",$BC558=""),"",ROUND($AZ558*$BC558,2))</f>
        <v/>
      </c>
      <c r="BF558">
        <f>IF(OR($H558="",$J558=""),"",_xlfn.IFNA(VLOOKUP($J558,_CONFIG_Model_Settings!$D$610:$E$614,2,0),""))</f>
        <v/>
      </c>
      <c r="BG558">
        <f>IF(OR($H558="",$K558=""),"",ROUND('Company Profile'!$B$569*INDEX(_CONFIG_Model_Settings!$H$610:$H$614,MATCH($K558,_CONFIG_Model_Settings!$G$610:$G$614,0)),0))</f>
        <v/>
      </c>
      <c r="BH558">
        <f>IF(OR($BF558="",$BG558=""),"",ROUND($BF558*$BG558,1))</f>
        <v/>
      </c>
      <c r="BI558">
        <f>IF($BH558="","",IF($AO558="",$BH558,ROUND($BH558*$AO558,1)))</f>
        <v/>
      </c>
      <c r="BJ558">
        <f>IF($E558="","",IFERROR(VLOOKUP($C558,'_CONFIG_Risk_Calibration'!$A$5:$H$21,2,FALSE),3))</f>
        <v/>
      </c>
      <c r="BK558">
        <f>IF($E558="","",IFERROR(VLOOKUP($C558,'_CONFIG_Risk_Calibration'!$A$5:$H$21,3,FALSE),0))</f>
        <v/>
      </c>
      <c r="BL558">
        <f>IF($E558="","",IFERROR(VLOOKUP($C558,'_CONFIG_Risk_Calibration'!$A$5:$H$21,4,FALSE),3))</f>
        <v/>
      </c>
      <c r="BM558">
        <f>IF($E558="","",IFERROR(VLOOKUP($C558,'_CONFIG_Risk_Calibration'!$A$5:$H$21,5,FALSE),3))</f>
        <v/>
      </c>
      <c r="BN558">
        <f>IF($E558="","",IFERROR(VLOOKUP($C558,'_CONFIG_Risk_Calibration'!$A$5:$H$21,6,FALSE),"No"))</f>
        <v/>
      </c>
      <c r="BO558">
        <f>IF($E558="","",IFERROR(VLOOKUP($C558,'_CONFIG_Risk_Calibration'!$A$5:$H$21,7,FALSE),1))</f>
        <v/>
      </c>
      <c r="BP558">
        <f>IF($H558="","",MAX(1,MIN(5,((6-$H558)*0.45)+($BJ558*0.20)+('Resilience &amp; Risk Scenario'!$B$7*0.15)+($BK558*0.10)+($BL558*0.05)+(IF($BB558="Fast",5,IF($BB558="Slow",1,3))*0.05))))</f>
        <v/>
      </c>
      <c r="BQ558">
        <f>IF($H558="","",MAX(IF($BN558="Yes",$BO558,1),MIN(5,($U558*0.20)+($V558*0.15)+($W558*0.25)+($X558*0.15)+($BJ558*0.10)+($BM558*0.15))))</f>
        <v/>
      </c>
      <c r="BR558">
        <f>IF(OR($BP558="",$BQ558=""),"",ROUND($BP558*$BQ558,2))</f>
        <v/>
      </c>
      <c r="BS558">
        <f>IF($BR558="","",ROUND($BR558*IF($AO558="",1,$AO558)*IF($AX558="",1,$AX558)*(1+(($BM558-3)*0.10))*IF($BC558="",1,$BC558),2))</f>
        <v/>
      </c>
    </row>
    <row r="559" ht="69.90000000000001" customHeight="1" s="209">
      <c r="A559">
        <f>IF($BD559="","",SUMPRODUCT(ISNUMBER($BD$500:$BD$923)*($BD$500:$BD$923&gt;$BD559))+COUNTIF($BD$500:$BD559,$BD559))</f>
        <v/>
      </c>
      <c r="B559">
        <f>IF($H559="","",IF($H559&lt;5,"Yes","Maintain"))</f>
        <v/>
      </c>
      <c r="C559" t="inlineStr">
        <is>
          <t>Governance Crisis</t>
        </is>
      </c>
      <c r="D559" t="inlineStr">
        <is>
          <t>Incident management</t>
        </is>
      </c>
      <c r="E559" t="inlineStr">
        <is>
          <t>GOVE-015</t>
        </is>
      </c>
      <c r="F559" t="inlineStr">
        <is>
          <t>Crisis governance and decision-making</t>
        </is>
      </c>
      <c r="G559">
        <f>IF($H559="","",IFERROR(INDEX('_ENGINE_Risk'!$H$41:$M$920,MATCH($E559,'_ENGINE_Risk'!$A$41:$A$920,0),$H559+1),""))</f>
        <v/>
      </c>
      <c r="H559">
        <f>IFERROR(VALUE(INDEX(_DATA_Assessment_Model!$H$5:$H$884,MATCH($E559,_DATA_Assessment_Model!$A$5:$A$884,0))),"")</f>
        <v/>
      </c>
      <c r="I559">
        <f>IF($H559="","",IFERROR(INDEX(_DATA_Assessment_Model!$L$5:$L$884,MATCH($E559,_DATA_Assessment_Model!$A$5:$A$884,0)),IF($H559&lt;=1,"Critical",IF($H559=2,"High",IF($H559=3,"Medium",IF($H559=4,"Low","Resilient"))))))</f>
        <v/>
      </c>
      <c r="J559">
        <f>IF($H559="","",MIN(5,MAX(1,6-$H559)))</f>
        <v/>
      </c>
      <c r="K559">
        <f>IF($H559="","",MAX(1,MIN(5,ROUNDUP(($U559*0.45)+($W559*0.35)+($X559*0.2),0))))</f>
        <v/>
      </c>
      <c r="L559">
        <f>IF($H559="","",$J559*$K559)</f>
        <v/>
      </c>
      <c r="M559">
        <f>IF($H559="","",MAX(1,MIN(5,ROUNDUP($L559/5,0))))</f>
        <v/>
      </c>
      <c r="N559">
        <f>IF($H559="","",IFERROR(INDEX('_ENGINE_Risk'!$T$41:$Y$920,MATCH($E559,'_ENGINE_Risk'!$A$41:$A$920,0),$H559+1),""))</f>
        <v/>
      </c>
      <c r="O559">
        <f>IF($H559="","",MAX(1,MIN(5,($U559+$V559+$X559)/3)))</f>
        <v/>
      </c>
      <c r="P559">
        <f>IF($H559="","",IF($I559="Critical",5,IF($I559="High",4,IF($I559="Medium",3,IF($I559="Low",2,1)))))</f>
        <v/>
      </c>
      <c r="Q559">
        <f>IF($H559="","",MAX(1,MIN(5,((5-$H559)*0.65)+($W559*0.35))))</f>
        <v/>
      </c>
      <c r="R559">
        <f>IF($H559="","",MAX(1,MIN(5,($V559+$X559)/2)))</f>
        <v/>
      </c>
      <c r="S559">
        <f>IF(OR($H559="",$N559=""),"",ROUND(($O559+$P559+$Q559+$R559)/$N559,2))</f>
        <v/>
      </c>
      <c r="T559">
        <f>IF($H559="","",IFERROR(INDEX('_ENGINE_Risk'!$N$41:$S$920,MATCH($E559,'_ENGINE_Risk'!$A$41:$A$920,0),$H559+1),""))</f>
        <v/>
      </c>
      <c r="U559">
        <f>IFERROR(INDEX(_DATA_Assessment_Model!$G$5:$G$884,MATCH($E559,_DATA_Assessment_Model!$A$5:$A$884,0)),"")</f>
        <v/>
      </c>
      <c r="V559">
        <f>IFERROR(INDEX(_DATA_Assessment_Model!$W$5:$W$884,MATCH($E559,_DATA_Assessment_Model!$A$5:$A$884,0)),"")</f>
        <v/>
      </c>
      <c r="W559">
        <f>IFERROR(INDEX(_DATA_Assessment_Model!$X$5:$X$884,MATCH($E559,_DATA_Assessment_Model!$A$5:$A$884,0)),"")</f>
        <v/>
      </c>
      <c r="X559">
        <f>IFERROR(INDEX(_DATA_Assessment_Model!$Y$5:$Y$884,MATCH($E559,_DATA_Assessment_Model!$A$5:$A$884,0)),"")</f>
        <v/>
      </c>
      <c r="Y559" t="inlineStr">
        <is>
          <t>All crisis types</t>
        </is>
      </c>
      <c r="Z559" t="inlineStr">
        <is>
          <t>CEO / COO / Risk</t>
        </is>
      </c>
      <c r="AA559" t="inlineStr">
        <is>
          <t>Policy/SOP; owner/RACI; system report; dashboard; contracts; test records; incident history; interview evidence related to post-incident review process that converts incidents into corrective and preventive actions.</t>
        </is>
      </c>
      <c r="AB559">
        <f>IFERROR(INDEX(_DATA_Assessment_Model!$U$5:$U$884,MATCH($E559,_DATA_Assessment_Model!$A$5:$A$884,0)),"")</f>
        <v/>
      </c>
      <c r="AF559" t="inlineStr">
        <is>
          <t>How mature is the organization in managing post-incident review process that converts incidents into corrective and preventive actions, including ownership, evidence, metrics, fallback procedures and crisis stress testing?</t>
        </is>
      </c>
      <c r="AO559">
        <f>IF($B559="Yes",IFERROR(INDEX(_ENGINE_Crisis!$F$501:$F$517,MATCH($C559,_ENGINE_Crisis!$A$501:$A$517,0)),1),"")</f>
        <v/>
      </c>
      <c r="AP559">
        <f>IF(AO559="","",ROUND($L559*AO559,1))</f>
        <v/>
      </c>
      <c r="AQ559">
        <f>IF(OR(AO559="",$S559=""),"",ROUND($S559*(0.7+0.3*AO559),2))</f>
        <v/>
      </c>
      <c r="AR559">
        <f>IFERROR(INDEX(_ENGINE_Crisis!$E$41:$E$700,MATCH('Resilience &amp; Risk Scenario'!$B$60&amp;"|"&amp;$C559,_ENGINE_Crisis!$I$41:$I$700,0)),"")</f>
        <v/>
      </c>
      <c r="AS559">
        <f>IFERROR(INDEX(_ENGINE_Crisis!$G$41:$G$700,MATCH('Resilience &amp; Risk Scenario'!$B$60&amp;"|"&amp;$C559,_ENGINE_Crisis!$I$41:$I$700,0)),"")</f>
        <v/>
      </c>
      <c r="AT559">
        <f>IFERROR(INDEX(_ENGINE_Initiatives!$A$5:$A$532,MATCH(1,INDEX((_ENGINE_Initiatives!$B$5:$B$532=$C559)*(_ENGINE_Initiatives!$C$5:$C$532=$D559),0),0)),"")</f>
        <v/>
      </c>
      <c r="AU559">
        <f>IFERROR(INDEX(_ENGINE_Initiatives!$F$5:$F$532,MATCH(1,INDEX((_ENGINE_Initiatives!$B$5:$B$532=$C559)*(_ENGINE_Initiatives!$C$5:$C$532=$D559),0),0)),"")</f>
        <v/>
      </c>
      <c r="AV559">
        <f>IFERROR(INDEX(_ENGINE_Initiatives!$AC$5:$AC$532,MATCH(1,INDEX((_ENGINE_Initiatives!$B$5:$B$532=$C559)*(_ENGINE_Initiatives!$C$5:$C$532=$D559),0),0)),"")</f>
        <v/>
      </c>
      <c r="AW559">
        <f>IFERROR(INDEX(_ENGINE_Initiatives!$AE$5:$AE$532,MATCH(1,INDEX((_ENGINE_Initiatives!$B$5:$B$532=$C559)*(_ENGINE_Initiatives!$C$5:$C$532=$D559),0),0)),"")</f>
        <v/>
      </c>
      <c r="AX559">
        <f>IF($B559="Yes",IFERROR(IF(SUMIFS(_REF_Model_Content!$E$1:$E$613,_REF_Model_Content!$A$1:$A$613,'Company Profile'!$B$9,_REF_Model_Content!$B$1:$B$613,$C559)=0,1,SUMIFS(_REF_Model_Content!$E$1:$E$613,_REF_Model_Content!$A$1:$A$613,'Company Profile'!$B$9,_REF_Model_Content!$B$1:$B$613,$C559)),1),"")</f>
        <v/>
      </c>
      <c r="AY559">
        <f>IF($L559="","",ROUND(IF($AP559="",$L559,$AP559)*IF($AX559="",1,$AX559),2))</f>
        <v/>
      </c>
      <c r="AZ559">
        <f>IF($S559="","",ROUND(IF($AQ559="",$S559,$AQ559)*IF($AX559="",1,$AX559),2))</f>
        <v/>
      </c>
      <c r="BB559">
        <f>IF($H559="","",IFERROR(INDEX('_ENGINE_Risk'!$AE$41:$AE$920,MATCH($E559,'_ENGINE_Risk'!$A$41:$A$920,0)),"Medium"))</f>
        <v/>
      </c>
      <c r="BC559">
        <f>IF($BB559="","",IF($BB559="Fast",1.25,IF($BB559="Slow",0.85,1)))</f>
        <v/>
      </c>
      <c r="BD559">
        <f>IF(OR($AZ559="",$BC559=""),"",ROUND($AZ559*$BC559,2))</f>
        <v/>
      </c>
      <c r="BF559">
        <f>IF(OR($H559="",$J559=""),"",_xlfn.IFNA(VLOOKUP($J559,_CONFIG_Model_Settings!$D$610:$E$614,2,0),""))</f>
        <v/>
      </c>
      <c r="BG559">
        <f>IF(OR($H559="",$K559=""),"",ROUND('Company Profile'!$B$569*INDEX(_CONFIG_Model_Settings!$H$610:$H$614,MATCH($K559,_CONFIG_Model_Settings!$G$610:$G$614,0)),0))</f>
        <v/>
      </c>
      <c r="BH559">
        <f>IF(OR($BF559="",$BG559=""),"",ROUND($BF559*$BG559,1))</f>
        <v/>
      </c>
      <c r="BI559">
        <f>IF($BH559="","",IF($AO559="",$BH559,ROUND($BH559*$AO559,1)))</f>
        <v/>
      </c>
      <c r="BJ559">
        <f>IF($E559="","",IFERROR(VLOOKUP($C559,'_CONFIG_Risk_Calibration'!$A$5:$H$21,2,FALSE),3))</f>
        <v/>
      </c>
      <c r="BK559">
        <f>IF($E559="","",IFERROR(VLOOKUP($C559,'_CONFIG_Risk_Calibration'!$A$5:$H$21,3,FALSE),0))</f>
        <v/>
      </c>
      <c r="BL559">
        <f>IF($E559="","",IFERROR(VLOOKUP($C559,'_CONFIG_Risk_Calibration'!$A$5:$H$21,4,FALSE),3))</f>
        <v/>
      </c>
      <c r="BM559">
        <f>IF($E559="","",IFERROR(VLOOKUP($C559,'_CONFIG_Risk_Calibration'!$A$5:$H$21,5,FALSE),3))</f>
        <v/>
      </c>
      <c r="BN559">
        <f>IF($E559="","",IFERROR(VLOOKUP($C559,'_CONFIG_Risk_Calibration'!$A$5:$H$21,6,FALSE),"No"))</f>
        <v/>
      </c>
      <c r="BO559">
        <f>IF($E559="","",IFERROR(VLOOKUP($C559,'_CONFIG_Risk_Calibration'!$A$5:$H$21,7,FALSE),1))</f>
        <v/>
      </c>
      <c r="BP559">
        <f>IF($H559="","",MAX(1,MIN(5,((6-$H559)*0.45)+($BJ559*0.20)+('Resilience &amp; Risk Scenario'!$B$7*0.15)+($BK559*0.10)+($BL559*0.05)+(IF($BB559="Fast",5,IF($BB559="Slow",1,3))*0.05))))</f>
        <v/>
      </c>
      <c r="BQ559">
        <f>IF($H559="","",MAX(IF($BN559="Yes",$BO559,1),MIN(5,($U559*0.20)+($V559*0.15)+($W559*0.25)+($X559*0.15)+($BJ559*0.10)+($BM559*0.15))))</f>
        <v/>
      </c>
      <c r="BR559">
        <f>IF(OR($BP559="",$BQ559=""),"",ROUND($BP559*$BQ559,2))</f>
        <v/>
      </c>
      <c r="BS559">
        <f>IF($BR559="","",ROUND($BR559*IF($AO559="",1,$AO559)*IF($AX559="",1,$AX559)*(1+(($BM559-3)*0.10))*IF($BC559="",1,$BC559),2))</f>
        <v/>
      </c>
    </row>
    <row r="560" ht="69.90000000000001" customHeight="1" s="209">
      <c r="A560">
        <f>IF($BD560="","",SUMPRODUCT(ISNUMBER($BD$500:$BD$923)*($BD$500:$BD$923&gt;$BD560))+COUNTIF($BD$500:$BD560,$BD560))</f>
        <v/>
      </c>
      <c r="B560">
        <f>IF($H560="","",IF($H560&lt;5,"Yes","Maintain"))</f>
        <v/>
      </c>
      <c r="C560" t="inlineStr">
        <is>
          <t>Governance Crisis</t>
        </is>
      </c>
      <c r="D560" t="inlineStr">
        <is>
          <t>Incident management</t>
        </is>
      </c>
      <c r="E560" t="inlineStr">
        <is>
          <t>GOVE-016</t>
        </is>
      </c>
      <c r="F560" t="inlineStr">
        <is>
          <t>Crisis governance and decision-making</t>
        </is>
      </c>
      <c r="G560">
        <f>IF($H560="","",IFERROR(INDEX('_ENGINE_Risk'!$H$41:$M$920,MATCH($E560,'_ENGINE_Risk'!$A$41:$A$920,0),$H560+1),""))</f>
        <v/>
      </c>
      <c r="H560">
        <f>IFERROR(VALUE(INDEX(_DATA_Assessment_Model!$H$5:$H$884,MATCH($E560,_DATA_Assessment_Model!$A$5:$A$884,0))),"")</f>
        <v/>
      </c>
      <c r="I560">
        <f>IF($H560="","",IFERROR(INDEX(_DATA_Assessment_Model!$L$5:$L$884,MATCH($E560,_DATA_Assessment_Model!$A$5:$A$884,0)),IF($H560&lt;=1,"Critical",IF($H560=2,"High",IF($H560=3,"Medium",IF($H560=4,"Low","Resilient"))))))</f>
        <v/>
      </c>
      <c r="J560">
        <f>IF($H560="","",MIN(5,MAX(1,6-$H560)))</f>
        <v/>
      </c>
      <c r="K560">
        <f>IF($H560="","",MAX(1,MIN(5,ROUNDUP(($U560*0.45)+($W560*0.35)+($X560*0.2),0))))</f>
        <v/>
      </c>
      <c r="L560">
        <f>IF($H560="","",$J560*$K560)</f>
        <v/>
      </c>
      <c r="M560">
        <f>IF($H560="","",MAX(1,MIN(5,ROUNDUP($L560/5,0))))</f>
        <v/>
      </c>
      <c r="N560">
        <f>IF($H560="","",IFERROR(INDEX('_ENGINE_Risk'!$T$41:$Y$920,MATCH($E560,'_ENGINE_Risk'!$A$41:$A$920,0),$H560+1),""))</f>
        <v/>
      </c>
      <c r="O560">
        <f>IF($H560="","",MAX(1,MIN(5,($U560+$V560+$X560)/3)))</f>
        <v/>
      </c>
      <c r="P560">
        <f>IF($H560="","",IF($I560="Critical",5,IF($I560="High",4,IF($I560="Medium",3,IF($I560="Low",2,1)))))</f>
        <v/>
      </c>
      <c r="Q560">
        <f>IF($H560="","",MAX(1,MIN(5,((5-$H560)*0.65)+($W560*0.35))))</f>
        <v/>
      </c>
      <c r="R560">
        <f>IF($H560="","",MAX(1,MIN(5,($V560+$X560)/2)))</f>
        <v/>
      </c>
      <c r="S560">
        <f>IF(OR($H560="",$N560=""),"",ROUND(($O560+$P560+$Q560+$R560)/$N560,2))</f>
        <v/>
      </c>
      <c r="T560">
        <f>IF($H560="","",IFERROR(INDEX('_ENGINE_Risk'!$N$41:$S$920,MATCH($E560,'_ENGINE_Risk'!$A$41:$A$920,0),$H560+1),""))</f>
        <v/>
      </c>
      <c r="U560">
        <f>IFERROR(INDEX(_DATA_Assessment_Model!$G$5:$G$884,MATCH($E560,_DATA_Assessment_Model!$A$5:$A$884,0)),"")</f>
        <v/>
      </c>
      <c r="V560">
        <f>IFERROR(INDEX(_DATA_Assessment_Model!$W$5:$W$884,MATCH($E560,_DATA_Assessment_Model!$A$5:$A$884,0)),"")</f>
        <v/>
      </c>
      <c r="W560">
        <f>IFERROR(INDEX(_DATA_Assessment_Model!$X$5:$X$884,MATCH($E560,_DATA_Assessment_Model!$A$5:$A$884,0)),"")</f>
        <v/>
      </c>
      <c r="X560">
        <f>IFERROR(INDEX(_DATA_Assessment_Model!$Y$5:$Y$884,MATCH($E560,_DATA_Assessment_Model!$A$5:$A$884,0)),"")</f>
        <v/>
      </c>
      <c r="Y560" t="inlineStr">
        <is>
          <t>All crisis types</t>
        </is>
      </c>
      <c r="Z560" t="inlineStr">
        <is>
          <t>CEO / COO / Risk</t>
        </is>
      </c>
      <c r="AA560" t="inlineStr">
        <is>
          <t>Policy/SOP; owner/RACI; system report; dashboard; contracts; test records; incident history; interview evidence related to interdependency map linking functions, sites, systems, people, suppliers and customers.</t>
        </is>
      </c>
      <c r="AB560">
        <f>IFERROR(INDEX(_DATA_Assessment_Model!$U$5:$U$884,MATCH($E560,_DATA_Assessment_Model!$A$5:$A$884,0)),"")</f>
        <v/>
      </c>
      <c r="AF560" t="inlineStr">
        <is>
          <t>How mature is the organization in managing interdependency map linking functions, sites, systems, people, suppliers and customers, including ownership, evidence, metrics, fallback procedures and crisis stress testing?</t>
        </is>
      </c>
      <c r="AO560">
        <f>IF($B560="Yes",IFERROR(INDEX(_ENGINE_Crisis!$F$501:$F$517,MATCH($C560,_ENGINE_Crisis!$A$501:$A$517,0)),1),"")</f>
        <v/>
      </c>
      <c r="AP560">
        <f>IF(AO560="","",ROUND($L560*AO560,1))</f>
        <v/>
      </c>
      <c r="AQ560">
        <f>IF(OR(AO560="",$S560=""),"",ROUND($S560*(0.7+0.3*AO560),2))</f>
        <v/>
      </c>
      <c r="AR560">
        <f>IFERROR(INDEX(_ENGINE_Crisis!$E$41:$E$700,MATCH('Resilience &amp; Risk Scenario'!$B$60&amp;"|"&amp;$C560,_ENGINE_Crisis!$I$41:$I$700,0)),"")</f>
        <v/>
      </c>
      <c r="AS560">
        <f>IFERROR(INDEX(_ENGINE_Crisis!$G$41:$G$700,MATCH('Resilience &amp; Risk Scenario'!$B$60&amp;"|"&amp;$C560,_ENGINE_Crisis!$I$41:$I$700,0)),"")</f>
        <v/>
      </c>
      <c r="AT560">
        <f>IFERROR(INDEX(_ENGINE_Initiatives!$A$5:$A$532,MATCH(1,INDEX((_ENGINE_Initiatives!$B$5:$B$532=$C560)*(_ENGINE_Initiatives!$C$5:$C$532=$D560),0),0)),"")</f>
        <v/>
      </c>
      <c r="AU560">
        <f>IFERROR(INDEX(_ENGINE_Initiatives!$F$5:$F$532,MATCH(1,INDEX((_ENGINE_Initiatives!$B$5:$B$532=$C560)*(_ENGINE_Initiatives!$C$5:$C$532=$D560),0),0)),"")</f>
        <v/>
      </c>
      <c r="AV560">
        <f>IFERROR(INDEX(_ENGINE_Initiatives!$AC$5:$AC$532,MATCH(1,INDEX((_ENGINE_Initiatives!$B$5:$B$532=$C560)*(_ENGINE_Initiatives!$C$5:$C$532=$D560),0),0)),"")</f>
        <v/>
      </c>
      <c r="AW560">
        <f>IFERROR(INDEX(_ENGINE_Initiatives!$AE$5:$AE$532,MATCH(1,INDEX((_ENGINE_Initiatives!$B$5:$B$532=$C560)*(_ENGINE_Initiatives!$C$5:$C$532=$D560),0),0)),"")</f>
        <v/>
      </c>
      <c r="AX560">
        <f>IF($B560="Yes",IFERROR(IF(SUMIFS(_REF_Model_Content!$E$1:$E$613,_REF_Model_Content!$A$1:$A$613,'Company Profile'!$B$9,_REF_Model_Content!$B$1:$B$613,$C560)=0,1,SUMIFS(_REF_Model_Content!$E$1:$E$613,_REF_Model_Content!$A$1:$A$613,'Company Profile'!$B$9,_REF_Model_Content!$B$1:$B$613,$C560)),1),"")</f>
        <v/>
      </c>
      <c r="AY560">
        <f>IF($L560="","",ROUND(IF($AP560="",$L560,$AP560)*IF($AX560="",1,$AX560),2))</f>
        <v/>
      </c>
      <c r="AZ560">
        <f>IF($S560="","",ROUND(IF($AQ560="",$S560,$AQ560)*IF($AX560="",1,$AX560),2))</f>
        <v/>
      </c>
      <c r="BB560">
        <f>IF($H560="","",IFERROR(INDEX('_ENGINE_Risk'!$AE$41:$AE$920,MATCH($E560,'_ENGINE_Risk'!$A$41:$A$920,0)),"Medium"))</f>
        <v/>
      </c>
      <c r="BC560">
        <f>IF($BB560="","",IF($BB560="Fast",1.25,IF($BB560="Slow",0.85,1)))</f>
        <v/>
      </c>
      <c r="BD560">
        <f>IF(OR($AZ560="",$BC560=""),"",ROUND($AZ560*$BC560,2))</f>
        <v/>
      </c>
      <c r="BF560">
        <f>IF(OR($H560="",$J560=""),"",_xlfn.IFNA(VLOOKUP($J560,_CONFIG_Model_Settings!$D$610:$E$614,2,0),""))</f>
        <v/>
      </c>
      <c r="BG560">
        <f>IF(OR($H560="",$K560=""),"",ROUND('Company Profile'!$B$569*INDEX(_CONFIG_Model_Settings!$H$610:$H$614,MATCH($K560,_CONFIG_Model_Settings!$G$610:$G$614,0)),0))</f>
        <v/>
      </c>
      <c r="BH560">
        <f>IF(OR($BF560="",$BG560=""),"",ROUND($BF560*$BG560,1))</f>
        <v/>
      </c>
      <c r="BI560">
        <f>IF($BH560="","",IF($AO560="",$BH560,ROUND($BH560*$AO560,1)))</f>
        <v/>
      </c>
      <c r="BJ560">
        <f>IF($E560="","",IFERROR(VLOOKUP($C560,'_CONFIG_Risk_Calibration'!$A$5:$H$21,2,FALSE),3))</f>
        <v/>
      </c>
      <c r="BK560">
        <f>IF($E560="","",IFERROR(VLOOKUP($C560,'_CONFIG_Risk_Calibration'!$A$5:$H$21,3,FALSE),0))</f>
        <v/>
      </c>
      <c r="BL560">
        <f>IF($E560="","",IFERROR(VLOOKUP($C560,'_CONFIG_Risk_Calibration'!$A$5:$H$21,4,FALSE),3))</f>
        <v/>
      </c>
      <c r="BM560">
        <f>IF($E560="","",IFERROR(VLOOKUP($C560,'_CONFIG_Risk_Calibration'!$A$5:$H$21,5,FALSE),3))</f>
        <v/>
      </c>
      <c r="BN560">
        <f>IF($E560="","",IFERROR(VLOOKUP($C560,'_CONFIG_Risk_Calibration'!$A$5:$H$21,6,FALSE),"No"))</f>
        <v/>
      </c>
      <c r="BO560">
        <f>IF($E560="","",IFERROR(VLOOKUP($C560,'_CONFIG_Risk_Calibration'!$A$5:$H$21,7,FALSE),1))</f>
        <v/>
      </c>
      <c r="BP560">
        <f>IF($H560="","",MAX(1,MIN(5,((6-$H560)*0.45)+($BJ560*0.20)+('Resilience &amp; Risk Scenario'!$B$7*0.15)+($BK560*0.10)+($BL560*0.05)+(IF($BB560="Fast",5,IF($BB560="Slow",1,3))*0.05))))</f>
        <v/>
      </c>
      <c r="BQ560">
        <f>IF($H560="","",MAX(IF($BN560="Yes",$BO560,1),MIN(5,($U560*0.20)+($V560*0.15)+($W560*0.25)+($X560*0.15)+($BJ560*0.10)+($BM560*0.15))))</f>
        <v/>
      </c>
      <c r="BR560">
        <f>IF(OR($BP560="",$BQ560=""),"",ROUND($BP560*$BQ560,2))</f>
        <v/>
      </c>
      <c r="BS560">
        <f>IF($BR560="","",ROUND($BR560*IF($AO560="",1,$AO560)*IF($AX560="",1,$AX560)*(1+(($BM560-3)*0.10))*IF($BC560="",1,$BC560),2))</f>
        <v/>
      </c>
    </row>
    <row r="561" ht="69.90000000000001" customHeight="1" s="209">
      <c r="A561">
        <f>IF($BD561="","",SUMPRODUCT(ISNUMBER($BD$500:$BD$923)*($BD$500:$BD$923&gt;$BD561))+COUNTIF($BD$500:$BD561,$BD561))</f>
        <v/>
      </c>
      <c r="B561">
        <f>IF($H561="","",IF($H561&lt;5,"Yes","Maintain"))</f>
        <v/>
      </c>
      <c r="C561" t="inlineStr">
        <is>
          <t>Governance Crisis</t>
        </is>
      </c>
      <c r="D561" t="inlineStr">
        <is>
          <t>Incident management</t>
        </is>
      </c>
      <c r="E561" t="inlineStr">
        <is>
          <t>GOVE-017</t>
        </is>
      </c>
      <c r="F561" t="inlineStr">
        <is>
          <t>Crisis governance and decision-making</t>
        </is>
      </c>
      <c r="G561">
        <f>IF($H561="","",IFERROR(INDEX('_ENGINE_Risk'!$H$41:$M$920,MATCH($E561,'_ENGINE_Risk'!$A$41:$A$920,0),$H561+1),""))</f>
        <v/>
      </c>
      <c r="H561">
        <f>IFERROR(VALUE(INDEX(_DATA_Assessment_Model!$H$5:$H$884,MATCH($E561,_DATA_Assessment_Model!$A$5:$A$884,0))),"")</f>
        <v/>
      </c>
      <c r="I561">
        <f>IF($H561="","",IFERROR(INDEX(_DATA_Assessment_Model!$L$5:$L$884,MATCH($E561,_DATA_Assessment_Model!$A$5:$A$884,0)),IF($H561&lt;=1,"Critical",IF($H561=2,"High",IF($H561=3,"Medium",IF($H561=4,"Low","Resilient"))))))</f>
        <v/>
      </c>
      <c r="J561">
        <f>IF($H561="","",MIN(5,MAX(1,6-$H561)))</f>
        <v/>
      </c>
      <c r="K561">
        <f>IF($H561="","",MAX(1,MIN(5,ROUNDUP(($U561*0.45)+($W561*0.35)+($X561*0.2),0))))</f>
        <v/>
      </c>
      <c r="L561">
        <f>IF($H561="","",$J561*$K561)</f>
        <v/>
      </c>
      <c r="M561">
        <f>IF($H561="","",MAX(1,MIN(5,ROUNDUP($L561/5,0))))</f>
        <v/>
      </c>
      <c r="N561">
        <f>IF($H561="","",IFERROR(INDEX('_ENGINE_Risk'!$T$41:$Y$920,MATCH($E561,'_ENGINE_Risk'!$A$41:$A$920,0),$H561+1),""))</f>
        <v/>
      </c>
      <c r="O561">
        <f>IF($H561="","",MAX(1,MIN(5,($U561+$V561+$X561)/3)))</f>
        <v/>
      </c>
      <c r="P561">
        <f>IF($H561="","",IF($I561="Critical",5,IF($I561="High",4,IF($I561="Medium",3,IF($I561="Low",2,1)))))</f>
        <v/>
      </c>
      <c r="Q561">
        <f>IF($H561="","",MAX(1,MIN(5,((5-$H561)*0.65)+($W561*0.35))))</f>
        <v/>
      </c>
      <c r="R561">
        <f>IF($H561="","",MAX(1,MIN(5,($V561+$X561)/2)))</f>
        <v/>
      </c>
      <c r="S561">
        <f>IF(OR($H561="",$N561=""),"",ROUND(($O561+$P561+$Q561+$R561)/$N561,2))</f>
        <v/>
      </c>
      <c r="T561">
        <f>IF($H561="","",IFERROR(INDEX('_ENGINE_Risk'!$N$41:$S$920,MATCH($E561,'_ENGINE_Risk'!$A$41:$A$920,0),$H561+1),""))</f>
        <v/>
      </c>
      <c r="U561">
        <f>IFERROR(INDEX(_DATA_Assessment_Model!$G$5:$G$884,MATCH($E561,_DATA_Assessment_Model!$A$5:$A$884,0)),"")</f>
        <v/>
      </c>
      <c r="V561">
        <f>IFERROR(INDEX(_DATA_Assessment_Model!$W$5:$W$884,MATCH($E561,_DATA_Assessment_Model!$A$5:$A$884,0)),"")</f>
        <v/>
      </c>
      <c r="W561">
        <f>IFERROR(INDEX(_DATA_Assessment_Model!$X$5:$X$884,MATCH($E561,_DATA_Assessment_Model!$A$5:$A$884,0)),"")</f>
        <v/>
      </c>
      <c r="X561">
        <f>IFERROR(INDEX(_DATA_Assessment_Model!$Y$5:$Y$884,MATCH($E561,_DATA_Assessment_Model!$A$5:$A$884,0)),"")</f>
        <v/>
      </c>
      <c r="Y561" t="inlineStr">
        <is>
          <t>All crisis types</t>
        </is>
      </c>
      <c r="Z561" t="inlineStr">
        <is>
          <t>CEO / COO / Risk</t>
        </is>
      </c>
      <c r="AA561" t="inlineStr">
        <is>
          <t>Policy/SOP; owner/RACI; system report; dashboard; contracts; test records; incident history; interview evidence related to crisis communication protocol for employees, customers, suppliers, regulators, insurers and media.</t>
        </is>
      </c>
      <c r="AB561">
        <f>IFERROR(INDEX(_DATA_Assessment_Model!$U$5:$U$884,MATCH($E561,_DATA_Assessment_Model!$A$5:$A$884,0)),"")</f>
        <v/>
      </c>
      <c r="AF561" t="inlineStr">
        <is>
          <t>How mature is the organization in managing crisis communication protocol for employees, customers, suppliers, regulators, insurers and media, including ownership, evidence, metrics, fallback procedures and crisis stress testing?</t>
        </is>
      </c>
      <c r="AO561">
        <f>IF($B561="Yes",IFERROR(INDEX(_ENGINE_Crisis!$F$501:$F$517,MATCH($C561,_ENGINE_Crisis!$A$501:$A$517,0)),1),"")</f>
        <v/>
      </c>
      <c r="AP561">
        <f>IF(AO561="","",ROUND($L561*AO561,1))</f>
        <v/>
      </c>
      <c r="AQ561">
        <f>IF(OR(AO561="",$S561=""),"",ROUND($S561*(0.7+0.3*AO561),2))</f>
        <v/>
      </c>
      <c r="AR561">
        <f>IFERROR(INDEX(_ENGINE_Crisis!$E$41:$E$700,MATCH('Resilience &amp; Risk Scenario'!$B$60&amp;"|"&amp;$C561,_ENGINE_Crisis!$I$41:$I$700,0)),"")</f>
        <v/>
      </c>
      <c r="AS561">
        <f>IFERROR(INDEX(_ENGINE_Crisis!$G$41:$G$700,MATCH('Resilience &amp; Risk Scenario'!$B$60&amp;"|"&amp;$C561,_ENGINE_Crisis!$I$41:$I$700,0)),"")</f>
        <v/>
      </c>
      <c r="AT561">
        <f>IFERROR(INDEX(_ENGINE_Initiatives!$A$5:$A$532,MATCH(1,INDEX((_ENGINE_Initiatives!$B$5:$B$532=$C561)*(_ENGINE_Initiatives!$C$5:$C$532=$D561),0),0)),"")</f>
        <v/>
      </c>
      <c r="AU561">
        <f>IFERROR(INDEX(_ENGINE_Initiatives!$F$5:$F$532,MATCH(1,INDEX((_ENGINE_Initiatives!$B$5:$B$532=$C561)*(_ENGINE_Initiatives!$C$5:$C$532=$D561),0),0)),"")</f>
        <v/>
      </c>
      <c r="AV561">
        <f>IFERROR(INDEX(_ENGINE_Initiatives!$AC$5:$AC$532,MATCH(1,INDEX((_ENGINE_Initiatives!$B$5:$B$532=$C561)*(_ENGINE_Initiatives!$C$5:$C$532=$D561),0),0)),"")</f>
        <v/>
      </c>
      <c r="AW561">
        <f>IFERROR(INDEX(_ENGINE_Initiatives!$AE$5:$AE$532,MATCH(1,INDEX((_ENGINE_Initiatives!$B$5:$B$532=$C561)*(_ENGINE_Initiatives!$C$5:$C$532=$D561),0),0)),"")</f>
        <v/>
      </c>
      <c r="AX561">
        <f>IF($B561="Yes",IFERROR(IF(SUMIFS(_REF_Model_Content!$E$1:$E$613,_REF_Model_Content!$A$1:$A$613,'Company Profile'!$B$9,_REF_Model_Content!$B$1:$B$613,$C561)=0,1,SUMIFS(_REF_Model_Content!$E$1:$E$613,_REF_Model_Content!$A$1:$A$613,'Company Profile'!$B$9,_REF_Model_Content!$B$1:$B$613,$C561)),1),"")</f>
        <v/>
      </c>
      <c r="AY561">
        <f>IF($L561="","",ROUND(IF($AP561="",$L561,$AP561)*IF($AX561="",1,$AX561),2))</f>
        <v/>
      </c>
      <c r="AZ561">
        <f>IF($S561="","",ROUND(IF($AQ561="",$S561,$AQ561)*IF($AX561="",1,$AX561),2))</f>
        <v/>
      </c>
      <c r="BB561">
        <f>IF($H561="","",IFERROR(INDEX('_ENGINE_Risk'!$AE$41:$AE$920,MATCH($E561,'_ENGINE_Risk'!$A$41:$A$920,0)),"Medium"))</f>
        <v/>
      </c>
      <c r="BC561">
        <f>IF($BB561="","",IF($BB561="Fast",1.25,IF($BB561="Slow",0.85,1)))</f>
        <v/>
      </c>
      <c r="BD561">
        <f>IF(OR($AZ561="",$BC561=""),"",ROUND($AZ561*$BC561,2))</f>
        <v/>
      </c>
      <c r="BF561">
        <f>IF(OR($H561="",$J561=""),"",_xlfn.IFNA(VLOOKUP($J561,_CONFIG_Model_Settings!$D$610:$E$614,2,0),""))</f>
        <v/>
      </c>
      <c r="BG561">
        <f>IF(OR($H561="",$K561=""),"",ROUND('Company Profile'!$B$569*INDEX(_CONFIG_Model_Settings!$H$610:$H$614,MATCH($K561,_CONFIG_Model_Settings!$G$610:$G$614,0)),0))</f>
        <v/>
      </c>
      <c r="BH561">
        <f>IF(OR($BF561="",$BG561=""),"",ROUND($BF561*$BG561,1))</f>
        <v/>
      </c>
      <c r="BI561">
        <f>IF($BH561="","",IF($AO561="",$BH561,ROUND($BH561*$AO561,1)))</f>
        <v/>
      </c>
      <c r="BJ561">
        <f>IF($E561="","",IFERROR(VLOOKUP($C561,'_CONFIG_Risk_Calibration'!$A$5:$H$21,2,FALSE),3))</f>
        <v/>
      </c>
      <c r="BK561">
        <f>IF($E561="","",IFERROR(VLOOKUP($C561,'_CONFIG_Risk_Calibration'!$A$5:$H$21,3,FALSE),0))</f>
        <v/>
      </c>
      <c r="BL561">
        <f>IF($E561="","",IFERROR(VLOOKUP($C561,'_CONFIG_Risk_Calibration'!$A$5:$H$21,4,FALSE),3))</f>
        <v/>
      </c>
      <c r="BM561">
        <f>IF($E561="","",IFERROR(VLOOKUP($C561,'_CONFIG_Risk_Calibration'!$A$5:$H$21,5,FALSE),3))</f>
        <v/>
      </c>
      <c r="BN561">
        <f>IF($E561="","",IFERROR(VLOOKUP($C561,'_CONFIG_Risk_Calibration'!$A$5:$H$21,6,FALSE),"No"))</f>
        <v/>
      </c>
      <c r="BO561">
        <f>IF($E561="","",IFERROR(VLOOKUP($C561,'_CONFIG_Risk_Calibration'!$A$5:$H$21,7,FALSE),1))</f>
        <v/>
      </c>
      <c r="BP561">
        <f>IF($H561="","",MAX(1,MIN(5,((6-$H561)*0.45)+($BJ561*0.20)+('Resilience &amp; Risk Scenario'!$B$7*0.15)+($BK561*0.10)+($BL561*0.05)+(IF($BB561="Fast",5,IF($BB561="Slow",1,3))*0.05))))</f>
        <v/>
      </c>
      <c r="BQ561">
        <f>IF($H561="","",MAX(IF($BN561="Yes",$BO561,1),MIN(5,($U561*0.20)+($V561*0.15)+($W561*0.25)+($X561*0.15)+($BJ561*0.10)+($BM561*0.15))))</f>
        <v/>
      </c>
      <c r="BR561">
        <f>IF(OR($BP561="",$BQ561=""),"",ROUND($BP561*$BQ561,2))</f>
        <v/>
      </c>
      <c r="BS561">
        <f>IF($BR561="","",ROUND($BR561*IF($AO561="",1,$AO561)*IF($AX561="",1,$AX561)*(1+(($BM561-3)*0.10))*IF($BC561="",1,$BC561),2))</f>
        <v/>
      </c>
    </row>
    <row r="562" ht="69.90000000000001" customHeight="1" s="209">
      <c r="A562">
        <f>IF($BD562="","",SUMPRODUCT(ISNUMBER($BD$500:$BD$923)*($BD$500:$BD$923&gt;$BD562))+COUNTIF($BD$500:$BD562,$BD562))</f>
        <v/>
      </c>
      <c r="B562">
        <f>IF($H562="","",IF($H562&lt;5,"Yes","Maintain"))</f>
        <v/>
      </c>
      <c r="C562" t="inlineStr">
        <is>
          <t>Governance Crisis</t>
        </is>
      </c>
      <c r="D562" t="inlineStr">
        <is>
          <t>Incident management</t>
        </is>
      </c>
      <c r="E562" t="inlineStr">
        <is>
          <t>GOVE-018</t>
        </is>
      </c>
      <c r="F562" t="inlineStr">
        <is>
          <t>Crisis governance and decision-making</t>
        </is>
      </c>
      <c r="G562">
        <f>IF($H562="","",IFERROR(INDEX('_ENGINE_Risk'!$H$41:$M$920,MATCH($E562,'_ENGINE_Risk'!$A$41:$A$920,0),$H562+1),""))</f>
        <v/>
      </c>
      <c r="H562">
        <f>IFERROR(VALUE(INDEX(_DATA_Assessment_Model!$H$5:$H$884,MATCH($E562,_DATA_Assessment_Model!$A$5:$A$884,0))),"")</f>
        <v/>
      </c>
      <c r="I562">
        <f>IF($H562="","",IFERROR(INDEX(_DATA_Assessment_Model!$L$5:$L$884,MATCH($E562,_DATA_Assessment_Model!$A$5:$A$884,0)),IF($H562&lt;=1,"Critical",IF($H562=2,"High",IF($H562=3,"Medium",IF($H562=4,"Low","Resilient"))))))</f>
        <v/>
      </c>
      <c r="J562">
        <f>IF($H562="","",MIN(5,MAX(1,6-$H562)))</f>
        <v/>
      </c>
      <c r="K562">
        <f>IF($H562="","",MAX(1,MIN(5,ROUNDUP(($U562*0.45)+($W562*0.35)+($X562*0.2),0))))</f>
        <v/>
      </c>
      <c r="L562">
        <f>IF($H562="","",$J562*$K562)</f>
        <v/>
      </c>
      <c r="M562">
        <f>IF($H562="","",MAX(1,MIN(5,ROUNDUP($L562/5,0))))</f>
        <v/>
      </c>
      <c r="N562">
        <f>IF($H562="","",IFERROR(INDEX('_ENGINE_Risk'!$T$41:$Y$920,MATCH($E562,'_ENGINE_Risk'!$A$41:$A$920,0),$H562+1),""))</f>
        <v/>
      </c>
      <c r="O562">
        <f>IF($H562="","",MAX(1,MIN(5,($U562+$V562+$X562)/3)))</f>
        <v/>
      </c>
      <c r="P562">
        <f>IF($H562="","",IF($I562="Critical",5,IF($I562="High",4,IF($I562="Medium",3,IF($I562="Low",2,1)))))</f>
        <v/>
      </c>
      <c r="Q562">
        <f>IF($H562="","",MAX(1,MIN(5,((5-$H562)*0.65)+($W562*0.35))))</f>
        <v/>
      </c>
      <c r="R562">
        <f>IF($H562="","",MAX(1,MIN(5,($V562+$X562)/2)))</f>
        <v/>
      </c>
      <c r="S562">
        <f>IF(OR($H562="",$N562=""),"",ROUND(($O562+$P562+$Q562+$R562)/$N562,2))</f>
        <v/>
      </c>
      <c r="T562">
        <f>IF($H562="","",IFERROR(INDEX('_ENGINE_Risk'!$N$41:$S$920,MATCH($E562,'_ENGINE_Risk'!$A$41:$A$920,0),$H562+1),""))</f>
        <v/>
      </c>
      <c r="U562">
        <f>IFERROR(INDEX(_DATA_Assessment_Model!$G$5:$G$884,MATCH($E562,_DATA_Assessment_Model!$A$5:$A$884,0)),"")</f>
        <v/>
      </c>
      <c r="V562">
        <f>IFERROR(INDEX(_DATA_Assessment_Model!$W$5:$W$884,MATCH($E562,_DATA_Assessment_Model!$A$5:$A$884,0)),"")</f>
        <v/>
      </c>
      <c r="W562">
        <f>IFERROR(INDEX(_DATA_Assessment_Model!$X$5:$X$884,MATCH($E562,_DATA_Assessment_Model!$A$5:$A$884,0)),"")</f>
        <v/>
      </c>
      <c r="X562">
        <f>IFERROR(INDEX(_DATA_Assessment_Model!$Y$5:$Y$884,MATCH($E562,_DATA_Assessment_Model!$A$5:$A$884,0)),"")</f>
        <v/>
      </c>
      <c r="Y562" t="inlineStr">
        <is>
          <t>All crisis types</t>
        </is>
      </c>
      <c r="Z562" t="inlineStr">
        <is>
          <t>CEO / COO / Risk</t>
        </is>
      </c>
      <c r="AA562" t="inlineStr">
        <is>
          <t>Policy/SOP; owner/RACI; system report; dashboard; contracts; test records; incident history; interview evidence related to mass notification and emergency coordination tools.</t>
        </is>
      </c>
      <c r="AB562">
        <f>IFERROR(INDEX(_DATA_Assessment_Model!$U$5:$U$884,MATCH($E562,_DATA_Assessment_Model!$A$5:$A$884,0)),"")</f>
        <v/>
      </c>
      <c r="AF562" t="inlineStr">
        <is>
          <t>How mature is the organization in managing mass notification and emergency coordination tools, including ownership, evidence, metrics, fallback procedures and crisis stress testing?</t>
        </is>
      </c>
      <c r="AO562">
        <f>IF($B562="Yes",IFERROR(INDEX(_ENGINE_Crisis!$F$501:$F$517,MATCH($C562,_ENGINE_Crisis!$A$501:$A$517,0)),1),"")</f>
        <v/>
      </c>
      <c r="AP562">
        <f>IF(AO562="","",ROUND($L562*AO562,1))</f>
        <v/>
      </c>
      <c r="AQ562">
        <f>IF(OR(AO562="",$S562=""),"",ROUND($S562*(0.7+0.3*AO562),2))</f>
        <v/>
      </c>
      <c r="AR562">
        <f>IFERROR(INDEX(_ENGINE_Crisis!$E$41:$E$700,MATCH('Resilience &amp; Risk Scenario'!$B$60&amp;"|"&amp;$C562,_ENGINE_Crisis!$I$41:$I$700,0)),"")</f>
        <v/>
      </c>
      <c r="AS562">
        <f>IFERROR(INDEX(_ENGINE_Crisis!$G$41:$G$700,MATCH('Resilience &amp; Risk Scenario'!$B$60&amp;"|"&amp;$C562,_ENGINE_Crisis!$I$41:$I$700,0)),"")</f>
        <v/>
      </c>
      <c r="AT562">
        <f>IFERROR(INDEX(_ENGINE_Initiatives!$A$5:$A$532,MATCH(1,INDEX((_ENGINE_Initiatives!$B$5:$B$532=$C562)*(_ENGINE_Initiatives!$C$5:$C$532=$D562),0),0)),"")</f>
        <v/>
      </c>
      <c r="AU562">
        <f>IFERROR(INDEX(_ENGINE_Initiatives!$F$5:$F$532,MATCH(1,INDEX((_ENGINE_Initiatives!$B$5:$B$532=$C562)*(_ENGINE_Initiatives!$C$5:$C$532=$D562),0),0)),"")</f>
        <v/>
      </c>
      <c r="AV562">
        <f>IFERROR(INDEX(_ENGINE_Initiatives!$AC$5:$AC$532,MATCH(1,INDEX((_ENGINE_Initiatives!$B$5:$B$532=$C562)*(_ENGINE_Initiatives!$C$5:$C$532=$D562),0),0)),"")</f>
        <v/>
      </c>
      <c r="AW562">
        <f>IFERROR(INDEX(_ENGINE_Initiatives!$AE$5:$AE$532,MATCH(1,INDEX((_ENGINE_Initiatives!$B$5:$B$532=$C562)*(_ENGINE_Initiatives!$C$5:$C$532=$D562),0),0)),"")</f>
        <v/>
      </c>
      <c r="AX562">
        <f>IF($B562="Yes",IFERROR(IF(SUMIFS(_REF_Model_Content!$E$1:$E$613,_REF_Model_Content!$A$1:$A$613,'Company Profile'!$B$9,_REF_Model_Content!$B$1:$B$613,$C562)=0,1,SUMIFS(_REF_Model_Content!$E$1:$E$613,_REF_Model_Content!$A$1:$A$613,'Company Profile'!$B$9,_REF_Model_Content!$B$1:$B$613,$C562)),1),"")</f>
        <v/>
      </c>
      <c r="AY562">
        <f>IF($L562="","",ROUND(IF($AP562="",$L562,$AP562)*IF($AX562="",1,$AX562),2))</f>
        <v/>
      </c>
      <c r="AZ562">
        <f>IF($S562="","",ROUND(IF($AQ562="",$S562,$AQ562)*IF($AX562="",1,$AX562),2))</f>
        <v/>
      </c>
      <c r="BB562">
        <f>IF($H562="","",IFERROR(INDEX('_ENGINE_Risk'!$AE$41:$AE$920,MATCH($E562,'_ENGINE_Risk'!$A$41:$A$920,0)),"Medium"))</f>
        <v/>
      </c>
      <c r="BC562">
        <f>IF($BB562="","",IF($BB562="Fast",1.25,IF($BB562="Slow",0.85,1)))</f>
        <v/>
      </c>
      <c r="BD562">
        <f>IF(OR($AZ562="",$BC562=""),"",ROUND($AZ562*$BC562,2))</f>
        <v/>
      </c>
      <c r="BF562">
        <f>IF(OR($H562="",$J562=""),"",_xlfn.IFNA(VLOOKUP($J562,_CONFIG_Model_Settings!$D$610:$E$614,2,0),""))</f>
        <v/>
      </c>
      <c r="BG562">
        <f>IF(OR($H562="",$K562=""),"",ROUND('Company Profile'!$B$569*INDEX(_CONFIG_Model_Settings!$H$610:$H$614,MATCH($K562,_CONFIG_Model_Settings!$G$610:$G$614,0)),0))</f>
        <v/>
      </c>
      <c r="BH562">
        <f>IF(OR($BF562="",$BG562=""),"",ROUND($BF562*$BG562,1))</f>
        <v/>
      </c>
      <c r="BI562">
        <f>IF($BH562="","",IF($AO562="",$BH562,ROUND($BH562*$AO562,1)))</f>
        <v/>
      </c>
      <c r="BJ562">
        <f>IF($E562="","",IFERROR(VLOOKUP($C562,'_CONFIG_Risk_Calibration'!$A$5:$H$21,2,FALSE),3))</f>
        <v/>
      </c>
      <c r="BK562">
        <f>IF($E562="","",IFERROR(VLOOKUP($C562,'_CONFIG_Risk_Calibration'!$A$5:$H$21,3,FALSE),0))</f>
        <v/>
      </c>
      <c r="BL562">
        <f>IF($E562="","",IFERROR(VLOOKUP($C562,'_CONFIG_Risk_Calibration'!$A$5:$H$21,4,FALSE),3))</f>
        <v/>
      </c>
      <c r="BM562">
        <f>IF($E562="","",IFERROR(VLOOKUP($C562,'_CONFIG_Risk_Calibration'!$A$5:$H$21,5,FALSE),3))</f>
        <v/>
      </c>
      <c r="BN562">
        <f>IF($E562="","",IFERROR(VLOOKUP($C562,'_CONFIG_Risk_Calibration'!$A$5:$H$21,6,FALSE),"No"))</f>
        <v/>
      </c>
      <c r="BO562">
        <f>IF($E562="","",IFERROR(VLOOKUP($C562,'_CONFIG_Risk_Calibration'!$A$5:$H$21,7,FALSE),1))</f>
        <v/>
      </c>
      <c r="BP562">
        <f>IF($H562="","",MAX(1,MIN(5,((6-$H562)*0.45)+($BJ562*0.20)+('Resilience &amp; Risk Scenario'!$B$7*0.15)+($BK562*0.10)+($BL562*0.05)+(IF($BB562="Fast",5,IF($BB562="Slow",1,3))*0.05))))</f>
        <v/>
      </c>
      <c r="BQ562">
        <f>IF($H562="","",MAX(IF($BN562="Yes",$BO562,1),MIN(5,($U562*0.20)+($V562*0.15)+($W562*0.25)+($X562*0.15)+($BJ562*0.10)+($BM562*0.15))))</f>
        <v/>
      </c>
      <c r="BR562">
        <f>IF(OR($BP562="",$BQ562=""),"",ROUND($BP562*$BQ562,2))</f>
        <v/>
      </c>
      <c r="BS562">
        <f>IF($BR562="","",ROUND($BR562*IF($AO562="",1,$AO562)*IF($AX562="",1,$AX562)*(1+(($BM562-3)*0.10))*IF($BC562="",1,$BC562),2))</f>
        <v/>
      </c>
    </row>
    <row r="563" ht="69.90000000000001" customHeight="1" s="209">
      <c r="A563">
        <f>IF($BD563="","",SUMPRODUCT(ISNUMBER($BD$500:$BD$923)*($BD$500:$BD$923&gt;$BD563))+COUNTIF($BD$500:$BD563,$BD563))</f>
        <v/>
      </c>
      <c r="B563">
        <f>IF($H563="","",IF($H563&lt;5,"Yes","Maintain"))</f>
        <v/>
      </c>
      <c r="C563" t="inlineStr">
        <is>
          <t>Governance Crisis</t>
        </is>
      </c>
      <c r="D563" t="inlineStr">
        <is>
          <t>Incident management</t>
        </is>
      </c>
      <c r="E563" t="inlineStr">
        <is>
          <t>GOVE-019</t>
        </is>
      </c>
      <c r="F563" t="inlineStr">
        <is>
          <t>Crisis governance and decision-making</t>
        </is>
      </c>
      <c r="G563">
        <f>IF($H563="","",IFERROR(INDEX('_ENGINE_Risk'!$H$41:$M$920,MATCH($E563,'_ENGINE_Risk'!$A$41:$A$920,0),$H563+1),""))</f>
        <v/>
      </c>
      <c r="H563">
        <f>IFERROR(VALUE(INDEX(_DATA_Assessment_Model!$H$5:$H$884,MATCH($E563,_DATA_Assessment_Model!$A$5:$A$884,0))),"")</f>
        <v/>
      </c>
      <c r="I563">
        <f>IF($H563="","",IFERROR(INDEX(_DATA_Assessment_Model!$L$5:$L$884,MATCH($E563,_DATA_Assessment_Model!$A$5:$A$884,0)),IF($H563&lt;=1,"Critical",IF($H563=2,"High",IF($H563=3,"Medium",IF($H563=4,"Low","Resilient"))))))</f>
        <v/>
      </c>
      <c r="J563">
        <f>IF($H563="","",MIN(5,MAX(1,6-$H563)))</f>
        <v/>
      </c>
      <c r="K563">
        <f>IF($H563="","",MAX(1,MIN(5,ROUNDUP(($U563*0.45)+($W563*0.35)+($X563*0.2),0))))</f>
        <v/>
      </c>
      <c r="L563">
        <f>IF($H563="","",$J563*$K563)</f>
        <v/>
      </c>
      <c r="M563">
        <f>IF($H563="","",MAX(1,MIN(5,ROUNDUP($L563/5,0))))</f>
        <v/>
      </c>
      <c r="N563">
        <f>IF($H563="","",IFERROR(INDEX('_ENGINE_Risk'!$T$41:$Y$920,MATCH($E563,'_ENGINE_Risk'!$A$41:$A$920,0),$H563+1),""))</f>
        <v/>
      </c>
      <c r="O563">
        <f>IF($H563="","",MAX(1,MIN(5,($U563+$V563+$X563)/3)))</f>
        <v/>
      </c>
      <c r="P563">
        <f>IF($H563="","",IF($I563="Critical",5,IF($I563="High",4,IF($I563="Medium",3,IF($I563="Low",2,1)))))</f>
        <v/>
      </c>
      <c r="Q563">
        <f>IF($H563="","",MAX(1,MIN(5,((5-$H563)*0.65)+($W563*0.35))))</f>
        <v/>
      </c>
      <c r="R563">
        <f>IF($H563="","",MAX(1,MIN(5,($V563+$X563)/2)))</f>
        <v/>
      </c>
      <c r="S563">
        <f>IF(OR($H563="",$N563=""),"",ROUND(($O563+$P563+$Q563+$R563)/$N563,2))</f>
        <v/>
      </c>
      <c r="T563">
        <f>IF($H563="","",IFERROR(INDEX('_ENGINE_Risk'!$N$41:$S$920,MATCH($E563,'_ENGINE_Risk'!$A$41:$A$920,0),$H563+1),""))</f>
        <v/>
      </c>
      <c r="U563">
        <f>IFERROR(INDEX(_DATA_Assessment_Model!$G$5:$G$884,MATCH($E563,_DATA_Assessment_Model!$A$5:$A$884,0)),"")</f>
        <v/>
      </c>
      <c r="V563">
        <f>IFERROR(INDEX(_DATA_Assessment_Model!$W$5:$W$884,MATCH($E563,_DATA_Assessment_Model!$A$5:$A$884,0)),"")</f>
        <v/>
      </c>
      <c r="W563">
        <f>IFERROR(INDEX(_DATA_Assessment_Model!$X$5:$X$884,MATCH($E563,_DATA_Assessment_Model!$A$5:$A$884,0)),"")</f>
        <v/>
      </c>
      <c r="X563">
        <f>IFERROR(INDEX(_DATA_Assessment_Model!$Y$5:$Y$884,MATCH($E563,_DATA_Assessment_Model!$A$5:$A$884,0)),"")</f>
        <v/>
      </c>
      <c r="Y563" t="inlineStr">
        <is>
          <t>All crisis types</t>
        </is>
      </c>
      <c r="Z563" t="inlineStr">
        <is>
          <t>CEO / COO / Risk</t>
        </is>
      </c>
      <c r="AA563" t="inlineStr">
        <is>
          <t>Policy/SOP; owner/RACI; system report; dashboard; contracts; test records; incident history; interview evidence related to crisis lessons-learned process tied to improvement backlog and management review.</t>
        </is>
      </c>
      <c r="AB563">
        <f>IFERROR(INDEX(_DATA_Assessment_Model!$U$5:$U$884,MATCH($E563,_DATA_Assessment_Model!$A$5:$A$884,0)),"")</f>
        <v/>
      </c>
      <c r="AF563" t="inlineStr">
        <is>
          <t>How mature is the organization in managing crisis lessons-learned process tied to improvement backlog and management review, including ownership, evidence, metrics, fallback procedures and crisis stress testing?</t>
        </is>
      </c>
      <c r="AO563">
        <f>IF($B563="Yes",IFERROR(INDEX(_ENGINE_Crisis!$F$501:$F$517,MATCH($C563,_ENGINE_Crisis!$A$501:$A$517,0)),1),"")</f>
        <v/>
      </c>
      <c r="AP563">
        <f>IF(AO563="","",ROUND($L563*AO563,1))</f>
        <v/>
      </c>
      <c r="AQ563">
        <f>IF(OR(AO563="",$S563=""),"",ROUND($S563*(0.7+0.3*AO563),2))</f>
        <v/>
      </c>
      <c r="AR563">
        <f>IFERROR(INDEX(_ENGINE_Crisis!$E$41:$E$700,MATCH('Resilience &amp; Risk Scenario'!$B$60&amp;"|"&amp;$C563,_ENGINE_Crisis!$I$41:$I$700,0)),"")</f>
        <v/>
      </c>
      <c r="AS563">
        <f>IFERROR(INDEX(_ENGINE_Crisis!$G$41:$G$700,MATCH('Resilience &amp; Risk Scenario'!$B$60&amp;"|"&amp;$C563,_ENGINE_Crisis!$I$41:$I$700,0)),"")</f>
        <v/>
      </c>
      <c r="AT563">
        <f>IFERROR(INDEX(_ENGINE_Initiatives!$A$5:$A$532,MATCH(1,INDEX((_ENGINE_Initiatives!$B$5:$B$532=$C563)*(_ENGINE_Initiatives!$C$5:$C$532=$D563),0),0)),"")</f>
        <v/>
      </c>
      <c r="AU563">
        <f>IFERROR(INDEX(_ENGINE_Initiatives!$F$5:$F$532,MATCH(1,INDEX((_ENGINE_Initiatives!$B$5:$B$532=$C563)*(_ENGINE_Initiatives!$C$5:$C$532=$D563),0),0)),"")</f>
        <v/>
      </c>
      <c r="AV563">
        <f>IFERROR(INDEX(_ENGINE_Initiatives!$AC$5:$AC$532,MATCH(1,INDEX((_ENGINE_Initiatives!$B$5:$B$532=$C563)*(_ENGINE_Initiatives!$C$5:$C$532=$D563),0),0)),"")</f>
        <v/>
      </c>
      <c r="AW563">
        <f>IFERROR(INDEX(_ENGINE_Initiatives!$AE$5:$AE$532,MATCH(1,INDEX((_ENGINE_Initiatives!$B$5:$B$532=$C563)*(_ENGINE_Initiatives!$C$5:$C$532=$D563),0),0)),"")</f>
        <v/>
      </c>
      <c r="AX563">
        <f>IF($B563="Yes",IFERROR(IF(SUMIFS(_REF_Model_Content!$E$1:$E$613,_REF_Model_Content!$A$1:$A$613,'Company Profile'!$B$9,_REF_Model_Content!$B$1:$B$613,$C563)=0,1,SUMIFS(_REF_Model_Content!$E$1:$E$613,_REF_Model_Content!$A$1:$A$613,'Company Profile'!$B$9,_REF_Model_Content!$B$1:$B$613,$C563)),1),"")</f>
        <v/>
      </c>
      <c r="AY563">
        <f>IF($L563="","",ROUND(IF($AP563="",$L563,$AP563)*IF($AX563="",1,$AX563),2))</f>
        <v/>
      </c>
      <c r="AZ563">
        <f>IF($S563="","",ROUND(IF($AQ563="",$S563,$AQ563)*IF($AX563="",1,$AX563),2))</f>
        <v/>
      </c>
      <c r="BB563">
        <f>IF($H563="","",IFERROR(INDEX('_ENGINE_Risk'!$AE$41:$AE$920,MATCH($E563,'_ENGINE_Risk'!$A$41:$A$920,0)),"Medium"))</f>
        <v/>
      </c>
      <c r="BC563">
        <f>IF($BB563="","",IF($BB563="Fast",1.25,IF($BB563="Slow",0.85,1)))</f>
        <v/>
      </c>
      <c r="BD563">
        <f>IF(OR($AZ563="",$BC563=""),"",ROUND($AZ563*$BC563,2))</f>
        <v/>
      </c>
      <c r="BF563">
        <f>IF(OR($H563="",$J563=""),"",_xlfn.IFNA(VLOOKUP($J563,_CONFIG_Model_Settings!$D$610:$E$614,2,0),""))</f>
        <v/>
      </c>
      <c r="BG563">
        <f>IF(OR($H563="",$K563=""),"",ROUND('Company Profile'!$B$569*INDEX(_CONFIG_Model_Settings!$H$610:$H$614,MATCH($K563,_CONFIG_Model_Settings!$G$610:$G$614,0)),0))</f>
        <v/>
      </c>
      <c r="BH563">
        <f>IF(OR($BF563="",$BG563=""),"",ROUND($BF563*$BG563,1))</f>
        <v/>
      </c>
      <c r="BI563">
        <f>IF($BH563="","",IF($AO563="",$BH563,ROUND($BH563*$AO563,1)))</f>
        <v/>
      </c>
      <c r="BJ563">
        <f>IF($E563="","",IFERROR(VLOOKUP($C563,'_CONFIG_Risk_Calibration'!$A$5:$H$21,2,FALSE),3))</f>
        <v/>
      </c>
      <c r="BK563">
        <f>IF($E563="","",IFERROR(VLOOKUP($C563,'_CONFIG_Risk_Calibration'!$A$5:$H$21,3,FALSE),0))</f>
        <v/>
      </c>
      <c r="BL563">
        <f>IF($E563="","",IFERROR(VLOOKUP($C563,'_CONFIG_Risk_Calibration'!$A$5:$H$21,4,FALSE),3))</f>
        <v/>
      </c>
      <c r="BM563">
        <f>IF($E563="","",IFERROR(VLOOKUP($C563,'_CONFIG_Risk_Calibration'!$A$5:$H$21,5,FALSE),3))</f>
        <v/>
      </c>
      <c r="BN563">
        <f>IF($E563="","",IFERROR(VLOOKUP($C563,'_CONFIG_Risk_Calibration'!$A$5:$H$21,6,FALSE),"No"))</f>
        <v/>
      </c>
      <c r="BO563">
        <f>IF($E563="","",IFERROR(VLOOKUP($C563,'_CONFIG_Risk_Calibration'!$A$5:$H$21,7,FALSE),1))</f>
        <v/>
      </c>
      <c r="BP563">
        <f>IF($H563="","",MAX(1,MIN(5,((6-$H563)*0.45)+($BJ563*0.20)+('Resilience &amp; Risk Scenario'!$B$7*0.15)+($BK563*0.10)+($BL563*0.05)+(IF($BB563="Fast",5,IF($BB563="Slow",1,3))*0.05))))</f>
        <v/>
      </c>
      <c r="BQ563">
        <f>IF($H563="","",MAX(IF($BN563="Yes",$BO563,1),MIN(5,($U563*0.20)+($V563*0.15)+($W563*0.25)+($X563*0.15)+($BJ563*0.10)+($BM563*0.15))))</f>
        <v/>
      </c>
      <c r="BR563">
        <f>IF(OR($BP563="",$BQ563=""),"",ROUND($BP563*$BQ563,2))</f>
        <v/>
      </c>
      <c r="BS563">
        <f>IF($BR563="","",ROUND($BR563*IF($AO563="",1,$AO563)*IF($AX563="",1,$AX563)*(1+(($BM563-3)*0.10))*IF($BC563="",1,$BC563),2))</f>
        <v/>
      </c>
    </row>
    <row r="564" ht="69.90000000000001" customHeight="1" s="209">
      <c r="A564">
        <f>IF($BD564="","",SUMPRODUCT(ISNUMBER($BD$500:$BD$923)*($BD$500:$BD$923&gt;$BD564))+COUNTIF($BD$500:$BD564,$BD564))</f>
        <v/>
      </c>
      <c r="B564">
        <f>IF($H564="","",IF($H564&lt;5,"Yes","Maintain"))</f>
        <v/>
      </c>
      <c r="C564" t="inlineStr">
        <is>
          <t>Governance Crisis</t>
        </is>
      </c>
      <c r="D564" t="inlineStr">
        <is>
          <t>Risk and continuity</t>
        </is>
      </c>
      <c r="E564" t="inlineStr">
        <is>
          <t>GOVE-020</t>
        </is>
      </c>
      <c r="F564" t="inlineStr">
        <is>
          <t>Crisis governance and continuity readiness</t>
        </is>
      </c>
      <c r="G564">
        <f>IF($H564="","",IFERROR(INDEX('_ENGINE_Risk'!$H$41:$M$920,MATCH($E564,'_ENGINE_Risk'!$A$41:$A$920,0),$H564+1),""))</f>
        <v/>
      </c>
      <c r="H564">
        <f>IFERROR(VALUE(INDEX(_DATA_Assessment_Model!$H$5:$H$884,MATCH($E564,_DATA_Assessment_Model!$A$5:$A$884,0))),"")</f>
        <v/>
      </c>
      <c r="I564">
        <f>IF($H564="","",IFERROR(INDEX(_DATA_Assessment_Model!$L$5:$L$884,MATCH($E564,_DATA_Assessment_Model!$A$5:$A$884,0)),IF($H564&lt;=1,"Critical",IF($H564=2,"High",IF($H564=3,"Medium",IF($H564=4,"Low","Resilient"))))))</f>
        <v/>
      </c>
      <c r="J564">
        <f>IF($H564="","",MIN(5,MAX(1,6-$H564)))</f>
        <v/>
      </c>
      <c r="K564">
        <f>IF($H564="","",MAX(1,MIN(5,ROUNDUP(($U564*0.45)+($W564*0.35)+($X564*0.2),0))))</f>
        <v/>
      </c>
      <c r="L564">
        <f>IF($H564="","",$J564*$K564)</f>
        <v/>
      </c>
      <c r="M564">
        <f>IF($H564="","",MAX(1,MIN(5,ROUNDUP($L564/5,0))))</f>
        <v/>
      </c>
      <c r="N564">
        <f>IF($H564="","",IFERROR(INDEX('_ENGINE_Risk'!$T$41:$Y$920,MATCH($E564,'_ENGINE_Risk'!$A$41:$A$920,0),$H564+1),""))</f>
        <v/>
      </c>
      <c r="O564">
        <f>IF($H564="","",MAX(1,MIN(5,($U564+$V564+$X564)/3)))</f>
        <v/>
      </c>
      <c r="P564">
        <f>IF($H564="","",IF($I564="Critical",5,IF($I564="High",4,IF($I564="Medium",3,IF($I564="Low",2,1)))))</f>
        <v/>
      </c>
      <c r="Q564">
        <f>IF($H564="","",MAX(1,MIN(5,((5-$H564)*0.65)+($W564*0.35))))</f>
        <v/>
      </c>
      <c r="R564">
        <f>IF($H564="","",MAX(1,MIN(5,($V564+$X564)/2)))</f>
        <v/>
      </c>
      <c r="S564">
        <f>IF(OR($H564="",$N564=""),"",ROUND(($O564+$P564+$Q564+$R564)/$N564,2))</f>
        <v/>
      </c>
      <c r="T564">
        <f>IF($H564="","",IFERROR(INDEX('_ENGINE_Risk'!$N$41:$S$920,MATCH($E564,'_ENGINE_Risk'!$A$41:$A$920,0),$H564+1),""))</f>
        <v/>
      </c>
      <c r="U564">
        <f>IFERROR(INDEX(_DATA_Assessment_Model!$G$5:$G$884,MATCH($E564,_DATA_Assessment_Model!$A$5:$A$884,0)),"")</f>
        <v/>
      </c>
      <c r="V564">
        <f>IFERROR(INDEX(_DATA_Assessment_Model!$W$5:$W$884,MATCH($E564,_DATA_Assessment_Model!$A$5:$A$884,0)),"")</f>
        <v/>
      </c>
      <c r="W564">
        <f>IFERROR(INDEX(_DATA_Assessment_Model!$X$5:$X$884,MATCH($E564,_DATA_Assessment_Model!$A$5:$A$884,0)),"")</f>
        <v/>
      </c>
      <c r="X564">
        <f>IFERROR(INDEX(_DATA_Assessment_Model!$Y$5:$Y$884,MATCH($E564,_DATA_Assessment_Model!$A$5:$A$884,0)),"")</f>
        <v/>
      </c>
      <c r="Y564" t="inlineStr">
        <is>
          <t>Cyberattack/ransomware; Energy/utilities outage; Cloud/SaaS outage</t>
        </is>
      </c>
      <c r="Z564" t="inlineStr">
        <is>
          <t>COO / Risk</t>
        </is>
      </c>
      <c r="AA564" t="inlineStr">
        <is>
          <t>Policy/SOP; owner/RACI; system report; dashboard; contracts; test records; incident history; interview evidence related to offline availability of continuity plans, runbooks, contact lists and key contracts when core IT is unavailable</t>
        </is>
      </c>
      <c r="AB564">
        <f>IFERROR(INDEX(_DATA_Assessment_Model!$U$5:$U$884,MATCH($E564,_DATA_Assessment_Model!$A$5:$A$884,0)),"")</f>
        <v/>
      </c>
      <c r="AF564" t="inlineStr">
        <is>
          <t>How mature is the organization in managing offline availability of continuity plans, runbooks, contact lists and key contracts when core IT is unavailable, including ownership, evidence, metrics, fallback procedures and crisis stress testing?</t>
        </is>
      </c>
      <c r="AO564">
        <f>IF($B564="Yes",IFERROR(INDEX(_ENGINE_Crisis!$F$501:$F$517,MATCH($C564,_ENGINE_Crisis!$A$501:$A$517,0)),1),"")</f>
        <v/>
      </c>
      <c r="AP564">
        <f>IF(AO564="","",ROUND($L564*AO564,1))</f>
        <v/>
      </c>
      <c r="AQ564">
        <f>IF(OR(AO564="",$S564=""),"",ROUND($S564*(0.7+0.3*AO564),2))</f>
        <v/>
      </c>
      <c r="AR564">
        <f>IFERROR(INDEX(_ENGINE_Crisis!$E$41:$E$700,MATCH('Resilience &amp; Risk Scenario'!$B$60&amp;"|"&amp;$C564,_ENGINE_Crisis!$I$41:$I$700,0)),"")</f>
        <v/>
      </c>
      <c r="AS564">
        <f>IFERROR(INDEX(_ENGINE_Crisis!$G$41:$G$700,MATCH('Resilience &amp; Risk Scenario'!$B$60&amp;"|"&amp;$C564,_ENGINE_Crisis!$I$41:$I$700,0)),"")</f>
        <v/>
      </c>
      <c r="AT564">
        <f>IFERROR(INDEX(_ENGINE_Initiatives!$A$5:$A$532,MATCH(1,INDEX((_ENGINE_Initiatives!$B$5:$B$532=$C564)*(_ENGINE_Initiatives!$C$5:$C$532=$D564),0),0)),"")</f>
        <v/>
      </c>
      <c r="AU564">
        <f>IFERROR(INDEX(_ENGINE_Initiatives!$F$5:$F$532,MATCH(1,INDEX((_ENGINE_Initiatives!$B$5:$B$532=$C564)*(_ENGINE_Initiatives!$C$5:$C$532=$D564),0),0)),"")</f>
        <v/>
      </c>
      <c r="AV564">
        <f>IFERROR(INDEX(_ENGINE_Initiatives!$AC$5:$AC$532,MATCH(1,INDEX((_ENGINE_Initiatives!$B$5:$B$532=$C564)*(_ENGINE_Initiatives!$C$5:$C$532=$D564),0),0)),"")</f>
        <v/>
      </c>
      <c r="AW564">
        <f>IFERROR(INDEX(_ENGINE_Initiatives!$AE$5:$AE$532,MATCH(1,INDEX((_ENGINE_Initiatives!$B$5:$B$532=$C564)*(_ENGINE_Initiatives!$C$5:$C$532=$D564),0),0)),"")</f>
        <v/>
      </c>
      <c r="AX564">
        <f>IF($B564="Yes",IFERROR(IF(SUMIFS(_REF_Model_Content!$E$1:$E$613,_REF_Model_Content!$A$1:$A$613,'Company Profile'!$B$9,_REF_Model_Content!$B$1:$B$613,$C564)=0,1,SUMIFS(_REF_Model_Content!$E$1:$E$613,_REF_Model_Content!$A$1:$A$613,'Company Profile'!$B$9,_REF_Model_Content!$B$1:$B$613,$C564)),1),"")</f>
        <v/>
      </c>
      <c r="AY564">
        <f>IF($L564="","",ROUND(IF($AP564="",$L564,$AP564)*IF($AX564="",1,$AX564),2))</f>
        <v/>
      </c>
      <c r="AZ564">
        <f>IF($S564="","",ROUND(IF($AQ564="",$S564,$AQ564)*IF($AX564="",1,$AX564),2))</f>
        <v/>
      </c>
      <c r="BB564">
        <f>IF($H564="","",IFERROR(INDEX('_ENGINE_Risk'!$AE$41:$AE$920,MATCH($E564,'_ENGINE_Risk'!$A$41:$A$920,0)),"Medium"))</f>
        <v/>
      </c>
      <c r="BC564">
        <f>IF($BB564="","",IF($BB564="Fast",1.25,IF($BB564="Slow",0.85,1)))</f>
        <v/>
      </c>
      <c r="BD564">
        <f>IF(OR($AZ564="",$BC564=""),"",ROUND($AZ564*$BC564,2))</f>
        <v/>
      </c>
      <c r="BF564">
        <f>IF(OR($H564="",$J564=""),"",_xlfn.IFNA(VLOOKUP($J564,_CONFIG_Model_Settings!$D$610:$E$614,2,0),""))</f>
        <v/>
      </c>
      <c r="BG564">
        <f>IF(OR($H564="",$K564=""),"",ROUND('Company Profile'!$B$569*INDEX(_CONFIG_Model_Settings!$H$610:$H$614,MATCH($K564,_CONFIG_Model_Settings!$G$610:$G$614,0)),0))</f>
        <v/>
      </c>
      <c r="BH564">
        <f>IF(OR($BF564="",$BG564=""),"",ROUND($BF564*$BG564,1))</f>
        <v/>
      </c>
      <c r="BI564">
        <f>IF($BH564="","",IF($AO564="",$BH564,ROUND($BH564*$AO564,1)))</f>
        <v/>
      </c>
      <c r="BJ564">
        <f>IF($E564="","",IFERROR(VLOOKUP($C564,'_CONFIG_Risk_Calibration'!$A$5:$H$21,2,FALSE),3))</f>
        <v/>
      </c>
      <c r="BK564">
        <f>IF($E564="","",IFERROR(VLOOKUP($C564,'_CONFIG_Risk_Calibration'!$A$5:$H$21,3,FALSE),0))</f>
        <v/>
      </c>
      <c r="BL564">
        <f>IF($E564="","",IFERROR(VLOOKUP($C564,'_CONFIG_Risk_Calibration'!$A$5:$H$21,4,FALSE),3))</f>
        <v/>
      </c>
      <c r="BM564">
        <f>IF($E564="","",IFERROR(VLOOKUP($C564,'_CONFIG_Risk_Calibration'!$A$5:$H$21,5,FALSE),3))</f>
        <v/>
      </c>
      <c r="BN564">
        <f>IF($E564="","",IFERROR(VLOOKUP($C564,'_CONFIG_Risk_Calibration'!$A$5:$H$21,6,FALSE),"No"))</f>
        <v/>
      </c>
      <c r="BO564">
        <f>IF($E564="","",IFERROR(VLOOKUP($C564,'_CONFIG_Risk_Calibration'!$A$5:$H$21,7,FALSE),1))</f>
        <v/>
      </c>
      <c r="BP564">
        <f>IF($H564="","",MAX(1,MIN(5,((6-$H564)*0.45)+($BJ564*0.20)+('Resilience &amp; Risk Scenario'!$B$7*0.15)+($BK564*0.10)+($BL564*0.05)+(IF($BB564="Fast",5,IF($BB564="Slow",1,3))*0.05))))</f>
        <v/>
      </c>
      <c r="BQ564">
        <f>IF($H564="","",MAX(IF($BN564="Yes",$BO564,1),MIN(5,($U564*0.20)+($V564*0.15)+($W564*0.25)+($X564*0.15)+($BJ564*0.10)+($BM564*0.15))))</f>
        <v/>
      </c>
      <c r="BR564">
        <f>IF(OR($BP564="",$BQ564=""),"",ROUND($BP564*$BQ564,2))</f>
        <v/>
      </c>
      <c r="BS564">
        <f>IF($BR564="","",ROUND($BR564*IF($AO564="",1,$AO564)*IF($AX564="",1,$AX564)*(1+(($BM564-3)*0.10))*IF($BC564="",1,$BC564),2))</f>
        <v/>
      </c>
    </row>
    <row r="565" ht="69.90000000000001" customHeight="1" s="209">
      <c r="A565">
        <f>IF($BD565="","",SUMPRODUCT(ISNUMBER($BD$500:$BD$923)*($BD$500:$BD$923&gt;$BD565))+COUNTIF($BD$500:$BD565,$BD565))</f>
        <v/>
      </c>
      <c r="B565">
        <f>IF($H565="","",IF($H565&lt;5,"Yes","Maintain"))</f>
        <v/>
      </c>
      <c r="C565" t="inlineStr">
        <is>
          <t>Governance Crisis</t>
        </is>
      </c>
      <c r="D565" t="inlineStr">
        <is>
          <t>Crisis governance</t>
        </is>
      </c>
      <c r="E565" t="inlineStr">
        <is>
          <t>GOVE-021</t>
        </is>
      </c>
      <c r="F565" t="inlineStr">
        <is>
          <t>Crisis governance and continuity readiness</t>
        </is>
      </c>
      <c r="G565">
        <f>IF($H565="","",IFERROR(INDEX('_ENGINE_Risk'!$H$41:$M$920,MATCH($E565,'_ENGINE_Risk'!$A$41:$A$920,0),$H565+1),""))</f>
        <v/>
      </c>
      <c r="H565">
        <f>IFERROR(VALUE(INDEX(_DATA_Assessment_Model!$H$5:$H$884,MATCH($E565,_DATA_Assessment_Model!$A$5:$A$884,0))),"")</f>
        <v/>
      </c>
      <c r="I565">
        <f>IF($H565="","",IFERROR(INDEX(_DATA_Assessment_Model!$L$5:$L$884,MATCH($E565,_DATA_Assessment_Model!$A$5:$A$884,0)),IF($H565&lt;=1,"Critical",IF($H565=2,"High",IF($H565=3,"Medium",IF($H565=4,"Low","Resilient"))))))</f>
        <v/>
      </c>
      <c r="J565">
        <f>IF($H565="","",MIN(5,MAX(1,6-$H565)))</f>
        <v/>
      </c>
      <c r="K565">
        <f>IF($H565="","",MAX(1,MIN(5,ROUNDUP(($U565*0.45)+($W565*0.35)+($X565*0.2),0))))</f>
        <v/>
      </c>
      <c r="L565">
        <f>IF($H565="","",$J565*$K565)</f>
        <v/>
      </c>
      <c r="M565">
        <f>IF($H565="","",MAX(1,MIN(5,ROUNDUP($L565/5,0))))</f>
        <v/>
      </c>
      <c r="N565">
        <f>IF($H565="","",IFERROR(INDEX('_ENGINE_Risk'!$T$41:$Y$920,MATCH($E565,'_ENGINE_Risk'!$A$41:$A$920,0),$H565+1),""))</f>
        <v/>
      </c>
      <c r="O565">
        <f>IF($H565="","",MAX(1,MIN(5,($U565+$V565+$X565)/3)))</f>
        <v/>
      </c>
      <c r="P565">
        <f>IF($H565="","",IF($I565="Critical",5,IF($I565="High",4,IF($I565="Medium",3,IF($I565="Low",2,1)))))</f>
        <v/>
      </c>
      <c r="Q565">
        <f>IF($H565="","",MAX(1,MIN(5,((5-$H565)*0.65)+($W565*0.35))))</f>
        <v/>
      </c>
      <c r="R565">
        <f>IF($H565="","",MAX(1,MIN(5,($V565+$X565)/2)))</f>
        <v/>
      </c>
      <c r="S565">
        <f>IF(OR($H565="",$N565=""),"",ROUND(($O565+$P565+$Q565+$R565)/$N565,2))</f>
        <v/>
      </c>
      <c r="T565">
        <f>IF($H565="","",IFERROR(INDEX('_ENGINE_Risk'!$N$41:$S$920,MATCH($E565,'_ENGINE_Risk'!$A$41:$A$920,0),$H565+1),""))</f>
        <v/>
      </c>
      <c r="U565">
        <f>IFERROR(INDEX(_DATA_Assessment_Model!$G$5:$G$884,MATCH($E565,_DATA_Assessment_Model!$A$5:$A$884,0)),"")</f>
        <v/>
      </c>
      <c r="V565">
        <f>IFERROR(INDEX(_DATA_Assessment_Model!$W$5:$W$884,MATCH($E565,_DATA_Assessment_Model!$A$5:$A$884,0)),"")</f>
        <v/>
      </c>
      <c r="W565">
        <f>IFERROR(INDEX(_DATA_Assessment_Model!$X$5:$X$884,MATCH($E565,_DATA_Assessment_Model!$A$5:$A$884,0)),"")</f>
        <v/>
      </c>
      <c r="X565">
        <f>IFERROR(INDEX(_DATA_Assessment_Model!$Y$5:$Y$884,MATCH($E565,_DATA_Assessment_Model!$A$5:$A$884,0)),"")</f>
        <v/>
      </c>
      <c r="Y565" t="inlineStr">
        <is>
          <t>War/security crisis; Physical site loss; Energy/utilities outage</t>
        </is>
      </c>
      <c r="Z565" t="inlineStr">
        <is>
          <t>COO / Risk</t>
        </is>
      </c>
      <c r="AA565" t="inlineStr">
        <is>
          <t>Policy/SOP; owner/RACI; system report; dashboard; contracts; test records; incident history; interview evidence related to primary and alternate crisis command arrangements with independent communications and access to crisis tools</t>
        </is>
      </c>
      <c r="AB565">
        <f>IFERROR(INDEX(_DATA_Assessment_Model!$U$5:$U$884,MATCH($E565,_DATA_Assessment_Model!$A$5:$A$884,0)),"")</f>
        <v/>
      </c>
      <c r="AF565" t="inlineStr">
        <is>
          <t>How mature is the organization in managing primary and alternate crisis command arrangements with independent communications and access to crisis tools, including ownership, evidence, metrics, fallback procedures and crisis stress testing?</t>
        </is>
      </c>
      <c r="AO565">
        <f>IF($B565="Yes",IFERROR(INDEX(_ENGINE_Crisis!$F$501:$F$517,MATCH($C565,_ENGINE_Crisis!$A$501:$A$517,0)),1),"")</f>
        <v/>
      </c>
      <c r="AP565">
        <f>IF(AO565="","",ROUND($L565*AO565,1))</f>
        <v/>
      </c>
      <c r="AQ565">
        <f>IF(OR(AO565="",$S565=""),"",ROUND($S565*(0.7+0.3*AO565),2))</f>
        <v/>
      </c>
      <c r="AR565">
        <f>IFERROR(INDEX(_ENGINE_Crisis!$E$41:$E$700,MATCH('Resilience &amp; Risk Scenario'!$B$60&amp;"|"&amp;$C565,_ENGINE_Crisis!$I$41:$I$700,0)),"")</f>
        <v/>
      </c>
      <c r="AS565">
        <f>IFERROR(INDEX(_ENGINE_Crisis!$G$41:$G$700,MATCH('Resilience &amp; Risk Scenario'!$B$60&amp;"|"&amp;$C565,_ENGINE_Crisis!$I$41:$I$700,0)),"")</f>
        <v/>
      </c>
      <c r="AT565">
        <f>IFERROR(INDEX(_ENGINE_Initiatives!$A$5:$A$532,MATCH(1,INDEX((_ENGINE_Initiatives!$B$5:$B$532=$C565)*(_ENGINE_Initiatives!$C$5:$C$532=$D565),0),0)),"")</f>
        <v/>
      </c>
      <c r="AU565">
        <f>IFERROR(INDEX(_ENGINE_Initiatives!$F$5:$F$532,MATCH(1,INDEX((_ENGINE_Initiatives!$B$5:$B$532=$C565)*(_ENGINE_Initiatives!$C$5:$C$532=$D565),0),0)),"")</f>
        <v/>
      </c>
      <c r="AV565">
        <f>IFERROR(INDEX(_ENGINE_Initiatives!$AC$5:$AC$532,MATCH(1,INDEX((_ENGINE_Initiatives!$B$5:$B$532=$C565)*(_ENGINE_Initiatives!$C$5:$C$532=$D565),0),0)),"")</f>
        <v/>
      </c>
      <c r="AW565">
        <f>IFERROR(INDEX(_ENGINE_Initiatives!$AE$5:$AE$532,MATCH(1,INDEX((_ENGINE_Initiatives!$B$5:$B$532=$C565)*(_ENGINE_Initiatives!$C$5:$C$532=$D565),0),0)),"")</f>
        <v/>
      </c>
      <c r="AX565">
        <f>IF($B565="Yes",IFERROR(IF(SUMIFS(_REF_Model_Content!$E$1:$E$613,_REF_Model_Content!$A$1:$A$613,'Company Profile'!$B$9,_REF_Model_Content!$B$1:$B$613,$C565)=0,1,SUMIFS(_REF_Model_Content!$E$1:$E$613,_REF_Model_Content!$A$1:$A$613,'Company Profile'!$B$9,_REF_Model_Content!$B$1:$B$613,$C565)),1),"")</f>
        <v/>
      </c>
      <c r="AY565">
        <f>IF($L565="","",ROUND(IF($AP565="",$L565,$AP565)*IF($AX565="",1,$AX565),2))</f>
        <v/>
      </c>
      <c r="AZ565">
        <f>IF($S565="","",ROUND(IF($AQ565="",$S565,$AQ565)*IF($AX565="",1,$AX565),2))</f>
        <v/>
      </c>
      <c r="BB565">
        <f>IF($H565="","",IFERROR(INDEX('_ENGINE_Risk'!$AE$41:$AE$920,MATCH($E565,'_ENGINE_Risk'!$A$41:$A$920,0)),"Medium"))</f>
        <v/>
      </c>
      <c r="BC565">
        <f>IF($BB565="","",IF($BB565="Fast",1.25,IF($BB565="Slow",0.85,1)))</f>
        <v/>
      </c>
      <c r="BD565">
        <f>IF(OR($AZ565="",$BC565=""),"",ROUND($AZ565*$BC565,2))</f>
        <v/>
      </c>
      <c r="BF565">
        <f>IF(OR($H565="",$J565=""),"",_xlfn.IFNA(VLOOKUP($J565,_CONFIG_Model_Settings!$D$610:$E$614,2,0),""))</f>
        <v/>
      </c>
      <c r="BG565">
        <f>IF(OR($H565="",$K565=""),"",ROUND('Company Profile'!$B$569*INDEX(_CONFIG_Model_Settings!$H$610:$H$614,MATCH($K565,_CONFIG_Model_Settings!$G$610:$G$614,0)),0))</f>
        <v/>
      </c>
      <c r="BH565">
        <f>IF(OR($BF565="",$BG565=""),"",ROUND($BF565*$BG565,1))</f>
        <v/>
      </c>
      <c r="BI565">
        <f>IF($BH565="","",IF($AO565="",$BH565,ROUND($BH565*$AO565,1)))</f>
        <v/>
      </c>
      <c r="BJ565">
        <f>IF($E565="","",IFERROR(VLOOKUP($C565,'_CONFIG_Risk_Calibration'!$A$5:$H$21,2,FALSE),3))</f>
        <v/>
      </c>
      <c r="BK565">
        <f>IF($E565="","",IFERROR(VLOOKUP($C565,'_CONFIG_Risk_Calibration'!$A$5:$H$21,3,FALSE),0))</f>
        <v/>
      </c>
      <c r="BL565">
        <f>IF($E565="","",IFERROR(VLOOKUP($C565,'_CONFIG_Risk_Calibration'!$A$5:$H$21,4,FALSE),3))</f>
        <v/>
      </c>
      <c r="BM565">
        <f>IF($E565="","",IFERROR(VLOOKUP($C565,'_CONFIG_Risk_Calibration'!$A$5:$H$21,5,FALSE),3))</f>
        <v/>
      </c>
      <c r="BN565">
        <f>IF($E565="","",IFERROR(VLOOKUP($C565,'_CONFIG_Risk_Calibration'!$A$5:$H$21,6,FALSE),"No"))</f>
        <v/>
      </c>
      <c r="BO565">
        <f>IF($E565="","",IFERROR(VLOOKUP($C565,'_CONFIG_Risk_Calibration'!$A$5:$H$21,7,FALSE),1))</f>
        <v/>
      </c>
      <c r="BP565">
        <f>IF($H565="","",MAX(1,MIN(5,((6-$H565)*0.45)+($BJ565*0.20)+('Resilience &amp; Risk Scenario'!$B$7*0.15)+($BK565*0.10)+($BL565*0.05)+(IF($BB565="Fast",5,IF($BB565="Slow",1,3))*0.05))))</f>
        <v/>
      </c>
      <c r="BQ565">
        <f>IF($H565="","",MAX(IF($BN565="Yes",$BO565,1),MIN(5,($U565*0.20)+($V565*0.15)+($W565*0.25)+($X565*0.15)+($BJ565*0.10)+($BM565*0.15))))</f>
        <v/>
      </c>
      <c r="BR565">
        <f>IF(OR($BP565="",$BQ565=""),"",ROUND($BP565*$BQ565,2))</f>
        <v/>
      </c>
      <c r="BS565">
        <f>IF($BR565="","",ROUND($BR565*IF($AO565="",1,$AO565)*IF($AX565="",1,$AX565)*(1+(($BM565-3)*0.10))*IF($BC565="",1,$BC565),2))</f>
        <v/>
      </c>
    </row>
    <row r="566" ht="69.90000000000001" customHeight="1" s="209">
      <c r="A566">
        <f>IF($BD566="","",SUMPRODUCT(ISNUMBER($BD$500:$BD$923)*($BD$500:$BD$923&gt;$BD566))+COUNTIF($BD$500:$BD566,$BD566))</f>
        <v/>
      </c>
      <c r="B566">
        <f>IF($H566="","",IF($H566&lt;5,"Yes","Maintain"))</f>
        <v/>
      </c>
      <c r="C566" t="inlineStr">
        <is>
          <t>Governance Crisis</t>
        </is>
      </c>
      <c r="D566" t="inlineStr">
        <is>
          <t>Risk and continuity</t>
        </is>
      </c>
      <c r="E566" t="inlineStr">
        <is>
          <t>GOVE-022</t>
        </is>
      </c>
      <c r="F566" t="inlineStr">
        <is>
          <t>Crisis governance and continuity readiness</t>
        </is>
      </c>
      <c r="G566">
        <f>IF($H566="","",IFERROR(INDEX('_ENGINE_Risk'!$H$41:$M$920,MATCH($E566,'_ENGINE_Risk'!$A$41:$A$920,0),$H566+1),""))</f>
        <v/>
      </c>
      <c r="H566">
        <f>IFERROR(VALUE(INDEX(_DATA_Assessment_Model!$H$5:$H$884,MATCH($E566,_DATA_Assessment_Model!$A$5:$A$884,0))),"")</f>
        <v/>
      </c>
      <c r="I566">
        <f>IF($H566="","",IFERROR(INDEX(_DATA_Assessment_Model!$L$5:$L$884,MATCH($E566,_DATA_Assessment_Model!$A$5:$A$884,0)),IF($H566&lt;=1,"Critical",IF($H566=2,"High",IF($H566=3,"Medium",IF($H566=4,"Low","Resilient"))))))</f>
        <v/>
      </c>
      <c r="J566">
        <f>IF($H566="","",MIN(5,MAX(1,6-$H566)))</f>
        <v/>
      </c>
      <c r="K566">
        <f>IF($H566="","",MAX(1,MIN(5,ROUNDUP(($U566*0.45)+($W566*0.35)+($X566*0.2),0))))</f>
        <v/>
      </c>
      <c r="L566">
        <f>IF($H566="","",$J566*$K566)</f>
        <v/>
      </c>
      <c r="M566">
        <f>IF($H566="","",MAX(1,MIN(5,ROUNDUP($L566/5,0))))</f>
        <v/>
      </c>
      <c r="N566">
        <f>IF($H566="","",IFERROR(INDEX('_ENGINE_Risk'!$T$41:$Y$920,MATCH($E566,'_ENGINE_Risk'!$A$41:$A$920,0),$H566+1),""))</f>
        <v/>
      </c>
      <c r="O566">
        <f>IF($H566="","",MAX(1,MIN(5,($U566+$V566+$X566)/3)))</f>
        <v/>
      </c>
      <c r="P566">
        <f>IF($H566="","",IF($I566="Critical",5,IF($I566="High",4,IF($I566="Medium",3,IF($I566="Low",2,1)))))</f>
        <v/>
      </c>
      <c r="Q566">
        <f>IF($H566="","",MAX(1,MIN(5,((5-$H566)*0.65)+($W566*0.35))))</f>
        <v/>
      </c>
      <c r="R566">
        <f>IF($H566="","",MAX(1,MIN(5,($V566+$X566)/2)))</f>
        <v/>
      </c>
      <c r="S566">
        <f>IF(OR($H566="",$N566=""),"",ROUND(($O566+$P566+$Q566+$R566)/$N566,2))</f>
        <v/>
      </c>
      <c r="T566">
        <f>IF($H566="","",IFERROR(INDEX('_ENGINE_Risk'!$N$41:$S$920,MATCH($E566,'_ENGINE_Risk'!$A$41:$A$920,0),$H566+1),""))</f>
        <v/>
      </c>
      <c r="U566">
        <f>IFERROR(INDEX(_DATA_Assessment_Model!$G$5:$G$884,MATCH($E566,_DATA_Assessment_Model!$A$5:$A$884,0)),"")</f>
        <v/>
      </c>
      <c r="V566">
        <f>IFERROR(INDEX(_DATA_Assessment_Model!$W$5:$W$884,MATCH($E566,_DATA_Assessment_Model!$A$5:$A$884,0)),"")</f>
        <v/>
      </c>
      <c r="W566">
        <f>IFERROR(INDEX(_DATA_Assessment_Model!$X$5:$X$884,MATCH($E566,_DATA_Assessment_Model!$A$5:$A$884,0)),"")</f>
        <v/>
      </c>
      <c r="X566">
        <f>IFERROR(INDEX(_DATA_Assessment_Model!$Y$5:$Y$884,MATCH($E566,_DATA_Assessment_Model!$A$5:$A$884,0)),"")</f>
        <v/>
      </c>
      <c r="Y566" t="inlineStr">
        <is>
          <t>Supplier/logistics disruption; War/security crisis; Cyberattack/ransomware</t>
        </is>
      </c>
      <c r="Z566" t="inlineStr">
        <is>
          <t>COO / Risk</t>
        </is>
      </c>
      <c r="AA566" t="inlineStr">
        <is>
          <t>Policy/SOP; owner/RACI; system report; dashboard; contracts; test records; incident history; interview evidence related to joint crisis exercises with critical suppliers, customers, authorities and insurers</t>
        </is>
      </c>
      <c r="AB566">
        <f>IFERROR(INDEX(_DATA_Assessment_Model!$U$5:$U$884,MATCH($E566,_DATA_Assessment_Model!$A$5:$A$884,0)),"")</f>
        <v/>
      </c>
      <c r="AF566" t="inlineStr">
        <is>
          <t>How mature is the organization in managing joint crisis exercises with critical suppliers, customers, authorities and insurers, including ownership, evidence, metrics, fallback procedures and crisis stress testing?</t>
        </is>
      </c>
      <c r="AO566">
        <f>IF($B566="Yes",IFERROR(INDEX(_ENGINE_Crisis!$F$501:$F$517,MATCH($C566,_ENGINE_Crisis!$A$501:$A$517,0)),1),"")</f>
        <v/>
      </c>
      <c r="AP566">
        <f>IF(AO566="","",ROUND($L566*AO566,1))</f>
        <v/>
      </c>
      <c r="AQ566">
        <f>IF(OR(AO566="",$S566=""),"",ROUND($S566*(0.7+0.3*AO566),2))</f>
        <v/>
      </c>
      <c r="AR566">
        <f>IFERROR(INDEX(_ENGINE_Crisis!$E$41:$E$700,MATCH('Resilience &amp; Risk Scenario'!$B$60&amp;"|"&amp;$C566,_ENGINE_Crisis!$I$41:$I$700,0)),"")</f>
        <v/>
      </c>
      <c r="AS566">
        <f>IFERROR(INDEX(_ENGINE_Crisis!$G$41:$G$700,MATCH('Resilience &amp; Risk Scenario'!$B$60&amp;"|"&amp;$C566,_ENGINE_Crisis!$I$41:$I$700,0)),"")</f>
        <v/>
      </c>
      <c r="AT566">
        <f>IFERROR(INDEX(_ENGINE_Initiatives!$A$5:$A$532,MATCH(1,INDEX((_ENGINE_Initiatives!$B$5:$B$532=$C566)*(_ENGINE_Initiatives!$C$5:$C$532=$D566),0),0)),"")</f>
        <v/>
      </c>
      <c r="AU566">
        <f>IFERROR(INDEX(_ENGINE_Initiatives!$F$5:$F$532,MATCH(1,INDEX((_ENGINE_Initiatives!$B$5:$B$532=$C566)*(_ENGINE_Initiatives!$C$5:$C$532=$D566),0),0)),"")</f>
        <v/>
      </c>
      <c r="AV566">
        <f>IFERROR(INDEX(_ENGINE_Initiatives!$AC$5:$AC$532,MATCH(1,INDEX((_ENGINE_Initiatives!$B$5:$B$532=$C566)*(_ENGINE_Initiatives!$C$5:$C$532=$D566),0),0)),"")</f>
        <v/>
      </c>
      <c r="AW566">
        <f>IFERROR(INDEX(_ENGINE_Initiatives!$AE$5:$AE$532,MATCH(1,INDEX((_ENGINE_Initiatives!$B$5:$B$532=$C566)*(_ENGINE_Initiatives!$C$5:$C$532=$D566),0),0)),"")</f>
        <v/>
      </c>
      <c r="AX566">
        <f>IF($B566="Yes",IFERROR(IF(SUMIFS(_REF_Model_Content!$E$1:$E$613,_REF_Model_Content!$A$1:$A$613,'Company Profile'!$B$9,_REF_Model_Content!$B$1:$B$613,$C566)=0,1,SUMIFS(_REF_Model_Content!$E$1:$E$613,_REF_Model_Content!$A$1:$A$613,'Company Profile'!$B$9,_REF_Model_Content!$B$1:$B$613,$C566)),1),"")</f>
        <v/>
      </c>
      <c r="AY566">
        <f>IF($L566="","",ROUND(IF($AP566="",$L566,$AP566)*IF($AX566="",1,$AX566),2))</f>
        <v/>
      </c>
      <c r="AZ566">
        <f>IF($S566="","",ROUND(IF($AQ566="",$S566,$AQ566)*IF($AX566="",1,$AX566),2))</f>
        <v/>
      </c>
      <c r="BB566">
        <f>IF($H566="","",IFERROR(INDEX('_ENGINE_Risk'!$AE$41:$AE$920,MATCH($E566,'_ENGINE_Risk'!$A$41:$A$920,0)),"Medium"))</f>
        <v/>
      </c>
      <c r="BC566">
        <f>IF($BB566="","",IF($BB566="Fast",1.25,IF($BB566="Slow",0.85,1)))</f>
        <v/>
      </c>
      <c r="BD566">
        <f>IF(OR($AZ566="",$BC566=""),"",ROUND($AZ566*$BC566,2))</f>
        <v/>
      </c>
      <c r="BF566">
        <f>IF(OR($H566="",$J566=""),"",_xlfn.IFNA(VLOOKUP($J566,_CONFIG_Model_Settings!$D$610:$E$614,2,0),""))</f>
        <v/>
      </c>
      <c r="BG566">
        <f>IF(OR($H566="",$K566=""),"",ROUND('Company Profile'!$B$569*INDEX(_CONFIG_Model_Settings!$H$610:$H$614,MATCH($K566,_CONFIG_Model_Settings!$G$610:$G$614,0)),0))</f>
        <v/>
      </c>
      <c r="BH566">
        <f>IF(OR($BF566="",$BG566=""),"",ROUND($BF566*$BG566,1))</f>
        <v/>
      </c>
      <c r="BI566">
        <f>IF($BH566="","",IF($AO566="",$BH566,ROUND($BH566*$AO566,1)))</f>
        <v/>
      </c>
      <c r="BJ566">
        <f>IF($E566="","",IFERROR(VLOOKUP($C566,'_CONFIG_Risk_Calibration'!$A$5:$H$21,2,FALSE),3))</f>
        <v/>
      </c>
      <c r="BK566">
        <f>IF($E566="","",IFERROR(VLOOKUP($C566,'_CONFIG_Risk_Calibration'!$A$5:$H$21,3,FALSE),0))</f>
        <v/>
      </c>
      <c r="BL566">
        <f>IF($E566="","",IFERROR(VLOOKUP($C566,'_CONFIG_Risk_Calibration'!$A$5:$H$21,4,FALSE),3))</f>
        <v/>
      </c>
      <c r="BM566">
        <f>IF($E566="","",IFERROR(VLOOKUP($C566,'_CONFIG_Risk_Calibration'!$A$5:$H$21,5,FALSE),3))</f>
        <v/>
      </c>
      <c r="BN566">
        <f>IF($E566="","",IFERROR(VLOOKUP($C566,'_CONFIG_Risk_Calibration'!$A$5:$H$21,6,FALSE),"No"))</f>
        <v/>
      </c>
      <c r="BO566">
        <f>IF($E566="","",IFERROR(VLOOKUP($C566,'_CONFIG_Risk_Calibration'!$A$5:$H$21,7,FALSE),1))</f>
        <v/>
      </c>
      <c r="BP566">
        <f>IF($H566="","",MAX(1,MIN(5,((6-$H566)*0.45)+($BJ566*0.20)+('Resilience &amp; Risk Scenario'!$B$7*0.15)+($BK566*0.10)+($BL566*0.05)+(IF($BB566="Fast",5,IF($BB566="Slow",1,3))*0.05))))</f>
        <v/>
      </c>
      <c r="BQ566">
        <f>IF($H566="","",MAX(IF($BN566="Yes",$BO566,1),MIN(5,($U566*0.20)+($V566*0.15)+($W566*0.25)+($X566*0.15)+($BJ566*0.10)+($BM566*0.15))))</f>
        <v/>
      </c>
      <c r="BR566">
        <f>IF(OR($BP566="",$BQ566=""),"",ROUND($BP566*$BQ566,2))</f>
        <v/>
      </c>
      <c r="BS566">
        <f>IF($BR566="","",ROUND($BR566*IF($AO566="",1,$AO566)*IF($AX566="",1,$AX566)*(1+(($BM566-3)*0.10))*IF($BC566="",1,$BC566),2))</f>
        <v/>
      </c>
    </row>
    <row r="567" ht="69.90000000000001" customHeight="1" s="209">
      <c r="A567">
        <f>IF($BD567="","",SUMPRODUCT(ISNUMBER($BD$500:$BD$923)*($BD$500:$BD$923&gt;$BD567))+COUNTIF($BD$500:$BD567,$BD567))</f>
        <v/>
      </c>
      <c r="B567">
        <f>IF($H567="","",IF($H567&lt;5,"Yes","Maintain"))</f>
        <v/>
      </c>
      <c r="C567" t="inlineStr">
        <is>
          <t>HR Workforce</t>
        </is>
      </c>
      <c r="D567" t="inlineStr">
        <is>
          <t>Workforce visibility</t>
        </is>
      </c>
      <c r="E567" t="inlineStr">
        <is>
          <t>HRWO-001</t>
        </is>
      </c>
      <c r="F567" t="inlineStr">
        <is>
          <t>People, critical roles and knowledge continuity</t>
        </is>
      </c>
      <c r="G567">
        <f>IF($H567="","",IFERROR(INDEX('_ENGINE_Risk'!$H$41:$M$920,MATCH($E567,'_ENGINE_Risk'!$A$41:$A$920,0),$H567+1),""))</f>
        <v/>
      </c>
      <c r="H567">
        <f>IFERROR(VALUE(INDEX(_DATA_Assessment_Model!$H$5:$H$884,MATCH($E567,_DATA_Assessment_Model!$A$5:$A$884,0))),"")</f>
        <v/>
      </c>
      <c r="I567">
        <f>IF($H567="","",IFERROR(INDEX(_DATA_Assessment_Model!$L$5:$L$884,MATCH($E567,_DATA_Assessment_Model!$A$5:$A$884,0)),IF($H567&lt;=1,"Critical",IF($H567=2,"High",IF($H567=3,"Medium",IF($H567=4,"Low","Resilient"))))))</f>
        <v/>
      </c>
      <c r="J567">
        <f>IF($H567="","",MIN(5,MAX(1,6-$H567)))</f>
        <v/>
      </c>
      <c r="K567">
        <f>IF($H567="","",MAX(1,MIN(5,ROUNDUP(($U567*0.45)+($W567*0.35)+($X567*0.2),0))))</f>
        <v/>
      </c>
      <c r="L567">
        <f>IF($H567="","",$J567*$K567)</f>
        <v/>
      </c>
      <c r="M567">
        <f>IF($H567="","",MAX(1,MIN(5,ROUNDUP($L567/5,0))))</f>
        <v/>
      </c>
      <c r="N567">
        <f>IF($H567="","",IFERROR(INDEX('_ENGINE_Risk'!$T$41:$Y$920,MATCH($E567,'_ENGINE_Risk'!$A$41:$A$920,0),$H567+1),""))</f>
        <v/>
      </c>
      <c r="O567">
        <f>IF($H567="","",MAX(1,MIN(5,($U567+$V567+$X567)/3)))</f>
        <v/>
      </c>
      <c r="P567">
        <f>IF($H567="","",IF($I567="Critical",5,IF($I567="High",4,IF($I567="Medium",3,IF($I567="Low",2,1)))))</f>
        <v/>
      </c>
      <c r="Q567">
        <f>IF($H567="","",MAX(1,MIN(5,((5-$H567)*0.65)+($W567*0.35))))</f>
        <v/>
      </c>
      <c r="R567">
        <f>IF($H567="","",MAX(1,MIN(5,($V567+$X567)/2)))</f>
        <v/>
      </c>
      <c r="S567">
        <f>IF(OR($H567="",$N567=""),"",ROUND(($O567+$P567+$Q567+$R567)/$N567,2))</f>
        <v/>
      </c>
      <c r="T567">
        <f>IF($H567="","",IFERROR(INDEX('_ENGINE_Risk'!$N$41:$S$920,MATCH($E567,'_ENGINE_Risk'!$A$41:$A$920,0),$H567+1),""))</f>
        <v/>
      </c>
      <c r="U567">
        <f>IFERROR(INDEX(_DATA_Assessment_Model!$G$5:$G$884,MATCH($E567,_DATA_Assessment_Model!$A$5:$A$884,0)),"")</f>
        <v/>
      </c>
      <c r="V567">
        <f>IFERROR(INDEX(_DATA_Assessment_Model!$W$5:$W$884,MATCH($E567,_DATA_Assessment_Model!$A$5:$A$884,0)),"")</f>
        <v/>
      </c>
      <c r="W567">
        <f>IFERROR(INDEX(_DATA_Assessment_Model!$X$5:$X$884,MATCH($E567,_DATA_Assessment_Model!$A$5:$A$884,0)),"")</f>
        <v/>
      </c>
      <c r="X567">
        <f>IFERROR(INDEX(_DATA_Assessment_Model!$Y$5:$Y$884,MATCH($E567,_DATA_Assessment_Model!$A$5:$A$884,0)),"")</f>
        <v/>
      </c>
      <c r="Y567" t="inlineStr">
        <is>
          <t>Workforce disruption; Pandemic/health crisis; War/security crisis</t>
        </is>
      </c>
      <c r="Z567" t="inlineStr">
        <is>
          <t>CHRO / HR</t>
        </is>
      </c>
      <c r="AA567" t="inlineStr">
        <is>
          <t>Policy/SOP; owner/RACI; system report; dashboard; contracts; test records; incident history; interview evidence related to workforce inventory by role, location, manager, contract type, employment entity, skill and criticality.</t>
        </is>
      </c>
      <c r="AB567">
        <f>IFERROR(INDEX(_DATA_Assessment_Model!$U$5:$U$884,MATCH($E567,_DATA_Assessment_Model!$A$5:$A$884,0)),"")</f>
        <v/>
      </c>
      <c r="AF567" t="inlineStr">
        <is>
          <t>How mature is the organization in managing workforce inventory by role, location, manager, contract type, employment entity, skill and criticality, including ownership, evidence, metrics, fallback procedures and crisis stress testing?</t>
        </is>
      </c>
      <c r="AO567">
        <f>IF($B567="Yes",IFERROR(INDEX(_ENGINE_Crisis!$F$501:$F$517,MATCH($C567,_ENGINE_Crisis!$A$501:$A$517,0)),1),"")</f>
        <v/>
      </c>
      <c r="AP567">
        <f>IF(AO567="","",ROUND($L567*AO567,1))</f>
        <v/>
      </c>
      <c r="AQ567">
        <f>IF(OR(AO567="",$S567=""),"",ROUND($S567*(0.7+0.3*AO567),2))</f>
        <v/>
      </c>
      <c r="AR567">
        <f>IFERROR(INDEX(_ENGINE_Crisis!$E$41:$E$700,MATCH('Resilience &amp; Risk Scenario'!$B$60&amp;"|"&amp;$C567,_ENGINE_Crisis!$I$41:$I$700,0)),"")</f>
        <v/>
      </c>
      <c r="AS567">
        <f>IFERROR(INDEX(_ENGINE_Crisis!$G$41:$G$700,MATCH('Resilience &amp; Risk Scenario'!$B$60&amp;"|"&amp;$C567,_ENGINE_Crisis!$I$41:$I$700,0)),"")</f>
        <v/>
      </c>
      <c r="AT567">
        <f>IFERROR(INDEX(_ENGINE_Initiatives!$A$5:$A$532,MATCH(1,INDEX((_ENGINE_Initiatives!$B$5:$B$532=$C567)*(_ENGINE_Initiatives!$C$5:$C$532=$D567),0),0)),"")</f>
        <v/>
      </c>
      <c r="AU567">
        <f>IFERROR(INDEX(_ENGINE_Initiatives!$F$5:$F$532,MATCH(1,INDEX((_ENGINE_Initiatives!$B$5:$B$532=$C567)*(_ENGINE_Initiatives!$C$5:$C$532=$D567),0),0)),"")</f>
        <v/>
      </c>
      <c r="AV567">
        <f>IFERROR(INDEX(_ENGINE_Initiatives!$AC$5:$AC$532,MATCH(1,INDEX((_ENGINE_Initiatives!$B$5:$B$532=$C567)*(_ENGINE_Initiatives!$C$5:$C$532=$D567),0),0)),"")</f>
        <v/>
      </c>
      <c r="AW567">
        <f>IFERROR(INDEX(_ENGINE_Initiatives!$AE$5:$AE$532,MATCH(1,INDEX((_ENGINE_Initiatives!$B$5:$B$532=$C567)*(_ENGINE_Initiatives!$C$5:$C$532=$D567),0),0)),"")</f>
        <v/>
      </c>
      <c r="AX567">
        <f>IF($B567="Yes",IFERROR(IF(SUMIFS(_REF_Model_Content!$E$1:$E$613,_REF_Model_Content!$A$1:$A$613,'Company Profile'!$B$9,_REF_Model_Content!$B$1:$B$613,$C567)=0,1,SUMIFS(_REF_Model_Content!$E$1:$E$613,_REF_Model_Content!$A$1:$A$613,'Company Profile'!$B$9,_REF_Model_Content!$B$1:$B$613,$C567)),1),"")</f>
        <v/>
      </c>
      <c r="AY567">
        <f>IF($L567="","",ROUND(IF($AP567="",$L567,$AP567)*IF($AX567="",1,$AX567),2))</f>
        <v/>
      </c>
      <c r="AZ567">
        <f>IF($S567="","",ROUND(IF($AQ567="",$S567,$AQ567)*IF($AX567="",1,$AX567),2))</f>
        <v/>
      </c>
      <c r="BB567">
        <f>IF($H567="","",IFERROR(INDEX('_ENGINE_Risk'!$AE$41:$AE$920,MATCH($E567,'_ENGINE_Risk'!$A$41:$A$920,0)),"Medium"))</f>
        <v/>
      </c>
      <c r="BC567">
        <f>IF($BB567="","",IF($BB567="Fast",1.25,IF($BB567="Slow",0.85,1)))</f>
        <v/>
      </c>
      <c r="BD567">
        <f>IF(OR($AZ567="",$BC567=""),"",ROUND($AZ567*$BC567,2))</f>
        <v/>
      </c>
      <c r="BF567">
        <f>IF(OR($H567="",$J567=""),"",_xlfn.IFNA(VLOOKUP($J567,_CONFIG_Model_Settings!$D$610:$E$614,2,0),""))</f>
        <v/>
      </c>
      <c r="BG567">
        <f>IF(OR($H567="",$K567=""),"",ROUND('Company Profile'!$B$569*INDEX(_CONFIG_Model_Settings!$H$610:$H$614,MATCH($K567,_CONFIG_Model_Settings!$G$610:$G$614,0)),0))</f>
        <v/>
      </c>
      <c r="BH567">
        <f>IF(OR($BF567="",$BG567=""),"",ROUND($BF567*$BG567,1))</f>
        <v/>
      </c>
      <c r="BI567">
        <f>IF($BH567="","",IF($AO567="",$BH567,ROUND($BH567*$AO567,1)))</f>
        <v/>
      </c>
      <c r="BJ567">
        <f>IF($E567="","",IFERROR(VLOOKUP($C567,'_CONFIG_Risk_Calibration'!$A$5:$H$21,2,FALSE),3))</f>
        <v/>
      </c>
      <c r="BK567">
        <f>IF($E567="","",IFERROR(VLOOKUP($C567,'_CONFIG_Risk_Calibration'!$A$5:$H$21,3,FALSE),0))</f>
        <v/>
      </c>
      <c r="BL567">
        <f>IF($E567="","",IFERROR(VLOOKUP($C567,'_CONFIG_Risk_Calibration'!$A$5:$H$21,4,FALSE),3))</f>
        <v/>
      </c>
      <c r="BM567">
        <f>IF($E567="","",IFERROR(VLOOKUP($C567,'_CONFIG_Risk_Calibration'!$A$5:$H$21,5,FALSE),3))</f>
        <v/>
      </c>
      <c r="BN567">
        <f>IF($E567="","",IFERROR(VLOOKUP($C567,'_CONFIG_Risk_Calibration'!$A$5:$H$21,6,FALSE),"No"))</f>
        <v/>
      </c>
      <c r="BO567">
        <f>IF($E567="","",IFERROR(VLOOKUP($C567,'_CONFIG_Risk_Calibration'!$A$5:$H$21,7,FALSE),1))</f>
        <v/>
      </c>
      <c r="BP567">
        <f>IF($H567="","",MAX(1,MIN(5,((6-$H567)*0.45)+($BJ567*0.20)+('Resilience &amp; Risk Scenario'!$B$7*0.15)+($BK567*0.10)+($BL567*0.05)+(IF($BB567="Fast",5,IF($BB567="Slow",1,3))*0.05))))</f>
        <v/>
      </c>
      <c r="BQ567">
        <f>IF($H567="","",MAX(IF($BN567="Yes",$BO567,1),MIN(5,($U567*0.20)+($V567*0.15)+($W567*0.25)+($X567*0.15)+($BJ567*0.10)+($BM567*0.15))))</f>
        <v/>
      </c>
      <c r="BR567">
        <f>IF(OR($BP567="",$BQ567=""),"",ROUND($BP567*$BQ567,2))</f>
        <v/>
      </c>
      <c r="BS567">
        <f>IF($BR567="","",ROUND($BR567*IF($AO567="",1,$AO567)*IF($AX567="",1,$AX567)*(1+(($BM567-3)*0.10))*IF($BC567="",1,$BC567),2))</f>
        <v/>
      </c>
    </row>
    <row r="568" ht="69.90000000000001" customHeight="1" s="209">
      <c r="A568">
        <f>IF($BD568="","",SUMPRODUCT(ISNUMBER($BD$500:$BD$923)*($BD$500:$BD$923&gt;$BD568))+COUNTIF($BD$500:$BD568,$BD568))</f>
        <v/>
      </c>
      <c r="B568">
        <f>IF($H568="","",IF($H568&lt;5,"Yes","Maintain"))</f>
        <v/>
      </c>
      <c r="C568" t="inlineStr">
        <is>
          <t>HR Workforce</t>
        </is>
      </c>
      <c r="D568" t="inlineStr">
        <is>
          <t>Workforce visibility</t>
        </is>
      </c>
      <c r="E568" t="inlineStr">
        <is>
          <t>HRWO-002</t>
        </is>
      </c>
      <c r="F568" t="inlineStr">
        <is>
          <t>People, critical roles and knowledge continuity</t>
        </is>
      </c>
      <c r="G568">
        <f>IF($H568="","",IFERROR(INDEX('_ENGINE_Risk'!$H$41:$M$920,MATCH($E568,'_ENGINE_Risk'!$A$41:$A$920,0),$H568+1),""))</f>
        <v/>
      </c>
      <c r="H568">
        <f>IFERROR(VALUE(INDEX(_DATA_Assessment_Model!$H$5:$H$884,MATCH($E568,_DATA_Assessment_Model!$A$5:$A$884,0))),"")</f>
        <v/>
      </c>
      <c r="I568">
        <f>IF($H568="","",IFERROR(INDEX(_DATA_Assessment_Model!$L$5:$L$884,MATCH($E568,_DATA_Assessment_Model!$A$5:$A$884,0)),IF($H568&lt;=1,"Critical",IF($H568=2,"High",IF($H568=3,"Medium",IF($H568=4,"Low","Resilient"))))))</f>
        <v/>
      </c>
      <c r="J568">
        <f>IF($H568="","",MIN(5,MAX(1,6-$H568)))</f>
        <v/>
      </c>
      <c r="K568">
        <f>IF($H568="","",MAX(1,MIN(5,ROUNDUP(($U568*0.45)+($W568*0.35)+($X568*0.2),0))))</f>
        <v/>
      </c>
      <c r="L568">
        <f>IF($H568="","",$J568*$K568)</f>
        <v/>
      </c>
      <c r="M568">
        <f>IF($H568="","",MAX(1,MIN(5,ROUNDUP($L568/5,0))))</f>
        <v/>
      </c>
      <c r="N568">
        <f>IF($H568="","",IFERROR(INDEX('_ENGINE_Risk'!$T$41:$Y$920,MATCH($E568,'_ENGINE_Risk'!$A$41:$A$920,0),$H568+1),""))</f>
        <v/>
      </c>
      <c r="O568">
        <f>IF($H568="","",MAX(1,MIN(5,($U568+$V568+$X568)/3)))</f>
        <v/>
      </c>
      <c r="P568">
        <f>IF($H568="","",IF($I568="Critical",5,IF($I568="High",4,IF($I568="Medium",3,IF($I568="Low",2,1)))))</f>
        <v/>
      </c>
      <c r="Q568">
        <f>IF($H568="","",MAX(1,MIN(5,((5-$H568)*0.65)+($W568*0.35))))</f>
        <v/>
      </c>
      <c r="R568">
        <f>IF($H568="","",MAX(1,MIN(5,($V568+$X568)/2)))</f>
        <v/>
      </c>
      <c r="S568">
        <f>IF(OR($H568="",$N568=""),"",ROUND(($O568+$P568+$Q568+$R568)/$N568,2))</f>
        <v/>
      </c>
      <c r="T568">
        <f>IF($H568="","",IFERROR(INDEX('_ENGINE_Risk'!$N$41:$S$920,MATCH($E568,'_ENGINE_Risk'!$A$41:$A$920,0),$H568+1),""))</f>
        <v/>
      </c>
      <c r="U568">
        <f>IFERROR(INDEX(_DATA_Assessment_Model!$G$5:$G$884,MATCH($E568,_DATA_Assessment_Model!$A$5:$A$884,0)),"")</f>
        <v/>
      </c>
      <c r="V568">
        <f>IFERROR(INDEX(_DATA_Assessment_Model!$W$5:$W$884,MATCH($E568,_DATA_Assessment_Model!$A$5:$A$884,0)),"")</f>
        <v/>
      </c>
      <c r="W568">
        <f>IFERROR(INDEX(_DATA_Assessment_Model!$X$5:$X$884,MATCH($E568,_DATA_Assessment_Model!$A$5:$A$884,0)),"")</f>
        <v/>
      </c>
      <c r="X568">
        <f>IFERROR(INDEX(_DATA_Assessment_Model!$Y$5:$Y$884,MATCH($E568,_DATA_Assessment_Model!$A$5:$A$884,0)),"")</f>
        <v/>
      </c>
      <c r="Y568" t="inlineStr">
        <is>
          <t>Workforce disruption; Pandemic/health crisis; War/security crisis</t>
        </is>
      </c>
      <c r="Z568" t="inlineStr">
        <is>
          <t>CHRO / HR</t>
        </is>
      </c>
      <c r="AA568" t="inlineStr">
        <is>
          <t>Policy/SOP; owner/RACI; system report; dashboard; contracts; test records; incident history; interview evidence related to critical role mapping by process dependency, customer impact, system access and knowledge concentration.</t>
        </is>
      </c>
      <c r="AB568">
        <f>IFERROR(INDEX(_DATA_Assessment_Model!$U$5:$U$884,MATCH($E568,_DATA_Assessment_Model!$A$5:$A$884,0)),"")</f>
        <v/>
      </c>
      <c r="AF568" t="inlineStr">
        <is>
          <t>How mature is the organization in managing critical role mapping by process dependency, customer impact, system access and knowledge concentration, including ownership, evidence, metrics, fallback procedures and crisis stress testing?</t>
        </is>
      </c>
      <c r="AO568">
        <f>IF($B568="Yes",IFERROR(INDEX(_ENGINE_Crisis!$F$501:$F$517,MATCH($C568,_ENGINE_Crisis!$A$501:$A$517,0)),1),"")</f>
        <v/>
      </c>
      <c r="AP568">
        <f>IF(AO568="","",ROUND($L568*AO568,1))</f>
        <v/>
      </c>
      <c r="AQ568">
        <f>IF(OR(AO568="",$S568=""),"",ROUND($S568*(0.7+0.3*AO568),2))</f>
        <v/>
      </c>
      <c r="AR568">
        <f>IFERROR(INDEX(_ENGINE_Crisis!$E$41:$E$700,MATCH('Resilience &amp; Risk Scenario'!$B$60&amp;"|"&amp;$C568,_ENGINE_Crisis!$I$41:$I$700,0)),"")</f>
        <v/>
      </c>
      <c r="AS568">
        <f>IFERROR(INDEX(_ENGINE_Crisis!$G$41:$G$700,MATCH('Resilience &amp; Risk Scenario'!$B$60&amp;"|"&amp;$C568,_ENGINE_Crisis!$I$41:$I$700,0)),"")</f>
        <v/>
      </c>
      <c r="AT568">
        <f>IFERROR(INDEX(_ENGINE_Initiatives!$A$5:$A$532,MATCH(1,INDEX((_ENGINE_Initiatives!$B$5:$B$532=$C568)*(_ENGINE_Initiatives!$C$5:$C$532=$D568),0),0)),"")</f>
        <v/>
      </c>
      <c r="AU568">
        <f>IFERROR(INDEX(_ENGINE_Initiatives!$F$5:$F$532,MATCH(1,INDEX((_ENGINE_Initiatives!$B$5:$B$532=$C568)*(_ENGINE_Initiatives!$C$5:$C$532=$D568),0),0)),"")</f>
        <v/>
      </c>
      <c r="AV568">
        <f>IFERROR(INDEX(_ENGINE_Initiatives!$AC$5:$AC$532,MATCH(1,INDEX((_ENGINE_Initiatives!$B$5:$B$532=$C568)*(_ENGINE_Initiatives!$C$5:$C$532=$D568),0),0)),"")</f>
        <v/>
      </c>
      <c r="AW568">
        <f>IFERROR(INDEX(_ENGINE_Initiatives!$AE$5:$AE$532,MATCH(1,INDEX((_ENGINE_Initiatives!$B$5:$B$532=$C568)*(_ENGINE_Initiatives!$C$5:$C$532=$D568),0),0)),"")</f>
        <v/>
      </c>
      <c r="AX568">
        <f>IF($B568="Yes",IFERROR(IF(SUMIFS(_REF_Model_Content!$E$1:$E$613,_REF_Model_Content!$A$1:$A$613,'Company Profile'!$B$9,_REF_Model_Content!$B$1:$B$613,$C568)=0,1,SUMIFS(_REF_Model_Content!$E$1:$E$613,_REF_Model_Content!$A$1:$A$613,'Company Profile'!$B$9,_REF_Model_Content!$B$1:$B$613,$C568)),1),"")</f>
        <v/>
      </c>
      <c r="AY568">
        <f>IF($L568="","",ROUND(IF($AP568="",$L568,$AP568)*IF($AX568="",1,$AX568),2))</f>
        <v/>
      </c>
      <c r="AZ568">
        <f>IF($S568="","",ROUND(IF($AQ568="",$S568,$AQ568)*IF($AX568="",1,$AX568),2))</f>
        <v/>
      </c>
      <c r="BB568">
        <f>IF($H568="","",IFERROR(INDEX('_ENGINE_Risk'!$AE$41:$AE$920,MATCH($E568,'_ENGINE_Risk'!$A$41:$A$920,0)),"Medium"))</f>
        <v/>
      </c>
      <c r="BC568">
        <f>IF($BB568="","",IF($BB568="Fast",1.25,IF($BB568="Slow",0.85,1)))</f>
        <v/>
      </c>
      <c r="BD568">
        <f>IF(OR($AZ568="",$BC568=""),"",ROUND($AZ568*$BC568,2))</f>
        <v/>
      </c>
      <c r="BF568">
        <f>IF(OR($H568="",$J568=""),"",_xlfn.IFNA(VLOOKUP($J568,_CONFIG_Model_Settings!$D$610:$E$614,2,0),""))</f>
        <v/>
      </c>
      <c r="BG568">
        <f>IF(OR($H568="",$K568=""),"",ROUND('Company Profile'!$B$569*INDEX(_CONFIG_Model_Settings!$H$610:$H$614,MATCH($K568,_CONFIG_Model_Settings!$G$610:$G$614,0)),0))</f>
        <v/>
      </c>
      <c r="BH568">
        <f>IF(OR($BF568="",$BG568=""),"",ROUND($BF568*$BG568,1))</f>
        <v/>
      </c>
      <c r="BI568">
        <f>IF($BH568="","",IF($AO568="",$BH568,ROUND($BH568*$AO568,1)))</f>
        <v/>
      </c>
      <c r="BJ568">
        <f>IF($E568="","",IFERROR(VLOOKUP($C568,'_CONFIG_Risk_Calibration'!$A$5:$H$21,2,FALSE),3))</f>
        <v/>
      </c>
      <c r="BK568">
        <f>IF($E568="","",IFERROR(VLOOKUP($C568,'_CONFIG_Risk_Calibration'!$A$5:$H$21,3,FALSE),0))</f>
        <v/>
      </c>
      <c r="BL568">
        <f>IF($E568="","",IFERROR(VLOOKUP($C568,'_CONFIG_Risk_Calibration'!$A$5:$H$21,4,FALSE),3))</f>
        <v/>
      </c>
      <c r="BM568">
        <f>IF($E568="","",IFERROR(VLOOKUP($C568,'_CONFIG_Risk_Calibration'!$A$5:$H$21,5,FALSE),3))</f>
        <v/>
      </c>
      <c r="BN568">
        <f>IF($E568="","",IFERROR(VLOOKUP($C568,'_CONFIG_Risk_Calibration'!$A$5:$H$21,6,FALSE),"No"))</f>
        <v/>
      </c>
      <c r="BO568">
        <f>IF($E568="","",IFERROR(VLOOKUP($C568,'_CONFIG_Risk_Calibration'!$A$5:$H$21,7,FALSE),1))</f>
        <v/>
      </c>
      <c r="BP568">
        <f>IF($H568="","",MAX(1,MIN(5,((6-$H568)*0.45)+($BJ568*0.20)+('Resilience &amp; Risk Scenario'!$B$7*0.15)+($BK568*0.10)+($BL568*0.05)+(IF($BB568="Fast",5,IF($BB568="Slow",1,3))*0.05))))</f>
        <v/>
      </c>
      <c r="BQ568">
        <f>IF($H568="","",MAX(IF($BN568="Yes",$BO568,1),MIN(5,($U568*0.20)+($V568*0.15)+($W568*0.25)+($X568*0.15)+($BJ568*0.10)+($BM568*0.15))))</f>
        <v/>
      </c>
      <c r="BR568">
        <f>IF(OR($BP568="",$BQ568=""),"",ROUND($BP568*$BQ568,2))</f>
        <v/>
      </c>
      <c r="BS568">
        <f>IF($BR568="","",ROUND($BR568*IF($AO568="",1,$AO568)*IF($AX568="",1,$AX568)*(1+(($BM568-3)*0.10))*IF($BC568="",1,$BC568),2))</f>
        <v/>
      </c>
    </row>
    <row r="569" ht="69.90000000000001" customHeight="1" s="209">
      <c r="A569">
        <f>IF($BD569="","",SUMPRODUCT(ISNUMBER($BD$500:$BD$923)*($BD$500:$BD$923&gt;$BD569))+COUNTIF($BD$500:$BD569,$BD569))</f>
        <v/>
      </c>
      <c r="B569">
        <f>IF($H569="","",IF($H569&lt;5,"Yes","Maintain"))</f>
        <v/>
      </c>
      <c r="C569" t="inlineStr">
        <is>
          <t>HR Workforce</t>
        </is>
      </c>
      <c r="D569" t="inlineStr">
        <is>
          <t>Workforce visibility</t>
        </is>
      </c>
      <c r="E569" t="inlineStr">
        <is>
          <t>HRWO-003</t>
        </is>
      </c>
      <c r="F569" t="inlineStr">
        <is>
          <t>People, critical roles and knowledge continuity</t>
        </is>
      </c>
      <c r="G569">
        <f>IF($H569="","",IFERROR(INDEX('_ENGINE_Risk'!$H$41:$M$920,MATCH($E569,'_ENGINE_Risk'!$A$41:$A$920,0),$H569+1),""))</f>
        <v/>
      </c>
      <c r="H569">
        <f>IFERROR(VALUE(INDEX(_DATA_Assessment_Model!$H$5:$H$884,MATCH($E569,_DATA_Assessment_Model!$A$5:$A$884,0))),"")</f>
        <v/>
      </c>
      <c r="I569">
        <f>IF($H569="","",IFERROR(INDEX(_DATA_Assessment_Model!$L$5:$L$884,MATCH($E569,_DATA_Assessment_Model!$A$5:$A$884,0)),IF($H569&lt;=1,"Critical",IF($H569=2,"High",IF($H569=3,"Medium",IF($H569=4,"Low","Resilient"))))))</f>
        <v/>
      </c>
      <c r="J569">
        <f>IF($H569="","",MIN(5,MAX(1,6-$H569)))</f>
        <v/>
      </c>
      <c r="K569">
        <f>IF($H569="","",MAX(1,MIN(5,ROUNDUP(($U569*0.45)+($W569*0.35)+($X569*0.2),0))))</f>
        <v/>
      </c>
      <c r="L569">
        <f>IF($H569="","",$J569*$K569)</f>
        <v/>
      </c>
      <c r="M569">
        <f>IF($H569="","",MAX(1,MIN(5,ROUNDUP($L569/5,0))))</f>
        <v/>
      </c>
      <c r="N569">
        <f>IF($H569="","",IFERROR(INDEX('_ENGINE_Risk'!$T$41:$Y$920,MATCH($E569,'_ENGINE_Risk'!$A$41:$A$920,0),$H569+1),""))</f>
        <v/>
      </c>
      <c r="O569">
        <f>IF($H569="","",MAX(1,MIN(5,($U569+$V569+$X569)/3)))</f>
        <v/>
      </c>
      <c r="P569">
        <f>IF($H569="","",IF($I569="Critical",5,IF($I569="High",4,IF($I569="Medium",3,IF($I569="Low",2,1)))))</f>
        <v/>
      </c>
      <c r="Q569">
        <f>IF($H569="","",MAX(1,MIN(5,((5-$H569)*0.65)+($W569*0.35))))</f>
        <v/>
      </c>
      <c r="R569">
        <f>IF($H569="","",MAX(1,MIN(5,($V569+$X569)/2)))</f>
        <v/>
      </c>
      <c r="S569">
        <f>IF(OR($H569="",$N569=""),"",ROUND(($O569+$P569+$Q569+$R569)/$N569,2))</f>
        <v/>
      </c>
      <c r="T569">
        <f>IF($H569="","",IFERROR(INDEX('_ENGINE_Risk'!$N$41:$S$920,MATCH($E569,'_ENGINE_Risk'!$A$41:$A$920,0),$H569+1),""))</f>
        <v/>
      </c>
      <c r="U569">
        <f>IFERROR(INDEX(_DATA_Assessment_Model!$G$5:$G$884,MATCH($E569,_DATA_Assessment_Model!$A$5:$A$884,0)),"")</f>
        <v/>
      </c>
      <c r="V569">
        <f>IFERROR(INDEX(_DATA_Assessment_Model!$W$5:$W$884,MATCH($E569,_DATA_Assessment_Model!$A$5:$A$884,0)),"")</f>
        <v/>
      </c>
      <c r="W569">
        <f>IFERROR(INDEX(_DATA_Assessment_Model!$X$5:$X$884,MATCH($E569,_DATA_Assessment_Model!$A$5:$A$884,0)),"")</f>
        <v/>
      </c>
      <c r="X569">
        <f>IFERROR(INDEX(_DATA_Assessment_Model!$Y$5:$Y$884,MATCH($E569,_DATA_Assessment_Model!$A$5:$A$884,0)),"")</f>
        <v/>
      </c>
      <c r="Y569" t="inlineStr">
        <is>
          <t>Workforce disruption; Pandemic/health crisis; War/security crisis</t>
        </is>
      </c>
      <c r="Z569" t="inlineStr">
        <is>
          <t>CHRO / HR</t>
        </is>
      </c>
      <c r="AA569" t="inlineStr">
        <is>
          <t>Policy/SOP; owner/RACI; system report; dashboard; contracts; test records; incident history; interview evidence related to key-person risk for executives, founders, architects, plant specialists, client owners and finance signatories.</t>
        </is>
      </c>
      <c r="AB569">
        <f>IFERROR(INDEX(_DATA_Assessment_Model!$U$5:$U$884,MATCH($E569,_DATA_Assessment_Model!$A$5:$A$884,0)),"")</f>
        <v/>
      </c>
      <c r="AF569" t="inlineStr">
        <is>
          <t>How mature is the organization in managing key-person risk for executives, founders, architects, plant specialists, client owners and finance signatories, including ownership, evidence, metrics, fallback procedures and crisis stress testing?</t>
        </is>
      </c>
      <c r="AO569">
        <f>IF($B569="Yes",IFERROR(INDEX(_ENGINE_Crisis!$F$501:$F$517,MATCH($C569,_ENGINE_Crisis!$A$501:$A$517,0)),1),"")</f>
        <v/>
      </c>
      <c r="AP569">
        <f>IF(AO569="","",ROUND($L569*AO569,1))</f>
        <v/>
      </c>
      <c r="AQ569">
        <f>IF(OR(AO569="",$S569=""),"",ROUND($S569*(0.7+0.3*AO569),2))</f>
        <v/>
      </c>
      <c r="AR569">
        <f>IFERROR(INDEX(_ENGINE_Crisis!$E$41:$E$700,MATCH('Resilience &amp; Risk Scenario'!$B$60&amp;"|"&amp;$C569,_ENGINE_Crisis!$I$41:$I$700,0)),"")</f>
        <v/>
      </c>
      <c r="AS569">
        <f>IFERROR(INDEX(_ENGINE_Crisis!$G$41:$G$700,MATCH('Resilience &amp; Risk Scenario'!$B$60&amp;"|"&amp;$C569,_ENGINE_Crisis!$I$41:$I$700,0)),"")</f>
        <v/>
      </c>
      <c r="AT569">
        <f>IFERROR(INDEX(_ENGINE_Initiatives!$A$5:$A$532,MATCH(1,INDEX((_ENGINE_Initiatives!$B$5:$B$532=$C569)*(_ENGINE_Initiatives!$C$5:$C$532=$D569),0),0)),"")</f>
        <v/>
      </c>
      <c r="AU569">
        <f>IFERROR(INDEX(_ENGINE_Initiatives!$F$5:$F$532,MATCH(1,INDEX((_ENGINE_Initiatives!$B$5:$B$532=$C569)*(_ENGINE_Initiatives!$C$5:$C$532=$D569),0),0)),"")</f>
        <v/>
      </c>
      <c r="AV569">
        <f>IFERROR(INDEX(_ENGINE_Initiatives!$AC$5:$AC$532,MATCH(1,INDEX((_ENGINE_Initiatives!$B$5:$B$532=$C569)*(_ENGINE_Initiatives!$C$5:$C$532=$D569),0),0)),"")</f>
        <v/>
      </c>
      <c r="AW569">
        <f>IFERROR(INDEX(_ENGINE_Initiatives!$AE$5:$AE$532,MATCH(1,INDEX((_ENGINE_Initiatives!$B$5:$B$532=$C569)*(_ENGINE_Initiatives!$C$5:$C$532=$D569),0),0)),"")</f>
        <v/>
      </c>
      <c r="AX569">
        <f>IF($B569="Yes",IFERROR(IF(SUMIFS(_REF_Model_Content!$E$1:$E$613,_REF_Model_Content!$A$1:$A$613,'Company Profile'!$B$9,_REF_Model_Content!$B$1:$B$613,$C569)=0,1,SUMIFS(_REF_Model_Content!$E$1:$E$613,_REF_Model_Content!$A$1:$A$613,'Company Profile'!$B$9,_REF_Model_Content!$B$1:$B$613,$C569)),1),"")</f>
        <v/>
      </c>
      <c r="AY569">
        <f>IF($L569="","",ROUND(IF($AP569="",$L569,$AP569)*IF($AX569="",1,$AX569),2))</f>
        <v/>
      </c>
      <c r="AZ569">
        <f>IF($S569="","",ROUND(IF($AQ569="",$S569,$AQ569)*IF($AX569="",1,$AX569),2))</f>
        <v/>
      </c>
      <c r="BB569">
        <f>IF($H569="","",IFERROR(INDEX('_ENGINE_Risk'!$AE$41:$AE$920,MATCH($E569,'_ENGINE_Risk'!$A$41:$A$920,0)),"Medium"))</f>
        <v/>
      </c>
      <c r="BC569">
        <f>IF($BB569="","",IF($BB569="Fast",1.25,IF($BB569="Slow",0.85,1)))</f>
        <v/>
      </c>
      <c r="BD569">
        <f>IF(OR($AZ569="",$BC569=""),"",ROUND($AZ569*$BC569,2))</f>
        <v/>
      </c>
      <c r="BF569">
        <f>IF(OR($H569="",$J569=""),"",_xlfn.IFNA(VLOOKUP($J569,_CONFIG_Model_Settings!$D$610:$E$614,2,0),""))</f>
        <v/>
      </c>
      <c r="BG569">
        <f>IF(OR($H569="",$K569=""),"",ROUND('Company Profile'!$B$569*INDEX(_CONFIG_Model_Settings!$H$610:$H$614,MATCH($K569,_CONFIG_Model_Settings!$G$610:$G$614,0)),0))</f>
        <v/>
      </c>
      <c r="BH569">
        <f>IF(OR($BF569="",$BG569=""),"",ROUND($BF569*$BG569,1))</f>
        <v/>
      </c>
      <c r="BI569">
        <f>IF($BH569="","",IF($AO569="",$BH569,ROUND($BH569*$AO569,1)))</f>
        <v/>
      </c>
      <c r="BJ569">
        <f>IF($E569="","",IFERROR(VLOOKUP($C569,'_CONFIG_Risk_Calibration'!$A$5:$H$21,2,FALSE),3))</f>
        <v/>
      </c>
      <c r="BK569">
        <f>IF($E569="","",IFERROR(VLOOKUP($C569,'_CONFIG_Risk_Calibration'!$A$5:$H$21,3,FALSE),0))</f>
        <v/>
      </c>
      <c r="BL569">
        <f>IF($E569="","",IFERROR(VLOOKUP($C569,'_CONFIG_Risk_Calibration'!$A$5:$H$21,4,FALSE),3))</f>
        <v/>
      </c>
      <c r="BM569">
        <f>IF($E569="","",IFERROR(VLOOKUP($C569,'_CONFIG_Risk_Calibration'!$A$5:$H$21,5,FALSE),3))</f>
        <v/>
      </c>
      <c r="BN569">
        <f>IF($E569="","",IFERROR(VLOOKUP($C569,'_CONFIG_Risk_Calibration'!$A$5:$H$21,6,FALSE),"No"))</f>
        <v/>
      </c>
      <c r="BO569">
        <f>IF($E569="","",IFERROR(VLOOKUP($C569,'_CONFIG_Risk_Calibration'!$A$5:$H$21,7,FALSE),1))</f>
        <v/>
      </c>
      <c r="BP569">
        <f>IF($H569="","",MAX(1,MIN(5,((6-$H569)*0.45)+($BJ569*0.20)+('Resilience &amp; Risk Scenario'!$B$7*0.15)+($BK569*0.10)+($BL569*0.05)+(IF($BB569="Fast",5,IF($BB569="Slow",1,3))*0.05))))</f>
        <v/>
      </c>
      <c r="BQ569">
        <f>IF($H569="","",MAX(IF($BN569="Yes",$BO569,1),MIN(5,($U569*0.20)+($V569*0.15)+($W569*0.25)+($X569*0.15)+($BJ569*0.10)+($BM569*0.15))))</f>
        <v/>
      </c>
      <c r="BR569">
        <f>IF(OR($BP569="",$BQ569=""),"",ROUND($BP569*$BQ569,2))</f>
        <v/>
      </c>
      <c r="BS569">
        <f>IF($BR569="","",ROUND($BR569*IF($AO569="",1,$AO569)*IF($AX569="",1,$AX569)*(1+(($BM569-3)*0.10))*IF($BC569="",1,$BC569),2))</f>
        <v/>
      </c>
    </row>
    <row r="570" ht="69.90000000000001" customHeight="1" s="209">
      <c r="A570">
        <f>IF($BD570="","",SUMPRODUCT(ISNUMBER($BD$500:$BD$923)*($BD$500:$BD$923&gt;$BD570))+COUNTIF($BD$500:$BD570,$BD570))</f>
        <v/>
      </c>
      <c r="B570">
        <f>IF($H570="","",IF($H570&lt;5,"Yes","Maintain"))</f>
        <v/>
      </c>
      <c r="C570" t="inlineStr">
        <is>
          <t>HR Workforce</t>
        </is>
      </c>
      <c r="D570" t="inlineStr">
        <is>
          <t>Workforce visibility</t>
        </is>
      </c>
      <c r="E570" t="inlineStr">
        <is>
          <t>HRWO-004</t>
        </is>
      </c>
      <c r="F570" t="inlineStr">
        <is>
          <t>People, critical roles and knowledge continuity</t>
        </is>
      </c>
      <c r="G570">
        <f>IF($H570="","",IFERROR(INDEX('_ENGINE_Risk'!$H$41:$M$920,MATCH($E570,'_ENGINE_Risk'!$A$41:$A$920,0),$H570+1),""))</f>
        <v/>
      </c>
      <c r="H570">
        <f>IFERROR(VALUE(INDEX(_DATA_Assessment_Model!$H$5:$H$884,MATCH($E570,_DATA_Assessment_Model!$A$5:$A$884,0))),"")</f>
        <v/>
      </c>
      <c r="I570">
        <f>IF($H570="","",IFERROR(INDEX(_DATA_Assessment_Model!$L$5:$L$884,MATCH($E570,_DATA_Assessment_Model!$A$5:$A$884,0)),IF($H570&lt;=1,"Critical",IF($H570=2,"High",IF($H570=3,"Medium",IF($H570=4,"Low","Resilient"))))))</f>
        <v/>
      </c>
      <c r="J570">
        <f>IF($H570="","",MIN(5,MAX(1,6-$H570)))</f>
        <v/>
      </c>
      <c r="K570">
        <f>IF($H570="","",MAX(1,MIN(5,ROUNDUP(($U570*0.45)+($W570*0.35)+($X570*0.2),0))))</f>
        <v/>
      </c>
      <c r="L570">
        <f>IF($H570="","",$J570*$K570)</f>
        <v/>
      </c>
      <c r="M570">
        <f>IF($H570="","",MAX(1,MIN(5,ROUNDUP($L570/5,0))))</f>
        <v/>
      </c>
      <c r="N570">
        <f>IF($H570="","",IFERROR(INDEX('_ENGINE_Risk'!$T$41:$Y$920,MATCH($E570,'_ENGINE_Risk'!$A$41:$A$920,0),$H570+1),""))</f>
        <v/>
      </c>
      <c r="O570">
        <f>IF($H570="","",MAX(1,MIN(5,($U570+$V570+$X570)/3)))</f>
        <v/>
      </c>
      <c r="P570">
        <f>IF($H570="","",IF($I570="Critical",5,IF($I570="High",4,IF($I570="Medium",3,IF($I570="Low",2,1)))))</f>
        <v/>
      </c>
      <c r="Q570">
        <f>IF($H570="","",MAX(1,MIN(5,((5-$H570)*0.65)+($W570*0.35))))</f>
        <v/>
      </c>
      <c r="R570">
        <f>IF($H570="","",MAX(1,MIN(5,($V570+$X570)/2)))</f>
        <v/>
      </c>
      <c r="S570">
        <f>IF(OR($H570="",$N570=""),"",ROUND(($O570+$P570+$Q570+$R570)/$N570,2))</f>
        <v/>
      </c>
      <c r="T570">
        <f>IF($H570="","",IFERROR(INDEX('_ENGINE_Risk'!$N$41:$S$920,MATCH($E570,'_ENGINE_Risk'!$A$41:$A$920,0),$H570+1),""))</f>
        <v/>
      </c>
      <c r="U570">
        <f>IFERROR(INDEX(_DATA_Assessment_Model!$G$5:$G$884,MATCH($E570,_DATA_Assessment_Model!$A$5:$A$884,0)),"")</f>
        <v/>
      </c>
      <c r="V570">
        <f>IFERROR(INDEX(_DATA_Assessment_Model!$W$5:$W$884,MATCH($E570,_DATA_Assessment_Model!$A$5:$A$884,0)),"")</f>
        <v/>
      </c>
      <c r="W570">
        <f>IFERROR(INDEX(_DATA_Assessment_Model!$X$5:$X$884,MATCH($E570,_DATA_Assessment_Model!$A$5:$A$884,0)),"")</f>
        <v/>
      </c>
      <c r="X570">
        <f>IFERROR(INDEX(_DATA_Assessment_Model!$Y$5:$Y$884,MATCH($E570,_DATA_Assessment_Model!$A$5:$A$884,0)),"")</f>
        <v/>
      </c>
      <c r="Y570" t="inlineStr">
        <is>
          <t>Workforce disruption; Pandemic/health crisis; War/security crisis</t>
        </is>
      </c>
      <c r="Z570" t="inlineStr">
        <is>
          <t>CHRO / HR</t>
        </is>
      </c>
      <c r="AA570" t="inlineStr">
        <is>
          <t>Policy/SOP; owner/RACI; system report; dashboard; contracts; test records; incident history; interview evidence related to skills matrix linked to critical processes, systems, products, sites and backup coverage.</t>
        </is>
      </c>
      <c r="AB570">
        <f>IFERROR(INDEX(_DATA_Assessment_Model!$U$5:$U$884,MATCH($E570,_DATA_Assessment_Model!$A$5:$A$884,0)),"")</f>
        <v/>
      </c>
      <c r="AF570" t="inlineStr">
        <is>
          <t>How mature is the organization in managing skills matrix linked to critical processes, systems, products, sites and backup coverage, including ownership, evidence, metrics, fallback procedures and crisis stress testing?</t>
        </is>
      </c>
      <c r="AO570">
        <f>IF($B570="Yes",IFERROR(INDEX(_ENGINE_Crisis!$F$501:$F$517,MATCH($C570,_ENGINE_Crisis!$A$501:$A$517,0)),1),"")</f>
        <v/>
      </c>
      <c r="AP570">
        <f>IF(AO570="","",ROUND($L570*AO570,1))</f>
        <v/>
      </c>
      <c r="AQ570">
        <f>IF(OR(AO570="",$S570=""),"",ROUND($S570*(0.7+0.3*AO570),2))</f>
        <v/>
      </c>
      <c r="AR570">
        <f>IFERROR(INDEX(_ENGINE_Crisis!$E$41:$E$700,MATCH('Resilience &amp; Risk Scenario'!$B$60&amp;"|"&amp;$C570,_ENGINE_Crisis!$I$41:$I$700,0)),"")</f>
        <v/>
      </c>
      <c r="AS570">
        <f>IFERROR(INDEX(_ENGINE_Crisis!$G$41:$G$700,MATCH('Resilience &amp; Risk Scenario'!$B$60&amp;"|"&amp;$C570,_ENGINE_Crisis!$I$41:$I$700,0)),"")</f>
        <v/>
      </c>
      <c r="AT570">
        <f>IFERROR(INDEX(_ENGINE_Initiatives!$A$5:$A$532,MATCH(1,INDEX((_ENGINE_Initiatives!$B$5:$B$532=$C570)*(_ENGINE_Initiatives!$C$5:$C$532=$D570),0),0)),"")</f>
        <v/>
      </c>
      <c r="AU570">
        <f>IFERROR(INDEX(_ENGINE_Initiatives!$F$5:$F$532,MATCH(1,INDEX((_ENGINE_Initiatives!$B$5:$B$532=$C570)*(_ENGINE_Initiatives!$C$5:$C$532=$D570),0),0)),"")</f>
        <v/>
      </c>
      <c r="AV570">
        <f>IFERROR(INDEX(_ENGINE_Initiatives!$AC$5:$AC$532,MATCH(1,INDEX((_ENGINE_Initiatives!$B$5:$B$532=$C570)*(_ENGINE_Initiatives!$C$5:$C$532=$D570),0),0)),"")</f>
        <v/>
      </c>
      <c r="AW570">
        <f>IFERROR(INDEX(_ENGINE_Initiatives!$AE$5:$AE$532,MATCH(1,INDEX((_ENGINE_Initiatives!$B$5:$B$532=$C570)*(_ENGINE_Initiatives!$C$5:$C$532=$D570),0),0)),"")</f>
        <v/>
      </c>
      <c r="AX570">
        <f>IF($B570="Yes",IFERROR(IF(SUMIFS(_REF_Model_Content!$E$1:$E$613,_REF_Model_Content!$A$1:$A$613,'Company Profile'!$B$9,_REF_Model_Content!$B$1:$B$613,$C570)=0,1,SUMIFS(_REF_Model_Content!$E$1:$E$613,_REF_Model_Content!$A$1:$A$613,'Company Profile'!$B$9,_REF_Model_Content!$B$1:$B$613,$C570)),1),"")</f>
        <v/>
      </c>
      <c r="AY570">
        <f>IF($L570="","",ROUND(IF($AP570="",$L570,$AP570)*IF($AX570="",1,$AX570),2))</f>
        <v/>
      </c>
      <c r="AZ570">
        <f>IF($S570="","",ROUND(IF($AQ570="",$S570,$AQ570)*IF($AX570="",1,$AX570),2))</f>
        <v/>
      </c>
      <c r="BB570">
        <f>IF($H570="","",IFERROR(INDEX('_ENGINE_Risk'!$AE$41:$AE$920,MATCH($E570,'_ENGINE_Risk'!$A$41:$A$920,0)),"Medium"))</f>
        <v/>
      </c>
      <c r="BC570">
        <f>IF($BB570="","",IF($BB570="Fast",1.25,IF($BB570="Slow",0.85,1)))</f>
        <v/>
      </c>
      <c r="BD570">
        <f>IF(OR($AZ570="",$BC570=""),"",ROUND($AZ570*$BC570,2))</f>
        <v/>
      </c>
      <c r="BF570">
        <f>IF(OR($H570="",$J570=""),"",_xlfn.IFNA(VLOOKUP($J570,_CONFIG_Model_Settings!$D$610:$E$614,2,0),""))</f>
        <v/>
      </c>
      <c r="BG570">
        <f>IF(OR($H570="",$K570=""),"",ROUND('Company Profile'!$B$569*INDEX(_CONFIG_Model_Settings!$H$610:$H$614,MATCH($K570,_CONFIG_Model_Settings!$G$610:$G$614,0)),0))</f>
        <v/>
      </c>
      <c r="BH570">
        <f>IF(OR($BF570="",$BG570=""),"",ROUND($BF570*$BG570,1))</f>
        <v/>
      </c>
      <c r="BI570">
        <f>IF($BH570="","",IF($AO570="",$BH570,ROUND($BH570*$AO570,1)))</f>
        <v/>
      </c>
      <c r="BJ570">
        <f>IF($E570="","",IFERROR(VLOOKUP($C570,'_CONFIG_Risk_Calibration'!$A$5:$H$21,2,FALSE),3))</f>
        <v/>
      </c>
      <c r="BK570">
        <f>IF($E570="","",IFERROR(VLOOKUP($C570,'_CONFIG_Risk_Calibration'!$A$5:$H$21,3,FALSE),0))</f>
        <v/>
      </c>
      <c r="BL570">
        <f>IF($E570="","",IFERROR(VLOOKUP($C570,'_CONFIG_Risk_Calibration'!$A$5:$H$21,4,FALSE),3))</f>
        <v/>
      </c>
      <c r="BM570">
        <f>IF($E570="","",IFERROR(VLOOKUP($C570,'_CONFIG_Risk_Calibration'!$A$5:$H$21,5,FALSE),3))</f>
        <v/>
      </c>
      <c r="BN570">
        <f>IF($E570="","",IFERROR(VLOOKUP($C570,'_CONFIG_Risk_Calibration'!$A$5:$H$21,6,FALSE),"No"))</f>
        <v/>
      </c>
      <c r="BO570">
        <f>IF($E570="","",IFERROR(VLOOKUP($C570,'_CONFIG_Risk_Calibration'!$A$5:$H$21,7,FALSE),1))</f>
        <v/>
      </c>
      <c r="BP570">
        <f>IF($H570="","",MAX(1,MIN(5,((6-$H570)*0.45)+($BJ570*0.20)+('Resilience &amp; Risk Scenario'!$B$7*0.15)+($BK570*0.10)+($BL570*0.05)+(IF($BB570="Fast",5,IF($BB570="Slow",1,3))*0.05))))</f>
        <v/>
      </c>
      <c r="BQ570">
        <f>IF($H570="","",MAX(IF($BN570="Yes",$BO570,1),MIN(5,($U570*0.20)+($V570*0.15)+($W570*0.25)+($X570*0.15)+($BJ570*0.10)+($BM570*0.15))))</f>
        <v/>
      </c>
      <c r="BR570">
        <f>IF(OR($BP570="",$BQ570=""),"",ROUND($BP570*$BQ570,2))</f>
        <v/>
      </c>
      <c r="BS570">
        <f>IF($BR570="","",ROUND($BR570*IF($AO570="",1,$AO570)*IF($AX570="",1,$AX570)*(1+(($BM570-3)*0.10))*IF($BC570="",1,$BC570),2))</f>
        <v/>
      </c>
    </row>
    <row r="571" ht="69.90000000000001" customHeight="1" s="209">
      <c r="A571">
        <f>IF($BD571="","",SUMPRODUCT(ISNUMBER($BD$500:$BD$923)*($BD$500:$BD$923&gt;$BD571))+COUNTIF($BD$500:$BD571,$BD571))</f>
        <v/>
      </c>
      <c r="B571">
        <f>IF($H571="","",IF($H571&lt;5,"Yes","Maintain"))</f>
        <v/>
      </c>
      <c r="C571" t="inlineStr">
        <is>
          <t>HR Workforce</t>
        </is>
      </c>
      <c r="D571" t="inlineStr">
        <is>
          <t>Workforce visibility</t>
        </is>
      </c>
      <c r="E571" t="inlineStr">
        <is>
          <t>HRWO-005</t>
        </is>
      </c>
      <c r="F571" t="inlineStr">
        <is>
          <t>People, critical roles and knowledge continuity</t>
        </is>
      </c>
      <c r="G571">
        <f>IF($H571="","",IFERROR(INDEX('_ENGINE_Risk'!$H$41:$M$920,MATCH($E571,'_ENGINE_Risk'!$A$41:$A$920,0),$H571+1),""))</f>
        <v/>
      </c>
      <c r="H571">
        <f>IFERROR(VALUE(INDEX(_DATA_Assessment_Model!$H$5:$H$884,MATCH($E571,_DATA_Assessment_Model!$A$5:$A$884,0))),"")</f>
        <v/>
      </c>
      <c r="I571">
        <f>IF($H571="","",IFERROR(INDEX(_DATA_Assessment_Model!$L$5:$L$884,MATCH($E571,_DATA_Assessment_Model!$A$5:$A$884,0)),IF($H571&lt;=1,"Critical",IF($H571=2,"High",IF($H571=3,"Medium",IF($H571=4,"Low","Resilient"))))))</f>
        <v/>
      </c>
      <c r="J571">
        <f>IF($H571="","",MIN(5,MAX(1,6-$H571)))</f>
        <v/>
      </c>
      <c r="K571">
        <f>IF($H571="","",MAX(1,MIN(5,ROUNDUP(($U571*0.45)+($W571*0.35)+($X571*0.2),0))))</f>
        <v/>
      </c>
      <c r="L571">
        <f>IF($H571="","",$J571*$K571)</f>
        <v/>
      </c>
      <c r="M571">
        <f>IF($H571="","",MAX(1,MIN(5,ROUNDUP($L571/5,0))))</f>
        <v/>
      </c>
      <c r="N571">
        <f>IF($H571="","",IFERROR(INDEX('_ENGINE_Risk'!$T$41:$Y$920,MATCH($E571,'_ENGINE_Risk'!$A$41:$A$920,0),$H571+1),""))</f>
        <v/>
      </c>
      <c r="O571">
        <f>IF($H571="","",MAX(1,MIN(5,($U571+$V571+$X571)/3)))</f>
        <v/>
      </c>
      <c r="P571">
        <f>IF($H571="","",IF($I571="Critical",5,IF($I571="High",4,IF($I571="Medium",3,IF($I571="Low",2,1)))))</f>
        <v/>
      </c>
      <c r="Q571">
        <f>IF($H571="","",MAX(1,MIN(5,((5-$H571)*0.65)+($W571*0.35))))</f>
        <v/>
      </c>
      <c r="R571">
        <f>IF($H571="","",MAX(1,MIN(5,($V571+$X571)/2)))</f>
        <v/>
      </c>
      <c r="S571">
        <f>IF(OR($H571="",$N571=""),"",ROUND(($O571+$P571+$Q571+$R571)/$N571,2))</f>
        <v/>
      </c>
      <c r="T571">
        <f>IF($H571="","",IFERROR(INDEX('_ENGINE_Risk'!$N$41:$S$920,MATCH($E571,'_ENGINE_Risk'!$A$41:$A$920,0),$H571+1),""))</f>
        <v/>
      </c>
      <c r="U571">
        <f>IFERROR(INDEX(_DATA_Assessment_Model!$G$5:$G$884,MATCH($E571,_DATA_Assessment_Model!$A$5:$A$884,0)),"")</f>
        <v/>
      </c>
      <c r="V571">
        <f>IFERROR(INDEX(_DATA_Assessment_Model!$W$5:$W$884,MATCH($E571,_DATA_Assessment_Model!$A$5:$A$884,0)),"")</f>
        <v/>
      </c>
      <c r="W571">
        <f>IFERROR(INDEX(_DATA_Assessment_Model!$X$5:$X$884,MATCH($E571,_DATA_Assessment_Model!$A$5:$A$884,0)),"")</f>
        <v/>
      </c>
      <c r="X571">
        <f>IFERROR(INDEX(_DATA_Assessment_Model!$Y$5:$Y$884,MATCH($E571,_DATA_Assessment_Model!$A$5:$A$884,0)),"")</f>
        <v/>
      </c>
      <c r="Y571" t="inlineStr">
        <is>
          <t>Workforce disruption; Pandemic/health crisis; War/security crisis</t>
        </is>
      </c>
      <c r="Z571" t="inlineStr">
        <is>
          <t>CHRO / HR</t>
        </is>
      </c>
      <c r="AA571" t="inlineStr">
        <is>
          <t>Policy/SOP; owner/RACI; system report; dashboard; contracts; test records; incident history; interview evidence related to minimum staffing levels for critical functions, shifts, production lines and customer support.</t>
        </is>
      </c>
      <c r="AB571">
        <f>IFERROR(INDEX(_DATA_Assessment_Model!$U$5:$U$884,MATCH($E571,_DATA_Assessment_Model!$A$5:$A$884,0)),"")</f>
        <v/>
      </c>
      <c r="AF571" t="inlineStr">
        <is>
          <t>How mature is the organization in managing minimum staffing levels for critical functions, shifts, production lines and customer support, including ownership, evidence, metrics, fallback procedures and crisis stress testing?</t>
        </is>
      </c>
      <c r="AO571">
        <f>IF($B571="Yes",IFERROR(INDEX(_ENGINE_Crisis!$F$501:$F$517,MATCH($C571,_ENGINE_Crisis!$A$501:$A$517,0)),1),"")</f>
        <v/>
      </c>
      <c r="AP571">
        <f>IF(AO571="","",ROUND($L571*AO571,1))</f>
        <v/>
      </c>
      <c r="AQ571">
        <f>IF(OR(AO571="",$S571=""),"",ROUND($S571*(0.7+0.3*AO571),2))</f>
        <v/>
      </c>
      <c r="AR571">
        <f>IFERROR(INDEX(_ENGINE_Crisis!$E$41:$E$700,MATCH('Resilience &amp; Risk Scenario'!$B$60&amp;"|"&amp;$C571,_ENGINE_Crisis!$I$41:$I$700,0)),"")</f>
        <v/>
      </c>
      <c r="AS571">
        <f>IFERROR(INDEX(_ENGINE_Crisis!$G$41:$G$700,MATCH('Resilience &amp; Risk Scenario'!$B$60&amp;"|"&amp;$C571,_ENGINE_Crisis!$I$41:$I$700,0)),"")</f>
        <v/>
      </c>
      <c r="AT571">
        <f>IFERROR(INDEX(_ENGINE_Initiatives!$A$5:$A$532,MATCH(1,INDEX((_ENGINE_Initiatives!$B$5:$B$532=$C571)*(_ENGINE_Initiatives!$C$5:$C$532=$D571),0),0)),"")</f>
        <v/>
      </c>
      <c r="AU571">
        <f>IFERROR(INDEX(_ENGINE_Initiatives!$F$5:$F$532,MATCH(1,INDEX((_ENGINE_Initiatives!$B$5:$B$532=$C571)*(_ENGINE_Initiatives!$C$5:$C$532=$D571),0),0)),"")</f>
        <v/>
      </c>
      <c r="AV571">
        <f>IFERROR(INDEX(_ENGINE_Initiatives!$AC$5:$AC$532,MATCH(1,INDEX((_ENGINE_Initiatives!$B$5:$B$532=$C571)*(_ENGINE_Initiatives!$C$5:$C$532=$D571),0),0)),"")</f>
        <v/>
      </c>
      <c r="AW571">
        <f>IFERROR(INDEX(_ENGINE_Initiatives!$AE$5:$AE$532,MATCH(1,INDEX((_ENGINE_Initiatives!$B$5:$B$532=$C571)*(_ENGINE_Initiatives!$C$5:$C$532=$D571),0),0)),"")</f>
        <v/>
      </c>
      <c r="AX571">
        <f>IF($B571="Yes",IFERROR(IF(SUMIFS(_REF_Model_Content!$E$1:$E$613,_REF_Model_Content!$A$1:$A$613,'Company Profile'!$B$9,_REF_Model_Content!$B$1:$B$613,$C571)=0,1,SUMIFS(_REF_Model_Content!$E$1:$E$613,_REF_Model_Content!$A$1:$A$613,'Company Profile'!$B$9,_REF_Model_Content!$B$1:$B$613,$C571)),1),"")</f>
        <v/>
      </c>
      <c r="AY571">
        <f>IF($L571="","",ROUND(IF($AP571="",$L571,$AP571)*IF($AX571="",1,$AX571),2))</f>
        <v/>
      </c>
      <c r="AZ571">
        <f>IF($S571="","",ROUND(IF($AQ571="",$S571,$AQ571)*IF($AX571="",1,$AX571),2))</f>
        <v/>
      </c>
      <c r="BB571">
        <f>IF($H571="","",IFERROR(INDEX('_ENGINE_Risk'!$AE$41:$AE$920,MATCH($E571,'_ENGINE_Risk'!$A$41:$A$920,0)),"Medium"))</f>
        <v/>
      </c>
      <c r="BC571">
        <f>IF($BB571="","",IF($BB571="Fast",1.25,IF($BB571="Slow",0.85,1)))</f>
        <v/>
      </c>
      <c r="BD571">
        <f>IF(OR($AZ571="",$BC571=""),"",ROUND($AZ571*$BC571,2))</f>
        <v/>
      </c>
      <c r="BF571">
        <f>IF(OR($H571="",$J571=""),"",_xlfn.IFNA(VLOOKUP($J571,_CONFIG_Model_Settings!$D$610:$E$614,2,0),""))</f>
        <v/>
      </c>
      <c r="BG571">
        <f>IF(OR($H571="",$K571=""),"",ROUND('Company Profile'!$B$569*INDEX(_CONFIG_Model_Settings!$H$610:$H$614,MATCH($K571,_CONFIG_Model_Settings!$G$610:$G$614,0)),0))</f>
        <v/>
      </c>
      <c r="BH571">
        <f>IF(OR($BF571="",$BG571=""),"",ROUND($BF571*$BG571,1))</f>
        <v/>
      </c>
      <c r="BI571">
        <f>IF($BH571="","",IF($AO571="",$BH571,ROUND($BH571*$AO571,1)))</f>
        <v/>
      </c>
      <c r="BJ571">
        <f>IF($E571="","",IFERROR(VLOOKUP($C571,'_CONFIG_Risk_Calibration'!$A$5:$H$21,2,FALSE),3))</f>
        <v/>
      </c>
      <c r="BK571">
        <f>IF($E571="","",IFERROR(VLOOKUP($C571,'_CONFIG_Risk_Calibration'!$A$5:$H$21,3,FALSE),0))</f>
        <v/>
      </c>
      <c r="BL571">
        <f>IF($E571="","",IFERROR(VLOOKUP($C571,'_CONFIG_Risk_Calibration'!$A$5:$H$21,4,FALSE),3))</f>
        <v/>
      </c>
      <c r="BM571">
        <f>IF($E571="","",IFERROR(VLOOKUP($C571,'_CONFIG_Risk_Calibration'!$A$5:$H$21,5,FALSE),3))</f>
        <v/>
      </c>
      <c r="BN571">
        <f>IF($E571="","",IFERROR(VLOOKUP($C571,'_CONFIG_Risk_Calibration'!$A$5:$H$21,6,FALSE),"No"))</f>
        <v/>
      </c>
      <c r="BO571">
        <f>IF($E571="","",IFERROR(VLOOKUP($C571,'_CONFIG_Risk_Calibration'!$A$5:$H$21,7,FALSE),1))</f>
        <v/>
      </c>
      <c r="BP571">
        <f>IF($H571="","",MAX(1,MIN(5,((6-$H571)*0.45)+($BJ571*0.20)+('Resilience &amp; Risk Scenario'!$B$7*0.15)+($BK571*0.10)+($BL571*0.05)+(IF($BB571="Fast",5,IF($BB571="Slow",1,3))*0.05))))</f>
        <v/>
      </c>
      <c r="BQ571">
        <f>IF($H571="","",MAX(IF($BN571="Yes",$BO571,1),MIN(5,($U571*0.20)+($V571*0.15)+($W571*0.25)+($X571*0.15)+($BJ571*0.10)+($BM571*0.15))))</f>
        <v/>
      </c>
      <c r="BR571">
        <f>IF(OR($BP571="",$BQ571=""),"",ROUND($BP571*$BQ571,2))</f>
        <v/>
      </c>
      <c r="BS571">
        <f>IF($BR571="","",ROUND($BR571*IF($AO571="",1,$AO571)*IF($AX571="",1,$AX571)*(1+(($BM571-3)*0.10))*IF($BC571="",1,$BC571),2))</f>
        <v/>
      </c>
    </row>
    <row r="572" ht="69.90000000000001" customHeight="1" s="209">
      <c r="A572">
        <f>IF($BD572="","",SUMPRODUCT(ISNUMBER($BD$500:$BD$923)*($BD$500:$BD$923&gt;$BD572))+COUNTIF($BD$500:$BD572,$BD572))</f>
        <v/>
      </c>
      <c r="B572">
        <f>IF($H572="","",IF($H572&lt;5,"Yes","Maintain"))</f>
        <v/>
      </c>
      <c r="C572" t="inlineStr">
        <is>
          <t>HR Workforce</t>
        </is>
      </c>
      <c r="D572" t="inlineStr">
        <is>
          <t>Workforce visibility</t>
        </is>
      </c>
      <c r="E572" t="inlineStr">
        <is>
          <t>HRWO-006</t>
        </is>
      </c>
      <c r="F572" t="inlineStr">
        <is>
          <t>People, critical roles and knowledge continuity</t>
        </is>
      </c>
      <c r="G572">
        <f>IF($H572="","",IFERROR(INDEX('_ENGINE_Risk'!$H$41:$M$920,MATCH($E572,'_ENGINE_Risk'!$A$41:$A$920,0),$H572+1),""))</f>
        <v/>
      </c>
      <c r="H572">
        <f>IFERROR(VALUE(INDEX(_DATA_Assessment_Model!$H$5:$H$884,MATCH($E572,_DATA_Assessment_Model!$A$5:$A$884,0))),"")</f>
        <v/>
      </c>
      <c r="I572">
        <f>IF($H572="","",IFERROR(INDEX(_DATA_Assessment_Model!$L$5:$L$884,MATCH($E572,_DATA_Assessment_Model!$A$5:$A$884,0)),IF($H572&lt;=1,"Critical",IF($H572=2,"High",IF($H572=3,"Medium",IF($H572=4,"Low","Resilient"))))))</f>
        <v/>
      </c>
      <c r="J572">
        <f>IF($H572="","",MIN(5,MAX(1,6-$H572)))</f>
        <v/>
      </c>
      <c r="K572">
        <f>IF($H572="","",MAX(1,MIN(5,ROUNDUP(($U572*0.45)+($W572*0.35)+($X572*0.2),0))))</f>
        <v/>
      </c>
      <c r="L572">
        <f>IF($H572="","",$J572*$K572)</f>
        <v/>
      </c>
      <c r="M572">
        <f>IF($H572="","",MAX(1,MIN(5,ROUNDUP($L572/5,0))))</f>
        <v/>
      </c>
      <c r="N572">
        <f>IF($H572="","",IFERROR(INDEX('_ENGINE_Risk'!$T$41:$Y$920,MATCH($E572,'_ENGINE_Risk'!$A$41:$A$920,0),$H572+1),""))</f>
        <v/>
      </c>
      <c r="O572">
        <f>IF($H572="","",MAX(1,MIN(5,($U572+$V572+$X572)/3)))</f>
        <v/>
      </c>
      <c r="P572">
        <f>IF($H572="","",IF($I572="Critical",5,IF($I572="High",4,IF($I572="Medium",3,IF($I572="Low",2,1)))))</f>
        <v/>
      </c>
      <c r="Q572">
        <f>IF($H572="","",MAX(1,MIN(5,((5-$H572)*0.65)+($W572*0.35))))</f>
        <v/>
      </c>
      <c r="R572">
        <f>IF($H572="","",MAX(1,MIN(5,($V572+$X572)/2)))</f>
        <v/>
      </c>
      <c r="S572">
        <f>IF(OR($H572="",$N572=""),"",ROUND(($O572+$P572+$Q572+$R572)/$N572,2))</f>
        <v/>
      </c>
      <c r="T572">
        <f>IF($H572="","",IFERROR(INDEX('_ENGINE_Risk'!$N$41:$S$920,MATCH($E572,'_ENGINE_Risk'!$A$41:$A$920,0),$H572+1),""))</f>
        <v/>
      </c>
      <c r="U572">
        <f>IFERROR(INDEX(_DATA_Assessment_Model!$G$5:$G$884,MATCH($E572,_DATA_Assessment_Model!$A$5:$A$884,0)),"")</f>
        <v/>
      </c>
      <c r="V572">
        <f>IFERROR(INDEX(_DATA_Assessment_Model!$W$5:$W$884,MATCH($E572,_DATA_Assessment_Model!$A$5:$A$884,0)),"")</f>
        <v/>
      </c>
      <c r="W572">
        <f>IFERROR(INDEX(_DATA_Assessment_Model!$X$5:$X$884,MATCH($E572,_DATA_Assessment_Model!$A$5:$A$884,0)),"")</f>
        <v/>
      </c>
      <c r="X572">
        <f>IFERROR(INDEX(_DATA_Assessment_Model!$Y$5:$Y$884,MATCH($E572,_DATA_Assessment_Model!$A$5:$A$884,0)),"")</f>
        <v/>
      </c>
      <c r="Y572" t="inlineStr">
        <is>
          <t>Workforce disruption; Pandemic/health crisis; War/security crisis</t>
        </is>
      </c>
      <c r="Z572" t="inlineStr">
        <is>
          <t>CHRO / HR</t>
        </is>
      </c>
      <c r="AA572" t="inlineStr">
        <is>
          <t>Policy/SOP; owner/RACI; system report; dashboard; contracts; test records; incident history; interview evidence related to absence trends, sick leave spikes and workforce availability monitoring.</t>
        </is>
      </c>
      <c r="AB572">
        <f>IFERROR(INDEX(_DATA_Assessment_Model!$U$5:$U$884,MATCH($E572,_DATA_Assessment_Model!$A$5:$A$884,0)),"")</f>
        <v/>
      </c>
      <c r="AF572" t="inlineStr">
        <is>
          <t>How mature is the organization in managing absence trends, sick leave spikes and workforce availability monitoring, including ownership, evidence, metrics, fallback procedures and crisis stress testing?</t>
        </is>
      </c>
      <c r="AO572">
        <f>IF($B572="Yes",IFERROR(INDEX(_ENGINE_Crisis!$F$501:$F$517,MATCH($C572,_ENGINE_Crisis!$A$501:$A$517,0)),1),"")</f>
        <v/>
      </c>
      <c r="AP572">
        <f>IF(AO572="","",ROUND($L572*AO572,1))</f>
        <v/>
      </c>
      <c r="AQ572">
        <f>IF(OR(AO572="",$S572=""),"",ROUND($S572*(0.7+0.3*AO572),2))</f>
        <v/>
      </c>
      <c r="AR572">
        <f>IFERROR(INDEX(_ENGINE_Crisis!$E$41:$E$700,MATCH('Resilience &amp; Risk Scenario'!$B$60&amp;"|"&amp;$C572,_ENGINE_Crisis!$I$41:$I$700,0)),"")</f>
        <v/>
      </c>
      <c r="AS572">
        <f>IFERROR(INDEX(_ENGINE_Crisis!$G$41:$G$700,MATCH('Resilience &amp; Risk Scenario'!$B$60&amp;"|"&amp;$C572,_ENGINE_Crisis!$I$41:$I$700,0)),"")</f>
        <v/>
      </c>
      <c r="AT572">
        <f>IFERROR(INDEX(_ENGINE_Initiatives!$A$5:$A$532,MATCH(1,INDEX((_ENGINE_Initiatives!$B$5:$B$532=$C572)*(_ENGINE_Initiatives!$C$5:$C$532=$D572),0),0)),"")</f>
        <v/>
      </c>
      <c r="AU572">
        <f>IFERROR(INDEX(_ENGINE_Initiatives!$F$5:$F$532,MATCH(1,INDEX((_ENGINE_Initiatives!$B$5:$B$532=$C572)*(_ENGINE_Initiatives!$C$5:$C$532=$D572),0),0)),"")</f>
        <v/>
      </c>
      <c r="AV572">
        <f>IFERROR(INDEX(_ENGINE_Initiatives!$AC$5:$AC$532,MATCH(1,INDEX((_ENGINE_Initiatives!$B$5:$B$532=$C572)*(_ENGINE_Initiatives!$C$5:$C$532=$D572),0),0)),"")</f>
        <v/>
      </c>
      <c r="AW572">
        <f>IFERROR(INDEX(_ENGINE_Initiatives!$AE$5:$AE$532,MATCH(1,INDEX((_ENGINE_Initiatives!$B$5:$B$532=$C572)*(_ENGINE_Initiatives!$C$5:$C$532=$D572),0),0)),"")</f>
        <v/>
      </c>
      <c r="AX572">
        <f>IF($B572="Yes",IFERROR(IF(SUMIFS(_REF_Model_Content!$E$1:$E$613,_REF_Model_Content!$A$1:$A$613,'Company Profile'!$B$9,_REF_Model_Content!$B$1:$B$613,$C572)=0,1,SUMIFS(_REF_Model_Content!$E$1:$E$613,_REF_Model_Content!$A$1:$A$613,'Company Profile'!$B$9,_REF_Model_Content!$B$1:$B$613,$C572)),1),"")</f>
        <v/>
      </c>
      <c r="AY572">
        <f>IF($L572="","",ROUND(IF($AP572="",$L572,$AP572)*IF($AX572="",1,$AX572),2))</f>
        <v/>
      </c>
      <c r="AZ572">
        <f>IF($S572="","",ROUND(IF($AQ572="",$S572,$AQ572)*IF($AX572="",1,$AX572),2))</f>
        <v/>
      </c>
      <c r="BB572">
        <f>IF($H572="","",IFERROR(INDEX('_ENGINE_Risk'!$AE$41:$AE$920,MATCH($E572,'_ENGINE_Risk'!$A$41:$A$920,0)),"Medium"))</f>
        <v/>
      </c>
      <c r="BC572">
        <f>IF($BB572="","",IF($BB572="Fast",1.25,IF($BB572="Slow",0.85,1)))</f>
        <v/>
      </c>
      <c r="BD572">
        <f>IF(OR($AZ572="",$BC572=""),"",ROUND($AZ572*$BC572,2))</f>
        <v/>
      </c>
      <c r="BF572">
        <f>IF(OR($H572="",$J572=""),"",_xlfn.IFNA(VLOOKUP($J572,_CONFIG_Model_Settings!$D$610:$E$614,2,0),""))</f>
        <v/>
      </c>
      <c r="BG572">
        <f>IF(OR($H572="",$K572=""),"",ROUND('Company Profile'!$B$569*INDEX(_CONFIG_Model_Settings!$H$610:$H$614,MATCH($K572,_CONFIG_Model_Settings!$G$610:$G$614,0)),0))</f>
        <v/>
      </c>
      <c r="BH572">
        <f>IF(OR($BF572="",$BG572=""),"",ROUND($BF572*$BG572,1))</f>
        <v/>
      </c>
      <c r="BI572">
        <f>IF($BH572="","",IF($AO572="",$BH572,ROUND($BH572*$AO572,1)))</f>
        <v/>
      </c>
      <c r="BJ572">
        <f>IF($E572="","",IFERROR(VLOOKUP($C572,'_CONFIG_Risk_Calibration'!$A$5:$H$21,2,FALSE),3))</f>
        <v/>
      </c>
      <c r="BK572">
        <f>IF($E572="","",IFERROR(VLOOKUP($C572,'_CONFIG_Risk_Calibration'!$A$5:$H$21,3,FALSE),0))</f>
        <v/>
      </c>
      <c r="BL572">
        <f>IF($E572="","",IFERROR(VLOOKUP($C572,'_CONFIG_Risk_Calibration'!$A$5:$H$21,4,FALSE),3))</f>
        <v/>
      </c>
      <c r="BM572">
        <f>IF($E572="","",IFERROR(VLOOKUP($C572,'_CONFIG_Risk_Calibration'!$A$5:$H$21,5,FALSE),3))</f>
        <v/>
      </c>
      <c r="BN572">
        <f>IF($E572="","",IFERROR(VLOOKUP($C572,'_CONFIG_Risk_Calibration'!$A$5:$H$21,6,FALSE),"No"))</f>
        <v/>
      </c>
      <c r="BO572">
        <f>IF($E572="","",IFERROR(VLOOKUP($C572,'_CONFIG_Risk_Calibration'!$A$5:$H$21,7,FALSE),1))</f>
        <v/>
      </c>
      <c r="BP572">
        <f>IF($H572="","",MAX(1,MIN(5,((6-$H572)*0.45)+($BJ572*0.20)+('Resilience &amp; Risk Scenario'!$B$7*0.15)+($BK572*0.10)+($BL572*0.05)+(IF($BB572="Fast",5,IF($BB572="Slow",1,3))*0.05))))</f>
        <v/>
      </c>
      <c r="BQ572">
        <f>IF($H572="","",MAX(IF($BN572="Yes",$BO572,1),MIN(5,($U572*0.20)+($V572*0.15)+($W572*0.25)+($X572*0.15)+($BJ572*0.10)+($BM572*0.15))))</f>
        <v/>
      </c>
      <c r="BR572">
        <f>IF(OR($BP572="",$BQ572=""),"",ROUND($BP572*$BQ572,2))</f>
        <v/>
      </c>
      <c r="BS572">
        <f>IF($BR572="","",ROUND($BR572*IF($AO572="",1,$AO572)*IF($AX572="",1,$AX572)*(1+(($BM572-3)*0.10))*IF($BC572="",1,$BC572),2))</f>
        <v/>
      </c>
    </row>
    <row r="573" ht="69.90000000000001" customHeight="1" s="209">
      <c r="A573">
        <f>IF($BD573="","",SUMPRODUCT(ISNUMBER($BD$500:$BD$923)*($BD$500:$BD$923&gt;$BD573))+COUNTIF($BD$500:$BD573,$BD573))</f>
        <v/>
      </c>
      <c r="B573">
        <f>IF($H573="","",IF($H573&lt;5,"Yes","Maintain"))</f>
        <v/>
      </c>
      <c r="C573" t="inlineStr">
        <is>
          <t>HR Workforce</t>
        </is>
      </c>
      <c r="D573" t="inlineStr">
        <is>
          <t>Recruitment and retention</t>
        </is>
      </c>
      <c r="E573" t="inlineStr">
        <is>
          <t>HRWO-007</t>
        </is>
      </c>
      <c r="F573" t="inlineStr">
        <is>
          <t>People, critical roles and knowledge continuity</t>
        </is>
      </c>
      <c r="G573">
        <f>IF($H573="","",IFERROR(INDEX('_ENGINE_Risk'!$H$41:$M$920,MATCH($E573,'_ENGINE_Risk'!$A$41:$A$920,0),$H573+1),""))</f>
        <v/>
      </c>
      <c r="H573">
        <f>IFERROR(VALUE(INDEX(_DATA_Assessment_Model!$H$5:$H$884,MATCH($E573,_DATA_Assessment_Model!$A$5:$A$884,0))),"")</f>
        <v/>
      </c>
      <c r="I573">
        <f>IF($H573="","",IFERROR(INDEX(_DATA_Assessment_Model!$L$5:$L$884,MATCH($E573,_DATA_Assessment_Model!$A$5:$A$884,0)),IF($H573&lt;=1,"Critical",IF($H573=2,"High",IF($H573=3,"Medium",IF($H573=4,"Low","Resilient"))))))</f>
        <v/>
      </c>
      <c r="J573">
        <f>IF($H573="","",MIN(5,MAX(1,6-$H573)))</f>
        <v/>
      </c>
      <c r="K573">
        <f>IF($H573="","",MAX(1,MIN(5,ROUNDUP(($U573*0.45)+($W573*0.35)+($X573*0.2),0))))</f>
        <v/>
      </c>
      <c r="L573">
        <f>IF($H573="","",$J573*$K573)</f>
        <v/>
      </c>
      <c r="M573">
        <f>IF($H573="","",MAX(1,MIN(5,ROUNDUP($L573/5,0))))</f>
        <v/>
      </c>
      <c r="N573">
        <f>IF($H573="","",IFERROR(INDEX('_ENGINE_Risk'!$T$41:$Y$920,MATCH($E573,'_ENGINE_Risk'!$A$41:$A$920,0),$H573+1),""))</f>
        <v/>
      </c>
      <c r="O573">
        <f>IF($H573="","",MAX(1,MIN(5,($U573+$V573+$X573)/3)))</f>
        <v/>
      </c>
      <c r="P573">
        <f>IF($H573="","",IF($I573="Critical",5,IF($I573="High",4,IF($I573="Medium",3,IF($I573="Low",2,1)))))</f>
        <v/>
      </c>
      <c r="Q573">
        <f>IF($H573="","",MAX(1,MIN(5,((5-$H573)*0.65)+($W573*0.35))))</f>
        <v/>
      </c>
      <c r="R573">
        <f>IF($H573="","",MAX(1,MIN(5,($V573+$X573)/2)))</f>
        <v/>
      </c>
      <c r="S573">
        <f>IF(OR($H573="",$N573=""),"",ROUND(($O573+$P573+$Q573+$R573)/$N573,2))</f>
        <v/>
      </c>
      <c r="T573">
        <f>IF($H573="","",IFERROR(INDEX('_ENGINE_Risk'!$N$41:$S$920,MATCH($E573,'_ENGINE_Risk'!$A$41:$A$920,0),$H573+1),""))</f>
        <v/>
      </c>
      <c r="U573">
        <f>IFERROR(INDEX(_DATA_Assessment_Model!$G$5:$G$884,MATCH($E573,_DATA_Assessment_Model!$A$5:$A$884,0)),"")</f>
        <v/>
      </c>
      <c r="V573">
        <f>IFERROR(INDEX(_DATA_Assessment_Model!$W$5:$W$884,MATCH($E573,_DATA_Assessment_Model!$A$5:$A$884,0)),"")</f>
        <v/>
      </c>
      <c r="W573">
        <f>IFERROR(INDEX(_DATA_Assessment_Model!$X$5:$X$884,MATCH($E573,_DATA_Assessment_Model!$A$5:$A$884,0)),"")</f>
        <v/>
      </c>
      <c r="X573">
        <f>IFERROR(INDEX(_DATA_Assessment_Model!$Y$5:$Y$884,MATCH($E573,_DATA_Assessment_Model!$A$5:$A$884,0)),"")</f>
        <v/>
      </c>
      <c r="Y573" t="inlineStr">
        <is>
          <t>Workforce disruption; Pandemic/health crisis; War/security crisis</t>
        </is>
      </c>
      <c r="Z573" t="inlineStr">
        <is>
          <t>CHRO / HR</t>
        </is>
      </c>
      <c r="AA573" t="inlineStr">
        <is>
          <t>Policy/SOP; owner/RACI; system report; dashboard; contracts; test records; incident history; interview evidence related to hiring pipeline resilience for critical roles under market shortage or geographic disruption.</t>
        </is>
      </c>
      <c r="AB573">
        <f>IFERROR(INDEX(_DATA_Assessment_Model!$U$5:$U$884,MATCH($E573,_DATA_Assessment_Model!$A$5:$A$884,0)),"")</f>
        <v/>
      </c>
      <c r="AF573" t="inlineStr">
        <is>
          <t>How mature is the organization in managing hiring pipeline resilience for critical roles under market shortage or geographic disruption, including ownership, evidence, metrics, fallback procedures and crisis stress testing?</t>
        </is>
      </c>
      <c r="AO573">
        <f>IF($B573="Yes",IFERROR(INDEX(_ENGINE_Crisis!$F$501:$F$517,MATCH($C573,_ENGINE_Crisis!$A$501:$A$517,0)),1),"")</f>
        <v/>
      </c>
      <c r="AP573">
        <f>IF(AO573="","",ROUND($L573*AO573,1))</f>
        <v/>
      </c>
      <c r="AQ573">
        <f>IF(OR(AO573="",$S573=""),"",ROUND($S573*(0.7+0.3*AO573),2))</f>
        <v/>
      </c>
      <c r="AR573">
        <f>IFERROR(INDEX(_ENGINE_Crisis!$E$41:$E$700,MATCH('Resilience &amp; Risk Scenario'!$B$60&amp;"|"&amp;$C573,_ENGINE_Crisis!$I$41:$I$700,0)),"")</f>
        <v/>
      </c>
      <c r="AS573">
        <f>IFERROR(INDEX(_ENGINE_Crisis!$G$41:$G$700,MATCH('Resilience &amp; Risk Scenario'!$B$60&amp;"|"&amp;$C573,_ENGINE_Crisis!$I$41:$I$700,0)),"")</f>
        <v/>
      </c>
      <c r="AT573">
        <f>IFERROR(INDEX(_ENGINE_Initiatives!$A$5:$A$532,MATCH(1,INDEX((_ENGINE_Initiatives!$B$5:$B$532=$C573)*(_ENGINE_Initiatives!$C$5:$C$532=$D573),0),0)),"")</f>
        <v/>
      </c>
      <c r="AU573">
        <f>IFERROR(INDEX(_ENGINE_Initiatives!$F$5:$F$532,MATCH(1,INDEX((_ENGINE_Initiatives!$B$5:$B$532=$C573)*(_ENGINE_Initiatives!$C$5:$C$532=$D573),0),0)),"")</f>
        <v/>
      </c>
      <c r="AV573">
        <f>IFERROR(INDEX(_ENGINE_Initiatives!$AC$5:$AC$532,MATCH(1,INDEX((_ENGINE_Initiatives!$B$5:$B$532=$C573)*(_ENGINE_Initiatives!$C$5:$C$532=$D573),0),0)),"")</f>
        <v/>
      </c>
      <c r="AW573">
        <f>IFERROR(INDEX(_ENGINE_Initiatives!$AE$5:$AE$532,MATCH(1,INDEX((_ENGINE_Initiatives!$B$5:$B$532=$C573)*(_ENGINE_Initiatives!$C$5:$C$532=$D573),0),0)),"")</f>
        <v/>
      </c>
      <c r="AX573">
        <f>IF($B573="Yes",IFERROR(IF(SUMIFS(_REF_Model_Content!$E$1:$E$613,_REF_Model_Content!$A$1:$A$613,'Company Profile'!$B$9,_REF_Model_Content!$B$1:$B$613,$C573)=0,1,SUMIFS(_REF_Model_Content!$E$1:$E$613,_REF_Model_Content!$A$1:$A$613,'Company Profile'!$B$9,_REF_Model_Content!$B$1:$B$613,$C573)),1),"")</f>
        <v/>
      </c>
      <c r="AY573">
        <f>IF($L573="","",ROUND(IF($AP573="",$L573,$AP573)*IF($AX573="",1,$AX573),2))</f>
        <v/>
      </c>
      <c r="AZ573">
        <f>IF($S573="","",ROUND(IF($AQ573="",$S573,$AQ573)*IF($AX573="",1,$AX573),2))</f>
        <v/>
      </c>
      <c r="BB573">
        <f>IF($H573="","",IFERROR(INDEX('_ENGINE_Risk'!$AE$41:$AE$920,MATCH($E573,'_ENGINE_Risk'!$A$41:$A$920,0)),"Medium"))</f>
        <v/>
      </c>
      <c r="BC573">
        <f>IF($BB573="","",IF($BB573="Fast",1.25,IF($BB573="Slow",0.85,1)))</f>
        <v/>
      </c>
      <c r="BD573">
        <f>IF(OR($AZ573="",$BC573=""),"",ROUND($AZ573*$BC573,2))</f>
        <v/>
      </c>
      <c r="BF573">
        <f>IF(OR($H573="",$J573=""),"",_xlfn.IFNA(VLOOKUP($J573,_CONFIG_Model_Settings!$D$610:$E$614,2,0),""))</f>
        <v/>
      </c>
      <c r="BG573">
        <f>IF(OR($H573="",$K573=""),"",ROUND('Company Profile'!$B$569*INDEX(_CONFIG_Model_Settings!$H$610:$H$614,MATCH($K573,_CONFIG_Model_Settings!$G$610:$G$614,0)),0))</f>
        <v/>
      </c>
      <c r="BH573">
        <f>IF(OR($BF573="",$BG573=""),"",ROUND($BF573*$BG573,1))</f>
        <v/>
      </c>
      <c r="BI573">
        <f>IF($BH573="","",IF($AO573="",$BH573,ROUND($BH573*$AO573,1)))</f>
        <v/>
      </c>
      <c r="BJ573">
        <f>IF($E573="","",IFERROR(VLOOKUP($C573,'_CONFIG_Risk_Calibration'!$A$5:$H$21,2,FALSE),3))</f>
        <v/>
      </c>
      <c r="BK573">
        <f>IF($E573="","",IFERROR(VLOOKUP($C573,'_CONFIG_Risk_Calibration'!$A$5:$H$21,3,FALSE),0))</f>
        <v/>
      </c>
      <c r="BL573">
        <f>IF($E573="","",IFERROR(VLOOKUP($C573,'_CONFIG_Risk_Calibration'!$A$5:$H$21,4,FALSE),3))</f>
        <v/>
      </c>
      <c r="BM573">
        <f>IF($E573="","",IFERROR(VLOOKUP($C573,'_CONFIG_Risk_Calibration'!$A$5:$H$21,5,FALSE),3))</f>
        <v/>
      </c>
      <c r="BN573">
        <f>IF($E573="","",IFERROR(VLOOKUP($C573,'_CONFIG_Risk_Calibration'!$A$5:$H$21,6,FALSE),"No"))</f>
        <v/>
      </c>
      <c r="BO573">
        <f>IF($E573="","",IFERROR(VLOOKUP($C573,'_CONFIG_Risk_Calibration'!$A$5:$H$21,7,FALSE),1))</f>
        <v/>
      </c>
      <c r="BP573">
        <f>IF($H573="","",MAX(1,MIN(5,((6-$H573)*0.45)+($BJ573*0.20)+('Resilience &amp; Risk Scenario'!$B$7*0.15)+($BK573*0.10)+($BL573*0.05)+(IF($BB573="Fast",5,IF($BB573="Slow",1,3))*0.05))))</f>
        <v/>
      </c>
      <c r="BQ573">
        <f>IF($H573="","",MAX(IF($BN573="Yes",$BO573,1),MIN(5,($U573*0.20)+($V573*0.15)+($W573*0.25)+($X573*0.15)+($BJ573*0.10)+($BM573*0.15))))</f>
        <v/>
      </c>
      <c r="BR573">
        <f>IF(OR($BP573="",$BQ573=""),"",ROUND($BP573*$BQ573,2))</f>
        <v/>
      </c>
      <c r="BS573">
        <f>IF($BR573="","",ROUND($BR573*IF($AO573="",1,$AO573)*IF($AX573="",1,$AX573)*(1+(($BM573-3)*0.10))*IF($BC573="",1,$BC573),2))</f>
        <v/>
      </c>
    </row>
    <row r="574" ht="69.90000000000001" customHeight="1" s="209">
      <c r="A574">
        <f>IF($BD574="","",SUMPRODUCT(ISNUMBER($BD$500:$BD$923)*($BD$500:$BD$923&gt;$BD574))+COUNTIF($BD$500:$BD574,$BD574))</f>
        <v/>
      </c>
      <c r="B574">
        <f>IF($H574="","",IF($H574&lt;5,"Yes","Maintain"))</f>
        <v/>
      </c>
      <c r="C574" t="inlineStr">
        <is>
          <t>HR Workforce</t>
        </is>
      </c>
      <c r="D574" t="inlineStr">
        <is>
          <t>Recruitment and retention</t>
        </is>
      </c>
      <c r="E574" t="inlineStr">
        <is>
          <t>HRWO-008</t>
        </is>
      </c>
      <c r="F574" t="inlineStr">
        <is>
          <t>People, critical roles and knowledge continuity</t>
        </is>
      </c>
      <c r="G574">
        <f>IF($H574="","",IFERROR(INDEX('_ENGINE_Risk'!$H$41:$M$920,MATCH($E574,'_ENGINE_Risk'!$A$41:$A$920,0),$H574+1),""))</f>
        <v/>
      </c>
      <c r="H574">
        <f>IFERROR(VALUE(INDEX(_DATA_Assessment_Model!$H$5:$H$884,MATCH($E574,_DATA_Assessment_Model!$A$5:$A$884,0))),"")</f>
        <v/>
      </c>
      <c r="I574">
        <f>IF($H574="","",IFERROR(INDEX(_DATA_Assessment_Model!$L$5:$L$884,MATCH($E574,_DATA_Assessment_Model!$A$5:$A$884,0)),IF($H574&lt;=1,"Critical",IF($H574=2,"High",IF($H574=3,"Medium",IF($H574=4,"Low","Resilient"))))))</f>
        <v/>
      </c>
      <c r="J574">
        <f>IF($H574="","",MIN(5,MAX(1,6-$H574)))</f>
        <v/>
      </c>
      <c r="K574">
        <f>IF($H574="","",MAX(1,MIN(5,ROUNDUP(($U574*0.45)+($W574*0.35)+($X574*0.2),0))))</f>
        <v/>
      </c>
      <c r="L574">
        <f>IF($H574="","",$J574*$K574)</f>
        <v/>
      </c>
      <c r="M574">
        <f>IF($H574="","",MAX(1,MIN(5,ROUNDUP($L574/5,0))))</f>
        <v/>
      </c>
      <c r="N574">
        <f>IF($H574="","",IFERROR(INDEX('_ENGINE_Risk'!$T$41:$Y$920,MATCH($E574,'_ENGINE_Risk'!$A$41:$A$920,0),$H574+1),""))</f>
        <v/>
      </c>
      <c r="O574">
        <f>IF($H574="","",MAX(1,MIN(5,($U574+$V574+$X574)/3)))</f>
        <v/>
      </c>
      <c r="P574">
        <f>IF($H574="","",IF($I574="Critical",5,IF($I574="High",4,IF($I574="Medium",3,IF($I574="Low",2,1)))))</f>
        <v/>
      </c>
      <c r="Q574">
        <f>IF($H574="","",MAX(1,MIN(5,((5-$H574)*0.65)+($W574*0.35))))</f>
        <v/>
      </c>
      <c r="R574">
        <f>IF($H574="","",MAX(1,MIN(5,($V574+$X574)/2)))</f>
        <v/>
      </c>
      <c r="S574">
        <f>IF(OR($H574="",$N574=""),"",ROUND(($O574+$P574+$Q574+$R574)/$N574,2))</f>
        <v/>
      </c>
      <c r="T574">
        <f>IF($H574="","",IFERROR(INDEX('_ENGINE_Risk'!$N$41:$S$920,MATCH($E574,'_ENGINE_Risk'!$A$41:$A$920,0),$H574+1),""))</f>
        <v/>
      </c>
      <c r="U574">
        <f>IFERROR(INDEX(_DATA_Assessment_Model!$G$5:$G$884,MATCH($E574,_DATA_Assessment_Model!$A$5:$A$884,0)),"")</f>
        <v/>
      </c>
      <c r="V574">
        <f>IFERROR(INDEX(_DATA_Assessment_Model!$W$5:$W$884,MATCH($E574,_DATA_Assessment_Model!$A$5:$A$884,0)),"")</f>
        <v/>
      </c>
      <c r="W574">
        <f>IFERROR(INDEX(_DATA_Assessment_Model!$X$5:$X$884,MATCH($E574,_DATA_Assessment_Model!$A$5:$A$884,0)),"")</f>
        <v/>
      </c>
      <c r="X574">
        <f>IFERROR(INDEX(_DATA_Assessment_Model!$Y$5:$Y$884,MATCH($E574,_DATA_Assessment_Model!$A$5:$A$884,0)),"")</f>
        <v/>
      </c>
      <c r="Y574" t="inlineStr">
        <is>
          <t>Workforce disruption; Pandemic/health crisis; War/security crisis</t>
        </is>
      </c>
      <c r="Z574" t="inlineStr">
        <is>
          <t>CHRO / HR</t>
        </is>
      </c>
      <c r="AA574" t="inlineStr">
        <is>
          <t>Policy/SOP; owner/RACI; system report; dashboard; contracts; test records; incident history; interview evidence related to time-to-hire tracking by critical role, geography and seniority.</t>
        </is>
      </c>
      <c r="AB574">
        <f>IFERROR(INDEX(_DATA_Assessment_Model!$U$5:$U$884,MATCH($E574,_DATA_Assessment_Model!$A$5:$A$884,0)),"")</f>
        <v/>
      </c>
      <c r="AF574" t="inlineStr">
        <is>
          <t>How mature is the organization in managing time-to-hire tracking by critical role, geography and seniority, including ownership, evidence, metrics, fallback procedures and crisis stress testing?</t>
        </is>
      </c>
      <c r="AO574">
        <f>IF($B574="Yes",IFERROR(INDEX(_ENGINE_Crisis!$F$501:$F$517,MATCH($C574,_ENGINE_Crisis!$A$501:$A$517,0)),1),"")</f>
        <v/>
      </c>
      <c r="AP574">
        <f>IF(AO574="","",ROUND($L574*AO574,1))</f>
        <v/>
      </c>
      <c r="AQ574">
        <f>IF(OR(AO574="",$S574=""),"",ROUND($S574*(0.7+0.3*AO574),2))</f>
        <v/>
      </c>
      <c r="AR574">
        <f>IFERROR(INDEX(_ENGINE_Crisis!$E$41:$E$700,MATCH('Resilience &amp; Risk Scenario'!$B$60&amp;"|"&amp;$C574,_ENGINE_Crisis!$I$41:$I$700,0)),"")</f>
        <v/>
      </c>
      <c r="AS574">
        <f>IFERROR(INDEX(_ENGINE_Crisis!$G$41:$G$700,MATCH('Resilience &amp; Risk Scenario'!$B$60&amp;"|"&amp;$C574,_ENGINE_Crisis!$I$41:$I$700,0)),"")</f>
        <v/>
      </c>
      <c r="AT574">
        <f>IFERROR(INDEX(_ENGINE_Initiatives!$A$5:$A$532,MATCH(1,INDEX((_ENGINE_Initiatives!$B$5:$B$532=$C574)*(_ENGINE_Initiatives!$C$5:$C$532=$D574),0),0)),"")</f>
        <v/>
      </c>
      <c r="AU574">
        <f>IFERROR(INDEX(_ENGINE_Initiatives!$F$5:$F$532,MATCH(1,INDEX((_ENGINE_Initiatives!$B$5:$B$532=$C574)*(_ENGINE_Initiatives!$C$5:$C$532=$D574),0),0)),"")</f>
        <v/>
      </c>
      <c r="AV574">
        <f>IFERROR(INDEX(_ENGINE_Initiatives!$AC$5:$AC$532,MATCH(1,INDEX((_ENGINE_Initiatives!$B$5:$B$532=$C574)*(_ENGINE_Initiatives!$C$5:$C$532=$D574),0),0)),"")</f>
        <v/>
      </c>
      <c r="AW574">
        <f>IFERROR(INDEX(_ENGINE_Initiatives!$AE$5:$AE$532,MATCH(1,INDEX((_ENGINE_Initiatives!$B$5:$B$532=$C574)*(_ENGINE_Initiatives!$C$5:$C$532=$D574),0),0)),"")</f>
        <v/>
      </c>
      <c r="AX574">
        <f>IF($B574="Yes",IFERROR(IF(SUMIFS(_REF_Model_Content!$E$1:$E$613,_REF_Model_Content!$A$1:$A$613,'Company Profile'!$B$9,_REF_Model_Content!$B$1:$B$613,$C574)=0,1,SUMIFS(_REF_Model_Content!$E$1:$E$613,_REF_Model_Content!$A$1:$A$613,'Company Profile'!$B$9,_REF_Model_Content!$B$1:$B$613,$C574)),1),"")</f>
        <v/>
      </c>
      <c r="AY574">
        <f>IF($L574="","",ROUND(IF($AP574="",$L574,$AP574)*IF($AX574="",1,$AX574),2))</f>
        <v/>
      </c>
      <c r="AZ574">
        <f>IF($S574="","",ROUND(IF($AQ574="",$S574,$AQ574)*IF($AX574="",1,$AX574),2))</f>
        <v/>
      </c>
      <c r="BB574">
        <f>IF($H574="","",IFERROR(INDEX('_ENGINE_Risk'!$AE$41:$AE$920,MATCH($E574,'_ENGINE_Risk'!$A$41:$A$920,0)),"Medium"))</f>
        <v/>
      </c>
      <c r="BC574">
        <f>IF($BB574="","",IF($BB574="Fast",1.25,IF($BB574="Slow",0.85,1)))</f>
        <v/>
      </c>
      <c r="BD574">
        <f>IF(OR($AZ574="",$BC574=""),"",ROUND($AZ574*$BC574,2))</f>
        <v/>
      </c>
      <c r="BF574">
        <f>IF(OR($H574="",$J574=""),"",_xlfn.IFNA(VLOOKUP($J574,_CONFIG_Model_Settings!$D$610:$E$614,2,0),""))</f>
        <v/>
      </c>
      <c r="BG574">
        <f>IF(OR($H574="",$K574=""),"",ROUND('Company Profile'!$B$569*INDEX(_CONFIG_Model_Settings!$H$610:$H$614,MATCH($K574,_CONFIG_Model_Settings!$G$610:$G$614,0)),0))</f>
        <v/>
      </c>
      <c r="BH574">
        <f>IF(OR($BF574="",$BG574=""),"",ROUND($BF574*$BG574,1))</f>
        <v/>
      </c>
      <c r="BI574">
        <f>IF($BH574="","",IF($AO574="",$BH574,ROUND($BH574*$AO574,1)))</f>
        <v/>
      </c>
      <c r="BJ574">
        <f>IF($E574="","",IFERROR(VLOOKUP($C574,'_CONFIG_Risk_Calibration'!$A$5:$H$21,2,FALSE),3))</f>
        <v/>
      </c>
      <c r="BK574">
        <f>IF($E574="","",IFERROR(VLOOKUP($C574,'_CONFIG_Risk_Calibration'!$A$5:$H$21,3,FALSE),0))</f>
        <v/>
      </c>
      <c r="BL574">
        <f>IF($E574="","",IFERROR(VLOOKUP($C574,'_CONFIG_Risk_Calibration'!$A$5:$H$21,4,FALSE),3))</f>
        <v/>
      </c>
      <c r="BM574">
        <f>IF($E574="","",IFERROR(VLOOKUP($C574,'_CONFIG_Risk_Calibration'!$A$5:$H$21,5,FALSE),3))</f>
        <v/>
      </c>
      <c r="BN574">
        <f>IF($E574="","",IFERROR(VLOOKUP($C574,'_CONFIG_Risk_Calibration'!$A$5:$H$21,6,FALSE),"No"))</f>
        <v/>
      </c>
      <c r="BO574">
        <f>IF($E574="","",IFERROR(VLOOKUP($C574,'_CONFIG_Risk_Calibration'!$A$5:$H$21,7,FALSE),1))</f>
        <v/>
      </c>
      <c r="BP574">
        <f>IF($H574="","",MAX(1,MIN(5,((6-$H574)*0.45)+($BJ574*0.20)+('Resilience &amp; Risk Scenario'!$B$7*0.15)+($BK574*0.10)+($BL574*0.05)+(IF($BB574="Fast",5,IF($BB574="Slow",1,3))*0.05))))</f>
        <v/>
      </c>
      <c r="BQ574">
        <f>IF($H574="","",MAX(IF($BN574="Yes",$BO574,1),MIN(5,($U574*0.20)+($V574*0.15)+($W574*0.25)+($X574*0.15)+($BJ574*0.10)+($BM574*0.15))))</f>
        <v/>
      </c>
      <c r="BR574">
        <f>IF(OR($BP574="",$BQ574=""),"",ROUND($BP574*$BQ574,2))</f>
        <v/>
      </c>
      <c r="BS574">
        <f>IF($BR574="","",ROUND($BR574*IF($AO574="",1,$AO574)*IF($AX574="",1,$AX574)*(1+(($BM574-3)*0.10))*IF($BC574="",1,$BC574),2))</f>
        <v/>
      </c>
    </row>
    <row r="575" ht="69.90000000000001" customHeight="1" s="209">
      <c r="A575">
        <f>IF($BD575="","",SUMPRODUCT(ISNUMBER($BD$500:$BD$923)*($BD$500:$BD$923&gt;$BD575))+COUNTIF($BD$500:$BD575,$BD575))</f>
        <v/>
      </c>
      <c r="B575">
        <f>IF($H575="","",IF($H575&lt;5,"Yes","Maintain"))</f>
        <v/>
      </c>
      <c r="C575" t="inlineStr">
        <is>
          <t>HR Workforce</t>
        </is>
      </c>
      <c r="D575" t="inlineStr">
        <is>
          <t>Recruitment and retention</t>
        </is>
      </c>
      <c r="E575" t="inlineStr">
        <is>
          <t>HRWO-009</t>
        </is>
      </c>
      <c r="F575" t="inlineStr">
        <is>
          <t>People, critical roles and knowledge continuity</t>
        </is>
      </c>
      <c r="G575">
        <f>IF($H575="","",IFERROR(INDEX('_ENGINE_Risk'!$H$41:$M$920,MATCH($E575,'_ENGINE_Risk'!$A$41:$A$920,0),$H575+1),""))</f>
        <v/>
      </c>
      <c r="H575">
        <f>IFERROR(VALUE(INDEX(_DATA_Assessment_Model!$H$5:$H$884,MATCH($E575,_DATA_Assessment_Model!$A$5:$A$884,0))),"")</f>
        <v/>
      </c>
      <c r="I575">
        <f>IF($H575="","",IFERROR(INDEX(_DATA_Assessment_Model!$L$5:$L$884,MATCH($E575,_DATA_Assessment_Model!$A$5:$A$884,0)),IF($H575&lt;=1,"Critical",IF($H575=2,"High",IF($H575=3,"Medium",IF($H575=4,"Low","Resilient"))))))</f>
        <v/>
      </c>
      <c r="J575">
        <f>IF($H575="","",MIN(5,MAX(1,6-$H575)))</f>
        <v/>
      </c>
      <c r="K575">
        <f>IF($H575="","",MAX(1,MIN(5,ROUNDUP(($U575*0.45)+($W575*0.35)+($X575*0.2),0))))</f>
        <v/>
      </c>
      <c r="L575">
        <f>IF($H575="","",$J575*$K575)</f>
        <v/>
      </c>
      <c r="M575">
        <f>IF($H575="","",MAX(1,MIN(5,ROUNDUP($L575/5,0))))</f>
        <v/>
      </c>
      <c r="N575">
        <f>IF($H575="","",IFERROR(INDEX('_ENGINE_Risk'!$T$41:$Y$920,MATCH($E575,'_ENGINE_Risk'!$A$41:$A$920,0),$H575+1),""))</f>
        <v/>
      </c>
      <c r="O575">
        <f>IF($H575="","",MAX(1,MIN(5,($U575+$V575+$X575)/3)))</f>
        <v/>
      </c>
      <c r="P575">
        <f>IF($H575="","",IF($I575="Critical",5,IF($I575="High",4,IF($I575="Medium",3,IF($I575="Low",2,1)))))</f>
        <v/>
      </c>
      <c r="Q575">
        <f>IF($H575="","",MAX(1,MIN(5,((5-$H575)*0.65)+($W575*0.35))))</f>
        <v/>
      </c>
      <c r="R575">
        <f>IF($H575="","",MAX(1,MIN(5,($V575+$X575)/2)))</f>
        <v/>
      </c>
      <c r="S575">
        <f>IF(OR($H575="",$N575=""),"",ROUND(($O575+$P575+$Q575+$R575)/$N575,2))</f>
        <v/>
      </c>
      <c r="T575">
        <f>IF($H575="","",IFERROR(INDEX('_ENGINE_Risk'!$N$41:$S$920,MATCH($E575,'_ENGINE_Risk'!$A$41:$A$920,0),$H575+1),""))</f>
        <v/>
      </c>
      <c r="U575">
        <f>IFERROR(INDEX(_DATA_Assessment_Model!$G$5:$G$884,MATCH($E575,_DATA_Assessment_Model!$A$5:$A$884,0)),"")</f>
        <v/>
      </c>
      <c r="V575">
        <f>IFERROR(INDEX(_DATA_Assessment_Model!$W$5:$W$884,MATCH($E575,_DATA_Assessment_Model!$A$5:$A$884,0)),"")</f>
        <v/>
      </c>
      <c r="W575">
        <f>IFERROR(INDEX(_DATA_Assessment_Model!$X$5:$X$884,MATCH($E575,_DATA_Assessment_Model!$A$5:$A$884,0)),"")</f>
        <v/>
      </c>
      <c r="X575">
        <f>IFERROR(INDEX(_DATA_Assessment_Model!$Y$5:$Y$884,MATCH($E575,_DATA_Assessment_Model!$A$5:$A$884,0)),"")</f>
        <v/>
      </c>
      <c r="Y575" t="inlineStr">
        <is>
          <t>Workforce disruption; Pandemic/health crisis; War/security crisis</t>
        </is>
      </c>
      <c r="Z575" t="inlineStr">
        <is>
          <t>CHRO / HR</t>
        </is>
      </c>
      <c r="AA575" t="inlineStr">
        <is>
          <t>Policy/SOP; owner/RACI; system report; dashboard; contracts; test records; incident history; interview evidence related to alternative sourcing channels for critical roles, geographies and rare skills.</t>
        </is>
      </c>
      <c r="AB575">
        <f>IFERROR(INDEX(_DATA_Assessment_Model!$U$5:$U$884,MATCH($E575,_DATA_Assessment_Model!$A$5:$A$884,0)),"")</f>
        <v/>
      </c>
      <c r="AF575" t="inlineStr">
        <is>
          <t>How mature is the organization in managing alternative sourcing channels for critical roles, geographies and rare skills, including ownership, evidence, metrics, fallback procedures and crisis stress testing?</t>
        </is>
      </c>
      <c r="AO575">
        <f>IF($B575="Yes",IFERROR(INDEX(_ENGINE_Crisis!$F$501:$F$517,MATCH($C575,_ENGINE_Crisis!$A$501:$A$517,0)),1),"")</f>
        <v/>
      </c>
      <c r="AP575">
        <f>IF(AO575="","",ROUND($L575*AO575,1))</f>
        <v/>
      </c>
      <c r="AQ575">
        <f>IF(OR(AO575="",$S575=""),"",ROUND($S575*(0.7+0.3*AO575),2))</f>
        <v/>
      </c>
      <c r="AR575">
        <f>IFERROR(INDEX(_ENGINE_Crisis!$E$41:$E$700,MATCH('Resilience &amp; Risk Scenario'!$B$60&amp;"|"&amp;$C575,_ENGINE_Crisis!$I$41:$I$700,0)),"")</f>
        <v/>
      </c>
      <c r="AS575">
        <f>IFERROR(INDEX(_ENGINE_Crisis!$G$41:$G$700,MATCH('Resilience &amp; Risk Scenario'!$B$60&amp;"|"&amp;$C575,_ENGINE_Crisis!$I$41:$I$700,0)),"")</f>
        <v/>
      </c>
      <c r="AT575">
        <f>IFERROR(INDEX(_ENGINE_Initiatives!$A$5:$A$532,MATCH(1,INDEX((_ENGINE_Initiatives!$B$5:$B$532=$C575)*(_ENGINE_Initiatives!$C$5:$C$532=$D575),0),0)),"")</f>
        <v/>
      </c>
      <c r="AU575">
        <f>IFERROR(INDEX(_ENGINE_Initiatives!$F$5:$F$532,MATCH(1,INDEX((_ENGINE_Initiatives!$B$5:$B$532=$C575)*(_ENGINE_Initiatives!$C$5:$C$532=$D575),0),0)),"")</f>
        <v/>
      </c>
      <c r="AV575">
        <f>IFERROR(INDEX(_ENGINE_Initiatives!$AC$5:$AC$532,MATCH(1,INDEX((_ENGINE_Initiatives!$B$5:$B$532=$C575)*(_ENGINE_Initiatives!$C$5:$C$532=$D575),0),0)),"")</f>
        <v/>
      </c>
      <c r="AW575">
        <f>IFERROR(INDEX(_ENGINE_Initiatives!$AE$5:$AE$532,MATCH(1,INDEX((_ENGINE_Initiatives!$B$5:$B$532=$C575)*(_ENGINE_Initiatives!$C$5:$C$532=$D575),0),0)),"")</f>
        <v/>
      </c>
      <c r="AX575">
        <f>IF($B575="Yes",IFERROR(IF(SUMIFS(_REF_Model_Content!$E$1:$E$613,_REF_Model_Content!$A$1:$A$613,'Company Profile'!$B$9,_REF_Model_Content!$B$1:$B$613,$C575)=0,1,SUMIFS(_REF_Model_Content!$E$1:$E$613,_REF_Model_Content!$A$1:$A$613,'Company Profile'!$B$9,_REF_Model_Content!$B$1:$B$613,$C575)),1),"")</f>
        <v/>
      </c>
      <c r="AY575">
        <f>IF($L575="","",ROUND(IF($AP575="",$L575,$AP575)*IF($AX575="",1,$AX575),2))</f>
        <v/>
      </c>
      <c r="AZ575">
        <f>IF($S575="","",ROUND(IF($AQ575="",$S575,$AQ575)*IF($AX575="",1,$AX575),2))</f>
        <v/>
      </c>
      <c r="BB575">
        <f>IF($H575="","",IFERROR(INDEX('_ENGINE_Risk'!$AE$41:$AE$920,MATCH($E575,'_ENGINE_Risk'!$A$41:$A$920,0)),"Medium"))</f>
        <v/>
      </c>
      <c r="BC575">
        <f>IF($BB575="","",IF($BB575="Fast",1.25,IF($BB575="Slow",0.85,1)))</f>
        <v/>
      </c>
      <c r="BD575">
        <f>IF(OR($AZ575="",$BC575=""),"",ROUND($AZ575*$BC575,2))</f>
        <v/>
      </c>
      <c r="BF575">
        <f>IF(OR($H575="",$J575=""),"",_xlfn.IFNA(VLOOKUP($J575,_CONFIG_Model_Settings!$D$610:$E$614,2,0),""))</f>
        <v/>
      </c>
      <c r="BG575">
        <f>IF(OR($H575="",$K575=""),"",ROUND('Company Profile'!$B$569*INDEX(_CONFIG_Model_Settings!$H$610:$H$614,MATCH($K575,_CONFIG_Model_Settings!$G$610:$G$614,0)),0))</f>
        <v/>
      </c>
      <c r="BH575">
        <f>IF(OR($BF575="",$BG575=""),"",ROUND($BF575*$BG575,1))</f>
        <v/>
      </c>
      <c r="BI575">
        <f>IF($BH575="","",IF($AO575="",$BH575,ROUND($BH575*$AO575,1)))</f>
        <v/>
      </c>
      <c r="BJ575">
        <f>IF($E575="","",IFERROR(VLOOKUP($C575,'_CONFIG_Risk_Calibration'!$A$5:$H$21,2,FALSE),3))</f>
        <v/>
      </c>
      <c r="BK575">
        <f>IF($E575="","",IFERROR(VLOOKUP($C575,'_CONFIG_Risk_Calibration'!$A$5:$H$21,3,FALSE),0))</f>
        <v/>
      </c>
      <c r="BL575">
        <f>IF($E575="","",IFERROR(VLOOKUP($C575,'_CONFIG_Risk_Calibration'!$A$5:$H$21,4,FALSE),3))</f>
        <v/>
      </c>
      <c r="BM575">
        <f>IF($E575="","",IFERROR(VLOOKUP($C575,'_CONFIG_Risk_Calibration'!$A$5:$H$21,5,FALSE),3))</f>
        <v/>
      </c>
      <c r="BN575">
        <f>IF($E575="","",IFERROR(VLOOKUP($C575,'_CONFIG_Risk_Calibration'!$A$5:$H$21,6,FALSE),"No"))</f>
        <v/>
      </c>
      <c r="BO575">
        <f>IF($E575="","",IFERROR(VLOOKUP($C575,'_CONFIG_Risk_Calibration'!$A$5:$H$21,7,FALSE),1))</f>
        <v/>
      </c>
      <c r="BP575">
        <f>IF($H575="","",MAX(1,MIN(5,((6-$H575)*0.45)+($BJ575*0.20)+('Resilience &amp; Risk Scenario'!$B$7*0.15)+($BK575*0.10)+($BL575*0.05)+(IF($BB575="Fast",5,IF($BB575="Slow",1,3))*0.05))))</f>
        <v/>
      </c>
      <c r="BQ575">
        <f>IF($H575="","",MAX(IF($BN575="Yes",$BO575,1),MIN(5,($U575*0.20)+($V575*0.15)+($W575*0.25)+($X575*0.15)+($BJ575*0.10)+($BM575*0.15))))</f>
        <v/>
      </c>
      <c r="BR575">
        <f>IF(OR($BP575="",$BQ575=""),"",ROUND($BP575*$BQ575,2))</f>
        <v/>
      </c>
      <c r="BS575">
        <f>IF($BR575="","",ROUND($BR575*IF($AO575="",1,$AO575)*IF($AX575="",1,$AX575)*(1+(($BM575-3)*0.10))*IF($BC575="",1,$BC575),2))</f>
        <v/>
      </c>
    </row>
    <row r="576" ht="69.90000000000001" customHeight="1" s="209">
      <c r="A576">
        <f>IF($BD576="","",SUMPRODUCT(ISNUMBER($BD$500:$BD$923)*($BD$500:$BD$923&gt;$BD576))+COUNTIF($BD$500:$BD576,$BD576))</f>
        <v/>
      </c>
      <c r="B576">
        <f>IF($H576="","",IF($H576&lt;5,"Yes","Maintain"))</f>
        <v/>
      </c>
      <c r="C576" t="inlineStr">
        <is>
          <t>HR Workforce</t>
        </is>
      </c>
      <c r="D576" t="inlineStr">
        <is>
          <t>Recruitment and retention</t>
        </is>
      </c>
      <c r="E576" t="inlineStr">
        <is>
          <t>HRWO-010</t>
        </is>
      </c>
      <c r="F576" t="inlineStr">
        <is>
          <t>People, critical roles and knowledge continuity</t>
        </is>
      </c>
      <c r="G576">
        <f>IF($H576="","",IFERROR(INDEX('_ENGINE_Risk'!$H$41:$M$920,MATCH($E576,'_ENGINE_Risk'!$A$41:$A$920,0),$H576+1),""))</f>
        <v/>
      </c>
      <c r="H576">
        <f>IFERROR(VALUE(INDEX(_DATA_Assessment_Model!$H$5:$H$884,MATCH($E576,_DATA_Assessment_Model!$A$5:$A$884,0))),"")</f>
        <v/>
      </c>
      <c r="I576">
        <f>IF($H576="","",IFERROR(INDEX(_DATA_Assessment_Model!$L$5:$L$884,MATCH($E576,_DATA_Assessment_Model!$A$5:$A$884,0)),IF($H576&lt;=1,"Critical",IF($H576=2,"High",IF($H576=3,"Medium",IF($H576=4,"Low","Resilient"))))))</f>
        <v/>
      </c>
      <c r="J576">
        <f>IF($H576="","",MIN(5,MAX(1,6-$H576)))</f>
        <v/>
      </c>
      <c r="K576">
        <f>IF($H576="","",MAX(1,MIN(5,ROUNDUP(($U576*0.45)+($W576*0.35)+($X576*0.2),0))))</f>
        <v/>
      </c>
      <c r="L576">
        <f>IF($H576="","",$J576*$K576)</f>
        <v/>
      </c>
      <c r="M576">
        <f>IF($H576="","",MAX(1,MIN(5,ROUNDUP($L576/5,0))))</f>
        <v/>
      </c>
      <c r="N576">
        <f>IF($H576="","",IFERROR(INDEX('_ENGINE_Risk'!$T$41:$Y$920,MATCH($E576,'_ENGINE_Risk'!$A$41:$A$920,0),$H576+1),""))</f>
        <v/>
      </c>
      <c r="O576">
        <f>IF($H576="","",MAX(1,MIN(5,($U576+$V576+$X576)/3)))</f>
        <v/>
      </c>
      <c r="P576">
        <f>IF($H576="","",IF($I576="Critical",5,IF($I576="High",4,IF($I576="Medium",3,IF($I576="Low",2,1)))))</f>
        <v/>
      </c>
      <c r="Q576">
        <f>IF($H576="","",MAX(1,MIN(5,((5-$H576)*0.65)+($W576*0.35))))</f>
        <v/>
      </c>
      <c r="R576">
        <f>IF($H576="","",MAX(1,MIN(5,($V576+$X576)/2)))</f>
        <v/>
      </c>
      <c r="S576">
        <f>IF(OR($H576="",$N576=""),"",ROUND(($O576+$P576+$Q576+$R576)/$N576,2))</f>
        <v/>
      </c>
      <c r="T576">
        <f>IF($H576="","",IFERROR(INDEX('_ENGINE_Risk'!$N$41:$S$920,MATCH($E576,'_ENGINE_Risk'!$A$41:$A$920,0),$H576+1),""))</f>
        <v/>
      </c>
      <c r="U576">
        <f>IFERROR(INDEX(_DATA_Assessment_Model!$G$5:$G$884,MATCH($E576,_DATA_Assessment_Model!$A$5:$A$884,0)),"")</f>
        <v/>
      </c>
      <c r="V576">
        <f>IFERROR(INDEX(_DATA_Assessment_Model!$W$5:$W$884,MATCH($E576,_DATA_Assessment_Model!$A$5:$A$884,0)),"")</f>
        <v/>
      </c>
      <c r="W576">
        <f>IFERROR(INDEX(_DATA_Assessment_Model!$X$5:$X$884,MATCH($E576,_DATA_Assessment_Model!$A$5:$A$884,0)),"")</f>
        <v/>
      </c>
      <c r="X576">
        <f>IFERROR(INDEX(_DATA_Assessment_Model!$Y$5:$Y$884,MATCH($E576,_DATA_Assessment_Model!$A$5:$A$884,0)),"")</f>
        <v/>
      </c>
      <c r="Y576" t="inlineStr">
        <is>
          <t>Workforce disruption; Pandemic/health crisis; War/security crisis</t>
        </is>
      </c>
      <c r="Z576" t="inlineStr">
        <is>
          <t>CHRO / HR</t>
        </is>
      </c>
      <c r="AA576" t="inlineStr">
        <is>
          <t>Policy/SOP; owner/RACI; system report; dashboard; contracts; test records; incident history; interview evidence related to retention risk monitoring for critical people, high performers and scarce-skill roles.</t>
        </is>
      </c>
      <c r="AB576">
        <f>IFERROR(INDEX(_DATA_Assessment_Model!$U$5:$U$884,MATCH($E576,_DATA_Assessment_Model!$A$5:$A$884,0)),"")</f>
        <v/>
      </c>
      <c r="AF576" t="inlineStr">
        <is>
          <t>How mature is the organization in managing retention risk monitoring for critical people, high performers and scarce-skill roles, including ownership, evidence, metrics, fallback procedures and crisis stress testing?</t>
        </is>
      </c>
      <c r="AO576">
        <f>IF($B576="Yes",IFERROR(INDEX(_ENGINE_Crisis!$F$501:$F$517,MATCH($C576,_ENGINE_Crisis!$A$501:$A$517,0)),1),"")</f>
        <v/>
      </c>
      <c r="AP576">
        <f>IF(AO576="","",ROUND($L576*AO576,1))</f>
        <v/>
      </c>
      <c r="AQ576">
        <f>IF(OR(AO576="",$S576=""),"",ROUND($S576*(0.7+0.3*AO576),2))</f>
        <v/>
      </c>
      <c r="AR576">
        <f>IFERROR(INDEX(_ENGINE_Crisis!$E$41:$E$700,MATCH('Resilience &amp; Risk Scenario'!$B$60&amp;"|"&amp;$C576,_ENGINE_Crisis!$I$41:$I$700,0)),"")</f>
        <v/>
      </c>
      <c r="AS576">
        <f>IFERROR(INDEX(_ENGINE_Crisis!$G$41:$G$700,MATCH('Resilience &amp; Risk Scenario'!$B$60&amp;"|"&amp;$C576,_ENGINE_Crisis!$I$41:$I$700,0)),"")</f>
        <v/>
      </c>
      <c r="AT576">
        <f>IFERROR(INDEX(_ENGINE_Initiatives!$A$5:$A$532,MATCH(1,INDEX((_ENGINE_Initiatives!$B$5:$B$532=$C576)*(_ENGINE_Initiatives!$C$5:$C$532=$D576),0),0)),"")</f>
        <v/>
      </c>
      <c r="AU576">
        <f>IFERROR(INDEX(_ENGINE_Initiatives!$F$5:$F$532,MATCH(1,INDEX((_ENGINE_Initiatives!$B$5:$B$532=$C576)*(_ENGINE_Initiatives!$C$5:$C$532=$D576),0),0)),"")</f>
        <v/>
      </c>
      <c r="AV576">
        <f>IFERROR(INDEX(_ENGINE_Initiatives!$AC$5:$AC$532,MATCH(1,INDEX((_ENGINE_Initiatives!$B$5:$B$532=$C576)*(_ENGINE_Initiatives!$C$5:$C$532=$D576),0),0)),"")</f>
        <v/>
      </c>
      <c r="AW576">
        <f>IFERROR(INDEX(_ENGINE_Initiatives!$AE$5:$AE$532,MATCH(1,INDEX((_ENGINE_Initiatives!$B$5:$B$532=$C576)*(_ENGINE_Initiatives!$C$5:$C$532=$D576),0),0)),"")</f>
        <v/>
      </c>
      <c r="AX576">
        <f>IF($B576="Yes",IFERROR(IF(SUMIFS(_REF_Model_Content!$E$1:$E$613,_REF_Model_Content!$A$1:$A$613,'Company Profile'!$B$9,_REF_Model_Content!$B$1:$B$613,$C576)=0,1,SUMIFS(_REF_Model_Content!$E$1:$E$613,_REF_Model_Content!$A$1:$A$613,'Company Profile'!$B$9,_REF_Model_Content!$B$1:$B$613,$C576)),1),"")</f>
        <v/>
      </c>
      <c r="AY576">
        <f>IF($L576="","",ROUND(IF($AP576="",$L576,$AP576)*IF($AX576="",1,$AX576),2))</f>
        <v/>
      </c>
      <c r="AZ576">
        <f>IF($S576="","",ROUND(IF($AQ576="",$S576,$AQ576)*IF($AX576="",1,$AX576),2))</f>
        <v/>
      </c>
      <c r="BB576">
        <f>IF($H576="","",IFERROR(INDEX('_ENGINE_Risk'!$AE$41:$AE$920,MATCH($E576,'_ENGINE_Risk'!$A$41:$A$920,0)),"Medium"))</f>
        <v/>
      </c>
      <c r="BC576">
        <f>IF($BB576="","",IF($BB576="Fast",1.25,IF($BB576="Slow",0.85,1)))</f>
        <v/>
      </c>
      <c r="BD576">
        <f>IF(OR($AZ576="",$BC576=""),"",ROUND($AZ576*$BC576,2))</f>
        <v/>
      </c>
      <c r="BF576">
        <f>IF(OR($H576="",$J576=""),"",_xlfn.IFNA(VLOOKUP($J576,_CONFIG_Model_Settings!$D$610:$E$614,2,0),""))</f>
        <v/>
      </c>
      <c r="BG576">
        <f>IF(OR($H576="",$K576=""),"",ROUND('Company Profile'!$B$569*INDEX(_CONFIG_Model_Settings!$H$610:$H$614,MATCH($K576,_CONFIG_Model_Settings!$G$610:$G$614,0)),0))</f>
        <v/>
      </c>
      <c r="BH576">
        <f>IF(OR($BF576="",$BG576=""),"",ROUND($BF576*$BG576,1))</f>
        <v/>
      </c>
      <c r="BI576">
        <f>IF($BH576="","",IF($AO576="",$BH576,ROUND($BH576*$AO576,1)))</f>
        <v/>
      </c>
      <c r="BJ576">
        <f>IF($E576="","",IFERROR(VLOOKUP($C576,'_CONFIG_Risk_Calibration'!$A$5:$H$21,2,FALSE),3))</f>
        <v/>
      </c>
      <c r="BK576">
        <f>IF($E576="","",IFERROR(VLOOKUP($C576,'_CONFIG_Risk_Calibration'!$A$5:$H$21,3,FALSE),0))</f>
        <v/>
      </c>
      <c r="BL576">
        <f>IF($E576="","",IFERROR(VLOOKUP($C576,'_CONFIG_Risk_Calibration'!$A$5:$H$21,4,FALSE),3))</f>
        <v/>
      </c>
      <c r="BM576">
        <f>IF($E576="","",IFERROR(VLOOKUP($C576,'_CONFIG_Risk_Calibration'!$A$5:$H$21,5,FALSE),3))</f>
        <v/>
      </c>
      <c r="BN576">
        <f>IF($E576="","",IFERROR(VLOOKUP($C576,'_CONFIG_Risk_Calibration'!$A$5:$H$21,6,FALSE),"No"))</f>
        <v/>
      </c>
      <c r="BO576">
        <f>IF($E576="","",IFERROR(VLOOKUP($C576,'_CONFIG_Risk_Calibration'!$A$5:$H$21,7,FALSE),1))</f>
        <v/>
      </c>
      <c r="BP576">
        <f>IF($H576="","",MAX(1,MIN(5,((6-$H576)*0.45)+($BJ576*0.20)+('Resilience &amp; Risk Scenario'!$B$7*0.15)+($BK576*0.10)+($BL576*0.05)+(IF($BB576="Fast",5,IF($BB576="Slow",1,3))*0.05))))</f>
        <v/>
      </c>
      <c r="BQ576">
        <f>IF($H576="","",MAX(IF($BN576="Yes",$BO576,1),MIN(5,($U576*0.20)+($V576*0.15)+($W576*0.25)+($X576*0.15)+($BJ576*0.10)+($BM576*0.15))))</f>
        <v/>
      </c>
      <c r="BR576">
        <f>IF(OR($BP576="",$BQ576=""),"",ROUND($BP576*$BQ576,2))</f>
        <v/>
      </c>
      <c r="BS576">
        <f>IF($BR576="","",ROUND($BR576*IF($AO576="",1,$AO576)*IF($AX576="",1,$AX576)*(1+(($BM576-3)*0.10))*IF($BC576="",1,$BC576),2))</f>
        <v/>
      </c>
    </row>
    <row r="577" ht="69.90000000000001" customHeight="1" s="209">
      <c r="A577">
        <f>IF($BD577="","",SUMPRODUCT(ISNUMBER($BD$500:$BD$923)*($BD$500:$BD$923&gt;$BD577))+COUNTIF($BD$500:$BD577,$BD577))</f>
        <v/>
      </c>
      <c r="B577">
        <f>IF($H577="","",IF($H577&lt;5,"Yes","Maintain"))</f>
        <v/>
      </c>
      <c r="C577" t="inlineStr">
        <is>
          <t>HR Workforce</t>
        </is>
      </c>
      <c r="D577" t="inlineStr">
        <is>
          <t>Recruitment and retention</t>
        </is>
      </c>
      <c r="E577" t="inlineStr">
        <is>
          <t>HRWO-011</t>
        </is>
      </c>
      <c r="F577" t="inlineStr">
        <is>
          <t>People, critical roles and knowledge continuity</t>
        </is>
      </c>
      <c r="G577">
        <f>IF($H577="","",IFERROR(INDEX('_ENGINE_Risk'!$H$41:$M$920,MATCH($E577,'_ENGINE_Risk'!$A$41:$A$920,0),$H577+1),""))</f>
        <v/>
      </c>
      <c r="H577">
        <f>IFERROR(VALUE(INDEX(_DATA_Assessment_Model!$H$5:$H$884,MATCH($E577,_DATA_Assessment_Model!$A$5:$A$884,0))),"")</f>
        <v/>
      </c>
      <c r="I577">
        <f>IF($H577="","",IFERROR(INDEX(_DATA_Assessment_Model!$L$5:$L$884,MATCH($E577,_DATA_Assessment_Model!$A$5:$A$884,0)),IF($H577&lt;=1,"Critical",IF($H577=2,"High",IF($H577=3,"Medium",IF($H577=4,"Low","Resilient"))))))</f>
        <v/>
      </c>
      <c r="J577">
        <f>IF($H577="","",MIN(5,MAX(1,6-$H577)))</f>
        <v/>
      </c>
      <c r="K577">
        <f>IF($H577="","",MAX(1,MIN(5,ROUNDUP(($U577*0.45)+($W577*0.35)+($X577*0.2),0))))</f>
        <v/>
      </c>
      <c r="L577">
        <f>IF($H577="","",$J577*$K577)</f>
        <v/>
      </c>
      <c r="M577">
        <f>IF($H577="","",MAX(1,MIN(5,ROUNDUP($L577/5,0))))</f>
        <v/>
      </c>
      <c r="N577">
        <f>IF($H577="","",IFERROR(INDEX('_ENGINE_Risk'!$T$41:$Y$920,MATCH($E577,'_ENGINE_Risk'!$A$41:$A$920,0),$H577+1),""))</f>
        <v/>
      </c>
      <c r="O577">
        <f>IF($H577="","",MAX(1,MIN(5,($U577+$V577+$X577)/3)))</f>
        <v/>
      </c>
      <c r="P577">
        <f>IF($H577="","",IF($I577="Critical",5,IF($I577="High",4,IF($I577="Medium",3,IF($I577="Low",2,1)))))</f>
        <v/>
      </c>
      <c r="Q577">
        <f>IF($H577="","",MAX(1,MIN(5,((5-$H577)*0.65)+($W577*0.35))))</f>
        <v/>
      </c>
      <c r="R577">
        <f>IF($H577="","",MAX(1,MIN(5,($V577+$X577)/2)))</f>
        <v/>
      </c>
      <c r="S577">
        <f>IF(OR($H577="",$N577=""),"",ROUND(($O577+$P577+$Q577+$R577)/$N577,2))</f>
        <v/>
      </c>
      <c r="T577">
        <f>IF($H577="","",IFERROR(INDEX('_ENGINE_Risk'!$N$41:$S$920,MATCH($E577,'_ENGINE_Risk'!$A$41:$A$920,0),$H577+1),""))</f>
        <v/>
      </c>
      <c r="U577">
        <f>IFERROR(INDEX(_DATA_Assessment_Model!$G$5:$G$884,MATCH($E577,_DATA_Assessment_Model!$A$5:$A$884,0)),"")</f>
        <v/>
      </c>
      <c r="V577">
        <f>IFERROR(INDEX(_DATA_Assessment_Model!$W$5:$W$884,MATCH($E577,_DATA_Assessment_Model!$A$5:$A$884,0)),"")</f>
        <v/>
      </c>
      <c r="W577">
        <f>IFERROR(INDEX(_DATA_Assessment_Model!$X$5:$X$884,MATCH($E577,_DATA_Assessment_Model!$A$5:$A$884,0)),"")</f>
        <v/>
      </c>
      <c r="X577">
        <f>IFERROR(INDEX(_DATA_Assessment_Model!$Y$5:$Y$884,MATCH($E577,_DATA_Assessment_Model!$A$5:$A$884,0)),"")</f>
        <v/>
      </c>
      <c r="Y577" t="inlineStr">
        <is>
          <t>Workforce disruption; Pandemic/health crisis; War/security crisis</t>
        </is>
      </c>
      <c r="Z577" t="inlineStr">
        <is>
          <t>CHRO / HR</t>
        </is>
      </c>
      <c r="AA577" t="inlineStr">
        <is>
          <t>Policy/SOP; owner/RACI; system report; dashboard; contracts; test records; incident history; interview evidence related to compensation and payroll continuity during banking, legal or system disruption.</t>
        </is>
      </c>
      <c r="AB577">
        <f>IFERROR(INDEX(_DATA_Assessment_Model!$U$5:$U$884,MATCH($E577,_DATA_Assessment_Model!$A$5:$A$884,0)),"")</f>
        <v/>
      </c>
      <c r="AF577" t="inlineStr">
        <is>
          <t>How mature is the organization in managing compensation and payroll continuity during banking, legal or system disruption, including ownership, evidence, metrics, fallback procedures and crisis stress testing?</t>
        </is>
      </c>
      <c r="AO577">
        <f>IF($B577="Yes",IFERROR(INDEX(_ENGINE_Crisis!$F$501:$F$517,MATCH($C577,_ENGINE_Crisis!$A$501:$A$517,0)),1),"")</f>
        <v/>
      </c>
      <c r="AP577">
        <f>IF(AO577="","",ROUND($L577*AO577,1))</f>
        <v/>
      </c>
      <c r="AQ577">
        <f>IF(OR(AO577="",$S577=""),"",ROUND($S577*(0.7+0.3*AO577),2))</f>
        <v/>
      </c>
      <c r="AR577">
        <f>IFERROR(INDEX(_ENGINE_Crisis!$E$41:$E$700,MATCH('Resilience &amp; Risk Scenario'!$B$60&amp;"|"&amp;$C577,_ENGINE_Crisis!$I$41:$I$700,0)),"")</f>
        <v/>
      </c>
      <c r="AS577">
        <f>IFERROR(INDEX(_ENGINE_Crisis!$G$41:$G$700,MATCH('Resilience &amp; Risk Scenario'!$B$60&amp;"|"&amp;$C577,_ENGINE_Crisis!$I$41:$I$700,0)),"")</f>
        <v/>
      </c>
      <c r="AT577">
        <f>IFERROR(INDEX(_ENGINE_Initiatives!$A$5:$A$532,MATCH(1,INDEX((_ENGINE_Initiatives!$B$5:$B$532=$C577)*(_ENGINE_Initiatives!$C$5:$C$532=$D577),0),0)),"")</f>
        <v/>
      </c>
      <c r="AU577">
        <f>IFERROR(INDEX(_ENGINE_Initiatives!$F$5:$F$532,MATCH(1,INDEX((_ENGINE_Initiatives!$B$5:$B$532=$C577)*(_ENGINE_Initiatives!$C$5:$C$532=$D577),0),0)),"")</f>
        <v/>
      </c>
      <c r="AV577">
        <f>IFERROR(INDEX(_ENGINE_Initiatives!$AC$5:$AC$532,MATCH(1,INDEX((_ENGINE_Initiatives!$B$5:$B$532=$C577)*(_ENGINE_Initiatives!$C$5:$C$532=$D577),0),0)),"")</f>
        <v/>
      </c>
      <c r="AW577">
        <f>IFERROR(INDEX(_ENGINE_Initiatives!$AE$5:$AE$532,MATCH(1,INDEX((_ENGINE_Initiatives!$B$5:$B$532=$C577)*(_ENGINE_Initiatives!$C$5:$C$532=$D577),0),0)),"")</f>
        <v/>
      </c>
      <c r="AX577">
        <f>IF($B577="Yes",IFERROR(IF(SUMIFS(_REF_Model_Content!$E$1:$E$613,_REF_Model_Content!$A$1:$A$613,'Company Profile'!$B$9,_REF_Model_Content!$B$1:$B$613,$C577)=0,1,SUMIFS(_REF_Model_Content!$E$1:$E$613,_REF_Model_Content!$A$1:$A$613,'Company Profile'!$B$9,_REF_Model_Content!$B$1:$B$613,$C577)),1),"")</f>
        <v/>
      </c>
      <c r="AY577">
        <f>IF($L577="","",ROUND(IF($AP577="",$L577,$AP577)*IF($AX577="",1,$AX577),2))</f>
        <v/>
      </c>
      <c r="AZ577">
        <f>IF($S577="","",ROUND(IF($AQ577="",$S577,$AQ577)*IF($AX577="",1,$AX577),2))</f>
        <v/>
      </c>
      <c r="BB577">
        <f>IF($H577="","",IFERROR(INDEX('_ENGINE_Risk'!$AE$41:$AE$920,MATCH($E577,'_ENGINE_Risk'!$A$41:$A$920,0)),"Medium"))</f>
        <v/>
      </c>
      <c r="BC577">
        <f>IF($BB577="","",IF($BB577="Fast",1.25,IF($BB577="Slow",0.85,1)))</f>
        <v/>
      </c>
      <c r="BD577">
        <f>IF(OR($AZ577="",$BC577=""),"",ROUND($AZ577*$BC577,2))</f>
        <v/>
      </c>
      <c r="BF577">
        <f>IF(OR($H577="",$J577=""),"",_xlfn.IFNA(VLOOKUP($J577,_CONFIG_Model_Settings!$D$610:$E$614,2,0),""))</f>
        <v/>
      </c>
      <c r="BG577">
        <f>IF(OR($H577="",$K577=""),"",ROUND('Company Profile'!$B$569*INDEX(_CONFIG_Model_Settings!$H$610:$H$614,MATCH($K577,_CONFIG_Model_Settings!$G$610:$G$614,0)),0))</f>
        <v/>
      </c>
      <c r="BH577">
        <f>IF(OR($BF577="",$BG577=""),"",ROUND($BF577*$BG577,1))</f>
        <v/>
      </c>
      <c r="BI577">
        <f>IF($BH577="","",IF($AO577="",$BH577,ROUND($BH577*$AO577,1)))</f>
        <v/>
      </c>
      <c r="BJ577">
        <f>IF($E577="","",IFERROR(VLOOKUP($C577,'_CONFIG_Risk_Calibration'!$A$5:$H$21,2,FALSE),3))</f>
        <v/>
      </c>
      <c r="BK577">
        <f>IF($E577="","",IFERROR(VLOOKUP($C577,'_CONFIG_Risk_Calibration'!$A$5:$H$21,3,FALSE),0))</f>
        <v/>
      </c>
      <c r="BL577">
        <f>IF($E577="","",IFERROR(VLOOKUP($C577,'_CONFIG_Risk_Calibration'!$A$5:$H$21,4,FALSE),3))</f>
        <v/>
      </c>
      <c r="BM577">
        <f>IF($E577="","",IFERROR(VLOOKUP($C577,'_CONFIG_Risk_Calibration'!$A$5:$H$21,5,FALSE),3))</f>
        <v/>
      </c>
      <c r="BN577">
        <f>IF($E577="","",IFERROR(VLOOKUP($C577,'_CONFIG_Risk_Calibration'!$A$5:$H$21,6,FALSE),"No"))</f>
        <v/>
      </c>
      <c r="BO577">
        <f>IF($E577="","",IFERROR(VLOOKUP($C577,'_CONFIG_Risk_Calibration'!$A$5:$H$21,7,FALSE),1))</f>
        <v/>
      </c>
      <c r="BP577">
        <f>IF($H577="","",MAX(1,MIN(5,((6-$H577)*0.45)+($BJ577*0.20)+('Resilience &amp; Risk Scenario'!$B$7*0.15)+($BK577*0.10)+($BL577*0.05)+(IF($BB577="Fast",5,IF($BB577="Slow",1,3))*0.05))))</f>
        <v/>
      </c>
      <c r="BQ577">
        <f>IF($H577="","",MAX(IF($BN577="Yes",$BO577,1),MIN(5,($U577*0.20)+($V577*0.15)+($W577*0.25)+($X577*0.15)+($BJ577*0.10)+($BM577*0.15))))</f>
        <v/>
      </c>
      <c r="BR577">
        <f>IF(OR($BP577="",$BQ577=""),"",ROUND($BP577*$BQ577,2))</f>
        <v/>
      </c>
      <c r="BS577">
        <f>IF($BR577="","",ROUND($BR577*IF($AO577="",1,$AO577)*IF($AX577="",1,$AX577)*(1+(($BM577-3)*0.10))*IF($BC577="",1,$BC577),2))</f>
        <v/>
      </c>
    </row>
    <row r="578" ht="69.90000000000001" customHeight="1" s="209">
      <c r="A578">
        <f>IF($BD578="","",SUMPRODUCT(ISNUMBER($BD$500:$BD$923)*($BD$500:$BD$923&gt;$BD578))+COUNTIF($BD$500:$BD578,$BD578))</f>
        <v/>
      </c>
      <c r="B578">
        <f>IF($H578="","",IF($H578&lt;5,"Yes","Maintain"))</f>
        <v/>
      </c>
      <c r="C578" t="inlineStr">
        <is>
          <t>HR Workforce</t>
        </is>
      </c>
      <c r="D578" t="inlineStr">
        <is>
          <t>Recruitment and retention</t>
        </is>
      </c>
      <c r="E578" t="inlineStr">
        <is>
          <t>HRWO-012</t>
        </is>
      </c>
      <c r="F578" t="inlineStr">
        <is>
          <t>People, critical roles and knowledge continuity</t>
        </is>
      </c>
      <c r="G578">
        <f>IF($H578="","",IFERROR(INDEX('_ENGINE_Risk'!$H$41:$M$920,MATCH($E578,'_ENGINE_Risk'!$A$41:$A$920,0),$H578+1),""))</f>
        <v/>
      </c>
      <c r="H578">
        <f>IFERROR(VALUE(INDEX(_DATA_Assessment_Model!$H$5:$H$884,MATCH($E578,_DATA_Assessment_Model!$A$5:$A$884,0))),"")</f>
        <v/>
      </c>
      <c r="I578">
        <f>IF($H578="","",IFERROR(INDEX(_DATA_Assessment_Model!$L$5:$L$884,MATCH($E578,_DATA_Assessment_Model!$A$5:$A$884,0)),IF($H578&lt;=1,"Critical",IF($H578=2,"High",IF($H578=3,"Medium",IF($H578=4,"Low","Resilient"))))))</f>
        <v/>
      </c>
      <c r="J578">
        <f>IF($H578="","",MIN(5,MAX(1,6-$H578)))</f>
        <v/>
      </c>
      <c r="K578">
        <f>IF($H578="","",MAX(1,MIN(5,ROUNDUP(($U578*0.45)+($W578*0.35)+($X578*0.2),0))))</f>
        <v/>
      </c>
      <c r="L578">
        <f>IF($H578="","",$J578*$K578)</f>
        <v/>
      </c>
      <c r="M578">
        <f>IF($H578="","",MAX(1,MIN(5,ROUNDUP($L578/5,0))))</f>
        <v/>
      </c>
      <c r="N578">
        <f>IF($H578="","",IFERROR(INDEX('_ENGINE_Risk'!$T$41:$Y$920,MATCH($E578,'_ENGINE_Risk'!$A$41:$A$920,0),$H578+1),""))</f>
        <v/>
      </c>
      <c r="O578">
        <f>IF($H578="","",MAX(1,MIN(5,($U578+$V578+$X578)/3)))</f>
        <v/>
      </c>
      <c r="P578">
        <f>IF($H578="","",IF($I578="Critical",5,IF($I578="High",4,IF($I578="Medium",3,IF($I578="Low",2,1)))))</f>
        <v/>
      </c>
      <c r="Q578">
        <f>IF($H578="","",MAX(1,MIN(5,((5-$H578)*0.65)+($W578*0.35))))</f>
        <v/>
      </c>
      <c r="R578">
        <f>IF($H578="","",MAX(1,MIN(5,($V578+$X578)/2)))</f>
        <v/>
      </c>
      <c r="S578">
        <f>IF(OR($H578="",$N578=""),"",ROUND(($O578+$P578+$Q578+$R578)/$N578,2))</f>
        <v/>
      </c>
      <c r="T578">
        <f>IF($H578="","",IFERROR(INDEX('_ENGINE_Risk'!$N$41:$S$920,MATCH($E578,'_ENGINE_Risk'!$A$41:$A$920,0),$H578+1),""))</f>
        <v/>
      </c>
      <c r="U578">
        <f>IFERROR(INDEX(_DATA_Assessment_Model!$G$5:$G$884,MATCH($E578,_DATA_Assessment_Model!$A$5:$A$884,0)),"")</f>
        <v/>
      </c>
      <c r="V578">
        <f>IFERROR(INDEX(_DATA_Assessment_Model!$W$5:$W$884,MATCH($E578,_DATA_Assessment_Model!$A$5:$A$884,0)),"")</f>
        <v/>
      </c>
      <c r="W578">
        <f>IFERROR(INDEX(_DATA_Assessment_Model!$X$5:$X$884,MATCH($E578,_DATA_Assessment_Model!$A$5:$A$884,0)),"")</f>
        <v/>
      </c>
      <c r="X578">
        <f>IFERROR(INDEX(_DATA_Assessment_Model!$Y$5:$Y$884,MATCH($E578,_DATA_Assessment_Model!$A$5:$A$884,0)),"")</f>
        <v/>
      </c>
      <c r="Y578" t="inlineStr">
        <is>
          <t>Workforce disruption; Pandemic/health crisis; War/security crisis</t>
        </is>
      </c>
      <c r="Z578" t="inlineStr">
        <is>
          <t>CHRO / HR</t>
        </is>
      </c>
      <c r="AA578" t="inlineStr">
        <is>
          <t>Policy/SOP; owner/RACI; system report; dashboard; contracts; test records; incident history; interview evidence related to succession planning and deputies for all critical leadership and operational roles.</t>
        </is>
      </c>
      <c r="AB578">
        <f>IFERROR(INDEX(_DATA_Assessment_Model!$U$5:$U$884,MATCH($E578,_DATA_Assessment_Model!$A$5:$A$884,0)),"")</f>
        <v/>
      </c>
      <c r="AF578" t="inlineStr">
        <is>
          <t>How mature is the organization in managing succession planning and deputies for all critical leadership and operational roles, including ownership, evidence, metrics, fallback procedures and crisis stress testing?</t>
        </is>
      </c>
      <c r="AO578">
        <f>IF($B578="Yes",IFERROR(INDEX(_ENGINE_Crisis!$F$501:$F$517,MATCH($C578,_ENGINE_Crisis!$A$501:$A$517,0)),1),"")</f>
        <v/>
      </c>
      <c r="AP578">
        <f>IF(AO578="","",ROUND($L578*AO578,1))</f>
        <v/>
      </c>
      <c r="AQ578">
        <f>IF(OR(AO578="",$S578=""),"",ROUND($S578*(0.7+0.3*AO578),2))</f>
        <v/>
      </c>
      <c r="AR578">
        <f>IFERROR(INDEX(_ENGINE_Crisis!$E$41:$E$700,MATCH('Resilience &amp; Risk Scenario'!$B$60&amp;"|"&amp;$C578,_ENGINE_Crisis!$I$41:$I$700,0)),"")</f>
        <v/>
      </c>
      <c r="AS578">
        <f>IFERROR(INDEX(_ENGINE_Crisis!$G$41:$G$700,MATCH('Resilience &amp; Risk Scenario'!$B$60&amp;"|"&amp;$C578,_ENGINE_Crisis!$I$41:$I$700,0)),"")</f>
        <v/>
      </c>
      <c r="AT578">
        <f>IFERROR(INDEX(_ENGINE_Initiatives!$A$5:$A$532,MATCH(1,INDEX((_ENGINE_Initiatives!$B$5:$B$532=$C578)*(_ENGINE_Initiatives!$C$5:$C$532=$D578),0),0)),"")</f>
        <v/>
      </c>
      <c r="AU578">
        <f>IFERROR(INDEX(_ENGINE_Initiatives!$F$5:$F$532,MATCH(1,INDEX((_ENGINE_Initiatives!$B$5:$B$532=$C578)*(_ENGINE_Initiatives!$C$5:$C$532=$D578),0),0)),"")</f>
        <v/>
      </c>
      <c r="AV578">
        <f>IFERROR(INDEX(_ENGINE_Initiatives!$AC$5:$AC$532,MATCH(1,INDEX((_ENGINE_Initiatives!$B$5:$B$532=$C578)*(_ENGINE_Initiatives!$C$5:$C$532=$D578),0),0)),"")</f>
        <v/>
      </c>
      <c r="AW578">
        <f>IFERROR(INDEX(_ENGINE_Initiatives!$AE$5:$AE$532,MATCH(1,INDEX((_ENGINE_Initiatives!$B$5:$B$532=$C578)*(_ENGINE_Initiatives!$C$5:$C$532=$D578),0),0)),"")</f>
        <v/>
      </c>
      <c r="AX578">
        <f>IF($B578="Yes",IFERROR(IF(SUMIFS(_REF_Model_Content!$E$1:$E$613,_REF_Model_Content!$A$1:$A$613,'Company Profile'!$B$9,_REF_Model_Content!$B$1:$B$613,$C578)=0,1,SUMIFS(_REF_Model_Content!$E$1:$E$613,_REF_Model_Content!$A$1:$A$613,'Company Profile'!$B$9,_REF_Model_Content!$B$1:$B$613,$C578)),1),"")</f>
        <v/>
      </c>
      <c r="AY578">
        <f>IF($L578="","",ROUND(IF($AP578="",$L578,$AP578)*IF($AX578="",1,$AX578),2))</f>
        <v/>
      </c>
      <c r="AZ578">
        <f>IF($S578="","",ROUND(IF($AQ578="",$S578,$AQ578)*IF($AX578="",1,$AX578),2))</f>
        <v/>
      </c>
      <c r="BB578">
        <f>IF($H578="","",IFERROR(INDEX('_ENGINE_Risk'!$AE$41:$AE$920,MATCH($E578,'_ENGINE_Risk'!$A$41:$A$920,0)),"Medium"))</f>
        <v/>
      </c>
      <c r="BC578">
        <f>IF($BB578="","",IF($BB578="Fast",1.25,IF($BB578="Slow",0.85,1)))</f>
        <v/>
      </c>
      <c r="BD578">
        <f>IF(OR($AZ578="",$BC578=""),"",ROUND($AZ578*$BC578,2))</f>
        <v/>
      </c>
      <c r="BF578">
        <f>IF(OR($H578="",$J578=""),"",_xlfn.IFNA(VLOOKUP($J578,_CONFIG_Model_Settings!$D$610:$E$614,2,0),""))</f>
        <v/>
      </c>
      <c r="BG578">
        <f>IF(OR($H578="",$K578=""),"",ROUND('Company Profile'!$B$569*INDEX(_CONFIG_Model_Settings!$H$610:$H$614,MATCH($K578,_CONFIG_Model_Settings!$G$610:$G$614,0)),0))</f>
        <v/>
      </c>
      <c r="BH578">
        <f>IF(OR($BF578="",$BG578=""),"",ROUND($BF578*$BG578,1))</f>
        <v/>
      </c>
      <c r="BI578">
        <f>IF($BH578="","",IF($AO578="",$BH578,ROUND($BH578*$AO578,1)))</f>
        <v/>
      </c>
      <c r="BJ578">
        <f>IF($E578="","",IFERROR(VLOOKUP($C578,'_CONFIG_Risk_Calibration'!$A$5:$H$21,2,FALSE),3))</f>
        <v/>
      </c>
      <c r="BK578">
        <f>IF($E578="","",IFERROR(VLOOKUP($C578,'_CONFIG_Risk_Calibration'!$A$5:$H$21,3,FALSE),0))</f>
        <v/>
      </c>
      <c r="BL578">
        <f>IF($E578="","",IFERROR(VLOOKUP($C578,'_CONFIG_Risk_Calibration'!$A$5:$H$21,4,FALSE),3))</f>
        <v/>
      </c>
      <c r="BM578">
        <f>IF($E578="","",IFERROR(VLOOKUP($C578,'_CONFIG_Risk_Calibration'!$A$5:$H$21,5,FALSE),3))</f>
        <v/>
      </c>
      <c r="BN578">
        <f>IF($E578="","",IFERROR(VLOOKUP($C578,'_CONFIG_Risk_Calibration'!$A$5:$H$21,6,FALSE),"No"))</f>
        <v/>
      </c>
      <c r="BO578">
        <f>IF($E578="","",IFERROR(VLOOKUP($C578,'_CONFIG_Risk_Calibration'!$A$5:$H$21,7,FALSE),1))</f>
        <v/>
      </c>
      <c r="BP578">
        <f>IF($H578="","",MAX(1,MIN(5,((6-$H578)*0.45)+($BJ578*0.20)+('Resilience &amp; Risk Scenario'!$B$7*0.15)+($BK578*0.10)+($BL578*0.05)+(IF($BB578="Fast",5,IF($BB578="Slow",1,3))*0.05))))</f>
        <v/>
      </c>
      <c r="BQ578">
        <f>IF($H578="","",MAX(IF($BN578="Yes",$BO578,1),MIN(5,($U578*0.20)+($V578*0.15)+($W578*0.25)+($X578*0.15)+($BJ578*0.10)+($BM578*0.15))))</f>
        <v/>
      </c>
      <c r="BR578">
        <f>IF(OR($BP578="",$BQ578=""),"",ROUND($BP578*$BQ578,2))</f>
        <v/>
      </c>
      <c r="BS578">
        <f>IF($BR578="","",ROUND($BR578*IF($AO578="",1,$AO578)*IF($AX578="",1,$AX578)*(1+(($BM578-3)*0.10))*IF($BC578="",1,$BC578),2))</f>
        <v/>
      </c>
    </row>
    <row r="579" ht="69.90000000000001" customHeight="1" s="209">
      <c r="A579">
        <f>IF($BD579="","",SUMPRODUCT(ISNUMBER($BD$500:$BD$923)*($BD$500:$BD$923&gt;$BD579))+COUNTIF($BD$500:$BD579,$BD579))</f>
        <v/>
      </c>
      <c r="B579">
        <f>IF($H579="","",IF($H579&lt;5,"Yes","Maintain"))</f>
        <v/>
      </c>
      <c r="C579" t="inlineStr">
        <is>
          <t>HR Workforce</t>
        </is>
      </c>
      <c r="D579" t="inlineStr">
        <is>
          <t>Continuity and wellbeing</t>
        </is>
      </c>
      <c r="E579" t="inlineStr">
        <is>
          <t>HRWO-013</t>
        </is>
      </c>
      <c r="F579" t="inlineStr">
        <is>
          <t>People, critical roles and knowledge continuity</t>
        </is>
      </c>
      <c r="G579">
        <f>IF($H579="","",IFERROR(INDEX('_ENGINE_Risk'!$H$41:$M$920,MATCH($E579,'_ENGINE_Risk'!$A$41:$A$920,0),$H579+1),""))</f>
        <v/>
      </c>
      <c r="H579">
        <f>IFERROR(VALUE(INDEX(_DATA_Assessment_Model!$H$5:$H$884,MATCH($E579,_DATA_Assessment_Model!$A$5:$A$884,0))),"")</f>
        <v/>
      </c>
      <c r="I579">
        <f>IF($H579="","",IFERROR(INDEX(_DATA_Assessment_Model!$L$5:$L$884,MATCH($E579,_DATA_Assessment_Model!$A$5:$A$884,0)),IF($H579&lt;=1,"Critical",IF($H579=2,"High",IF($H579=3,"Medium",IF($H579=4,"Low","Resilient"))))))</f>
        <v/>
      </c>
      <c r="J579">
        <f>IF($H579="","",MIN(5,MAX(1,6-$H579)))</f>
        <v/>
      </c>
      <c r="K579">
        <f>IF($H579="","",MAX(1,MIN(5,ROUNDUP(($U579*0.45)+($W579*0.35)+($X579*0.2),0))))</f>
        <v/>
      </c>
      <c r="L579">
        <f>IF($H579="","",$J579*$K579)</f>
        <v/>
      </c>
      <c r="M579">
        <f>IF($H579="","",MAX(1,MIN(5,ROUNDUP($L579/5,0))))</f>
        <v/>
      </c>
      <c r="N579">
        <f>IF($H579="","",IFERROR(INDEX('_ENGINE_Risk'!$T$41:$Y$920,MATCH($E579,'_ENGINE_Risk'!$A$41:$A$920,0),$H579+1),""))</f>
        <v/>
      </c>
      <c r="O579">
        <f>IF($H579="","",MAX(1,MIN(5,($U579+$V579+$X579)/3)))</f>
        <v/>
      </c>
      <c r="P579">
        <f>IF($H579="","",IF($I579="Critical",5,IF($I579="High",4,IF($I579="Medium",3,IF($I579="Low",2,1)))))</f>
        <v/>
      </c>
      <c r="Q579">
        <f>IF($H579="","",MAX(1,MIN(5,((5-$H579)*0.65)+($W579*0.35))))</f>
        <v/>
      </c>
      <c r="R579">
        <f>IF($H579="","",MAX(1,MIN(5,($V579+$X579)/2)))</f>
        <v/>
      </c>
      <c r="S579">
        <f>IF(OR($H579="",$N579=""),"",ROUND(($O579+$P579+$Q579+$R579)/$N579,2))</f>
        <v/>
      </c>
      <c r="T579">
        <f>IF($H579="","",IFERROR(INDEX('_ENGINE_Risk'!$N$41:$S$920,MATCH($E579,'_ENGINE_Risk'!$A$41:$A$920,0),$H579+1),""))</f>
        <v/>
      </c>
      <c r="U579">
        <f>IFERROR(INDEX(_DATA_Assessment_Model!$G$5:$G$884,MATCH($E579,_DATA_Assessment_Model!$A$5:$A$884,0)),"")</f>
        <v/>
      </c>
      <c r="V579">
        <f>IFERROR(INDEX(_DATA_Assessment_Model!$W$5:$W$884,MATCH($E579,_DATA_Assessment_Model!$A$5:$A$884,0)),"")</f>
        <v/>
      </c>
      <c r="W579">
        <f>IFERROR(INDEX(_DATA_Assessment_Model!$X$5:$X$884,MATCH($E579,_DATA_Assessment_Model!$A$5:$A$884,0)),"")</f>
        <v/>
      </c>
      <c r="X579">
        <f>IFERROR(INDEX(_DATA_Assessment_Model!$Y$5:$Y$884,MATCH($E579,_DATA_Assessment_Model!$A$5:$A$884,0)),"")</f>
        <v/>
      </c>
      <c r="Y579" t="inlineStr">
        <is>
          <t>Workforce disruption; Pandemic/health crisis; War/security crisis</t>
        </is>
      </c>
      <c r="Z579" t="inlineStr">
        <is>
          <t>CHRO / HR</t>
        </is>
      </c>
      <c r="AA579" t="inlineStr">
        <is>
          <t>Policy/SOP; owner/RACI; system report; dashboard; contracts; test records; incident history; interview evidence related to remote onboarding with secure access, equipment, training and manager support.</t>
        </is>
      </c>
      <c r="AB579">
        <f>IFERROR(INDEX(_DATA_Assessment_Model!$U$5:$U$884,MATCH($E579,_DATA_Assessment_Model!$A$5:$A$884,0)),"")</f>
        <v/>
      </c>
      <c r="AF579" t="inlineStr">
        <is>
          <t>How mature is the organization in managing remote onboarding with secure access, equipment, training and manager support, including ownership, evidence, metrics, fallback procedures and crisis stress testing?</t>
        </is>
      </c>
      <c r="AO579">
        <f>IF($B579="Yes",IFERROR(INDEX(_ENGINE_Crisis!$F$501:$F$517,MATCH($C579,_ENGINE_Crisis!$A$501:$A$517,0)),1),"")</f>
        <v/>
      </c>
      <c r="AP579">
        <f>IF(AO579="","",ROUND($L579*AO579,1))</f>
        <v/>
      </c>
      <c r="AQ579">
        <f>IF(OR(AO579="",$S579=""),"",ROUND($S579*(0.7+0.3*AO579),2))</f>
        <v/>
      </c>
      <c r="AR579">
        <f>IFERROR(INDEX(_ENGINE_Crisis!$E$41:$E$700,MATCH('Resilience &amp; Risk Scenario'!$B$60&amp;"|"&amp;$C579,_ENGINE_Crisis!$I$41:$I$700,0)),"")</f>
        <v/>
      </c>
      <c r="AS579">
        <f>IFERROR(INDEX(_ENGINE_Crisis!$G$41:$G$700,MATCH('Resilience &amp; Risk Scenario'!$B$60&amp;"|"&amp;$C579,_ENGINE_Crisis!$I$41:$I$700,0)),"")</f>
        <v/>
      </c>
      <c r="AT579">
        <f>IFERROR(INDEX(_ENGINE_Initiatives!$A$5:$A$532,MATCH(1,INDEX((_ENGINE_Initiatives!$B$5:$B$532=$C579)*(_ENGINE_Initiatives!$C$5:$C$532=$D579),0),0)),"")</f>
        <v/>
      </c>
      <c r="AU579">
        <f>IFERROR(INDEX(_ENGINE_Initiatives!$F$5:$F$532,MATCH(1,INDEX((_ENGINE_Initiatives!$B$5:$B$532=$C579)*(_ENGINE_Initiatives!$C$5:$C$532=$D579),0),0)),"")</f>
        <v/>
      </c>
      <c r="AV579">
        <f>IFERROR(INDEX(_ENGINE_Initiatives!$AC$5:$AC$532,MATCH(1,INDEX((_ENGINE_Initiatives!$B$5:$B$532=$C579)*(_ENGINE_Initiatives!$C$5:$C$532=$D579),0),0)),"")</f>
        <v/>
      </c>
      <c r="AW579">
        <f>IFERROR(INDEX(_ENGINE_Initiatives!$AE$5:$AE$532,MATCH(1,INDEX((_ENGINE_Initiatives!$B$5:$B$532=$C579)*(_ENGINE_Initiatives!$C$5:$C$532=$D579),0),0)),"")</f>
        <v/>
      </c>
      <c r="AX579">
        <f>IF($B579="Yes",IFERROR(IF(SUMIFS(_REF_Model_Content!$E$1:$E$613,_REF_Model_Content!$A$1:$A$613,'Company Profile'!$B$9,_REF_Model_Content!$B$1:$B$613,$C579)=0,1,SUMIFS(_REF_Model_Content!$E$1:$E$613,_REF_Model_Content!$A$1:$A$613,'Company Profile'!$B$9,_REF_Model_Content!$B$1:$B$613,$C579)),1),"")</f>
        <v/>
      </c>
      <c r="AY579">
        <f>IF($L579="","",ROUND(IF($AP579="",$L579,$AP579)*IF($AX579="",1,$AX579),2))</f>
        <v/>
      </c>
      <c r="AZ579">
        <f>IF($S579="","",ROUND(IF($AQ579="",$S579,$AQ579)*IF($AX579="",1,$AX579),2))</f>
        <v/>
      </c>
      <c r="BB579">
        <f>IF($H579="","",IFERROR(INDEX('_ENGINE_Risk'!$AE$41:$AE$920,MATCH($E579,'_ENGINE_Risk'!$A$41:$A$920,0)),"Medium"))</f>
        <v/>
      </c>
      <c r="BC579">
        <f>IF($BB579="","",IF($BB579="Fast",1.25,IF($BB579="Slow",0.85,1)))</f>
        <v/>
      </c>
      <c r="BD579">
        <f>IF(OR($AZ579="",$BC579=""),"",ROUND($AZ579*$BC579,2))</f>
        <v/>
      </c>
      <c r="BF579">
        <f>IF(OR($H579="",$J579=""),"",_xlfn.IFNA(VLOOKUP($J579,_CONFIG_Model_Settings!$D$610:$E$614,2,0),""))</f>
        <v/>
      </c>
      <c r="BG579">
        <f>IF(OR($H579="",$K579=""),"",ROUND('Company Profile'!$B$569*INDEX(_CONFIG_Model_Settings!$H$610:$H$614,MATCH($K579,_CONFIG_Model_Settings!$G$610:$G$614,0)),0))</f>
        <v/>
      </c>
      <c r="BH579">
        <f>IF(OR($BF579="",$BG579=""),"",ROUND($BF579*$BG579,1))</f>
        <v/>
      </c>
      <c r="BI579">
        <f>IF($BH579="","",IF($AO579="",$BH579,ROUND($BH579*$AO579,1)))</f>
        <v/>
      </c>
      <c r="BJ579">
        <f>IF($E579="","",IFERROR(VLOOKUP($C579,'_CONFIG_Risk_Calibration'!$A$5:$H$21,2,FALSE),3))</f>
        <v/>
      </c>
      <c r="BK579">
        <f>IF($E579="","",IFERROR(VLOOKUP($C579,'_CONFIG_Risk_Calibration'!$A$5:$H$21,3,FALSE),0))</f>
        <v/>
      </c>
      <c r="BL579">
        <f>IF($E579="","",IFERROR(VLOOKUP($C579,'_CONFIG_Risk_Calibration'!$A$5:$H$21,4,FALSE),3))</f>
        <v/>
      </c>
      <c r="BM579">
        <f>IF($E579="","",IFERROR(VLOOKUP($C579,'_CONFIG_Risk_Calibration'!$A$5:$H$21,5,FALSE),3))</f>
        <v/>
      </c>
      <c r="BN579">
        <f>IF($E579="","",IFERROR(VLOOKUP($C579,'_CONFIG_Risk_Calibration'!$A$5:$H$21,6,FALSE),"No"))</f>
        <v/>
      </c>
      <c r="BO579">
        <f>IF($E579="","",IFERROR(VLOOKUP($C579,'_CONFIG_Risk_Calibration'!$A$5:$H$21,7,FALSE),1))</f>
        <v/>
      </c>
      <c r="BP579">
        <f>IF($H579="","",MAX(1,MIN(5,((6-$H579)*0.45)+($BJ579*0.20)+('Resilience &amp; Risk Scenario'!$B$7*0.15)+($BK579*0.10)+($BL579*0.05)+(IF($BB579="Fast",5,IF($BB579="Slow",1,3))*0.05))))</f>
        <v/>
      </c>
      <c r="BQ579">
        <f>IF($H579="","",MAX(IF($BN579="Yes",$BO579,1),MIN(5,($U579*0.20)+($V579*0.15)+($W579*0.25)+($X579*0.15)+($BJ579*0.10)+($BM579*0.15))))</f>
        <v/>
      </c>
      <c r="BR579">
        <f>IF(OR($BP579="",$BQ579=""),"",ROUND($BP579*$BQ579,2))</f>
        <v/>
      </c>
      <c r="BS579">
        <f>IF($BR579="","",ROUND($BR579*IF($AO579="",1,$AO579)*IF($AX579="",1,$AX579)*(1+(($BM579-3)*0.10))*IF($BC579="",1,$BC579),2))</f>
        <v/>
      </c>
    </row>
    <row r="580" ht="69.90000000000001" customHeight="1" s="209">
      <c r="A580">
        <f>IF($BD580="","",SUMPRODUCT(ISNUMBER($BD$500:$BD$923)*($BD$500:$BD$923&gt;$BD580))+COUNTIF($BD$500:$BD580,$BD580))</f>
        <v/>
      </c>
      <c r="B580">
        <f>IF($H580="","",IF($H580&lt;5,"Yes","Maintain"))</f>
        <v/>
      </c>
      <c r="C580" t="inlineStr">
        <is>
          <t>HR Workforce</t>
        </is>
      </c>
      <c r="D580" t="inlineStr">
        <is>
          <t>Continuity and wellbeing</t>
        </is>
      </c>
      <c r="E580" t="inlineStr">
        <is>
          <t>HRWO-014</t>
        </is>
      </c>
      <c r="F580" t="inlineStr">
        <is>
          <t>People, critical roles and knowledge continuity</t>
        </is>
      </c>
      <c r="G580">
        <f>IF($H580="","",IFERROR(INDEX('_ENGINE_Risk'!$H$41:$M$920,MATCH($E580,'_ENGINE_Risk'!$A$41:$A$920,0),$H580+1),""))</f>
        <v/>
      </c>
      <c r="H580">
        <f>IFERROR(VALUE(INDEX(_DATA_Assessment_Model!$H$5:$H$884,MATCH($E580,_DATA_Assessment_Model!$A$5:$A$884,0))),"")</f>
        <v/>
      </c>
      <c r="I580">
        <f>IF($H580="","",IFERROR(INDEX(_DATA_Assessment_Model!$L$5:$L$884,MATCH($E580,_DATA_Assessment_Model!$A$5:$A$884,0)),IF($H580&lt;=1,"Critical",IF($H580=2,"High",IF($H580=3,"Medium",IF($H580=4,"Low","Resilient"))))))</f>
        <v/>
      </c>
      <c r="J580">
        <f>IF($H580="","",MIN(5,MAX(1,6-$H580)))</f>
        <v/>
      </c>
      <c r="K580">
        <f>IF($H580="","",MAX(1,MIN(5,ROUNDUP(($U580*0.45)+($W580*0.35)+($X580*0.2),0))))</f>
        <v/>
      </c>
      <c r="L580">
        <f>IF($H580="","",$J580*$K580)</f>
        <v/>
      </c>
      <c r="M580">
        <f>IF($H580="","",MAX(1,MIN(5,ROUNDUP($L580/5,0))))</f>
        <v/>
      </c>
      <c r="N580">
        <f>IF($H580="","",IFERROR(INDEX('_ENGINE_Risk'!$T$41:$Y$920,MATCH($E580,'_ENGINE_Risk'!$A$41:$A$920,0),$H580+1),""))</f>
        <v/>
      </c>
      <c r="O580">
        <f>IF($H580="","",MAX(1,MIN(5,($U580+$V580+$X580)/3)))</f>
        <v/>
      </c>
      <c r="P580">
        <f>IF($H580="","",IF($I580="Critical",5,IF($I580="High",4,IF($I580="Medium",3,IF($I580="Low",2,1)))))</f>
        <v/>
      </c>
      <c r="Q580">
        <f>IF($H580="","",MAX(1,MIN(5,((5-$H580)*0.65)+($W580*0.35))))</f>
        <v/>
      </c>
      <c r="R580">
        <f>IF($H580="","",MAX(1,MIN(5,($V580+$X580)/2)))</f>
        <v/>
      </c>
      <c r="S580">
        <f>IF(OR($H580="",$N580=""),"",ROUND(($O580+$P580+$Q580+$R580)/$N580,2))</f>
        <v/>
      </c>
      <c r="T580">
        <f>IF($H580="","",IFERROR(INDEX('_ENGINE_Risk'!$N$41:$S$920,MATCH($E580,'_ENGINE_Risk'!$A$41:$A$920,0),$H580+1),""))</f>
        <v/>
      </c>
      <c r="U580">
        <f>IFERROR(INDEX(_DATA_Assessment_Model!$G$5:$G$884,MATCH($E580,_DATA_Assessment_Model!$A$5:$A$884,0)),"")</f>
        <v/>
      </c>
      <c r="V580">
        <f>IFERROR(INDEX(_DATA_Assessment_Model!$W$5:$W$884,MATCH($E580,_DATA_Assessment_Model!$A$5:$A$884,0)),"")</f>
        <v/>
      </c>
      <c r="W580">
        <f>IFERROR(INDEX(_DATA_Assessment_Model!$X$5:$X$884,MATCH($E580,_DATA_Assessment_Model!$A$5:$A$884,0)),"")</f>
        <v/>
      </c>
      <c r="X580">
        <f>IFERROR(INDEX(_DATA_Assessment_Model!$Y$5:$Y$884,MATCH($E580,_DATA_Assessment_Model!$A$5:$A$884,0)),"")</f>
        <v/>
      </c>
      <c r="Y580" t="inlineStr">
        <is>
          <t>Workforce disruption; Pandemic/health crisis; War/security crisis</t>
        </is>
      </c>
      <c r="Z580" t="inlineStr">
        <is>
          <t>CHRO / HR</t>
        </is>
      </c>
      <c r="AA580" t="inlineStr">
        <is>
          <t>Policy/SOP; owner/RACI; system report; dashboard; contracts; test records; incident history; interview evidence related to remote work capability with secure access, connectivity, equipment and documented procedures.</t>
        </is>
      </c>
      <c r="AB580">
        <f>IFERROR(INDEX(_DATA_Assessment_Model!$U$5:$U$884,MATCH($E580,_DATA_Assessment_Model!$A$5:$A$884,0)),"")</f>
        <v/>
      </c>
      <c r="AF580" t="inlineStr">
        <is>
          <t>How mature is the organization in managing remote work capability with secure access, connectivity, equipment and documented procedures, including ownership, evidence, metrics, fallback procedures and crisis stress testing?</t>
        </is>
      </c>
      <c r="AO580">
        <f>IF($B580="Yes",IFERROR(INDEX(_ENGINE_Crisis!$F$501:$F$517,MATCH($C580,_ENGINE_Crisis!$A$501:$A$517,0)),1),"")</f>
        <v/>
      </c>
      <c r="AP580">
        <f>IF(AO580="","",ROUND($L580*AO580,1))</f>
        <v/>
      </c>
      <c r="AQ580">
        <f>IF(OR(AO580="",$S580=""),"",ROUND($S580*(0.7+0.3*AO580),2))</f>
        <v/>
      </c>
      <c r="AR580">
        <f>IFERROR(INDEX(_ENGINE_Crisis!$E$41:$E$700,MATCH('Resilience &amp; Risk Scenario'!$B$60&amp;"|"&amp;$C580,_ENGINE_Crisis!$I$41:$I$700,0)),"")</f>
        <v/>
      </c>
      <c r="AS580">
        <f>IFERROR(INDEX(_ENGINE_Crisis!$G$41:$G$700,MATCH('Resilience &amp; Risk Scenario'!$B$60&amp;"|"&amp;$C580,_ENGINE_Crisis!$I$41:$I$700,0)),"")</f>
        <v/>
      </c>
      <c r="AT580">
        <f>IFERROR(INDEX(_ENGINE_Initiatives!$A$5:$A$532,MATCH(1,INDEX((_ENGINE_Initiatives!$B$5:$B$532=$C580)*(_ENGINE_Initiatives!$C$5:$C$532=$D580),0),0)),"")</f>
        <v/>
      </c>
      <c r="AU580">
        <f>IFERROR(INDEX(_ENGINE_Initiatives!$F$5:$F$532,MATCH(1,INDEX((_ENGINE_Initiatives!$B$5:$B$532=$C580)*(_ENGINE_Initiatives!$C$5:$C$532=$D580),0),0)),"")</f>
        <v/>
      </c>
      <c r="AV580">
        <f>IFERROR(INDEX(_ENGINE_Initiatives!$AC$5:$AC$532,MATCH(1,INDEX((_ENGINE_Initiatives!$B$5:$B$532=$C580)*(_ENGINE_Initiatives!$C$5:$C$532=$D580),0),0)),"")</f>
        <v/>
      </c>
      <c r="AW580">
        <f>IFERROR(INDEX(_ENGINE_Initiatives!$AE$5:$AE$532,MATCH(1,INDEX((_ENGINE_Initiatives!$B$5:$B$532=$C580)*(_ENGINE_Initiatives!$C$5:$C$532=$D580),0),0)),"")</f>
        <v/>
      </c>
      <c r="AX580">
        <f>IF($B580="Yes",IFERROR(IF(SUMIFS(_REF_Model_Content!$E$1:$E$613,_REF_Model_Content!$A$1:$A$613,'Company Profile'!$B$9,_REF_Model_Content!$B$1:$B$613,$C580)=0,1,SUMIFS(_REF_Model_Content!$E$1:$E$613,_REF_Model_Content!$A$1:$A$613,'Company Profile'!$B$9,_REF_Model_Content!$B$1:$B$613,$C580)),1),"")</f>
        <v/>
      </c>
      <c r="AY580">
        <f>IF($L580="","",ROUND(IF($AP580="",$L580,$AP580)*IF($AX580="",1,$AX580),2))</f>
        <v/>
      </c>
      <c r="AZ580">
        <f>IF($S580="","",ROUND(IF($AQ580="",$S580,$AQ580)*IF($AX580="",1,$AX580),2))</f>
        <v/>
      </c>
      <c r="BB580">
        <f>IF($H580="","",IFERROR(INDEX('_ENGINE_Risk'!$AE$41:$AE$920,MATCH($E580,'_ENGINE_Risk'!$A$41:$A$920,0)),"Medium"))</f>
        <v/>
      </c>
      <c r="BC580">
        <f>IF($BB580="","",IF($BB580="Fast",1.25,IF($BB580="Slow",0.85,1)))</f>
        <v/>
      </c>
      <c r="BD580">
        <f>IF(OR($AZ580="",$BC580=""),"",ROUND($AZ580*$BC580,2))</f>
        <v/>
      </c>
      <c r="BF580">
        <f>IF(OR($H580="",$J580=""),"",_xlfn.IFNA(VLOOKUP($J580,_CONFIG_Model_Settings!$D$610:$E$614,2,0),""))</f>
        <v/>
      </c>
      <c r="BG580">
        <f>IF(OR($H580="",$K580=""),"",ROUND('Company Profile'!$B$569*INDEX(_CONFIG_Model_Settings!$H$610:$H$614,MATCH($K580,_CONFIG_Model_Settings!$G$610:$G$614,0)),0))</f>
        <v/>
      </c>
      <c r="BH580">
        <f>IF(OR($BF580="",$BG580=""),"",ROUND($BF580*$BG580,1))</f>
        <v/>
      </c>
      <c r="BI580">
        <f>IF($BH580="","",IF($AO580="",$BH580,ROUND($BH580*$AO580,1)))</f>
        <v/>
      </c>
      <c r="BJ580">
        <f>IF($E580="","",IFERROR(VLOOKUP($C580,'_CONFIG_Risk_Calibration'!$A$5:$H$21,2,FALSE),3))</f>
        <v/>
      </c>
      <c r="BK580">
        <f>IF($E580="","",IFERROR(VLOOKUP($C580,'_CONFIG_Risk_Calibration'!$A$5:$H$21,3,FALSE),0))</f>
        <v/>
      </c>
      <c r="BL580">
        <f>IF($E580="","",IFERROR(VLOOKUP($C580,'_CONFIG_Risk_Calibration'!$A$5:$H$21,4,FALSE),3))</f>
        <v/>
      </c>
      <c r="BM580">
        <f>IF($E580="","",IFERROR(VLOOKUP($C580,'_CONFIG_Risk_Calibration'!$A$5:$H$21,5,FALSE),3))</f>
        <v/>
      </c>
      <c r="BN580">
        <f>IF($E580="","",IFERROR(VLOOKUP($C580,'_CONFIG_Risk_Calibration'!$A$5:$H$21,6,FALSE),"No"))</f>
        <v/>
      </c>
      <c r="BO580">
        <f>IF($E580="","",IFERROR(VLOOKUP($C580,'_CONFIG_Risk_Calibration'!$A$5:$H$21,7,FALSE),1))</f>
        <v/>
      </c>
      <c r="BP580">
        <f>IF($H580="","",MAX(1,MIN(5,((6-$H580)*0.45)+($BJ580*0.20)+('Resilience &amp; Risk Scenario'!$B$7*0.15)+($BK580*0.10)+($BL580*0.05)+(IF($BB580="Fast",5,IF($BB580="Slow",1,3))*0.05))))</f>
        <v/>
      </c>
      <c r="BQ580">
        <f>IF($H580="","",MAX(IF($BN580="Yes",$BO580,1),MIN(5,($U580*0.20)+($V580*0.15)+($W580*0.25)+($X580*0.15)+($BJ580*0.10)+($BM580*0.15))))</f>
        <v/>
      </c>
      <c r="BR580">
        <f>IF(OR($BP580="",$BQ580=""),"",ROUND($BP580*$BQ580,2))</f>
        <v/>
      </c>
      <c r="BS580">
        <f>IF($BR580="","",ROUND($BR580*IF($AO580="",1,$AO580)*IF($AX580="",1,$AX580)*(1+(($BM580-3)*0.10))*IF($BC580="",1,$BC580),2))</f>
        <v/>
      </c>
    </row>
    <row r="581" ht="69.90000000000001" customHeight="1" s="209">
      <c r="A581">
        <f>IF($BD581="","",SUMPRODUCT(ISNUMBER($BD$500:$BD$923)*($BD$500:$BD$923&gt;$BD581))+COUNTIF($BD$500:$BD581,$BD581))</f>
        <v/>
      </c>
      <c r="B581">
        <f>IF($H581="","",IF($H581&lt;5,"Yes","Maintain"))</f>
        <v/>
      </c>
      <c r="C581" t="inlineStr">
        <is>
          <t>HR Workforce</t>
        </is>
      </c>
      <c r="D581" t="inlineStr">
        <is>
          <t>Continuity and wellbeing</t>
        </is>
      </c>
      <c r="E581" t="inlineStr">
        <is>
          <t>HRWO-015</t>
        </is>
      </c>
      <c r="F581" t="inlineStr">
        <is>
          <t>People, critical roles and knowledge continuity</t>
        </is>
      </c>
      <c r="G581">
        <f>IF($H581="","",IFERROR(INDEX('_ENGINE_Risk'!$H$41:$M$920,MATCH($E581,'_ENGINE_Risk'!$A$41:$A$920,0),$H581+1),""))</f>
        <v/>
      </c>
      <c r="H581">
        <f>IFERROR(VALUE(INDEX(_DATA_Assessment_Model!$H$5:$H$884,MATCH($E581,_DATA_Assessment_Model!$A$5:$A$884,0))),"")</f>
        <v/>
      </c>
      <c r="I581">
        <f>IF($H581="","",IFERROR(INDEX(_DATA_Assessment_Model!$L$5:$L$884,MATCH($E581,_DATA_Assessment_Model!$A$5:$A$884,0)),IF($H581&lt;=1,"Critical",IF($H581=2,"High",IF($H581=3,"Medium",IF($H581=4,"Low","Resilient"))))))</f>
        <v/>
      </c>
      <c r="J581">
        <f>IF($H581="","",MIN(5,MAX(1,6-$H581)))</f>
        <v/>
      </c>
      <c r="K581">
        <f>IF($H581="","",MAX(1,MIN(5,ROUNDUP(($U581*0.45)+($W581*0.35)+($X581*0.2),0))))</f>
        <v/>
      </c>
      <c r="L581">
        <f>IF($H581="","",$J581*$K581)</f>
        <v/>
      </c>
      <c r="M581">
        <f>IF($H581="","",MAX(1,MIN(5,ROUNDUP($L581/5,0))))</f>
        <v/>
      </c>
      <c r="N581">
        <f>IF($H581="","",IFERROR(INDEX('_ENGINE_Risk'!$T$41:$Y$920,MATCH($E581,'_ENGINE_Risk'!$A$41:$A$920,0),$H581+1),""))</f>
        <v/>
      </c>
      <c r="O581">
        <f>IF($H581="","",MAX(1,MIN(5,($U581+$V581+$X581)/3)))</f>
        <v/>
      </c>
      <c r="P581">
        <f>IF($H581="","",IF($I581="Critical",5,IF($I581="High",4,IF($I581="Medium",3,IF($I581="Low",2,1)))))</f>
        <v/>
      </c>
      <c r="Q581">
        <f>IF($H581="","",MAX(1,MIN(5,((5-$H581)*0.65)+($W581*0.35))))</f>
        <v/>
      </c>
      <c r="R581">
        <f>IF($H581="","",MAX(1,MIN(5,($V581+$X581)/2)))</f>
        <v/>
      </c>
      <c r="S581">
        <f>IF(OR($H581="",$N581=""),"",ROUND(($O581+$P581+$Q581+$R581)/$N581,2))</f>
        <v/>
      </c>
      <c r="T581">
        <f>IF($H581="","",IFERROR(INDEX('_ENGINE_Risk'!$N$41:$S$920,MATCH($E581,'_ENGINE_Risk'!$A$41:$A$920,0),$H581+1),""))</f>
        <v/>
      </c>
      <c r="U581">
        <f>IFERROR(INDEX(_DATA_Assessment_Model!$G$5:$G$884,MATCH($E581,_DATA_Assessment_Model!$A$5:$A$884,0)),"")</f>
        <v/>
      </c>
      <c r="V581">
        <f>IFERROR(INDEX(_DATA_Assessment_Model!$W$5:$W$884,MATCH($E581,_DATA_Assessment_Model!$A$5:$A$884,0)),"")</f>
        <v/>
      </c>
      <c r="W581">
        <f>IFERROR(INDEX(_DATA_Assessment_Model!$X$5:$X$884,MATCH($E581,_DATA_Assessment_Model!$A$5:$A$884,0)),"")</f>
        <v/>
      </c>
      <c r="X581">
        <f>IFERROR(INDEX(_DATA_Assessment_Model!$Y$5:$Y$884,MATCH($E581,_DATA_Assessment_Model!$A$5:$A$884,0)),"")</f>
        <v/>
      </c>
      <c r="Y581" t="inlineStr">
        <is>
          <t>Workforce disruption; Pandemic/health crisis; War/security crisis</t>
        </is>
      </c>
      <c r="Z581" t="inlineStr">
        <is>
          <t>CHRO / HR</t>
        </is>
      </c>
      <c r="AA581" t="inlineStr">
        <is>
          <t>Policy/SOP; owner/RACI; system report; dashboard; contracts; test records; incident history; interview evidence related to backup connectivity options for critical staff and locations.</t>
        </is>
      </c>
      <c r="AB581">
        <f>IFERROR(INDEX(_DATA_Assessment_Model!$U$5:$U$884,MATCH($E581,_DATA_Assessment_Model!$A$5:$A$884,0)),"")</f>
        <v/>
      </c>
      <c r="AF581" t="inlineStr">
        <is>
          <t>How mature is the organization in managing backup connectivity options for critical staff and locations, including ownership, evidence, metrics, fallback procedures and crisis stress testing?</t>
        </is>
      </c>
      <c r="AO581">
        <f>IF($B581="Yes",IFERROR(INDEX(_ENGINE_Crisis!$F$501:$F$517,MATCH($C581,_ENGINE_Crisis!$A$501:$A$517,0)),1),"")</f>
        <v/>
      </c>
      <c r="AP581">
        <f>IF(AO581="","",ROUND($L581*AO581,1))</f>
        <v/>
      </c>
      <c r="AQ581">
        <f>IF(OR(AO581="",$S581=""),"",ROUND($S581*(0.7+0.3*AO581),2))</f>
        <v/>
      </c>
      <c r="AR581">
        <f>IFERROR(INDEX(_ENGINE_Crisis!$E$41:$E$700,MATCH('Resilience &amp; Risk Scenario'!$B$60&amp;"|"&amp;$C581,_ENGINE_Crisis!$I$41:$I$700,0)),"")</f>
        <v/>
      </c>
      <c r="AS581">
        <f>IFERROR(INDEX(_ENGINE_Crisis!$G$41:$G$700,MATCH('Resilience &amp; Risk Scenario'!$B$60&amp;"|"&amp;$C581,_ENGINE_Crisis!$I$41:$I$700,0)),"")</f>
        <v/>
      </c>
      <c r="AT581">
        <f>IFERROR(INDEX(_ENGINE_Initiatives!$A$5:$A$532,MATCH(1,INDEX((_ENGINE_Initiatives!$B$5:$B$532=$C581)*(_ENGINE_Initiatives!$C$5:$C$532=$D581),0),0)),"")</f>
        <v/>
      </c>
      <c r="AU581">
        <f>IFERROR(INDEX(_ENGINE_Initiatives!$F$5:$F$532,MATCH(1,INDEX((_ENGINE_Initiatives!$B$5:$B$532=$C581)*(_ENGINE_Initiatives!$C$5:$C$532=$D581),0),0)),"")</f>
        <v/>
      </c>
      <c r="AV581">
        <f>IFERROR(INDEX(_ENGINE_Initiatives!$AC$5:$AC$532,MATCH(1,INDEX((_ENGINE_Initiatives!$B$5:$B$532=$C581)*(_ENGINE_Initiatives!$C$5:$C$532=$D581),0),0)),"")</f>
        <v/>
      </c>
      <c r="AW581">
        <f>IFERROR(INDEX(_ENGINE_Initiatives!$AE$5:$AE$532,MATCH(1,INDEX((_ENGINE_Initiatives!$B$5:$B$532=$C581)*(_ENGINE_Initiatives!$C$5:$C$532=$D581),0),0)),"")</f>
        <v/>
      </c>
      <c r="AX581">
        <f>IF($B581="Yes",IFERROR(IF(SUMIFS(_REF_Model_Content!$E$1:$E$613,_REF_Model_Content!$A$1:$A$613,'Company Profile'!$B$9,_REF_Model_Content!$B$1:$B$613,$C581)=0,1,SUMIFS(_REF_Model_Content!$E$1:$E$613,_REF_Model_Content!$A$1:$A$613,'Company Profile'!$B$9,_REF_Model_Content!$B$1:$B$613,$C581)),1),"")</f>
        <v/>
      </c>
      <c r="AY581">
        <f>IF($L581="","",ROUND(IF($AP581="",$L581,$AP581)*IF($AX581="",1,$AX581),2))</f>
        <v/>
      </c>
      <c r="AZ581">
        <f>IF($S581="","",ROUND(IF($AQ581="",$S581,$AQ581)*IF($AX581="",1,$AX581),2))</f>
        <v/>
      </c>
      <c r="BB581">
        <f>IF($H581="","",IFERROR(INDEX('_ENGINE_Risk'!$AE$41:$AE$920,MATCH($E581,'_ENGINE_Risk'!$A$41:$A$920,0)),"Medium"))</f>
        <v/>
      </c>
      <c r="BC581">
        <f>IF($BB581="","",IF($BB581="Fast",1.25,IF($BB581="Slow",0.85,1)))</f>
        <v/>
      </c>
      <c r="BD581">
        <f>IF(OR($AZ581="",$BC581=""),"",ROUND($AZ581*$BC581,2))</f>
        <v/>
      </c>
      <c r="BF581">
        <f>IF(OR($H581="",$J581=""),"",_xlfn.IFNA(VLOOKUP($J581,_CONFIG_Model_Settings!$D$610:$E$614,2,0),""))</f>
        <v/>
      </c>
      <c r="BG581">
        <f>IF(OR($H581="",$K581=""),"",ROUND('Company Profile'!$B$569*INDEX(_CONFIG_Model_Settings!$H$610:$H$614,MATCH($K581,_CONFIG_Model_Settings!$G$610:$G$614,0)),0))</f>
        <v/>
      </c>
      <c r="BH581">
        <f>IF(OR($BF581="",$BG581=""),"",ROUND($BF581*$BG581,1))</f>
        <v/>
      </c>
      <c r="BI581">
        <f>IF($BH581="","",IF($AO581="",$BH581,ROUND($BH581*$AO581,1)))</f>
        <v/>
      </c>
      <c r="BJ581">
        <f>IF($E581="","",IFERROR(VLOOKUP($C581,'_CONFIG_Risk_Calibration'!$A$5:$H$21,2,FALSE),3))</f>
        <v/>
      </c>
      <c r="BK581">
        <f>IF($E581="","",IFERROR(VLOOKUP($C581,'_CONFIG_Risk_Calibration'!$A$5:$H$21,3,FALSE),0))</f>
        <v/>
      </c>
      <c r="BL581">
        <f>IF($E581="","",IFERROR(VLOOKUP($C581,'_CONFIG_Risk_Calibration'!$A$5:$H$21,4,FALSE),3))</f>
        <v/>
      </c>
      <c r="BM581">
        <f>IF($E581="","",IFERROR(VLOOKUP($C581,'_CONFIG_Risk_Calibration'!$A$5:$H$21,5,FALSE),3))</f>
        <v/>
      </c>
      <c r="BN581">
        <f>IF($E581="","",IFERROR(VLOOKUP($C581,'_CONFIG_Risk_Calibration'!$A$5:$H$21,6,FALSE),"No"))</f>
        <v/>
      </c>
      <c r="BO581">
        <f>IF($E581="","",IFERROR(VLOOKUP($C581,'_CONFIG_Risk_Calibration'!$A$5:$H$21,7,FALSE),1))</f>
        <v/>
      </c>
      <c r="BP581">
        <f>IF($H581="","",MAX(1,MIN(5,((6-$H581)*0.45)+($BJ581*0.20)+('Resilience &amp; Risk Scenario'!$B$7*0.15)+($BK581*0.10)+($BL581*0.05)+(IF($BB581="Fast",5,IF($BB581="Slow",1,3))*0.05))))</f>
        <v/>
      </c>
      <c r="BQ581">
        <f>IF($H581="","",MAX(IF($BN581="Yes",$BO581,1),MIN(5,($U581*0.20)+($V581*0.15)+($W581*0.25)+($X581*0.15)+($BJ581*0.10)+($BM581*0.15))))</f>
        <v/>
      </c>
      <c r="BR581">
        <f>IF(OR($BP581="",$BQ581=""),"",ROUND($BP581*$BQ581,2))</f>
        <v/>
      </c>
      <c r="BS581">
        <f>IF($BR581="","",ROUND($BR581*IF($AO581="",1,$AO581)*IF($AX581="",1,$AX581)*(1+(($BM581-3)*0.10))*IF($BC581="",1,$BC581),2))</f>
        <v/>
      </c>
    </row>
    <row r="582" ht="69.90000000000001" customHeight="1" s="209">
      <c r="A582">
        <f>IF($BD582="","",SUMPRODUCT(ISNUMBER($BD$500:$BD$923)*($BD$500:$BD$923&gt;$BD582))+COUNTIF($BD$500:$BD582,$BD582))</f>
        <v/>
      </c>
      <c r="B582">
        <f>IF($H582="","",IF($H582&lt;5,"Yes","Maintain"))</f>
        <v/>
      </c>
      <c r="C582" t="inlineStr">
        <is>
          <t>HR Workforce</t>
        </is>
      </c>
      <c r="D582" t="inlineStr">
        <is>
          <t>Continuity and wellbeing</t>
        </is>
      </c>
      <c r="E582" t="inlineStr">
        <is>
          <t>HRWO-016</t>
        </is>
      </c>
      <c r="F582" t="inlineStr">
        <is>
          <t>People, critical roles and knowledge continuity</t>
        </is>
      </c>
      <c r="G582">
        <f>IF($H582="","",IFERROR(INDEX('_ENGINE_Risk'!$H$41:$M$920,MATCH($E582,'_ENGINE_Risk'!$A$41:$A$920,0),$H582+1),""))</f>
        <v/>
      </c>
      <c r="H582">
        <f>IFERROR(VALUE(INDEX(_DATA_Assessment_Model!$H$5:$H$884,MATCH($E582,_DATA_Assessment_Model!$A$5:$A$884,0))),"")</f>
        <v/>
      </c>
      <c r="I582">
        <f>IF($H582="","",IFERROR(INDEX(_DATA_Assessment_Model!$L$5:$L$884,MATCH($E582,_DATA_Assessment_Model!$A$5:$A$884,0)),IF($H582&lt;=1,"Critical",IF($H582=2,"High",IF($H582=3,"Medium",IF($H582=4,"Low","Resilient"))))))</f>
        <v/>
      </c>
      <c r="J582">
        <f>IF($H582="","",MIN(5,MAX(1,6-$H582)))</f>
        <v/>
      </c>
      <c r="K582">
        <f>IF($H582="","",MAX(1,MIN(5,ROUNDUP(($U582*0.45)+($W582*0.35)+($X582*0.2),0))))</f>
        <v/>
      </c>
      <c r="L582">
        <f>IF($H582="","",$J582*$K582)</f>
        <v/>
      </c>
      <c r="M582">
        <f>IF($H582="","",MAX(1,MIN(5,ROUNDUP($L582/5,0))))</f>
        <v/>
      </c>
      <c r="N582">
        <f>IF($H582="","",IFERROR(INDEX('_ENGINE_Risk'!$T$41:$Y$920,MATCH($E582,'_ENGINE_Risk'!$A$41:$A$920,0),$H582+1),""))</f>
        <v/>
      </c>
      <c r="O582">
        <f>IF($H582="","",MAX(1,MIN(5,($U582+$V582+$X582)/3)))</f>
        <v/>
      </c>
      <c r="P582">
        <f>IF($H582="","",IF($I582="Critical",5,IF($I582="High",4,IF($I582="Medium",3,IF($I582="Low",2,1)))))</f>
        <v/>
      </c>
      <c r="Q582">
        <f>IF($H582="","",MAX(1,MIN(5,((5-$H582)*0.65)+($W582*0.35))))</f>
        <v/>
      </c>
      <c r="R582">
        <f>IF($H582="","",MAX(1,MIN(5,($V582+$X582)/2)))</f>
        <v/>
      </c>
      <c r="S582">
        <f>IF(OR($H582="",$N582=""),"",ROUND(($O582+$P582+$Q582+$R582)/$N582,2))</f>
        <v/>
      </c>
      <c r="T582">
        <f>IF($H582="","",IFERROR(INDEX('_ENGINE_Risk'!$N$41:$S$920,MATCH($E582,'_ENGINE_Risk'!$A$41:$A$920,0),$H582+1),""))</f>
        <v/>
      </c>
      <c r="U582">
        <f>IFERROR(INDEX(_DATA_Assessment_Model!$G$5:$G$884,MATCH($E582,_DATA_Assessment_Model!$A$5:$A$884,0)),"")</f>
        <v/>
      </c>
      <c r="V582">
        <f>IFERROR(INDEX(_DATA_Assessment_Model!$W$5:$W$884,MATCH($E582,_DATA_Assessment_Model!$A$5:$A$884,0)),"")</f>
        <v/>
      </c>
      <c r="W582">
        <f>IFERROR(INDEX(_DATA_Assessment_Model!$X$5:$X$884,MATCH($E582,_DATA_Assessment_Model!$A$5:$A$884,0)),"")</f>
        <v/>
      </c>
      <c r="X582">
        <f>IFERROR(INDEX(_DATA_Assessment_Model!$Y$5:$Y$884,MATCH($E582,_DATA_Assessment_Model!$A$5:$A$884,0)),"")</f>
        <v/>
      </c>
      <c r="Y582" t="inlineStr">
        <is>
          <t>Workforce disruption; Pandemic/health crisis; War/security crisis</t>
        </is>
      </c>
      <c r="Z582" t="inlineStr">
        <is>
          <t>CHRO / HR</t>
        </is>
      </c>
      <c r="AA582" t="inlineStr">
        <is>
          <t>Policy/SOP; owner/RACI; system report; dashboard; contracts; test records; incident history; interview evidence related to employee location and safety check process during severe incidents.</t>
        </is>
      </c>
      <c r="AB582">
        <f>IFERROR(INDEX(_DATA_Assessment_Model!$U$5:$U$884,MATCH($E582,_DATA_Assessment_Model!$A$5:$A$884,0)),"")</f>
        <v/>
      </c>
      <c r="AF582" t="inlineStr">
        <is>
          <t>How mature is the organization in managing employee location and safety check process during severe incidents, including ownership, evidence, metrics, fallback procedures and crisis stress testing?</t>
        </is>
      </c>
      <c r="AO582">
        <f>IF($B582="Yes",IFERROR(INDEX(_ENGINE_Crisis!$F$501:$F$517,MATCH($C582,_ENGINE_Crisis!$A$501:$A$517,0)),1),"")</f>
        <v/>
      </c>
      <c r="AP582">
        <f>IF(AO582="","",ROUND($L582*AO582,1))</f>
        <v/>
      </c>
      <c r="AQ582">
        <f>IF(OR(AO582="",$S582=""),"",ROUND($S582*(0.7+0.3*AO582),2))</f>
        <v/>
      </c>
      <c r="AR582">
        <f>IFERROR(INDEX(_ENGINE_Crisis!$E$41:$E$700,MATCH('Resilience &amp; Risk Scenario'!$B$60&amp;"|"&amp;$C582,_ENGINE_Crisis!$I$41:$I$700,0)),"")</f>
        <v/>
      </c>
      <c r="AS582">
        <f>IFERROR(INDEX(_ENGINE_Crisis!$G$41:$G$700,MATCH('Resilience &amp; Risk Scenario'!$B$60&amp;"|"&amp;$C582,_ENGINE_Crisis!$I$41:$I$700,0)),"")</f>
        <v/>
      </c>
      <c r="AT582">
        <f>IFERROR(INDEX(_ENGINE_Initiatives!$A$5:$A$532,MATCH(1,INDEX((_ENGINE_Initiatives!$B$5:$B$532=$C582)*(_ENGINE_Initiatives!$C$5:$C$532=$D582),0),0)),"")</f>
        <v/>
      </c>
      <c r="AU582">
        <f>IFERROR(INDEX(_ENGINE_Initiatives!$F$5:$F$532,MATCH(1,INDEX((_ENGINE_Initiatives!$B$5:$B$532=$C582)*(_ENGINE_Initiatives!$C$5:$C$532=$D582),0),0)),"")</f>
        <v/>
      </c>
      <c r="AV582">
        <f>IFERROR(INDEX(_ENGINE_Initiatives!$AC$5:$AC$532,MATCH(1,INDEX((_ENGINE_Initiatives!$B$5:$B$532=$C582)*(_ENGINE_Initiatives!$C$5:$C$532=$D582),0),0)),"")</f>
        <v/>
      </c>
      <c r="AW582">
        <f>IFERROR(INDEX(_ENGINE_Initiatives!$AE$5:$AE$532,MATCH(1,INDEX((_ENGINE_Initiatives!$B$5:$B$532=$C582)*(_ENGINE_Initiatives!$C$5:$C$532=$D582),0),0)),"")</f>
        <v/>
      </c>
      <c r="AX582">
        <f>IF($B582="Yes",IFERROR(IF(SUMIFS(_REF_Model_Content!$E$1:$E$613,_REF_Model_Content!$A$1:$A$613,'Company Profile'!$B$9,_REF_Model_Content!$B$1:$B$613,$C582)=0,1,SUMIFS(_REF_Model_Content!$E$1:$E$613,_REF_Model_Content!$A$1:$A$613,'Company Profile'!$B$9,_REF_Model_Content!$B$1:$B$613,$C582)),1),"")</f>
        <v/>
      </c>
      <c r="AY582">
        <f>IF($L582="","",ROUND(IF($AP582="",$L582,$AP582)*IF($AX582="",1,$AX582),2))</f>
        <v/>
      </c>
      <c r="AZ582">
        <f>IF($S582="","",ROUND(IF($AQ582="",$S582,$AQ582)*IF($AX582="",1,$AX582),2))</f>
        <v/>
      </c>
      <c r="BB582">
        <f>IF($H582="","",IFERROR(INDEX('_ENGINE_Risk'!$AE$41:$AE$920,MATCH($E582,'_ENGINE_Risk'!$A$41:$A$920,0)),"Medium"))</f>
        <v/>
      </c>
      <c r="BC582">
        <f>IF($BB582="","",IF($BB582="Fast",1.25,IF($BB582="Slow",0.85,1)))</f>
        <v/>
      </c>
      <c r="BD582">
        <f>IF(OR($AZ582="",$BC582=""),"",ROUND($AZ582*$BC582,2))</f>
        <v/>
      </c>
      <c r="BF582">
        <f>IF(OR($H582="",$J582=""),"",_xlfn.IFNA(VLOOKUP($J582,_CONFIG_Model_Settings!$D$610:$E$614,2,0),""))</f>
        <v/>
      </c>
      <c r="BG582">
        <f>IF(OR($H582="",$K582=""),"",ROUND('Company Profile'!$B$569*INDEX(_CONFIG_Model_Settings!$H$610:$H$614,MATCH($K582,_CONFIG_Model_Settings!$G$610:$G$614,0)),0))</f>
        <v/>
      </c>
      <c r="BH582">
        <f>IF(OR($BF582="",$BG582=""),"",ROUND($BF582*$BG582,1))</f>
        <v/>
      </c>
      <c r="BI582">
        <f>IF($BH582="","",IF($AO582="",$BH582,ROUND($BH582*$AO582,1)))</f>
        <v/>
      </c>
      <c r="BJ582">
        <f>IF($E582="","",IFERROR(VLOOKUP($C582,'_CONFIG_Risk_Calibration'!$A$5:$H$21,2,FALSE),3))</f>
        <v/>
      </c>
      <c r="BK582">
        <f>IF($E582="","",IFERROR(VLOOKUP($C582,'_CONFIG_Risk_Calibration'!$A$5:$H$21,3,FALSE),0))</f>
        <v/>
      </c>
      <c r="BL582">
        <f>IF($E582="","",IFERROR(VLOOKUP($C582,'_CONFIG_Risk_Calibration'!$A$5:$H$21,4,FALSE),3))</f>
        <v/>
      </c>
      <c r="BM582">
        <f>IF($E582="","",IFERROR(VLOOKUP($C582,'_CONFIG_Risk_Calibration'!$A$5:$H$21,5,FALSE),3))</f>
        <v/>
      </c>
      <c r="BN582">
        <f>IF($E582="","",IFERROR(VLOOKUP($C582,'_CONFIG_Risk_Calibration'!$A$5:$H$21,6,FALSE),"No"))</f>
        <v/>
      </c>
      <c r="BO582">
        <f>IF($E582="","",IFERROR(VLOOKUP($C582,'_CONFIG_Risk_Calibration'!$A$5:$H$21,7,FALSE),1))</f>
        <v/>
      </c>
      <c r="BP582">
        <f>IF($H582="","",MAX(1,MIN(5,((6-$H582)*0.45)+($BJ582*0.20)+('Resilience &amp; Risk Scenario'!$B$7*0.15)+($BK582*0.10)+($BL582*0.05)+(IF($BB582="Fast",5,IF($BB582="Slow",1,3))*0.05))))</f>
        <v/>
      </c>
      <c r="BQ582">
        <f>IF($H582="","",MAX(IF($BN582="Yes",$BO582,1),MIN(5,($U582*0.20)+($V582*0.15)+($W582*0.25)+($X582*0.15)+($BJ582*0.10)+($BM582*0.15))))</f>
        <v/>
      </c>
      <c r="BR582">
        <f>IF(OR($BP582="",$BQ582=""),"",ROUND($BP582*$BQ582,2))</f>
        <v/>
      </c>
      <c r="BS582">
        <f>IF($BR582="","",ROUND($BR582*IF($AO582="",1,$AO582)*IF($AX582="",1,$AX582)*(1+(($BM582-3)*0.10))*IF($BC582="",1,$BC582),2))</f>
        <v/>
      </c>
    </row>
    <row r="583" ht="69.90000000000001" customHeight="1" s="209">
      <c r="A583">
        <f>IF($BD583="","",SUMPRODUCT(ISNUMBER($BD$500:$BD$923)*($BD$500:$BD$923&gt;$BD583))+COUNTIF($BD$500:$BD583,$BD583))</f>
        <v/>
      </c>
      <c r="B583">
        <f>IF($H583="","",IF($H583&lt;5,"Yes","Maintain"))</f>
        <v/>
      </c>
      <c r="C583" t="inlineStr">
        <is>
          <t>HR Workforce</t>
        </is>
      </c>
      <c r="D583" t="inlineStr">
        <is>
          <t>Continuity and wellbeing</t>
        </is>
      </c>
      <c r="E583" t="inlineStr">
        <is>
          <t>HRWO-017</t>
        </is>
      </c>
      <c r="F583" t="inlineStr">
        <is>
          <t>People, critical roles and knowledge continuity</t>
        </is>
      </c>
      <c r="G583">
        <f>IF($H583="","",IFERROR(INDEX('_ENGINE_Risk'!$H$41:$M$920,MATCH($E583,'_ENGINE_Risk'!$A$41:$A$920,0),$H583+1),""))</f>
        <v/>
      </c>
      <c r="H583">
        <f>IFERROR(VALUE(INDEX(_DATA_Assessment_Model!$H$5:$H$884,MATCH($E583,_DATA_Assessment_Model!$A$5:$A$884,0))),"")</f>
        <v/>
      </c>
      <c r="I583">
        <f>IF($H583="","",IFERROR(INDEX(_DATA_Assessment_Model!$L$5:$L$884,MATCH($E583,_DATA_Assessment_Model!$A$5:$A$884,0)),IF($H583&lt;=1,"Critical",IF($H583=2,"High",IF($H583=3,"Medium",IF($H583=4,"Low","Resilient"))))))</f>
        <v/>
      </c>
      <c r="J583">
        <f>IF($H583="","",MIN(5,MAX(1,6-$H583)))</f>
        <v/>
      </c>
      <c r="K583">
        <f>IF($H583="","",MAX(1,MIN(5,ROUNDUP(($U583*0.45)+($W583*0.35)+($X583*0.2),0))))</f>
        <v/>
      </c>
      <c r="L583">
        <f>IF($H583="","",$J583*$K583)</f>
        <v/>
      </c>
      <c r="M583">
        <f>IF($H583="","",MAX(1,MIN(5,ROUNDUP($L583/5,0))))</f>
        <v/>
      </c>
      <c r="N583">
        <f>IF($H583="","",IFERROR(INDEX('_ENGINE_Risk'!$T$41:$Y$920,MATCH($E583,'_ENGINE_Risk'!$A$41:$A$920,0),$H583+1),""))</f>
        <v/>
      </c>
      <c r="O583">
        <f>IF($H583="","",MAX(1,MIN(5,($U583+$V583+$X583)/3)))</f>
        <v/>
      </c>
      <c r="P583">
        <f>IF($H583="","",IF($I583="Critical",5,IF($I583="High",4,IF($I583="Medium",3,IF($I583="Low",2,1)))))</f>
        <v/>
      </c>
      <c r="Q583">
        <f>IF($H583="","",MAX(1,MIN(5,((5-$H583)*0.65)+($W583*0.35))))</f>
        <v/>
      </c>
      <c r="R583">
        <f>IF($H583="","",MAX(1,MIN(5,($V583+$X583)/2)))</f>
        <v/>
      </c>
      <c r="S583">
        <f>IF(OR($H583="",$N583=""),"",ROUND(($O583+$P583+$Q583+$R583)/$N583,2))</f>
        <v/>
      </c>
      <c r="T583">
        <f>IF($H583="","",IFERROR(INDEX('_ENGINE_Risk'!$N$41:$S$920,MATCH($E583,'_ENGINE_Risk'!$A$41:$A$920,0),$H583+1),""))</f>
        <v/>
      </c>
      <c r="U583">
        <f>IFERROR(INDEX(_DATA_Assessment_Model!$G$5:$G$884,MATCH($E583,_DATA_Assessment_Model!$A$5:$A$884,0)),"")</f>
        <v/>
      </c>
      <c r="V583">
        <f>IFERROR(INDEX(_DATA_Assessment_Model!$W$5:$W$884,MATCH($E583,_DATA_Assessment_Model!$A$5:$A$884,0)),"")</f>
        <v/>
      </c>
      <c r="W583">
        <f>IFERROR(INDEX(_DATA_Assessment_Model!$X$5:$X$884,MATCH($E583,_DATA_Assessment_Model!$A$5:$A$884,0)),"")</f>
        <v/>
      </c>
      <c r="X583">
        <f>IFERROR(INDEX(_DATA_Assessment_Model!$Y$5:$Y$884,MATCH($E583,_DATA_Assessment_Model!$A$5:$A$884,0)),"")</f>
        <v/>
      </c>
      <c r="Y583" t="inlineStr">
        <is>
          <t>Workforce disruption; Pandemic/health crisis; War/security crisis</t>
        </is>
      </c>
      <c r="Z583" t="inlineStr">
        <is>
          <t>CHRO / HR</t>
        </is>
      </c>
      <c r="AA583" t="inlineStr">
        <is>
          <t>Policy/SOP; owner/RACI; system report; dashboard; contracts; test records; incident history; interview evidence related to wellbeing, fatigue, burnout and psychological safety monitoring during prolonged crisis.</t>
        </is>
      </c>
      <c r="AB583">
        <f>IFERROR(INDEX(_DATA_Assessment_Model!$U$5:$U$884,MATCH($E583,_DATA_Assessment_Model!$A$5:$A$884,0)),"")</f>
        <v/>
      </c>
      <c r="AF583" t="inlineStr">
        <is>
          <t>How mature is the organization in managing wellbeing, fatigue, burnout and psychological safety monitoring during prolonged crisis, including ownership, evidence, metrics, fallback procedures and crisis stress testing?</t>
        </is>
      </c>
      <c r="AO583">
        <f>IF($B583="Yes",IFERROR(INDEX(_ENGINE_Crisis!$F$501:$F$517,MATCH($C583,_ENGINE_Crisis!$A$501:$A$517,0)),1),"")</f>
        <v/>
      </c>
      <c r="AP583">
        <f>IF(AO583="","",ROUND($L583*AO583,1))</f>
        <v/>
      </c>
      <c r="AQ583">
        <f>IF(OR(AO583="",$S583=""),"",ROUND($S583*(0.7+0.3*AO583),2))</f>
        <v/>
      </c>
      <c r="AR583">
        <f>IFERROR(INDEX(_ENGINE_Crisis!$E$41:$E$700,MATCH('Resilience &amp; Risk Scenario'!$B$60&amp;"|"&amp;$C583,_ENGINE_Crisis!$I$41:$I$700,0)),"")</f>
        <v/>
      </c>
      <c r="AS583">
        <f>IFERROR(INDEX(_ENGINE_Crisis!$G$41:$G$700,MATCH('Resilience &amp; Risk Scenario'!$B$60&amp;"|"&amp;$C583,_ENGINE_Crisis!$I$41:$I$700,0)),"")</f>
        <v/>
      </c>
      <c r="AT583">
        <f>IFERROR(INDEX(_ENGINE_Initiatives!$A$5:$A$532,MATCH(1,INDEX((_ENGINE_Initiatives!$B$5:$B$532=$C583)*(_ENGINE_Initiatives!$C$5:$C$532=$D583),0),0)),"")</f>
        <v/>
      </c>
      <c r="AU583">
        <f>IFERROR(INDEX(_ENGINE_Initiatives!$F$5:$F$532,MATCH(1,INDEX((_ENGINE_Initiatives!$B$5:$B$532=$C583)*(_ENGINE_Initiatives!$C$5:$C$532=$D583),0),0)),"")</f>
        <v/>
      </c>
      <c r="AV583">
        <f>IFERROR(INDEX(_ENGINE_Initiatives!$AC$5:$AC$532,MATCH(1,INDEX((_ENGINE_Initiatives!$B$5:$B$532=$C583)*(_ENGINE_Initiatives!$C$5:$C$532=$D583),0),0)),"")</f>
        <v/>
      </c>
      <c r="AW583">
        <f>IFERROR(INDEX(_ENGINE_Initiatives!$AE$5:$AE$532,MATCH(1,INDEX((_ENGINE_Initiatives!$B$5:$B$532=$C583)*(_ENGINE_Initiatives!$C$5:$C$532=$D583),0),0)),"")</f>
        <v/>
      </c>
      <c r="AX583">
        <f>IF($B583="Yes",IFERROR(IF(SUMIFS(_REF_Model_Content!$E$1:$E$613,_REF_Model_Content!$A$1:$A$613,'Company Profile'!$B$9,_REF_Model_Content!$B$1:$B$613,$C583)=0,1,SUMIFS(_REF_Model_Content!$E$1:$E$613,_REF_Model_Content!$A$1:$A$613,'Company Profile'!$B$9,_REF_Model_Content!$B$1:$B$613,$C583)),1),"")</f>
        <v/>
      </c>
      <c r="AY583">
        <f>IF($L583="","",ROUND(IF($AP583="",$L583,$AP583)*IF($AX583="",1,$AX583),2))</f>
        <v/>
      </c>
      <c r="AZ583">
        <f>IF($S583="","",ROUND(IF($AQ583="",$S583,$AQ583)*IF($AX583="",1,$AX583),2))</f>
        <v/>
      </c>
      <c r="BB583">
        <f>IF($H583="","",IFERROR(INDEX('_ENGINE_Risk'!$AE$41:$AE$920,MATCH($E583,'_ENGINE_Risk'!$A$41:$A$920,0)),"Medium"))</f>
        <v/>
      </c>
      <c r="BC583">
        <f>IF($BB583="","",IF($BB583="Fast",1.25,IF($BB583="Slow",0.85,1)))</f>
        <v/>
      </c>
      <c r="BD583">
        <f>IF(OR($AZ583="",$BC583=""),"",ROUND($AZ583*$BC583,2))</f>
        <v/>
      </c>
      <c r="BF583">
        <f>IF(OR($H583="",$J583=""),"",_xlfn.IFNA(VLOOKUP($J583,_CONFIG_Model_Settings!$D$610:$E$614,2,0),""))</f>
        <v/>
      </c>
      <c r="BG583">
        <f>IF(OR($H583="",$K583=""),"",ROUND('Company Profile'!$B$569*INDEX(_CONFIG_Model_Settings!$H$610:$H$614,MATCH($K583,_CONFIG_Model_Settings!$G$610:$G$614,0)),0))</f>
        <v/>
      </c>
      <c r="BH583">
        <f>IF(OR($BF583="",$BG583=""),"",ROUND($BF583*$BG583,1))</f>
        <v/>
      </c>
      <c r="BI583">
        <f>IF($BH583="","",IF($AO583="",$BH583,ROUND($BH583*$AO583,1)))</f>
        <v/>
      </c>
      <c r="BJ583">
        <f>IF($E583="","",IFERROR(VLOOKUP($C583,'_CONFIG_Risk_Calibration'!$A$5:$H$21,2,FALSE),3))</f>
        <v/>
      </c>
      <c r="BK583">
        <f>IF($E583="","",IFERROR(VLOOKUP($C583,'_CONFIG_Risk_Calibration'!$A$5:$H$21,3,FALSE),0))</f>
        <v/>
      </c>
      <c r="BL583">
        <f>IF($E583="","",IFERROR(VLOOKUP($C583,'_CONFIG_Risk_Calibration'!$A$5:$H$21,4,FALSE),3))</f>
        <v/>
      </c>
      <c r="BM583">
        <f>IF($E583="","",IFERROR(VLOOKUP($C583,'_CONFIG_Risk_Calibration'!$A$5:$H$21,5,FALSE),3))</f>
        <v/>
      </c>
      <c r="BN583">
        <f>IF($E583="","",IFERROR(VLOOKUP($C583,'_CONFIG_Risk_Calibration'!$A$5:$H$21,6,FALSE),"No"))</f>
        <v/>
      </c>
      <c r="BO583">
        <f>IF($E583="","",IFERROR(VLOOKUP($C583,'_CONFIG_Risk_Calibration'!$A$5:$H$21,7,FALSE),1))</f>
        <v/>
      </c>
      <c r="BP583">
        <f>IF($H583="","",MAX(1,MIN(5,((6-$H583)*0.45)+($BJ583*0.20)+('Resilience &amp; Risk Scenario'!$B$7*0.15)+($BK583*0.10)+($BL583*0.05)+(IF($BB583="Fast",5,IF($BB583="Slow",1,3))*0.05))))</f>
        <v/>
      </c>
      <c r="BQ583">
        <f>IF($H583="","",MAX(IF($BN583="Yes",$BO583,1),MIN(5,($U583*0.20)+($V583*0.15)+($W583*0.25)+($X583*0.15)+($BJ583*0.10)+($BM583*0.15))))</f>
        <v/>
      </c>
      <c r="BR583">
        <f>IF(OR($BP583="",$BQ583=""),"",ROUND($BP583*$BQ583,2))</f>
        <v/>
      </c>
      <c r="BS583">
        <f>IF($BR583="","",ROUND($BR583*IF($AO583="",1,$AO583)*IF($AX583="",1,$AX583)*(1+(($BM583-3)*0.10))*IF($BC583="",1,$BC583),2))</f>
        <v/>
      </c>
    </row>
    <row r="584" ht="69.90000000000001" customHeight="1" s="209">
      <c r="A584">
        <f>IF($BD584="","",SUMPRODUCT(ISNUMBER($BD$500:$BD$923)*($BD$500:$BD$923&gt;$BD584))+COUNTIF($BD$500:$BD584,$BD584))</f>
        <v/>
      </c>
      <c r="B584">
        <f>IF($H584="","",IF($H584&lt;5,"Yes","Maintain"))</f>
        <v/>
      </c>
      <c r="C584" t="inlineStr">
        <is>
          <t>HR Workforce</t>
        </is>
      </c>
      <c r="D584" t="inlineStr">
        <is>
          <t>Continuity and wellbeing</t>
        </is>
      </c>
      <c r="E584" t="inlineStr">
        <is>
          <t>HRWO-018</t>
        </is>
      </c>
      <c r="F584" t="inlineStr">
        <is>
          <t>People, critical roles and knowledge continuity</t>
        </is>
      </c>
      <c r="G584">
        <f>IF($H584="","",IFERROR(INDEX('_ENGINE_Risk'!$H$41:$M$920,MATCH($E584,'_ENGINE_Risk'!$A$41:$A$920,0),$H584+1),""))</f>
        <v/>
      </c>
      <c r="H584">
        <f>IFERROR(VALUE(INDEX(_DATA_Assessment_Model!$H$5:$H$884,MATCH($E584,_DATA_Assessment_Model!$A$5:$A$884,0))),"")</f>
        <v/>
      </c>
      <c r="I584">
        <f>IF($H584="","",IFERROR(INDEX(_DATA_Assessment_Model!$L$5:$L$884,MATCH($E584,_DATA_Assessment_Model!$A$5:$A$884,0)),IF($H584&lt;=1,"Critical",IF($H584=2,"High",IF($H584=3,"Medium",IF($H584=4,"Low","Resilient"))))))</f>
        <v/>
      </c>
      <c r="J584">
        <f>IF($H584="","",MIN(5,MAX(1,6-$H584)))</f>
        <v/>
      </c>
      <c r="K584">
        <f>IF($H584="","",MAX(1,MIN(5,ROUNDUP(($U584*0.45)+($W584*0.35)+($X584*0.2),0))))</f>
        <v/>
      </c>
      <c r="L584">
        <f>IF($H584="","",$J584*$K584)</f>
        <v/>
      </c>
      <c r="M584">
        <f>IF($H584="","",MAX(1,MIN(5,ROUNDUP($L584/5,0))))</f>
        <v/>
      </c>
      <c r="N584">
        <f>IF($H584="","",IFERROR(INDEX('_ENGINE_Risk'!$T$41:$Y$920,MATCH($E584,'_ENGINE_Risk'!$A$41:$A$920,0),$H584+1),""))</f>
        <v/>
      </c>
      <c r="O584">
        <f>IF($H584="","",MAX(1,MIN(5,($U584+$V584+$X584)/3)))</f>
        <v/>
      </c>
      <c r="P584">
        <f>IF($H584="","",IF($I584="Critical",5,IF($I584="High",4,IF($I584="Medium",3,IF($I584="Low",2,1)))))</f>
        <v/>
      </c>
      <c r="Q584">
        <f>IF($H584="","",MAX(1,MIN(5,((5-$H584)*0.65)+($W584*0.35))))</f>
        <v/>
      </c>
      <c r="R584">
        <f>IF($H584="","",MAX(1,MIN(5,($V584+$X584)/2)))</f>
        <v/>
      </c>
      <c r="S584">
        <f>IF(OR($H584="",$N584=""),"",ROUND(($O584+$P584+$Q584+$R584)/$N584,2))</f>
        <v/>
      </c>
      <c r="T584">
        <f>IF($H584="","",IFERROR(INDEX('_ENGINE_Risk'!$N$41:$S$920,MATCH($E584,'_ENGINE_Risk'!$A$41:$A$920,0),$H584+1),""))</f>
        <v/>
      </c>
      <c r="U584">
        <f>IFERROR(INDEX(_DATA_Assessment_Model!$G$5:$G$884,MATCH($E584,_DATA_Assessment_Model!$A$5:$A$884,0)),"")</f>
        <v/>
      </c>
      <c r="V584">
        <f>IFERROR(INDEX(_DATA_Assessment_Model!$W$5:$W$884,MATCH($E584,_DATA_Assessment_Model!$A$5:$A$884,0)),"")</f>
        <v/>
      </c>
      <c r="W584">
        <f>IFERROR(INDEX(_DATA_Assessment_Model!$X$5:$X$884,MATCH($E584,_DATA_Assessment_Model!$A$5:$A$884,0)),"")</f>
        <v/>
      </c>
      <c r="X584">
        <f>IFERROR(INDEX(_DATA_Assessment_Model!$Y$5:$Y$884,MATCH($E584,_DATA_Assessment_Model!$A$5:$A$884,0)),"")</f>
        <v/>
      </c>
      <c r="Y584" t="inlineStr">
        <is>
          <t>Workforce disruption; Pandemic/health crisis; War/security crisis</t>
        </is>
      </c>
      <c r="Z584" t="inlineStr">
        <is>
          <t>CHRO / HR</t>
        </is>
      </c>
      <c r="AA584" t="inlineStr">
        <is>
          <t>Policy/SOP; owner/RACI; system report; dashboard; contracts; test records; incident history; interview evidence related to emergency HR policies for relocation, evacuation, hardship support, flexible work and temporary staffing.</t>
        </is>
      </c>
      <c r="AB584">
        <f>IFERROR(INDEX(_DATA_Assessment_Model!$U$5:$U$884,MATCH($E584,_DATA_Assessment_Model!$A$5:$A$884,0)),"")</f>
        <v/>
      </c>
      <c r="AF584" t="inlineStr">
        <is>
          <t>How mature is the organization in managing emergency HR policies for relocation, evacuation, hardship support, flexible work and temporary staffing, including ownership, evidence, metrics, fallback procedures and crisis stress testing?</t>
        </is>
      </c>
      <c r="AO584">
        <f>IF($B584="Yes",IFERROR(INDEX(_ENGINE_Crisis!$F$501:$F$517,MATCH($C584,_ENGINE_Crisis!$A$501:$A$517,0)),1),"")</f>
        <v/>
      </c>
      <c r="AP584">
        <f>IF(AO584="","",ROUND($L584*AO584,1))</f>
        <v/>
      </c>
      <c r="AQ584">
        <f>IF(OR(AO584="",$S584=""),"",ROUND($S584*(0.7+0.3*AO584),2))</f>
        <v/>
      </c>
      <c r="AR584">
        <f>IFERROR(INDEX(_ENGINE_Crisis!$E$41:$E$700,MATCH('Resilience &amp; Risk Scenario'!$B$60&amp;"|"&amp;$C584,_ENGINE_Crisis!$I$41:$I$700,0)),"")</f>
        <v/>
      </c>
      <c r="AS584">
        <f>IFERROR(INDEX(_ENGINE_Crisis!$G$41:$G$700,MATCH('Resilience &amp; Risk Scenario'!$B$60&amp;"|"&amp;$C584,_ENGINE_Crisis!$I$41:$I$700,0)),"")</f>
        <v/>
      </c>
      <c r="AT584">
        <f>IFERROR(INDEX(_ENGINE_Initiatives!$A$5:$A$532,MATCH(1,INDEX((_ENGINE_Initiatives!$B$5:$B$532=$C584)*(_ENGINE_Initiatives!$C$5:$C$532=$D584),0),0)),"")</f>
        <v/>
      </c>
      <c r="AU584">
        <f>IFERROR(INDEX(_ENGINE_Initiatives!$F$5:$F$532,MATCH(1,INDEX((_ENGINE_Initiatives!$B$5:$B$532=$C584)*(_ENGINE_Initiatives!$C$5:$C$532=$D584),0),0)),"")</f>
        <v/>
      </c>
      <c r="AV584">
        <f>IFERROR(INDEX(_ENGINE_Initiatives!$AC$5:$AC$532,MATCH(1,INDEX((_ENGINE_Initiatives!$B$5:$B$532=$C584)*(_ENGINE_Initiatives!$C$5:$C$532=$D584),0),0)),"")</f>
        <v/>
      </c>
      <c r="AW584">
        <f>IFERROR(INDEX(_ENGINE_Initiatives!$AE$5:$AE$532,MATCH(1,INDEX((_ENGINE_Initiatives!$B$5:$B$532=$C584)*(_ENGINE_Initiatives!$C$5:$C$532=$D584),0),0)),"")</f>
        <v/>
      </c>
      <c r="AX584">
        <f>IF($B584="Yes",IFERROR(IF(SUMIFS(_REF_Model_Content!$E$1:$E$613,_REF_Model_Content!$A$1:$A$613,'Company Profile'!$B$9,_REF_Model_Content!$B$1:$B$613,$C584)=0,1,SUMIFS(_REF_Model_Content!$E$1:$E$613,_REF_Model_Content!$A$1:$A$613,'Company Profile'!$B$9,_REF_Model_Content!$B$1:$B$613,$C584)),1),"")</f>
        <v/>
      </c>
      <c r="AY584">
        <f>IF($L584="","",ROUND(IF($AP584="",$L584,$AP584)*IF($AX584="",1,$AX584),2))</f>
        <v/>
      </c>
      <c r="AZ584">
        <f>IF($S584="","",ROUND(IF($AQ584="",$S584,$AQ584)*IF($AX584="",1,$AX584),2))</f>
        <v/>
      </c>
      <c r="BB584">
        <f>IF($H584="","",IFERROR(INDEX('_ENGINE_Risk'!$AE$41:$AE$920,MATCH($E584,'_ENGINE_Risk'!$A$41:$A$920,0)),"Medium"))</f>
        <v/>
      </c>
      <c r="BC584">
        <f>IF($BB584="","",IF($BB584="Fast",1.25,IF($BB584="Slow",0.85,1)))</f>
        <v/>
      </c>
      <c r="BD584">
        <f>IF(OR($AZ584="",$BC584=""),"",ROUND($AZ584*$BC584,2))</f>
        <v/>
      </c>
      <c r="BF584">
        <f>IF(OR($H584="",$J584=""),"",_xlfn.IFNA(VLOOKUP($J584,_CONFIG_Model_Settings!$D$610:$E$614,2,0),""))</f>
        <v/>
      </c>
      <c r="BG584">
        <f>IF(OR($H584="",$K584=""),"",ROUND('Company Profile'!$B$569*INDEX(_CONFIG_Model_Settings!$H$610:$H$614,MATCH($K584,_CONFIG_Model_Settings!$G$610:$G$614,0)),0))</f>
        <v/>
      </c>
      <c r="BH584">
        <f>IF(OR($BF584="",$BG584=""),"",ROUND($BF584*$BG584,1))</f>
        <v/>
      </c>
      <c r="BI584">
        <f>IF($BH584="","",IF($AO584="",$BH584,ROUND($BH584*$AO584,1)))</f>
        <v/>
      </c>
      <c r="BJ584">
        <f>IF($E584="","",IFERROR(VLOOKUP($C584,'_CONFIG_Risk_Calibration'!$A$5:$H$21,2,FALSE),3))</f>
        <v/>
      </c>
      <c r="BK584">
        <f>IF($E584="","",IFERROR(VLOOKUP($C584,'_CONFIG_Risk_Calibration'!$A$5:$H$21,3,FALSE),0))</f>
        <v/>
      </c>
      <c r="BL584">
        <f>IF($E584="","",IFERROR(VLOOKUP($C584,'_CONFIG_Risk_Calibration'!$A$5:$H$21,4,FALSE),3))</f>
        <v/>
      </c>
      <c r="BM584">
        <f>IF($E584="","",IFERROR(VLOOKUP($C584,'_CONFIG_Risk_Calibration'!$A$5:$H$21,5,FALSE),3))</f>
        <v/>
      </c>
      <c r="BN584">
        <f>IF($E584="","",IFERROR(VLOOKUP($C584,'_CONFIG_Risk_Calibration'!$A$5:$H$21,6,FALSE),"No"))</f>
        <v/>
      </c>
      <c r="BO584">
        <f>IF($E584="","",IFERROR(VLOOKUP($C584,'_CONFIG_Risk_Calibration'!$A$5:$H$21,7,FALSE),1))</f>
        <v/>
      </c>
      <c r="BP584">
        <f>IF($H584="","",MAX(1,MIN(5,((6-$H584)*0.45)+($BJ584*0.20)+('Resilience &amp; Risk Scenario'!$B$7*0.15)+($BK584*0.10)+($BL584*0.05)+(IF($BB584="Fast",5,IF($BB584="Slow",1,3))*0.05))))</f>
        <v/>
      </c>
      <c r="BQ584">
        <f>IF($H584="","",MAX(IF($BN584="Yes",$BO584,1),MIN(5,($U584*0.20)+($V584*0.15)+($W584*0.25)+($X584*0.15)+($BJ584*0.10)+($BM584*0.15))))</f>
        <v/>
      </c>
      <c r="BR584">
        <f>IF(OR($BP584="",$BQ584=""),"",ROUND($BP584*$BQ584,2))</f>
        <v/>
      </c>
      <c r="BS584">
        <f>IF($BR584="","",ROUND($BR584*IF($AO584="",1,$AO584)*IF($AX584="",1,$AX584)*(1+(($BM584-3)*0.10))*IF($BC584="",1,$BC584),2))</f>
        <v/>
      </c>
    </row>
    <row r="585" ht="69.90000000000001" customHeight="1" s="209">
      <c r="A585">
        <f>IF($BD585="","",SUMPRODUCT(ISNUMBER($BD$500:$BD$923)*($BD$500:$BD$923&gt;$BD585))+COUNTIF($BD$500:$BD585,$BD585))</f>
        <v/>
      </c>
      <c r="B585">
        <f>IF($H585="","",IF($H585&lt;5,"Yes","Maintain"))</f>
        <v/>
      </c>
      <c r="C585" t="inlineStr">
        <is>
          <t>HR Workforce</t>
        </is>
      </c>
      <c r="D585" t="inlineStr">
        <is>
          <t>Continuity and wellbeing</t>
        </is>
      </c>
      <c r="E585" t="inlineStr">
        <is>
          <t>HRWO-019</t>
        </is>
      </c>
      <c r="F585" t="inlineStr">
        <is>
          <t>People, critical roles and knowledge continuity</t>
        </is>
      </c>
      <c r="G585">
        <f>IF($H585="","",IFERROR(INDEX('_ENGINE_Risk'!$H$41:$M$920,MATCH($E585,'_ENGINE_Risk'!$A$41:$A$920,0),$H585+1),""))</f>
        <v/>
      </c>
      <c r="H585">
        <f>IFERROR(VALUE(INDEX(_DATA_Assessment_Model!$H$5:$H$884,MATCH($E585,_DATA_Assessment_Model!$A$5:$A$884,0))),"")</f>
        <v/>
      </c>
      <c r="I585">
        <f>IF($H585="","",IFERROR(INDEX(_DATA_Assessment_Model!$L$5:$L$884,MATCH($E585,_DATA_Assessment_Model!$A$5:$A$884,0)),IF($H585&lt;=1,"Critical",IF($H585=2,"High",IF($H585=3,"Medium",IF($H585=4,"Low","Resilient"))))))</f>
        <v/>
      </c>
      <c r="J585">
        <f>IF($H585="","",MIN(5,MAX(1,6-$H585)))</f>
        <v/>
      </c>
      <c r="K585">
        <f>IF($H585="","",MAX(1,MIN(5,ROUNDUP(($U585*0.45)+($W585*0.35)+($X585*0.2),0))))</f>
        <v/>
      </c>
      <c r="L585">
        <f>IF($H585="","",$J585*$K585)</f>
        <v/>
      </c>
      <c r="M585">
        <f>IF($H585="","",MAX(1,MIN(5,ROUNDUP($L585/5,0))))</f>
        <v/>
      </c>
      <c r="N585">
        <f>IF($H585="","",IFERROR(INDEX('_ENGINE_Risk'!$T$41:$Y$920,MATCH($E585,'_ENGINE_Risk'!$A$41:$A$920,0),$H585+1),""))</f>
        <v/>
      </c>
      <c r="O585">
        <f>IF($H585="","",MAX(1,MIN(5,($U585+$V585+$X585)/3)))</f>
        <v/>
      </c>
      <c r="P585">
        <f>IF($H585="","",IF($I585="Critical",5,IF($I585="High",4,IF($I585="Medium",3,IF($I585="Low",2,1)))))</f>
        <v/>
      </c>
      <c r="Q585">
        <f>IF($H585="","",MAX(1,MIN(5,((5-$H585)*0.65)+($W585*0.35))))</f>
        <v/>
      </c>
      <c r="R585">
        <f>IF($H585="","",MAX(1,MIN(5,($V585+$X585)/2)))</f>
        <v/>
      </c>
      <c r="S585">
        <f>IF(OR($H585="",$N585=""),"",ROUND(($O585+$P585+$Q585+$R585)/$N585,2))</f>
        <v/>
      </c>
      <c r="T585">
        <f>IF($H585="","",IFERROR(INDEX('_ENGINE_Risk'!$N$41:$S$920,MATCH($E585,'_ENGINE_Risk'!$A$41:$A$920,0),$H585+1),""))</f>
        <v/>
      </c>
      <c r="U585">
        <f>IFERROR(INDEX(_DATA_Assessment_Model!$G$5:$G$884,MATCH($E585,_DATA_Assessment_Model!$A$5:$A$884,0)),"")</f>
        <v/>
      </c>
      <c r="V585">
        <f>IFERROR(INDEX(_DATA_Assessment_Model!$W$5:$W$884,MATCH($E585,_DATA_Assessment_Model!$A$5:$A$884,0)),"")</f>
        <v/>
      </c>
      <c r="W585">
        <f>IFERROR(INDEX(_DATA_Assessment_Model!$X$5:$X$884,MATCH($E585,_DATA_Assessment_Model!$A$5:$A$884,0)),"")</f>
        <v/>
      </c>
      <c r="X585">
        <f>IFERROR(INDEX(_DATA_Assessment_Model!$Y$5:$Y$884,MATCH($E585,_DATA_Assessment_Model!$A$5:$A$884,0)),"")</f>
        <v/>
      </c>
      <c r="Y585" t="inlineStr">
        <is>
          <t>Workforce disruption; Pandemic/health crisis; War/security crisis</t>
        </is>
      </c>
      <c r="Z585" t="inlineStr">
        <is>
          <t>CHRO / HR</t>
        </is>
      </c>
      <c r="AA585" t="inlineStr">
        <is>
          <t>Policy/SOP; owner/RACI; system report; dashboard; contracts; test records; incident history; interview evidence related to cross-training and knowledge transfer for critical operations and rare skills.</t>
        </is>
      </c>
      <c r="AB585">
        <f>IFERROR(INDEX(_DATA_Assessment_Model!$U$5:$U$884,MATCH($E585,_DATA_Assessment_Model!$A$5:$A$884,0)),"")</f>
        <v/>
      </c>
      <c r="AF585" t="inlineStr">
        <is>
          <t>How mature is the organization in managing cross-training and knowledge transfer for critical operations and rare skills, including ownership, evidence, metrics, fallback procedures and crisis stress testing?</t>
        </is>
      </c>
      <c r="AO585">
        <f>IF($B585="Yes",IFERROR(INDEX(_ENGINE_Crisis!$F$501:$F$517,MATCH($C585,_ENGINE_Crisis!$A$501:$A$517,0)),1),"")</f>
        <v/>
      </c>
      <c r="AP585">
        <f>IF(AO585="","",ROUND($L585*AO585,1))</f>
        <v/>
      </c>
      <c r="AQ585">
        <f>IF(OR(AO585="",$S585=""),"",ROUND($S585*(0.7+0.3*AO585),2))</f>
        <v/>
      </c>
      <c r="AR585">
        <f>IFERROR(INDEX(_ENGINE_Crisis!$E$41:$E$700,MATCH('Resilience &amp; Risk Scenario'!$B$60&amp;"|"&amp;$C585,_ENGINE_Crisis!$I$41:$I$700,0)),"")</f>
        <v/>
      </c>
      <c r="AS585">
        <f>IFERROR(INDEX(_ENGINE_Crisis!$G$41:$G$700,MATCH('Resilience &amp; Risk Scenario'!$B$60&amp;"|"&amp;$C585,_ENGINE_Crisis!$I$41:$I$700,0)),"")</f>
        <v/>
      </c>
      <c r="AT585">
        <f>IFERROR(INDEX(_ENGINE_Initiatives!$A$5:$A$532,MATCH(1,INDEX((_ENGINE_Initiatives!$B$5:$B$532=$C585)*(_ENGINE_Initiatives!$C$5:$C$532=$D585),0),0)),"")</f>
        <v/>
      </c>
      <c r="AU585">
        <f>IFERROR(INDEX(_ENGINE_Initiatives!$F$5:$F$532,MATCH(1,INDEX((_ENGINE_Initiatives!$B$5:$B$532=$C585)*(_ENGINE_Initiatives!$C$5:$C$532=$D585),0),0)),"")</f>
        <v/>
      </c>
      <c r="AV585">
        <f>IFERROR(INDEX(_ENGINE_Initiatives!$AC$5:$AC$532,MATCH(1,INDEX((_ENGINE_Initiatives!$B$5:$B$532=$C585)*(_ENGINE_Initiatives!$C$5:$C$532=$D585),0),0)),"")</f>
        <v/>
      </c>
      <c r="AW585">
        <f>IFERROR(INDEX(_ENGINE_Initiatives!$AE$5:$AE$532,MATCH(1,INDEX((_ENGINE_Initiatives!$B$5:$B$532=$C585)*(_ENGINE_Initiatives!$C$5:$C$532=$D585),0),0)),"")</f>
        <v/>
      </c>
      <c r="AX585">
        <f>IF($B585="Yes",IFERROR(IF(SUMIFS(_REF_Model_Content!$E$1:$E$613,_REF_Model_Content!$A$1:$A$613,'Company Profile'!$B$9,_REF_Model_Content!$B$1:$B$613,$C585)=0,1,SUMIFS(_REF_Model_Content!$E$1:$E$613,_REF_Model_Content!$A$1:$A$613,'Company Profile'!$B$9,_REF_Model_Content!$B$1:$B$613,$C585)),1),"")</f>
        <v/>
      </c>
      <c r="AY585">
        <f>IF($L585="","",ROUND(IF($AP585="",$L585,$AP585)*IF($AX585="",1,$AX585),2))</f>
        <v/>
      </c>
      <c r="AZ585">
        <f>IF($S585="","",ROUND(IF($AQ585="",$S585,$AQ585)*IF($AX585="",1,$AX585),2))</f>
        <v/>
      </c>
      <c r="BB585">
        <f>IF($H585="","",IFERROR(INDEX('_ENGINE_Risk'!$AE$41:$AE$920,MATCH($E585,'_ENGINE_Risk'!$A$41:$A$920,0)),"Medium"))</f>
        <v/>
      </c>
      <c r="BC585">
        <f>IF($BB585="","",IF($BB585="Fast",1.25,IF($BB585="Slow",0.85,1)))</f>
        <v/>
      </c>
      <c r="BD585">
        <f>IF(OR($AZ585="",$BC585=""),"",ROUND($AZ585*$BC585,2))</f>
        <v/>
      </c>
      <c r="BF585">
        <f>IF(OR($H585="",$J585=""),"",_xlfn.IFNA(VLOOKUP($J585,_CONFIG_Model_Settings!$D$610:$E$614,2,0),""))</f>
        <v/>
      </c>
      <c r="BG585">
        <f>IF(OR($H585="",$K585=""),"",ROUND('Company Profile'!$B$569*INDEX(_CONFIG_Model_Settings!$H$610:$H$614,MATCH($K585,_CONFIG_Model_Settings!$G$610:$G$614,0)),0))</f>
        <v/>
      </c>
      <c r="BH585">
        <f>IF(OR($BF585="",$BG585=""),"",ROUND($BF585*$BG585,1))</f>
        <v/>
      </c>
      <c r="BI585">
        <f>IF($BH585="","",IF($AO585="",$BH585,ROUND($BH585*$AO585,1)))</f>
        <v/>
      </c>
      <c r="BJ585">
        <f>IF($E585="","",IFERROR(VLOOKUP($C585,'_CONFIG_Risk_Calibration'!$A$5:$H$21,2,FALSE),3))</f>
        <v/>
      </c>
      <c r="BK585">
        <f>IF($E585="","",IFERROR(VLOOKUP($C585,'_CONFIG_Risk_Calibration'!$A$5:$H$21,3,FALSE),0))</f>
        <v/>
      </c>
      <c r="BL585">
        <f>IF($E585="","",IFERROR(VLOOKUP($C585,'_CONFIG_Risk_Calibration'!$A$5:$H$21,4,FALSE),3))</f>
        <v/>
      </c>
      <c r="BM585">
        <f>IF($E585="","",IFERROR(VLOOKUP($C585,'_CONFIG_Risk_Calibration'!$A$5:$H$21,5,FALSE),3))</f>
        <v/>
      </c>
      <c r="BN585">
        <f>IF($E585="","",IFERROR(VLOOKUP($C585,'_CONFIG_Risk_Calibration'!$A$5:$H$21,6,FALSE),"No"))</f>
        <v/>
      </c>
      <c r="BO585">
        <f>IF($E585="","",IFERROR(VLOOKUP($C585,'_CONFIG_Risk_Calibration'!$A$5:$H$21,7,FALSE),1))</f>
        <v/>
      </c>
      <c r="BP585">
        <f>IF($H585="","",MAX(1,MIN(5,((6-$H585)*0.45)+($BJ585*0.20)+('Resilience &amp; Risk Scenario'!$B$7*0.15)+($BK585*0.10)+($BL585*0.05)+(IF($BB585="Fast",5,IF($BB585="Slow",1,3))*0.05))))</f>
        <v/>
      </c>
      <c r="BQ585">
        <f>IF($H585="","",MAX(IF($BN585="Yes",$BO585,1),MIN(5,($U585*0.20)+($V585*0.15)+($W585*0.25)+($X585*0.15)+($BJ585*0.10)+($BM585*0.15))))</f>
        <v/>
      </c>
      <c r="BR585">
        <f>IF(OR($BP585="",$BQ585=""),"",ROUND($BP585*$BQ585,2))</f>
        <v/>
      </c>
      <c r="BS585">
        <f>IF($BR585="","",ROUND($BR585*IF($AO585="",1,$AO585)*IF($AX585="",1,$AX585)*(1+(($BM585-3)*0.10))*IF($BC585="",1,$BC585),2))</f>
        <v/>
      </c>
    </row>
    <row r="586" ht="69.90000000000001" customHeight="1" s="209">
      <c r="A586">
        <f>IF($BD586="","",SUMPRODUCT(ISNUMBER($BD$500:$BD$923)*($BD$500:$BD$923&gt;$BD586))+COUNTIF($BD$500:$BD586,$BD586))</f>
        <v/>
      </c>
      <c r="B586">
        <f>IF($H586="","",IF($H586&lt;5,"Yes","Maintain"))</f>
        <v/>
      </c>
      <c r="C586" t="inlineStr">
        <is>
          <t>HR Workforce</t>
        </is>
      </c>
      <c r="D586" t="inlineStr">
        <is>
          <t>HR systems and compliance</t>
        </is>
      </c>
      <c r="E586" t="inlineStr">
        <is>
          <t>HRWO-020</t>
        </is>
      </c>
      <c r="F586" t="inlineStr">
        <is>
          <t>People, critical roles and knowledge continuity</t>
        </is>
      </c>
      <c r="G586">
        <f>IF($H586="","",IFERROR(INDEX('_ENGINE_Risk'!$H$41:$M$920,MATCH($E586,'_ENGINE_Risk'!$A$41:$A$920,0),$H586+1),""))</f>
        <v/>
      </c>
      <c r="H586">
        <f>IFERROR(VALUE(INDEX(_DATA_Assessment_Model!$H$5:$H$884,MATCH($E586,_DATA_Assessment_Model!$A$5:$A$884,0))),"")</f>
        <v/>
      </c>
      <c r="I586">
        <f>IF($H586="","",IFERROR(INDEX(_DATA_Assessment_Model!$L$5:$L$884,MATCH($E586,_DATA_Assessment_Model!$A$5:$A$884,0)),IF($H586&lt;=1,"Critical",IF($H586=2,"High",IF($H586=3,"Medium",IF($H586=4,"Low","Resilient"))))))</f>
        <v/>
      </c>
      <c r="J586">
        <f>IF($H586="","",MIN(5,MAX(1,6-$H586)))</f>
        <v/>
      </c>
      <c r="K586">
        <f>IF($H586="","",MAX(1,MIN(5,ROUNDUP(($U586*0.45)+($W586*0.35)+($X586*0.2),0))))</f>
        <v/>
      </c>
      <c r="L586">
        <f>IF($H586="","",$J586*$K586)</f>
        <v/>
      </c>
      <c r="M586">
        <f>IF($H586="","",MAX(1,MIN(5,ROUNDUP($L586/5,0))))</f>
        <v/>
      </c>
      <c r="N586">
        <f>IF($H586="","",IFERROR(INDEX('_ENGINE_Risk'!$T$41:$Y$920,MATCH($E586,'_ENGINE_Risk'!$A$41:$A$920,0),$H586+1),""))</f>
        <v/>
      </c>
      <c r="O586">
        <f>IF($H586="","",MAX(1,MIN(5,($U586+$V586+$X586)/3)))</f>
        <v/>
      </c>
      <c r="P586">
        <f>IF($H586="","",IF($I586="Critical",5,IF($I586="High",4,IF($I586="Medium",3,IF($I586="Low",2,1)))))</f>
        <v/>
      </c>
      <c r="Q586">
        <f>IF($H586="","",MAX(1,MIN(5,((5-$H586)*0.65)+($W586*0.35))))</f>
        <v/>
      </c>
      <c r="R586">
        <f>IF($H586="","",MAX(1,MIN(5,($V586+$X586)/2)))</f>
        <v/>
      </c>
      <c r="S586">
        <f>IF(OR($H586="",$N586=""),"",ROUND(($O586+$P586+$Q586+$R586)/$N586,2))</f>
        <v/>
      </c>
      <c r="T586">
        <f>IF($H586="","",IFERROR(INDEX('_ENGINE_Risk'!$N$41:$S$920,MATCH($E586,'_ENGINE_Risk'!$A$41:$A$920,0),$H586+1),""))</f>
        <v/>
      </c>
      <c r="U586">
        <f>IFERROR(INDEX(_DATA_Assessment_Model!$G$5:$G$884,MATCH($E586,_DATA_Assessment_Model!$A$5:$A$884,0)),"")</f>
        <v/>
      </c>
      <c r="V586">
        <f>IFERROR(INDEX(_DATA_Assessment_Model!$W$5:$W$884,MATCH($E586,_DATA_Assessment_Model!$A$5:$A$884,0)),"")</f>
        <v/>
      </c>
      <c r="W586">
        <f>IFERROR(INDEX(_DATA_Assessment_Model!$X$5:$X$884,MATCH($E586,_DATA_Assessment_Model!$A$5:$A$884,0)),"")</f>
        <v/>
      </c>
      <c r="X586">
        <f>IFERROR(INDEX(_DATA_Assessment_Model!$Y$5:$Y$884,MATCH($E586,_DATA_Assessment_Model!$A$5:$A$884,0)),"")</f>
        <v/>
      </c>
      <c r="Y586" t="inlineStr">
        <is>
          <t>Workforce disruption; Pandemic/health crisis; War/security crisis</t>
        </is>
      </c>
      <c r="Z586" t="inlineStr">
        <is>
          <t>CHRO / HR</t>
        </is>
      </c>
      <c r="AA586" t="inlineStr">
        <is>
          <t>Policy/SOP; owner/RACI; system report; dashboard; contracts; test records; incident history; interview evidence related to HRMS reliability, backup, manual fallback and data quality for employee records and emergency contacts.</t>
        </is>
      </c>
      <c r="AB586">
        <f>IFERROR(INDEX(_DATA_Assessment_Model!$U$5:$U$884,MATCH($E586,_DATA_Assessment_Model!$A$5:$A$884,0)),"")</f>
        <v/>
      </c>
      <c r="AF586" t="inlineStr">
        <is>
          <t>How mature is the organization in managing HRMS reliability, backup, manual fallback and data quality for employee records and emergency contacts, including ownership, evidence, metrics, fallback procedures and crisis stress testing?</t>
        </is>
      </c>
      <c r="AO586">
        <f>IF($B586="Yes",IFERROR(INDEX(_ENGINE_Crisis!$F$501:$F$517,MATCH($C586,_ENGINE_Crisis!$A$501:$A$517,0)),1),"")</f>
        <v/>
      </c>
      <c r="AP586">
        <f>IF(AO586="","",ROUND($L586*AO586,1))</f>
        <v/>
      </c>
      <c r="AQ586">
        <f>IF(OR(AO586="",$S586=""),"",ROUND($S586*(0.7+0.3*AO586),2))</f>
        <v/>
      </c>
      <c r="AR586">
        <f>IFERROR(INDEX(_ENGINE_Crisis!$E$41:$E$700,MATCH('Resilience &amp; Risk Scenario'!$B$60&amp;"|"&amp;$C586,_ENGINE_Crisis!$I$41:$I$700,0)),"")</f>
        <v/>
      </c>
      <c r="AS586">
        <f>IFERROR(INDEX(_ENGINE_Crisis!$G$41:$G$700,MATCH('Resilience &amp; Risk Scenario'!$B$60&amp;"|"&amp;$C586,_ENGINE_Crisis!$I$41:$I$700,0)),"")</f>
        <v/>
      </c>
      <c r="AT586">
        <f>IFERROR(INDEX(_ENGINE_Initiatives!$A$5:$A$532,MATCH(1,INDEX((_ENGINE_Initiatives!$B$5:$B$532=$C586)*(_ENGINE_Initiatives!$C$5:$C$532=$D586),0),0)),"")</f>
        <v/>
      </c>
      <c r="AU586">
        <f>IFERROR(INDEX(_ENGINE_Initiatives!$F$5:$F$532,MATCH(1,INDEX((_ENGINE_Initiatives!$B$5:$B$532=$C586)*(_ENGINE_Initiatives!$C$5:$C$532=$D586),0),0)),"")</f>
        <v/>
      </c>
      <c r="AV586">
        <f>IFERROR(INDEX(_ENGINE_Initiatives!$AC$5:$AC$532,MATCH(1,INDEX((_ENGINE_Initiatives!$B$5:$B$532=$C586)*(_ENGINE_Initiatives!$C$5:$C$532=$D586),0),0)),"")</f>
        <v/>
      </c>
      <c r="AW586">
        <f>IFERROR(INDEX(_ENGINE_Initiatives!$AE$5:$AE$532,MATCH(1,INDEX((_ENGINE_Initiatives!$B$5:$B$532=$C586)*(_ENGINE_Initiatives!$C$5:$C$532=$D586),0),0)),"")</f>
        <v/>
      </c>
      <c r="AX586">
        <f>IF($B586="Yes",IFERROR(IF(SUMIFS(_REF_Model_Content!$E$1:$E$613,_REF_Model_Content!$A$1:$A$613,'Company Profile'!$B$9,_REF_Model_Content!$B$1:$B$613,$C586)=0,1,SUMIFS(_REF_Model_Content!$E$1:$E$613,_REF_Model_Content!$A$1:$A$613,'Company Profile'!$B$9,_REF_Model_Content!$B$1:$B$613,$C586)),1),"")</f>
        <v/>
      </c>
      <c r="AY586">
        <f>IF($L586="","",ROUND(IF($AP586="",$L586,$AP586)*IF($AX586="",1,$AX586),2))</f>
        <v/>
      </c>
      <c r="AZ586">
        <f>IF($S586="","",ROUND(IF($AQ586="",$S586,$AQ586)*IF($AX586="",1,$AX586),2))</f>
        <v/>
      </c>
      <c r="BB586">
        <f>IF($H586="","",IFERROR(INDEX('_ENGINE_Risk'!$AE$41:$AE$920,MATCH($E586,'_ENGINE_Risk'!$A$41:$A$920,0)),"Medium"))</f>
        <v/>
      </c>
      <c r="BC586">
        <f>IF($BB586="","",IF($BB586="Fast",1.25,IF($BB586="Slow",0.85,1)))</f>
        <v/>
      </c>
      <c r="BD586">
        <f>IF(OR($AZ586="",$BC586=""),"",ROUND($AZ586*$BC586,2))</f>
        <v/>
      </c>
      <c r="BF586">
        <f>IF(OR($H586="",$J586=""),"",_xlfn.IFNA(VLOOKUP($J586,_CONFIG_Model_Settings!$D$610:$E$614,2,0),""))</f>
        <v/>
      </c>
      <c r="BG586">
        <f>IF(OR($H586="",$K586=""),"",ROUND('Company Profile'!$B$569*INDEX(_CONFIG_Model_Settings!$H$610:$H$614,MATCH($K586,_CONFIG_Model_Settings!$G$610:$G$614,0)),0))</f>
        <v/>
      </c>
      <c r="BH586">
        <f>IF(OR($BF586="",$BG586=""),"",ROUND($BF586*$BG586,1))</f>
        <v/>
      </c>
      <c r="BI586">
        <f>IF($BH586="","",IF($AO586="",$BH586,ROUND($BH586*$AO586,1)))</f>
        <v/>
      </c>
      <c r="BJ586">
        <f>IF($E586="","",IFERROR(VLOOKUP($C586,'_CONFIG_Risk_Calibration'!$A$5:$H$21,2,FALSE),3))</f>
        <v/>
      </c>
      <c r="BK586">
        <f>IF($E586="","",IFERROR(VLOOKUP($C586,'_CONFIG_Risk_Calibration'!$A$5:$H$21,3,FALSE),0))</f>
        <v/>
      </c>
      <c r="BL586">
        <f>IF($E586="","",IFERROR(VLOOKUP($C586,'_CONFIG_Risk_Calibration'!$A$5:$H$21,4,FALSE),3))</f>
        <v/>
      </c>
      <c r="BM586">
        <f>IF($E586="","",IFERROR(VLOOKUP($C586,'_CONFIG_Risk_Calibration'!$A$5:$H$21,5,FALSE),3))</f>
        <v/>
      </c>
      <c r="BN586">
        <f>IF($E586="","",IFERROR(VLOOKUP($C586,'_CONFIG_Risk_Calibration'!$A$5:$H$21,6,FALSE),"No"))</f>
        <v/>
      </c>
      <c r="BO586">
        <f>IF($E586="","",IFERROR(VLOOKUP($C586,'_CONFIG_Risk_Calibration'!$A$5:$H$21,7,FALSE),1))</f>
        <v/>
      </c>
      <c r="BP586">
        <f>IF($H586="","",MAX(1,MIN(5,((6-$H586)*0.45)+($BJ586*0.20)+('Resilience &amp; Risk Scenario'!$B$7*0.15)+($BK586*0.10)+($BL586*0.05)+(IF($BB586="Fast",5,IF($BB586="Slow",1,3))*0.05))))</f>
        <v/>
      </c>
      <c r="BQ586">
        <f>IF($H586="","",MAX(IF($BN586="Yes",$BO586,1),MIN(5,($U586*0.20)+($V586*0.15)+($W586*0.25)+($X586*0.15)+($BJ586*0.10)+($BM586*0.15))))</f>
        <v/>
      </c>
      <c r="BR586">
        <f>IF(OR($BP586="",$BQ586=""),"",ROUND($BP586*$BQ586,2))</f>
        <v/>
      </c>
      <c r="BS586">
        <f>IF($BR586="","",ROUND($BR586*IF($AO586="",1,$AO586)*IF($AX586="",1,$AX586)*(1+(($BM586-3)*0.10))*IF($BC586="",1,$BC586),2))</f>
        <v/>
      </c>
    </row>
    <row r="587" ht="69.90000000000001" customHeight="1" s="209">
      <c r="A587">
        <f>IF($BD587="","",SUMPRODUCT(ISNUMBER($BD$500:$BD$923)*($BD$500:$BD$923&gt;$BD587))+COUNTIF($BD$500:$BD587,$BD587))</f>
        <v/>
      </c>
      <c r="B587">
        <f>IF($H587="","",IF($H587&lt;5,"Yes","Maintain"))</f>
        <v/>
      </c>
      <c r="C587" t="inlineStr">
        <is>
          <t>HR Workforce</t>
        </is>
      </c>
      <c r="D587" t="inlineStr">
        <is>
          <t>HR systems and compliance</t>
        </is>
      </c>
      <c r="E587" t="inlineStr">
        <is>
          <t>HRWO-022</t>
        </is>
      </c>
      <c r="F587" t="inlineStr">
        <is>
          <t>People, critical roles and knowledge continuity</t>
        </is>
      </c>
      <c r="G587">
        <f>IF($H587="","",IFERROR(INDEX('_ENGINE_Risk'!$H$41:$M$920,MATCH($E587,'_ENGINE_Risk'!$A$41:$A$920,0),$H587+1),""))</f>
        <v/>
      </c>
      <c r="H587">
        <f>IFERROR(VALUE(INDEX(_DATA_Assessment_Model!$H$5:$H$884,MATCH($E587,_DATA_Assessment_Model!$A$5:$A$884,0))),"")</f>
        <v/>
      </c>
      <c r="I587">
        <f>IF($H587="","",IFERROR(INDEX(_DATA_Assessment_Model!$L$5:$L$884,MATCH($E587,_DATA_Assessment_Model!$A$5:$A$884,0)),IF($H587&lt;=1,"Critical",IF($H587=2,"High",IF($H587=3,"Medium",IF($H587=4,"Low","Resilient"))))))</f>
        <v/>
      </c>
      <c r="J587">
        <f>IF($H587="","",MIN(5,MAX(1,6-$H587)))</f>
        <v/>
      </c>
      <c r="K587">
        <f>IF($H587="","",MAX(1,MIN(5,ROUNDUP(($U587*0.45)+($W587*0.35)+($X587*0.2),0))))</f>
        <v/>
      </c>
      <c r="L587">
        <f>IF($H587="","",$J587*$K587)</f>
        <v/>
      </c>
      <c r="M587">
        <f>IF($H587="","",MAX(1,MIN(5,ROUNDUP($L587/5,0))))</f>
        <v/>
      </c>
      <c r="N587">
        <f>IF($H587="","",IFERROR(INDEX('_ENGINE_Risk'!$T$41:$Y$920,MATCH($E587,'_ENGINE_Risk'!$A$41:$A$920,0),$H587+1),""))</f>
        <v/>
      </c>
      <c r="O587">
        <f>IF($H587="","",MAX(1,MIN(5,($U587+$V587+$X587)/3)))</f>
        <v/>
      </c>
      <c r="P587">
        <f>IF($H587="","",IF($I587="Critical",5,IF($I587="High",4,IF($I587="Medium",3,IF($I587="Low",2,1)))))</f>
        <v/>
      </c>
      <c r="Q587">
        <f>IF($H587="","",MAX(1,MIN(5,((5-$H587)*0.65)+($W587*0.35))))</f>
        <v/>
      </c>
      <c r="R587">
        <f>IF($H587="","",MAX(1,MIN(5,($V587+$X587)/2)))</f>
        <v/>
      </c>
      <c r="S587">
        <f>IF(OR($H587="",$N587=""),"",ROUND(($O587+$P587+$Q587+$R587)/$N587,2))</f>
        <v/>
      </c>
      <c r="T587">
        <f>IF($H587="","",IFERROR(INDEX('_ENGINE_Risk'!$N$41:$S$920,MATCH($E587,'_ENGINE_Risk'!$A$41:$A$920,0),$H587+1),""))</f>
        <v/>
      </c>
      <c r="U587">
        <f>IFERROR(INDEX(_DATA_Assessment_Model!$G$5:$G$884,MATCH($E587,_DATA_Assessment_Model!$A$5:$A$884,0)),"")</f>
        <v/>
      </c>
      <c r="V587">
        <f>IFERROR(INDEX(_DATA_Assessment_Model!$W$5:$W$884,MATCH($E587,_DATA_Assessment_Model!$A$5:$A$884,0)),"")</f>
        <v/>
      </c>
      <c r="W587">
        <f>IFERROR(INDEX(_DATA_Assessment_Model!$X$5:$X$884,MATCH($E587,_DATA_Assessment_Model!$A$5:$A$884,0)),"")</f>
        <v/>
      </c>
      <c r="X587">
        <f>IFERROR(INDEX(_DATA_Assessment_Model!$Y$5:$Y$884,MATCH($E587,_DATA_Assessment_Model!$A$5:$A$884,0)),"")</f>
        <v/>
      </c>
      <c r="Y587" t="inlineStr">
        <is>
          <t>Workforce disruption; Pandemic/health crisis; War/security crisis</t>
        </is>
      </c>
      <c r="Z587" t="inlineStr">
        <is>
          <t>CHRO / HR</t>
        </is>
      </c>
      <c r="AA587" t="inlineStr">
        <is>
          <t>Policy/SOP; owner/RACI; system report; dashboard; contracts; test records; incident history; interview evidence related to employment compliance by country, contract type, working hours and emergency measures.</t>
        </is>
      </c>
      <c r="AB587">
        <f>IFERROR(INDEX(_DATA_Assessment_Model!$U$5:$U$884,MATCH($E587,_DATA_Assessment_Model!$A$5:$A$884,0)),"")</f>
        <v/>
      </c>
      <c r="AF587" t="inlineStr">
        <is>
          <t>How mature is the organization in managing employment compliance by country, contract type, working hours and emergency measures, including ownership, evidence, metrics, fallback procedures and crisis stress testing?</t>
        </is>
      </c>
      <c r="AO587">
        <f>IF($B587="Yes",IFERROR(INDEX(_ENGINE_Crisis!$F$501:$F$517,MATCH($C587,_ENGINE_Crisis!$A$501:$A$517,0)),1),"")</f>
        <v/>
      </c>
      <c r="AP587">
        <f>IF(AO587="","",ROUND($L587*AO587,1))</f>
        <v/>
      </c>
      <c r="AQ587">
        <f>IF(OR(AO587="",$S587=""),"",ROUND($S587*(0.7+0.3*AO587),2))</f>
        <v/>
      </c>
      <c r="AR587">
        <f>IFERROR(INDEX(_ENGINE_Crisis!$E$41:$E$700,MATCH('Resilience &amp; Risk Scenario'!$B$60&amp;"|"&amp;$C587,_ENGINE_Crisis!$I$41:$I$700,0)),"")</f>
        <v/>
      </c>
      <c r="AS587">
        <f>IFERROR(INDEX(_ENGINE_Crisis!$G$41:$G$700,MATCH('Resilience &amp; Risk Scenario'!$B$60&amp;"|"&amp;$C587,_ENGINE_Crisis!$I$41:$I$700,0)),"")</f>
        <v/>
      </c>
      <c r="AT587">
        <f>IFERROR(INDEX(_ENGINE_Initiatives!$A$5:$A$532,MATCH(1,INDEX((_ENGINE_Initiatives!$B$5:$B$532=$C587)*(_ENGINE_Initiatives!$C$5:$C$532=$D587),0),0)),"")</f>
        <v/>
      </c>
      <c r="AU587">
        <f>IFERROR(INDEX(_ENGINE_Initiatives!$F$5:$F$532,MATCH(1,INDEX((_ENGINE_Initiatives!$B$5:$B$532=$C587)*(_ENGINE_Initiatives!$C$5:$C$532=$D587),0),0)),"")</f>
        <v/>
      </c>
      <c r="AV587">
        <f>IFERROR(INDEX(_ENGINE_Initiatives!$AC$5:$AC$532,MATCH(1,INDEX((_ENGINE_Initiatives!$B$5:$B$532=$C587)*(_ENGINE_Initiatives!$C$5:$C$532=$D587),0),0)),"")</f>
        <v/>
      </c>
      <c r="AW587">
        <f>IFERROR(INDEX(_ENGINE_Initiatives!$AE$5:$AE$532,MATCH(1,INDEX((_ENGINE_Initiatives!$B$5:$B$532=$C587)*(_ENGINE_Initiatives!$C$5:$C$532=$D587),0),0)),"")</f>
        <v/>
      </c>
      <c r="AX587">
        <f>IF($B587="Yes",IFERROR(IF(SUMIFS(_REF_Model_Content!$E$1:$E$613,_REF_Model_Content!$A$1:$A$613,'Company Profile'!$B$9,_REF_Model_Content!$B$1:$B$613,$C587)=0,1,SUMIFS(_REF_Model_Content!$E$1:$E$613,_REF_Model_Content!$A$1:$A$613,'Company Profile'!$B$9,_REF_Model_Content!$B$1:$B$613,$C587)),1),"")</f>
        <v/>
      </c>
      <c r="AY587">
        <f>IF($L587="","",ROUND(IF($AP587="",$L587,$AP587)*IF($AX587="",1,$AX587),2))</f>
        <v/>
      </c>
      <c r="AZ587">
        <f>IF($S587="","",ROUND(IF($AQ587="",$S587,$AQ587)*IF($AX587="",1,$AX587),2))</f>
        <v/>
      </c>
      <c r="BB587">
        <f>IF($H587="","",IFERROR(INDEX('_ENGINE_Risk'!$AE$41:$AE$920,MATCH($E587,'_ENGINE_Risk'!$A$41:$A$920,0)),"Medium"))</f>
        <v/>
      </c>
      <c r="BC587">
        <f>IF($BB587="","",IF($BB587="Fast",1.25,IF($BB587="Slow",0.85,1)))</f>
        <v/>
      </c>
      <c r="BD587">
        <f>IF(OR($AZ587="",$BC587=""),"",ROUND($AZ587*$BC587,2))</f>
        <v/>
      </c>
      <c r="BF587">
        <f>IF(OR($H587="",$J587=""),"",_xlfn.IFNA(VLOOKUP($J587,_CONFIG_Model_Settings!$D$610:$E$614,2,0),""))</f>
        <v/>
      </c>
      <c r="BG587">
        <f>IF(OR($H587="",$K587=""),"",ROUND('Company Profile'!$B$569*INDEX(_CONFIG_Model_Settings!$H$610:$H$614,MATCH($K587,_CONFIG_Model_Settings!$G$610:$G$614,0)),0))</f>
        <v/>
      </c>
      <c r="BH587">
        <f>IF(OR($BF587="",$BG587=""),"",ROUND($BF587*$BG587,1))</f>
        <v/>
      </c>
      <c r="BI587">
        <f>IF($BH587="","",IF($AO587="",$BH587,ROUND($BH587*$AO587,1)))</f>
        <v/>
      </c>
      <c r="BJ587">
        <f>IF($E587="","",IFERROR(VLOOKUP($C587,'_CONFIG_Risk_Calibration'!$A$5:$H$21,2,FALSE),3))</f>
        <v/>
      </c>
      <c r="BK587">
        <f>IF($E587="","",IFERROR(VLOOKUP($C587,'_CONFIG_Risk_Calibration'!$A$5:$H$21,3,FALSE),0))</f>
        <v/>
      </c>
      <c r="BL587">
        <f>IF($E587="","",IFERROR(VLOOKUP($C587,'_CONFIG_Risk_Calibration'!$A$5:$H$21,4,FALSE),3))</f>
        <v/>
      </c>
      <c r="BM587">
        <f>IF($E587="","",IFERROR(VLOOKUP($C587,'_CONFIG_Risk_Calibration'!$A$5:$H$21,5,FALSE),3))</f>
        <v/>
      </c>
      <c r="BN587">
        <f>IF($E587="","",IFERROR(VLOOKUP($C587,'_CONFIG_Risk_Calibration'!$A$5:$H$21,6,FALSE),"No"))</f>
        <v/>
      </c>
      <c r="BO587">
        <f>IF($E587="","",IFERROR(VLOOKUP($C587,'_CONFIG_Risk_Calibration'!$A$5:$H$21,7,FALSE),1))</f>
        <v/>
      </c>
      <c r="BP587">
        <f>IF($H587="","",MAX(1,MIN(5,((6-$H587)*0.45)+($BJ587*0.20)+('Resilience &amp; Risk Scenario'!$B$7*0.15)+($BK587*0.10)+($BL587*0.05)+(IF($BB587="Fast",5,IF($BB587="Slow",1,3))*0.05))))</f>
        <v/>
      </c>
      <c r="BQ587">
        <f>IF($H587="","",MAX(IF($BN587="Yes",$BO587,1),MIN(5,($U587*0.20)+($V587*0.15)+($W587*0.25)+($X587*0.15)+($BJ587*0.10)+($BM587*0.15))))</f>
        <v/>
      </c>
      <c r="BR587">
        <f>IF(OR($BP587="",$BQ587=""),"",ROUND($BP587*$BQ587,2))</f>
        <v/>
      </c>
      <c r="BS587">
        <f>IF($BR587="","",ROUND($BR587*IF($AO587="",1,$AO587)*IF($AX587="",1,$AX587)*(1+(($BM587-3)*0.10))*IF($BC587="",1,$BC587),2))</f>
        <v/>
      </c>
    </row>
    <row r="588" ht="69.90000000000001" customHeight="1" s="209">
      <c r="A588">
        <f>IF($BD588="","",SUMPRODUCT(ISNUMBER($BD$500:$BD$923)*($BD$500:$BD$923&gt;$BD588))+COUNTIF($BD$500:$BD588,$BD588))</f>
        <v/>
      </c>
      <c r="B588">
        <f>IF($H588="","",IF($H588&lt;5,"Yes","Maintain"))</f>
        <v/>
      </c>
      <c r="C588" t="inlineStr">
        <is>
          <t>HR Workforce</t>
        </is>
      </c>
      <c r="D588" t="inlineStr">
        <is>
          <t>HR systems and compliance</t>
        </is>
      </c>
      <c r="E588" t="inlineStr">
        <is>
          <t>HRWO-024</t>
        </is>
      </c>
      <c r="F588" t="inlineStr">
        <is>
          <t>People, critical roles and knowledge continuity</t>
        </is>
      </c>
      <c r="G588">
        <f>IF($H588="","",IFERROR(INDEX('_ENGINE_Risk'!$H$41:$M$920,MATCH($E588,'_ENGINE_Risk'!$A$41:$A$920,0),$H588+1),""))</f>
        <v/>
      </c>
      <c r="H588">
        <f>IFERROR(VALUE(INDEX(_DATA_Assessment_Model!$H$5:$H$884,MATCH($E588,_DATA_Assessment_Model!$A$5:$A$884,0))),"")</f>
        <v/>
      </c>
      <c r="I588">
        <f>IF($H588="","",IFERROR(INDEX(_DATA_Assessment_Model!$L$5:$L$884,MATCH($E588,_DATA_Assessment_Model!$A$5:$A$884,0)),IF($H588&lt;=1,"Critical",IF($H588=2,"High",IF($H588=3,"Medium",IF($H588=4,"Low","Resilient"))))))</f>
        <v/>
      </c>
      <c r="J588">
        <f>IF($H588="","",MIN(5,MAX(1,6-$H588)))</f>
        <v/>
      </c>
      <c r="K588">
        <f>IF($H588="","",MAX(1,MIN(5,ROUNDUP(($U588*0.45)+($W588*0.35)+($X588*0.2),0))))</f>
        <v/>
      </c>
      <c r="L588">
        <f>IF($H588="","",$J588*$K588)</f>
        <v/>
      </c>
      <c r="M588">
        <f>IF($H588="","",MAX(1,MIN(5,ROUNDUP($L588/5,0))))</f>
        <v/>
      </c>
      <c r="N588">
        <f>IF($H588="","",IFERROR(INDEX('_ENGINE_Risk'!$T$41:$Y$920,MATCH($E588,'_ENGINE_Risk'!$A$41:$A$920,0),$H588+1),""))</f>
        <v/>
      </c>
      <c r="O588">
        <f>IF($H588="","",MAX(1,MIN(5,($U588+$V588+$X588)/3)))</f>
        <v/>
      </c>
      <c r="P588">
        <f>IF($H588="","",IF($I588="Critical",5,IF($I588="High",4,IF($I588="Medium",3,IF($I588="Low",2,1)))))</f>
        <v/>
      </c>
      <c r="Q588">
        <f>IF($H588="","",MAX(1,MIN(5,((5-$H588)*0.65)+($W588*0.35))))</f>
        <v/>
      </c>
      <c r="R588">
        <f>IF($H588="","",MAX(1,MIN(5,($V588+$X588)/2)))</f>
        <v/>
      </c>
      <c r="S588">
        <f>IF(OR($H588="",$N588=""),"",ROUND(($O588+$P588+$Q588+$R588)/$N588,2))</f>
        <v/>
      </c>
      <c r="T588">
        <f>IF($H588="","",IFERROR(INDEX('_ENGINE_Risk'!$N$41:$S$920,MATCH($E588,'_ENGINE_Risk'!$A$41:$A$920,0),$H588+1),""))</f>
        <v/>
      </c>
      <c r="U588">
        <f>IFERROR(INDEX(_DATA_Assessment_Model!$G$5:$G$884,MATCH($E588,_DATA_Assessment_Model!$A$5:$A$884,0)),"")</f>
        <v/>
      </c>
      <c r="V588">
        <f>IFERROR(INDEX(_DATA_Assessment_Model!$W$5:$W$884,MATCH($E588,_DATA_Assessment_Model!$A$5:$A$884,0)),"")</f>
        <v/>
      </c>
      <c r="W588">
        <f>IFERROR(INDEX(_DATA_Assessment_Model!$X$5:$X$884,MATCH($E588,_DATA_Assessment_Model!$A$5:$A$884,0)),"")</f>
        <v/>
      </c>
      <c r="X588">
        <f>IFERROR(INDEX(_DATA_Assessment_Model!$Y$5:$Y$884,MATCH($E588,_DATA_Assessment_Model!$A$5:$A$884,0)),"")</f>
        <v/>
      </c>
      <c r="Y588" t="inlineStr">
        <is>
          <t>Workforce disruption; Pandemic/health crisis; War/security crisis</t>
        </is>
      </c>
      <c r="Z588" t="inlineStr">
        <is>
          <t>CHRO / HR</t>
        </is>
      </c>
      <c r="AA588" t="inlineStr">
        <is>
          <t>Policy/SOP; owner/RACI; system report; dashboard; contracts; test records; incident history; interview evidence related to health emergency protocols for infectious disease, injury, evacuation and return-to-work.</t>
        </is>
      </c>
      <c r="AB588">
        <f>IFERROR(INDEX(_DATA_Assessment_Model!$U$5:$U$884,MATCH($E588,_DATA_Assessment_Model!$A$5:$A$884,0)),"")</f>
        <v/>
      </c>
      <c r="AF588" t="inlineStr">
        <is>
          <t>How mature is the organization in managing health emergency protocols for infectious disease, injury, evacuation and return-to-work, including ownership, evidence, metrics, fallback procedures and crisis stress testing?</t>
        </is>
      </c>
      <c r="AO588">
        <f>IF($B588="Yes",IFERROR(INDEX(_ENGINE_Crisis!$F$501:$F$517,MATCH($C588,_ENGINE_Crisis!$A$501:$A$517,0)),1),"")</f>
        <v/>
      </c>
      <c r="AP588">
        <f>IF(AO588="","",ROUND($L588*AO588,1))</f>
        <v/>
      </c>
      <c r="AQ588">
        <f>IF(OR(AO588="",$S588=""),"",ROUND($S588*(0.7+0.3*AO588),2))</f>
        <v/>
      </c>
      <c r="AR588">
        <f>IFERROR(INDEX(_ENGINE_Crisis!$E$41:$E$700,MATCH('Resilience &amp; Risk Scenario'!$B$60&amp;"|"&amp;$C588,_ENGINE_Crisis!$I$41:$I$700,0)),"")</f>
        <v/>
      </c>
      <c r="AS588">
        <f>IFERROR(INDEX(_ENGINE_Crisis!$G$41:$G$700,MATCH('Resilience &amp; Risk Scenario'!$B$60&amp;"|"&amp;$C588,_ENGINE_Crisis!$I$41:$I$700,0)),"")</f>
        <v/>
      </c>
      <c r="AT588">
        <f>IFERROR(INDEX(_ENGINE_Initiatives!$A$5:$A$532,MATCH(1,INDEX((_ENGINE_Initiatives!$B$5:$B$532=$C588)*(_ENGINE_Initiatives!$C$5:$C$532=$D588),0),0)),"")</f>
        <v/>
      </c>
      <c r="AU588">
        <f>IFERROR(INDEX(_ENGINE_Initiatives!$F$5:$F$532,MATCH(1,INDEX((_ENGINE_Initiatives!$B$5:$B$532=$C588)*(_ENGINE_Initiatives!$C$5:$C$532=$D588),0),0)),"")</f>
        <v/>
      </c>
      <c r="AV588">
        <f>IFERROR(INDEX(_ENGINE_Initiatives!$AC$5:$AC$532,MATCH(1,INDEX((_ENGINE_Initiatives!$B$5:$B$532=$C588)*(_ENGINE_Initiatives!$C$5:$C$532=$D588),0),0)),"")</f>
        <v/>
      </c>
      <c r="AW588">
        <f>IFERROR(INDEX(_ENGINE_Initiatives!$AE$5:$AE$532,MATCH(1,INDEX((_ENGINE_Initiatives!$B$5:$B$532=$C588)*(_ENGINE_Initiatives!$C$5:$C$532=$D588),0),0)),"")</f>
        <v/>
      </c>
      <c r="AX588">
        <f>IF($B588="Yes",IFERROR(IF(SUMIFS(_REF_Model_Content!$E$1:$E$613,_REF_Model_Content!$A$1:$A$613,'Company Profile'!$B$9,_REF_Model_Content!$B$1:$B$613,$C588)=0,1,SUMIFS(_REF_Model_Content!$E$1:$E$613,_REF_Model_Content!$A$1:$A$613,'Company Profile'!$B$9,_REF_Model_Content!$B$1:$B$613,$C588)),1),"")</f>
        <v/>
      </c>
      <c r="AY588">
        <f>IF($L588="","",ROUND(IF($AP588="",$L588,$AP588)*IF($AX588="",1,$AX588),2))</f>
        <v/>
      </c>
      <c r="AZ588">
        <f>IF($S588="","",ROUND(IF($AQ588="",$S588,$AQ588)*IF($AX588="",1,$AX588),2))</f>
        <v/>
      </c>
      <c r="BB588">
        <f>IF($H588="","",IFERROR(INDEX('_ENGINE_Risk'!$AE$41:$AE$920,MATCH($E588,'_ENGINE_Risk'!$A$41:$A$920,0)),"Medium"))</f>
        <v/>
      </c>
      <c r="BC588">
        <f>IF($BB588="","",IF($BB588="Fast",1.25,IF($BB588="Slow",0.85,1)))</f>
        <v/>
      </c>
      <c r="BD588">
        <f>IF(OR($AZ588="",$BC588=""),"",ROUND($AZ588*$BC588,2))</f>
        <v/>
      </c>
      <c r="BF588">
        <f>IF(OR($H588="",$J588=""),"",_xlfn.IFNA(VLOOKUP($J588,_CONFIG_Model_Settings!$D$610:$E$614,2,0),""))</f>
        <v/>
      </c>
      <c r="BG588">
        <f>IF(OR($H588="",$K588=""),"",ROUND('Company Profile'!$B$569*INDEX(_CONFIG_Model_Settings!$H$610:$H$614,MATCH($K588,_CONFIG_Model_Settings!$G$610:$G$614,0)),0))</f>
        <v/>
      </c>
      <c r="BH588">
        <f>IF(OR($BF588="",$BG588=""),"",ROUND($BF588*$BG588,1))</f>
        <v/>
      </c>
      <c r="BI588">
        <f>IF($BH588="","",IF($AO588="",$BH588,ROUND($BH588*$AO588,1)))</f>
        <v/>
      </c>
      <c r="BJ588">
        <f>IF($E588="","",IFERROR(VLOOKUP($C588,'_CONFIG_Risk_Calibration'!$A$5:$H$21,2,FALSE),3))</f>
        <v/>
      </c>
      <c r="BK588">
        <f>IF($E588="","",IFERROR(VLOOKUP($C588,'_CONFIG_Risk_Calibration'!$A$5:$H$21,3,FALSE),0))</f>
        <v/>
      </c>
      <c r="BL588">
        <f>IF($E588="","",IFERROR(VLOOKUP($C588,'_CONFIG_Risk_Calibration'!$A$5:$H$21,4,FALSE),3))</f>
        <v/>
      </c>
      <c r="BM588">
        <f>IF($E588="","",IFERROR(VLOOKUP($C588,'_CONFIG_Risk_Calibration'!$A$5:$H$21,5,FALSE),3))</f>
        <v/>
      </c>
      <c r="BN588">
        <f>IF($E588="","",IFERROR(VLOOKUP($C588,'_CONFIG_Risk_Calibration'!$A$5:$H$21,6,FALSE),"No"))</f>
        <v/>
      </c>
      <c r="BO588">
        <f>IF($E588="","",IFERROR(VLOOKUP($C588,'_CONFIG_Risk_Calibration'!$A$5:$H$21,7,FALSE),1))</f>
        <v/>
      </c>
      <c r="BP588">
        <f>IF($H588="","",MAX(1,MIN(5,((6-$H588)*0.45)+($BJ588*0.20)+('Resilience &amp; Risk Scenario'!$B$7*0.15)+($BK588*0.10)+($BL588*0.05)+(IF($BB588="Fast",5,IF($BB588="Slow",1,3))*0.05))))</f>
        <v/>
      </c>
      <c r="BQ588">
        <f>IF($H588="","",MAX(IF($BN588="Yes",$BO588,1),MIN(5,($U588*0.20)+($V588*0.15)+($W588*0.25)+($X588*0.15)+($BJ588*0.10)+($BM588*0.15))))</f>
        <v/>
      </c>
      <c r="BR588">
        <f>IF(OR($BP588="",$BQ588=""),"",ROUND($BP588*$BQ588,2))</f>
        <v/>
      </c>
      <c r="BS588">
        <f>IF($BR588="","",ROUND($BR588*IF($AO588="",1,$AO588)*IF($AX588="",1,$AX588)*(1+(($BM588-3)*0.10))*IF($BC588="",1,$BC588),2))</f>
        <v/>
      </c>
    </row>
    <row r="589" ht="69.90000000000001" customHeight="1" s="209">
      <c r="A589">
        <f>IF($BD589="","",SUMPRODUCT(ISNUMBER($BD$500:$BD$923)*($BD$500:$BD$923&gt;$BD589))+COUNTIF($BD$500:$BD589,$BD589))</f>
        <v/>
      </c>
      <c r="B589">
        <f>IF($H589="","",IF($H589&lt;5,"Yes","Maintain"))</f>
        <v/>
      </c>
      <c r="C589" t="inlineStr">
        <is>
          <t>HR Workforce</t>
        </is>
      </c>
      <c r="D589" t="inlineStr">
        <is>
          <t>HR systems and compliance</t>
        </is>
      </c>
      <c r="E589" t="inlineStr">
        <is>
          <t>HRWO-025</t>
        </is>
      </c>
      <c r="F589" t="inlineStr">
        <is>
          <t>Workforce trust and security</t>
        </is>
      </c>
      <c r="G589">
        <f>IF($H589="","",IFERROR(INDEX('_ENGINE_Risk'!$H$41:$M$920,MATCH($E589,'_ENGINE_Risk'!$A$41:$A$920,0),$H589+1),""))</f>
        <v/>
      </c>
      <c r="H589">
        <f>IFERROR(VALUE(INDEX(_DATA_Assessment_Model!$H$5:$H$884,MATCH($E589,_DATA_Assessment_Model!$A$5:$A$884,0))),"")</f>
        <v/>
      </c>
      <c r="I589">
        <f>IF($H589="","",IFERROR(INDEX(_DATA_Assessment_Model!$L$5:$L$884,MATCH($E589,_DATA_Assessment_Model!$A$5:$A$884,0)),IF($H589&lt;=1,"Critical",IF($H589=2,"High",IF($H589=3,"Medium",IF($H589=4,"Low","Resilient"))))))</f>
        <v/>
      </c>
      <c r="J589">
        <f>IF($H589="","",MIN(5,MAX(1,6-$H589)))</f>
        <v/>
      </c>
      <c r="K589">
        <f>IF($H589="","",MAX(1,MIN(5,ROUNDUP(($U589*0.45)+($W589*0.35)+($X589*0.2),0))))</f>
        <v/>
      </c>
      <c r="L589">
        <f>IF($H589="","",$J589*$K589)</f>
        <v/>
      </c>
      <c r="M589">
        <f>IF($H589="","",MAX(1,MIN(5,ROUNDUP($L589/5,0))))</f>
        <v/>
      </c>
      <c r="N589">
        <f>IF($H589="","",IFERROR(INDEX('_ENGINE_Risk'!$T$41:$Y$920,MATCH($E589,'_ENGINE_Risk'!$A$41:$A$920,0),$H589+1),""))</f>
        <v/>
      </c>
      <c r="O589">
        <f>IF($H589="","",MAX(1,MIN(5,($U589+$V589+$X589)/3)))</f>
        <v/>
      </c>
      <c r="P589">
        <f>IF($H589="","",IF($I589="Critical",5,IF($I589="High",4,IF($I589="Medium",3,IF($I589="Low",2,1)))))</f>
        <v/>
      </c>
      <c r="Q589">
        <f>IF($H589="","",MAX(1,MIN(5,((5-$H589)*0.65)+($W589*0.35))))</f>
        <v/>
      </c>
      <c r="R589">
        <f>IF($H589="","",MAX(1,MIN(5,($V589+$X589)/2)))</f>
        <v/>
      </c>
      <c r="S589">
        <f>IF(OR($H589="",$N589=""),"",ROUND(($O589+$P589+$Q589+$R589)/$N589,2))</f>
        <v/>
      </c>
      <c r="T589">
        <f>IF($H589="","",IFERROR(INDEX('_ENGINE_Risk'!$N$41:$S$920,MATCH($E589,'_ENGINE_Risk'!$A$41:$A$920,0),$H589+1),""))</f>
        <v/>
      </c>
      <c r="U589">
        <f>IFERROR(INDEX(_DATA_Assessment_Model!$G$5:$G$884,MATCH($E589,_DATA_Assessment_Model!$A$5:$A$884,0)),"")</f>
        <v/>
      </c>
      <c r="V589">
        <f>IFERROR(INDEX(_DATA_Assessment_Model!$W$5:$W$884,MATCH($E589,_DATA_Assessment_Model!$A$5:$A$884,0)),"")</f>
        <v/>
      </c>
      <c r="W589">
        <f>IFERROR(INDEX(_DATA_Assessment_Model!$X$5:$X$884,MATCH($E589,_DATA_Assessment_Model!$A$5:$A$884,0)),"")</f>
        <v/>
      </c>
      <c r="X589">
        <f>IFERROR(INDEX(_DATA_Assessment_Model!$Y$5:$Y$884,MATCH($E589,_DATA_Assessment_Model!$A$5:$A$884,0)),"")</f>
        <v/>
      </c>
      <c r="Y589" t="inlineStr">
        <is>
          <t>Cyberattack/ransomware; Regulatory/legal shock</t>
        </is>
      </c>
      <c r="Z589" t="inlineStr">
        <is>
          <t>CHRO / CISO</t>
        </is>
      </c>
      <c r="AA589" t="inlineStr">
        <is>
          <t>Policy/SOP; owner/RACI; system report; dashboard; contracts; test records; incident history; interview evidence related to background verification and vetting for roles with access to funds, sensitive data or critical systems</t>
        </is>
      </c>
      <c r="AB589">
        <f>IFERROR(INDEX(_DATA_Assessment_Model!$U$5:$U$884,MATCH($E589,_DATA_Assessment_Model!$A$5:$A$884,0)),"")</f>
        <v/>
      </c>
      <c r="AF589" t="inlineStr">
        <is>
          <t>How mature is the organization in managing background verification and vetting for roles with access to funds, sensitive data or critical systems, including ownership, evidence, metrics, fallback procedures and crisis stress testing?</t>
        </is>
      </c>
      <c r="AO589">
        <f>IF($B589="Yes",IFERROR(INDEX(_ENGINE_Crisis!$F$501:$F$517,MATCH($C589,_ENGINE_Crisis!$A$501:$A$517,0)),1),"")</f>
        <v/>
      </c>
      <c r="AP589">
        <f>IF(AO589="","",ROUND($L589*AO589,1))</f>
        <v/>
      </c>
      <c r="AQ589">
        <f>IF(OR(AO589="",$S589=""),"",ROUND($S589*(0.7+0.3*AO589),2))</f>
        <v/>
      </c>
      <c r="AR589">
        <f>IFERROR(INDEX(_ENGINE_Crisis!$E$41:$E$700,MATCH('Resilience &amp; Risk Scenario'!$B$60&amp;"|"&amp;$C589,_ENGINE_Crisis!$I$41:$I$700,0)),"")</f>
        <v/>
      </c>
      <c r="AS589">
        <f>IFERROR(INDEX(_ENGINE_Crisis!$G$41:$G$700,MATCH('Resilience &amp; Risk Scenario'!$B$60&amp;"|"&amp;$C589,_ENGINE_Crisis!$I$41:$I$700,0)),"")</f>
        <v/>
      </c>
      <c r="AT589">
        <f>IFERROR(INDEX(_ENGINE_Initiatives!$A$5:$A$532,MATCH(1,INDEX((_ENGINE_Initiatives!$B$5:$B$532=$C589)*(_ENGINE_Initiatives!$C$5:$C$532=$D589),0),0)),"")</f>
        <v/>
      </c>
      <c r="AU589">
        <f>IFERROR(INDEX(_ENGINE_Initiatives!$F$5:$F$532,MATCH(1,INDEX((_ENGINE_Initiatives!$B$5:$B$532=$C589)*(_ENGINE_Initiatives!$C$5:$C$532=$D589),0),0)),"")</f>
        <v/>
      </c>
      <c r="AV589">
        <f>IFERROR(INDEX(_ENGINE_Initiatives!$AC$5:$AC$532,MATCH(1,INDEX((_ENGINE_Initiatives!$B$5:$B$532=$C589)*(_ENGINE_Initiatives!$C$5:$C$532=$D589),0),0)),"")</f>
        <v/>
      </c>
      <c r="AW589">
        <f>IFERROR(INDEX(_ENGINE_Initiatives!$AE$5:$AE$532,MATCH(1,INDEX((_ENGINE_Initiatives!$B$5:$B$532=$C589)*(_ENGINE_Initiatives!$C$5:$C$532=$D589),0),0)),"")</f>
        <v/>
      </c>
      <c r="AX589">
        <f>IF($B589="Yes",IFERROR(IF(SUMIFS(_REF_Model_Content!$E$1:$E$613,_REF_Model_Content!$A$1:$A$613,'Company Profile'!$B$9,_REF_Model_Content!$B$1:$B$613,$C589)=0,1,SUMIFS(_REF_Model_Content!$E$1:$E$613,_REF_Model_Content!$A$1:$A$613,'Company Profile'!$B$9,_REF_Model_Content!$B$1:$B$613,$C589)),1),"")</f>
        <v/>
      </c>
      <c r="AY589">
        <f>IF($L589="","",ROUND(IF($AP589="",$L589,$AP589)*IF($AX589="",1,$AX589),2))</f>
        <v/>
      </c>
      <c r="AZ589">
        <f>IF($S589="","",ROUND(IF($AQ589="",$S589,$AQ589)*IF($AX589="",1,$AX589),2))</f>
        <v/>
      </c>
      <c r="BB589">
        <f>IF($H589="","",IFERROR(INDEX('_ENGINE_Risk'!$AE$41:$AE$920,MATCH($E589,'_ENGINE_Risk'!$A$41:$A$920,0)),"Medium"))</f>
        <v/>
      </c>
      <c r="BC589">
        <f>IF($BB589="","",IF($BB589="Fast",1.25,IF($BB589="Slow",0.85,1)))</f>
        <v/>
      </c>
      <c r="BD589">
        <f>IF(OR($AZ589="",$BC589=""),"",ROUND($AZ589*$BC589,2))</f>
        <v/>
      </c>
      <c r="BF589">
        <f>IF(OR($H589="",$J589=""),"",_xlfn.IFNA(VLOOKUP($J589,_CONFIG_Model_Settings!$D$610:$E$614,2,0),""))</f>
        <v/>
      </c>
      <c r="BG589">
        <f>IF(OR($H589="",$K589=""),"",ROUND('Company Profile'!$B$569*INDEX(_CONFIG_Model_Settings!$H$610:$H$614,MATCH($K589,_CONFIG_Model_Settings!$G$610:$G$614,0)),0))</f>
        <v/>
      </c>
      <c r="BH589">
        <f>IF(OR($BF589="",$BG589=""),"",ROUND($BF589*$BG589,1))</f>
        <v/>
      </c>
      <c r="BI589">
        <f>IF($BH589="","",IF($AO589="",$BH589,ROUND($BH589*$AO589,1)))</f>
        <v/>
      </c>
      <c r="BJ589">
        <f>IF($E589="","",IFERROR(VLOOKUP($C589,'_CONFIG_Risk_Calibration'!$A$5:$H$21,2,FALSE),3))</f>
        <v/>
      </c>
      <c r="BK589">
        <f>IF($E589="","",IFERROR(VLOOKUP($C589,'_CONFIG_Risk_Calibration'!$A$5:$H$21,3,FALSE),0))</f>
        <v/>
      </c>
      <c r="BL589">
        <f>IF($E589="","",IFERROR(VLOOKUP($C589,'_CONFIG_Risk_Calibration'!$A$5:$H$21,4,FALSE),3))</f>
        <v/>
      </c>
      <c r="BM589">
        <f>IF($E589="","",IFERROR(VLOOKUP($C589,'_CONFIG_Risk_Calibration'!$A$5:$H$21,5,FALSE),3))</f>
        <v/>
      </c>
      <c r="BN589">
        <f>IF($E589="","",IFERROR(VLOOKUP($C589,'_CONFIG_Risk_Calibration'!$A$5:$H$21,6,FALSE),"No"))</f>
        <v/>
      </c>
      <c r="BO589">
        <f>IF($E589="","",IFERROR(VLOOKUP($C589,'_CONFIG_Risk_Calibration'!$A$5:$H$21,7,FALSE),1))</f>
        <v/>
      </c>
      <c r="BP589">
        <f>IF($H589="","",MAX(1,MIN(5,((6-$H589)*0.45)+($BJ589*0.20)+('Resilience &amp; Risk Scenario'!$B$7*0.15)+($BK589*0.10)+($BL589*0.05)+(IF($BB589="Fast",5,IF($BB589="Slow",1,3))*0.05))))</f>
        <v/>
      </c>
      <c r="BQ589">
        <f>IF($H589="","",MAX(IF($BN589="Yes",$BO589,1),MIN(5,($U589*0.20)+($V589*0.15)+($W589*0.25)+($X589*0.15)+($BJ589*0.10)+($BM589*0.15))))</f>
        <v/>
      </c>
      <c r="BR589">
        <f>IF(OR($BP589="",$BQ589=""),"",ROUND($BP589*$BQ589,2))</f>
        <v/>
      </c>
      <c r="BS589">
        <f>IF($BR589="","",ROUND($BR589*IF($AO589="",1,$AO589)*IF($AX589="",1,$AX589)*(1+(($BM589-3)*0.10))*IF($BC589="",1,$BC589),2))</f>
        <v/>
      </c>
    </row>
    <row r="590" ht="69.90000000000001" customHeight="1" s="209">
      <c r="A590">
        <f>IF($BD590="","",SUMPRODUCT(ISNUMBER($BD$500:$BD$923)*($BD$500:$BD$923&gt;$BD590))+COUNTIF($BD$500:$BD590,$BD590))</f>
        <v/>
      </c>
      <c r="B590">
        <f>IF($H590="","",IF($H590&lt;5,"Yes","Maintain"))</f>
        <v/>
      </c>
      <c r="C590" t="inlineStr">
        <is>
          <t>HR Workforce</t>
        </is>
      </c>
      <c r="D590" t="inlineStr">
        <is>
          <t>HR systems and compliance</t>
        </is>
      </c>
      <c r="E590" t="inlineStr">
        <is>
          <t>HRWO-026</t>
        </is>
      </c>
      <c r="F590" t="inlineStr">
        <is>
          <t>Workforce trust and security</t>
        </is>
      </c>
      <c r="G590">
        <f>IF($H590="","",IFERROR(INDEX('_ENGINE_Risk'!$H$41:$M$920,MATCH($E590,'_ENGINE_Risk'!$A$41:$A$920,0),$H590+1),""))</f>
        <v/>
      </c>
      <c r="H590">
        <f>IFERROR(VALUE(INDEX(_DATA_Assessment_Model!$H$5:$H$884,MATCH($E590,_DATA_Assessment_Model!$A$5:$A$884,0))),"")</f>
        <v/>
      </c>
      <c r="I590">
        <f>IF($H590="","",IFERROR(INDEX(_DATA_Assessment_Model!$L$5:$L$884,MATCH($E590,_DATA_Assessment_Model!$A$5:$A$884,0)),IF($H590&lt;=1,"Critical",IF($H590=2,"High",IF($H590=3,"Medium",IF($H590=4,"Low","Resilient"))))))</f>
        <v/>
      </c>
      <c r="J590">
        <f>IF($H590="","",MIN(5,MAX(1,6-$H590)))</f>
        <v/>
      </c>
      <c r="K590">
        <f>IF($H590="","",MAX(1,MIN(5,ROUNDUP(($U590*0.45)+($W590*0.35)+($X590*0.2),0))))</f>
        <v/>
      </c>
      <c r="L590">
        <f>IF($H590="","",$J590*$K590)</f>
        <v/>
      </c>
      <c r="M590">
        <f>IF($H590="","",MAX(1,MIN(5,ROUNDUP($L590/5,0))))</f>
        <v/>
      </c>
      <c r="N590">
        <f>IF($H590="","",IFERROR(INDEX('_ENGINE_Risk'!$T$41:$Y$920,MATCH($E590,'_ENGINE_Risk'!$A$41:$A$920,0),$H590+1),""))</f>
        <v/>
      </c>
      <c r="O590">
        <f>IF($H590="","",MAX(1,MIN(5,($U590+$V590+$X590)/3)))</f>
        <v/>
      </c>
      <c r="P590">
        <f>IF($H590="","",IF($I590="Critical",5,IF($I590="High",4,IF($I590="Medium",3,IF($I590="Low",2,1)))))</f>
        <v/>
      </c>
      <c r="Q590">
        <f>IF($H590="","",MAX(1,MIN(5,((5-$H590)*0.65)+($W590*0.35))))</f>
        <v/>
      </c>
      <c r="R590">
        <f>IF($H590="","",MAX(1,MIN(5,($V590+$X590)/2)))</f>
        <v/>
      </c>
      <c r="S590">
        <f>IF(OR($H590="",$N590=""),"",ROUND(($O590+$P590+$Q590+$R590)/$N590,2))</f>
        <v/>
      </c>
      <c r="T590">
        <f>IF($H590="","",IFERROR(INDEX('_ENGINE_Risk'!$N$41:$S$920,MATCH($E590,'_ENGINE_Risk'!$A$41:$A$920,0),$H590+1),""))</f>
        <v/>
      </c>
      <c r="U590">
        <f>IFERROR(INDEX(_DATA_Assessment_Model!$G$5:$G$884,MATCH($E590,_DATA_Assessment_Model!$A$5:$A$884,0)),"")</f>
        <v/>
      </c>
      <c r="V590">
        <f>IFERROR(INDEX(_DATA_Assessment_Model!$W$5:$W$884,MATCH($E590,_DATA_Assessment_Model!$A$5:$A$884,0)),"")</f>
        <v/>
      </c>
      <c r="W590">
        <f>IFERROR(INDEX(_DATA_Assessment_Model!$X$5:$X$884,MATCH($E590,_DATA_Assessment_Model!$A$5:$A$884,0)),"")</f>
        <v/>
      </c>
      <c r="X590">
        <f>IFERROR(INDEX(_DATA_Assessment_Model!$Y$5:$Y$884,MATCH($E590,_DATA_Assessment_Model!$A$5:$A$884,0)),"")</f>
        <v/>
      </c>
      <c r="Y590" t="inlineStr">
        <is>
          <t>Cyberattack/ransomware; Workforce disruption</t>
        </is>
      </c>
      <c r="Z590" t="inlineStr">
        <is>
          <t>CHRO / CISO</t>
        </is>
      </c>
      <c r="AA590" t="inlineStr">
        <is>
          <t>Policy/SOP; owner/RACI; system report; dashboard; contracts; test records; incident history; interview evidence related to role-specific security responsibilities embedded in job descriptions with specialized training for high-risk roles</t>
        </is>
      </c>
      <c r="AB590">
        <f>IFERROR(INDEX(_DATA_Assessment_Model!$U$5:$U$884,MATCH($E590,_DATA_Assessment_Model!$A$5:$A$884,0)),"")</f>
        <v/>
      </c>
      <c r="AF590" t="inlineStr">
        <is>
          <t>How mature is the organization in managing role-specific security responsibilities embedded in job descriptions with specialized training for high-risk roles, including ownership, evidence, metrics, fallback procedures and crisis stress testing?</t>
        </is>
      </c>
      <c r="AO590">
        <f>IF($B590="Yes",IFERROR(INDEX(_ENGINE_Crisis!$F$501:$F$517,MATCH($C590,_ENGINE_Crisis!$A$501:$A$517,0)),1),"")</f>
        <v/>
      </c>
      <c r="AP590">
        <f>IF(AO590="","",ROUND($L590*AO590,1))</f>
        <v/>
      </c>
      <c r="AQ590">
        <f>IF(OR(AO590="",$S590=""),"",ROUND($S590*(0.7+0.3*AO590),2))</f>
        <v/>
      </c>
      <c r="AR590">
        <f>IFERROR(INDEX(_ENGINE_Crisis!$E$41:$E$700,MATCH('Resilience &amp; Risk Scenario'!$B$60&amp;"|"&amp;$C590,_ENGINE_Crisis!$I$41:$I$700,0)),"")</f>
        <v/>
      </c>
      <c r="AS590">
        <f>IFERROR(INDEX(_ENGINE_Crisis!$G$41:$G$700,MATCH('Resilience &amp; Risk Scenario'!$B$60&amp;"|"&amp;$C590,_ENGINE_Crisis!$I$41:$I$700,0)),"")</f>
        <v/>
      </c>
      <c r="AT590">
        <f>IFERROR(INDEX(_ENGINE_Initiatives!$A$5:$A$532,MATCH(1,INDEX((_ENGINE_Initiatives!$B$5:$B$532=$C590)*(_ENGINE_Initiatives!$C$5:$C$532=$D590),0),0)),"")</f>
        <v/>
      </c>
      <c r="AU590">
        <f>IFERROR(INDEX(_ENGINE_Initiatives!$F$5:$F$532,MATCH(1,INDEX((_ENGINE_Initiatives!$B$5:$B$532=$C590)*(_ENGINE_Initiatives!$C$5:$C$532=$D590),0),0)),"")</f>
        <v/>
      </c>
      <c r="AV590">
        <f>IFERROR(INDEX(_ENGINE_Initiatives!$AC$5:$AC$532,MATCH(1,INDEX((_ENGINE_Initiatives!$B$5:$B$532=$C590)*(_ENGINE_Initiatives!$C$5:$C$532=$D590),0),0)),"")</f>
        <v/>
      </c>
      <c r="AW590">
        <f>IFERROR(INDEX(_ENGINE_Initiatives!$AE$5:$AE$532,MATCH(1,INDEX((_ENGINE_Initiatives!$B$5:$B$532=$C590)*(_ENGINE_Initiatives!$C$5:$C$532=$D590),0),0)),"")</f>
        <v/>
      </c>
      <c r="AX590">
        <f>IF($B590="Yes",IFERROR(IF(SUMIFS(_REF_Model_Content!$E$1:$E$613,_REF_Model_Content!$A$1:$A$613,'Company Profile'!$B$9,_REF_Model_Content!$B$1:$B$613,$C590)=0,1,SUMIFS(_REF_Model_Content!$E$1:$E$613,_REF_Model_Content!$A$1:$A$613,'Company Profile'!$B$9,_REF_Model_Content!$B$1:$B$613,$C590)),1),"")</f>
        <v/>
      </c>
      <c r="AY590">
        <f>IF($L590="","",ROUND(IF($AP590="",$L590,$AP590)*IF($AX590="",1,$AX590),2))</f>
        <v/>
      </c>
      <c r="AZ590">
        <f>IF($S590="","",ROUND(IF($AQ590="",$S590,$AQ590)*IF($AX590="",1,$AX590),2))</f>
        <v/>
      </c>
      <c r="BB590">
        <f>IF($H590="","",IFERROR(INDEX('_ENGINE_Risk'!$AE$41:$AE$920,MATCH($E590,'_ENGINE_Risk'!$A$41:$A$920,0)),"Medium"))</f>
        <v/>
      </c>
      <c r="BC590">
        <f>IF($BB590="","",IF($BB590="Fast",1.25,IF($BB590="Slow",0.85,1)))</f>
        <v/>
      </c>
      <c r="BD590">
        <f>IF(OR($AZ590="",$BC590=""),"",ROUND($AZ590*$BC590,2))</f>
        <v/>
      </c>
      <c r="BF590">
        <f>IF(OR($H590="",$J590=""),"",_xlfn.IFNA(VLOOKUP($J590,_CONFIG_Model_Settings!$D$610:$E$614,2,0),""))</f>
        <v/>
      </c>
      <c r="BG590">
        <f>IF(OR($H590="",$K590=""),"",ROUND('Company Profile'!$B$569*INDEX(_CONFIG_Model_Settings!$H$610:$H$614,MATCH($K590,_CONFIG_Model_Settings!$G$610:$G$614,0)),0))</f>
        <v/>
      </c>
      <c r="BH590">
        <f>IF(OR($BF590="",$BG590=""),"",ROUND($BF590*$BG590,1))</f>
        <v/>
      </c>
      <c r="BI590">
        <f>IF($BH590="","",IF($AO590="",$BH590,ROUND($BH590*$AO590,1)))</f>
        <v/>
      </c>
      <c r="BJ590">
        <f>IF($E590="","",IFERROR(VLOOKUP($C590,'_CONFIG_Risk_Calibration'!$A$5:$H$21,2,FALSE),3))</f>
        <v/>
      </c>
      <c r="BK590">
        <f>IF($E590="","",IFERROR(VLOOKUP($C590,'_CONFIG_Risk_Calibration'!$A$5:$H$21,3,FALSE),0))</f>
        <v/>
      </c>
      <c r="BL590">
        <f>IF($E590="","",IFERROR(VLOOKUP($C590,'_CONFIG_Risk_Calibration'!$A$5:$H$21,4,FALSE),3))</f>
        <v/>
      </c>
      <c r="BM590">
        <f>IF($E590="","",IFERROR(VLOOKUP($C590,'_CONFIG_Risk_Calibration'!$A$5:$H$21,5,FALSE),3))</f>
        <v/>
      </c>
      <c r="BN590">
        <f>IF($E590="","",IFERROR(VLOOKUP($C590,'_CONFIG_Risk_Calibration'!$A$5:$H$21,6,FALSE),"No"))</f>
        <v/>
      </c>
      <c r="BO590">
        <f>IF($E590="","",IFERROR(VLOOKUP($C590,'_CONFIG_Risk_Calibration'!$A$5:$H$21,7,FALSE),1))</f>
        <v/>
      </c>
      <c r="BP590">
        <f>IF($H590="","",MAX(1,MIN(5,((6-$H590)*0.45)+($BJ590*0.20)+('Resilience &amp; Risk Scenario'!$B$7*0.15)+($BK590*0.10)+($BL590*0.05)+(IF($BB590="Fast",5,IF($BB590="Slow",1,3))*0.05))))</f>
        <v/>
      </c>
      <c r="BQ590">
        <f>IF($H590="","",MAX(IF($BN590="Yes",$BO590,1),MIN(5,($U590*0.20)+($V590*0.15)+($W590*0.25)+($X590*0.15)+($BJ590*0.10)+($BM590*0.15))))</f>
        <v/>
      </c>
      <c r="BR590">
        <f>IF(OR($BP590="",$BQ590=""),"",ROUND($BP590*$BQ590,2))</f>
        <v/>
      </c>
      <c r="BS590">
        <f>IF($BR590="","",ROUND($BR590*IF($AO590="",1,$AO590)*IF($AX590="",1,$AX590)*(1+(($BM590-3)*0.10))*IF($BC590="",1,$BC590),2))</f>
        <v/>
      </c>
    </row>
    <row r="591" ht="69.90000000000001" customHeight="1" s="209">
      <c r="A591">
        <f>IF($BD591="","",SUMPRODUCT(ISNUMBER($BD$500:$BD$923)*($BD$500:$BD$923&gt;$BD591))+COUNTIF($BD$500:$BD591,$BD591))</f>
        <v/>
      </c>
      <c r="B591">
        <f>IF($H591="","",IF($H591&lt;5,"Yes","Maintain"))</f>
        <v/>
      </c>
      <c r="C591" t="inlineStr">
        <is>
          <t>HR Workforce</t>
        </is>
      </c>
      <c r="D591" t="inlineStr">
        <is>
          <t>Continuity and wellbeing</t>
        </is>
      </c>
      <c r="E591" t="inlineStr">
        <is>
          <t>HRWO-027</t>
        </is>
      </c>
      <c r="F591" t="inlineStr">
        <is>
          <t>Workforce trust and security</t>
        </is>
      </c>
      <c r="G591">
        <f>IF($H591="","",IFERROR(INDEX('_ENGINE_Risk'!$H$41:$M$920,MATCH($E591,'_ENGINE_Risk'!$A$41:$A$920,0),$H591+1),""))</f>
        <v/>
      </c>
      <c r="H591">
        <f>IFERROR(VALUE(INDEX(_DATA_Assessment_Model!$H$5:$H$884,MATCH($E591,_DATA_Assessment_Model!$A$5:$A$884,0))),"")</f>
        <v/>
      </c>
      <c r="I591">
        <f>IF($H591="","",IFERROR(INDEX(_DATA_Assessment_Model!$L$5:$L$884,MATCH($E591,_DATA_Assessment_Model!$A$5:$A$884,0)),IF($H591&lt;=1,"Critical",IF($H591=2,"High",IF($H591=3,"Medium",IF($H591=4,"Low","Resilient"))))))</f>
        <v/>
      </c>
      <c r="J591">
        <f>IF($H591="","",MIN(5,MAX(1,6-$H591)))</f>
        <v/>
      </c>
      <c r="K591">
        <f>IF($H591="","",MAX(1,MIN(5,ROUNDUP(($U591*0.45)+($W591*0.35)+($X591*0.2),0))))</f>
        <v/>
      </c>
      <c r="L591">
        <f>IF($H591="","",$J591*$K591)</f>
        <v/>
      </c>
      <c r="M591">
        <f>IF($H591="","",MAX(1,MIN(5,ROUNDUP($L591/5,0))))</f>
        <v/>
      </c>
      <c r="N591">
        <f>IF($H591="","",IFERROR(INDEX('_ENGINE_Risk'!$T$41:$Y$920,MATCH($E591,'_ENGINE_Risk'!$A$41:$A$920,0),$H591+1),""))</f>
        <v/>
      </c>
      <c r="O591">
        <f>IF($H591="","",MAX(1,MIN(5,($U591+$V591+$X591)/3)))</f>
        <v/>
      </c>
      <c r="P591">
        <f>IF($H591="","",IF($I591="Critical",5,IF($I591="High",4,IF($I591="Medium",3,IF($I591="Low",2,1)))))</f>
        <v/>
      </c>
      <c r="Q591">
        <f>IF($H591="","",MAX(1,MIN(5,((5-$H591)*0.65)+($W591*0.35))))</f>
        <v/>
      </c>
      <c r="R591">
        <f>IF($H591="","",MAX(1,MIN(5,($V591+$X591)/2)))</f>
        <v/>
      </c>
      <c r="S591">
        <f>IF(OR($H591="",$N591=""),"",ROUND(($O591+$P591+$Q591+$R591)/$N591,2))</f>
        <v/>
      </c>
      <c r="T591">
        <f>IF($H591="","",IFERROR(INDEX('_ENGINE_Risk'!$N$41:$S$920,MATCH($E591,'_ENGINE_Risk'!$A$41:$A$920,0),$H591+1),""))</f>
        <v/>
      </c>
      <c r="U591">
        <f>IFERROR(INDEX(_DATA_Assessment_Model!$G$5:$G$884,MATCH($E591,_DATA_Assessment_Model!$A$5:$A$884,0)),"")</f>
        <v/>
      </c>
      <c r="V591">
        <f>IFERROR(INDEX(_DATA_Assessment_Model!$W$5:$W$884,MATCH($E591,_DATA_Assessment_Model!$A$5:$A$884,0)),"")</f>
        <v/>
      </c>
      <c r="W591">
        <f>IFERROR(INDEX(_DATA_Assessment_Model!$X$5:$X$884,MATCH($E591,_DATA_Assessment_Model!$A$5:$A$884,0)),"")</f>
        <v/>
      </c>
      <c r="X591">
        <f>IFERROR(INDEX(_DATA_Assessment_Model!$Y$5:$Y$884,MATCH($E591,_DATA_Assessment_Model!$A$5:$A$884,0)),"")</f>
        <v/>
      </c>
      <c r="Y591" t="inlineStr">
        <is>
          <t>Workforce disruption; Pandemic/health crisis</t>
        </is>
      </c>
      <c r="Z591" t="inlineStr">
        <is>
          <t>CHRO</t>
        </is>
      </c>
      <c r="AA591" t="inlineStr">
        <is>
          <t>Policy/SOP; owner/RACI; system report; dashboard; contracts; test records; incident history; interview evidence related to systematic employee engagement measurement with trends, segmentation and follow-up actions</t>
        </is>
      </c>
      <c r="AB591">
        <f>IFERROR(INDEX(_DATA_Assessment_Model!$U$5:$U$884,MATCH($E591,_DATA_Assessment_Model!$A$5:$A$884,0)),"")</f>
        <v/>
      </c>
      <c r="AF591" t="inlineStr">
        <is>
          <t>How mature is the organization in managing systematic employee engagement measurement with trends, segmentation and follow-up actions, including ownership, evidence, metrics, fallback procedures and crisis stress testing?</t>
        </is>
      </c>
      <c r="AO591">
        <f>IF($B591="Yes",IFERROR(INDEX(_ENGINE_Crisis!$F$501:$F$517,MATCH($C591,_ENGINE_Crisis!$A$501:$A$517,0)),1),"")</f>
        <v/>
      </c>
      <c r="AP591">
        <f>IF(AO591="","",ROUND($L591*AO591,1))</f>
        <v/>
      </c>
      <c r="AQ591">
        <f>IF(OR(AO591="",$S591=""),"",ROUND($S591*(0.7+0.3*AO591),2))</f>
        <v/>
      </c>
      <c r="AR591">
        <f>IFERROR(INDEX(_ENGINE_Crisis!$E$41:$E$700,MATCH('Resilience &amp; Risk Scenario'!$B$60&amp;"|"&amp;$C591,_ENGINE_Crisis!$I$41:$I$700,0)),"")</f>
        <v/>
      </c>
      <c r="AS591">
        <f>IFERROR(INDEX(_ENGINE_Crisis!$G$41:$G$700,MATCH('Resilience &amp; Risk Scenario'!$B$60&amp;"|"&amp;$C591,_ENGINE_Crisis!$I$41:$I$700,0)),"")</f>
        <v/>
      </c>
      <c r="AT591">
        <f>IFERROR(INDEX(_ENGINE_Initiatives!$A$5:$A$532,MATCH(1,INDEX((_ENGINE_Initiatives!$B$5:$B$532=$C591)*(_ENGINE_Initiatives!$C$5:$C$532=$D591),0),0)),"")</f>
        <v/>
      </c>
      <c r="AU591">
        <f>IFERROR(INDEX(_ENGINE_Initiatives!$F$5:$F$532,MATCH(1,INDEX((_ENGINE_Initiatives!$B$5:$B$532=$C591)*(_ENGINE_Initiatives!$C$5:$C$532=$D591),0),0)),"")</f>
        <v/>
      </c>
      <c r="AV591">
        <f>IFERROR(INDEX(_ENGINE_Initiatives!$AC$5:$AC$532,MATCH(1,INDEX((_ENGINE_Initiatives!$B$5:$B$532=$C591)*(_ENGINE_Initiatives!$C$5:$C$532=$D591),0),0)),"")</f>
        <v/>
      </c>
      <c r="AW591">
        <f>IFERROR(INDEX(_ENGINE_Initiatives!$AE$5:$AE$532,MATCH(1,INDEX((_ENGINE_Initiatives!$B$5:$B$532=$C591)*(_ENGINE_Initiatives!$C$5:$C$532=$D591),0),0)),"")</f>
        <v/>
      </c>
      <c r="AX591">
        <f>IF($B591="Yes",IFERROR(IF(SUMIFS(_REF_Model_Content!$E$1:$E$613,_REF_Model_Content!$A$1:$A$613,'Company Profile'!$B$9,_REF_Model_Content!$B$1:$B$613,$C591)=0,1,SUMIFS(_REF_Model_Content!$E$1:$E$613,_REF_Model_Content!$A$1:$A$613,'Company Profile'!$B$9,_REF_Model_Content!$B$1:$B$613,$C591)),1),"")</f>
        <v/>
      </c>
      <c r="AY591">
        <f>IF($L591="","",ROUND(IF($AP591="",$L591,$AP591)*IF($AX591="",1,$AX591),2))</f>
        <v/>
      </c>
      <c r="AZ591">
        <f>IF($S591="","",ROUND(IF($AQ591="",$S591,$AQ591)*IF($AX591="",1,$AX591),2))</f>
        <v/>
      </c>
      <c r="BB591">
        <f>IF($H591="","",IFERROR(INDEX('_ENGINE_Risk'!$AE$41:$AE$920,MATCH($E591,'_ENGINE_Risk'!$A$41:$A$920,0)),"Medium"))</f>
        <v/>
      </c>
      <c r="BC591">
        <f>IF($BB591="","",IF($BB591="Fast",1.25,IF($BB591="Slow",0.85,1)))</f>
        <v/>
      </c>
      <c r="BD591">
        <f>IF(OR($AZ591="",$BC591=""),"",ROUND($AZ591*$BC591,2))</f>
        <v/>
      </c>
      <c r="BF591">
        <f>IF(OR($H591="",$J591=""),"",_xlfn.IFNA(VLOOKUP($J591,_CONFIG_Model_Settings!$D$610:$E$614,2,0),""))</f>
        <v/>
      </c>
      <c r="BG591">
        <f>IF(OR($H591="",$K591=""),"",ROUND('Company Profile'!$B$569*INDEX(_CONFIG_Model_Settings!$H$610:$H$614,MATCH($K591,_CONFIG_Model_Settings!$G$610:$G$614,0)),0))</f>
        <v/>
      </c>
      <c r="BH591">
        <f>IF(OR($BF591="",$BG591=""),"",ROUND($BF591*$BG591,1))</f>
        <v/>
      </c>
      <c r="BI591">
        <f>IF($BH591="","",IF($AO591="",$BH591,ROUND($BH591*$AO591,1)))</f>
        <v/>
      </c>
      <c r="BJ591">
        <f>IF($E591="","",IFERROR(VLOOKUP($C591,'_CONFIG_Risk_Calibration'!$A$5:$H$21,2,FALSE),3))</f>
        <v/>
      </c>
      <c r="BK591">
        <f>IF($E591="","",IFERROR(VLOOKUP($C591,'_CONFIG_Risk_Calibration'!$A$5:$H$21,3,FALSE),0))</f>
        <v/>
      </c>
      <c r="BL591">
        <f>IF($E591="","",IFERROR(VLOOKUP($C591,'_CONFIG_Risk_Calibration'!$A$5:$H$21,4,FALSE),3))</f>
        <v/>
      </c>
      <c r="BM591">
        <f>IF($E591="","",IFERROR(VLOOKUP($C591,'_CONFIG_Risk_Calibration'!$A$5:$H$21,5,FALSE),3))</f>
        <v/>
      </c>
      <c r="BN591">
        <f>IF($E591="","",IFERROR(VLOOKUP($C591,'_CONFIG_Risk_Calibration'!$A$5:$H$21,6,FALSE),"No"))</f>
        <v/>
      </c>
      <c r="BO591">
        <f>IF($E591="","",IFERROR(VLOOKUP($C591,'_CONFIG_Risk_Calibration'!$A$5:$H$21,7,FALSE),1))</f>
        <v/>
      </c>
      <c r="BP591">
        <f>IF($H591="","",MAX(1,MIN(5,((6-$H591)*0.45)+($BJ591*0.20)+('Resilience &amp; Risk Scenario'!$B$7*0.15)+($BK591*0.10)+($BL591*0.05)+(IF($BB591="Fast",5,IF($BB591="Slow",1,3))*0.05))))</f>
        <v/>
      </c>
      <c r="BQ591">
        <f>IF($H591="","",MAX(IF($BN591="Yes",$BO591,1),MIN(5,($U591*0.20)+($V591*0.15)+($W591*0.25)+($X591*0.15)+($BJ591*0.10)+($BM591*0.15))))</f>
        <v/>
      </c>
      <c r="BR591">
        <f>IF(OR($BP591="",$BQ591=""),"",ROUND($BP591*$BQ591,2))</f>
        <v/>
      </c>
      <c r="BS591">
        <f>IF($BR591="","",ROUND($BR591*IF($AO591="",1,$AO591)*IF($AX591="",1,$AX591)*(1+(($BM591-3)*0.10))*IF($BC591="",1,$BC591),2))</f>
        <v/>
      </c>
    </row>
    <row r="592" ht="69.90000000000001" customHeight="1" s="209">
      <c r="A592">
        <f>IF($BD592="","",SUMPRODUCT(ISNUMBER($BD$500:$BD$923)*($BD$500:$BD$923&gt;$BD592))+COUNTIF($BD$500:$BD592,$BD592))</f>
        <v/>
      </c>
      <c r="B592">
        <f>IF($H592="","",IF($H592&lt;5,"Yes","Maintain"))</f>
        <v/>
      </c>
      <c r="C592" t="inlineStr">
        <is>
          <t>HR Workforce</t>
        </is>
      </c>
      <c r="D592" t="inlineStr">
        <is>
          <t>Workforce visibility</t>
        </is>
      </c>
      <c r="E592" t="inlineStr">
        <is>
          <t>HRWO-028</t>
        </is>
      </c>
      <c r="F592" t="inlineStr">
        <is>
          <t>Workforce availability under state obligations</t>
        </is>
      </c>
      <c r="G592">
        <f>IF($H592="","",IFERROR(INDEX('_ENGINE_Risk'!$H$41:$M$920,MATCH($E592,'_ENGINE_Risk'!$A$41:$A$920,0),$H592+1),""))</f>
        <v/>
      </c>
      <c r="H592">
        <f>IFERROR(VALUE(INDEX(_DATA_Assessment_Model!$H$5:$H$884,MATCH($E592,_DATA_Assessment_Model!$A$5:$A$884,0))),"")</f>
        <v/>
      </c>
      <c r="I592">
        <f>IF($H592="","",IFERROR(INDEX(_DATA_Assessment_Model!$L$5:$L$884,MATCH($E592,_DATA_Assessment_Model!$A$5:$A$884,0)),IF($H592&lt;=1,"Critical",IF($H592=2,"High",IF($H592=3,"Medium",IF($H592=4,"Low","Resilient"))))))</f>
        <v/>
      </c>
      <c r="J592">
        <f>IF($H592="","",MIN(5,MAX(1,6-$H592)))</f>
        <v/>
      </c>
      <c r="K592">
        <f>IF($H592="","",MAX(1,MIN(5,ROUNDUP(($U592*0.45)+($W592*0.35)+($X592*0.2),0))))</f>
        <v/>
      </c>
      <c r="L592">
        <f>IF($H592="","",$J592*$K592)</f>
        <v/>
      </c>
      <c r="M592">
        <f>IF($H592="","",MAX(1,MIN(5,ROUNDUP($L592/5,0))))</f>
        <v/>
      </c>
      <c r="N592">
        <f>IF($H592="","",IFERROR(INDEX('_ENGINE_Risk'!$T$41:$Y$920,MATCH($E592,'_ENGINE_Risk'!$A$41:$A$920,0),$H592+1),""))</f>
        <v/>
      </c>
      <c r="O592">
        <f>IF($H592="","",MAX(1,MIN(5,($U592+$V592+$X592)/3)))</f>
        <v/>
      </c>
      <c r="P592">
        <f>IF($H592="","",IF($I592="Critical",5,IF($I592="High",4,IF($I592="Medium",3,IF($I592="Low",2,1)))))</f>
        <v/>
      </c>
      <c r="Q592">
        <f>IF($H592="","",MAX(1,MIN(5,((5-$H592)*0.65)+($W592*0.35))))</f>
        <v/>
      </c>
      <c r="R592">
        <f>IF($H592="","",MAX(1,MIN(5,($V592+$X592)/2)))</f>
        <v/>
      </c>
      <c r="S592">
        <f>IF(OR($H592="",$N592=""),"",ROUND(($O592+$P592+$Q592+$R592)/$N592,2))</f>
        <v/>
      </c>
      <c r="T592">
        <f>IF($H592="","",IFERROR(INDEX('_ENGINE_Risk'!$N$41:$S$920,MATCH($E592,'_ENGINE_Risk'!$A$41:$A$920,0),$H592+1),""))</f>
        <v/>
      </c>
      <c r="U592">
        <f>IFERROR(INDEX(_DATA_Assessment_Model!$G$5:$G$884,MATCH($E592,_DATA_Assessment_Model!$A$5:$A$884,0)),"")</f>
        <v/>
      </c>
      <c r="V592">
        <f>IFERROR(INDEX(_DATA_Assessment_Model!$W$5:$W$884,MATCH($E592,_DATA_Assessment_Model!$A$5:$A$884,0)),"")</f>
        <v/>
      </c>
      <c r="W592">
        <f>IFERROR(INDEX(_DATA_Assessment_Model!$X$5:$X$884,MATCH($E592,_DATA_Assessment_Model!$A$5:$A$884,0)),"")</f>
        <v/>
      </c>
      <c r="X592">
        <f>IFERROR(INDEX(_DATA_Assessment_Model!$Y$5:$Y$884,MATCH($E592,_DATA_Assessment_Model!$A$5:$A$884,0)),"")</f>
        <v/>
      </c>
      <c r="Y592" t="inlineStr">
        <is>
          <t>War/security crisis; Workforce disruption</t>
        </is>
      </c>
      <c r="Z592" t="inlineStr">
        <is>
          <t>CHRO / Legal</t>
        </is>
      </c>
      <c r="AA592" t="inlineStr">
        <is>
          <t>Policy/SOP; owner/RACI; system report; dashboard; contracts; test records; incident history; interview evidence related to workforce exposure to national emergency duties such as conscription, reservist service or civil mobilization, including exemption processes and continuity planning</t>
        </is>
      </c>
      <c r="AB592">
        <f>IFERROR(INDEX(_DATA_Assessment_Model!$U$5:$U$884,MATCH($E592,_DATA_Assessment_Model!$A$5:$A$884,0)),"")</f>
        <v/>
      </c>
      <c r="AF592" t="inlineStr">
        <is>
          <t>How mature is the organization in managing workforce exposure to national emergency duties such as conscription, reservist service or civil mobilization, including exemption processes and continuity planning, including ownership, evidence, metrics, fallback procedures and crisis stress testing?</t>
        </is>
      </c>
      <c r="AO592">
        <f>IF($B592="Yes",IFERROR(INDEX(_ENGINE_Crisis!$F$501:$F$517,MATCH($C592,_ENGINE_Crisis!$A$501:$A$517,0)),1),"")</f>
        <v/>
      </c>
      <c r="AP592">
        <f>IF(AO592="","",ROUND($L592*AO592,1))</f>
        <v/>
      </c>
      <c r="AQ592">
        <f>IF(OR(AO592="",$S592=""),"",ROUND($S592*(0.7+0.3*AO592),2))</f>
        <v/>
      </c>
      <c r="AR592">
        <f>IFERROR(INDEX(_ENGINE_Crisis!$E$41:$E$700,MATCH('Resilience &amp; Risk Scenario'!$B$60&amp;"|"&amp;$C592,_ENGINE_Crisis!$I$41:$I$700,0)),"")</f>
        <v/>
      </c>
      <c r="AS592">
        <f>IFERROR(INDEX(_ENGINE_Crisis!$G$41:$G$700,MATCH('Resilience &amp; Risk Scenario'!$B$60&amp;"|"&amp;$C592,_ENGINE_Crisis!$I$41:$I$700,0)),"")</f>
        <v/>
      </c>
      <c r="AT592">
        <f>IFERROR(INDEX(_ENGINE_Initiatives!$A$5:$A$532,MATCH(1,INDEX((_ENGINE_Initiatives!$B$5:$B$532=$C592)*(_ENGINE_Initiatives!$C$5:$C$532=$D592),0),0)),"")</f>
        <v/>
      </c>
      <c r="AU592">
        <f>IFERROR(INDEX(_ENGINE_Initiatives!$F$5:$F$532,MATCH(1,INDEX((_ENGINE_Initiatives!$B$5:$B$532=$C592)*(_ENGINE_Initiatives!$C$5:$C$532=$D592),0),0)),"")</f>
        <v/>
      </c>
      <c r="AV592">
        <f>IFERROR(INDEX(_ENGINE_Initiatives!$AC$5:$AC$532,MATCH(1,INDEX((_ENGINE_Initiatives!$B$5:$B$532=$C592)*(_ENGINE_Initiatives!$C$5:$C$532=$D592),0),0)),"")</f>
        <v/>
      </c>
      <c r="AW592">
        <f>IFERROR(INDEX(_ENGINE_Initiatives!$AE$5:$AE$532,MATCH(1,INDEX((_ENGINE_Initiatives!$B$5:$B$532=$C592)*(_ENGINE_Initiatives!$C$5:$C$532=$D592),0),0)),"")</f>
        <v/>
      </c>
      <c r="AX592">
        <f>IF($B592="Yes",IFERROR(IF(SUMIFS(_REF_Model_Content!$E$1:$E$613,_REF_Model_Content!$A$1:$A$613,'Company Profile'!$B$9,_REF_Model_Content!$B$1:$B$613,$C592)=0,1,SUMIFS(_REF_Model_Content!$E$1:$E$613,_REF_Model_Content!$A$1:$A$613,'Company Profile'!$B$9,_REF_Model_Content!$B$1:$B$613,$C592)),1),"")</f>
        <v/>
      </c>
      <c r="AY592">
        <f>IF($L592="","",ROUND(IF($AP592="",$L592,$AP592)*IF($AX592="",1,$AX592),2))</f>
        <v/>
      </c>
      <c r="AZ592">
        <f>IF($S592="","",ROUND(IF($AQ592="",$S592,$AQ592)*IF($AX592="",1,$AX592),2))</f>
        <v/>
      </c>
      <c r="BB592">
        <f>IF($H592="","",IFERROR(INDEX('_ENGINE_Risk'!$AE$41:$AE$920,MATCH($E592,'_ENGINE_Risk'!$A$41:$A$920,0)),"Medium"))</f>
        <v/>
      </c>
      <c r="BC592">
        <f>IF($BB592="","",IF($BB592="Fast",1.25,IF($BB592="Slow",0.85,1)))</f>
        <v/>
      </c>
      <c r="BD592">
        <f>IF(OR($AZ592="",$BC592=""),"",ROUND($AZ592*$BC592,2))</f>
        <v/>
      </c>
      <c r="BF592">
        <f>IF(OR($H592="",$J592=""),"",_xlfn.IFNA(VLOOKUP($J592,_CONFIG_Model_Settings!$D$610:$E$614,2,0),""))</f>
        <v/>
      </c>
      <c r="BG592">
        <f>IF(OR($H592="",$K592=""),"",ROUND('Company Profile'!$B$569*INDEX(_CONFIG_Model_Settings!$H$610:$H$614,MATCH($K592,_CONFIG_Model_Settings!$G$610:$G$614,0)),0))</f>
        <v/>
      </c>
      <c r="BH592">
        <f>IF(OR($BF592="",$BG592=""),"",ROUND($BF592*$BG592,1))</f>
        <v/>
      </c>
      <c r="BI592">
        <f>IF($BH592="","",IF($AO592="",$BH592,ROUND($BH592*$AO592,1)))</f>
        <v/>
      </c>
      <c r="BJ592">
        <f>IF($E592="","",IFERROR(VLOOKUP($C592,'_CONFIG_Risk_Calibration'!$A$5:$H$21,2,FALSE),3))</f>
        <v/>
      </c>
      <c r="BK592">
        <f>IF($E592="","",IFERROR(VLOOKUP($C592,'_CONFIG_Risk_Calibration'!$A$5:$H$21,3,FALSE),0))</f>
        <v/>
      </c>
      <c r="BL592">
        <f>IF($E592="","",IFERROR(VLOOKUP($C592,'_CONFIG_Risk_Calibration'!$A$5:$H$21,4,FALSE),3))</f>
        <v/>
      </c>
      <c r="BM592">
        <f>IF($E592="","",IFERROR(VLOOKUP($C592,'_CONFIG_Risk_Calibration'!$A$5:$H$21,5,FALSE),3))</f>
        <v/>
      </c>
      <c r="BN592">
        <f>IF($E592="","",IFERROR(VLOOKUP($C592,'_CONFIG_Risk_Calibration'!$A$5:$H$21,6,FALSE),"No"))</f>
        <v/>
      </c>
      <c r="BO592">
        <f>IF($E592="","",IFERROR(VLOOKUP($C592,'_CONFIG_Risk_Calibration'!$A$5:$H$21,7,FALSE),1))</f>
        <v/>
      </c>
      <c r="BP592">
        <f>IF($H592="","",MAX(1,MIN(5,((6-$H592)*0.45)+($BJ592*0.20)+('Resilience &amp; Risk Scenario'!$B$7*0.15)+($BK592*0.10)+($BL592*0.05)+(IF($BB592="Fast",5,IF($BB592="Slow",1,3))*0.05))))</f>
        <v/>
      </c>
      <c r="BQ592">
        <f>IF($H592="","",MAX(IF($BN592="Yes",$BO592,1),MIN(5,($U592*0.20)+($V592*0.15)+($W592*0.25)+($X592*0.15)+($BJ592*0.10)+($BM592*0.15))))</f>
        <v/>
      </c>
      <c r="BR592">
        <f>IF(OR($BP592="",$BQ592=""),"",ROUND($BP592*$BQ592,2))</f>
        <v/>
      </c>
      <c r="BS592">
        <f>IF($BR592="","",ROUND($BR592*IF($AO592="",1,$AO592)*IF($AX592="",1,$AX592)*(1+(($BM592-3)*0.10))*IF($BC592="",1,$BC592),2))</f>
        <v/>
      </c>
    </row>
    <row r="593" ht="69.90000000000001" customHeight="1" s="209">
      <c r="A593">
        <f>IF($BD593="","",SUMPRODUCT(ISNUMBER($BD$500:$BD$923)*($BD$500:$BD$923&gt;$BD593))+COUNTIF($BD$500:$BD593,$BD593))</f>
        <v/>
      </c>
      <c r="B593">
        <f>IF($H593="","",IF($H593&lt;5,"Yes","Maintain"))</f>
        <v/>
      </c>
      <c r="C593" t="inlineStr">
        <is>
          <t>Finance Procurement</t>
        </is>
      </c>
      <c r="D593" t="inlineStr">
        <is>
          <t>Financial resilience</t>
        </is>
      </c>
      <c r="E593" t="inlineStr">
        <is>
          <t>FINA-001</t>
        </is>
      </c>
      <c r="F593" t="inlineStr">
        <is>
          <t>Financial control and procurement resilience</t>
        </is>
      </c>
      <c r="G593">
        <f>IF($H593="","",IFERROR(INDEX('_ENGINE_Risk'!$H$41:$M$920,MATCH($E593,'_ENGINE_Risk'!$A$41:$A$920,0),$H593+1),""))</f>
        <v/>
      </c>
      <c r="H593">
        <f>IFERROR(VALUE(INDEX(_DATA_Assessment_Model!$H$5:$H$884,MATCH($E593,_DATA_Assessment_Model!$A$5:$A$884,0))),"")</f>
        <v/>
      </c>
      <c r="I593">
        <f>IF($H593="","",IFERROR(INDEX(_DATA_Assessment_Model!$L$5:$L$884,MATCH($E593,_DATA_Assessment_Model!$A$5:$A$884,0)),IF($H593&lt;=1,"Critical",IF($H593=2,"High",IF($H593=3,"Medium",IF($H593=4,"Low","Resilient"))))))</f>
        <v/>
      </c>
      <c r="J593">
        <f>IF($H593="","",MIN(5,MAX(1,6-$H593)))</f>
        <v/>
      </c>
      <c r="K593">
        <f>IF($H593="","",MAX(1,MIN(5,ROUNDUP(($U593*0.45)+($W593*0.35)+($X593*0.2),0))))</f>
        <v/>
      </c>
      <c r="L593">
        <f>IF($H593="","",$J593*$K593)</f>
        <v/>
      </c>
      <c r="M593">
        <f>IF($H593="","",MAX(1,MIN(5,ROUNDUP($L593/5,0))))</f>
        <v/>
      </c>
      <c r="N593">
        <f>IF($H593="","",IFERROR(INDEX('_ENGINE_Risk'!$T$41:$Y$920,MATCH($E593,'_ENGINE_Risk'!$A$41:$A$920,0),$H593+1),""))</f>
        <v/>
      </c>
      <c r="O593">
        <f>IF($H593="","",MAX(1,MIN(5,($U593+$V593+$X593)/3)))</f>
        <v/>
      </c>
      <c r="P593">
        <f>IF($H593="","",IF($I593="Critical",5,IF($I593="High",4,IF($I593="Medium",3,IF($I593="Low",2,1)))))</f>
        <v/>
      </c>
      <c r="Q593">
        <f>IF($H593="","",MAX(1,MIN(5,((5-$H593)*0.65)+($W593*0.35))))</f>
        <v/>
      </c>
      <c r="R593">
        <f>IF($H593="","",MAX(1,MIN(5,($V593+$X593)/2)))</f>
        <v/>
      </c>
      <c r="S593">
        <f>IF(OR($H593="",$N593=""),"",ROUND(($O593+$P593+$Q593+$R593)/$N593,2))</f>
        <v/>
      </c>
      <c r="T593">
        <f>IF($H593="","",IFERROR(INDEX('_ENGINE_Risk'!$N$41:$S$920,MATCH($E593,'_ENGINE_Risk'!$A$41:$A$920,0),$H593+1),""))</f>
        <v/>
      </c>
      <c r="U593">
        <f>IFERROR(INDEX(_DATA_Assessment_Model!$G$5:$G$884,MATCH($E593,_DATA_Assessment_Model!$A$5:$A$884,0)),"")</f>
        <v/>
      </c>
      <c r="V593">
        <f>IFERROR(INDEX(_DATA_Assessment_Model!$W$5:$W$884,MATCH($E593,_DATA_Assessment_Model!$A$5:$A$884,0)),"")</f>
        <v/>
      </c>
      <c r="W593">
        <f>IFERROR(INDEX(_DATA_Assessment_Model!$X$5:$X$884,MATCH($E593,_DATA_Assessment_Model!$A$5:$A$884,0)),"")</f>
        <v/>
      </c>
      <c r="X593">
        <f>IFERROR(INDEX(_DATA_Assessment_Model!$Y$5:$Y$884,MATCH($E593,_DATA_Assessment_Model!$A$5:$A$884,0)),"")</f>
        <v/>
      </c>
      <c r="Y593" t="inlineStr">
        <is>
          <t>Financial liquidity crisis; Supplier disruption; Fraud risk</t>
        </is>
      </c>
      <c r="Z593" t="inlineStr">
        <is>
          <t>CFO / Procurement</t>
        </is>
      </c>
      <c r="AA593" t="inlineStr">
        <is>
          <t>Policy/SOP; owner/RACI; system report; dashboard; contracts; test records; incident history; interview evidence related to cash visibility by legal entity, bank, currency, restrictions and emergency access.</t>
        </is>
      </c>
      <c r="AB593">
        <f>IFERROR(INDEX(_DATA_Assessment_Model!$U$5:$U$884,MATCH($E593,_DATA_Assessment_Model!$A$5:$A$884,0)),"")</f>
        <v/>
      </c>
      <c r="AF593" t="inlineStr">
        <is>
          <t>How mature is the organization in managing cash visibility by legal entity, bank, currency, restrictions and emergency access, including ownership, evidence, metrics, fallback procedures and crisis stress testing?</t>
        </is>
      </c>
      <c r="AO593">
        <f>IF($B593="Yes",IFERROR(INDEX(_ENGINE_Crisis!$F$501:$F$517,MATCH($C593,_ENGINE_Crisis!$A$501:$A$517,0)),1),"")</f>
        <v/>
      </c>
      <c r="AP593">
        <f>IF(AO593="","",ROUND($L593*AO593,1))</f>
        <v/>
      </c>
      <c r="AQ593">
        <f>IF(OR(AO593="",$S593=""),"",ROUND($S593*(0.7+0.3*AO593),2))</f>
        <v/>
      </c>
      <c r="AR593">
        <f>IFERROR(INDEX(_ENGINE_Crisis!$E$41:$E$700,MATCH('Resilience &amp; Risk Scenario'!$B$60&amp;"|"&amp;$C593,_ENGINE_Crisis!$I$41:$I$700,0)),"")</f>
        <v/>
      </c>
      <c r="AS593">
        <f>IFERROR(INDEX(_ENGINE_Crisis!$G$41:$G$700,MATCH('Resilience &amp; Risk Scenario'!$B$60&amp;"|"&amp;$C593,_ENGINE_Crisis!$I$41:$I$700,0)),"")</f>
        <v/>
      </c>
      <c r="AT593">
        <f>IFERROR(INDEX(_ENGINE_Initiatives!$A$5:$A$532,MATCH(1,INDEX((_ENGINE_Initiatives!$B$5:$B$532=$C593)*(_ENGINE_Initiatives!$C$5:$C$532=$D593),0),0)),"")</f>
        <v/>
      </c>
      <c r="AU593">
        <f>IFERROR(INDEX(_ENGINE_Initiatives!$F$5:$F$532,MATCH(1,INDEX((_ENGINE_Initiatives!$B$5:$B$532=$C593)*(_ENGINE_Initiatives!$C$5:$C$532=$D593),0),0)),"")</f>
        <v/>
      </c>
      <c r="AV593">
        <f>IFERROR(INDEX(_ENGINE_Initiatives!$AC$5:$AC$532,MATCH(1,INDEX((_ENGINE_Initiatives!$B$5:$B$532=$C593)*(_ENGINE_Initiatives!$C$5:$C$532=$D593),0),0)),"")</f>
        <v/>
      </c>
      <c r="AW593">
        <f>IFERROR(INDEX(_ENGINE_Initiatives!$AE$5:$AE$532,MATCH(1,INDEX((_ENGINE_Initiatives!$B$5:$B$532=$C593)*(_ENGINE_Initiatives!$C$5:$C$532=$D593),0),0)),"")</f>
        <v/>
      </c>
      <c r="AX593">
        <f>IF($B593="Yes",IFERROR(IF(SUMIFS(_REF_Model_Content!$E$1:$E$613,_REF_Model_Content!$A$1:$A$613,'Company Profile'!$B$9,_REF_Model_Content!$B$1:$B$613,$C593)=0,1,SUMIFS(_REF_Model_Content!$E$1:$E$613,_REF_Model_Content!$A$1:$A$613,'Company Profile'!$B$9,_REF_Model_Content!$B$1:$B$613,$C593)),1),"")</f>
        <v/>
      </c>
      <c r="AY593">
        <f>IF($L593="","",ROUND(IF($AP593="",$L593,$AP593)*IF($AX593="",1,$AX593),2))</f>
        <v/>
      </c>
      <c r="AZ593">
        <f>IF($S593="","",ROUND(IF($AQ593="",$S593,$AQ593)*IF($AX593="",1,$AX593),2))</f>
        <v/>
      </c>
      <c r="BB593">
        <f>IF($H593="","",IFERROR(INDEX('_ENGINE_Risk'!$AE$41:$AE$920,MATCH($E593,'_ENGINE_Risk'!$A$41:$A$920,0)),"Medium"))</f>
        <v/>
      </c>
      <c r="BC593">
        <f>IF($BB593="","",IF($BB593="Fast",1.25,IF($BB593="Slow",0.85,1)))</f>
        <v/>
      </c>
      <c r="BD593">
        <f>IF(OR($AZ593="",$BC593=""),"",ROUND($AZ593*$BC593,2))</f>
        <v/>
      </c>
      <c r="BF593">
        <f>IF(OR($H593="",$J593=""),"",_xlfn.IFNA(VLOOKUP($J593,_CONFIG_Model_Settings!$D$610:$E$614,2,0),""))</f>
        <v/>
      </c>
      <c r="BG593">
        <f>IF(OR($H593="",$K593=""),"",ROUND('Company Profile'!$B$569*INDEX(_CONFIG_Model_Settings!$H$610:$H$614,MATCH($K593,_CONFIG_Model_Settings!$G$610:$G$614,0)),0))</f>
        <v/>
      </c>
      <c r="BH593">
        <f>IF(OR($BF593="",$BG593=""),"",ROUND($BF593*$BG593,1))</f>
        <v/>
      </c>
      <c r="BI593">
        <f>IF($BH593="","",IF($AO593="",$BH593,ROUND($BH593*$AO593,1)))</f>
        <v/>
      </c>
      <c r="BJ593">
        <f>IF($E593="","",IFERROR(VLOOKUP($C593,'_CONFIG_Risk_Calibration'!$A$5:$H$21,2,FALSE),3))</f>
        <v/>
      </c>
      <c r="BK593">
        <f>IF($E593="","",IFERROR(VLOOKUP($C593,'_CONFIG_Risk_Calibration'!$A$5:$H$21,3,FALSE),0))</f>
        <v/>
      </c>
      <c r="BL593">
        <f>IF($E593="","",IFERROR(VLOOKUP($C593,'_CONFIG_Risk_Calibration'!$A$5:$H$21,4,FALSE),3))</f>
        <v/>
      </c>
      <c r="BM593">
        <f>IF($E593="","",IFERROR(VLOOKUP($C593,'_CONFIG_Risk_Calibration'!$A$5:$H$21,5,FALSE),3))</f>
        <v/>
      </c>
      <c r="BN593">
        <f>IF($E593="","",IFERROR(VLOOKUP($C593,'_CONFIG_Risk_Calibration'!$A$5:$H$21,6,FALSE),"No"))</f>
        <v/>
      </c>
      <c r="BO593">
        <f>IF($E593="","",IFERROR(VLOOKUP($C593,'_CONFIG_Risk_Calibration'!$A$5:$H$21,7,FALSE),1))</f>
        <v/>
      </c>
      <c r="BP593">
        <f>IF($H593="","",MAX(1,MIN(5,((6-$H593)*0.45)+($BJ593*0.20)+('Resilience &amp; Risk Scenario'!$B$7*0.15)+($BK593*0.10)+($BL593*0.05)+(IF($BB593="Fast",5,IF($BB593="Slow",1,3))*0.05))))</f>
        <v/>
      </c>
      <c r="BQ593">
        <f>IF($H593="","",MAX(IF($BN593="Yes",$BO593,1),MIN(5,($U593*0.20)+($V593*0.15)+($W593*0.25)+($X593*0.15)+($BJ593*0.10)+($BM593*0.15))))</f>
        <v/>
      </c>
      <c r="BR593">
        <f>IF(OR($BP593="",$BQ593=""),"",ROUND($BP593*$BQ593,2))</f>
        <v/>
      </c>
      <c r="BS593">
        <f>IF($BR593="","",ROUND($BR593*IF($AO593="",1,$AO593)*IF($AX593="",1,$AX593)*(1+(($BM593-3)*0.10))*IF($BC593="",1,$BC593),2))</f>
        <v/>
      </c>
    </row>
    <row r="594" ht="69.90000000000001" customHeight="1" s="209">
      <c r="A594">
        <f>IF($BD594="","",SUMPRODUCT(ISNUMBER($BD$500:$BD$923)*($BD$500:$BD$923&gt;$BD594))+COUNTIF($BD$500:$BD594,$BD594))</f>
        <v/>
      </c>
      <c r="B594">
        <f>IF($H594="","",IF($H594&lt;5,"Yes","Maintain"))</f>
        <v/>
      </c>
      <c r="C594" t="inlineStr">
        <is>
          <t>Finance Procurement</t>
        </is>
      </c>
      <c r="D594" t="inlineStr">
        <is>
          <t>Financial resilience</t>
        </is>
      </c>
      <c r="E594" t="inlineStr">
        <is>
          <t>FINA-002</t>
        </is>
      </c>
      <c r="F594" t="inlineStr">
        <is>
          <t>Financial control and procurement resilience</t>
        </is>
      </c>
      <c r="G594">
        <f>IF($H594="","",IFERROR(INDEX('_ENGINE_Risk'!$H$41:$M$920,MATCH($E594,'_ENGINE_Risk'!$A$41:$A$920,0),$H594+1),""))</f>
        <v/>
      </c>
      <c r="H594">
        <f>IFERROR(VALUE(INDEX(_DATA_Assessment_Model!$H$5:$H$884,MATCH($E594,_DATA_Assessment_Model!$A$5:$A$884,0))),"")</f>
        <v/>
      </c>
      <c r="I594">
        <f>IF($H594="","",IFERROR(INDEX(_DATA_Assessment_Model!$L$5:$L$884,MATCH($E594,_DATA_Assessment_Model!$A$5:$A$884,0)),IF($H594&lt;=1,"Critical",IF($H594=2,"High",IF($H594=3,"Medium",IF($H594=4,"Low","Resilient"))))))</f>
        <v/>
      </c>
      <c r="J594">
        <f>IF($H594="","",MIN(5,MAX(1,6-$H594)))</f>
        <v/>
      </c>
      <c r="K594">
        <f>IF($H594="","",MAX(1,MIN(5,ROUNDUP(($U594*0.45)+($W594*0.35)+($X594*0.2),0))))</f>
        <v/>
      </c>
      <c r="L594">
        <f>IF($H594="","",$J594*$K594)</f>
        <v/>
      </c>
      <c r="M594">
        <f>IF($H594="","",MAX(1,MIN(5,ROUNDUP($L594/5,0))))</f>
        <v/>
      </c>
      <c r="N594">
        <f>IF($H594="","",IFERROR(INDEX('_ENGINE_Risk'!$T$41:$Y$920,MATCH($E594,'_ENGINE_Risk'!$A$41:$A$920,0),$H594+1),""))</f>
        <v/>
      </c>
      <c r="O594">
        <f>IF($H594="","",MAX(1,MIN(5,($U594+$V594+$X594)/3)))</f>
        <v/>
      </c>
      <c r="P594">
        <f>IF($H594="","",IF($I594="Critical",5,IF($I594="High",4,IF($I594="Medium",3,IF($I594="Low",2,1)))))</f>
        <v/>
      </c>
      <c r="Q594">
        <f>IF($H594="","",MAX(1,MIN(5,((5-$H594)*0.65)+($W594*0.35))))</f>
        <v/>
      </c>
      <c r="R594">
        <f>IF($H594="","",MAX(1,MIN(5,($V594+$X594)/2)))</f>
        <v/>
      </c>
      <c r="S594">
        <f>IF(OR($H594="",$N594=""),"",ROUND(($O594+$P594+$Q594+$R594)/$N594,2))</f>
        <v/>
      </c>
      <c r="T594">
        <f>IF($H594="","",IFERROR(INDEX('_ENGINE_Risk'!$N$41:$S$920,MATCH($E594,'_ENGINE_Risk'!$A$41:$A$920,0),$H594+1),""))</f>
        <v/>
      </c>
      <c r="U594">
        <f>IFERROR(INDEX(_DATA_Assessment_Model!$G$5:$G$884,MATCH($E594,_DATA_Assessment_Model!$A$5:$A$884,0)),"")</f>
        <v/>
      </c>
      <c r="V594">
        <f>IFERROR(INDEX(_DATA_Assessment_Model!$W$5:$W$884,MATCH($E594,_DATA_Assessment_Model!$A$5:$A$884,0)),"")</f>
        <v/>
      </c>
      <c r="W594">
        <f>IFERROR(INDEX(_DATA_Assessment_Model!$X$5:$X$884,MATCH($E594,_DATA_Assessment_Model!$A$5:$A$884,0)),"")</f>
        <v/>
      </c>
      <c r="X594">
        <f>IFERROR(INDEX(_DATA_Assessment_Model!$Y$5:$Y$884,MATCH($E594,_DATA_Assessment_Model!$A$5:$A$884,0)),"")</f>
        <v/>
      </c>
      <c r="Y594" t="inlineStr">
        <is>
          <t>Financial liquidity crisis; Supplier disruption; Fraud risk</t>
        </is>
      </c>
      <c r="Z594" t="inlineStr">
        <is>
          <t>CFO / Procurement</t>
        </is>
      </c>
      <c r="AA594" t="inlineStr">
        <is>
          <t>Policy/SOP; owner/RACI; system report; dashboard; contracts; test records; incident history; interview evidence related to cash-flow forecasting under base, downside and severe crisis scenarios.</t>
        </is>
      </c>
      <c r="AB594">
        <f>IFERROR(INDEX(_DATA_Assessment_Model!$U$5:$U$884,MATCH($E594,_DATA_Assessment_Model!$A$5:$A$884,0)),"")</f>
        <v/>
      </c>
      <c r="AF594" t="inlineStr">
        <is>
          <t>How mature is the organization in managing cash-flow forecasting under base, downside and severe crisis scenarios, including ownership, evidence, metrics, fallback procedures and crisis stress testing?</t>
        </is>
      </c>
      <c r="AO594">
        <f>IF($B594="Yes",IFERROR(INDEX(_ENGINE_Crisis!$F$501:$F$517,MATCH($C594,_ENGINE_Crisis!$A$501:$A$517,0)),1),"")</f>
        <v/>
      </c>
      <c r="AP594">
        <f>IF(AO594="","",ROUND($L594*AO594,1))</f>
        <v/>
      </c>
      <c r="AQ594">
        <f>IF(OR(AO594="",$S594=""),"",ROUND($S594*(0.7+0.3*AO594),2))</f>
        <v/>
      </c>
      <c r="AR594">
        <f>IFERROR(INDEX(_ENGINE_Crisis!$E$41:$E$700,MATCH('Resilience &amp; Risk Scenario'!$B$60&amp;"|"&amp;$C594,_ENGINE_Crisis!$I$41:$I$700,0)),"")</f>
        <v/>
      </c>
      <c r="AS594">
        <f>IFERROR(INDEX(_ENGINE_Crisis!$G$41:$G$700,MATCH('Resilience &amp; Risk Scenario'!$B$60&amp;"|"&amp;$C594,_ENGINE_Crisis!$I$41:$I$700,0)),"")</f>
        <v/>
      </c>
      <c r="AT594">
        <f>IFERROR(INDEX(_ENGINE_Initiatives!$A$5:$A$532,MATCH(1,INDEX((_ENGINE_Initiatives!$B$5:$B$532=$C594)*(_ENGINE_Initiatives!$C$5:$C$532=$D594),0),0)),"")</f>
        <v/>
      </c>
      <c r="AU594">
        <f>IFERROR(INDEX(_ENGINE_Initiatives!$F$5:$F$532,MATCH(1,INDEX((_ENGINE_Initiatives!$B$5:$B$532=$C594)*(_ENGINE_Initiatives!$C$5:$C$532=$D594),0),0)),"")</f>
        <v/>
      </c>
      <c r="AV594">
        <f>IFERROR(INDEX(_ENGINE_Initiatives!$AC$5:$AC$532,MATCH(1,INDEX((_ENGINE_Initiatives!$B$5:$B$532=$C594)*(_ENGINE_Initiatives!$C$5:$C$532=$D594),0),0)),"")</f>
        <v/>
      </c>
      <c r="AW594">
        <f>IFERROR(INDEX(_ENGINE_Initiatives!$AE$5:$AE$532,MATCH(1,INDEX((_ENGINE_Initiatives!$B$5:$B$532=$C594)*(_ENGINE_Initiatives!$C$5:$C$532=$D594),0),0)),"")</f>
        <v/>
      </c>
      <c r="AX594">
        <f>IF($B594="Yes",IFERROR(IF(SUMIFS(_REF_Model_Content!$E$1:$E$613,_REF_Model_Content!$A$1:$A$613,'Company Profile'!$B$9,_REF_Model_Content!$B$1:$B$613,$C594)=0,1,SUMIFS(_REF_Model_Content!$E$1:$E$613,_REF_Model_Content!$A$1:$A$613,'Company Profile'!$B$9,_REF_Model_Content!$B$1:$B$613,$C594)),1),"")</f>
        <v/>
      </c>
      <c r="AY594">
        <f>IF($L594="","",ROUND(IF($AP594="",$L594,$AP594)*IF($AX594="",1,$AX594),2))</f>
        <v/>
      </c>
      <c r="AZ594">
        <f>IF($S594="","",ROUND(IF($AQ594="",$S594,$AQ594)*IF($AX594="",1,$AX594),2))</f>
        <v/>
      </c>
      <c r="BB594">
        <f>IF($H594="","",IFERROR(INDEX('_ENGINE_Risk'!$AE$41:$AE$920,MATCH($E594,'_ENGINE_Risk'!$A$41:$A$920,0)),"Medium"))</f>
        <v/>
      </c>
      <c r="BC594">
        <f>IF($BB594="","",IF($BB594="Fast",1.25,IF($BB594="Slow",0.85,1)))</f>
        <v/>
      </c>
      <c r="BD594">
        <f>IF(OR($AZ594="",$BC594=""),"",ROUND($AZ594*$BC594,2))</f>
        <v/>
      </c>
      <c r="BF594">
        <f>IF(OR($H594="",$J594=""),"",_xlfn.IFNA(VLOOKUP($J594,_CONFIG_Model_Settings!$D$610:$E$614,2,0),""))</f>
        <v/>
      </c>
      <c r="BG594">
        <f>IF(OR($H594="",$K594=""),"",ROUND('Company Profile'!$B$569*INDEX(_CONFIG_Model_Settings!$H$610:$H$614,MATCH($K594,_CONFIG_Model_Settings!$G$610:$G$614,0)),0))</f>
        <v/>
      </c>
      <c r="BH594">
        <f>IF(OR($BF594="",$BG594=""),"",ROUND($BF594*$BG594,1))</f>
        <v/>
      </c>
      <c r="BI594">
        <f>IF($BH594="","",IF($AO594="",$BH594,ROUND($BH594*$AO594,1)))</f>
        <v/>
      </c>
      <c r="BJ594">
        <f>IF($E594="","",IFERROR(VLOOKUP($C594,'_CONFIG_Risk_Calibration'!$A$5:$H$21,2,FALSE),3))</f>
        <v/>
      </c>
      <c r="BK594">
        <f>IF($E594="","",IFERROR(VLOOKUP($C594,'_CONFIG_Risk_Calibration'!$A$5:$H$21,3,FALSE),0))</f>
        <v/>
      </c>
      <c r="BL594">
        <f>IF($E594="","",IFERROR(VLOOKUP($C594,'_CONFIG_Risk_Calibration'!$A$5:$H$21,4,FALSE),3))</f>
        <v/>
      </c>
      <c r="BM594">
        <f>IF($E594="","",IFERROR(VLOOKUP($C594,'_CONFIG_Risk_Calibration'!$A$5:$H$21,5,FALSE),3))</f>
        <v/>
      </c>
      <c r="BN594">
        <f>IF($E594="","",IFERROR(VLOOKUP($C594,'_CONFIG_Risk_Calibration'!$A$5:$H$21,6,FALSE),"No"))</f>
        <v/>
      </c>
      <c r="BO594">
        <f>IF($E594="","",IFERROR(VLOOKUP($C594,'_CONFIG_Risk_Calibration'!$A$5:$H$21,7,FALSE),1))</f>
        <v/>
      </c>
      <c r="BP594">
        <f>IF($H594="","",MAX(1,MIN(5,((6-$H594)*0.45)+($BJ594*0.20)+('Resilience &amp; Risk Scenario'!$B$7*0.15)+($BK594*0.10)+($BL594*0.05)+(IF($BB594="Fast",5,IF($BB594="Slow",1,3))*0.05))))</f>
        <v/>
      </c>
      <c r="BQ594">
        <f>IF($H594="","",MAX(IF($BN594="Yes",$BO594,1),MIN(5,($U594*0.20)+($V594*0.15)+($W594*0.25)+($X594*0.15)+($BJ594*0.10)+($BM594*0.15))))</f>
        <v/>
      </c>
      <c r="BR594">
        <f>IF(OR($BP594="",$BQ594=""),"",ROUND($BP594*$BQ594,2))</f>
        <v/>
      </c>
      <c r="BS594">
        <f>IF($BR594="","",ROUND($BR594*IF($AO594="",1,$AO594)*IF($AX594="",1,$AX594)*(1+(($BM594-3)*0.10))*IF($BC594="",1,$BC594),2))</f>
        <v/>
      </c>
    </row>
    <row r="595" ht="69.90000000000001" customHeight="1" s="209">
      <c r="A595">
        <f>IF($BD595="","",SUMPRODUCT(ISNUMBER($BD$500:$BD$923)*($BD$500:$BD$923&gt;$BD595))+COUNTIF($BD$500:$BD595,$BD595))</f>
        <v/>
      </c>
      <c r="B595">
        <f>IF($H595="","",IF($H595&lt;5,"Yes","Maintain"))</f>
        <v/>
      </c>
      <c r="C595" t="inlineStr">
        <is>
          <t>Finance Procurement</t>
        </is>
      </c>
      <c r="D595" t="inlineStr">
        <is>
          <t>Financial resilience</t>
        </is>
      </c>
      <c r="E595" t="inlineStr">
        <is>
          <t>FINA-003</t>
        </is>
      </c>
      <c r="F595" t="inlineStr">
        <is>
          <t>Financial control and procurement resilience</t>
        </is>
      </c>
      <c r="G595">
        <f>IF($H595="","",IFERROR(INDEX('_ENGINE_Risk'!$H$41:$M$920,MATCH($E595,'_ENGINE_Risk'!$A$41:$A$920,0),$H595+1),""))</f>
        <v/>
      </c>
      <c r="H595">
        <f>IFERROR(VALUE(INDEX(_DATA_Assessment_Model!$H$5:$H$884,MATCH($E595,_DATA_Assessment_Model!$A$5:$A$884,0))),"")</f>
        <v/>
      </c>
      <c r="I595">
        <f>IF($H595="","",IFERROR(INDEX(_DATA_Assessment_Model!$L$5:$L$884,MATCH($E595,_DATA_Assessment_Model!$A$5:$A$884,0)),IF($H595&lt;=1,"Critical",IF($H595=2,"High",IF($H595=3,"Medium",IF($H595=4,"Low","Resilient"))))))</f>
        <v/>
      </c>
      <c r="J595">
        <f>IF($H595="","",MIN(5,MAX(1,6-$H595)))</f>
        <v/>
      </c>
      <c r="K595">
        <f>IF($H595="","",MAX(1,MIN(5,ROUNDUP(($U595*0.45)+($W595*0.35)+($X595*0.2),0))))</f>
        <v/>
      </c>
      <c r="L595">
        <f>IF($H595="","",$J595*$K595)</f>
        <v/>
      </c>
      <c r="M595">
        <f>IF($H595="","",MAX(1,MIN(5,ROUNDUP($L595/5,0))))</f>
        <v/>
      </c>
      <c r="N595">
        <f>IF($H595="","",IFERROR(INDEX('_ENGINE_Risk'!$T$41:$Y$920,MATCH($E595,'_ENGINE_Risk'!$A$41:$A$920,0),$H595+1),""))</f>
        <v/>
      </c>
      <c r="O595">
        <f>IF($H595="","",MAX(1,MIN(5,($U595+$V595+$X595)/3)))</f>
        <v/>
      </c>
      <c r="P595">
        <f>IF($H595="","",IF($I595="Critical",5,IF($I595="High",4,IF($I595="Medium",3,IF($I595="Low",2,1)))))</f>
        <v/>
      </c>
      <c r="Q595">
        <f>IF($H595="","",MAX(1,MIN(5,((5-$H595)*0.65)+($W595*0.35))))</f>
        <v/>
      </c>
      <c r="R595">
        <f>IF($H595="","",MAX(1,MIN(5,($V595+$X595)/2)))</f>
        <v/>
      </c>
      <c r="S595">
        <f>IF(OR($H595="",$N595=""),"",ROUND(($O595+$P595+$Q595+$R595)/$N595,2))</f>
        <v/>
      </c>
      <c r="T595">
        <f>IF($H595="","",IFERROR(INDEX('_ENGINE_Risk'!$N$41:$S$920,MATCH($E595,'_ENGINE_Risk'!$A$41:$A$920,0),$H595+1),""))</f>
        <v/>
      </c>
      <c r="U595">
        <f>IFERROR(INDEX(_DATA_Assessment_Model!$G$5:$G$884,MATCH($E595,_DATA_Assessment_Model!$A$5:$A$884,0)),"")</f>
        <v/>
      </c>
      <c r="V595">
        <f>IFERROR(INDEX(_DATA_Assessment_Model!$W$5:$W$884,MATCH($E595,_DATA_Assessment_Model!$A$5:$A$884,0)),"")</f>
        <v/>
      </c>
      <c r="W595">
        <f>IFERROR(INDEX(_DATA_Assessment_Model!$X$5:$X$884,MATCH($E595,_DATA_Assessment_Model!$A$5:$A$884,0)),"")</f>
        <v/>
      </c>
      <c r="X595">
        <f>IFERROR(INDEX(_DATA_Assessment_Model!$Y$5:$Y$884,MATCH($E595,_DATA_Assessment_Model!$A$5:$A$884,0)),"")</f>
        <v/>
      </c>
      <c r="Y595" t="inlineStr">
        <is>
          <t>Financial liquidity crisis; Supplier disruption; Fraud risk</t>
        </is>
      </c>
      <c r="Z595" t="inlineStr">
        <is>
          <t>CFO / Procurement</t>
        </is>
      </c>
      <c r="AA595" t="inlineStr">
        <is>
          <t>Policy/SOP; owner/RACI; system report; dashboard; contracts; test records; incident history; interview evidence related to liquidity buffers, credit lines, emergency funding options and covenant monitoring.</t>
        </is>
      </c>
      <c r="AB595">
        <f>IFERROR(INDEX(_DATA_Assessment_Model!$U$5:$U$884,MATCH($E595,_DATA_Assessment_Model!$A$5:$A$884,0)),"")</f>
        <v/>
      </c>
      <c r="AF595" t="inlineStr">
        <is>
          <t>How mature is the organization in managing liquidity buffers, credit lines, emergency funding options and covenant monitoring, including ownership, evidence, metrics, fallback procedures and crisis stress testing?</t>
        </is>
      </c>
      <c r="AO595">
        <f>IF($B595="Yes",IFERROR(INDEX(_ENGINE_Crisis!$F$501:$F$517,MATCH($C595,_ENGINE_Crisis!$A$501:$A$517,0)),1),"")</f>
        <v/>
      </c>
      <c r="AP595">
        <f>IF(AO595="","",ROUND($L595*AO595,1))</f>
        <v/>
      </c>
      <c r="AQ595">
        <f>IF(OR(AO595="",$S595=""),"",ROUND($S595*(0.7+0.3*AO595),2))</f>
        <v/>
      </c>
      <c r="AR595">
        <f>IFERROR(INDEX(_ENGINE_Crisis!$E$41:$E$700,MATCH('Resilience &amp; Risk Scenario'!$B$60&amp;"|"&amp;$C595,_ENGINE_Crisis!$I$41:$I$700,0)),"")</f>
        <v/>
      </c>
      <c r="AS595">
        <f>IFERROR(INDEX(_ENGINE_Crisis!$G$41:$G$700,MATCH('Resilience &amp; Risk Scenario'!$B$60&amp;"|"&amp;$C595,_ENGINE_Crisis!$I$41:$I$700,0)),"")</f>
        <v/>
      </c>
      <c r="AT595">
        <f>IFERROR(INDEX(_ENGINE_Initiatives!$A$5:$A$532,MATCH(1,INDEX((_ENGINE_Initiatives!$B$5:$B$532=$C595)*(_ENGINE_Initiatives!$C$5:$C$532=$D595),0),0)),"")</f>
        <v/>
      </c>
      <c r="AU595">
        <f>IFERROR(INDEX(_ENGINE_Initiatives!$F$5:$F$532,MATCH(1,INDEX((_ENGINE_Initiatives!$B$5:$B$532=$C595)*(_ENGINE_Initiatives!$C$5:$C$532=$D595),0),0)),"")</f>
        <v/>
      </c>
      <c r="AV595">
        <f>IFERROR(INDEX(_ENGINE_Initiatives!$AC$5:$AC$532,MATCH(1,INDEX((_ENGINE_Initiatives!$B$5:$B$532=$C595)*(_ENGINE_Initiatives!$C$5:$C$532=$D595),0),0)),"")</f>
        <v/>
      </c>
      <c r="AW595">
        <f>IFERROR(INDEX(_ENGINE_Initiatives!$AE$5:$AE$532,MATCH(1,INDEX((_ENGINE_Initiatives!$B$5:$B$532=$C595)*(_ENGINE_Initiatives!$C$5:$C$532=$D595),0),0)),"")</f>
        <v/>
      </c>
      <c r="AX595">
        <f>IF($B595="Yes",IFERROR(IF(SUMIFS(_REF_Model_Content!$E$1:$E$613,_REF_Model_Content!$A$1:$A$613,'Company Profile'!$B$9,_REF_Model_Content!$B$1:$B$613,$C595)=0,1,SUMIFS(_REF_Model_Content!$E$1:$E$613,_REF_Model_Content!$A$1:$A$613,'Company Profile'!$B$9,_REF_Model_Content!$B$1:$B$613,$C595)),1),"")</f>
        <v/>
      </c>
      <c r="AY595">
        <f>IF($L595="","",ROUND(IF($AP595="",$L595,$AP595)*IF($AX595="",1,$AX595),2))</f>
        <v/>
      </c>
      <c r="AZ595">
        <f>IF($S595="","",ROUND(IF($AQ595="",$S595,$AQ595)*IF($AX595="",1,$AX595),2))</f>
        <v/>
      </c>
      <c r="BB595">
        <f>IF($H595="","",IFERROR(INDEX('_ENGINE_Risk'!$AE$41:$AE$920,MATCH($E595,'_ENGINE_Risk'!$A$41:$A$920,0)),"Medium"))</f>
        <v/>
      </c>
      <c r="BC595">
        <f>IF($BB595="","",IF($BB595="Fast",1.25,IF($BB595="Slow",0.85,1)))</f>
        <v/>
      </c>
      <c r="BD595">
        <f>IF(OR($AZ595="",$BC595=""),"",ROUND($AZ595*$BC595,2))</f>
        <v/>
      </c>
      <c r="BF595">
        <f>IF(OR($H595="",$J595=""),"",_xlfn.IFNA(VLOOKUP($J595,_CONFIG_Model_Settings!$D$610:$E$614,2,0),""))</f>
        <v/>
      </c>
      <c r="BG595">
        <f>IF(OR($H595="",$K595=""),"",ROUND('Company Profile'!$B$569*INDEX(_CONFIG_Model_Settings!$H$610:$H$614,MATCH($K595,_CONFIG_Model_Settings!$G$610:$G$614,0)),0))</f>
        <v/>
      </c>
      <c r="BH595">
        <f>IF(OR($BF595="",$BG595=""),"",ROUND($BF595*$BG595,1))</f>
        <v/>
      </c>
      <c r="BI595">
        <f>IF($BH595="","",IF($AO595="",$BH595,ROUND($BH595*$AO595,1)))</f>
        <v/>
      </c>
      <c r="BJ595">
        <f>IF($E595="","",IFERROR(VLOOKUP($C595,'_CONFIG_Risk_Calibration'!$A$5:$H$21,2,FALSE),3))</f>
        <v/>
      </c>
      <c r="BK595">
        <f>IF($E595="","",IFERROR(VLOOKUP($C595,'_CONFIG_Risk_Calibration'!$A$5:$H$21,3,FALSE),0))</f>
        <v/>
      </c>
      <c r="BL595">
        <f>IF($E595="","",IFERROR(VLOOKUP($C595,'_CONFIG_Risk_Calibration'!$A$5:$H$21,4,FALSE),3))</f>
        <v/>
      </c>
      <c r="BM595">
        <f>IF($E595="","",IFERROR(VLOOKUP($C595,'_CONFIG_Risk_Calibration'!$A$5:$H$21,5,FALSE),3))</f>
        <v/>
      </c>
      <c r="BN595">
        <f>IF($E595="","",IFERROR(VLOOKUP($C595,'_CONFIG_Risk_Calibration'!$A$5:$H$21,6,FALSE),"No"))</f>
        <v/>
      </c>
      <c r="BO595">
        <f>IF($E595="","",IFERROR(VLOOKUP($C595,'_CONFIG_Risk_Calibration'!$A$5:$H$21,7,FALSE),1))</f>
        <v/>
      </c>
      <c r="BP595">
        <f>IF($H595="","",MAX(1,MIN(5,((6-$H595)*0.45)+($BJ595*0.20)+('Resilience &amp; Risk Scenario'!$B$7*0.15)+($BK595*0.10)+($BL595*0.05)+(IF($BB595="Fast",5,IF($BB595="Slow",1,3))*0.05))))</f>
        <v/>
      </c>
      <c r="BQ595">
        <f>IF($H595="","",MAX(IF($BN595="Yes",$BO595,1),MIN(5,($U595*0.20)+($V595*0.15)+($W595*0.25)+($X595*0.15)+($BJ595*0.10)+($BM595*0.15))))</f>
        <v/>
      </c>
      <c r="BR595">
        <f>IF(OR($BP595="",$BQ595=""),"",ROUND($BP595*$BQ595,2))</f>
        <v/>
      </c>
      <c r="BS595">
        <f>IF($BR595="","",ROUND($BR595*IF($AO595="",1,$AO595)*IF($AX595="",1,$AX595)*(1+(($BM595-3)*0.10))*IF($BC595="",1,$BC595),2))</f>
        <v/>
      </c>
    </row>
    <row r="596" ht="69.90000000000001" customHeight="1" s="209">
      <c r="A596">
        <f>IF($BD596="","",SUMPRODUCT(ISNUMBER($BD$500:$BD$923)*($BD$500:$BD$923&gt;$BD596))+COUNTIF($BD$500:$BD596,$BD596))</f>
        <v/>
      </c>
      <c r="B596">
        <f>IF($H596="","",IF($H596&lt;5,"Yes","Maintain"))</f>
        <v/>
      </c>
      <c r="C596" t="inlineStr">
        <is>
          <t>Finance Procurement</t>
        </is>
      </c>
      <c r="D596" t="inlineStr">
        <is>
          <t>Financial resilience</t>
        </is>
      </c>
      <c r="E596" t="inlineStr">
        <is>
          <t>FINA-004</t>
        </is>
      </c>
      <c r="F596" t="inlineStr">
        <is>
          <t>Financial control and procurement resilience</t>
        </is>
      </c>
      <c r="G596">
        <f>IF($H596="","",IFERROR(INDEX('_ENGINE_Risk'!$H$41:$M$920,MATCH($E596,'_ENGINE_Risk'!$A$41:$A$920,0),$H596+1),""))</f>
        <v/>
      </c>
      <c r="H596">
        <f>IFERROR(VALUE(INDEX(_DATA_Assessment_Model!$H$5:$H$884,MATCH($E596,_DATA_Assessment_Model!$A$5:$A$884,0))),"")</f>
        <v/>
      </c>
      <c r="I596">
        <f>IF($H596="","",IFERROR(INDEX(_DATA_Assessment_Model!$L$5:$L$884,MATCH($E596,_DATA_Assessment_Model!$A$5:$A$884,0)),IF($H596&lt;=1,"Critical",IF($H596=2,"High",IF($H596=3,"Medium",IF($H596=4,"Low","Resilient"))))))</f>
        <v/>
      </c>
      <c r="J596">
        <f>IF($H596="","",MIN(5,MAX(1,6-$H596)))</f>
        <v/>
      </c>
      <c r="K596">
        <f>IF($H596="","",MAX(1,MIN(5,ROUNDUP(($U596*0.45)+($W596*0.35)+($X596*0.2),0))))</f>
        <v/>
      </c>
      <c r="L596">
        <f>IF($H596="","",$J596*$K596)</f>
        <v/>
      </c>
      <c r="M596">
        <f>IF($H596="","",MAX(1,MIN(5,ROUNDUP($L596/5,0))))</f>
        <v/>
      </c>
      <c r="N596">
        <f>IF($H596="","",IFERROR(INDEX('_ENGINE_Risk'!$T$41:$Y$920,MATCH($E596,'_ENGINE_Risk'!$A$41:$A$920,0),$H596+1),""))</f>
        <v/>
      </c>
      <c r="O596">
        <f>IF($H596="","",MAX(1,MIN(5,($U596+$V596+$X596)/3)))</f>
        <v/>
      </c>
      <c r="P596">
        <f>IF($H596="","",IF($I596="Critical",5,IF($I596="High",4,IF($I596="Medium",3,IF($I596="Low",2,1)))))</f>
        <v/>
      </c>
      <c r="Q596">
        <f>IF($H596="","",MAX(1,MIN(5,((5-$H596)*0.65)+($W596*0.35))))</f>
        <v/>
      </c>
      <c r="R596">
        <f>IF($H596="","",MAX(1,MIN(5,($V596+$X596)/2)))</f>
        <v/>
      </c>
      <c r="S596">
        <f>IF(OR($H596="",$N596=""),"",ROUND(($O596+$P596+$Q596+$R596)/$N596,2))</f>
        <v/>
      </c>
      <c r="T596">
        <f>IF($H596="","",IFERROR(INDEX('_ENGINE_Risk'!$N$41:$S$920,MATCH($E596,'_ENGINE_Risk'!$A$41:$A$920,0),$H596+1),""))</f>
        <v/>
      </c>
      <c r="U596">
        <f>IFERROR(INDEX(_DATA_Assessment_Model!$G$5:$G$884,MATCH($E596,_DATA_Assessment_Model!$A$5:$A$884,0)),"")</f>
        <v/>
      </c>
      <c r="V596">
        <f>IFERROR(INDEX(_DATA_Assessment_Model!$W$5:$W$884,MATCH($E596,_DATA_Assessment_Model!$A$5:$A$884,0)),"")</f>
        <v/>
      </c>
      <c r="W596">
        <f>IFERROR(INDEX(_DATA_Assessment_Model!$X$5:$X$884,MATCH($E596,_DATA_Assessment_Model!$A$5:$A$884,0)),"")</f>
        <v/>
      </c>
      <c r="X596">
        <f>IFERROR(INDEX(_DATA_Assessment_Model!$Y$5:$Y$884,MATCH($E596,_DATA_Assessment_Model!$A$5:$A$884,0)),"")</f>
        <v/>
      </c>
      <c r="Y596" t="inlineStr">
        <is>
          <t>Financial liquidity crisis; Supplier disruption; Fraud risk</t>
        </is>
      </c>
      <c r="Z596" t="inlineStr">
        <is>
          <t>CFO / Procurement</t>
        </is>
      </c>
      <c r="AA596" t="inlineStr">
        <is>
          <t>Policy/SOP; owner/RACI; system report; dashboard; contracts; test records; incident history; interview evidence related to driver-based financial forecasting linked to sales, delivery, workforce, inventory and production.</t>
        </is>
      </c>
      <c r="AB596">
        <f>IFERROR(INDEX(_DATA_Assessment_Model!$U$5:$U$884,MATCH($E596,_DATA_Assessment_Model!$A$5:$A$884,0)),"")</f>
        <v/>
      </c>
      <c r="AF596" t="inlineStr">
        <is>
          <t>How mature is the organization in managing driver-based financial forecasting linked to sales, delivery, workforce, inventory and production, including ownership, evidence, metrics, fallback procedures and crisis stress testing?</t>
        </is>
      </c>
      <c r="AO596">
        <f>IF($B596="Yes",IFERROR(INDEX(_ENGINE_Crisis!$F$501:$F$517,MATCH($C596,_ENGINE_Crisis!$A$501:$A$517,0)),1),"")</f>
        <v/>
      </c>
      <c r="AP596">
        <f>IF(AO596="","",ROUND($L596*AO596,1))</f>
        <v/>
      </c>
      <c r="AQ596">
        <f>IF(OR(AO596="",$S596=""),"",ROUND($S596*(0.7+0.3*AO596),2))</f>
        <v/>
      </c>
      <c r="AR596">
        <f>IFERROR(INDEX(_ENGINE_Crisis!$E$41:$E$700,MATCH('Resilience &amp; Risk Scenario'!$B$60&amp;"|"&amp;$C596,_ENGINE_Crisis!$I$41:$I$700,0)),"")</f>
        <v/>
      </c>
      <c r="AS596">
        <f>IFERROR(INDEX(_ENGINE_Crisis!$G$41:$G$700,MATCH('Resilience &amp; Risk Scenario'!$B$60&amp;"|"&amp;$C596,_ENGINE_Crisis!$I$41:$I$700,0)),"")</f>
        <v/>
      </c>
      <c r="AT596">
        <f>IFERROR(INDEX(_ENGINE_Initiatives!$A$5:$A$532,MATCH(1,INDEX((_ENGINE_Initiatives!$B$5:$B$532=$C596)*(_ENGINE_Initiatives!$C$5:$C$532=$D596),0),0)),"")</f>
        <v/>
      </c>
      <c r="AU596">
        <f>IFERROR(INDEX(_ENGINE_Initiatives!$F$5:$F$532,MATCH(1,INDEX((_ENGINE_Initiatives!$B$5:$B$532=$C596)*(_ENGINE_Initiatives!$C$5:$C$532=$D596),0),0)),"")</f>
        <v/>
      </c>
      <c r="AV596">
        <f>IFERROR(INDEX(_ENGINE_Initiatives!$AC$5:$AC$532,MATCH(1,INDEX((_ENGINE_Initiatives!$B$5:$B$532=$C596)*(_ENGINE_Initiatives!$C$5:$C$532=$D596),0),0)),"")</f>
        <v/>
      </c>
      <c r="AW596">
        <f>IFERROR(INDEX(_ENGINE_Initiatives!$AE$5:$AE$532,MATCH(1,INDEX((_ENGINE_Initiatives!$B$5:$B$532=$C596)*(_ENGINE_Initiatives!$C$5:$C$532=$D596),0),0)),"")</f>
        <v/>
      </c>
      <c r="AX596">
        <f>IF($B596="Yes",IFERROR(IF(SUMIFS(_REF_Model_Content!$E$1:$E$613,_REF_Model_Content!$A$1:$A$613,'Company Profile'!$B$9,_REF_Model_Content!$B$1:$B$613,$C596)=0,1,SUMIFS(_REF_Model_Content!$E$1:$E$613,_REF_Model_Content!$A$1:$A$613,'Company Profile'!$B$9,_REF_Model_Content!$B$1:$B$613,$C596)),1),"")</f>
        <v/>
      </c>
      <c r="AY596">
        <f>IF($L596="","",ROUND(IF($AP596="",$L596,$AP596)*IF($AX596="",1,$AX596),2))</f>
        <v/>
      </c>
      <c r="AZ596">
        <f>IF($S596="","",ROUND(IF($AQ596="",$S596,$AQ596)*IF($AX596="",1,$AX596),2))</f>
        <v/>
      </c>
      <c r="BB596">
        <f>IF($H596="","",IFERROR(INDEX('_ENGINE_Risk'!$AE$41:$AE$920,MATCH($E596,'_ENGINE_Risk'!$A$41:$A$920,0)),"Medium"))</f>
        <v/>
      </c>
      <c r="BC596">
        <f>IF($BB596="","",IF($BB596="Fast",1.25,IF($BB596="Slow",0.85,1)))</f>
        <v/>
      </c>
      <c r="BD596">
        <f>IF(OR($AZ596="",$BC596=""),"",ROUND($AZ596*$BC596,2))</f>
        <v/>
      </c>
      <c r="BF596">
        <f>IF(OR($H596="",$J596=""),"",_xlfn.IFNA(VLOOKUP($J596,_CONFIG_Model_Settings!$D$610:$E$614,2,0),""))</f>
        <v/>
      </c>
      <c r="BG596">
        <f>IF(OR($H596="",$K596=""),"",ROUND('Company Profile'!$B$569*INDEX(_CONFIG_Model_Settings!$H$610:$H$614,MATCH($K596,_CONFIG_Model_Settings!$G$610:$G$614,0)),0))</f>
        <v/>
      </c>
      <c r="BH596">
        <f>IF(OR($BF596="",$BG596=""),"",ROUND($BF596*$BG596,1))</f>
        <v/>
      </c>
      <c r="BI596">
        <f>IF($BH596="","",IF($AO596="",$BH596,ROUND($BH596*$AO596,1)))</f>
        <v/>
      </c>
      <c r="BJ596">
        <f>IF($E596="","",IFERROR(VLOOKUP($C596,'_CONFIG_Risk_Calibration'!$A$5:$H$21,2,FALSE),3))</f>
        <v/>
      </c>
      <c r="BK596">
        <f>IF($E596="","",IFERROR(VLOOKUP($C596,'_CONFIG_Risk_Calibration'!$A$5:$H$21,3,FALSE),0))</f>
        <v/>
      </c>
      <c r="BL596">
        <f>IF($E596="","",IFERROR(VLOOKUP($C596,'_CONFIG_Risk_Calibration'!$A$5:$H$21,4,FALSE),3))</f>
        <v/>
      </c>
      <c r="BM596">
        <f>IF($E596="","",IFERROR(VLOOKUP($C596,'_CONFIG_Risk_Calibration'!$A$5:$H$21,5,FALSE),3))</f>
        <v/>
      </c>
      <c r="BN596">
        <f>IF($E596="","",IFERROR(VLOOKUP($C596,'_CONFIG_Risk_Calibration'!$A$5:$H$21,6,FALSE),"No"))</f>
        <v/>
      </c>
      <c r="BO596">
        <f>IF($E596="","",IFERROR(VLOOKUP($C596,'_CONFIG_Risk_Calibration'!$A$5:$H$21,7,FALSE),1))</f>
        <v/>
      </c>
      <c r="BP596">
        <f>IF($H596="","",MAX(1,MIN(5,((6-$H596)*0.45)+($BJ596*0.20)+('Resilience &amp; Risk Scenario'!$B$7*0.15)+($BK596*0.10)+($BL596*0.05)+(IF($BB596="Fast",5,IF($BB596="Slow",1,3))*0.05))))</f>
        <v/>
      </c>
      <c r="BQ596">
        <f>IF($H596="","",MAX(IF($BN596="Yes",$BO596,1),MIN(5,($U596*0.20)+($V596*0.15)+($W596*0.25)+($X596*0.15)+($BJ596*0.10)+($BM596*0.15))))</f>
        <v/>
      </c>
      <c r="BR596">
        <f>IF(OR($BP596="",$BQ596=""),"",ROUND($BP596*$BQ596,2))</f>
        <v/>
      </c>
      <c r="BS596">
        <f>IF($BR596="","",ROUND($BR596*IF($AO596="",1,$AO596)*IF($AX596="",1,$AX596)*(1+(($BM596-3)*0.10))*IF($BC596="",1,$BC596),2))</f>
        <v/>
      </c>
    </row>
    <row r="597" ht="69.90000000000001" customHeight="1" s="209">
      <c r="A597">
        <f>IF($BD597="","",SUMPRODUCT(ISNUMBER($BD$500:$BD$923)*($BD$500:$BD$923&gt;$BD597))+COUNTIF($BD$500:$BD597,$BD597))</f>
        <v/>
      </c>
      <c r="B597">
        <f>IF($H597="","",IF($H597&lt;5,"Yes","Maintain"))</f>
        <v/>
      </c>
      <c r="C597" t="inlineStr">
        <is>
          <t>Finance Procurement</t>
        </is>
      </c>
      <c r="D597" t="inlineStr">
        <is>
          <t>Financial resilience</t>
        </is>
      </c>
      <c r="E597" t="inlineStr">
        <is>
          <t>FINA-005</t>
        </is>
      </c>
      <c r="F597" t="inlineStr">
        <is>
          <t>Financial control and procurement resilience</t>
        </is>
      </c>
      <c r="G597">
        <f>IF($H597="","",IFERROR(INDEX('_ENGINE_Risk'!$H$41:$M$920,MATCH($E597,'_ENGINE_Risk'!$A$41:$A$920,0),$H597+1),""))</f>
        <v/>
      </c>
      <c r="H597">
        <f>IFERROR(VALUE(INDEX(_DATA_Assessment_Model!$H$5:$H$884,MATCH($E597,_DATA_Assessment_Model!$A$5:$A$884,0))),"")</f>
        <v/>
      </c>
      <c r="I597">
        <f>IF($H597="","",IFERROR(INDEX(_DATA_Assessment_Model!$L$5:$L$884,MATCH($E597,_DATA_Assessment_Model!$A$5:$A$884,0)),IF($H597&lt;=1,"Critical",IF($H597=2,"High",IF($H597=3,"Medium",IF($H597=4,"Low","Resilient"))))))</f>
        <v/>
      </c>
      <c r="J597">
        <f>IF($H597="","",MIN(5,MAX(1,6-$H597)))</f>
        <v/>
      </c>
      <c r="K597">
        <f>IF($H597="","",MAX(1,MIN(5,ROUNDUP(($U597*0.45)+($W597*0.35)+($X597*0.2),0))))</f>
        <v/>
      </c>
      <c r="L597">
        <f>IF($H597="","",$J597*$K597)</f>
        <v/>
      </c>
      <c r="M597">
        <f>IF($H597="","",MAX(1,MIN(5,ROUNDUP($L597/5,0))))</f>
        <v/>
      </c>
      <c r="N597">
        <f>IF($H597="","",IFERROR(INDEX('_ENGINE_Risk'!$T$41:$Y$920,MATCH($E597,'_ENGINE_Risk'!$A$41:$A$920,0),$H597+1),""))</f>
        <v/>
      </c>
      <c r="O597">
        <f>IF($H597="","",MAX(1,MIN(5,($U597+$V597+$X597)/3)))</f>
        <v/>
      </c>
      <c r="P597">
        <f>IF($H597="","",IF($I597="Critical",5,IF($I597="High",4,IF($I597="Medium",3,IF($I597="Low",2,1)))))</f>
        <v/>
      </c>
      <c r="Q597">
        <f>IF($H597="","",MAX(1,MIN(5,((5-$H597)*0.65)+($W597*0.35))))</f>
        <v/>
      </c>
      <c r="R597">
        <f>IF($H597="","",MAX(1,MIN(5,($V597+$X597)/2)))</f>
        <v/>
      </c>
      <c r="S597">
        <f>IF(OR($H597="",$N597=""),"",ROUND(($O597+$P597+$Q597+$R597)/$N597,2))</f>
        <v/>
      </c>
      <c r="T597">
        <f>IF($H597="","",IFERROR(INDEX('_ENGINE_Risk'!$N$41:$S$920,MATCH($E597,'_ENGINE_Risk'!$A$41:$A$920,0),$H597+1),""))</f>
        <v/>
      </c>
      <c r="U597">
        <f>IFERROR(INDEX(_DATA_Assessment_Model!$G$5:$G$884,MATCH($E597,_DATA_Assessment_Model!$A$5:$A$884,0)),"")</f>
        <v/>
      </c>
      <c r="V597">
        <f>IFERROR(INDEX(_DATA_Assessment_Model!$W$5:$W$884,MATCH($E597,_DATA_Assessment_Model!$A$5:$A$884,0)),"")</f>
        <v/>
      </c>
      <c r="W597">
        <f>IFERROR(INDEX(_DATA_Assessment_Model!$X$5:$X$884,MATCH($E597,_DATA_Assessment_Model!$A$5:$A$884,0)),"")</f>
        <v/>
      </c>
      <c r="X597">
        <f>IFERROR(INDEX(_DATA_Assessment_Model!$Y$5:$Y$884,MATCH($E597,_DATA_Assessment_Model!$A$5:$A$884,0)),"")</f>
        <v/>
      </c>
      <c r="Y597" t="inlineStr">
        <is>
          <t>Financial liquidity crisis; Supplier disruption; Fraud risk</t>
        </is>
      </c>
      <c r="Z597" t="inlineStr">
        <is>
          <t>CFO / Procurement</t>
        </is>
      </c>
      <c r="AA597" t="inlineStr">
        <is>
          <t>Policy/SOP; owner/RACI; system report; dashboard; contracts; test records; incident history; interview evidence related to budget flexibility and emergency reallocation rules.</t>
        </is>
      </c>
      <c r="AB597">
        <f>IFERROR(INDEX(_DATA_Assessment_Model!$U$5:$U$884,MATCH($E597,_DATA_Assessment_Model!$A$5:$A$884,0)),"")</f>
        <v/>
      </c>
      <c r="AF597" t="inlineStr">
        <is>
          <t>How mature is the organization in managing budget flexibility and emergency reallocation rules, including ownership, evidence, metrics, fallback procedures and crisis stress testing?</t>
        </is>
      </c>
      <c r="AO597">
        <f>IF($B597="Yes",IFERROR(INDEX(_ENGINE_Crisis!$F$501:$F$517,MATCH($C597,_ENGINE_Crisis!$A$501:$A$517,0)),1),"")</f>
        <v/>
      </c>
      <c r="AP597">
        <f>IF(AO597="","",ROUND($L597*AO597,1))</f>
        <v/>
      </c>
      <c r="AQ597">
        <f>IF(OR(AO597="",$S597=""),"",ROUND($S597*(0.7+0.3*AO597),2))</f>
        <v/>
      </c>
      <c r="AR597">
        <f>IFERROR(INDEX(_ENGINE_Crisis!$E$41:$E$700,MATCH('Resilience &amp; Risk Scenario'!$B$60&amp;"|"&amp;$C597,_ENGINE_Crisis!$I$41:$I$700,0)),"")</f>
        <v/>
      </c>
      <c r="AS597">
        <f>IFERROR(INDEX(_ENGINE_Crisis!$G$41:$G$700,MATCH('Resilience &amp; Risk Scenario'!$B$60&amp;"|"&amp;$C597,_ENGINE_Crisis!$I$41:$I$700,0)),"")</f>
        <v/>
      </c>
      <c r="AT597">
        <f>IFERROR(INDEX(_ENGINE_Initiatives!$A$5:$A$532,MATCH(1,INDEX((_ENGINE_Initiatives!$B$5:$B$532=$C597)*(_ENGINE_Initiatives!$C$5:$C$532=$D597),0),0)),"")</f>
        <v/>
      </c>
      <c r="AU597">
        <f>IFERROR(INDEX(_ENGINE_Initiatives!$F$5:$F$532,MATCH(1,INDEX((_ENGINE_Initiatives!$B$5:$B$532=$C597)*(_ENGINE_Initiatives!$C$5:$C$532=$D597),0),0)),"")</f>
        <v/>
      </c>
      <c r="AV597">
        <f>IFERROR(INDEX(_ENGINE_Initiatives!$AC$5:$AC$532,MATCH(1,INDEX((_ENGINE_Initiatives!$B$5:$B$532=$C597)*(_ENGINE_Initiatives!$C$5:$C$532=$D597),0),0)),"")</f>
        <v/>
      </c>
      <c r="AW597">
        <f>IFERROR(INDEX(_ENGINE_Initiatives!$AE$5:$AE$532,MATCH(1,INDEX((_ENGINE_Initiatives!$B$5:$B$532=$C597)*(_ENGINE_Initiatives!$C$5:$C$532=$D597),0),0)),"")</f>
        <v/>
      </c>
      <c r="AX597">
        <f>IF($B597="Yes",IFERROR(IF(SUMIFS(_REF_Model_Content!$E$1:$E$613,_REF_Model_Content!$A$1:$A$613,'Company Profile'!$B$9,_REF_Model_Content!$B$1:$B$613,$C597)=0,1,SUMIFS(_REF_Model_Content!$E$1:$E$613,_REF_Model_Content!$A$1:$A$613,'Company Profile'!$B$9,_REF_Model_Content!$B$1:$B$613,$C597)),1),"")</f>
        <v/>
      </c>
      <c r="AY597">
        <f>IF($L597="","",ROUND(IF($AP597="",$L597,$AP597)*IF($AX597="",1,$AX597),2))</f>
        <v/>
      </c>
      <c r="AZ597">
        <f>IF($S597="","",ROUND(IF($AQ597="",$S597,$AQ597)*IF($AX597="",1,$AX597),2))</f>
        <v/>
      </c>
      <c r="BB597">
        <f>IF($H597="","",IFERROR(INDEX('_ENGINE_Risk'!$AE$41:$AE$920,MATCH($E597,'_ENGINE_Risk'!$A$41:$A$920,0)),"Medium"))</f>
        <v/>
      </c>
      <c r="BC597">
        <f>IF($BB597="","",IF($BB597="Fast",1.25,IF($BB597="Slow",0.85,1)))</f>
        <v/>
      </c>
      <c r="BD597">
        <f>IF(OR($AZ597="",$BC597=""),"",ROUND($AZ597*$BC597,2))</f>
        <v/>
      </c>
      <c r="BF597">
        <f>IF(OR($H597="",$J597=""),"",_xlfn.IFNA(VLOOKUP($J597,_CONFIG_Model_Settings!$D$610:$E$614,2,0),""))</f>
        <v/>
      </c>
      <c r="BG597">
        <f>IF(OR($H597="",$K597=""),"",ROUND('Company Profile'!$B$569*INDEX(_CONFIG_Model_Settings!$H$610:$H$614,MATCH($K597,_CONFIG_Model_Settings!$G$610:$G$614,0)),0))</f>
        <v/>
      </c>
      <c r="BH597">
        <f>IF(OR($BF597="",$BG597=""),"",ROUND($BF597*$BG597,1))</f>
        <v/>
      </c>
      <c r="BI597">
        <f>IF($BH597="","",IF($AO597="",$BH597,ROUND($BH597*$AO597,1)))</f>
        <v/>
      </c>
      <c r="BJ597">
        <f>IF($E597="","",IFERROR(VLOOKUP($C597,'_CONFIG_Risk_Calibration'!$A$5:$H$21,2,FALSE),3))</f>
        <v/>
      </c>
      <c r="BK597">
        <f>IF($E597="","",IFERROR(VLOOKUP($C597,'_CONFIG_Risk_Calibration'!$A$5:$H$21,3,FALSE),0))</f>
        <v/>
      </c>
      <c r="BL597">
        <f>IF($E597="","",IFERROR(VLOOKUP($C597,'_CONFIG_Risk_Calibration'!$A$5:$H$21,4,FALSE),3))</f>
        <v/>
      </c>
      <c r="BM597">
        <f>IF($E597="","",IFERROR(VLOOKUP($C597,'_CONFIG_Risk_Calibration'!$A$5:$H$21,5,FALSE),3))</f>
        <v/>
      </c>
      <c r="BN597">
        <f>IF($E597="","",IFERROR(VLOOKUP($C597,'_CONFIG_Risk_Calibration'!$A$5:$H$21,6,FALSE),"No"))</f>
        <v/>
      </c>
      <c r="BO597">
        <f>IF($E597="","",IFERROR(VLOOKUP($C597,'_CONFIG_Risk_Calibration'!$A$5:$H$21,7,FALSE),1))</f>
        <v/>
      </c>
      <c r="BP597">
        <f>IF($H597="","",MAX(1,MIN(5,((6-$H597)*0.45)+($BJ597*0.20)+('Resilience &amp; Risk Scenario'!$B$7*0.15)+($BK597*0.10)+($BL597*0.05)+(IF($BB597="Fast",5,IF($BB597="Slow",1,3))*0.05))))</f>
        <v/>
      </c>
      <c r="BQ597">
        <f>IF($H597="","",MAX(IF($BN597="Yes",$BO597,1),MIN(5,($U597*0.20)+($V597*0.15)+($W597*0.25)+($X597*0.15)+($BJ597*0.10)+($BM597*0.15))))</f>
        <v/>
      </c>
      <c r="BR597">
        <f>IF(OR($BP597="",$BQ597=""),"",ROUND($BP597*$BQ597,2))</f>
        <v/>
      </c>
      <c r="BS597">
        <f>IF($BR597="","",ROUND($BR597*IF($AO597="",1,$AO597)*IF($AX597="",1,$AX597)*(1+(($BM597-3)*0.10))*IF($BC597="",1,$BC597),2))</f>
        <v/>
      </c>
    </row>
    <row r="598" ht="69.90000000000001" customHeight="1" s="209">
      <c r="A598">
        <f>IF($BD598="","",SUMPRODUCT(ISNUMBER($BD$500:$BD$923)*($BD$500:$BD$923&gt;$BD598))+COUNTIF($BD$500:$BD598,$BD598))</f>
        <v/>
      </c>
      <c r="B598">
        <f>IF($H598="","",IF($H598&lt;5,"Yes","Maintain"))</f>
        <v/>
      </c>
      <c r="C598" t="inlineStr">
        <is>
          <t>Finance Procurement</t>
        </is>
      </c>
      <c r="D598" t="inlineStr">
        <is>
          <t>Financial resilience</t>
        </is>
      </c>
      <c r="E598" t="inlineStr">
        <is>
          <t>FINA-006</t>
        </is>
      </c>
      <c r="F598" t="inlineStr">
        <is>
          <t>Financial control and procurement resilience</t>
        </is>
      </c>
      <c r="G598">
        <f>IF($H598="","",IFERROR(INDEX('_ENGINE_Risk'!$H$41:$M$920,MATCH($E598,'_ENGINE_Risk'!$A$41:$A$920,0),$H598+1),""))</f>
        <v/>
      </c>
      <c r="H598">
        <f>IFERROR(VALUE(INDEX(_DATA_Assessment_Model!$H$5:$H$884,MATCH($E598,_DATA_Assessment_Model!$A$5:$A$884,0))),"")</f>
        <v/>
      </c>
      <c r="I598">
        <f>IF($H598="","",IFERROR(INDEX(_DATA_Assessment_Model!$L$5:$L$884,MATCH($E598,_DATA_Assessment_Model!$A$5:$A$884,0)),IF($H598&lt;=1,"Critical",IF($H598=2,"High",IF($H598=3,"Medium",IF($H598=4,"Low","Resilient"))))))</f>
        <v/>
      </c>
      <c r="J598">
        <f>IF($H598="","",MIN(5,MAX(1,6-$H598)))</f>
        <v/>
      </c>
      <c r="K598">
        <f>IF($H598="","",MAX(1,MIN(5,ROUNDUP(($U598*0.45)+($W598*0.35)+($X598*0.2),0))))</f>
        <v/>
      </c>
      <c r="L598">
        <f>IF($H598="","",$J598*$K598)</f>
        <v/>
      </c>
      <c r="M598">
        <f>IF($H598="","",MAX(1,MIN(5,ROUNDUP($L598/5,0))))</f>
        <v/>
      </c>
      <c r="N598">
        <f>IF($H598="","",IFERROR(INDEX('_ENGINE_Risk'!$T$41:$Y$920,MATCH($E598,'_ENGINE_Risk'!$A$41:$A$920,0),$H598+1),""))</f>
        <v/>
      </c>
      <c r="O598">
        <f>IF($H598="","",MAX(1,MIN(5,($U598+$V598+$X598)/3)))</f>
        <v/>
      </c>
      <c r="P598">
        <f>IF($H598="","",IF($I598="Critical",5,IF($I598="High",4,IF($I598="Medium",3,IF($I598="Low",2,1)))))</f>
        <v/>
      </c>
      <c r="Q598">
        <f>IF($H598="","",MAX(1,MIN(5,((5-$H598)*0.65)+($W598*0.35))))</f>
        <v/>
      </c>
      <c r="R598">
        <f>IF($H598="","",MAX(1,MIN(5,($V598+$X598)/2)))</f>
        <v/>
      </c>
      <c r="S598">
        <f>IF(OR($H598="",$N598=""),"",ROUND(($O598+$P598+$Q598+$R598)/$N598,2))</f>
        <v/>
      </c>
      <c r="T598">
        <f>IF($H598="","",IFERROR(INDEX('_ENGINE_Risk'!$N$41:$S$920,MATCH($E598,'_ENGINE_Risk'!$A$41:$A$920,0),$H598+1),""))</f>
        <v/>
      </c>
      <c r="U598">
        <f>IFERROR(INDEX(_DATA_Assessment_Model!$G$5:$G$884,MATCH($E598,_DATA_Assessment_Model!$A$5:$A$884,0)),"")</f>
        <v/>
      </c>
      <c r="V598">
        <f>IFERROR(INDEX(_DATA_Assessment_Model!$W$5:$W$884,MATCH($E598,_DATA_Assessment_Model!$A$5:$A$884,0)),"")</f>
        <v/>
      </c>
      <c r="W598">
        <f>IFERROR(INDEX(_DATA_Assessment_Model!$X$5:$X$884,MATCH($E598,_DATA_Assessment_Model!$A$5:$A$884,0)),"")</f>
        <v/>
      </c>
      <c r="X598">
        <f>IFERROR(INDEX(_DATA_Assessment_Model!$Y$5:$Y$884,MATCH($E598,_DATA_Assessment_Model!$A$5:$A$884,0)),"")</f>
        <v/>
      </c>
      <c r="Y598" t="inlineStr">
        <is>
          <t>Financial liquidity crisis; Supplier disruption; Fraud risk</t>
        </is>
      </c>
      <c r="Z598" t="inlineStr">
        <is>
          <t>CFO / Procurement</t>
        </is>
      </c>
      <c r="AA598" t="inlineStr">
        <is>
          <t>Policy/SOP; owner/RACI; system report; dashboard; contracts; test records; incident history; interview evidence related to financial stress tests for revenue collapse, currency shock, supplier price spikes, debt pressure and delayed receivables.</t>
        </is>
      </c>
      <c r="AB598">
        <f>IFERROR(INDEX(_DATA_Assessment_Model!$U$5:$U$884,MATCH($E598,_DATA_Assessment_Model!$A$5:$A$884,0)),"")</f>
        <v/>
      </c>
      <c r="AF598" t="inlineStr">
        <is>
          <t>How mature is the organization in managing financial stress tests for revenue collapse, currency shock, supplier price spikes, debt pressure and delayed receivables, including ownership, evidence, metrics, fallback procedures and crisis stress testing?</t>
        </is>
      </c>
      <c r="AO598">
        <f>IF($B598="Yes",IFERROR(INDEX(_ENGINE_Crisis!$F$501:$F$517,MATCH($C598,_ENGINE_Crisis!$A$501:$A$517,0)),1),"")</f>
        <v/>
      </c>
      <c r="AP598">
        <f>IF(AO598="","",ROUND($L598*AO598,1))</f>
        <v/>
      </c>
      <c r="AQ598">
        <f>IF(OR(AO598="",$S598=""),"",ROUND($S598*(0.7+0.3*AO598),2))</f>
        <v/>
      </c>
      <c r="AR598">
        <f>IFERROR(INDEX(_ENGINE_Crisis!$E$41:$E$700,MATCH('Resilience &amp; Risk Scenario'!$B$60&amp;"|"&amp;$C598,_ENGINE_Crisis!$I$41:$I$700,0)),"")</f>
        <v/>
      </c>
      <c r="AS598">
        <f>IFERROR(INDEX(_ENGINE_Crisis!$G$41:$G$700,MATCH('Resilience &amp; Risk Scenario'!$B$60&amp;"|"&amp;$C598,_ENGINE_Crisis!$I$41:$I$700,0)),"")</f>
        <v/>
      </c>
      <c r="AT598">
        <f>IFERROR(INDEX(_ENGINE_Initiatives!$A$5:$A$532,MATCH(1,INDEX((_ENGINE_Initiatives!$B$5:$B$532=$C598)*(_ENGINE_Initiatives!$C$5:$C$532=$D598),0),0)),"")</f>
        <v/>
      </c>
      <c r="AU598">
        <f>IFERROR(INDEX(_ENGINE_Initiatives!$F$5:$F$532,MATCH(1,INDEX((_ENGINE_Initiatives!$B$5:$B$532=$C598)*(_ENGINE_Initiatives!$C$5:$C$532=$D598),0),0)),"")</f>
        <v/>
      </c>
      <c r="AV598">
        <f>IFERROR(INDEX(_ENGINE_Initiatives!$AC$5:$AC$532,MATCH(1,INDEX((_ENGINE_Initiatives!$B$5:$B$532=$C598)*(_ENGINE_Initiatives!$C$5:$C$532=$D598),0),0)),"")</f>
        <v/>
      </c>
      <c r="AW598">
        <f>IFERROR(INDEX(_ENGINE_Initiatives!$AE$5:$AE$532,MATCH(1,INDEX((_ENGINE_Initiatives!$B$5:$B$532=$C598)*(_ENGINE_Initiatives!$C$5:$C$532=$D598),0),0)),"")</f>
        <v/>
      </c>
      <c r="AX598">
        <f>IF($B598="Yes",IFERROR(IF(SUMIFS(_REF_Model_Content!$E$1:$E$613,_REF_Model_Content!$A$1:$A$613,'Company Profile'!$B$9,_REF_Model_Content!$B$1:$B$613,$C598)=0,1,SUMIFS(_REF_Model_Content!$E$1:$E$613,_REF_Model_Content!$A$1:$A$613,'Company Profile'!$B$9,_REF_Model_Content!$B$1:$B$613,$C598)),1),"")</f>
        <v/>
      </c>
      <c r="AY598">
        <f>IF($L598="","",ROUND(IF($AP598="",$L598,$AP598)*IF($AX598="",1,$AX598),2))</f>
        <v/>
      </c>
      <c r="AZ598">
        <f>IF($S598="","",ROUND(IF($AQ598="",$S598,$AQ598)*IF($AX598="",1,$AX598),2))</f>
        <v/>
      </c>
      <c r="BB598">
        <f>IF($H598="","",IFERROR(INDEX('_ENGINE_Risk'!$AE$41:$AE$920,MATCH($E598,'_ENGINE_Risk'!$A$41:$A$920,0)),"Medium"))</f>
        <v/>
      </c>
      <c r="BC598">
        <f>IF($BB598="","",IF($BB598="Fast",1.25,IF($BB598="Slow",0.85,1)))</f>
        <v/>
      </c>
      <c r="BD598">
        <f>IF(OR($AZ598="",$BC598=""),"",ROUND($AZ598*$BC598,2))</f>
        <v/>
      </c>
      <c r="BF598">
        <f>IF(OR($H598="",$J598=""),"",_xlfn.IFNA(VLOOKUP($J598,_CONFIG_Model_Settings!$D$610:$E$614,2,0),""))</f>
        <v/>
      </c>
      <c r="BG598">
        <f>IF(OR($H598="",$K598=""),"",ROUND('Company Profile'!$B$569*INDEX(_CONFIG_Model_Settings!$H$610:$H$614,MATCH($K598,_CONFIG_Model_Settings!$G$610:$G$614,0)),0))</f>
        <v/>
      </c>
      <c r="BH598">
        <f>IF(OR($BF598="",$BG598=""),"",ROUND($BF598*$BG598,1))</f>
        <v/>
      </c>
      <c r="BI598">
        <f>IF($BH598="","",IF($AO598="",$BH598,ROUND($BH598*$AO598,1)))</f>
        <v/>
      </c>
      <c r="BJ598">
        <f>IF($E598="","",IFERROR(VLOOKUP($C598,'_CONFIG_Risk_Calibration'!$A$5:$H$21,2,FALSE),3))</f>
        <v/>
      </c>
      <c r="BK598">
        <f>IF($E598="","",IFERROR(VLOOKUP($C598,'_CONFIG_Risk_Calibration'!$A$5:$H$21,3,FALSE),0))</f>
        <v/>
      </c>
      <c r="BL598">
        <f>IF($E598="","",IFERROR(VLOOKUP($C598,'_CONFIG_Risk_Calibration'!$A$5:$H$21,4,FALSE),3))</f>
        <v/>
      </c>
      <c r="BM598">
        <f>IF($E598="","",IFERROR(VLOOKUP($C598,'_CONFIG_Risk_Calibration'!$A$5:$H$21,5,FALSE),3))</f>
        <v/>
      </c>
      <c r="BN598">
        <f>IF($E598="","",IFERROR(VLOOKUP($C598,'_CONFIG_Risk_Calibration'!$A$5:$H$21,6,FALSE),"No"))</f>
        <v/>
      </c>
      <c r="BO598">
        <f>IF($E598="","",IFERROR(VLOOKUP($C598,'_CONFIG_Risk_Calibration'!$A$5:$H$21,7,FALSE),1))</f>
        <v/>
      </c>
      <c r="BP598">
        <f>IF($H598="","",MAX(1,MIN(5,((6-$H598)*0.45)+($BJ598*0.20)+('Resilience &amp; Risk Scenario'!$B$7*0.15)+($BK598*0.10)+($BL598*0.05)+(IF($BB598="Fast",5,IF($BB598="Slow",1,3))*0.05))))</f>
        <v/>
      </c>
      <c r="BQ598">
        <f>IF($H598="","",MAX(IF($BN598="Yes",$BO598,1),MIN(5,($U598*0.20)+($V598*0.15)+($W598*0.25)+($X598*0.15)+($BJ598*0.10)+($BM598*0.15))))</f>
        <v/>
      </c>
      <c r="BR598">
        <f>IF(OR($BP598="",$BQ598=""),"",ROUND($BP598*$BQ598,2))</f>
        <v/>
      </c>
      <c r="BS598">
        <f>IF($BR598="","",ROUND($BR598*IF($AO598="",1,$AO598)*IF($AX598="",1,$AX598)*(1+(($BM598-3)*0.10))*IF($BC598="",1,$BC598),2))</f>
        <v/>
      </c>
    </row>
    <row r="599" ht="69.90000000000001" customHeight="1" s="209">
      <c r="A599">
        <f>IF($BD599="","",SUMPRODUCT(ISNUMBER($BD$500:$BD$923)*($BD$500:$BD$923&gt;$BD599))+COUNTIF($BD$500:$BD599,$BD599))</f>
        <v/>
      </c>
      <c r="B599">
        <f>IF($H599="","",IF($H599&lt;5,"Yes","Maintain"))</f>
        <v/>
      </c>
      <c r="C599" t="inlineStr">
        <is>
          <t>Finance Procurement</t>
        </is>
      </c>
      <c r="D599" t="inlineStr">
        <is>
          <t>Controls and accounting</t>
        </is>
      </c>
      <c r="E599" t="inlineStr">
        <is>
          <t>FINA-007</t>
        </is>
      </c>
      <c r="F599" t="inlineStr">
        <is>
          <t>Financial control and procurement resilience</t>
        </is>
      </c>
      <c r="G599">
        <f>IF($H599="","",IFERROR(INDEX('_ENGINE_Risk'!$H$41:$M$920,MATCH($E599,'_ENGINE_Risk'!$A$41:$A$920,0),$H599+1),""))</f>
        <v/>
      </c>
      <c r="H599">
        <f>IFERROR(VALUE(INDEX(_DATA_Assessment_Model!$H$5:$H$884,MATCH($E599,_DATA_Assessment_Model!$A$5:$A$884,0))),"")</f>
        <v/>
      </c>
      <c r="I599">
        <f>IF($H599="","",IFERROR(INDEX(_DATA_Assessment_Model!$L$5:$L$884,MATCH($E599,_DATA_Assessment_Model!$A$5:$A$884,0)),IF($H599&lt;=1,"Critical",IF($H599=2,"High",IF($H599=3,"Medium",IF($H599=4,"Low","Resilient"))))))</f>
        <v/>
      </c>
      <c r="J599">
        <f>IF($H599="","",MIN(5,MAX(1,6-$H599)))</f>
        <v/>
      </c>
      <c r="K599">
        <f>IF($H599="","",MAX(1,MIN(5,ROUNDUP(($U599*0.45)+($W599*0.35)+($X599*0.2),0))))</f>
        <v/>
      </c>
      <c r="L599">
        <f>IF($H599="","",$J599*$K599)</f>
        <v/>
      </c>
      <c r="M599">
        <f>IF($H599="","",MAX(1,MIN(5,ROUNDUP($L599/5,0))))</f>
        <v/>
      </c>
      <c r="N599">
        <f>IF($H599="","",IFERROR(INDEX('_ENGINE_Risk'!$T$41:$Y$920,MATCH($E599,'_ENGINE_Risk'!$A$41:$A$920,0),$H599+1),""))</f>
        <v/>
      </c>
      <c r="O599">
        <f>IF($H599="","",MAX(1,MIN(5,($U599+$V599+$X599)/3)))</f>
        <v/>
      </c>
      <c r="P599">
        <f>IF($H599="","",IF($I599="Critical",5,IF($I599="High",4,IF($I599="Medium",3,IF($I599="Low",2,1)))))</f>
        <v/>
      </c>
      <c r="Q599">
        <f>IF($H599="","",MAX(1,MIN(5,((5-$H599)*0.65)+($W599*0.35))))</f>
        <v/>
      </c>
      <c r="R599">
        <f>IF($H599="","",MAX(1,MIN(5,($V599+$X599)/2)))</f>
        <v/>
      </c>
      <c r="S599">
        <f>IF(OR($H599="",$N599=""),"",ROUND(($O599+$P599+$Q599+$R599)/$N599,2))</f>
        <v/>
      </c>
      <c r="T599">
        <f>IF($H599="","",IFERROR(INDEX('_ENGINE_Risk'!$N$41:$S$920,MATCH($E599,'_ENGINE_Risk'!$A$41:$A$920,0),$H599+1),""))</f>
        <v/>
      </c>
      <c r="U599">
        <f>IFERROR(INDEX(_DATA_Assessment_Model!$G$5:$G$884,MATCH($E599,_DATA_Assessment_Model!$A$5:$A$884,0)),"")</f>
        <v/>
      </c>
      <c r="V599">
        <f>IFERROR(INDEX(_DATA_Assessment_Model!$W$5:$W$884,MATCH($E599,_DATA_Assessment_Model!$A$5:$A$884,0)),"")</f>
        <v/>
      </c>
      <c r="W599">
        <f>IFERROR(INDEX(_DATA_Assessment_Model!$X$5:$X$884,MATCH($E599,_DATA_Assessment_Model!$A$5:$A$884,0)),"")</f>
        <v/>
      </c>
      <c r="X599">
        <f>IFERROR(INDEX(_DATA_Assessment_Model!$Y$5:$Y$884,MATCH($E599,_DATA_Assessment_Model!$A$5:$A$884,0)),"")</f>
        <v/>
      </c>
      <c r="Y599" t="inlineStr">
        <is>
          <t>Financial liquidity crisis; Supplier disruption; Fraud risk</t>
        </is>
      </c>
      <c r="Z599" t="inlineStr">
        <is>
          <t>CFO / Procurement</t>
        </is>
      </c>
      <c r="AA599" t="inlineStr">
        <is>
          <t>Policy/SOP; owner/RACI; system report; dashboard; contracts; test records; incident history; interview evidence related to approval limits and emergency approvals resilient if key approvers are unavailable.</t>
        </is>
      </c>
      <c r="AB599">
        <f>IFERROR(INDEX(_DATA_Assessment_Model!$U$5:$U$884,MATCH($E599,_DATA_Assessment_Model!$A$5:$A$884,0)),"")</f>
        <v/>
      </c>
      <c r="AF599" t="inlineStr">
        <is>
          <t>How mature is the organization in managing approval limits and emergency approvals resilient if key approvers are unavailable, including ownership, evidence, metrics, fallback procedures and crisis stress testing?</t>
        </is>
      </c>
      <c r="AO599">
        <f>IF($B599="Yes",IFERROR(INDEX(_ENGINE_Crisis!$F$501:$F$517,MATCH($C599,_ENGINE_Crisis!$A$501:$A$517,0)),1),"")</f>
        <v/>
      </c>
      <c r="AP599">
        <f>IF(AO599="","",ROUND($L599*AO599,1))</f>
        <v/>
      </c>
      <c r="AQ599">
        <f>IF(OR(AO599="",$S599=""),"",ROUND($S599*(0.7+0.3*AO599),2))</f>
        <v/>
      </c>
      <c r="AR599">
        <f>IFERROR(INDEX(_ENGINE_Crisis!$E$41:$E$700,MATCH('Resilience &amp; Risk Scenario'!$B$60&amp;"|"&amp;$C599,_ENGINE_Crisis!$I$41:$I$700,0)),"")</f>
        <v/>
      </c>
      <c r="AS599">
        <f>IFERROR(INDEX(_ENGINE_Crisis!$G$41:$G$700,MATCH('Resilience &amp; Risk Scenario'!$B$60&amp;"|"&amp;$C599,_ENGINE_Crisis!$I$41:$I$700,0)),"")</f>
        <v/>
      </c>
      <c r="AT599">
        <f>IFERROR(INDEX(_ENGINE_Initiatives!$A$5:$A$532,MATCH(1,INDEX((_ENGINE_Initiatives!$B$5:$B$532=$C599)*(_ENGINE_Initiatives!$C$5:$C$532=$D599),0),0)),"")</f>
        <v/>
      </c>
      <c r="AU599">
        <f>IFERROR(INDEX(_ENGINE_Initiatives!$F$5:$F$532,MATCH(1,INDEX((_ENGINE_Initiatives!$B$5:$B$532=$C599)*(_ENGINE_Initiatives!$C$5:$C$532=$D599),0),0)),"")</f>
        <v/>
      </c>
      <c r="AV599">
        <f>IFERROR(INDEX(_ENGINE_Initiatives!$AC$5:$AC$532,MATCH(1,INDEX((_ENGINE_Initiatives!$B$5:$B$532=$C599)*(_ENGINE_Initiatives!$C$5:$C$532=$D599),0),0)),"")</f>
        <v/>
      </c>
      <c r="AW599">
        <f>IFERROR(INDEX(_ENGINE_Initiatives!$AE$5:$AE$532,MATCH(1,INDEX((_ENGINE_Initiatives!$B$5:$B$532=$C599)*(_ENGINE_Initiatives!$C$5:$C$532=$D599),0),0)),"")</f>
        <v/>
      </c>
      <c r="AX599">
        <f>IF($B599="Yes",IFERROR(IF(SUMIFS(_REF_Model_Content!$E$1:$E$613,_REF_Model_Content!$A$1:$A$613,'Company Profile'!$B$9,_REF_Model_Content!$B$1:$B$613,$C599)=0,1,SUMIFS(_REF_Model_Content!$E$1:$E$613,_REF_Model_Content!$A$1:$A$613,'Company Profile'!$B$9,_REF_Model_Content!$B$1:$B$613,$C599)),1),"")</f>
        <v/>
      </c>
      <c r="AY599">
        <f>IF($L599="","",ROUND(IF($AP599="",$L599,$AP599)*IF($AX599="",1,$AX599),2))</f>
        <v/>
      </c>
      <c r="AZ599">
        <f>IF($S599="","",ROUND(IF($AQ599="",$S599,$AQ599)*IF($AX599="",1,$AX599),2))</f>
        <v/>
      </c>
      <c r="BB599">
        <f>IF($H599="","",IFERROR(INDEX('_ENGINE_Risk'!$AE$41:$AE$920,MATCH($E599,'_ENGINE_Risk'!$A$41:$A$920,0)),"Medium"))</f>
        <v/>
      </c>
      <c r="BC599">
        <f>IF($BB599="","",IF($BB599="Fast",1.25,IF($BB599="Slow",0.85,1)))</f>
        <v/>
      </c>
      <c r="BD599">
        <f>IF(OR($AZ599="",$BC599=""),"",ROUND($AZ599*$BC599,2))</f>
        <v/>
      </c>
      <c r="BF599">
        <f>IF(OR($H599="",$J599=""),"",_xlfn.IFNA(VLOOKUP($J599,_CONFIG_Model_Settings!$D$610:$E$614,2,0),""))</f>
        <v/>
      </c>
      <c r="BG599">
        <f>IF(OR($H599="",$K599=""),"",ROUND('Company Profile'!$B$569*INDEX(_CONFIG_Model_Settings!$H$610:$H$614,MATCH($K599,_CONFIG_Model_Settings!$G$610:$G$614,0)),0))</f>
        <v/>
      </c>
      <c r="BH599">
        <f>IF(OR($BF599="",$BG599=""),"",ROUND($BF599*$BG599,1))</f>
        <v/>
      </c>
      <c r="BI599">
        <f>IF($BH599="","",IF($AO599="",$BH599,ROUND($BH599*$AO599,1)))</f>
        <v/>
      </c>
      <c r="BJ599">
        <f>IF($E599="","",IFERROR(VLOOKUP($C599,'_CONFIG_Risk_Calibration'!$A$5:$H$21,2,FALSE),3))</f>
        <v/>
      </c>
      <c r="BK599">
        <f>IF($E599="","",IFERROR(VLOOKUP($C599,'_CONFIG_Risk_Calibration'!$A$5:$H$21,3,FALSE),0))</f>
        <v/>
      </c>
      <c r="BL599">
        <f>IF($E599="","",IFERROR(VLOOKUP($C599,'_CONFIG_Risk_Calibration'!$A$5:$H$21,4,FALSE),3))</f>
        <v/>
      </c>
      <c r="BM599">
        <f>IF($E599="","",IFERROR(VLOOKUP($C599,'_CONFIG_Risk_Calibration'!$A$5:$H$21,5,FALSE),3))</f>
        <v/>
      </c>
      <c r="BN599">
        <f>IF($E599="","",IFERROR(VLOOKUP($C599,'_CONFIG_Risk_Calibration'!$A$5:$H$21,6,FALSE),"No"))</f>
        <v/>
      </c>
      <c r="BO599">
        <f>IF($E599="","",IFERROR(VLOOKUP($C599,'_CONFIG_Risk_Calibration'!$A$5:$H$21,7,FALSE),1))</f>
        <v/>
      </c>
      <c r="BP599">
        <f>IF($H599="","",MAX(1,MIN(5,((6-$H599)*0.45)+($BJ599*0.20)+('Resilience &amp; Risk Scenario'!$B$7*0.15)+($BK599*0.10)+($BL599*0.05)+(IF($BB599="Fast",5,IF($BB599="Slow",1,3))*0.05))))</f>
        <v/>
      </c>
      <c r="BQ599">
        <f>IF($H599="","",MAX(IF($BN599="Yes",$BO599,1),MIN(5,($U599*0.20)+($V599*0.15)+($W599*0.25)+($X599*0.15)+($BJ599*0.10)+($BM599*0.15))))</f>
        <v/>
      </c>
      <c r="BR599">
        <f>IF(OR($BP599="",$BQ599=""),"",ROUND($BP599*$BQ599,2))</f>
        <v/>
      </c>
      <c r="BS599">
        <f>IF($BR599="","",ROUND($BR599*IF($AO599="",1,$AO599)*IF($AX599="",1,$AX599)*(1+(($BM599-3)*0.10))*IF($BC599="",1,$BC599),2))</f>
        <v/>
      </c>
    </row>
    <row r="600" ht="69.90000000000001" customHeight="1" s="209">
      <c r="A600">
        <f>IF($BD600="","",SUMPRODUCT(ISNUMBER($BD$500:$BD$923)*($BD$500:$BD$923&gt;$BD600))+COUNTIF($BD$500:$BD600,$BD600))</f>
        <v/>
      </c>
      <c r="B600">
        <f>IF($H600="","",IF($H600&lt;5,"Yes","Maintain"))</f>
        <v/>
      </c>
      <c r="C600" t="inlineStr">
        <is>
          <t>Finance Procurement</t>
        </is>
      </c>
      <c r="D600" t="inlineStr">
        <is>
          <t>Controls and accounting</t>
        </is>
      </c>
      <c r="E600" t="inlineStr">
        <is>
          <t>FINA-008</t>
        </is>
      </c>
      <c r="F600" t="inlineStr">
        <is>
          <t>Financial control and procurement resilience</t>
        </is>
      </c>
      <c r="G600">
        <f>IF($H600="","",IFERROR(INDEX('_ENGINE_Risk'!$H$41:$M$920,MATCH($E600,'_ENGINE_Risk'!$A$41:$A$920,0),$H600+1),""))</f>
        <v/>
      </c>
      <c r="H600">
        <f>IFERROR(VALUE(INDEX(_DATA_Assessment_Model!$H$5:$H$884,MATCH($E600,_DATA_Assessment_Model!$A$5:$A$884,0))),"")</f>
        <v/>
      </c>
      <c r="I600">
        <f>IF($H600="","",IFERROR(INDEX(_DATA_Assessment_Model!$L$5:$L$884,MATCH($E600,_DATA_Assessment_Model!$A$5:$A$884,0)),IF($H600&lt;=1,"Critical",IF($H600=2,"High",IF($H600=3,"Medium",IF($H600=4,"Low","Resilient"))))))</f>
        <v/>
      </c>
      <c r="J600">
        <f>IF($H600="","",MIN(5,MAX(1,6-$H600)))</f>
        <v/>
      </c>
      <c r="K600">
        <f>IF($H600="","",MAX(1,MIN(5,ROUNDUP(($U600*0.45)+($W600*0.35)+($X600*0.2),0))))</f>
        <v/>
      </c>
      <c r="L600">
        <f>IF($H600="","",$J600*$K600)</f>
        <v/>
      </c>
      <c r="M600">
        <f>IF($H600="","",MAX(1,MIN(5,ROUNDUP($L600/5,0))))</f>
        <v/>
      </c>
      <c r="N600">
        <f>IF($H600="","",IFERROR(INDEX('_ENGINE_Risk'!$T$41:$Y$920,MATCH($E600,'_ENGINE_Risk'!$A$41:$A$920,0),$H600+1),""))</f>
        <v/>
      </c>
      <c r="O600">
        <f>IF($H600="","",MAX(1,MIN(5,($U600+$V600+$X600)/3)))</f>
        <v/>
      </c>
      <c r="P600">
        <f>IF($H600="","",IF($I600="Critical",5,IF($I600="High",4,IF($I600="Medium",3,IF($I600="Low",2,1)))))</f>
        <v/>
      </c>
      <c r="Q600">
        <f>IF($H600="","",MAX(1,MIN(5,((5-$H600)*0.65)+($W600*0.35))))</f>
        <v/>
      </c>
      <c r="R600">
        <f>IF($H600="","",MAX(1,MIN(5,($V600+$X600)/2)))</f>
        <v/>
      </c>
      <c r="S600">
        <f>IF(OR($H600="",$N600=""),"",ROUND(($O600+$P600+$Q600+$R600)/$N600,2))</f>
        <v/>
      </c>
      <c r="T600">
        <f>IF($H600="","",IFERROR(INDEX('_ENGINE_Risk'!$N$41:$S$920,MATCH($E600,'_ENGINE_Risk'!$A$41:$A$920,0),$H600+1),""))</f>
        <v/>
      </c>
      <c r="U600">
        <f>IFERROR(INDEX(_DATA_Assessment_Model!$G$5:$G$884,MATCH($E600,_DATA_Assessment_Model!$A$5:$A$884,0)),"")</f>
        <v/>
      </c>
      <c r="V600">
        <f>IFERROR(INDEX(_DATA_Assessment_Model!$W$5:$W$884,MATCH($E600,_DATA_Assessment_Model!$A$5:$A$884,0)),"")</f>
        <v/>
      </c>
      <c r="W600">
        <f>IFERROR(INDEX(_DATA_Assessment_Model!$X$5:$X$884,MATCH($E600,_DATA_Assessment_Model!$A$5:$A$884,0)),"")</f>
        <v/>
      </c>
      <c r="X600">
        <f>IFERROR(INDEX(_DATA_Assessment_Model!$Y$5:$Y$884,MATCH($E600,_DATA_Assessment_Model!$A$5:$A$884,0)),"")</f>
        <v/>
      </c>
      <c r="Y600" t="inlineStr">
        <is>
          <t>Financial liquidity crisis; Supplier disruption; Fraud risk</t>
        </is>
      </c>
      <c r="Z600" t="inlineStr">
        <is>
          <t>CFO / Procurement</t>
        </is>
      </c>
      <c r="AA600" t="inlineStr">
        <is>
          <t>Policy/SOP; owner/RACI; system report; dashboard; contracts; test records; incident history; interview evidence related to segregation of duties in finance, procurement, ERP and payment processes.</t>
        </is>
      </c>
      <c r="AB600">
        <f>IFERROR(INDEX(_DATA_Assessment_Model!$U$5:$U$884,MATCH($E600,_DATA_Assessment_Model!$A$5:$A$884,0)),"")</f>
        <v/>
      </c>
      <c r="AF600" t="inlineStr">
        <is>
          <t>How mature is the organization in managing segregation of duties in finance, procurement, ERP and payment processes, including ownership, evidence, metrics, fallback procedures and crisis stress testing?</t>
        </is>
      </c>
      <c r="AO600">
        <f>IF($B600="Yes",IFERROR(INDEX(_ENGINE_Crisis!$F$501:$F$517,MATCH($C600,_ENGINE_Crisis!$A$501:$A$517,0)),1),"")</f>
        <v/>
      </c>
      <c r="AP600">
        <f>IF(AO600="","",ROUND($L600*AO600,1))</f>
        <v/>
      </c>
      <c r="AQ600">
        <f>IF(OR(AO600="",$S600=""),"",ROUND($S600*(0.7+0.3*AO600),2))</f>
        <v/>
      </c>
      <c r="AR600">
        <f>IFERROR(INDEX(_ENGINE_Crisis!$E$41:$E$700,MATCH('Resilience &amp; Risk Scenario'!$B$60&amp;"|"&amp;$C600,_ENGINE_Crisis!$I$41:$I$700,0)),"")</f>
        <v/>
      </c>
      <c r="AS600">
        <f>IFERROR(INDEX(_ENGINE_Crisis!$G$41:$G$700,MATCH('Resilience &amp; Risk Scenario'!$B$60&amp;"|"&amp;$C600,_ENGINE_Crisis!$I$41:$I$700,0)),"")</f>
        <v/>
      </c>
      <c r="AT600">
        <f>IFERROR(INDEX(_ENGINE_Initiatives!$A$5:$A$532,MATCH(1,INDEX((_ENGINE_Initiatives!$B$5:$B$532=$C600)*(_ENGINE_Initiatives!$C$5:$C$532=$D600),0),0)),"")</f>
        <v/>
      </c>
      <c r="AU600">
        <f>IFERROR(INDEX(_ENGINE_Initiatives!$F$5:$F$532,MATCH(1,INDEX((_ENGINE_Initiatives!$B$5:$B$532=$C600)*(_ENGINE_Initiatives!$C$5:$C$532=$D600),0),0)),"")</f>
        <v/>
      </c>
      <c r="AV600">
        <f>IFERROR(INDEX(_ENGINE_Initiatives!$AC$5:$AC$532,MATCH(1,INDEX((_ENGINE_Initiatives!$B$5:$B$532=$C600)*(_ENGINE_Initiatives!$C$5:$C$532=$D600),0),0)),"")</f>
        <v/>
      </c>
      <c r="AW600">
        <f>IFERROR(INDEX(_ENGINE_Initiatives!$AE$5:$AE$532,MATCH(1,INDEX((_ENGINE_Initiatives!$B$5:$B$532=$C600)*(_ENGINE_Initiatives!$C$5:$C$532=$D600),0),0)),"")</f>
        <v/>
      </c>
      <c r="AX600">
        <f>IF($B600="Yes",IFERROR(IF(SUMIFS(_REF_Model_Content!$E$1:$E$613,_REF_Model_Content!$A$1:$A$613,'Company Profile'!$B$9,_REF_Model_Content!$B$1:$B$613,$C600)=0,1,SUMIFS(_REF_Model_Content!$E$1:$E$613,_REF_Model_Content!$A$1:$A$613,'Company Profile'!$B$9,_REF_Model_Content!$B$1:$B$613,$C600)),1),"")</f>
        <v/>
      </c>
      <c r="AY600">
        <f>IF($L600="","",ROUND(IF($AP600="",$L600,$AP600)*IF($AX600="",1,$AX600),2))</f>
        <v/>
      </c>
      <c r="AZ600">
        <f>IF($S600="","",ROUND(IF($AQ600="",$S600,$AQ600)*IF($AX600="",1,$AX600),2))</f>
        <v/>
      </c>
      <c r="BB600">
        <f>IF($H600="","",IFERROR(INDEX('_ENGINE_Risk'!$AE$41:$AE$920,MATCH($E600,'_ENGINE_Risk'!$A$41:$A$920,0)),"Medium"))</f>
        <v/>
      </c>
      <c r="BC600">
        <f>IF($BB600="","",IF($BB600="Fast",1.25,IF($BB600="Slow",0.85,1)))</f>
        <v/>
      </c>
      <c r="BD600">
        <f>IF(OR($AZ600="",$BC600=""),"",ROUND($AZ600*$BC600,2))</f>
        <v/>
      </c>
      <c r="BF600">
        <f>IF(OR($H600="",$J600=""),"",_xlfn.IFNA(VLOOKUP($J600,_CONFIG_Model_Settings!$D$610:$E$614,2,0),""))</f>
        <v/>
      </c>
      <c r="BG600">
        <f>IF(OR($H600="",$K600=""),"",ROUND('Company Profile'!$B$569*INDEX(_CONFIG_Model_Settings!$H$610:$H$614,MATCH($K600,_CONFIG_Model_Settings!$G$610:$G$614,0)),0))</f>
        <v/>
      </c>
      <c r="BH600">
        <f>IF(OR($BF600="",$BG600=""),"",ROUND($BF600*$BG600,1))</f>
        <v/>
      </c>
      <c r="BI600">
        <f>IF($BH600="","",IF($AO600="",$BH600,ROUND($BH600*$AO600,1)))</f>
        <v/>
      </c>
      <c r="BJ600">
        <f>IF($E600="","",IFERROR(VLOOKUP($C600,'_CONFIG_Risk_Calibration'!$A$5:$H$21,2,FALSE),3))</f>
        <v/>
      </c>
      <c r="BK600">
        <f>IF($E600="","",IFERROR(VLOOKUP($C600,'_CONFIG_Risk_Calibration'!$A$5:$H$21,3,FALSE),0))</f>
        <v/>
      </c>
      <c r="BL600">
        <f>IF($E600="","",IFERROR(VLOOKUP($C600,'_CONFIG_Risk_Calibration'!$A$5:$H$21,4,FALSE),3))</f>
        <v/>
      </c>
      <c r="BM600">
        <f>IF($E600="","",IFERROR(VLOOKUP($C600,'_CONFIG_Risk_Calibration'!$A$5:$H$21,5,FALSE),3))</f>
        <v/>
      </c>
      <c r="BN600">
        <f>IF($E600="","",IFERROR(VLOOKUP($C600,'_CONFIG_Risk_Calibration'!$A$5:$H$21,6,FALSE),"No"))</f>
        <v/>
      </c>
      <c r="BO600">
        <f>IF($E600="","",IFERROR(VLOOKUP($C600,'_CONFIG_Risk_Calibration'!$A$5:$H$21,7,FALSE),1))</f>
        <v/>
      </c>
      <c r="BP600">
        <f>IF($H600="","",MAX(1,MIN(5,((6-$H600)*0.45)+($BJ600*0.20)+('Resilience &amp; Risk Scenario'!$B$7*0.15)+($BK600*0.10)+($BL600*0.05)+(IF($BB600="Fast",5,IF($BB600="Slow",1,3))*0.05))))</f>
        <v/>
      </c>
      <c r="BQ600">
        <f>IF($H600="","",MAX(IF($BN600="Yes",$BO600,1),MIN(5,($U600*0.20)+($V600*0.15)+($W600*0.25)+($X600*0.15)+($BJ600*0.10)+($BM600*0.15))))</f>
        <v/>
      </c>
      <c r="BR600">
        <f>IF(OR($BP600="",$BQ600=""),"",ROUND($BP600*$BQ600,2))</f>
        <v/>
      </c>
      <c r="BS600">
        <f>IF($BR600="","",ROUND($BR600*IF($AO600="",1,$AO600)*IF($AX600="",1,$AX600)*(1+(($BM600-3)*0.10))*IF($BC600="",1,$BC600),2))</f>
        <v/>
      </c>
    </row>
    <row r="601" ht="69.90000000000001" customHeight="1" s="209">
      <c r="A601">
        <f>IF($BD601="","",SUMPRODUCT(ISNUMBER($BD$500:$BD$923)*($BD$500:$BD$923&gt;$BD601))+COUNTIF($BD$500:$BD601,$BD601))</f>
        <v/>
      </c>
      <c r="B601">
        <f>IF($H601="","",IF($H601&lt;5,"Yes","Maintain"))</f>
        <v/>
      </c>
      <c r="C601" t="inlineStr">
        <is>
          <t>Finance Procurement</t>
        </is>
      </c>
      <c r="D601" t="inlineStr">
        <is>
          <t>Controls and accounting</t>
        </is>
      </c>
      <c r="E601" t="inlineStr">
        <is>
          <t>FINA-009</t>
        </is>
      </c>
      <c r="F601" t="inlineStr">
        <is>
          <t>Financial control and procurement resilience</t>
        </is>
      </c>
      <c r="G601">
        <f>IF($H601="","",IFERROR(INDEX('_ENGINE_Risk'!$H$41:$M$920,MATCH($E601,'_ENGINE_Risk'!$A$41:$A$920,0),$H601+1),""))</f>
        <v/>
      </c>
      <c r="H601">
        <f>IFERROR(VALUE(INDEX(_DATA_Assessment_Model!$H$5:$H$884,MATCH($E601,_DATA_Assessment_Model!$A$5:$A$884,0))),"")</f>
        <v/>
      </c>
      <c r="I601">
        <f>IF($H601="","",IFERROR(INDEX(_DATA_Assessment_Model!$L$5:$L$884,MATCH($E601,_DATA_Assessment_Model!$A$5:$A$884,0)),IF($H601&lt;=1,"Critical",IF($H601=2,"High",IF($H601=3,"Medium",IF($H601=4,"Low","Resilient"))))))</f>
        <v/>
      </c>
      <c r="J601">
        <f>IF($H601="","",MIN(5,MAX(1,6-$H601)))</f>
        <v/>
      </c>
      <c r="K601">
        <f>IF($H601="","",MAX(1,MIN(5,ROUNDUP(($U601*0.45)+($W601*0.35)+($X601*0.2),0))))</f>
        <v/>
      </c>
      <c r="L601">
        <f>IF($H601="","",$J601*$K601)</f>
        <v/>
      </c>
      <c r="M601">
        <f>IF($H601="","",MAX(1,MIN(5,ROUNDUP($L601/5,0))))</f>
        <v/>
      </c>
      <c r="N601">
        <f>IF($H601="","",IFERROR(INDEX('_ENGINE_Risk'!$T$41:$Y$920,MATCH($E601,'_ENGINE_Risk'!$A$41:$A$920,0),$H601+1),""))</f>
        <v/>
      </c>
      <c r="O601">
        <f>IF($H601="","",MAX(1,MIN(5,($U601+$V601+$X601)/3)))</f>
        <v/>
      </c>
      <c r="P601">
        <f>IF($H601="","",IF($I601="Critical",5,IF($I601="High",4,IF($I601="Medium",3,IF($I601="Low",2,1)))))</f>
        <v/>
      </c>
      <c r="Q601">
        <f>IF($H601="","",MAX(1,MIN(5,((5-$H601)*0.65)+($W601*0.35))))</f>
        <v/>
      </c>
      <c r="R601">
        <f>IF($H601="","",MAX(1,MIN(5,($V601+$X601)/2)))</f>
        <v/>
      </c>
      <c r="S601">
        <f>IF(OR($H601="",$N601=""),"",ROUND(($O601+$P601+$Q601+$R601)/$N601,2))</f>
        <v/>
      </c>
      <c r="T601">
        <f>IF($H601="","",IFERROR(INDEX('_ENGINE_Risk'!$N$41:$S$920,MATCH($E601,'_ENGINE_Risk'!$A$41:$A$920,0),$H601+1),""))</f>
        <v/>
      </c>
      <c r="U601">
        <f>IFERROR(INDEX(_DATA_Assessment_Model!$G$5:$G$884,MATCH($E601,_DATA_Assessment_Model!$A$5:$A$884,0)),"")</f>
        <v/>
      </c>
      <c r="V601">
        <f>IFERROR(INDEX(_DATA_Assessment_Model!$W$5:$W$884,MATCH($E601,_DATA_Assessment_Model!$A$5:$A$884,0)),"")</f>
        <v/>
      </c>
      <c r="W601">
        <f>IFERROR(INDEX(_DATA_Assessment_Model!$X$5:$X$884,MATCH($E601,_DATA_Assessment_Model!$A$5:$A$884,0)),"")</f>
        <v/>
      </c>
      <c r="X601">
        <f>IFERROR(INDEX(_DATA_Assessment_Model!$Y$5:$Y$884,MATCH($E601,_DATA_Assessment_Model!$A$5:$A$884,0)),"")</f>
        <v/>
      </c>
      <c r="Y601" t="inlineStr">
        <is>
          <t>Financial liquidity crisis; Supplier disruption; Fraud risk</t>
        </is>
      </c>
      <c r="Z601" t="inlineStr">
        <is>
          <t>CFO / Procurement</t>
        </is>
      </c>
      <c r="AA601" t="inlineStr">
        <is>
          <t>Policy/SOP; owner/RACI; system report; dashboard; contracts; test records; incident history; interview evidence related to month-end close continuity under remote work, system outage or unavailable finance staff.</t>
        </is>
      </c>
      <c r="AB601">
        <f>IFERROR(INDEX(_DATA_Assessment_Model!$U$5:$U$884,MATCH($E601,_DATA_Assessment_Model!$A$5:$A$884,0)),"")</f>
        <v/>
      </c>
      <c r="AF601" t="inlineStr">
        <is>
          <t>How mature is the organization in managing month-end close continuity under remote work, system outage or unavailable finance staff, including ownership, evidence, metrics, fallback procedures and crisis stress testing?</t>
        </is>
      </c>
      <c r="AO601">
        <f>IF($B601="Yes",IFERROR(INDEX(_ENGINE_Crisis!$F$501:$F$517,MATCH($C601,_ENGINE_Crisis!$A$501:$A$517,0)),1),"")</f>
        <v/>
      </c>
      <c r="AP601">
        <f>IF(AO601="","",ROUND($L601*AO601,1))</f>
        <v/>
      </c>
      <c r="AQ601">
        <f>IF(OR(AO601="",$S601=""),"",ROUND($S601*(0.7+0.3*AO601),2))</f>
        <v/>
      </c>
      <c r="AR601">
        <f>IFERROR(INDEX(_ENGINE_Crisis!$E$41:$E$700,MATCH('Resilience &amp; Risk Scenario'!$B$60&amp;"|"&amp;$C601,_ENGINE_Crisis!$I$41:$I$700,0)),"")</f>
        <v/>
      </c>
      <c r="AS601">
        <f>IFERROR(INDEX(_ENGINE_Crisis!$G$41:$G$700,MATCH('Resilience &amp; Risk Scenario'!$B$60&amp;"|"&amp;$C601,_ENGINE_Crisis!$I$41:$I$700,0)),"")</f>
        <v/>
      </c>
      <c r="AT601">
        <f>IFERROR(INDEX(_ENGINE_Initiatives!$A$5:$A$532,MATCH(1,INDEX((_ENGINE_Initiatives!$B$5:$B$532=$C601)*(_ENGINE_Initiatives!$C$5:$C$532=$D601),0),0)),"")</f>
        <v/>
      </c>
      <c r="AU601">
        <f>IFERROR(INDEX(_ENGINE_Initiatives!$F$5:$F$532,MATCH(1,INDEX((_ENGINE_Initiatives!$B$5:$B$532=$C601)*(_ENGINE_Initiatives!$C$5:$C$532=$D601),0),0)),"")</f>
        <v/>
      </c>
      <c r="AV601">
        <f>IFERROR(INDEX(_ENGINE_Initiatives!$AC$5:$AC$532,MATCH(1,INDEX((_ENGINE_Initiatives!$B$5:$B$532=$C601)*(_ENGINE_Initiatives!$C$5:$C$532=$D601),0),0)),"")</f>
        <v/>
      </c>
      <c r="AW601">
        <f>IFERROR(INDEX(_ENGINE_Initiatives!$AE$5:$AE$532,MATCH(1,INDEX((_ENGINE_Initiatives!$B$5:$B$532=$C601)*(_ENGINE_Initiatives!$C$5:$C$532=$D601),0),0)),"")</f>
        <v/>
      </c>
      <c r="AX601">
        <f>IF($B601="Yes",IFERROR(IF(SUMIFS(_REF_Model_Content!$E$1:$E$613,_REF_Model_Content!$A$1:$A$613,'Company Profile'!$B$9,_REF_Model_Content!$B$1:$B$613,$C601)=0,1,SUMIFS(_REF_Model_Content!$E$1:$E$613,_REF_Model_Content!$A$1:$A$613,'Company Profile'!$B$9,_REF_Model_Content!$B$1:$B$613,$C601)),1),"")</f>
        <v/>
      </c>
      <c r="AY601">
        <f>IF($L601="","",ROUND(IF($AP601="",$L601,$AP601)*IF($AX601="",1,$AX601),2))</f>
        <v/>
      </c>
      <c r="AZ601">
        <f>IF($S601="","",ROUND(IF($AQ601="",$S601,$AQ601)*IF($AX601="",1,$AX601),2))</f>
        <v/>
      </c>
      <c r="BB601">
        <f>IF($H601="","",IFERROR(INDEX('_ENGINE_Risk'!$AE$41:$AE$920,MATCH($E601,'_ENGINE_Risk'!$A$41:$A$920,0)),"Medium"))</f>
        <v/>
      </c>
      <c r="BC601">
        <f>IF($BB601="","",IF($BB601="Fast",1.25,IF($BB601="Slow",0.85,1)))</f>
        <v/>
      </c>
      <c r="BD601">
        <f>IF(OR($AZ601="",$BC601=""),"",ROUND($AZ601*$BC601,2))</f>
        <v/>
      </c>
      <c r="BF601">
        <f>IF(OR($H601="",$J601=""),"",_xlfn.IFNA(VLOOKUP($J601,_CONFIG_Model_Settings!$D$610:$E$614,2,0),""))</f>
        <v/>
      </c>
      <c r="BG601">
        <f>IF(OR($H601="",$K601=""),"",ROUND('Company Profile'!$B$569*INDEX(_CONFIG_Model_Settings!$H$610:$H$614,MATCH($K601,_CONFIG_Model_Settings!$G$610:$G$614,0)),0))</f>
        <v/>
      </c>
      <c r="BH601">
        <f>IF(OR($BF601="",$BG601=""),"",ROUND($BF601*$BG601,1))</f>
        <v/>
      </c>
      <c r="BI601">
        <f>IF($BH601="","",IF($AO601="",$BH601,ROUND($BH601*$AO601,1)))</f>
        <v/>
      </c>
      <c r="BJ601">
        <f>IF($E601="","",IFERROR(VLOOKUP($C601,'_CONFIG_Risk_Calibration'!$A$5:$H$21,2,FALSE),3))</f>
        <v/>
      </c>
      <c r="BK601">
        <f>IF($E601="","",IFERROR(VLOOKUP($C601,'_CONFIG_Risk_Calibration'!$A$5:$H$21,3,FALSE),0))</f>
        <v/>
      </c>
      <c r="BL601">
        <f>IF($E601="","",IFERROR(VLOOKUP($C601,'_CONFIG_Risk_Calibration'!$A$5:$H$21,4,FALSE),3))</f>
        <v/>
      </c>
      <c r="BM601">
        <f>IF($E601="","",IFERROR(VLOOKUP($C601,'_CONFIG_Risk_Calibration'!$A$5:$H$21,5,FALSE),3))</f>
        <v/>
      </c>
      <c r="BN601">
        <f>IF($E601="","",IFERROR(VLOOKUP($C601,'_CONFIG_Risk_Calibration'!$A$5:$H$21,6,FALSE),"No"))</f>
        <v/>
      </c>
      <c r="BO601">
        <f>IF($E601="","",IFERROR(VLOOKUP($C601,'_CONFIG_Risk_Calibration'!$A$5:$H$21,7,FALSE),1))</f>
        <v/>
      </c>
      <c r="BP601">
        <f>IF($H601="","",MAX(1,MIN(5,((6-$H601)*0.45)+($BJ601*0.20)+('Resilience &amp; Risk Scenario'!$B$7*0.15)+($BK601*0.10)+($BL601*0.05)+(IF($BB601="Fast",5,IF($BB601="Slow",1,3))*0.05))))</f>
        <v/>
      </c>
      <c r="BQ601">
        <f>IF($H601="","",MAX(IF($BN601="Yes",$BO601,1),MIN(5,($U601*0.20)+($V601*0.15)+($W601*0.25)+($X601*0.15)+($BJ601*0.10)+($BM601*0.15))))</f>
        <v/>
      </c>
      <c r="BR601">
        <f>IF(OR($BP601="",$BQ601=""),"",ROUND($BP601*$BQ601,2))</f>
        <v/>
      </c>
      <c r="BS601">
        <f>IF($BR601="","",ROUND($BR601*IF($AO601="",1,$AO601)*IF($AX601="",1,$AX601)*(1+(($BM601-3)*0.10))*IF($BC601="",1,$BC601),2))</f>
        <v/>
      </c>
    </row>
    <row r="602" ht="69.90000000000001" customHeight="1" s="209">
      <c r="A602">
        <f>IF($BD602="","",SUMPRODUCT(ISNUMBER($BD$500:$BD$923)*($BD$500:$BD$923&gt;$BD602))+COUNTIF($BD$500:$BD602,$BD602))</f>
        <v/>
      </c>
      <c r="B602">
        <f>IF($H602="","",IF($H602&lt;5,"Yes","Maintain"))</f>
        <v/>
      </c>
      <c r="C602" t="inlineStr">
        <is>
          <t>Finance Procurement</t>
        </is>
      </c>
      <c r="D602" t="inlineStr">
        <is>
          <t>Controls and accounting</t>
        </is>
      </c>
      <c r="E602" t="inlineStr">
        <is>
          <t>FINA-010</t>
        </is>
      </c>
      <c r="F602" t="inlineStr">
        <is>
          <t>Financial control and procurement resilience</t>
        </is>
      </c>
      <c r="G602">
        <f>IF($H602="","",IFERROR(INDEX('_ENGINE_Risk'!$H$41:$M$920,MATCH($E602,'_ENGINE_Risk'!$A$41:$A$920,0),$H602+1),""))</f>
        <v/>
      </c>
      <c r="H602">
        <f>IFERROR(VALUE(INDEX(_DATA_Assessment_Model!$H$5:$H$884,MATCH($E602,_DATA_Assessment_Model!$A$5:$A$884,0))),"")</f>
        <v/>
      </c>
      <c r="I602">
        <f>IF($H602="","",IFERROR(INDEX(_DATA_Assessment_Model!$L$5:$L$884,MATCH($E602,_DATA_Assessment_Model!$A$5:$A$884,0)),IF($H602&lt;=1,"Critical",IF($H602=2,"High",IF($H602=3,"Medium",IF($H602=4,"Low","Resilient"))))))</f>
        <v/>
      </c>
      <c r="J602">
        <f>IF($H602="","",MIN(5,MAX(1,6-$H602)))</f>
        <v/>
      </c>
      <c r="K602">
        <f>IF($H602="","",MAX(1,MIN(5,ROUNDUP(($U602*0.45)+($W602*0.35)+($X602*0.2),0))))</f>
        <v/>
      </c>
      <c r="L602">
        <f>IF($H602="","",$J602*$K602)</f>
        <v/>
      </c>
      <c r="M602">
        <f>IF($H602="","",MAX(1,MIN(5,ROUNDUP($L602/5,0))))</f>
        <v/>
      </c>
      <c r="N602">
        <f>IF($H602="","",IFERROR(INDEX('_ENGINE_Risk'!$T$41:$Y$920,MATCH($E602,'_ENGINE_Risk'!$A$41:$A$920,0),$H602+1),""))</f>
        <v/>
      </c>
      <c r="O602">
        <f>IF($H602="","",MAX(1,MIN(5,($U602+$V602+$X602)/3)))</f>
        <v/>
      </c>
      <c r="P602">
        <f>IF($H602="","",IF($I602="Critical",5,IF($I602="High",4,IF($I602="Medium",3,IF($I602="Low",2,1)))))</f>
        <v/>
      </c>
      <c r="Q602">
        <f>IF($H602="","",MAX(1,MIN(5,((5-$H602)*0.65)+($W602*0.35))))</f>
        <v/>
      </c>
      <c r="R602">
        <f>IF($H602="","",MAX(1,MIN(5,($V602+$X602)/2)))</f>
        <v/>
      </c>
      <c r="S602">
        <f>IF(OR($H602="",$N602=""),"",ROUND(($O602+$P602+$Q602+$R602)/$N602,2))</f>
        <v/>
      </c>
      <c r="T602">
        <f>IF($H602="","",IFERROR(INDEX('_ENGINE_Risk'!$N$41:$S$920,MATCH($E602,'_ENGINE_Risk'!$A$41:$A$920,0),$H602+1),""))</f>
        <v/>
      </c>
      <c r="U602">
        <f>IFERROR(INDEX(_DATA_Assessment_Model!$G$5:$G$884,MATCH($E602,_DATA_Assessment_Model!$A$5:$A$884,0)),"")</f>
        <v/>
      </c>
      <c r="V602">
        <f>IFERROR(INDEX(_DATA_Assessment_Model!$W$5:$W$884,MATCH($E602,_DATA_Assessment_Model!$A$5:$A$884,0)),"")</f>
        <v/>
      </c>
      <c r="W602">
        <f>IFERROR(INDEX(_DATA_Assessment_Model!$X$5:$X$884,MATCH($E602,_DATA_Assessment_Model!$A$5:$A$884,0)),"")</f>
        <v/>
      </c>
      <c r="X602">
        <f>IFERROR(INDEX(_DATA_Assessment_Model!$Y$5:$Y$884,MATCH($E602,_DATA_Assessment_Model!$A$5:$A$884,0)),"")</f>
        <v/>
      </c>
      <c r="Y602" t="inlineStr">
        <is>
          <t>Financial liquidity crisis; Supplier disruption; Fraud risk</t>
        </is>
      </c>
      <c r="Z602" t="inlineStr">
        <is>
          <t>CFO / Procurement</t>
        </is>
      </c>
      <c r="AA602" t="inlineStr">
        <is>
          <t>Policy/SOP; owner/RACI; system report; dashboard; contracts; test records; incident history; interview evidence related to manual fallback procedures for billing, payments, payroll, procurement and accounting close.</t>
        </is>
      </c>
      <c r="AB602">
        <f>IFERROR(INDEX(_DATA_Assessment_Model!$U$5:$U$884,MATCH($E602,_DATA_Assessment_Model!$A$5:$A$884,0)),"")</f>
        <v/>
      </c>
      <c r="AF602" t="inlineStr">
        <is>
          <t>How mature is the organization in managing manual fallback procedures for billing, payments, payroll, procurement and accounting close, including ownership, evidence, metrics, fallback procedures and crisis stress testing?</t>
        </is>
      </c>
      <c r="AO602">
        <f>IF($B602="Yes",IFERROR(INDEX(_ENGINE_Crisis!$F$501:$F$517,MATCH($C602,_ENGINE_Crisis!$A$501:$A$517,0)),1),"")</f>
        <v/>
      </c>
      <c r="AP602">
        <f>IF(AO602="","",ROUND($L602*AO602,1))</f>
        <v/>
      </c>
      <c r="AQ602">
        <f>IF(OR(AO602="",$S602=""),"",ROUND($S602*(0.7+0.3*AO602),2))</f>
        <v/>
      </c>
      <c r="AR602">
        <f>IFERROR(INDEX(_ENGINE_Crisis!$E$41:$E$700,MATCH('Resilience &amp; Risk Scenario'!$B$60&amp;"|"&amp;$C602,_ENGINE_Crisis!$I$41:$I$700,0)),"")</f>
        <v/>
      </c>
      <c r="AS602">
        <f>IFERROR(INDEX(_ENGINE_Crisis!$G$41:$G$700,MATCH('Resilience &amp; Risk Scenario'!$B$60&amp;"|"&amp;$C602,_ENGINE_Crisis!$I$41:$I$700,0)),"")</f>
        <v/>
      </c>
      <c r="AT602">
        <f>IFERROR(INDEX(_ENGINE_Initiatives!$A$5:$A$532,MATCH(1,INDEX((_ENGINE_Initiatives!$B$5:$B$532=$C602)*(_ENGINE_Initiatives!$C$5:$C$532=$D602),0),0)),"")</f>
        <v/>
      </c>
      <c r="AU602">
        <f>IFERROR(INDEX(_ENGINE_Initiatives!$F$5:$F$532,MATCH(1,INDEX((_ENGINE_Initiatives!$B$5:$B$532=$C602)*(_ENGINE_Initiatives!$C$5:$C$532=$D602),0),0)),"")</f>
        <v/>
      </c>
      <c r="AV602">
        <f>IFERROR(INDEX(_ENGINE_Initiatives!$AC$5:$AC$532,MATCH(1,INDEX((_ENGINE_Initiatives!$B$5:$B$532=$C602)*(_ENGINE_Initiatives!$C$5:$C$532=$D602),0),0)),"")</f>
        <v/>
      </c>
      <c r="AW602">
        <f>IFERROR(INDEX(_ENGINE_Initiatives!$AE$5:$AE$532,MATCH(1,INDEX((_ENGINE_Initiatives!$B$5:$B$532=$C602)*(_ENGINE_Initiatives!$C$5:$C$532=$D602),0),0)),"")</f>
        <v/>
      </c>
      <c r="AX602">
        <f>IF($B602="Yes",IFERROR(IF(SUMIFS(_REF_Model_Content!$E$1:$E$613,_REF_Model_Content!$A$1:$A$613,'Company Profile'!$B$9,_REF_Model_Content!$B$1:$B$613,$C602)=0,1,SUMIFS(_REF_Model_Content!$E$1:$E$613,_REF_Model_Content!$A$1:$A$613,'Company Profile'!$B$9,_REF_Model_Content!$B$1:$B$613,$C602)),1),"")</f>
        <v/>
      </c>
      <c r="AY602">
        <f>IF($L602="","",ROUND(IF($AP602="",$L602,$AP602)*IF($AX602="",1,$AX602),2))</f>
        <v/>
      </c>
      <c r="AZ602">
        <f>IF($S602="","",ROUND(IF($AQ602="",$S602,$AQ602)*IF($AX602="",1,$AX602),2))</f>
        <v/>
      </c>
      <c r="BB602">
        <f>IF($H602="","",IFERROR(INDEX('_ENGINE_Risk'!$AE$41:$AE$920,MATCH($E602,'_ENGINE_Risk'!$A$41:$A$920,0)),"Medium"))</f>
        <v/>
      </c>
      <c r="BC602">
        <f>IF($BB602="","",IF($BB602="Fast",1.25,IF($BB602="Slow",0.85,1)))</f>
        <v/>
      </c>
      <c r="BD602">
        <f>IF(OR($AZ602="",$BC602=""),"",ROUND($AZ602*$BC602,2))</f>
        <v/>
      </c>
      <c r="BF602">
        <f>IF(OR($H602="",$J602=""),"",_xlfn.IFNA(VLOOKUP($J602,_CONFIG_Model_Settings!$D$610:$E$614,2,0),""))</f>
        <v/>
      </c>
      <c r="BG602">
        <f>IF(OR($H602="",$K602=""),"",ROUND('Company Profile'!$B$569*INDEX(_CONFIG_Model_Settings!$H$610:$H$614,MATCH($K602,_CONFIG_Model_Settings!$G$610:$G$614,0)),0))</f>
        <v/>
      </c>
      <c r="BH602">
        <f>IF(OR($BF602="",$BG602=""),"",ROUND($BF602*$BG602,1))</f>
        <v/>
      </c>
      <c r="BI602">
        <f>IF($BH602="","",IF($AO602="",$BH602,ROUND($BH602*$AO602,1)))</f>
        <v/>
      </c>
      <c r="BJ602">
        <f>IF($E602="","",IFERROR(VLOOKUP($C602,'_CONFIG_Risk_Calibration'!$A$5:$H$21,2,FALSE),3))</f>
        <v/>
      </c>
      <c r="BK602">
        <f>IF($E602="","",IFERROR(VLOOKUP($C602,'_CONFIG_Risk_Calibration'!$A$5:$H$21,3,FALSE),0))</f>
        <v/>
      </c>
      <c r="BL602">
        <f>IF($E602="","",IFERROR(VLOOKUP($C602,'_CONFIG_Risk_Calibration'!$A$5:$H$21,4,FALSE),3))</f>
        <v/>
      </c>
      <c r="BM602">
        <f>IF($E602="","",IFERROR(VLOOKUP($C602,'_CONFIG_Risk_Calibration'!$A$5:$H$21,5,FALSE),3))</f>
        <v/>
      </c>
      <c r="BN602">
        <f>IF($E602="","",IFERROR(VLOOKUP($C602,'_CONFIG_Risk_Calibration'!$A$5:$H$21,6,FALSE),"No"))</f>
        <v/>
      </c>
      <c r="BO602">
        <f>IF($E602="","",IFERROR(VLOOKUP($C602,'_CONFIG_Risk_Calibration'!$A$5:$H$21,7,FALSE),1))</f>
        <v/>
      </c>
      <c r="BP602">
        <f>IF($H602="","",MAX(1,MIN(5,((6-$H602)*0.45)+($BJ602*0.20)+('Resilience &amp; Risk Scenario'!$B$7*0.15)+($BK602*0.10)+($BL602*0.05)+(IF($BB602="Fast",5,IF($BB602="Slow",1,3))*0.05))))</f>
        <v/>
      </c>
      <c r="BQ602">
        <f>IF($H602="","",MAX(IF($BN602="Yes",$BO602,1),MIN(5,($U602*0.20)+($V602*0.15)+($W602*0.25)+($X602*0.15)+($BJ602*0.10)+($BM602*0.15))))</f>
        <v/>
      </c>
      <c r="BR602">
        <f>IF(OR($BP602="",$BQ602=""),"",ROUND($BP602*$BQ602,2))</f>
        <v/>
      </c>
      <c r="BS602">
        <f>IF($BR602="","",ROUND($BR602*IF($AO602="",1,$AO602)*IF($AX602="",1,$AX602)*(1+(($BM602-3)*0.10))*IF($BC602="",1,$BC602),2))</f>
        <v/>
      </c>
    </row>
    <row r="603" ht="69.90000000000001" customHeight="1" s="209">
      <c r="A603">
        <f>IF($BD603="","",SUMPRODUCT(ISNUMBER($BD$500:$BD$923)*($BD$500:$BD$923&gt;$BD603))+COUNTIF($BD$500:$BD603,$BD603))</f>
        <v/>
      </c>
      <c r="B603">
        <f>IF($H603="","",IF($H603&lt;5,"Yes","Maintain"))</f>
        <v/>
      </c>
      <c r="C603" t="inlineStr">
        <is>
          <t>Finance Procurement</t>
        </is>
      </c>
      <c r="D603" t="inlineStr">
        <is>
          <t>Controls and accounting</t>
        </is>
      </c>
      <c r="E603" t="inlineStr">
        <is>
          <t>FINA-011</t>
        </is>
      </c>
      <c r="F603" t="inlineStr">
        <is>
          <t>Financial control and procurement resilience</t>
        </is>
      </c>
      <c r="G603">
        <f>IF($H603="","",IFERROR(INDEX('_ENGINE_Risk'!$H$41:$M$920,MATCH($E603,'_ENGINE_Risk'!$A$41:$A$920,0),$H603+1),""))</f>
        <v/>
      </c>
      <c r="H603">
        <f>IFERROR(VALUE(INDEX(_DATA_Assessment_Model!$H$5:$H$884,MATCH($E603,_DATA_Assessment_Model!$A$5:$A$884,0))),"")</f>
        <v/>
      </c>
      <c r="I603">
        <f>IF($H603="","",IFERROR(INDEX(_DATA_Assessment_Model!$L$5:$L$884,MATCH($E603,_DATA_Assessment_Model!$A$5:$A$884,0)),IF($H603&lt;=1,"Critical",IF($H603=2,"High",IF($H603=3,"Medium",IF($H603=4,"Low","Resilient"))))))</f>
        <v/>
      </c>
      <c r="J603">
        <f>IF($H603="","",MIN(5,MAX(1,6-$H603)))</f>
        <v/>
      </c>
      <c r="K603">
        <f>IF($H603="","",MAX(1,MIN(5,ROUNDUP(($U603*0.45)+($W603*0.35)+($X603*0.2),0))))</f>
        <v/>
      </c>
      <c r="L603">
        <f>IF($H603="","",$J603*$K603)</f>
        <v/>
      </c>
      <c r="M603">
        <f>IF($H603="","",MAX(1,MIN(5,ROUNDUP($L603/5,0))))</f>
        <v/>
      </c>
      <c r="N603">
        <f>IF($H603="","",IFERROR(INDEX('_ENGINE_Risk'!$T$41:$Y$920,MATCH($E603,'_ENGINE_Risk'!$A$41:$A$920,0),$H603+1),""))</f>
        <v/>
      </c>
      <c r="O603">
        <f>IF($H603="","",MAX(1,MIN(5,($U603+$V603+$X603)/3)))</f>
        <v/>
      </c>
      <c r="P603">
        <f>IF($H603="","",IF($I603="Critical",5,IF($I603="High",4,IF($I603="Medium",3,IF($I603="Low",2,1)))))</f>
        <v/>
      </c>
      <c r="Q603">
        <f>IF($H603="","",MAX(1,MIN(5,((5-$H603)*0.65)+($W603*0.35))))</f>
        <v/>
      </c>
      <c r="R603">
        <f>IF($H603="","",MAX(1,MIN(5,($V603+$X603)/2)))</f>
        <v/>
      </c>
      <c r="S603">
        <f>IF(OR($H603="",$N603=""),"",ROUND(($O603+$P603+$Q603+$R603)/$N603,2))</f>
        <v/>
      </c>
      <c r="T603">
        <f>IF($H603="","",IFERROR(INDEX('_ENGINE_Risk'!$N$41:$S$920,MATCH($E603,'_ENGINE_Risk'!$A$41:$A$920,0),$H603+1),""))</f>
        <v/>
      </c>
      <c r="U603">
        <f>IFERROR(INDEX(_DATA_Assessment_Model!$G$5:$G$884,MATCH($E603,_DATA_Assessment_Model!$A$5:$A$884,0)),"")</f>
        <v/>
      </c>
      <c r="V603">
        <f>IFERROR(INDEX(_DATA_Assessment_Model!$W$5:$W$884,MATCH($E603,_DATA_Assessment_Model!$A$5:$A$884,0)),"")</f>
        <v/>
      </c>
      <c r="W603">
        <f>IFERROR(INDEX(_DATA_Assessment_Model!$X$5:$X$884,MATCH($E603,_DATA_Assessment_Model!$A$5:$A$884,0)),"")</f>
        <v/>
      </c>
      <c r="X603">
        <f>IFERROR(INDEX(_DATA_Assessment_Model!$Y$5:$Y$884,MATCH($E603,_DATA_Assessment_Model!$A$5:$A$884,0)),"")</f>
        <v/>
      </c>
      <c r="Y603" t="inlineStr">
        <is>
          <t>Financial liquidity crisis; Supplier disruption; Fraud risk</t>
        </is>
      </c>
      <c r="Z603" t="inlineStr">
        <is>
          <t>CFO / Procurement</t>
        </is>
      </c>
      <c r="AA603" t="inlineStr">
        <is>
          <t>Policy/SOP; owner/RACI; system report; dashboard; contracts; test records; incident history; interview evidence related to fraud risk controls for fake invoices, payment diversion, supplier impersonation and business email compromise.</t>
        </is>
      </c>
      <c r="AB603">
        <f>IFERROR(INDEX(_DATA_Assessment_Model!$U$5:$U$884,MATCH($E603,_DATA_Assessment_Model!$A$5:$A$884,0)),"")</f>
        <v/>
      </c>
      <c r="AF603" t="inlineStr">
        <is>
          <t>How mature is the organization in managing fraud risk controls for fake invoices, payment diversion, supplier impersonation and business email compromise, including ownership, evidence, metrics, fallback procedures and crisis stress testing?</t>
        </is>
      </c>
      <c r="AO603">
        <f>IF($B603="Yes",IFERROR(INDEX(_ENGINE_Crisis!$F$501:$F$517,MATCH($C603,_ENGINE_Crisis!$A$501:$A$517,0)),1),"")</f>
        <v/>
      </c>
      <c r="AP603">
        <f>IF(AO603="","",ROUND($L603*AO603,1))</f>
        <v/>
      </c>
      <c r="AQ603">
        <f>IF(OR(AO603="",$S603=""),"",ROUND($S603*(0.7+0.3*AO603),2))</f>
        <v/>
      </c>
      <c r="AR603">
        <f>IFERROR(INDEX(_ENGINE_Crisis!$E$41:$E$700,MATCH('Resilience &amp; Risk Scenario'!$B$60&amp;"|"&amp;$C603,_ENGINE_Crisis!$I$41:$I$700,0)),"")</f>
        <v/>
      </c>
      <c r="AS603">
        <f>IFERROR(INDEX(_ENGINE_Crisis!$G$41:$G$700,MATCH('Resilience &amp; Risk Scenario'!$B$60&amp;"|"&amp;$C603,_ENGINE_Crisis!$I$41:$I$700,0)),"")</f>
        <v/>
      </c>
      <c r="AT603">
        <f>IFERROR(INDEX(_ENGINE_Initiatives!$A$5:$A$532,MATCH(1,INDEX((_ENGINE_Initiatives!$B$5:$B$532=$C603)*(_ENGINE_Initiatives!$C$5:$C$532=$D603),0),0)),"")</f>
        <v/>
      </c>
      <c r="AU603">
        <f>IFERROR(INDEX(_ENGINE_Initiatives!$F$5:$F$532,MATCH(1,INDEX((_ENGINE_Initiatives!$B$5:$B$532=$C603)*(_ENGINE_Initiatives!$C$5:$C$532=$D603),0),0)),"")</f>
        <v/>
      </c>
      <c r="AV603">
        <f>IFERROR(INDEX(_ENGINE_Initiatives!$AC$5:$AC$532,MATCH(1,INDEX((_ENGINE_Initiatives!$B$5:$B$532=$C603)*(_ENGINE_Initiatives!$C$5:$C$532=$D603),0),0)),"")</f>
        <v/>
      </c>
      <c r="AW603">
        <f>IFERROR(INDEX(_ENGINE_Initiatives!$AE$5:$AE$532,MATCH(1,INDEX((_ENGINE_Initiatives!$B$5:$B$532=$C603)*(_ENGINE_Initiatives!$C$5:$C$532=$D603),0),0)),"")</f>
        <v/>
      </c>
      <c r="AX603">
        <f>IF($B603="Yes",IFERROR(IF(SUMIFS(_REF_Model_Content!$E$1:$E$613,_REF_Model_Content!$A$1:$A$613,'Company Profile'!$B$9,_REF_Model_Content!$B$1:$B$613,$C603)=0,1,SUMIFS(_REF_Model_Content!$E$1:$E$613,_REF_Model_Content!$A$1:$A$613,'Company Profile'!$B$9,_REF_Model_Content!$B$1:$B$613,$C603)),1),"")</f>
        <v/>
      </c>
      <c r="AY603">
        <f>IF($L603="","",ROUND(IF($AP603="",$L603,$AP603)*IF($AX603="",1,$AX603),2))</f>
        <v/>
      </c>
      <c r="AZ603">
        <f>IF($S603="","",ROUND(IF($AQ603="",$S603,$AQ603)*IF($AX603="",1,$AX603),2))</f>
        <v/>
      </c>
      <c r="BB603">
        <f>IF($H603="","",IFERROR(INDEX('_ENGINE_Risk'!$AE$41:$AE$920,MATCH($E603,'_ENGINE_Risk'!$A$41:$A$920,0)),"Medium"))</f>
        <v/>
      </c>
      <c r="BC603">
        <f>IF($BB603="","",IF($BB603="Fast",1.25,IF($BB603="Slow",0.85,1)))</f>
        <v/>
      </c>
      <c r="BD603">
        <f>IF(OR($AZ603="",$BC603=""),"",ROUND($AZ603*$BC603,2))</f>
        <v/>
      </c>
      <c r="BF603">
        <f>IF(OR($H603="",$J603=""),"",_xlfn.IFNA(VLOOKUP($J603,_CONFIG_Model_Settings!$D$610:$E$614,2,0),""))</f>
        <v/>
      </c>
      <c r="BG603">
        <f>IF(OR($H603="",$K603=""),"",ROUND('Company Profile'!$B$569*INDEX(_CONFIG_Model_Settings!$H$610:$H$614,MATCH($K603,_CONFIG_Model_Settings!$G$610:$G$614,0)),0))</f>
        <v/>
      </c>
      <c r="BH603">
        <f>IF(OR($BF603="",$BG603=""),"",ROUND($BF603*$BG603,1))</f>
        <v/>
      </c>
      <c r="BI603">
        <f>IF($BH603="","",IF($AO603="",$BH603,ROUND($BH603*$AO603,1)))</f>
        <v/>
      </c>
      <c r="BJ603">
        <f>IF($E603="","",IFERROR(VLOOKUP($C603,'_CONFIG_Risk_Calibration'!$A$5:$H$21,2,FALSE),3))</f>
        <v/>
      </c>
      <c r="BK603">
        <f>IF($E603="","",IFERROR(VLOOKUP($C603,'_CONFIG_Risk_Calibration'!$A$5:$H$21,3,FALSE),0))</f>
        <v/>
      </c>
      <c r="BL603">
        <f>IF($E603="","",IFERROR(VLOOKUP($C603,'_CONFIG_Risk_Calibration'!$A$5:$H$21,4,FALSE),3))</f>
        <v/>
      </c>
      <c r="BM603">
        <f>IF($E603="","",IFERROR(VLOOKUP($C603,'_CONFIG_Risk_Calibration'!$A$5:$H$21,5,FALSE),3))</f>
        <v/>
      </c>
      <c r="BN603">
        <f>IF($E603="","",IFERROR(VLOOKUP($C603,'_CONFIG_Risk_Calibration'!$A$5:$H$21,6,FALSE),"No"))</f>
        <v/>
      </c>
      <c r="BO603">
        <f>IF($E603="","",IFERROR(VLOOKUP($C603,'_CONFIG_Risk_Calibration'!$A$5:$H$21,7,FALSE),1))</f>
        <v/>
      </c>
      <c r="BP603">
        <f>IF($H603="","",MAX(1,MIN(5,((6-$H603)*0.45)+($BJ603*0.20)+('Resilience &amp; Risk Scenario'!$B$7*0.15)+($BK603*0.10)+($BL603*0.05)+(IF($BB603="Fast",5,IF($BB603="Slow",1,3))*0.05))))</f>
        <v/>
      </c>
      <c r="BQ603">
        <f>IF($H603="","",MAX(IF($BN603="Yes",$BO603,1),MIN(5,($U603*0.20)+($V603*0.15)+($W603*0.25)+($X603*0.15)+($BJ603*0.10)+($BM603*0.15))))</f>
        <v/>
      </c>
      <c r="BR603">
        <f>IF(OR($BP603="",$BQ603=""),"",ROUND($BP603*$BQ603,2))</f>
        <v/>
      </c>
      <c r="BS603">
        <f>IF($BR603="","",ROUND($BR603*IF($AO603="",1,$AO603)*IF($AX603="",1,$AX603)*(1+(($BM603-3)*0.10))*IF($BC603="",1,$BC603),2))</f>
        <v/>
      </c>
    </row>
    <row r="604" ht="69.90000000000001" customHeight="1" s="209">
      <c r="A604">
        <f>IF($BD604="","",SUMPRODUCT(ISNUMBER($BD$500:$BD$923)*($BD$500:$BD$923&gt;$BD604))+COUNTIF($BD$500:$BD604,$BD604))</f>
        <v/>
      </c>
      <c r="B604">
        <f>IF($H604="","",IF($H604&lt;5,"Yes","Maintain"))</f>
        <v/>
      </c>
      <c r="C604" t="inlineStr">
        <is>
          <t>Finance Procurement</t>
        </is>
      </c>
      <c r="D604" t="inlineStr">
        <is>
          <t>Controls and accounting</t>
        </is>
      </c>
      <c r="E604" t="inlineStr">
        <is>
          <t>FINA-012</t>
        </is>
      </c>
      <c r="F604" t="inlineStr">
        <is>
          <t>Financial control and procurement resilience</t>
        </is>
      </c>
      <c r="G604">
        <f>IF($H604="","",IFERROR(INDEX('_ENGINE_Risk'!$H$41:$M$920,MATCH($E604,'_ENGINE_Risk'!$A$41:$A$920,0),$H604+1),""))</f>
        <v/>
      </c>
      <c r="H604">
        <f>IFERROR(VALUE(INDEX(_DATA_Assessment_Model!$H$5:$H$884,MATCH($E604,_DATA_Assessment_Model!$A$5:$A$884,0))),"")</f>
        <v/>
      </c>
      <c r="I604">
        <f>IF($H604="","",IFERROR(INDEX(_DATA_Assessment_Model!$L$5:$L$884,MATCH($E604,_DATA_Assessment_Model!$A$5:$A$884,0)),IF($H604&lt;=1,"Critical",IF($H604=2,"High",IF($H604=3,"Medium",IF($H604=4,"Low","Resilient"))))))</f>
        <v/>
      </c>
      <c r="J604">
        <f>IF($H604="","",MIN(5,MAX(1,6-$H604)))</f>
        <v/>
      </c>
      <c r="K604">
        <f>IF($H604="","",MAX(1,MIN(5,ROUNDUP(($U604*0.45)+($W604*0.35)+($X604*0.2),0))))</f>
        <v/>
      </c>
      <c r="L604">
        <f>IF($H604="","",$J604*$K604)</f>
        <v/>
      </c>
      <c r="M604">
        <f>IF($H604="","",MAX(1,MIN(5,ROUNDUP($L604/5,0))))</f>
        <v/>
      </c>
      <c r="N604">
        <f>IF($H604="","",IFERROR(INDEX('_ENGINE_Risk'!$T$41:$Y$920,MATCH($E604,'_ENGINE_Risk'!$A$41:$A$920,0),$H604+1),""))</f>
        <v/>
      </c>
      <c r="O604">
        <f>IF($H604="","",MAX(1,MIN(5,($U604+$V604+$X604)/3)))</f>
        <v/>
      </c>
      <c r="P604">
        <f>IF($H604="","",IF($I604="Critical",5,IF($I604="High",4,IF($I604="Medium",3,IF($I604="Low",2,1)))))</f>
        <v/>
      </c>
      <c r="Q604">
        <f>IF($H604="","",MAX(1,MIN(5,((5-$H604)*0.65)+($W604*0.35))))</f>
        <v/>
      </c>
      <c r="R604">
        <f>IF($H604="","",MAX(1,MIN(5,($V604+$X604)/2)))</f>
        <v/>
      </c>
      <c r="S604">
        <f>IF(OR($H604="",$N604=""),"",ROUND(($O604+$P604+$Q604+$R604)/$N604,2))</f>
        <v/>
      </c>
      <c r="T604">
        <f>IF($H604="","",IFERROR(INDEX('_ENGINE_Risk'!$N$41:$S$920,MATCH($E604,'_ENGINE_Risk'!$A$41:$A$920,0),$H604+1),""))</f>
        <v/>
      </c>
      <c r="U604">
        <f>IFERROR(INDEX(_DATA_Assessment_Model!$G$5:$G$884,MATCH($E604,_DATA_Assessment_Model!$A$5:$A$884,0)),"")</f>
        <v/>
      </c>
      <c r="V604">
        <f>IFERROR(INDEX(_DATA_Assessment_Model!$W$5:$W$884,MATCH($E604,_DATA_Assessment_Model!$A$5:$A$884,0)),"")</f>
        <v/>
      </c>
      <c r="W604">
        <f>IFERROR(INDEX(_DATA_Assessment_Model!$X$5:$X$884,MATCH($E604,_DATA_Assessment_Model!$A$5:$A$884,0)),"")</f>
        <v/>
      </c>
      <c r="X604">
        <f>IFERROR(INDEX(_DATA_Assessment_Model!$Y$5:$Y$884,MATCH($E604,_DATA_Assessment_Model!$A$5:$A$884,0)),"")</f>
        <v/>
      </c>
      <c r="Y604" t="inlineStr">
        <is>
          <t>Financial liquidity crisis; Supplier disruption; Fraud risk</t>
        </is>
      </c>
      <c r="Z604" t="inlineStr">
        <is>
          <t>CFO / Procurement</t>
        </is>
      </c>
      <c r="AA604" t="inlineStr">
        <is>
          <t>Policy/SOP; owner/RACI; system report; dashboard; contracts; test records; incident history; interview evidence related to finance master data controls for chart of accounts, cost centers, vendors, customers and reporting dimensions.</t>
        </is>
      </c>
      <c r="AB604">
        <f>IFERROR(INDEX(_DATA_Assessment_Model!$U$5:$U$884,MATCH($E604,_DATA_Assessment_Model!$A$5:$A$884,0)),"")</f>
        <v/>
      </c>
      <c r="AF604" t="inlineStr">
        <is>
          <t>How mature is the organization in managing finance master data controls for chart of accounts, cost centers, vendors, customers and reporting dimensions, including ownership, evidence, metrics, fallback procedures and crisis stress testing?</t>
        </is>
      </c>
      <c r="AO604">
        <f>IF($B604="Yes",IFERROR(INDEX(_ENGINE_Crisis!$F$501:$F$517,MATCH($C604,_ENGINE_Crisis!$A$501:$A$517,0)),1),"")</f>
        <v/>
      </c>
      <c r="AP604">
        <f>IF(AO604="","",ROUND($L604*AO604,1))</f>
        <v/>
      </c>
      <c r="AQ604">
        <f>IF(OR(AO604="",$S604=""),"",ROUND($S604*(0.7+0.3*AO604),2))</f>
        <v/>
      </c>
      <c r="AR604">
        <f>IFERROR(INDEX(_ENGINE_Crisis!$E$41:$E$700,MATCH('Resilience &amp; Risk Scenario'!$B$60&amp;"|"&amp;$C604,_ENGINE_Crisis!$I$41:$I$700,0)),"")</f>
        <v/>
      </c>
      <c r="AS604">
        <f>IFERROR(INDEX(_ENGINE_Crisis!$G$41:$G$700,MATCH('Resilience &amp; Risk Scenario'!$B$60&amp;"|"&amp;$C604,_ENGINE_Crisis!$I$41:$I$700,0)),"")</f>
        <v/>
      </c>
      <c r="AT604">
        <f>IFERROR(INDEX(_ENGINE_Initiatives!$A$5:$A$532,MATCH(1,INDEX((_ENGINE_Initiatives!$B$5:$B$532=$C604)*(_ENGINE_Initiatives!$C$5:$C$532=$D604),0),0)),"")</f>
        <v/>
      </c>
      <c r="AU604">
        <f>IFERROR(INDEX(_ENGINE_Initiatives!$F$5:$F$532,MATCH(1,INDEX((_ENGINE_Initiatives!$B$5:$B$532=$C604)*(_ENGINE_Initiatives!$C$5:$C$532=$D604),0),0)),"")</f>
        <v/>
      </c>
      <c r="AV604">
        <f>IFERROR(INDEX(_ENGINE_Initiatives!$AC$5:$AC$532,MATCH(1,INDEX((_ENGINE_Initiatives!$B$5:$B$532=$C604)*(_ENGINE_Initiatives!$C$5:$C$532=$D604),0),0)),"")</f>
        <v/>
      </c>
      <c r="AW604">
        <f>IFERROR(INDEX(_ENGINE_Initiatives!$AE$5:$AE$532,MATCH(1,INDEX((_ENGINE_Initiatives!$B$5:$B$532=$C604)*(_ENGINE_Initiatives!$C$5:$C$532=$D604),0),0)),"")</f>
        <v/>
      </c>
      <c r="AX604">
        <f>IF($B604="Yes",IFERROR(IF(SUMIFS(_REF_Model_Content!$E$1:$E$613,_REF_Model_Content!$A$1:$A$613,'Company Profile'!$B$9,_REF_Model_Content!$B$1:$B$613,$C604)=0,1,SUMIFS(_REF_Model_Content!$E$1:$E$613,_REF_Model_Content!$A$1:$A$613,'Company Profile'!$B$9,_REF_Model_Content!$B$1:$B$613,$C604)),1),"")</f>
        <v/>
      </c>
      <c r="AY604">
        <f>IF($L604="","",ROUND(IF($AP604="",$L604,$AP604)*IF($AX604="",1,$AX604),2))</f>
        <v/>
      </c>
      <c r="AZ604">
        <f>IF($S604="","",ROUND(IF($AQ604="",$S604,$AQ604)*IF($AX604="",1,$AX604),2))</f>
        <v/>
      </c>
      <c r="BB604">
        <f>IF($H604="","",IFERROR(INDEX('_ENGINE_Risk'!$AE$41:$AE$920,MATCH($E604,'_ENGINE_Risk'!$A$41:$A$920,0)),"Medium"))</f>
        <v/>
      </c>
      <c r="BC604">
        <f>IF($BB604="","",IF($BB604="Fast",1.25,IF($BB604="Slow",0.85,1)))</f>
        <v/>
      </c>
      <c r="BD604">
        <f>IF(OR($AZ604="",$BC604=""),"",ROUND($AZ604*$BC604,2))</f>
        <v/>
      </c>
      <c r="BF604">
        <f>IF(OR($H604="",$J604=""),"",_xlfn.IFNA(VLOOKUP($J604,_CONFIG_Model_Settings!$D$610:$E$614,2,0),""))</f>
        <v/>
      </c>
      <c r="BG604">
        <f>IF(OR($H604="",$K604=""),"",ROUND('Company Profile'!$B$569*INDEX(_CONFIG_Model_Settings!$H$610:$H$614,MATCH($K604,_CONFIG_Model_Settings!$G$610:$G$614,0)),0))</f>
        <v/>
      </c>
      <c r="BH604">
        <f>IF(OR($BF604="",$BG604=""),"",ROUND($BF604*$BG604,1))</f>
        <v/>
      </c>
      <c r="BI604">
        <f>IF($BH604="","",IF($AO604="",$BH604,ROUND($BH604*$AO604,1)))</f>
        <v/>
      </c>
      <c r="BJ604">
        <f>IF($E604="","",IFERROR(VLOOKUP($C604,'_CONFIG_Risk_Calibration'!$A$5:$H$21,2,FALSE),3))</f>
        <v/>
      </c>
      <c r="BK604">
        <f>IF($E604="","",IFERROR(VLOOKUP($C604,'_CONFIG_Risk_Calibration'!$A$5:$H$21,3,FALSE),0))</f>
        <v/>
      </c>
      <c r="BL604">
        <f>IF($E604="","",IFERROR(VLOOKUP($C604,'_CONFIG_Risk_Calibration'!$A$5:$H$21,4,FALSE),3))</f>
        <v/>
      </c>
      <c r="BM604">
        <f>IF($E604="","",IFERROR(VLOOKUP($C604,'_CONFIG_Risk_Calibration'!$A$5:$H$21,5,FALSE),3))</f>
        <v/>
      </c>
      <c r="BN604">
        <f>IF($E604="","",IFERROR(VLOOKUP($C604,'_CONFIG_Risk_Calibration'!$A$5:$H$21,6,FALSE),"No"))</f>
        <v/>
      </c>
      <c r="BO604">
        <f>IF($E604="","",IFERROR(VLOOKUP($C604,'_CONFIG_Risk_Calibration'!$A$5:$H$21,7,FALSE),1))</f>
        <v/>
      </c>
      <c r="BP604">
        <f>IF($H604="","",MAX(1,MIN(5,((6-$H604)*0.45)+($BJ604*0.20)+('Resilience &amp; Risk Scenario'!$B$7*0.15)+($BK604*0.10)+($BL604*0.05)+(IF($BB604="Fast",5,IF($BB604="Slow",1,3))*0.05))))</f>
        <v/>
      </c>
      <c r="BQ604">
        <f>IF($H604="","",MAX(IF($BN604="Yes",$BO604,1),MIN(5,($U604*0.20)+($V604*0.15)+($W604*0.25)+($X604*0.15)+($BJ604*0.10)+($BM604*0.15))))</f>
        <v/>
      </c>
      <c r="BR604">
        <f>IF(OR($BP604="",$BQ604=""),"",ROUND($BP604*$BQ604,2))</f>
        <v/>
      </c>
      <c r="BS604">
        <f>IF($BR604="","",ROUND($BR604*IF($AO604="",1,$AO604)*IF($AX604="",1,$AX604)*(1+(($BM604-3)*0.10))*IF($BC604="",1,$BC604),2))</f>
        <v/>
      </c>
    </row>
    <row r="605" ht="69.90000000000001" customHeight="1" s="209">
      <c r="A605">
        <f>IF($BD605="","",SUMPRODUCT(ISNUMBER($BD$500:$BD$923)*($BD$500:$BD$923&gt;$BD605))+COUNTIF($BD$500:$BD605,$BD605))</f>
        <v/>
      </c>
      <c r="B605">
        <f>IF($H605="","",IF($H605&lt;5,"Yes","Maintain"))</f>
        <v/>
      </c>
      <c r="C605" t="inlineStr">
        <is>
          <t>Finance Procurement</t>
        </is>
      </c>
      <c r="D605" t="inlineStr">
        <is>
          <t>Procurement and suppliers</t>
        </is>
      </c>
      <c r="E605" t="inlineStr">
        <is>
          <t>FINA-013</t>
        </is>
      </c>
      <c r="F605" t="inlineStr">
        <is>
          <t>Financial control and procurement resilience</t>
        </is>
      </c>
      <c r="G605">
        <f>IF($H605="","",IFERROR(INDEX('_ENGINE_Risk'!$H$41:$M$920,MATCH($E605,'_ENGINE_Risk'!$A$41:$A$920,0),$H605+1),""))</f>
        <v/>
      </c>
      <c r="H605">
        <f>IFERROR(VALUE(INDEX(_DATA_Assessment_Model!$H$5:$H$884,MATCH($E605,_DATA_Assessment_Model!$A$5:$A$884,0))),"")</f>
        <v/>
      </c>
      <c r="I605">
        <f>IF($H605="","",IFERROR(INDEX(_DATA_Assessment_Model!$L$5:$L$884,MATCH($E605,_DATA_Assessment_Model!$A$5:$A$884,0)),IF($H605&lt;=1,"Critical",IF($H605=2,"High",IF($H605=3,"Medium",IF($H605=4,"Low","Resilient"))))))</f>
        <v/>
      </c>
      <c r="J605">
        <f>IF($H605="","",MIN(5,MAX(1,6-$H605)))</f>
        <v/>
      </c>
      <c r="K605">
        <f>IF($H605="","",MAX(1,MIN(5,ROUNDUP(($U605*0.45)+($W605*0.35)+($X605*0.2),0))))</f>
        <v/>
      </c>
      <c r="L605">
        <f>IF($H605="","",$J605*$K605)</f>
        <v/>
      </c>
      <c r="M605">
        <f>IF($H605="","",MAX(1,MIN(5,ROUNDUP($L605/5,0))))</f>
        <v/>
      </c>
      <c r="N605">
        <f>IF($H605="","",IFERROR(INDEX('_ENGINE_Risk'!$T$41:$Y$920,MATCH($E605,'_ENGINE_Risk'!$A$41:$A$920,0),$H605+1),""))</f>
        <v/>
      </c>
      <c r="O605">
        <f>IF($H605="","",MAX(1,MIN(5,($U605+$V605+$X605)/3)))</f>
        <v/>
      </c>
      <c r="P605">
        <f>IF($H605="","",IF($I605="Critical",5,IF($I605="High",4,IF($I605="Medium",3,IF($I605="Low",2,1)))))</f>
        <v/>
      </c>
      <c r="Q605">
        <f>IF($H605="","",MAX(1,MIN(5,((5-$H605)*0.65)+($W605*0.35))))</f>
        <v/>
      </c>
      <c r="R605">
        <f>IF($H605="","",MAX(1,MIN(5,($V605+$X605)/2)))</f>
        <v/>
      </c>
      <c r="S605">
        <f>IF(OR($H605="",$N605=""),"",ROUND(($O605+$P605+$Q605+$R605)/$N605,2))</f>
        <v/>
      </c>
      <c r="T605">
        <f>IF($H605="","",IFERROR(INDEX('_ENGINE_Risk'!$N$41:$S$920,MATCH($E605,'_ENGINE_Risk'!$A$41:$A$920,0),$H605+1),""))</f>
        <v/>
      </c>
      <c r="U605">
        <f>IFERROR(INDEX(_DATA_Assessment_Model!$G$5:$G$884,MATCH($E605,_DATA_Assessment_Model!$A$5:$A$884,0)),"")</f>
        <v/>
      </c>
      <c r="V605">
        <f>IFERROR(INDEX(_DATA_Assessment_Model!$W$5:$W$884,MATCH($E605,_DATA_Assessment_Model!$A$5:$A$884,0)),"")</f>
        <v/>
      </c>
      <c r="W605">
        <f>IFERROR(INDEX(_DATA_Assessment_Model!$X$5:$X$884,MATCH($E605,_DATA_Assessment_Model!$A$5:$A$884,0)),"")</f>
        <v/>
      </c>
      <c r="X605">
        <f>IFERROR(INDEX(_DATA_Assessment_Model!$Y$5:$Y$884,MATCH($E605,_DATA_Assessment_Model!$A$5:$A$884,0)),"")</f>
        <v/>
      </c>
      <c r="Y605" t="inlineStr">
        <is>
          <t>Financial liquidity crisis; Supplier disruption; Fraud risk</t>
        </is>
      </c>
      <c r="Z605" t="inlineStr">
        <is>
          <t>CFO / Procurement</t>
        </is>
      </c>
      <c r="AA605" t="inlineStr">
        <is>
          <t>Policy/SOP; owner/RACI; system report; dashboard; contracts; test records; incident history; interview evidence related to procurement policy covering sourcing, approvals, conflicts of interest and emergency purchasing.</t>
        </is>
      </c>
      <c r="AB605">
        <f>IFERROR(INDEX(_DATA_Assessment_Model!$U$5:$U$884,MATCH($E605,_DATA_Assessment_Model!$A$5:$A$884,0)),"")</f>
        <v/>
      </c>
      <c r="AF605" t="inlineStr">
        <is>
          <t>How mature is the organization in managing procurement policy covering sourcing, approvals, conflicts of interest and emergency purchasing, including ownership, evidence, metrics, fallback procedures and crisis stress testing?</t>
        </is>
      </c>
      <c r="AO605">
        <f>IF($B605="Yes",IFERROR(INDEX(_ENGINE_Crisis!$F$501:$F$517,MATCH($C605,_ENGINE_Crisis!$A$501:$A$517,0)),1),"")</f>
        <v/>
      </c>
      <c r="AP605">
        <f>IF(AO605="","",ROUND($L605*AO605,1))</f>
        <v/>
      </c>
      <c r="AQ605">
        <f>IF(OR(AO605="",$S605=""),"",ROUND($S605*(0.7+0.3*AO605),2))</f>
        <v/>
      </c>
      <c r="AR605">
        <f>IFERROR(INDEX(_ENGINE_Crisis!$E$41:$E$700,MATCH('Resilience &amp; Risk Scenario'!$B$60&amp;"|"&amp;$C605,_ENGINE_Crisis!$I$41:$I$700,0)),"")</f>
        <v/>
      </c>
      <c r="AS605">
        <f>IFERROR(INDEX(_ENGINE_Crisis!$G$41:$G$700,MATCH('Resilience &amp; Risk Scenario'!$B$60&amp;"|"&amp;$C605,_ENGINE_Crisis!$I$41:$I$700,0)),"")</f>
        <v/>
      </c>
      <c r="AT605">
        <f>IFERROR(INDEX(_ENGINE_Initiatives!$A$5:$A$532,MATCH(1,INDEX((_ENGINE_Initiatives!$B$5:$B$532=$C605)*(_ENGINE_Initiatives!$C$5:$C$532=$D605),0),0)),"")</f>
        <v/>
      </c>
      <c r="AU605">
        <f>IFERROR(INDEX(_ENGINE_Initiatives!$F$5:$F$532,MATCH(1,INDEX((_ENGINE_Initiatives!$B$5:$B$532=$C605)*(_ENGINE_Initiatives!$C$5:$C$532=$D605),0),0)),"")</f>
        <v/>
      </c>
      <c r="AV605">
        <f>IFERROR(INDEX(_ENGINE_Initiatives!$AC$5:$AC$532,MATCH(1,INDEX((_ENGINE_Initiatives!$B$5:$B$532=$C605)*(_ENGINE_Initiatives!$C$5:$C$532=$D605),0),0)),"")</f>
        <v/>
      </c>
      <c r="AW605">
        <f>IFERROR(INDEX(_ENGINE_Initiatives!$AE$5:$AE$532,MATCH(1,INDEX((_ENGINE_Initiatives!$B$5:$B$532=$C605)*(_ENGINE_Initiatives!$C$5:$C$532=$D605),0),0)),"")</f>
        <v/>
      </c>
      <c r="AX605">
        <f>IF($B605="Yes",IFERROR(IF(SUMIFS(_REF_Model_Content!$E$1:$E$613,_REF_Model_Content!$A$1:$A$613,'Company Profile'!$B$9,_REF_Model_Content!$B$1:$B$613,$C605)=0,1,SUMIFS(_REF_Model_Content!$E$1:$E$613,_REF_Model_Content!$A$1:$A$613,'Company Profile'!$B$9,_REF_Model_Content!$B$1:$B$613,$C605)),1),"")</f>
        <v/>
      </c>
      <c r="AY605">
        <f>IF($L605="","",ROUND(IF($AP605="",$L605,$AP605)*IF($AX605="",1,$AX605),2))</f>
        <v/>
      </c>
      <c r="AZ605">
        <f>IF($S605="","",ROUND(IF($AQ605="",$S605,$AQ605)*IF($AX605="",1,$AX605),2))</f>
        <v/>
      </c>
      <c r="BB605">
        <f>IF($H605="","",IFERROR(INDEX('_ENGINE_Risk'!$AE$41:$AE$920,MATCH($E605,'_ENGINE_Risk'!$A$41:$A$920,0)),"Medium"))</f>
        <v/>
      </c>
      <c r="BC605">
        <f>IF($BB605="","",IF($BB605="Fast",1.25,IF($BB605="Slow",0.85,1)))</f>
        <v/>
      </c>
      <c r="BD605">
        <f>IF(OR($AZ605="",$BC605=""),"",ROUND($AZ605*$BC605,2))</f>
        <v/>
      </c>
      <c r="BF605">
        <f>IF(OR($H605="",$J605=""),"",_xlfn.IFNA(VLOOKUP($J605,_CONFIG_Model_Settings!$D$610:$E$614,2,0),""))</f>
        <v/>
      </c>
      <c r="BG605">
        <f>IF(OR($H605="",$K605=""),"",ROUND('Company Profile'!$B$569*INDEX(_CONFIG_Model_Settings!$H$610:$H$614,MATCH($K605,_CONFIG_Model_Settings!$G$610:$G$614,0)),0))</f>
        <v/>
      </c>
      <c r="BH605">
        <f>IF(OR($BF605="",$BG605=""),"",ROUND($BF605*$BG605,1))</f>
        <v/>
      </c>
      <c r="BI605">
        <f>IF($BH605="","",IF($AO605="",$BH605,ROUND($BH605*$AO605,1)))</f>
        <v/>
      </c>
      <c r="BJ605">
        <f>IF($E605="","",IFERROR(VLOOKUP($C605,'_CONFIG_Risk_Calibration'!$A$5:$H$21,2,FALSE),3))</f>
        <v/>
      </c>
      <c r="BK605">
        <f>IF($E605="","",IFERROR(VLOOKUP($C605,'_CONFIG_Risk_Calibration'!$A$5:$H$21,3,FALSE),0))</f>
        <v/>
      </c>
      <c r="BL605">
        <f>IF($E605="","",IFERROR(VLOOKUP($C605,'_CONFIG_Risk_Calibration'!$A$5:$H$21,4,FALSE),3))</f>
        <v/>
      </c>
      <c r="BM605">
        <f>IF($E605="","",IFERROR(VLOOKUP($C605,'_CONFIG_Risk_Calibration'!$A$5:$H$21,5,FALSE),3))</f>
        <v/>
      </c>
      <c r="BN605">
        <f>IF($E605="","",IFERROR(VLOOKUP($C605,'_CONFIG_Risk_Calibration'!$A$5:$H$21,6,FALSE),"No"))</f>
        <v/>
      </c>
      <c r="BO605">
        <f>IF($E605="","",IFERROR(VLOOKUP($C605,'_CONFIG_Risk_Calibration'!$A$5:$H$21,7,FALSE),1))</f>
        <v/>
      </c>
      <c r="BP605">
        <f>IF($H605="","",MAX(1,MIN(5,((6-$H605)*0.45)+($BJ605*0.20)+('Resilience &amp; Risk Scenario'!$B$7*0.15)+($BK605*0.10)+($BL605*0.05)+(IF($BB605="Fast",5,IF($BB605="Slow",1,3))*0.05))))</f>
        <v/>
      </c>
      <c r="BQ605">
        <f>IF($H605="","",MAX(IF($BN605="Yes",$BO605,1),MIN(5,($U605*0.20)+($V605*0.15)+($W605*0.25)+($X605*0.15)+($BJ605*0.10)+($BM605*0.15))))</f>
        <v/>
      </c>
      <c r="BR605">
        <f>IF(OR($BP605="",$BQ605=""),"",ROUND($BP605*$BQ605,2))</f>
        <v/>
      </c>
      <c r="BS605">
        <f>IF($BR605="","",ROUND($BR605*IF($AO605="",1,$AO605)*IF($AX605="",1,$AX605)*(1+(($BM605-3)*0.10))*IF($BC605="",1,$BC605),2))</f>
        <v/>
      </c>
    </row>
    <row r="606" ht="69.90000000000001" customHeight="1" s="209">
      <c r="A606">
        <f>IF($BD606="","",SUMPRODUCT(ISNUMBER($BD$500:$BD$923)*($BD$500:$BD$923&gt;$BD606))+COUNTIF($BD$500:$BD606,$BD606))</f>
        <v/>
      </c>
      <c r="B606">
        <f>IF($H606="","",IF($H606&lt;5,"Yes","Maintain"))</f>
        <v/>
      </c>
      <c r="C606" t="inlineStr">
        <is>
          <t>Finance Procurement</t>
        </is>
      </c>
      <c r="D606" t="inlineStr">
        <is>
          <t>Procurement and suppliers</t>
        </is>
      </c>
      <c r="E606" t="inlineStr">
        <is>
          <t>FINA-014</t>
        </is>
      </c>
      <c r="F606" t="inlineStr">
        <is>
          <t>Financial control and procurement resilience</t>
        </is>
      </c>
      <c r="G606">
        <f>IF($H606="","",IFERROR(INDEX('_ENGINE_Risk'!$H$41:$M$920,MATCH($E606,'_ENGINE_Risk'!$A$41:$A$920,0),$H606+1),""))</f>
        <v/>
      </c>
      <c r="H606">
        <f>IFERROR(VALUE(INDEX(_DATA_Assessment_Model!$H$5:$H$884,MATCH($E606,_DATA_Assessment_Model!$A$5:$A$884,0))),"")</f>
        <v/>
      </c>
      <c r="I606">
        <f>IF($H606="","",IFERROR(INDEX(_DATA_Assessment_Model!$L$5:$L$884,MATCH($E606,_DATA_Assessment_Model!$A$5:$A$884,0)),IF($H606&lt;=1,"Critical",IF($H606=2,"High",IF($H606=3,"Medium",IF($H606=4,"Low","Resilient"))))))</f>
        <v/>
      </c>
      <c r="J606">
        <f>IF($H606="","",MIN(5,MAX(1,6-$H606)))</f>
        <v/>
      </c>
      <c r="K606">
        <f>IF($H606="","",MAX(1,MIN(5,ROUNDUP(($U606*0.45)+($W606*0.35)+($X606*0.2),0))))</f>
        <v/>
      </c>
      <c r="L606">
        <f>IF($H606="","",$J606*$K606)</f>
        <v/>
      </c>
      <c r="M606">
        <f>IF($H606="","",MAX(1,MIN(5,ROUNDUP($L606/5,0))))</f>
        <v/>
      </c>
      <c r="N606">
        <f>IF($H606="","",IFERROR(INDEX('_ENGINE_Risk'!$T$41:$Y$920,MATCH($E606,'_ENGINE_Risk'!$A$41:$A$920,0),$H606+1),""))</f>
        <v/>
      </c>
      <c r="O606">
        <f>IF($H606="","",MAX(1,MIN(5,($U606+$V606+$X606)/3)))</f>
        <v/>
      </c>
      <c r="P606">
        <f>IF($H606="","",IF($I606="Critical",5,IF($I606="High",4,IF($I606="Medium",3,IF($I606="Low",2,1)))))</f>
        <v/>
      </c>
      <c r="Q606">
        <f>IF($H606="","",MAX(1,MIN(5,((5-$H606)*0.65)+($W606*0.35))))</f>
        <v/>
      </c>
      <c r="R606">
        <f>IF($H606="","",MAX(1,MIN(5,($V606+$X606)/2)))</f>
        <v/>
      </c>
      <c r="S606">
        <f>IF(OR($H606="",$N606=""),"",ROUND(($O606+$P606+$Q606+$R606)/$N606,2))</f>
        <v/>
      </c>
      <c r="T606">
        <f>IF($H606="","",IFERROR(INDEX('_ENGINE_Risk'!$N$41:$S$920,MATCH($E606,'_ENGINE_Risk'!$A$41:$A$920,0),$H606+1),""))</f>
        <v/>
      </c>
      <c r="U606">
        <f>IFERROR(INDEX(_DATA_Assessment_Model!$G$5:$G$884,MATCH($E606,_DATA_Assessment_Model!$A$5:$A$884,0)),"")</f>
        <v/>
      </c>
      <c r="V606">
        <f>IFERROR(INDEX(_DATA_Assessment_Model!$W$5:$W$884,MATCH($E606,_DATA_Assessment_Model!$A$5:$A$884,0)),"")</f>
        <v/>
      </c>
      <c r="W606">
        <f>IFERROR(INDEX(_DATA_Assessment_Model!$X$5:$X$884,MATCH($E606,_DATA_Assessment_Model!$A$5:$A$884,0)),"")</f>
        <v/>
      </c>
      <c r="X606">
        <f>IFERROR(INDEX(_DATA_Assessment_Model!$Y$5:$Y$884,MATCH($E606,_DATA_Assessment_Model!$A$5:$A$884,0)),"")</f>
        <v/>
      </c>
      <c r="Y606" t="inlineStr">
        <is>
          <t>Financial liquidity crisis; Supplier disruption; Fraud risk</t>
        </is>
      </c>
      <c r="Z606" t="inlineStr">
        <is>
          <t>CFO / Procurement</t>
        </is>
      </c>
      <c r="AA606" t="inlineStr">
        <is>
          <t>Policy/SOP; owner/RACI; system report; dashboard; contracts; test records; incident history; interview evidence related to critical supplier classification by business impact, replaceability, geography, financial health and SLA.</t>
        </is>
      </c>
      <c r="AB606">
        <f>IFERROR(INDEX(_DATA_Assessment_Model!$U$5:$U$884,MATCH($E606,_DATA_Assessment_Model!$A$5:$A$884,0)),"")</f>
        <v/>
      </c>
      <c r="AF606" t="inlineStr">
        <is>
          <t>How mature is the organization in managing critical supplier classification by business impact, replaceability, geography, financial health and SLA, including ownership, evidence, metrics, fallback procedures and crisis stress testing?</t>
        </is>
      </c>
      <c r="AO606">
        <f>IF($B606="Yes",IFERROR(INDEX(_ENGINE_Crisis!$F$501:$F$517,MATCH($C606,_ENGINE_Crisis!$A$501:$A$517,0)),1),"")</f>
        <v/>
      </c>
      <c r="AP606">
        <f>IF(AO606="","",ROUND($L606*AO606,1))</f>
        <v/>
      </c>
      <c r="AQ606">
        <f>IF(OR(AO606="",$S606=""),"",ROUND($S606*(0.7+0.3*AO606),2))</f>
        <v/>
      </c>
      <c r="AR606">
        <f>IFERROR(INDEX(_ENGINE_Crisis!$E$41:$E$700,MATCH('Resilience &amp; Risk Scenario'!$B$60&amp;"|"&amp;$C606,_ENGINE_Crisis!$I$41:$I$700,0)),"")</f>
        <v/>
      </c>
      <c r="AS606">
        <f>IFERROR(INDEX(_ENGINE_Crisis!$G$41:$G$700,MATCH('Resilience &amp; Risk Scenario'!$B$60&amp;"|"&amp;$C606,_ENGINE_Crisis!$I$41:$I$700,0)),"")</f>
        <v/>
      </c>
      <c r="AT606">
        <f>IFERROR(INDEX(_ENGINE_Initiatives!$A$5:$A$532,MATCH(1,INDEX((_ENGINE_Initiatives!$B$5:$B$532=$C606)*(_ENGINE_Initiatives!$C$5:$C$532=$D606),0),0)),"")</f>
        <v/>
      </c>
      <c r="AU606">
        <f>IFERROR(INDEX(_ENGINE_Initiatives!$F$5:$F$532,MATCH(1,INDEX((_ENGINE_Initiatives!$B$5:$B$532=$C606)*(_ENGINE_Initiatives!$C$5:$C$532=$D606),0),0)),"")</f>
        <v/>
      </c>
      <c r="AV606">
        <f>IFERROR(INDEX(_ENGINE_Initiatives!$AC$5:$AC$532,MATCH(1,INDEX((_ENGINE_Initiatives!$B$5:$B$532=$C606)*(_ENGINE_Initiatives!$C$5:$C$532=$D606),0),0)),"")</f>
        <v/>
      </c>
      <c r="AW606">
        <f>IFERROR(INDEX(_ENGINE_Initiatives!$AE$5:$AE$532,MATCH(1,INDEX((_ENGINE_Initiatives!$B$5:$B$532=$C606)*(_ENGINE_Initiatives!$C$5:$C$532=$D606),0),0)),"")</f>
        <v/>
      </c>
      <c r="AX606">
        <f>IF($B606="Yes",IFERROR(IF(SUMIFS(_REF_Model_Content!$E$1:$E$613,_REF_Model_Content!$A$1:$A$613,'Company Profile'!$B$9,_REF_Model_Content!$B$1:$B$613,$C606)=0,1,SUMIFS(_REF_Model_Content!$E$1:$E$613,_REF_Model_Content!$A$1:$A$613,'Company Profile'!$B$9,_REF_Model_Content!$B$1:$B$613,$C606)),1),"")</f>
        <v/>
      </c>
      <c r="AY606">
        <f>IF($L606="","",ROUND(IF($AP606="",$L606,$AP606)*IF($AX606="",1,$AX606),2))</f>
        <v/>
      </c>
      <c r="AZ606">
        <f>IF($S606="","",ROUND(IF($AQ606="",$S606,$AQ606)*IF($AX606="",1,$AX606),2))</f>
        <v/>
      </c>
      <c r="BB606">
        <f>IF($H606="","",IFERROR(INDEX('_ENGINE_Risk'!$AE$41:$AE$920,MATCH($E606,'_ENGINE_Risk'!$A$41:$A$920,0)),"Medium"))</f>
        <v/>
      </c>
      <c r="BC606">
        <f>IF($BB606="","",IF($BB606="Fast",1.25,IF($BB606="Slow",0.85,1)))</f>
        <v/>
      </c>
      <c r="BD606">
        <f>IF(OR($AZ606="",$BC606=""),"",ROUND($AZ606*$BC606,2))</f>
        <v/>
      </c>
      <c r="BF606">
        <f>IF(OR($H606="",$J606=""),"",_xlfn.IFNA(VLOOKUP($J606,_CONFIG_Model_Settings!$D$610:$E$614,2,0),""))</f>
        <v/>
      </c>
      <c r="BG606">
        <f>IF(OR($H606="",$K606=""),"",ROUND('Company Profile'!$B$569*INDEX(_CONFIG_Model_Settings!$H$610:$H$614,MATCH($K606,_CONFIG_Model_Settings!$G$610:$G$614,0)),0))</f>
        <v/>
      </c>
      <c r="BH606">
        <f>IF(OR($BF606="",$BG606=""),"",ROUND($BF606*$BG606,1))</f>
        <v/>
      </c>
      <c r="BI606">
        <f>IF($BH606="","",IF($AO606="",$BH606,ROUND($BH606*$AO606,1)))</f>
        <v/>
      </c>
      <c r="BJ606">
        <f>IF($E606="","",IFERROR(VLOOKUP($C606,'_CONFIG_Risk_Calibration'!$A$5:$H$21,2,FALSE),3))</f>
        <v/>
      </c>
      <c r="BK606">
        <f>IF($E606="","",IFERROR(VLOOKUP($C606,'_CONFIG_Risk_Calibration'!$A$5:$H$21,3,FALSE),0))</f>
        <v/>
      </c>
      <c r="BL606">
        <f>IF($E606="","",IFERROR(VLOOKUP($C606,'_CONFIG_Risk_Calibration'!$A$5:$H$21,4,FALSE),3))</f>
        <v/>
      </c>
      <c r="BM606">
        <f>IF($E606="","",IFERROR(VLOOKUP($C606,'_CONFIG_Risk_Calibration'!$A$5:$H$21,5,FALSE),3))</f>
        <v/>
      </c>
      <c r="BN606">
        <f>IF($E606="","",IFERROR(VLOOKUP($C606,'_CONFIG_Risk_Calibration'!$A$5:$H$21,6,FALSE),"No"))</f>
        <v/>
      </c>
      <c r="BO606">
        <f>IF($E606="","",IFERROR(VLOOKUP($C606,'_CONFIG_Risk_Calibration'!$A$5:$H$21,7,FALSE),1))</f>
        <v/>
      </c>
      <c r="BP606">
        <f>IF($H606="","",MAX(1,MIN(5,((6-$H606)*0.45)+($BJ606*0.20)+('Resilience &amp; Risk Scenario'!$B$7*0.15)+($BK606*0.10)+($BL606*0.05)+(IF($BB606="Fast",5,IF($BB606="Slow",1,3))*0.05))))</f>
        <v/>
      </c>
      <c r="BQ606">
        <f>IF($H606="","",MAX(IF($BN606="Yes",$BO606,1),MIN(5,($U606*0.20)+($V606*0.15)+($W606*0.25)+($X606*0.15)+($BJ606*0.10)+($BM606*0.15))))</f>
        <v/>
      </c>
      <c r="BR606">
        <f>IF(OR($BP606="",$BQ606=""),"",ROUND($BP606*$BQ606,2))</f>
        <v/>
      </c>
      <c r="BS606">
        <f>IF($BR606="","",ROUND($BR606*IF($AO606="",1,$AO606)*IF($AX606="",1,$AX606)*(1+(($BM606-3)*0.10))*IF($BC606="",1,$BC606),2))</f>
        <v/>
      </c>
    </row>
    <row r="607" ht="69.90000000000001" customHeight="1" s="209">
      <c r="A607">
        <f>IF($BD607="","",SUMPRODUCT(ISNUMBER($BD$500:$BD$923)*($BD$500:$BD$923&gt;$BD607))+COUNTIF($BD$500:$BD607,$BD607))</f>
        <v/>
      </c>
      <c r="B607">
        <f>IF($H607="","",IF($H607&lt;5,"Yes","Maintain"))</f>
        <v/>
      </c>
      <c r="C607" t="inlineStr">
        <is>
          <t>Finance Procurement</t>
        </is>
      </c>
      <c r="D607" t="inlineStr">
        <is>
          <t>Procurement and suppliers</t>
        </is>
      </c>
      <c r="E607" t="inlineStr">
        <is>
          <t>FINA-015</t>
        </is>
      </c>
      <c r="F607" t="inlineStr">
        <is>
          <t>Financial control and procurement resilience</t>
        </is>
      </c>
      <c r="G607">
        <f>IF($H607="","",IFERROR(INDEX('_ENGINE_Risk'!$H$41:$M$920,MATCH($E607,'_ENGINE_Risk'!$A$41:$A$920,0),$H607+1),""))</f>
        <v/>
      </c>
      <c r="H607">
        <f>IFERROR(VALUE(INDEX(_DATA_Assessment_Model!$H$5:$H$884,MATCH($E607,_DATA_Assessment_Model!$A$5:$A$884,0))),"")</f>
        <v/>
      </c>
      <c r="I607">
        <f>IF($H607="","",IFERROR(INDEX(_DATA_Assessment_Model!$L$5:$L$884,MATCH($E607,_DATA_Assessment_Model!$A$5:$A$884,0)),IF($H607&lt;=1,"Critical",IF($H607=2,"High",IF($H607=3,"Medium",IF($H607=4,"Low","Resilient"))))))</f>
        <v/>
      </c>
      <c r="J607">
        <f>IF($H607="","",MIN(5,MAX(1,6-$H607)))</f>
        <v/>
      </c>
      <c r="K607">
        <f>IF($H607="","",MAX(1,MIN(5,ROUNDUP(($U607*0.45)+($W607*0.35)+($X607*0.2),0))))</f>
        <v/>
      </c>
      <c r="L607">
        <f>IF($H607="","",$J607*$K607)</f>
        <v/>
      </c>
      <c r="M607">
        <f>IF($H607="","",MAX(1,MIN(5,ROUNDUP($L607/5,0))))</f>
        <v/>
      </c>
      <c r="N607">
        <f>IF($H607="","",IFERROR(INDEX('_ENGINE_Risk'!$T$41:$Y$920,MATCH($E607,'_ENGINE_Risk'!$A$41:$A$920,0),$H607+1),""))</f>
        <v/>
      </c>
      <c r="O607">
        <f>IF($H607="","",MAX(1,MIN(5,($U607+$V607+$X607)/3)))</f>
        <v/>
      </c>
      <c r="P607">
        <f>IF($H607="","",IF($I607="Critical",5,IF($I607="High",4,IF($I607="Medium",3,IF($I607="Low",2,1)))))</f>
        <v/>
      </c>
      <c r="Q607">
        <f>IF($H607="","",MAX(1,MIN(5,((5-$H607)*0.65)+($W607*0.35))))</f>
        <v/>
      </c>
      <c r="R607">
        <f>IF($H607="","",MAX(1,MIN(5,($V607+$X607)/2)))</f>
        <v/>
      </c>
      <c r="S607">
        <f>IF(OR($H607="",$N607=""),"",ROUND(($O607+$P607+$Q607+$R607)/$N607,2))</f>
        <v/>
      </c>
      <c r="T607">
        <f>IF($H607="","",IFERROR(INDEX('_ENGINE_Risk'!$N$41:$S$920,MATCH($E607,'_ENGINE_Risk'!$A$41:$A$920,0),$H607+1),""))</f>
        <v/>
      </c>
      <c r="U607">
        <f>IFERROR(INDEX(_DATA_Assessment_Model!$G$5:$G$884,MATCH($E607,_DATA_Assessment_Model!$A$5:$A$884,0)),"")</f>
        <v/>
      </c>
      <c r="V607">
        <f>IFERROR(INDEX(_DATA_Assessment_Model!$W$5:$W$884,MATCH($E607,_DATA_Assessment_Model!$A$5:$A$884,0)),"")</f>
        <v/>
      </c>
      <c r="W607">
        <f>IFERROR(INDEX(_DATA_Assessment_Model!$X$5:$X$884,MATCH($E607,_DATA_Assessment_Model!$A$5:$A$884,0)),"")</f>
        <v/>
      </c>
      <c r="X607">
        <f>IFERROR(INDEX(_DATA_Assessment_Model!$Y$5:$Y$884,MATCH($E607,_DATA_Assessment_Model!$A$5:$A$884,0)),"")</f>
        <v/>
      </c>
      <c r="Y607" t="inlineStr">
        <is>
          <t>Financial liquidity crisis; Supplier disruption; Fraud risk</t>
        </is>
      </c>
      <c r="Z607" t="inlineStr">
        <is>
          <t>CFO / Procurement</t>
        </is>
      </c>
      <c r="AA607" t="inlineStr">
        <is>
          <t>Policy/SOP; owner/RACI; system report; dashboard; contracts; test records; incident history; interview evidence related to single-source and sole-source supplier exposure and mitigation plans.</t>
        </is>
      </c>
      <c r="AB607">
        <f>IFERROR(INDEX(_DATA_Assessment_Model!$U$5:$U$884,MATCH($E607,_DATA_Assessment_Model!$A$5:$A$884,0)),"")</f>
        <v/>
      </c>
      <c r="AF607" t="inlineStr">
        <is>
          <t>How mature is the organization in managing single-source and sole-source supplier exposure and mitigation plans, including ownership, evidence, metrics, fallback procedures and crisis stress testing?</t>
        </is>
      </c>
      <c r="AO607">
        <f>IF($B607="Yes",IFERROR(INDEX(_ENGINE_Crisis!$F$501:$F$517,MATCH($C607,_ENGINE_Crisis!$A$501:$A$517,0)),1),"")</f>
        <v/>
      </c>
      <c r="AP607">
        <f>IF(AO607="","",ROUND($L607*AO607,1))</f>
        <v/>
      </c>
      <c r="AQ607">
        <f>IF(OR(AO607="",$S607=""),"",ROUND($S607*(0.7+0.3*AO607),2))</f>
        <v/>
      </c>
      <c r="AR607">
        <f>IFERROR(INDEX(_ENGINE_Crisis!$E$41:$E$700,MATCH('Resilience &amp; Risk Scenario'!$B$60&amp;"|"&amp;$C607,_ENGINE_Crisis!$I$41:$I$700,0)),"")</f>
        <v/>
      </c>
      <c r="AS607">
        <f>IFERROR(INDEX(_ENGINE_Crisis!$G$41:$G$700,MATCH('Resilience &amp; Risk Scenario'!$B$60&amp;"|"&amp;$C607,_ENGINE_Crisis!$I$41:$I$700,0)),"")</f>
        <v/>
      </c>
      <c r="AT607">
        <f>IFERROR(INDEX(_ENGINE_Initiatives!$A$5:$A$532,MATCH(1,INDEX((_ENGINE_Initiatives!$B$5:$B$532=$C607)*(_ENGINE_Initiatives!$C$5:$C$532=$D607),0),0)),"")</f>
        <v/>
      </c>
      <c r="AU607">
        <f>IFERROR(INDEX(_ENGINE_Initiatives!$F$5:$F$532,MATCH(1,INDEX((_ENGINE_Initiatives!$B$5:$B$532=$C607)*(_ENGINE_Initiatives!$C$5:$C$532=$D607),0),0)),"")</f>
        <v/>
      </c>
      <c r="AV607">
        <f>IFERROR(INDEX(_ENGINE_Initiatives!$AC$5:$AC$532,MATCH(1,INDEX((_ENGINE_Initiatives!$B$5:$B$532=$C607)*(_ENGINE_Initiatives!$C$5:$C$532=$D607),0),0)),"")</f>
        <v/>
      </c>
      <c r="AW607">
        <f>IFERROR(INDEX(_ENGINE_Initiatives!$AE$5:$AE$532,MATCH(1,INDEX((_ENGINE_Initiatives!$B$5:$B$532=$C607)*(_ENGINE_Initiatives!$C$5:$C$532=$D607),0),0)),"")</f>
        <v/>
      </c>
      <c r="AX607">
        <f>IF($B607="Yes",IFERROR(IF(SUMIFS(_REF_Model_Content!$E$1:$E$613,_REF_Model_Content!$A$1:$A$613,'Company Profile'!$B$9,_REF_Model_Content!$B$1:$B$613,$C607)=0,1,SUMIFS(_REF_Model_Content!$E$1:$E$613,_REF_Model_Content!$A$1:$A$613,'Company Profile'!$B$9,_REF_Model_Content!$B$1:$B$613,$C607)),1),"")</f>
        <v/>
      </c>
      <c r="AY607">
        <f>IF($L607="","",ROUND(IF($AP607="",$L607,$AP607)*IF($AX607="",1,$AX607),2))</f>
        <v/>
      </c>
      <c r="AZ607">
        <f>IF($S607="","",ROUND(IF($AQ607="",$S607,$AQ607)*IF($AX607="",1,$AX607),2))</f>
        <v/>
      </c>
      <c r="BB607">
        <f>IF($H607="","",IFERROR(INDEX('_ENGINE_Risk'!$AE$41:$AE$920,MATCH($E607,'_ENGINE_Risk'!$A$41:$A$920,0)),"Medium"))</f>
        <v/>
      </c>
      <c r="BC607">
        <f>IF($BB607="","",IF($BB607="Fast",1.25,IF($BB607="Slow",0.85,1)))</f>
        <v/>
      </c>
      <c r="BD607">
        <f>IF(OR($AZ607="",$BC607=""),"",ROUND($AZ607*$BC607,2))</f>
        <v/>
      </c>
      <c r="BF607">
        <f>IF(OR($H607="",$J607=""),"",_xlfn.IFNA(VLOOKUP($J607,_CONFIG_Model_Settings!$D$610:$E$614,2,0),""))</f>
        <v/>
      </c>
      <c r="BG607">
        <f>IF(OR($H607="",$K607=""),"",ROUND('Company Profile'!$B$569*INDEX(_CONFIG_Model_Settings!$H$610:$H$614,MATCH($K607,_CONFIG_Model_Settings!$G$610:$G$614,0)),0))</f>
        <v/>
      </c>
      <c r="BH607">
        <f>IF(OR($BF607="",$BG607=""),"",ROUND($BF607*$BG607,1))</f>
        <v/>
      </c>
      <c r="BI607">
        <f>IF($BH607="","",IF($AO607="",$BH607,ROUND($BH607*$AO607,1)))</f>
        <v/>
      </c>
      <c r="BJ607">
        <f>IF($E607="","",IFERROR(VLOOKUP($C607,'_CONFIG_Risk_Calibration'!$A$5:$H$21,2,FALSE),3))</f>
        <v/>
      </c>
      <c r="BK607">
        <f>IF($E607="","",IFERROR(VLOOKUP($C607,'_CONFIG_Risk_Calibration'!$A$5:$H$21,3,FALSE),0))</f>
        <v/>
      </c>
      <c r="BL607">
        <f>IF($E607="","",IFERROR(VLOOKUP($C607,'_CONFIG_Risk_Calibration'!$A$5:$H$21,4,FALSE),3))</f>
        <v/>
      </c>
      <c r="BM607">
        <f>IF($E607="","",IFERROR(VLOOKUP($C607,'_CONFIG_Risk_Calibration'!$A$5:$H$21,5,FALSE),3))</f>
        <v/>
      </c>
      <c r="BN607">
        <f>IF($E607="","",IFERROR(VLOOKUP($C607,'_CONFIG_Risk_Calibration'!$A$5:$H$21,6,FALSE),"No"))</f>
        <v/>
      </c>
      <c r="BO607">
        <f>IF($E607="","",IFERROR(VLOOKUP($C607,'_CONFIG_Risk_Calibration'!$A$5:$H$21,7,FALSE),1))</f>
        <v/>
      </c>
      <c r="BP607">
        <f>IF($H607="","",MAX(1,MIN(5,((6-$H607)*0.45)+($BJ607*0.20)+('Resilience &amp; Risk Scenario'!$B$7*0.15)+($BK607*0.10)+($BL607*0.05)+(IF($BB607="Fast",5,IF($BB607="Slow",1,3))*0.05))))</f>
        <v/>
      </c>
      <c r="BQ607">
        <f>IF($H607="","",MAX(IF($BN607="Yes",$BO607,1),MIN(5,($U607*0.20)+($V607*0.15)+($W607*0.25)+($X607*0.15)+($BJ607*0.10)+($BM607*0.15))))</f>
        <v/>
      </c>
      <c r="BR607">
        <f>IF(OR($BP607="",$BQ607=""),"",ROUND($BP607*$BQ607,2))</f>
        <v/>
      </c>
      <c r="BS607">
        <f>IF($BR607="","",ROUND($BR607*IF($AO607="",1,$AO607)*IF($AX607="",1,$AX607)*(1+(($BM607-3)*0.10))*IF($BC607="",1,$BC607),2))</f>
        <v/>
      </c>
    </row>
    <row r="608" ht="69.90000000000001" customHeight="1" s="209">
      <c r="A608">
        <f>IF($BD608="","",SUMPRODUCT(ISNUMBER($BD$500:$BD$923)*($BD$500:$BD$923&gt;$BD608))+COUNTIF($BD$500:$BD608,$BD608))</f>
        <v/>
      </c>
      <c r="B608">
        <f>IF($H608="","",IF($H608&lt;5,"Yes","Maintain"))</f>
        <v/>
      </c>
      <c r="C608" t="inlineStr">
        <is>
          <t>Finance Procurement</t>
        </is>
      </c>
      <c r="D608" t="inlineStr">
        <is>
          <t>Procurement and suppliers</t>
        </is>
      </c>
      <c r="E608" t="inlineStr">
        <is>
          <t>FINA-016</t>
        </is>
      </c>
      <c r="F608" t="inlineStr">
        <is>
          <t>Financial control and procurement resilience</t>
        </is>
      </c>
      <c r="G608">
        <f>IF($H608="","",IFERROR(INDEX('_ENGINE_Risk'!$H$41:$M$920,MATCH($E608,'_ENGINE_Risk'!$A$41:$A$920,0),$H608+1),""))</f>
        <v/>
      </c>
      <c r="H608">
        <f>IFERROR(VALUE(INDEX(_DATA_Assessment_Model!$H$5:$H$884,MATCH($E608,_DATA_Assessment_Model!$A$5:$A$884,0))),"")</f>
        <v/>
      </c>
      <c r="I608">
        <f>IF($H608="","",IFERROR(INDEX(_DATA_Assessment_Model!$L$5:$L$884,MATCH($E608,_DATA_Assessment_Model!$A$5:$A$884,0)),IF($H608&lt;=1,"Critical",IF($H608=2,"High",IF($H608=3,"Medium",IF($H608=4,"Low","Resilient"))))))</f>
        <v/>
      </c>
      <c r="J608">
        <f>IF($H608="","",MIN(5,MAX(1,6-$H608)))</f>
        <v/>
      </c>
      <c r="K608">
        <f>IF($H608="","",MAX(1,MIN(5,ROUNDUP(($U608*0.45)+($W608*0.35)+($X608*0.2),0))))</f>
        <v/>
      </c>
      <c r="L608">
        <f>IF($H608="","",$J608*$K608)</f>
        <v/>
      </c>
      <c r="M608">
        <f>IF($H608="","",MAX(1,MIN(5,ROUNDUP($L608/5,0))))</f>
        <v/>
      </c>
      <c r="N608">
        <f>IF($H608="","",IFERROR(INDEX('_ENGINE_Risk'!$T$41:$Y$920,MATCH($E608,'_ENGINE_Risk'!$A$41:$A$920,0),$H608+1),""))</f>
        <v/>
      </c>
      <c r="O608">
        <f>IF($H608="","",MAX(1,MIN(5,($U608+$V608+$X608)/3)))</f>
        <v/>
      </c>
      <c r="P608">
        <f>IF($H608="","",IF($I608="Critical",5,IF($I608="High",4,IF($I608="Medium",3,IF($I608="Low",2,1)))))</f>
        <v/>
      </c>
      <c r="Q608">
        <f>IF($H608="","",MAX(1,MIN(5,((5-$H608)*0.65)+($W608*0.35))))</f>
        <v/>
      </c>
      <c r="R608">
        <f>IF($H608="","",MAX(1,MIN(5,($V608+$X608)/2)))</f>
        <v/>
      </c>
      <c r="S608">
        <f>IF(OR($H608="",$N608=""),"",ROUND(($O608+$P608+$Q608+$R608)/$N608,2))</f>
        <v/>
      </c>
      <c r="T608">
        <f>IF($H608="","",IFERROR(INDEX('_ENGINE_Risk'!$N$41:$S$920,MATCH($E608,'_ENGINE_Risk'!$A$41:$A$920,0),$H608+1),""))</f>
        <v/>
      </c>
      <c r="U608">
        <f>IFERROR(INDEX(_DATA_Assessment_Model!$G$5:$G$884,MATCH($E608,_DATA_Assessment_Model!$A$5:$A$884,0)),"")</f>
        <v/>
      </c>
      <c r="V608">
        <f>IFERROR(INDEX(_DATA_Assessment_Model!$W$5:$W$884,MATCH($E608,_DATA_Assessment_Model!$A$5:$A$884,0)),"")</f>
        <v/>
      </c>
      <c r="W608">
        <f>IFERROR(INDEX(_DATA_Assessment_Model!$X$5:$X$884,MATCH($E608,_DATA_Assessment_Model!$A$5:$A$884,0)),"")</f>
        <v/>
      </c>
      <c r="X608">
        <f>IFERROR(INDEX(_DATA_Assessment_Model!$Y$5:$Y$884,MATCH($E608,_DATA_Assessment_Model!$A$5:$A$884,0)),"")</f>
        <v/>
      </c>
      <c r="Y608" t="inlineStr">
        <is>
          <t>Financial liquidity crisis; Supplier disruption; Fraud risk</t>
        </is>
      </c>
      <c r="Z608" t="inlineStr">
        <is>
          <t>CFO / Procurement</t>
        </is>
      </c>
      <c r="AA608" t="inlineStr">
        <is>
          <t>Policy/SOP; owner/RACI; system report; dashboard; contracts; test records; incident history; interview evidence related to supplier financial health, sanctions, insurance, delivery reliability and crisis exposure monitoring.</t>
        </is>
      </c>
      <c r="AB608">
        <f>IFERROR(INDEX(_DATA_Assessment_Model!$U$5:$U$884,MATCH($E608,_DATA_Assessment_Model!$A$5:$A$884,0)),"")</f>
        <v/>
      </c>
      <c r="AF608" t="inlineStr">
        <is>
          <t>How mature is the organization in managing supplier financial health, sanctions, insurance, delivery reliability and crisis exposure monitoring, including ownership, evidence, metrics, fallback procedures and crisis stress testing?</t>
        </is>
      </c>
      <c r="AO608">
        <f>IF($B608="Yes",IFERROR(INDEX(_ENGINE_Crisis!$F$501:$F$517,MATCH($C608,_ENGINE_Crisis!$A$501:$A$517,0)),1),"")</f>
        <v/>
      </c>
      <c r="AP608">
        <f>IF(AO608="","",ROUND($L608*AO608,1))</f>
        <v/>
      </c>
      <c r="AQ608">
        <f>IF(OR(AO608="",$S608=""),"",ROUND($S608*(0.7+0.3*AO608),2))</f>
        <v/>
      </c>
      <c r="AR608">
        <f>IFERROR(INDEX(_ENGINE_Crisis!$E$41:$E$700,MATCH('Resilience &amp; Risk Scenario'!$B$60&amp;"|"&amp;$C608,_ENGINE_Crisis!$I$41:$I$700,0)),"")</f>
        <v/>
      </c>
      <c r="AS608">
        <f>IFERROR(INDEX(_ENGINE_Crisis!$G$41:$G$700,MATCH('Resilience &amp; Risk Scenario'!$B$60&amp;"|"&amp;$C608,_ENGINE_Crisis!$I$41:$I$700,0)),"")</f>
        <v/>
      </c>
      <c r="AT608">
        <f>IFERROR(INDEX(_ENGINE_Initiatives!$A$5:$A$532,MATCH(1,INDEX((_ENGINE_Initiatives!$B$5:$B$532=$C608)*(_ENGINE_Initiatives!$C$5:$C$532=$D608),0),0)),"")</f>
        <v/>
      </c>
      <c r="AU608">
        <f>IFERROR(INDEX(_ENGINE_Initiatives!$F$5:$F$532,MATCH(1,INDEX((_ENGINE_Initiatives!$B$5:$B$532=$C608)*(_ENGINE_Initiatives!$C$5:$C$532=$D608),0),0)),"")</f>
        <v/>
      </c>
      <c r="AV608">
        <f>IFERROR(INDEX(_ENGINE_Initiatives!$AC$5:$AC$532,MATCH(1,INDEX((_ENGINE_Initiatives!$B$5:$B$532=$C608)*(_ENGINE_Initiatives!$C$5:$C$532=$D608),0),0)),"")</f>
        <v/>
      </c>
      <c r="AW608">
        <f>IFERROR(INDEX(_ENGINE_Initiatives!$AE$5:$AE$532,MATCH(1,INDEX((_ENGINE_Initiatives!$B$5:$B$532=$C608)*(_ENGINE_Initiatives!$C$5:$C$532=$D608),0),0)),"")</f>
        <v/>
      </c>
      <c r="AX608">
        <f>IF($B608="Yes",IFERROR(IF(SUMIFS(_REF_Model_Content!$E$1:$E$613,_REF_Model_Content!$A$1:$A$613,'Company Profile'!$B$9,_REF_Model_Content!$B$1:$B$613,$C608)=0,1,SUMIFS(_REF_Model_Content!$E$1:$E$613,_REF_Model_Content!$A$1:$A$613,'Company Profile'!$B$9,_REF_Model_Content!$B$1:$B$613,$C608)),1),"")</f>
        <v/>
      </c>
      <c r="AY608">
        <f>IF($L608="","",ROUND(IF($AP608="",$L608,$AP608)*IF($AX608="",1,$AX608),2))</f>
        <v/>
      </c>
      <c r="AZ608">
        <f>IF($S608="","",ROUND(IF($AQ608="",$S608,$AQ608)*IF($AX608="",1,$AX608),2))</f>
        <v/>
      </c>
      <c r="BB608">
        <f>IF($H608="","",IFERROR(INDEX('_ENGINE_Risk'!$AE$41:$AE$920,MATCH($E608,'_ENGINE_Risk'!$A$41:$A$920,0)),"Medium"))</f>
        <v/>
      </c>
      <c r="BC608">
        <f>IF($BB608="","",IF($BB608="Fast",1.25,IF($BB608="Slow",0.85,1)))</f>
        <v/>
      </c>
      <c r="BD608">
        <f>IF(OR($AZ608="",$BC608=""),"",ROUND($AZ608*$BC608,2))</f>
        <v/>
      </c>
      <c r="BF608">
        <f>IF(OR($H608="",$J608=""),"",_xlfn.IFNA(VLOOKUP($J608,_CONFIG_Model_Settings!$D$610:$E$614,2,0),""))</f>
        <v/>
      </c>
      <c r="BG608">
        <f>IF(OR($H608="",$K608=""),"",ROUND('Company Profile'!$B$569*INDEX(_CONFIG_Model_Settings!$H$610:$H$614,MATCH($K608,_CONFIG_Model_Settings!$G$610:$G$614,0)),0))</f>
        <v/>
      </c>
      <c r="BH608">
        <f>IF(OR($BF608="",$BG608=""),"",ROUND($BF608*$BG608,1))</f>
        <v/>
      </c>
      <c r="BI608">
        <f>IF($BH608="","",IF($AO608="",$BH608,ROUND($BH608*$AO608,1)))</f>
        <v/>
      </c>
      <c r="BJ608">
        <f>IF($E608="","",IFERROR(VLOOKUP($C608,'_CONFIG_Risk_Calibration'!$A$5:$H$21,2,FALSE),3))</f>
        <v/>
      </c>
      <c r="BK608">
        <f>IF($E608="","",IFERROR(VLOOKUP($C608,'_CONFIG_Risk_Calibration'!$A$5:$H$21,3,FALSE),0))</f>
        <v/>
      </c>
      <c r="BL608">
        <f>IF($E608="","",IFERROR(VLOOKUP($C608,'_CONFIG_Risk_Calibration'!$A$5:$H$21,4,FALSE),3))</f>
        <v/>
      </c>
      <c r="BM608">
        <f>IF($E608="","",IFERROR(VLOOKUP($C608,'_CONFIG_Risk_Calibration'!$A$5:$H$21,5,FALSE),3))</f>
        <v/>
      </c>
      <c r="BN608">
        <f>IF($E608="","",IFERROR(VLOOKUP($C608,'_CONFIG_Risk_Calibration'!$A$5:$H$21,6,FALSE),"No"))</f>
        <v/>
      </c>
      <c r="BO608">
        <f>IF($E608="","",IFERROR(VLOOKUP($C608,'_CONFIG_Risk_Calibration'!$A$5:$H$21,7,FALSE),1))</f>
        <v/>
      </c>
      <c r="BP608">
        <f>IF($H608="","",MAX(1,MIN(5,((6-$H608)*0.45)+($BJ608*0.20)+('Resilience &amp; Risk Scenario'!$B$7*0.15)+($BK608*0.10)+($BL608*0.05)+(IF($BB608="Fast",5,IF($BB608="Slow",1,3))*0.05))))</f>
        <v/>
      </c>
      <c r="BQ608">
        <f>IF($H608="","",MAX(IF($BN608="Yes",$BO608,1),MIN(5,($U608*0.20)+($V608*0.15)+($W608*0.25)+($X608*0.15)+($BJ608*0.10)+($BM608*0.15))))</f>
        <v/>
      </c>
      <c r="BR608">
        <f>IF(OR($BP608="",$BQ608=""),"",ROUND($BP608*$BQ608,2))</f>
        <v/>
      </c>
      <c r="BS608">
        <f>IF($BR608="","",ROUND($BR608*IF($AO608="",1,$AO608)*IF($AX608="",1,$AX608)*(1+(($BM608-3)*0.10))*IF($BC608="",1,$BC608),2))</f>
        <v/>
      </c>
    </row>
    <row r="609" ht="69.90000000000001" customHeight="1" s="209">
      <c r="A609">
        <f>IF($BD609="","",SUMPRODUCT(ISNUMBER($BD$500:$BD$923)*($BD$500:$BD$923&gt;$BD609))+COUNTIF($BD$500:$BD609,$BD609))</f>
        <v/>
      </c>
      <c r="B609">
        <f>IF($H609="","",IF($H609&lt;5,"Yes","Maintain"))</f>
        <v/>
      </c>
      <c r="C609" t="inlineStr">
        <is>
          <t>Finance Procurement</t>
        </is>
      </c>
      <c r="D609" t="inlineStr">
        <is>
          <t>Procurement and suppliers</t>
        </is>
      </c>
      <c r="E609" t="inlineStr">
        <is>
          <t>FINA-018</t>
        </is>
      </c>
      <c r="F609" t="inlineStr">
        <is>
          <t>Financial control and procurement resilience</t>
        </is>
      </c>
      <c r="G609">
        <f>IF($H609="","",IFERROR(INDEX('_ENGINE_Risk'!$H$41:$M$920,MATCH($E609,'_ENGINE_Risk'!$A$41:$A$920,0),$H609+1),""))</f>
        <v/>
      </c>
      <c r="H609">
        <f>IFERROR(VALUE(INDEX(_DATA_Assessment_Model!$H$5:$H$884,MATCH($E609,_DATA_Assessment_Model!$A$5:$A$884,0))),"")</f>
        <v/>
      </c>
      <c r="I609">
        <f>IF($H609="","",IFERROR(INDEX(_DATA_Assessment_Model!$L$5:$L$884,MATCH($E609,_DATA_Assessment_Model!$A$5:$A$884,0)),IF($H609&lt;=1,"Critical",IF($H609=2,"High",IF($H609=3,"Medium",IF($H609=4,"Low","Resilient"))))))</f>
        <v/>
      </c>
      <c r="J609">
        <f>IF($H609="","",MIN(5,MAX(1,6-$H609)))</f>
        <v/>
      </c>
      <c r="K609">
        <f>IF($H609="","",MAX(1,MIN(5,ROUNDUP(($U609*0.45)+($W609*0.35)+($X609*0.2),0))))</f>
        <v/>
      </c>
      <c r="L609">
        <f>IF($H609="","",$J609*$K609)</f>
        <v/>
      </c>
      <c r="M609">
        <f>IF($H609="","",MAX(1,MIN(5,ROUNDUP($L609/5,0))))</f>
        <v/>
      </c>
      <c r="N609">
        <f>IF($H609="","",IFERROR(INDEX('_ENGINE_Risk'!$T$41:$Y$920,MATCH($E609,'_ENGINE_Risk'!$A$41:$A$920,0),$H609+1),""))</f>
        <v/>
      </c>
      <c r="O609">
        <f>IF($H609="","",MAX(1,MIN(5,($U609+$V609+$X609)/3)))</f>
        <v/>
      </c>
      <c r="P609">
        <f>IF($H609="","",IF($I609="Critical",5,IF($I609="High",4,IF($I609="Medium",3,IF($I609="Low",2,1)))))</f>
        <v/>
      </c>
      <c r="Q609">
        <f>IF($H609="","",MAX(1,MIN(5,((5-$H609)*0.65)+($W609*0.35))))</f>
        <v/>
      </c>
      <c r="R609">
        <f>IF($H609="","",MAX(1,MIN(5,($V609+$X609)/2)))</f>
        <v/>
      </c>
      <c r="S609">
        <f>IF(OR($H609="",$N609=""),"",ROUND(($O609+$P609+$Q609+$R609)/$N609,2))</f>
        <v/>
      </c>
      <c r="T609">
        <f>IF($H609="","",IFERROR(INDEX('_ENGINE_Risk'!$N$41:$S$920,MATCH($E609,'_ENGINE_Risk'!$A$41:$A$920,0),$H609+1),""))</f>
        <v/>
      </c>
      <c r="U609">
        <f>IFERROR(INDEX(_DATA_Assessment_Model!$G$5:$G$884,MATCH($E609,_DATA_Assessment_Model!$A$5:$A$884,0)),"")</f>
        <v/>
      </c>
      <c r="V609">
        <f>IFERROR(INDEX(_DATA_Assessment_Model!$W$5:$W$884,MATCH($E609,_DATA_Assessment_Model!$A$5:$A$884,0)),"")</f>
        <v/>
      </c>
      <c r="W609">
        <f>IFERROR(INDEX(_DATA_Assessment_Model!$X$5:$X$884,MATCH($E609,_DATA_Assessment_Model!$A$5:$A$884,0)),"")</f>
        <v/>
      </c>
      <c r="X609">
        <f>IFERROR(INDEX(_DATA_Assessment_Model!$Y$5:$Y$884,MATCH($E609,_DATA_Assessment_Model!$A$5:$A$884,0)),"")</f>
        <v/>
      </c>
      <c r="Y609" t="inlineStr">
        <is>
          <t>Financial liquidity crisis; Supplier disruption; Fraud risk</t>
        </is>
      </c>
      <c r="Z609" t="inlineStr">
        <is>
          <t>CFO / Procurement</t>
        </is>
      </c>
      <c r="AA609" t="inlineStr">
        <is>
          <t>Policy/SOP; owner/RACI; system report; dashboard; contracts; test records; incident history; interview evidence related to emergency purchasing process that preserves essential controls and fraud prevention.</t>
        </is>
      </c>
      <c r="AB609">
        <f>IFERROR(INDEX(_DATA_Assessment_Model!$U$5:$U$884,MATCH($E609,_DATA_Assessment_Model!$A$5:$A$884,0)),"")</f>
        <v/>
      </c>
      <c r="AF609" t="inlineStr">
        <is>
          <t>How mature is the organization in managing emergency purchasing process that preserves essential controls and fraud prevention, including ownership, evidence, metrics, fallback procedures and crisis stress testing?</t>
        </is>
      </c>
      <c r="AO609">
        <f>IF($B609="Yes",IFERROR(INDEX(_ENGINE_Crisis!$F$501:$F$517,MATCH($C609,_ENGINE_Crisis!$A$501:$A$517,0)),1),"")</f>
        <v/>
      </c>
      <c r="AP609">
        <f>IF(AO609="","",ROUND($L609*AO609,1))</f>
        <v/>
      </c>
      <c r="AQ609">
        <f>IF(OR(AO609="",$S609=""),"",ROUND($S609*(0.7+0.3*AO609),2))</f>
        <v/>
      </c>
      <c r="AR609">
        <f>IFERROR(INDEX(_ENGINE_Crisis!$E$41:$E$700,MATCH('Resilience &amp; Risk Scenario'!$B$60&amp;"|"&amp;$C609,_ENGINE_Crisis!$I$41:$I$700,0)),"")</f>
        <v/>
      </c>
      <c r="AS609">
        <f>IFERROR(INDEX(_ENGINE_Crisis!$G$41:$G$700,MATCH('Resilience &amp; Risk Scenario'!$B$60&amp;"|"&amp;$C609,_ENGINE_Crisis!$I$41:$I$700,0)),"")</f>
        <v/>
      </c>
      <c r="AT609">
        <f>IFERROR(INDEX(_ENGINE_Initiatives!$A$5:$A$532,MATCH(1,INDEX((_ENGINE_Initiatives!$B$5:$B$532=$C609)*(_ENGINE_Initiatives!$C$5:$C$532=$D609),0),0)),"")</f>
        <v/>
      </c>
      <c r="AU609">
        <f>IFERROR(INDEX(_ENGINE_Initiatives!$F$5:$F$532,MATCH(1,INDEX((_ENGINE_Initiatives!$B$5:$B$532=$C609)*(_ENGINE_Initiatives!$C$5:$C$532=$D609),0),0)),"")</f>
        <v/>
      </c>
      <c r="AV609">
        <f>IFERROR(INDEX(_ENGINE_Initiatives!$AC$5:$AC$532,MATCH(1,INDEX((_ENGINE_Initiatives!$B$5:$B$532=$C609)*(_ENGINE_Initiatives!$C$5:$C$532=$D609),0),0)),"")</f>
        <v/>
      </c>
      <c r="AW609">
        <f>IFERROR(INDEX(_ENGINE_Initiatives!$AE$5:$AE$532,MATCH(1,INDEX((_ENGINE_Initiatives!$B$5:$B$532=$C609)*(_ENGINE_Initiatives!$C$5:$C$532=$D609),0),0)),"")</f>
        <v/>
      </c>
      <c r="AX609">
        <f>IF($B609="Yes",IFERROR(IF(SUMIFS(_REF_Model_Content!$E$1:$E$613,_REF_Model_Content!$A$1:$A$613,'Company Profile'!$B$9,_REF_Model_Content!$B$1:$B$613,$C609)=0,1,SUMIFS(_REF_Model_Content!$E$1:$E$613,_REF_Model_Content!$A$1:$A$613,'Company Profile'!$B$9,_REF_Model_Content!$B$1:$B$613,$C609)),1),"")</f>
        <v/>
      </c>
      <c r="AY609">
        <f>IF($L609="","",ROUND(IF($AP609="",$L609,$AP609)*IF($AX609="",1,$AX609),2))</f>
        <v/>
      </c>
      <c r="AZ609">
        <f>IF($S609="","",ROUND(IF($AQ609="",$S609,$AQ609)*IF($AX609="",1,$AX609),2))</f>
        <v/>
      </c>
      <c r="BB609">
        <f>IF($H609="","",IFERROR(INDEX('_ENGINE_Risk'!$AE$41:$AE$920,MATCH($E609,'_ENGINE_Risk'!$A$41:$A$920,0)),"Medium"))</f>
        <v/>
      </c>
      <c r="BC609">
        <f>IF($BB609="","",IF($BB609="Fast",1.25,IF($BB609="Slow",0.85,1)))</f>
        <v/>
      </c>
      <c r="BD609">
        <f>IF(OR($AZ609="",$BC609=""),"",ROUND($AZ609*$BC609,2))</f>
        <v/>
      </c>
      <c r="BF609">
        <f>IF(OR($H609="",$J609=""),"",_xlfn.IFNA(VLOOKUP($J609,_CONFIG_Model_Settings!$D$610:$E$614,2,0),""))</f>
        <v/>
      </c>
      <c r="BG609">
        <f>IF(OR($H609="",$K609=""),"",ROUND('Company Profile'!$B$569*INDEX(_CONFIG_Model_Settings!$H$610:$H$614,MATCH($K609,_CONFIG_Model_Settings!$G$610:$G$614,0)),0))</f>
        <v/>
      </c>
      <c r="BH609">
        <f>IF(OR($BF609="",$BG609=""),"",ROUND($BF609*$BG609,1))</f>
        <v/>
      </c>
      <c r="BI609">
        <f>IF($BH609="","",IF($AO609="",$BH609,ROUND($BH609*$AO609,1)))</f>
        <v/>
      </c>
      <c r="BJ609">
        <f>IF($E609="","",IFERROR(VLOOKUP($C609,'_CONFIG_Risk_Calibration'!$A$5:$H$21,2,FALSE),3))</f>
        <v/>
      </c>
      <c r="BK609">
        <f>IF($E609="","",IFERROR(VLOOKUP($C609,'_CONFIG_Risk_Calibration'!$A$5:$H$21,3,FALSE),0))</f>
        <v/>
      </c>
      <c r="BL609">
        <f>IF($E609="","",IFERROR(VLOOKUP($C609,'_CONFIG_Risk_Calibration'!$A$5:$H$21,4,FALSE),3))</f>
        <v/>
      </c>
      <c r="BM609">
        <f>IF($E609="","",IFERROR(VLOOKUP($C609,'_CONFIG_Risk_Calibration'!$A$5:$H$21,5,FALSE),3))</f>
        <v/>
      </c>
      <c r="BN609">
        <f>IF($E609="","",IFERROR(VLOOKUP($C609,'_CONFIG_Risk_Calibration'!$A$5:$H$21,6,FALSE),"No"))</f>
        <v/>
      </c>
      <c r="BO609">
        <f>IF($E609="","",IFERROR(VLOOKUP($C609,'_CONFIG_Risk_Calibration'!$A$5:$H$21,7,FALSE),1))</f>
        <v/>
      </c>
      <c r="BP609">
        <f>IF($H609="","",MAX(1,MIN(5,((6-$H609)*0.45)+($BJ609*0.20)+('Resilience &amp; Risk Scenario'!$B$7*0.15)+($BK609*0.10)+($BL609*0.05)+(IF($BB609="Fast",5,IF($BB609="Slow",1,3))*0.05))))</f>
        <v/>
      </c>
      <c r="BQ609">
        <f>IF($H609="","",MAX(IF($BN609="Yes",$BO609,1),MIN(5,($U609*0.20)+($V609*0.15)+($W609*0.25)+($X609*0.15)+($BJ609*0.10)+($BM609*0.15))))</f>
        <v/>
      </c>
      <c r="BR609">
        <f>IF(OR($BP609="",$BQ609=""),"",ROUND($BP609*$BQ609,2))</f>
        <v/>
      </c>
      <c r="BS609">
        <f>IF($BR609="","",ROUND($BR609*IF($AO609="",1,$AO609)*IF($AX609="",1,$AX609)*(1+(($BM609-3)*0.10))*IF($BC609="",1,$BC609),2))</f>
        <v/>
      </c>
    </row>
    <row r="610" ht="69.90000000000001" customHeight="1" s="209">
      <c r="A610">
        <f>IF($BD610="","",SUMPRODUCT(ISNUMBER($BD$500:$BD$923)*($BD$500:$BD$923&gt;$BD610))+COUNTIF($BD$500:$BD610,$BD610))</f>
        <v/>
      </c>
      <c r="B610">
        <f>IF($H610="","",IF($H610&lt;5,"Yes","Maintain"))</f>
        <v/>
      </c>
      <c r="C610" t="inlineStr">
        <is>
          <t>Finance Procurement</t>
        </is>
      </c>
      <c r="D610" t="inlineStr">
        <is>
          <t>Procurement and suppliers</t>
        </is>
      </c>
      <c r="E610" t="inlineStr">
        <is>
          <t>FINA-019</t>
        </is>
      </c>
      <c r="F610" t="inlineStr">
        <is>
          <t>Financial control and procurement resilience</t>
        </is>
      </c>
      <c r="G610">
        <f>IF($H610="","",IFERROR(INDEX('_ENGINE_Risk'!$H$41:$M$920,MATCH($E610,'_ENGINE_Risk'!$A$41:$A$920,0),$H610+1),""))</f>
        <v/>
      </c>
      <c r="H610">
        <f>IFERROR(VALUE(INDEX(_DATA_Assessment_Model!$H$5:$H$884,MATCH($E610,_DATA_Assessment_Model!$A$5:$A$884,0))),"")</f>
        <v/>
      </c>
      <c r="I610">
        <f>IF($H610="","",IFERROR(INDEX(_DATA_Assessment_Model!$L$5:$L$884,MATCH($E610,_DATA_Assessment_Model!$A$5:$A$884,0)),IF($H610&lt;=1,"Critical",IF($H610=2,"High",IF($H610=3,"Medium",IF($H610=4,"Low","Resilient"))))))</f>
        <v/>
      </c>
      <c r="J610">
        <f>IF($H610="","",MIN(5,MAX(1,6-$H610)))</f>
        <v/>
      </c>
      <c r="K610">
        <f>IF($H610="","",MAX(1,MIN(5,ROUNDUP(($U610*0.45)+($W610*0.35)+($X610*0.2),0))))</f>
        <v/>
      </c>
      <c r="L610">
        <f>IF($H610="","",$J610*$K610)</f>
        <v/>
      </c>
      <c r="M610">
        <f>IF($H610="","",MAX(1,MIN(5,ROUNDUP($L610/5,0))))</f>
        <v/>
      </c>
      <c r="N610">
        <f>IF($H610="","",IFERROR(INDEX('_ENGINE_Risk'!$T$41:$Y$920,MATCH($E610,'_ENGINE_Risk'!$A$41:$A$920,0),$H610+1),""))</f>
        <v/>
      </c>
      <c r="O610">
        <f>IF($H610="","",MAX(1,MIN(5,($U610+$V610+$X610)/3)))</f>
        <v/>
      </c>
      <c r="P610">
        <f>IF($H610="","",IF($I610="Critical",5,IF($I610="High",4,IF($I610="Medium",3,IF($I610="Low",2,1)))))</f>
        <v/>
      </c>
      <c r="Q610">
        <f>IF($H610="","",MAX(1,MIN(5,((5-$H610)*0.65)+($W610*0.35))))</f>
        <v/>
      </c>
      <c r="R610">
        <f>IF($H610="","",MAX(1,MIN(5,($V610+$X610)/2)))</f>
        <v/>
      </c>
      <c r="S610">
        <f>IF(OR($H610="",$N610=""),"",ROUND(($O610+$P610+$Q610+$R610)/$N610,2))</f>
        <v/>
      </c>
      <c r="T610">
        <f>IF($H610="","",IFERROR(INDEX('_ENGINE_Risk'!$N$41:$S$920,MATCH($E610,'_ENGINE_Risk'!$A$41:$A$920,0),$H610+1),""))</f>
        <v/>
      </c>
      <c r="U610">
        <f>IFERROR(INDEX(_DATA_Assessment_Model!$G$5:$G$884,MATCH($E610,_DATA_Assessment_Model!$A$5:$A$884,0)),"")</f>
        <v/>
      </c>
      <c r="V610">
        <f>IFERROR(INDEX(_DATA_Assessment_Model!$W$5:$W$884,MATCH($E610,_DATA_Assessment_Model!$A$5:$A$884,0)),"")</f>
        <v/>
      </c>
      <c r="W610">
        <f>IFERROR(INDEX(_DATA_Assessment_Model!$X$5:$X$884,MATCH($E610,_DATA_Assessment_Model!$A$5:$A$884,0)),"")</f>
        <v/>
      </c>
      <c r="X610">
        <f>IFERROR(INDEX(_DATA_Assessment_Model!$Y$5:$Y$884,MATCH($E610,_DATA_Assessment_Model!$A$5:$A$884,0)),"")</f>
        <v/>
      </c>
      <c r="Y610" t="inlineStr">
        <is>
          <t>Financial liquidity crisis; Supplier disruption; Fraud risk</t>
        </is>
      </c>
      <c r="Z610" t="inlineStr">
        <is>
          <t>CFO / Procurement</t>
        </is>
      </c>
      <c r="AA610" t="inlineStr">
        <is>
          <t>Policy/SOP; owner/RACI; system report; dashboard; contracts; test records; incident history; interview evidence related to purchasing triggers linked to demand, lead time, minimum stock and crisis buffers.</t>
        </is>
      </c>
      <c r="AB610">
        <f>IFERROR(INDEX(_DATA_Assessment_Model!$U$5:$U$884,MATCH($E610,_DATA_Assessment_Model!$A$5:$A$884,0)),"")</f>
        <v/>
      </c>
      <c r="AF610" t="inlineStr">
        <is>
          <t>How mature is the organization in managing purchasing triggers linked to demand, lead time, minimum stock and crisis buffers, including ownership, evidence, metrics, fallback procedures and crisis stress testing?</t>
        </is>
      </c>
      <c r="AO610">
        <f>IF($B610="Yes",IFERROR(INDEX(_ENGINE_Crisis!$F$501:$F$517,MATCH($C610,_ENGINE_Crisis!$A$501:$A$517,0)),1),"")</f>
        <v/>
      </c>
      <c r="AP610">
        <f>IF(AO610="","",ROUND($L610*AO610,1))</f>
        <v/>
      </c>
      <c r="AQ610">
        <f>IF(OR(AO610="",$S610=""),"",ROUND($S610*(0.7+0.3*AO610),2))</f>
        <v/>
      </c>
      <c r="AR610">
        <f>IFERROR(INDEX(_ENGINE_Crisis!$E$41:$E$700,MATCH('Resilience &amp; Risk Scenario'!$B$60&amp;"|"&amp;$C610,_ENGINE_Crisis!$I$41:$I$700,0)),"")</f>
        <v/>
      </c>
      <c r="AS610">
        <f>IFERROR(INDEX(_ENGINE_Crisis!$G$41:$G$700,MATCH('Resilience &amp; Risk Scenario'!$B$60&amp;"|"&amp;$C610,_ENGINE_Crisis!$I$41:$I$700,0)),"")</f>
        <v/>
      </c>
      <c r="AT610">
        <f>IFERROR(INDEX(_ENGINE_Initiatives!$A$5:$A$532,MATCH(1,INDEX((_ENGINE_Initiatives!$B$5:$B$532=$C610)*(_ENGINE_Initiatives!$C$5:$C$532=$D610),0),0)),"")</f>
        <v/>
      </c>
      <c r="AU610">
        <f>IFERROR(INDEX(_ENGINE_Initiatives!$F$5:$F$532,MATCH(1,INDEX((_ENGINE_Initiatives!$B$5:$B$532=$C610)*(_ENGINE_Initiatives!$C$5:$C$532=$D610),0),0)),"")</f>
        <v/>
      </c>
      <c r="AV610">
        <f>IFERROR(INDEX(_ENGINE_Initiatives!$AC$5:$AC$532,MATCH(1,INDEX((_ENGINE_Initiatives!$B$5:$B$532=$C610)*(_ENGINE_Initiatives!$C$5:$C$532=$D610),0),0)),"")</f>
        <v/>
      </c>
      <c r="AW610">
        <f>IFERROR(INDEX(_ENGINE_Initiatives!$AE$5:$AE$532,MATCH(1,INDEX((_ENGINE_Initiatives!$B$5:$B$532=$C610)*(_ENGINE_Initiatives!$C$5:$C$532=$D610),0),0)),"")</f>
        <v/>
      </c>
      <c r="AX610">
        <f>IF($B610="Yes",IFERROR(IF(SUMIFS(_REF_Model_Content!$E$1:$E$613,_REF_Model_Content!$A$1:$A$613,'Company Profile'!$B$9,_REF_Model_Content!$B$1:$B$613,$C610)=0,1,SUMIFS(_REF_Model_Content!$E$1:$E$613,_REF_Model_Content!$A$1:$A$613,'Company Profile'!$B$9,_REF_Model_Content!$B$1:$B$613,$C610)),1),"")</f>
        <v/>
      </c>
      <c r="AY610">
        <f>IF($L610="","",ROUND(IF($AP610="",$L610,$AP610)*IF($AX610="",1,$AX610),2))</f>
        <v/>
      </c>
      <c r="AZ610">
        <f>IF($S610="","",ROUND(IF($AQ610="",$S610,$AQ610)*IF($AX610="",1,$AX610),2))</f>
        <v/>
      </c>
      <c r="BB610">
        <f>IF($H610="","",IFERROR(INDEX('_ENGINE_Risk'!$AE$41:$AE$920,MATCH($E610,'_ENGINE_Risk'!$A$41:$A$920,0)),"Medium"))</f>
        <v/>
      </c>
      <c r="BC610">
        <f>IF($BB610="","",IF($BB610="Fast",1.25,IF($BB610="Slow",0.85,1)))</f>
        <v/>
      </c>
      <c r="BD610">
        <f>IF(OR($AZ610="",$BC610=""),"",ROUND($AZ610*$BC610,2))</f>
        <v/>
      </c>
      <c r="BF610">
        <f>IF(OR($H610="",$J610=""),"",_xlfn.IFNA(VLOOKUP($J610,_CONFIG_Model_Settings!$D$610:$E$614,2,0),""))</f>
        <v/>
      </c>
      <c r="BG610">
        <f>IF(OR($H610="",$K610=""),"",ROUND('Company Profile'!$B$569*INDEX(_CONFIG_Model_Settings!$H$610:$H$614,MATCH($K610,_CONFIG_Model_Settings!$G$610:$G$614,0)),0))</f>
        <v/>
      </c>
      <c r="BH610">
        <f>IF(OR($BF610="",$BG610=""),"",ROUND($BF610*$BG610,1))</f>
        <v/>
      </c>
      <c r="BI610">
        <f>IF($BH610="","",IF($AO610="",$BH610,ROUND($BH610*$AO610,1)))</f>
        <v/>
      </c>
      <c r="BJ610">
        <f>IF($E610="","",IFERROR(VLOOKUP($C610,'_CONFIG_Risk_Calibration'!$A$5:$H$21,2,FALSE),3))</f>
        <v/>
      </c>
      <c r="BK610">
        <f>IF($E610="","",IFERROR(VLOOKUP($C610,'_CONFIG_Risk_Calibration'!$A$5:$H$21,3,FALSE),0))</f>
        <v/>
      </c>
      <c r="BL610">
        <f>IF($E610="","",IFERROR(VLOOKUP($C610,'_CONFIG_Risk_Calibration'!$A$5:$H$21,4,FALSE),3))</f>
        <v/>
      </c>
      <c r="BM610">
        <f>IF($E610="","",IFERROR(VLOOKUP($C610,'_CONFIG_Risk_Calibration'!$A$5:$H$21,5,FALSE),3))</f>
        <v/>
      </c>
      <c r="BN610">
        <f>IF($E610="","",IFERROR(VLOOKUP($C610,'_CONFIG_Risk_Calibration'!$A$5:$H$21,6,FALSE),"No"))</f>
        <v/>
      </c>
      <c r="BO610">
        <f>IF($E610="","",IFERROR(VLOOKUP($C610,'_CONFIG_Risk_Calibration'!$A$5:$H$21,7,FALSE),1))</f>
        <v/>
      </c>
      <c r="BP610">
        <f>IF($H610="","",MAX(1,MIN(5,((6-$H610)*0.45)+($BJ610*0.20)+('Resilience &amp; Risk Scenario'!$B$7*0.15)+($BK610*0.10)+($BL610*0.05)+(IF($BB610="Fast",5,IF($BB610="Slow",1,3))*0.05))))</f>
        <v/>
      </c>
      <c r="BQ610">
        <f>IF($H610="","",MAX(IF($BN610="Yes",$BO610,1),MIN(5,($U610*0.20)+($V610*0.15)+($W610*0.25)+($X610*0.15)+($BJ610*0.10)+($BM610*0.15))))</f>
        <v/>
      </c>
      <c r="BR610">
        <f>IF(OR($BP610="",$BQ610=""),"",ROUND($BP610*$BQ610,2))</f>
        <v/>
      </c>
      <c r="BS610">
        <f>IF($BR610="","",ROUND($BR610*IF($AO610="",1,$AO610)*IF($AX610="",1,$AX610)*(1+(($BM610-3)*0.10))*IF($BC610="",1,$BC610),2))</f>
        <v/>
      </c>
    </row>
    <row r="611" ht="69.90000000000001" customHeight="1" s="209">
      <c r="A611">
        <f>IF($BD611="","",SUMPRODUCT(ISNUMBER($BD$500:$BD$923)*($BD$500:$BD$923&gt;$BD611))+COUNTIF($BD$500:$BD611,$BD611))</f>
        <v/>
      </c>
      <c r="B611">
        <f>IF($H611="","",IF($H611&lt;5,"Yes","Maintain"))</f>
        <v/>
      </c>
      <c r="C611" t="inlineStr">
        <is>
          <t>Finance Procurement</t>
        </is>
      </c>
      <c r="D611" t="inlineStr">
        <is>
          <t>Working capital</t>
        </is>
      </c>
      <c r="E611" t="inlineStr">
        <is>
          <t>FINA-020</t>
        </is>
      </c>
      <c r="F611" t="inlineStr">
        <is>
          <t>Financial control and procurement resilience</t>
        </is>
      </c>
      <c r="G611">
        <f>IF($H611="","",IFERROR(INDEX('_ENGINE_Risk'!$H$41:$M$920,MATCH($E611,'_ENGINE_Risk'!$A$41:$A$920,0),$H611+1),""))</f>
        <v/>
      </c>
      <c r="H611">
        <f>IFERROR(VALUE(INDEX(_DATA_Assessment_Model!$H$5:$H$884,MATCH($E611,_DATA_Assessment_Model!$A$5:$A$884,0))),"")</f>
        <v/>
      </c>
      <c r="I611">
        <f>IF($H611="","",IFERROR(INDEX(_DATA_Assessment_Model!$L$5:$L$884,MATCH($E611,_DATA_Assessment_Model!$A$5:$A$884,0)),IF($H611&lt;=1,"Critical",IF($H611=2,"High",IF($H611=3,"Medium",IF($H611=4,"Low","Resilient"))))))</f>
        <v/>
      </c>
      <c r="J611">
        <f>IF($H611="","",MIN(5,MAX(1,6-$H611)))</f>
        <v/>
      </c>
      <c r="K611">
        <f>IF($H611="","",MAX(1,MIN(5,ROUNDUP(($U611*0.45)+($W611*0.35)+($X611*0.2),0))))</f>
        <v/>
      </c>
      <c r="L611">
        <f>IF($H611="","",$J611*$K611)</f>
        <v/>
      </c>
      <c r="M611">
        <f>IF($H611="","",MAX(1,MIN(5,ROUNDUP($L611/5,0))))</f>
        <v/>
      </c>
      <c r="N611">
        <f>IF($H611="","",IFERROR(INDEX('_ENGINE_Risk'!$T$41:$Y$920,MATCH($E611,'_ENGINE_Risk'!$A$41:$A$920,0),$H611+1),""))</f>
        <v/>
      </c>
      <c r="O611">
        <f>IF($H611="","",MAX(1,MIN(5,($U611+$V611+$X611)/3)))</f>
        <v/>
      </c>
      <c r="P611">
        <f>IF($H611="","",IF($I611="Critical",5,IF($I611="High",4,IF($I611="Medium",3,IF($I611="Low",2,1)))))</f>
        <v/>
      </c>
      <c r="Q611">
        <f>IF($H611="","",MAX(1,MIN(5,((5-$H611)*0.65)+($W611*0.35))))</f>
        <v/>
      </c>
      <c r="R611">
        <f>IF($H611="","",MAX(1,MIN(5,($V611+$X611)/2)))</f>
        <v/>
      </c>
      <c r="S611">
        <f>IF(OR($H611="",$N611=""),"",ROUND(($O611+$P611+$Q611+$R611)/$N611,2))</f>
        <v/>
      </c>
      <c r="T611">
        <f>IF($H611="","",IFERROR(INDEX('_ENGINE_Risk'!$N$41:$S$920,MATCH($E611,'_ENGINE_Risk'!$A$41:$A$920,0),$H611+1),""))</f>
        <v/>
      </c>
      <c r="U611">
        <f>IFERROR(INDEX(_DATA_Assessment_Model!$G$5:$G$884,MATCH($E611,_DATA_Assessment_Model!$A$5:$A$884,0)),"")</f>
        <v/>
      </c>
      <c r="V611">
        <f>IFERROR(INDEX(_DATA_Assessment_Model!$W$5:$W$884,MATCH($E611,_DATA_Assessment_Model!$A$5:$A$884,0)),"")</f>
        <v/>
      </c>
      <c r="W611">
        <f>IFERROR(INDEX(_DATA_Assessment_Model!$X$5:$X$884,MATCH($E611,_DATA_Assessment_Model!$A$5:$A$884,0)),"")</f>
        <v/>
      </c>
      <c r="X611">
        <f>IFERROR(INDEX(_DATA_Assessment_Model!$Y$5:$Y$884,MATCH($E611,_DATA_Assessment_Model!$A$5:$A$884,0)),"")</f>
        <v/>
      </c>
      <c r="Y611" t="inlineStr">
        <is>
          <t>Financial liquidity crisis; Supplier disruption; Fraud risk</t>
        </is>
      </c>
      <c r="Z611" t="inlineStr">
        <is>
          <t>CFO / Procurement</t>
        </is>
      </c>
      <c r="AA611" t="inlineStr">
        <is>
          <t>Policy/SOP; owner/RACI; system report; dashboard; contracts; test records; incident history; interview evidence related to receivables aging, customer payment risk and collection scenarios.</t>
        </is>
      </c>
      <c r="AB611">
        <f>IFERROR(INDEX(_DATA_Assessment_Model!$U$5:$U$884,MATCH($E611,_DATA_Assessment_Model!$A$5:$A$884,0)),"")</f>
        <v/>
      </c>
      <c r="AF611" t="inlineStr">
        <is>
          <t>How mature is the organization in managing receivables aging, customer payment risk and collection scenarios, including ownership, evidence, metrics, fallback procedures and crisis stress testing?</t>
        </is>
      </c>
      <c r="AO611">
        <f>IF($B611="Yes",IFERROR(INDEX(_ENGINE_Crisis!$F$501:$F$517,MATCH($C611,_ENGINE_Crisis!$A$501:$A$517,0)),1),"")</f>
        <v/>
      </c>
      <c r="AP611">
        <f>IF(AO611="","",ROUND($L611*AO611,1))</f>
        <v/>
      </c>
      <c r="AQ611">
        <f>IF(OR(AO611="",$S611=""),"",ROUND($S611*(0.7+0.3*AO611),2))</f>
        <v/>
      </c>
      <c r="AR611">
        <f>IFERROR(INDEX(_ENGINE_Crisis!$E$41:$E$700,MATCH('Resilience &amp; Risk Scenario'!$B$60&amp;"|"&amp;$C611,_ENGINE_Crisis!$I$41:$I$700,0)),"")</f>
        <v/>
      </c>
      <c r="AS611">
        <f>IFERROR(INDEX(_ENGINE_Crisis!$G$41:$G$700,MATCH('Resilience &amp; Risk Scenario'!$B$60&amp;"|"&amp;$C611,_ENGINE_Crisis!$I$41:$I$700,0)),"")</f>
        <v/>
      </c>
      <c r="AT611">
        <f>IFERROR(INDEX(_ENGINE_Initiatives!$A$5:$A$532,MATCH(1,INDEX((_ENGINE_Initiatives!$B$5:$B$532=$C611)*(_ENGINE_Initiatives!$C$5:$C$532=$D611),0),0)),"")</f>
        <v/>
      </c>
      <c r="AU611">
        <f>IFERROR(INDEX(_ENGINE_Initiatives!$F$5:$F$532,MATCH(1,INDEX((_ENGINE_Initiatives!$B$5:$B$532=$C611)*(_ENGINE_Initiatives!$C$5:$C$532=$D611),0),0)),"")</f>
        <v/>
      </c>
      <c r="AV611">
        <f>IFERROR(INDEX(_ENGINE_Initiatives!$AC$5:$AC$532,MATCH(1,INDEX((_ENGINE_Initiatives!$B$5:$B$532=$C611)*(_ENGINE_Initiatives!$C$5:$C$532=$D611),0),0)),"")</f>
        <v/>
      </c>
      <c r="AW611">
        <f>IFERROR(INDEX(_ENGINE_Initiatives!$AE$5:$AE$532,MATCH(1,INDEX((_ENGINE_Initiatives!$B$5:$B$532=$C611)*(_ENGINE_Initiatives!$C$5:$C$532=$D611),0),0)),"")</f>
        <v/>
      </c>
      <c r="AX611">
        <f>IF($B611="Yes",IFERROR(IF(SUMIFS(_REF_Model_Content!$E$1:$E$613,_REF_Model_Content!$A$1:$A$613,'Company Profile'!$B$9,_REF_Model_Content!$B$1:$B$613,$C611)=0,1,SUMIFS(_REF_Model_Content!$E$1:$E$613,_REF_Model_Content!$A$1:$A$613,'Company Profile'!$B$9,_REF_Model_Content!$B$1:$B$613,$C611)),1),"")</f>
        <v/>
      </c>
      <c r="AY611">
        <f>IF($L611="","",ROUND(IF($AP611="",$L611,$AP611)*IF($AX611="",1,$AX611),2))</f>
        <v/>
      </c>
      <c r="AZ611">
        <f>IF($S611="","",ROUND(IF($AQ611="",$S611,$AQ611)*IF($AX611="",1,$AX611),2))</f>
        <v/>
      </c>
      <c r="BB611">
        <f>IF($H611="","",IFERROR(INDEX('_ENGINE_Risk'!$AE$41:$AE$920,MATCH($E611,'_ENGINE_Risk'!$A$41:$A$920,0)),"Medium"))</f>
        <v/>
      </c>
      <c r="BC611">
        <f>IF($BB611="","",IF($BB611="Fast",1.25,IF($BB611="Slow",0.85,1)))</f>
        <v/>
      </c>
      <c r="BD611">
        <f>IF(OR($AZ611="",$BC611=""),"",ROUND($AZ611*$BC611,2))</f>
        <v/>
      </c>
      <c r="BF611">
        <f>IF(OR($H611="",$J611=""),"",_xlfn.IFNA(VLOOKUP($J611,_CONFIG_Model_Settings!$D$610:$E$614,2,0),""))</f>
        <v/>
      </c>
      <c r="BG611">
        <f>IF(OR($H611="",$K611=""),"",ROUND('Company Profile'!$B$569*INDEX(_CONFIG_Model_Settings!$H$610:$H$614,MATCH($K611,_CONFIG_Model_Settings!$G$610:$G$614,0)),0))</f>
        <v/>
      </c>
      <c r="BH611">
        <f>IF(OR($BF611="",$BG611=""),"",ROUND($BF611*$BG611,1))</f>
        <v/>
      </c>
      <c r="BI611">
        <f>IF($BH611="","",IF($AO611="",$BH611,ROUND($BH611*$AO611,1)))</f>
        <v/>
      </c>
      <c r="BJ611">
        <f>IF($E611="","",IFERROR(VLOOKUP($C611,'_CONFIG_Risk_Calibration'!$A$5:$H$21,2,FALSE),3))</f>
        <v/>
      </c>
      <c r="BK611">
        <f>IF($E611="","",IFERROR(VLOOKUP($C611,'_CONFIG_Risk_Calibration'!$A$5:$H$21,3,FALSE),0))</f>
        <v/>
      </c>
      <c r="BL611">
        <f>IF($E611="","",IFERROR(VLOOKUP($C611,'_CONFIG_Risk_Calibration'!$A$5:$H$21,4,FALSE),3))</f>
        <v/>
      </c>
      <c r="BM611">
        <f>IF($E611="","",IFERROR(VLOOKUP($C611,'_CONFIG_Risk_Calibration'!$A$5:$H$21,5,FALSE),3))</f>
        <v/>
      </c>
      <c r="BN611">
        <f>IF($E611="","",IFERROR(VLOOKUP($C611,'_CONFIG_Risk_Calibration'!$A$5:$H$21,6,FALSE),"No"))</f>
        <v/>
      </c>
      <c r="BO611">
        <f>IF($E611="","",IFERROR(VLOOKUP($C611,'_CONFIG_Risk_Calibration'!$A$5:$H$21,7,FALSE),1))</f>
        <v/>
      </c>
      <c r="BP611">
        <f>IF($H611="","",MAX(1,MIN(5,((6-$H611)*0.45)+($BJ611*0.20)+('Resilience &amp; Risk Scenario'!$B$7*0.15)+($BK611*0.10)+($BL611*0.05)+(IF($BB611="Fast",5,IF($BB611="Slow",1,3))*0.05))))</f>
        <v/>
      </c>
      <c r="BQ611">
        <f>IF($H611="","",MAX(IF($BN611="Yes",$BO611,1),MIN(5,($U611*0.20)+($V611*0.15)+($W611*0.25)+($X611*0.15)+($BJ611*0.10)+($BM611*0.15))))</f>
        <v/>
      </c>
      <c r="BR611">
        <f>IF(OR($BP611="",$BQ611=""),"",ROUND($BP611*$BQ611,2))</f>
        <v/>
      </c>
      <c r="BS611">
        <f>IF($BR611="","",ROUND($BR611*IF($AO611="",1,$AO611)*IF($AX611="",1,$AX611)*(1+(($BM611-3)*0.10))*IF($BC611="",1,$BC611),2))</f>
        <v/>
      </c>
    </row>
    <row r="612" ht="69.90000000000001" customHeight="1" s="209">
      <c r="A612">
        <f>IF($BD612="","",SUMPRODUCT(ISNUMBER($BD$500:$BD$923)*($BD$500:$BD$923&gt;$BD612))+COUNTIF($BD$500:$BD612,$BD612))</f>
        <v/>
      </c>
      <c r="B612">
        <f>IF($H612="","",IF($H612&lt;5,"Yes","Maintain"))</f>
        <v/>
      </c>
      <c r="C612" t="inlineStr">
        <is>
          <t>Finance Procurement</t>
        </is>
      </c>
      <c r="D612" t="inlineStr">
        <is>
          <t>Working capital</t>
        </is>
      </c>
      <c r="E612" t="inlineStr">
        <is>
          <t>FINA-021</t>
        </is>
      </c>
      <c r="F612" t="inlineStr">
        <is>
          <t>Financial control and procurement resilience</t>
        </is>
      </c>
      <c r="G612">
        <f>IF($H612="","",IFERROR(INDEX('_ENGINE_Risk'!$H$41:$M$920,MATCH($E612,'_ENGINE_Risk'!$A$41:$A$920,0),$H612+1),""))</f>
        <v/>
      </c>
      <c r="H612">
        <f>IFERROR(VALUE(INDEX(_DATA_Assessment_Model!$H$5:$H$884,MATCH($E612,_DATA_Assessment_Model!$A$5:$A$884,0))),"")</f>
        <v/>
      </c>
      <c r="I612">
        <f>IF($H612="","",IFERROR(INDEX(_DATA_Assessment_Model!$L$5:$L$884,MATCH($E612,_DATA_Assessment_Model!$A$5:$A$884,0)),IF($H612&lt;=1,"Critical",IF($H612=2,"High",IF($H612=3,"Medium",IF($H612=4,"Low","Resilient"))))))</f>
        <v/>
      </c>
      <c r="J612">
        <f>IF($H612="","",MIN(5,MAX(1,6-$H612)))</f>
        <v/>
      </c>
      <c r="K612">
        <f>IF($H612="","",MAX(1,MIN(5,ROUNDUP(($U612*0.45)+($W612*0.35)+($X612*0.2),0))))</f>
        <v/>
      </c>
      <c r="L612">
        <f>IF($H612="","",$J612*$K612)</f>
        <v/>
      </c>
      <c r="M612">
        <f>IF($H612="","",MAX(1,MIN(5,ROUNDUP($L612/5,0))))</f>
        <v/>
      </c>
      <c r="N612">
        <f>IF($H612="","",IFERROR(INDEX('_ENGINE_Risk'!$T$41:$Y$920,MATCH($E612,'_ENGINE_Risk'!$A$41:$A$920,0),$H612+1),""))</f>
        <v/>
      </c>
      <c r="O612">
        <f>IF($H612="","",MAX(1,MIN(5,($U612+$V612+$X612)/3)))</f>
        <v/>
      </c>
      <c r="P612">
        <f>IF($H612="","",IF($I612="Critical",5,IF($I612="High",4,IF($I612="Medium",3,IF($I612="Low",2,1)))))</f>
        <v/>
      </c>
      <c r="Q612">
        <f>IF($H612="","",MAX(1,MIN(5,((5-$H612)*0.65)+($W612*0.35))))</f>
        <v/>
      </c>
      <c r="R612">
        <f>IF($H612="","",MAX(1,MIN(5,($V612+$X612)/2)))</f>
        <v/>
      </c>
      <c r="S612">
        <f>IF(OR($H612="",$N612=""),"",ROUND(($O612+$P612+$Q612+$R612)/$N612,2))</f>
        <v/>
      </c>
      <c r="T612">
        <f>IF($H612="","",IFERROR(INDEX('_ENGINE_Risk'!$N$41:$S$920,MATCH($E612,'_ENGINE_Risk'!$A$41:$A$920,0),$H612+1),""))</f>
        <v/>
      </c>
      <c r="U612">
        <f>IFERROR(INDEX(_DATA_Assessment_Model!$G$5:$G$884,MATCH($E612,_DATA_Assessment_Model!$A$5:$A$884,0)),"")</f>
        <v/>
      </c>
      <c r="V612">
        <f>IFERROR(INDEX(_DATA_Assessment_Model!$W$5:$W$884,MATCH($E612,_DATA_Assessment_Model!$A$5:$A$884,0)),"")</f>
        <v/>
      </c>
      <c r="W612">
        <f>IFERROR(INDEX(_DATA_Assessment_Model!$X$5:$X$884,MATCH($E612,_DATA_Assessment_Model!$A$5:$A$884,0)),"")</f>
        <v/>
      </c>
      <c r="X612">
        <f>IFERROR(INDEX(_DATA_Assessment_Model!$Y$5:$Y$884,MATCH($E612,_DATA_Assessment_Model!$A$5:$A$884,0)),"")</f>
        <v/>
      </c>
      <c r="Y612" t="inlineStr">
        <is>
          <t>Financial liquidity crisis; Supplier disruption; Fraud risk</t>
        </is>
      </c>
      <c r="Z612" t="inlineStr">
        <is>
          <t>CFO / Procurement</t>
        </is>
      </c>
      <c r="AA612" t="inlineStr">
        <is>
          <t>Policy/SOP; owner/RACI; system report; dashboard; contracts; test records; incident history; interview evidence related to supplier payment priority rules during cash constraint.</t>
        </is>
      </c>
      <c r="AB612">
        <f>IFERROR(INDEX(_DATA_Assessment_Model!$U$5:$U$884,MATCH($E612,_DATA_Assessment_Model!$A$5:$A$884,0)),"")</f>
        <v/>
      </c>
      <c r="AF612" t="inlineStr">
        <is>
          <t>How mature is the organization in managing supplier payment priority rules during cash constraint, including ownership, evidence, metrics, fallback procedures and crisis stress testing?</t>
        </is>
      </c>
      <c r="AO612">
        <f>IF($B612="Yes",IFERROR(INDEX(_ENGINE_Crisis!$F$501:$F$517,MATCH($C612,_ENGINE_Crisis!$A$501:$A$517,0)),1),"")</f>
        <v/>
      </c>
      <c r="AP612">
        <f>IF(AO612="","",ROUND($L612*AO612,1))</f>
        <v/>
      </c>
      <c r="AQ612">
        <f>IF(OR(AO612="",$S612=""),"",ROUND($S612*(0.7+0.3*AO612),2))</f>
        <v/>
      </c>
      <c r="AR612">
        <f>IFERROR(INDEX(_ENGINE_Crisis!$E$41:$E$700,MATCH('Resilience &amp; Risk Scenario'!$B$60&amp;"|"&amp;$C612,_ENGINE_Crisis!$I$41:$I$700,0)),"")</f>
        <v/>
      </c>
      <c r="AS612">
        <f>IFERROR(INDEX(_ENGINE_Crisis!$G$41:$G$700,MATCH('Resilience &amp; Risk Scenario'!$B$60&amp;"|"&amp;$C612,_ENGINE_Crisis!$I$41:$I$700,0)),"")</f>
        <v/>
      </c>
      <c r="AT612">
        <f>IFERROR(INDEX(_ENGINE_Initiatives!$A$5:$A$532,MATCH(1,INDEX((_ENGINE_Initiatives!$B$5:$B$532=$C612)*(_ENGINE_Initiatives!$C$5:$C$532=$D612),0),0)),"")</f>
        <v/>
      </c>
      <c r="AU612">
        <f>IFERROR(INDEX(_ENGINE_Initiatives!$F$5:$F$532,MATCH(1,INDEX((_ENGINE_Initiatives!$B$5:$B$532=$C612)*(_ENGINE_Initiatives!$C$5:$C$532=$D612),0),0)),"")</f>
        <v/>
      </c>
      <c r="AV612">
        <f>IFERROR(INDEX(_ENGINE_Initiatives!$AC$5:$AC$532,MATCH(1,INDEX((_ENGINE_Initiatives!$B$5:$B$532=$C612)*(_ENGINE_Initiatives!$C$5:$C$532=$D612),0),0)),"")</f>
        <v/>
      </c>
      <c r="AW612">
        <f>IFERROR(INDEX(_ENGINE_Initiatives!$AE$5:$AE$532,MATCH(1,INDEX((_ENGINE_Initiatives!$B$5:$B$532=$C612)*(_ENGINE_Initiatives!$C$5:$C$532=$D612),0),0)),"")</f>
        <v/>
      </c>
      <c r="AX612">
        <f>IF($B612="Yes",IFERROR(IF(SUMIFS(_REF_Model_Content!$E$1:$E$613,_REF_Model_Content!$A$1:$A$613,'Company Profile'!$B$9,_REF_Model_Content!$B$1:$B$613,$C612)=0,1,SUMIFS(_REF_Model_Content!$E$1:$E$613,_REF_Model_Content!$A$1:$A$613,'Company Profile'!$B$9,_REF_Model_Content!$B$1:$B$613,$C612)),1),"")</f>
        <v/>
      </c>
      <c r="AY612">
        <f>IF($L612="","",ROUND(IF($AP612="",$L612,$AP612)*IF($AX612="",1,$AX612),2))</f>
        <v/>
      </c>
      <c r="AZ612">
        <f>IF($S612="","",ROUND(IF($AQ612="",$S612,$AQ612)*IF($AX612="",1,$AX612),2))</f>
        <v/>
      </c>
      <c r="BB612">
        <f>IF($H612="","",IFERROR(INDEX('_ENGINE_Risk'!$AE$41:$AE$920,MATCH($E612,'_ENGINE_Risk'!$A$41:$A$920,0)),"Medium"))</f>
        <v/>
      </c>
      <c r="BC612">
        <f>IF($BB612="","",IF($BB612="Fast",1.25,IF($BB612="Slow",0.85,1)))</f>
        <v/>
      </c>
      <c r="BD612">
        <f>IF(OR($AZ612="",$BC612=""),"",ROUND($AZ612*$BC612,2))</f>
        <v/>
      </c>
      <c r="BF612">
        <f>IF(OR($H612="",$J612=""),"",_xlfn.IFNA(VLOOKUP($J612,_CONFIG_Model_Settings!$D$610:$E$614,2,0),""))</f>
        <v/>
      </c>
      <c r="BG612">
        <f>IF(OR($H612="",$K612=""),"",ROUND('Company Profile'!$B$569*INDEX(_CONFIG_Model_Settings!$H$610:$H$614,MATCH($K612,_CONFIG_Model_Settings!$G$610:$G$614,0)),0))</f>
        <v/>
      </c>
      <c r="BH612">
        <f>IF(OR($BF612="",$BG612=""),"",ROUND($BF612*$BG612,1))</f>
        <v/>
      </c>
      <c r="BI612">
        <f>IF($BH612="","",IF($AO612="",$BH612,ROUND($BH612*$AO612,1)))</f>
        <v/>
      </c>
      <c r="BJ612">
        <f>IF($E612="","",IFERROR(VLOOKUP($C612,'_CONFIG_Risk_Calibration'!$A$5:$H$21,2,FALSE),3))</f>
        <v/>
      </c>
      <c r="BK612">
        <f>IF($E612="","",IFERROR(VLOOKUP($C612,'_CONFIG_Risk_Calibration'!$A$5:$H$21,3,FALSE),0))</f>
        <v/>
      </c>
      <c r="BL612">
        <f>IF($E612="","",IFERROR(VLOOKUP($C612,'_CONFIG_Risk_Calibration'!$A$5:$H$21,4,FALSE),3))</f>
        <v/>
      </c>
      <c r="BM612">
        <f>IF($E612="","",IFERROR(VLOOKUP($C612,'_CONFIG_Risk_Calibration'!$A$5:$H$21,5,FALSE),3))</f>
        <v/>
      </c>
      <c r="BN612">
        <f>IF($E612="","",IFERROR(VLOOKUP($C612,'_CONFIG_Risk_Calibration'!$A$5:$H$21,6,FALSE),"No"))</f>
        <v/>
      </c>
      <c r="BO612">
        <f>IF($E612="","",IFERROR(VLOOKUP($C612,'_CONFIG_Risk_Calibration'!$A$5:$H$21,7,FALSE),1))</f>
        <v/>
      </c>
      <c r="BP612">
        <f>IF($H612="","",MAX(1,MIN(5,((6-$H612)*0.45)+($BJ612*0.20)+('Resilience &amp; Risk Scenario'!$B$7*0.15)+($BK612*0.10)+($BL612*0.05)+(IF($BB612="Fast",5,IF($BB612="Slow",1,3))*0.05))))</f>
        <v/>
      </c>
      <c r="BQ612">
        <f>IF($H612="","",MAX(IF($BN612="Yes",$BO612,1),MIN(5,($U612*0.20)+($V612*0.15)+($W612*0.25)+($X612*0.15)+($BJ612*0.10)+($BM612*0.15))))</f>
        <v/>
      </c>
      <c r="BR612">
        <f>IF(OR($BP612="",$BQ612=""),"",ROUND($BP612*$BQ612,2))</f>
        <v/>
      </c>
      <c r="BS612">
        <f>IF($BR612="","",ROUND($BR612*IF($AO612="",1,$AO612)*IF($AX612="",1,$AX612)*(1+(($BM612-3)*0.10))*IF($BC612="",1,$BC612),2))</f>
        <v/>
      </c>
    </row>
    <row r="613" ht="69.90000000000001" customHeight="1" s="209">
      <c r="A613">
        <f>IF($BD613="","",SUMPRODUCT(ISNUMBER($BD$500:$BD$923)*($BD$500:$BD$923&gt;$BD613))+COUNTIF($BD$500:$BD613,$BD613))</f>
        <v/>
      </c>
      <c r="B613">
        <f>IF($H613="","",IF($H613&lt;5,"Yes","Maintain"))</f>
        <v/>
      </c>
      <c r="C613" t="inlineStr">
        <is>
          <t>Finance Procurement</t>
        </is>
      </c>
      <c r="D613" t="inlineStr">
        <is>
          <t>Working capital</t>
        </is>
      </c>
      <c r="E613" t="inlineStr">
        <is>
          <t>FINA-022</t>
        </is>
      </c>
      <c r="F613" t="inlineStr">
        <is>
          <t>Financial control and procurement resilience</t>
        </is>
      </c>
      <c r="G613">
        <f>IF($H613="","",IFERROR(INDEX('_ENGINE_Risk'!$H$41:$M$920,MATCH($E613,'_ENGINE_Risk'!$A$41:$A$920,0),$H613+1),""))</f>
        <v/>
      </c>
      <c r="H613">
        <f>IFERROR(VALUE(INDEX(_DATA_Assessment_Model!$H$5:$H$884,MATCH($E613,_DATA_Assessment_Model!$A$5:$A$884,0))),"")</f>
        <v/>
      </c>
      <c r="I613">
        <f>IF($H613="","",IFERROR(INDEX(_DATA_Assessment_Model!$L$5:$L$884,MATCH($E613,_DATA_Assessment_Model!$A$5:$A$884,0)),IF($H613&lt;=1,"Critical",IF($H613=2,"High",IF($H613=3,"Medium",IF($H613=4,"Low","Resilient"))))))</f>
        <v/>
      </c>
      <c r="J613">
        <f>IF($H613="","",MIN(5,MAX(1,6-$H613)))</f>
        <v/>
      </c>
      <c r="K613">
        <f>IF($H613="","",MAX(1,MIN(5,ROUNDUP(($U613*0.45)+($W613*0.35)+($X613*0.2),0))))</f>
        <v/>
      </c>
      <c r="L613">
        <f>IF($H613="","",$J613*$K613)</f>
        <v/>
      </c>
      <c r="M613">
        <f>IF($H613="","",MAX(1,MIN(5,ROUNDUP($L613/5,0))))</f>
        <v/>
      </c>
      <c r="N613">
        <f>IF($H613="","",IFERROR(INDEX('_ENGINE_Risk'!$T$41:$Y$920,MATCH($E613,'_ENGINE_Risk'!$A$41:$A$920,0),$H613+1),""))</f>
        <v/>
      </c>
      <c r="O613">
        <f>IF($H613="","",MAX(1,MIN(5,($U613+$V613+$X613)/3)))</f>
        <v/>
      </c>
      <c r="P613">
        <f>IF($H613="","",IF($I613="Critical",5,IF($I613="High",4,IF($I613="Medium",3,IF($I613="Low",2,1)))))</f>
        <v/>
      </c>
      <c r="Q613">
        <f>IF($H613="","",MAX(1,MIN(5,((5-$H613)*0.65)+($W613*0.35))))</f>
        <v/>
      </c>
      <c r="R613">
        <f>IF($H613="","",MAX(1,MIN(5,($V613+$X613)/2)))</f>
        <v/>
      </c>
      <c r="S613">
        <f>IF(OR($H613="",$N613=""),"",ROUND(($O613+$P613+$Q613+$R613)/$N613,2))</f>
        <v/>
      </c>
      <c r="T613">
        <f>IF($H613="","",IFERROR(INDEX('_ENGINE_Risk'!$N$41:$S$920,MATCH($E613,'_ENGINE_Risk'!$A$41:$A$920,0),$H613+1),""))</f>
        <v/>
      </c>
      <c r="U613">
        <f>IFERROR(INDEX(_DATA_Assessment_Model!$G$5:$G$884,MATCH($E613,_DATA_Assessment_Model!$A$5:$A$884,0)),"")</f>
        <v/>
      </c>
      <c r="V613">
        <f>IFERROR(INDEX(_DATA_Assessment_Model!$W$5:$W$884,MATCH($E613,_DATA_Assessment_Model!$A$5:$A$884,0)),"")</f>
        <v/>
      </c>
      <c r="W613">
        <f>IFERROR(INDEX(_DATA_Assessment_Model!$X$5:$X$884,MATCH($E613,_DATA_Assessment_Model!$A$5:$A$884,0)),"")</f>
        <v/>
      </c>
      <c r="X613">
        <f>IFERROR(INDEX(_DATA_Assessment_Model!$Y$5:$Y$884,MATCH($E613,_DATA_Assessment_Model!$A$5:$A$884,0)),"")</f>
        <v/>
      </c>
      <c r="Y613" t="inlineStr">
        <is>
          <t>Financial liquidity crisis; Supplier disruption; Fraud risk</t>
        </is>
      </c>
      <c r="Z613" t="inlineStr">
        <is>
          <t>CFO / Procurement</t>
        </is>
      </c>
      <c r="AA613" t="inlineStr">
        <is>
          <t>Policy/SOP; owner/RACI; system report; dashboard; contracts; test records; incident history; interview evidence related to banking resilience with backup banks, signatories, online access and payment release fallback.</t>
        </is>
      </c>
      <c r="AB613">
        <f>IFERROR(INDEX(_DATA_Assessment_Model!$U$5:$U$884,MATCH($E613,_DATA_Assessment_Model!$A$5:$A$884,0)),"")</f>
        <v/>
      </c>
      <c r="AF613" t="inlineStr">
        <is>
          <t>How mature is the organization in managing banking resilience with backup banks, signatories, online access and payment release fallback, including ownership, evidence, metrics, fallback procedures and crisis stress testing?</t>
        </is>
      </c>
      <c r="AO613">
        <f>IF($B613="Yes",IFERROR(INDEX(_ENGINE_Crisis!$F$501:$F$517,MATCH($C613,_ENGINE_Crisis!$A$501:$A$517,0)),1),"")</f>
        <v/>
      </c>
      <c r="AP613">
        <f>IF(AO613="","",ROUND($L613*AO613,1))</f>
        <v/>
      </c>
      <c r="AQ613">
        <f>IF(OR(AO613="",$S613=""),"",ROUND($S613*(0.7+0.3*AO613),2))</f>
        <v/>
      </c>
      <c r="AR613">
        <f>IFERROR(INDEX(_ENGINE_Crisis!$E$41:$E$700,MATCH('Resilience &amp; Risk Scenario'!$B$60&amp;"|"&amp;$C613,_ENGINE_Crisis!$I$41:$I$700,0)),"")</f>
        <v/>
      </c>
      <c r="AS613">
        <f>IFERROR(INDEX(_ENGINE_Crisis!$G$41:$G$700,MATCH('Resilience &amp; Risk Scenario'!$B$60&amp;"|"&amp;$C613,_ENGINE_Crisis!$I$41:$I$700,0)),"")</f>
        <v/>
      </c>
      <c r="AT613">
        <f>IFERROR(INDEX(_ENGINE_Initiatives!$A$5:$A$532,MATCH(1,INDEX((_ENGINE_Initiatives!$B$5:$B$532=$C613)*(_ENGINE_Initiatives!$C$5:$C$532=$D613),0),0)),"")</f>
        <v/>
      </c>
      <c r="AU613">
        <f>IFERROR(INDEX(_ENGINE_Initiatives!$F$5:$F$532,MATCH(1,INDEX((_ENGINE_Initiatives!$B$5:$B$532=$C613)*(_ENGINE_Initiatives!$C$5:$C$532=$D613),0),0)),"")</f>
        <v/>
      </c>
      <c r="AV613">
        <f>IFERROR(INDEX(_ENGINE_Initiatives!$AC$5:$AC$532,MATCH(1,INDEX((_ENGINE_Initiatives!$B$5:$B$532=$C613)*(_ENGINE_Initiatives!$C$5:$C$532=$D613),0),0)),"")</f>
        <v/>
      </c>
      <c r="AW613">
        <f>IFERROR(INDEX(_ENGINE_Initiatives!$AE$5:$AE$532,MATCH(1,INDEX((_ENGINE_Initiatives!$B$5:$B$532=$C613)*(_ENGINE_Initiatives!$C$5:$C$532=$D613),0),0)),"")</f>
        <v/>
      </c>
      <c r="AX613">
        <f>IF($B613="Yes",IFERROR(IF(SUMIFS(_REF_Model_Content!$E$1:$E$613,_REF_Model_Content!$A$1:$A$613,'Company Profile'!$B$9,_REF_Model_Content!$B$1:$B$613,$C613)=0,1,SUMIFS(_REF_Model_Content!$E$1:$E$613,_REF_Model_Content!$A$1:$A$613,'Company Profile'!$B$9,_REF_Model_Content!$B$1:$B$613,$C613)),1),"")</f>
        <v/>
      </c>
      <c r="AY613">
        <f>IF($L613="","",ROUND(IF($AP613="",$L613,$AP613)*IF($AX613="",1,$AX613),2))</f>
        <v/>
      </c>
      <c r="AZ613">
        <f>IF($S613="","",ROUND(IF($AQ613="",$S613,$AQ613)*IF($AX613="",1,$AX613),2))</f>
        <v/>
      </c>
      <c r="BB613">
        <f>IF($H613="","",IFERROR(INDEX('_ENGINE_Risk'!$AE$41:$AE$920,MATCH($E613,'_ENGINE_Risk'!$A$41:$A$920,0)),"Medium"))</f>
        <v/>
      </c>
      <c r="BC613">
        <f>IF($BB613="","",IF($BB613="Fast",1.25,IF($BB613="Slow",0.85,1)))</f>
        <v/>
      </c>
      <c r="BD613">
        <f>IF(OR($AZ613="",$BC613=""),"",ROUND($AZ613*$BC613,2))</f>
        <v/>
      </c>
      <c r="BF613">
        <f>IF(OR($H613="",$J613=""),"",_xlfn.IFNA(VLOOKUP($J613,_CONFIG_Model_Settings!$D$610:$E$614,2,0),""))</f>
        <v/>
      </c>
      <c r="BG613">
        <f>IF(OR($H613="",$K613=""),"",ROUND('Company Profile'!$B$569*INDEX(_CONFIG_Model_Settings!$H$610:$H$614,MATCH($K613,_CONFIG_Model_Settings!$G$610:$G$614,0)),0))</f>
        <v/>
      </c>
      <c r="BH613">
        <f>IF(OR($BF613="",$BG613=""),"",ROUND($BF613*$BG613,1))</f>
        <v/>
      </c>
      <c r="BI613">
        <f>IF($BH613="","",IF($AO613="",$BH613,ROUND($BH613*$AO613,1)))</f>
        <v/>
      </c>
      <c r="BJ613">
        <f>IF($E613="","",IFERROR(VLOOKUP($C613,'_CONFIG_Risk_Calibration'!$A$5:$H$21,2,FALSE),3))</f>
        <v/>
      </c>
      <c r="BK613">
        <f>IF($E613="","",IFERROR(VLOOKUP($C613,'_CONFIG_Risk_Calibration'!$A$5:$H$21,3,FALSE),0))</f>
        <v/>
      </c>
      <c r="BL613">
        <f>IF($E613="","",IFERROR(VLOOKUP($C613,'_CONFIG_Risk_Calibration'!$A$5:$H$21,4,FALSE),3))</f>
        <v/>
      </c>
      <c r="BM613">
        <f>IF($E613="","",IFERROR(VLOOKUP($C613,'_CONFIG_Risk_Calibration'!$A$5:$H$21,5,FALSE),3))</f>
        <v/>
      </c>
      <c r="BN613">
        <f>IF($E613="","",IFERROR(VLOOKUP($C613,'_CONFIG_Risk_Calibration'!$A$5:$H$21,6,FALSE),"No"))</f>
        <v/>
      </c>
      <c r="BO613">
        <f>IF($E613="","",IFERROR(VLOOKUP($C613,'_CONFIG_Risk_Calibration'!$A$5:$H$21,7,FALSE),1))</f>
        <v/>
      </c>
      <c r="BP613">
        <f>IF($H613="","",MAX(1,MIN(5,((6-$H613)*0.45)+($BJ613*0.20)+('Resilience &amp; Risk Scenario'!$B$7*0.15)+($BK613*0.10)+($BL613*0.05)+(IF($BB613="Fast",5,IF($BB613="Slow",1,3))*0.05))))</f>
        <v/>
      </c>
      <c r="BQ613">
        <f>IF($H613="","",MAX(IF($BN613="Yes",$BO613,1),MIN(5,($U613*0.20)+($V613*0.15)+($W613*0.25)+($X613*0.15)+($BJ613*0.10)+($BM613*0.15))))</f>
        <v/>
      </c>
      <c r="BR613">
        <f>IF(OR($BP613="",$BQ613=""),"",ROUND($BP613*$BQ613,2))</f>
        <v/>
      </c>
      <c r="BS613">
        <f>IF($BR613="","",ROUND($BR613*IF($AO613="",1,$AO613)*IF($AX613="",1,$AX613)*(1+(($BM613-3)*0.10))*IF($BC613="",1,$BC613),2))</f>
        <v/>
      </c>
    </row>
    <row r="614" ht="69.90000000000001" customHeight="1" s="209">
      <c r="A614">
        <f>IF($BD614="","",SUMPRODUCT(ISNUMBER($BD$500:$BD$923)*($BD$500:$BD$923&gt;$BD614))+COUNTIF($BD$500:$BD614,$BD614))</f>
        <v/>
      </c>
      <c r="B614">
        <f>IF($H614="","",IF($H614&lt;5,"Yes","Maintain"))</f>
        <v/>
      </c>
      <c r="C614" t="inlineStr">
        <is>
          <t>Finance Procurement</t>
        </is>
      </c>
      <c r="D614" t="inlineStr">
        <is>
          <t>Working capital</t>
        </is>
      </c>
      <c r="E614" t="inlineStr">
        <is>
          <t>FINA-023</t>
        </is>
      </c>
      <c r="F614" t="inlineStr">
        <is>
          <t>Financial control and procurement resilience</t>
        </is>
      </c>
      <c r="G614">
        <f>IF($H614="","",IFERROR(INDEX('_ENGINE_Risk'!$H$41:$M$920,MATCH($E614,'_ENGINE_Risk'!$A$41:$A$920,0),$H614+1),""))</f>
        <v/>
      </c>
      <c r="H614">
        <f>IFERROR(VALUE(INDEX(_DATA_Assessment_Model!$H$5:$H$884,MATCH($E614,_DATA_Assessment_Model!$A$5:$A$884,0))),"")</f>
        <v/>
      </c>
      <c r="I614">
        <f>IF($H614="","",IFERROR(INDEX(_DATA_Assessment_Model!$L$5:$L$884,MATCH($E614,_DATA_Assessment_Model!$A$5:$A$884,0)),IF($H614&lt;=1,"Critical",IF($H614=2,"High",IF($H614=3,"Medium",IF($H614=4,"Low","Resilient"))))))</f>
        <v/>
      </c>
      <c r="J614">
        <f>IF($H614="","",MIN(5,MAX(1,6-$H614)))</f>
        <v/>
      </c>
      <c r="K614">
        <f>IF($H614="","",MAX(1,MIN(5,ROUNDUP(($U614*0.45)+($W614*0.35)+($X614*0.2),0))))</f>
        <v/>
      </c>
      <c r="L614">
        <f>IF($H614="","",$J614*$K614)</f>
        <v/>
      </c>
      <c r="M614">
        <f>IF($H614="","",MAX(1,MIN(5,ROUNDUP($L614/5,0))))</f>
        <v/>
      </c>
      <c r="N614">
        <f>IF($H614="","",IFERROR(INDEX('_ENGINE_Risk'!$T$41:$Y$920,MATCH($E614,'_ENGINE_Risk'!$A$41:$A$920,0),$H614+1),""))</f>
        <v/>
      </c>
      <c r="O614">
        <f>IF($H614="","",MAX(1,MIN(5,($U614+$V614+$X614)/3)))</f>
        <v/>
      </c>
      <c r="P614">
        <f>IF($H614="","",IF($I614="Critical",5,IF($I614="High",4,IF($I614="Medium",3,IF($I614="Low",2,1)))))</f>
        <v/>
      </c>
      <c r="Q614">
        <f>IF($H614="","",MAX(1,MIN(5,((5-$H614)*0.65)+($W614*0.35))))</f>
        <v/>
      </c>
      <c r="R614">
        <f>IF($H614="","",MAX(1,MIN(5,($V614+$X614)/2)))</f>
        <v/>
      </c>
      <c r="S614">
        <f>IF(OR($H614="",$N614=""),"",ROUND(($O614+$P614+$Q614+$R614)/$N614,2))</f>
        <v/>
      </c>
      <c r="T614">
        <f>IF($H614="","",IFERROR(INDEX('_ENGINE_Risk'!$N$41:$S$920,MATCH($E614,'_ENGINE_Risk'!$A$41:$A$920,0),$H614+1),""))</f>
        <v/>
      </c>
      <c r="U614">
        <f>IFERROR(INDEX(_DATA_Assessment_Model!$G$5:$G$884,MATCH($E614,_DATA_Assessment_Model!$A$5:$A$884,0)),"")</f>
        <v/>
      </c>
      <c r="V614">
        <f>IFERROR(INDEX(_DATA_Assessment_Model!$W$5:$W$884,MATCH($E614,_DATA_Assessment_Model!$A$5:$A$884,0)),"")</f>
        <v/>
      </c>
      <c r="W614">
        <f>IFERROR(INDEX(_DATA_Assessment_Model!$X$5:$X$884,MATCH($E614,_DATA_Assessment_Model!$A$5:$A$884,0)),"")</f>
        <v/>
      </c>
      <c r="X614">
        <f>IFERROR(INDEX(_DATA_Assessment_Model!$Y$5:$Y$884,MATCH($E614,_DATA_Assessment_Model!$A$5:$A$884,0)),"")</f>
        <v/>
      </c>
      <c r="Y614" t="inlineStr">
        <is>
          <t>Financial liquidity crisis; Supplier disruption; Fraud risk</t>
        </is>
      </c>
      <c r="Z614" t="inlineStr">
        <is>
          <t>CFO / Procurement</t>
        </is>
      </c>
      <c r="AA614" t="inlineStr">
        <is>
          <t>Policy/SOP; owner/RACI; system report; dashboard; contracts; test records; incident history; interview evidence related to tax compliance calendar and statutory reporting continuity.</t>
        </is>
      </c>
      <c r="AB614">
        <f>IFERROR(INDEX(_DATA_Assessment_Model!$U$5:$U$884,MATCH($E614,_DATA_Assessment_Model!$A$5:$A$884,0)),"")</f>
        <v/>
      </c>
      <c r="AF614" t="inlineStr">
        <is>
          <t>How mature is the organization in managing tax compliance calendar and statutory reporting continuity, including ownership, evidence, metrics, fallback procedures and crisis stress testing?</t>
        </is>
      </c>
      <c r="AO614">
        <f>IF($B614="Yes",IFERROR(INDEX(_ENGINE_Crisis!$F$501:$F$517,MATCH($C614,_ENGINE_Crisis!$A$501:$A$517,0)),1),"")</f>
        <v/>
      </c>
      <c r="AP614">
        <f>IF(AO614="","",ROUND($L614*AO614,1))</f>
        <v/>
      </c>
      <c r="AQ614">
        <f>IF(OR(AO614="",$S614=""),"",ROUND($S614*(0.7+0.3*AO614),2))</f>
        <v/>
      </c>
      <c r="AR614">
        <f>IFERROR(INDEX(_ENGINE_Crisis!$E$41:$E$700,MATCH('Resilience &amp; Risk Scenario'!$B$60&amp;"|"&amp;$C614,_ENGINE_Crisis!$I$41:$I$700,0)),"")</f>
        <v/>
      </c>
      <c r="AS614">
        <f>IFERROR(INDEX(_ENGINE_Crisis!$G$41:$G$700,MATCH('Resilience &amp; Risk Scenario'!$B$60&amp;"|"&amp;$C614,_ENGINE_Crisis!$I$41:$I$700,0)),"")</f>
        <v/>
      </c>
      <c r="AT614">
        <f>IFERROR(INDEX(_ENGINE_Initiatives!$A$5:$A$532,MATCH(1,INDEX((_ENGINE_Initiatives!$B$5:$B$532=$C614)*(_ENGINE_Initiatives!$C$5:$C$532=$D614),0),0)),"")</f>
        <v/>
      </c>
      <c r="AU614">
        <f>IFERROR(INDEX(_ENGINE_Initiatives!$F$5:$F$532,MATCH(1,INDEX((_ENGINE_Initiatives!$B$5:$B$532=$C614)*(_ENGINE_Initiatives!$C$5:$C$532=$D614),0),0)),"")</f>
        <v/>
      </c>
      <c r="AV614">
        <f>IFERROR(INDEX(_ENGINE_Initiatives!$AC$5:$AC$532,MATCH(1,INDEX((_ENGINE_Initiatives!$B$5:$B$532=$C614)*(_ENGINE_Initiatives!$C$5:$C$532=$D614),0),0)),"")</f>
        <v/>
      </c>
      <c r="AW614">
        <f>IFERROR(INDEX(_ENGINE_Initiatives!$AE$5:$AE$532,MATCH(1,INDEX((_ENGINE_Initiatives!$B$5:$B$532=$C614)*(_ENGINE_Initiatives!$C$5:$C$532=$D614),0),0)),"")</f>
        <v/>
      </c>
      <c r="AX614">
        <f>IF($B614="Yes",IFERROR(IF(SUMIFS(_REF_Model_Content!$E$1:$E$613,_REF_Model_Content!$A$1:$A$613,'Company Profile'!$B$9,_REF_Model_Content!$B$1:$B$613,$C614)=0,1,SUMIFS(_REF_Model_Content!$E$1:$E$613,_REF_Model_Content!$A$1:$A$613,'Company Profile'!$B$9,_REF_Model_Content!$B$1:$B$613,$C614)),1),"")</f>
        <v/>
      </c>
      <c r="AY614">
        <f>IF($L614="","",ROUND(IF($AP614="",$L614,$AP614)*IF($AX614="",1,$AX614),2))</f>
        <v/>
      </c>
      <c r="AZ614">
        <f>IF($S614="","",ROUND(IF($AQ614="",$S614,$AQ614)*IF($AX614="",1,$AX614),2))</f>
        <v/>
      </c>
      <c r="BB614">
        <f>IF($H614="","",IFERROR(INDEX('_ENGINE_Risk'!$AE$41:$AE$920,MATCH($E614,'_ENGINE_Risk'!$A$41:$A$920,0)),"Medium"))</f>
        <v/>
      </c>
      <c r="BC614">
        <f>IF($BB614="","",IF($BB614="Fast",1.25,IF($BB614="Slow",0.85,1)))</f>
        <v/>
      </c>
      <c r="BD614">
        <f>IF(OR($AZ614="",$BC614=""),"",ROUND($AZ614*$BC614,2))</f>
        <v/>
      </c>
      <c r="BF614">
        <f>IF(OR($H614="",$J614=""),"",_xlfn.IFNA(VLOOKUP($J614,_CONFIG_Model_Settings!$D$610:$E$614,2,0),""))</f>
        <v/>
      </c>
      <c r="BG614">
        <f>IF(OR($H614="",$K614=""),"",ROUND('Company Profile'!$B$569*INDEX(_CONFIG_Model_Settings!$H$610:$H$614,MATCH($K614,_CONFIG_Model_Settings!$G$610:$G$614,0)),0))</f>
        <v/>
      </c>
      <c r="BH614">
        <f>IF(OR($BF614="",$BG614=""),"",ROUND($BF614*$BG614,1))</f>
        <v/>
      </c>
      <c r="BI614">
        <f>IF($BH614="","",IF($AO614="",$BH614,ROUND($BH614*$AO614,1)))</f>
        <v/>
      </c>
      <c r="BJ614">
        <f>IF($E614="","",IFERROR(VLOOKUP($C614,'_CONFIG_Risk_Calibration'!$A$5:$H$21,2,FALSE),3))</f>
        <v/>
      </c>
      <c r="BK614">
        <f>IF($E614="","",IFERROR(VLOOKUP($C614,'_CONFIG_Risk_Calibration'!$A$5:$H$21,3,FALSE),0))</f>
        <v/>
      </c>
      <c r="BL614">
        <f>IF($E614="","",IFERROR(VLOOKUP($C614,'_CONFIG_Risk_Calibration'!$A$5:$H$21,4,FALSE),3))</f>
        <v/>
      </c>
      <c r="BM614">
        <f>IF($E614="","",IFERROR(VLOOKUP($C614,'_CONFIG_Risk_Calibration'!$A$5:$H$21,5,FALSE),3))</f>
        <v/>
      </c>
      <c r="BN614">
        <f>IF($E614="","",IFERROR(VLOOKUP($C614,'_CONFIG_Risk_Calibration'!$A$5:$H$21,6,FALSE),"No"))</f>
        <v/>
      </c>
      <c r="BO614">
        <f>IF($E614="","",IFERROR(VLOOKUP($C614,'_CONFIG_Risk_Calibration'!$A$5:$H$21,7,FALSE),1))</f>
        <v/>
      </c>
      <c r="BP614">
        <f>IF($H614="","",MAX(1,MIN(5,((6-$H614)*0.45)+($BJ614*0.20)+('Resilience &amp; Risk Scenario'!$B$7*0.15)+($BK614*0.10)+($BL614*0.05)+(IF($BB614="Fast",5,IF($BB614="Slow",1,3))*0.05))))</f>
        <v/>
      </c>
      <c r="BQ614">
        <f>IF($H614="","",MAX(IF($BN614="Yes",$BO614,1),MIN(5,($U614*0.20)+($V614*0.15)+($W614*0.25)+($X614*0.15)+($BJ614*0.10)+($BM614*0.15))))</f>
        <v/>
      </c>
      <c r="BR614">
        <f>IF(OR($BP614="",$BQ614=""),"",ROUND($BP614*$BQ614,2))</f>
        <v/>
      </c>
      <c r="BS614">
        <f>IF($BR614="","",ROUND($BR614*IF($AO614="",1,$AO614)*IF($AX614="",1,$AX614)*(1+(($BM614-3)*0.10))*IF($BC614="",1,$BC614),2))</f>
        <v/>
      </c>
    </row>
    <row r="615" ht="69.90000000000001" customHeight="1" s="209">
      <c r="A615">
        <f>IF($BD615="","",SUMPRODUCT(ISNUMBER($BD$500:$BD$923)*($BD$500:$BD$923&gt;$BD615))+COUNTIF($BD$500:$BD615,$BD615))</f>
        <v/>
      </c>
      <c r="B615">
        <f>IF($H615="","",IF($H615&lt;5,"Yes","Maintain"))</f>
        <v/>
      </c>
      <c r="C615" t="inlineStr">
        <is>
          <t>Finance Procurement</t>
        </is>
      </c>
      <c r="D615" t="inlineStr">
        <is>
          <t>Working capital</t>
        </is>
      </c>
      <c r="E615" t="inlineStr">
        <is>
          <t>FINA-024</t>
        </is>
      </c>
      <c r="F615" t="inlineStr">
        <is>
          <t>Financial control and procurement resilience</t>
        </is>
      </c>
      <c r="G615">
        <f>IF($H615="","",IFERROR(INDEX('_ENGINE_Risk'!$H$41:$M$920,MATCH($E615,'_ENGINE_Risk'!$A$41:$A$920,0),$H615+1),""))</f>
        <v/>
      </c>
      <c r="H615">
        <f>IFERROR(VALUE(INDEX(_DATA_Assessment_Model!$H$5:$H$884,MATCH($E615,_DATA_Assessment_Model!$A$5:$A$884,0))),"")</f>
        <v/>
      </c>
      <c r="I615">
        <f>IF($H615="","",IFERROR(INDEX(_DATA_Assessment_Model!$L$5:$L$884,MATCH($E615,_DATA_Assessment_Model!$A$5:$A$884,0)),IF($H615&lt;=1,"Critical",IF($H615=2,"High",IF($H615=3,"Medium",IF($H615=4,"Low","Resilient"))))))</f>
        <v/>
      </c>
      <c r="J615">
        <f>IF($H615="","",MIN(5,MAX(1,6-$H615)))</f>
        <v/>
      </c>
      <c r="K615">
        <f>IF($H615="","",MAX(1,MIN(5,ROUNDUP(($U615*0.45)+($W615*0.35)+($X615*0.2),0))))</f>
        <v/>
      </c>
      <c r="L615">
        <f>IF($H615="","",$J615*$K615)</f>
        <v/>
      </c>
      <c r="M615">
        <f>IF($H615="","",MAX(1,MIN(5,ROUNDUP($L615/5,0))))</f>
        <v/>
      </c>
      <c r="N615">
        <f>IF($H615="","",IFERROR(INDEX('_ENGINE_Risk'!$T$41:$Y$920,MATCH($E615,'_ENGINE_Risk'!$A$41:$A$920,0),$H615+1),""))</f>
        <v/>
      </c>
      <c r="O615">
        <f>IF($H615="","",MAX(1,MIN(5,($U615+$V615+$X615)/3)))</f>
        <v/>
      </c>
      <c r="P615">
        <f>IF($H615="","",IF($I615="Critical",5,IF($I615="High",4,IF($I615="Medium",3,IF($I615="Low",2,1)))))</f>
        <v/>
      </c>
      <c r="Q615">
        <f>IF($H615="","",MAX(1,MIN(5,((5-$H615)*0.65)+($W615*0.35))))</f>
        <v/>
      </c>
      <c r="R615">
        <f>IF($H615="","",MAX(1,MIN(5,($V615+$X615)/2)))</f>
        <v/>
      </c>
      <c r="S615">
        <f>IF(OR($H615="",$N615=""),"",ROUND(($O615+$P615+$Q615+$R615)/$N615,2))</f>
        <v/>
      </c>
      <c r="T615">
        <f>IF($H615="","",IFERROR(INDEX('_ENGINE_Risk'!$N$41:$S$920,MATCH($E615,'_ENGINE_Risk'!$A$41:$A$920,0),$H615+1),""))</f>
        <v/>
      </c>
      <c r="U615">
        <f>IFERROR(INDEX(_DATA_Assessment_Model!$G$5:$G$884,MATCH($E615,_DATA_Assessment_Model!$A$5:$A$884,0)),"")</f>
        <v/>
      </c>
      <c r="V615">
        <f>IFERROR(INDEX(_DATA_Assessment_Model!$W$5:$W$884,MATCH($E615,_DATA_Assessment_Model!$A$5:$A$884,0)),"")</f>
        <v/>
      </c>
      <c r="W615">
        <f>IFERROR(INDEX(_DATA_Assessment_Model!$X$5:$X$884,MATCH($E615,_DATA_Assessment_Model!$A$5:$A$884,0)),"")</f>
        <v/>
      </c>
      <c r="X615">
        <f>IFERROR(INDEX(_DATA_Assessment_Model!$Y$5:$Y$884,MATCH($E615,_DATA_Assessment_Model!$A$5:$A$884,0)),"")</f>
        <v/>
      </c>
      <c r="Y615" t="inlineStr">
        <is>
          <t>Financial liquidity crisis; Supplier disruption; Fraud risk</t>
        </is>
      </c>
      <c r="Z615" t="inlineStr">
        <is>
          <t>CFO / Procurement</t>
        </is>
      </c>
      <c r="AA615" t="inlineStr">
        <is>
          <t>Policy/SOP; owner/RACI; system report; dashboard; contracts; test records; incident history; interview evidence related to business interruption insurance fit against realistic recovery scenarios.</t>
        </is>
      </c>
      <c r="AB615">
        <f>IFERROR(INDEX(_DATA_Assessment_Model!$U$5:$U$884,MATCH($E615,_DATA_Assessment_Model!$A$5:$A$884,0)),"")</f>
        <v/>
      </c>
      <c r="AF615" t="inlineStr">
        <is>
          <t>How mature is the organization in managing business interruption insurance fit against realistic recovery scenarios, including ownership, evidence, metrics, fallback procedures and crisis stress testing?</t>
        </is>
      </c>
      <c r="AO615">
        <f>IF($B615="Yes",IFERROR(INDEX(_ENGINE_Crisis!$F$501:$F$517,MATCH($C615,_ENGINE_Crisis!$A$501:$A$517,0)),1),"")</f>
        <v/>
      </c>
      <c r="AP615">
        <f>IF(AO615="","",ROUND($L615*AO615,1))</f>
        <v/>
      </c>
      <c r="AQ615">
        <f>IF(OR(AO615="",$S615=""),"",ROUND($S615*(0.7+0.3*AO615),2))</f>
        <v/>
      </c>
      <c r="AR615">
        <f>IFERROR(INDEX(_ENGINE_Crisis!$E$41:$E$700,MATCH('Resilience &amp; Risk Scenario'!$B$60&amp;"|"&amp;$C615,_ENGINE_Crisis!$I$41:$I$700,0)),"")</f>
        <v/>
      </c>
      <c r="AS615">
        <f>IFERROR(INDEX(_ENGINE_Crisis!$G$41:$G$700,MATCH('Resilience &amp; Risk Scenario'!$B$60&amp;"|"&amp;$C615,_ENGINE_Crisis!$I$41:$I$700,0)),"")</f>
        <v/>
      </c>
      <c r="AT615">
        <f>IFERROR(INDEX(_ENGINE_Initiatives!$A$5:$A$532,MATCH(1,INDEX((_ENGINE_Initiatives!$B$5:$B$532=$C615)*(_ENGINE_Initiatives!$C$5:$C$532=$D615),0),0)),"")</f>
        <v/>
      </c>
      <c r="AU615">
        <f>IFERROR(INDEX(_ENGINE_Initiatives!$F$5:$F$532,MATCH(1,INDEX((_ENGINE_Initiatives!$B$5:$B$532=$C615)*(_ENGINE_Initiatives!$C$5:$C$532=$D615),0),0)),"")</f>
        <v/>
      </c>
      <c r="AV615">
        <f>IFERROR(INDEX(_ENGINE_Initiatives!$AC$5:$AC$532,MATCH(1,INDEX((_ENGINE_Initiatives!$B$5:$B$532=$C615)*(_ENGINE_Initiatives!$C$5:$C$532=$D615),0),0)),"")</f>
        <v/>
      </c>
      <c r="AW615">
        <f>IFERROR(INDEX(_ENGINE_Initiatives!$AE$5:$AE$532,MATCH(1,INDEX((_ENGINE_Initiatives!$B$5:$B$532=$C615)*(_ENGINE_Initiatives!$C$5:$C$532=$D615),0),0)),"")</f>
        <v/>
      </c>
      <c r="AX615">
        <f>IF($B615="Yes",IFERROR(IF(SUMIFS(_REF_Model_Content!$E$1:$E$613,_REF_Model_Content!$A$1:$A$613,'Company Profile'!$B$9,_REF_Model_Content!$B$1:$B$613,$C615)=0,1,SUMIFS(_REF_Model_Content!$E$1:$E$613,_REF_Model_Content!$A$1:$A$613,'Company Profile'!$B$9,_REF_Model_Content!$B$1:$B$613,$C615)),1),"")</f>
        <v/>
      </c>
      <c r="AY615">
        <f>IF($L615="","",ROUND(IF($AP615="",$L615,$AP615)*IF($AX615="",1,$AX615),2))</f>
        <v/>
      </c>
      <c r="AZ615">
        <f>IF($S615="","",ROUND(IF($AQ615="",$S615,$AQ615)*IF($AX615="",1,$AX615),2))</f>
        <v/>
      </c>
      <c r="BB615">
        <f>IF($H615="","",IFERROR(INDEX('_ENGINE_Risk'!$AE$41:$AE$920,MATCH($E615,'_ENGINE_Risk'!$A$41:$A$920,0)),"Medium"))</f>
        <v/>
      </c>
      <c r="BC615">
        <f>IF($BB615="","",IF($BB615="Fast",1.25,IF($BB615="Slow",0.85,1)))</f>
        <v/>
      </c>
      <c r="BD615">
        <f>IF(OR($AZ615="",$BC615=""),"",ROUND($AZ615*$BC615,2))</f>
        <v/>
      </c>
      <c r="BF615">
        <f>IF(OR($H615="",$J615=""),"",_xlfn.IFNA(VLOOKUP($J615,_CONFIG_Model_Settings!$D$610:$E$614,2,0),""))</f>
        <v/>
      </c>
      <c r="BG615">
        <f>IF(OR($H615="",$K615=""),"",ROUND('Company Profile'!$B$569*INDEX(_CONFIG_Model_Settings!$H$610:$H$614,MATCH($K615,_CONFIG_Model_Settings!$G$610:$G$614,0)),0))</f>
        <v/>
      </c>
      <c r="BH615">
        <f>IF(OR($BF615="",$BG615=""),"",ROUND($BF615*$BG615,1))</f>
        <v/>
      </c>
      <c r="BI615">
        <f>IF($BH615="","",IF($AO615="",$BH615,ROUND($BH615*$AO615,1)))</f>
        <v/>
      </c>
      <c r="BJ615">
        <f>IF($E615="","",IFERROR(VLOOKUP($C615,'_CONFIG_Risk_Calibration'!$A$5:$H$21,2,FALSE),3))</f>
        <v/>
      </c>
      <c r="BK615">
        <f>IF($E615="","",IFERROR(VLOOKUP($C615,'_CONFIG_Risk_Calibration'!$A$5:$H$21,3,FALSE),0))</f>
        <v/>
      </c>
      <c r="BL615">
        <f>IF($E615="","",IFERROR(VLOOKUP($C615,'_CONFIG_Risk_Calibration'!$A$5:$H$21,4,FALSE),3))</f>
        <v/>
      </c>
      <c r="BM615">
        <f>IF($E615="","",IFERROR(VLOOKUP($C615,'_CONFIG_Risk_Calibration'!$A$5:$H$21,5,FALSE),3))</f>
        <v/>
      </c>
      <c r="BN615">
        <f>IF($E615="","",IFERROR(VLOOKUP($C615,'_CONFIG_Risk_Calibration'!$A$5:$H$21,6,FALSE),"No"))</f>
        <v/>
      </c>
      <c r="BO615">
        <f>IF($E615="","",IFERROR(VLOOKUP($C615,'_CONFIG_Risk_Calibration'!$A$5:$H$21,7,FALSE),1))</f>
        <v/>
      </c>
      <c r="BP615">
        <f>IF($H615="","",MAX(1,MIN(5,((6-$H615)*0.45)+($BJ615*0.20)+('Resilience &amp; Risk Scenario'!$B$7*0.15)+($BK615*0.10)+($BL615*0.05)+(IF($BB615="Fast",5,IF($BB615="Slow",1,3))*0.05))))</f>
        <v/>
      </c>
      <c r="BQ615">
        <f>IF($H615="","",MAX(IF($BN615="Yes",$BO615,1),MIN(5,($U615*0.20)+($V615*0.15)+($W615*0.25)+($X615*0.15)+($BJ615*0.10)+($BM615*0.15))))</f>
        <v/>
      </c>
      <c r="BR615">
        <f>IF(OR($BP615="",$BQ615=""),"",ROUND($BP615*$BQ615,2))</f>
        <v/>
      </c>
      <c r="BS615">
        <f>IF($BR615="","",ROUND($BR615*IF($AO615="",1,$AO615)*IF($AX615="",1,$AX615)*(1+(($BM615-3)*0.10))*IF($BC615="",1,$BC615),2))</f>
        <v/>
      </c>
    </row>
    <row r="616" ht="69.90000000000001" customHeight="1" s="209">
      <c r="A616">
        <f>IF($BD616="","",SUMPRODUCT(ISNUMBER($BD$500:$BD$923)*($BD$500:$BD$923&gt;$BD616))+COUNTIF($BD$500:$BD616,$BD616))</f>
        <v/>
      </c>
      <c r="B616">
        <f>IF($H616="","",IF($H616&lt;5,"Yes","Maintain"))</f>
        <v/>
      </c>
      <c r="C616" t="inlineStr">
        <is>
          <t>Finance Procurement</t>
        </is>
      </c>
      <c r="D616" t="inlineStr">
        <is>
          <t>Financial resilience</t>
        </is>
      </c>
      <c r="E616" t="inlineStr">
        <is>
          <t>FINA-025</t>
        </is>
      </c>
      <c r="F616" t="inlineStr">
        <is>
          <t>Financial flexibility and market risk</t>
        </is>
      </c>
      <c r="G616">
        <f>IF($H616="","",IFERROR(INDEX('_ENGINE_Risk'!$H$41:$M$920,MATCH($E616,'_ENGINE_Risk'!$A$41:$A$920,0),$H616+1),""))</f>
        <v/>
      </c>
      <c r="H616">
        <f>IFERROR(VALUE(INDEX(_DATA_Assessment_Model!$H$5:$H$884,MATCH($E616,_DATA_Assessment_Model!$A$5:$A$884,0))),"")</f>
        <v/>
      </c>
      <c r="I616">
        <f>IF($H616="","",IFERROR(INDEX(_DATA_Assessment_Model!$L$5:$L$884,MATCH($E616,_DATA_Assessment_Model!$A$5:$A$884,0)),IF($H616&lt;=1,"Critical",IF($H616=2,"High",IF($H616=3,"Medium",IF($H616=4,"Low","Resilient"))))))</f>
        <v/>
      </c>
      <c r="J616">
        <f>IF($H616="","",MIN(5,MAX(1,6-$H616)))</f>
        <v/>
      </c>
      <c r="K616">
        <f>IF($H616="","",MAX(1,MIN(5,ROUNDUP(($U616*0.45)+($W616*0.35)+($X616*0.2),0))))</f>
        <v/>
      </c>
      <c r="L616">
        <f>IF($H616="","",$J616*$K616)</f>
        <v/>
      </c>
      <c r="M616">
        <f>IF($H616="","",MAX(1,MIN(5,ROUNDUP($L616/5,0))))</f>
        <v/>
      </c>
      <c r="N616">
        <f>IF($H616="","",IFERROR(INDEX('_ENGINE_Risk'!$T$41:$Y$920,MATCH($E616,'_ENGINE_Risk'!$A$41:$A$920,0),$H616+1),""))</f>
        <v/>
      </c>
      <c r="O616">
        <f>IF($H616="","",MAX(1,MIN(5,($U616+$V616+$X616)/3)))</f>
        <v/>
      </c>
      <c r="P616">
        <f>IF($H616="","",IF($I616="Critical",5,IF($I616="High",4,IF($I616="Medium",3,IF($I616="Low",2,1)))))</f>
        <v/>
      </c>
      <c r="Q616">
        <f>IF($H616="","",MAX(1,MIN(5,((5-$H616)*0.65)+($W616*0.35))))</f>
        <v/>
      </c>
      <c r="R616">
        <f>IF($H616="","",MAX(1,MIN(5,($V616+$X616)/2)))</f>
        <v/>
      </c>
      <c r="S616">
        <f>IF(OR($H616="",$N616=""),"",ROUND(($O616+$P616+$Q616+$R616)/$N616,2))</f>
        <v/>
      </c>
      <c r="T616">
        <f>IF($H616="","",IFERROR(INDEX('_ENGINE_Risk'!$N$41:$S$920,MATCH($E616,'_ENGINE_Risk'!$A$41:$A$920,0),$H616+1),""))</f>
        <v/>
      </c>
      <c r="U616">
        <f>IFERROR(INDEX(_DATA_Assessment_Model!$G$5:$G$884,MATCH($E616,_DATA_Assessment_Model!$A$5:$A$884,0)),"")</f>
        <v/>
      </c>
      <c r="V616">
        <f>IFERROR(INDEX(_DATA_Assessment_Model!$W$5:$W$884,MATCH($E616,_DATA_Assessment_Model!$A$5:$A$884,0)),"")</f>
        <v/>
      </c>
      <c r="W616">
        <f>IFERROR(INDEX(_DATA_Assessment_Model!$X$5:$X$884,MATCH($E616,_DATA_Assessment_Model!$A$5:$A$884,0)),"")</f>
        <v/>
      </c>
      <c r="X616">
        <f>IFERROR(INDEX(_DATA_Assessment_Model!$Y$5:$Y$884,MATCH($E616,_DATA_Assessment_Model!$A$5:$A$884,0)),"")</f>
        <v/>
      </c>
      <c r="Y616" t="inlineStr">
        <is>
          <t>Financial/liquidity crisis; Demand shock</t>
        </is>
      </c>
      <c r="Z616" t="inlineStr">
        <is>
          <t>CFO</t>
        </is>
      </c>
      <c r="AA616" t="inlineStr">
        <is>
          <t>Policy/SOP; owner/RACI; system report; dashboard; contracts; test records; incident history; interview evidence related to currency risk management using natural hedges, contract indexation or hedging instruments</t>
        </is>
      </c>
      <c r="AB616">
        <f>IFERROR(INDEX(_DATA_Assessment_Model!$U$5:$U$884,MATCH($E616,_DATA_Assessment_Model!$A$5:$A$884,0)),"")</f>
        <v/>
      </c>
      <c r="AF616" t="inlineStr">
        <is>
          <t>How mature is the organization in managing currency risk management using natural hedges, contract indexation or hedging instruments, including ownership, evidence, metrics, fallback procedures and crisis stress testing?</t>
        </is>
      </c>
      <c r="AO616">
        <f>IF($B616="Yes",IFERROR(INDEX(_ENGINE_Crisis!$F$501:$F$517,MATCH($C616,_ENGINE_Crisis!$A$501:$A$517,0)),1),"")</f>
        <v/>
      </c>
      <c r="AP616">
        <f>IF(AO616="","",ROUND($L616*AO616,1))</f>
        <v/>
      </c>
      <c r="AQ616">
        <f>IF(OR(AO616="",$S616=""),"",ROUND($S616*(0.7+0.3*AO616),2))</f>
        <v/>
      </c>
      <c r="AR616">
        <f>IFERROR(INDEX(_ENGINE_Crisis!$E$41:$E$700,MATCH('Resilience &amp; Risk Scenario'!$B$60&amp;"|"&amp;$C616,_ENGINE_Crisis!$I$41:$I$700,0)),"")</f>
        <v/>
      </c>
      <c r="AS616">
        <f>IFERROR(INDEX(_ENGINE_Crisis!$G$41:$G$700,MATCH('Resilience &amp; Risk Scenario'!$B$60&amp;"|"&amp;$C616,_ENGINE_Crisis!$I$41:$I$700,0)),"")</f>
        <v/>
      </c>
      <c r="AT616">
        <f>IFERROR(INDEX(_ENGINE_Initiatives!$A$5:$A$532,MATCH(1,INDEX((_ENGINE_Initiatives!$B$5:$B$532=$C616)*(_ENGINE_Initiatives!$C$5:$C$532=$D616),0),0)),"")</f>
        <v/>
      </c>
      <c r="AU616">
        <f>IFERROR(INDEX(_ENGINE_Initiatives!$F$5:$F$532,MATCH(1,INDEX((_ENGINE_Initiatives!$B$5:$B$532=$C616)*(_ENGINE_Initiatives!$C$5:$C$532=$D616),0),0)),"")</f>
        <v/>
      </c>
      <c r="AV616">
        <f>IFERROR(INDEX(_ENGINE_Initiatives!$AC$5:$AC$532,MATCH(1,INDEX((_ENGINE_Initiatives!$B$5:$B$532=$C616)*(_ENGINE_Initiatives!$C$5:$C$532=$D616),0),0)),"")</f>
        <v/>
      </c>
      <c r="AW616">
        <f>IFERROR(INDEX(_ENGINE_Initiatives!$AE$5:$AE$532,MATCH(1,INDEX((_ENGINE_Initiatives!$B$5:$B$532=$C616)*(_ENGINE_Initiatives!$C$5:$C$532=$D616),0),0)),"")</f>
        <v/>
      </c>
      <c r="AX616">
        <f>IF($B616="Yes",IFERROR(IF(SUMIFS(_REF_Model_Content!$E$1:$E$613,_REF_Model_Content!$A$1:$A$613,'Company Profile'!$B$9,_REF_Model_Content!$B$1:$B$613,$C616)=0,1,SUMIFS(_REF_Model_Content!$E$1:$E$613,_REF_Model_Content!$A$1:$A$613,'Company Profile'!$B$9,_REF_Model_Content!$B$1:$B$613,$C616)),1),"")</f>
        <v/>
      </c>
      <c r="AY616">
        <f>IF($L616="","",ROUND(IF($AP616="",$L616,$AP616)*IF($AX616="",1,$AX616),2))</f>
        <v/>
      </c>
      <c r="AZ616">
        <f>IF($S616="","",ROUND(IF($AQ616="",$S616,$AQ616)*IF($AX616="",1,$AX616),2))</f>
        <v/>
      </c>
      <c r="BB616">
        <f>IF($H616="","",IFERROR(INDEX('_ENGINE_Risk'!$AE$41:$AE$920,MATCH($E616,'_ENGINE_Risk'!$A$41:$A$920,0)),"Medium"))</f>
        <v/>
      </c>
      <c r="BC616">
        <f>IF($BB616="","",IF($BB616="Fast",1.25,IF($BB616="Slow",0.85,1)))</f>
        <v/>
      </c>
      <c r="BD616">
        <f>IF(OR($AZ616="",$BC616=""),"",ROUND($AZ616*$BC616,2))</f>
        <v/>
      </c>
      <c r="BF616">
        <f>IF(OR($H616="",$J616=""),"",_xlfn.IFNA(VLOOKUP($J616,_CONFIG_Model_Settings!$D$610:$E$614,2,0),""))</f>
        <v/>
      </c>
      <c r="BG616">
        <f>IF(OR($H616="",$K616=""),"",ROUND('Company Profile'!$B$569*INDEX(_CONFIG_Model_Settings!$H$610:$H$614,MATCH($K616,_CONFIG_Model_Settings!$G$610:$G$614,0)),0))</f>
        <v/>
      </c>
      <c r="BH616">
        <f>IF(OR($BF616="",$BG616=""),"",ROUND($BF616*$BG616,1))</f>
        <v/>
      </c>
      <c r="BI616">
        <f>IF($BH616="","",IF($AO616="",$BH616,ROUND($BH616*$AO616,1)))</f>
        <v/>
      </c>
      <c r="BJ616">
        <f>IF($E616="","",IFERROR(VLOOKUP($C616,'_CONFIG_Risk_Calibration'!$A$5:$H$21,2,FALSE),3))</f>
        <v/>
      </c>
      <c r="BK616">
        <f>IF($E616="","",IFERROR(VLOOKUP($C616,'_CONFIG_Risk_Calibration'!$A$5:$H$21,3,FALSE),0))</f>
        <v/>
      </c>
      <c r="BL616">
        <f>IF($E616="","",IFERROR(VLOOKUP($C616,'_CONFIG_Risk_Calibration'!$A$5:$H$21,4,FALSE),3))</f>
        <v/>
      </c>
      <c r="BM616">
        <f>IF($E616="","",IFERROR(VLOOKUP($C616,'_CONFIG_Risk_Calibration'!$A$5:$H$21,5,FALSE),3))</f>
        <v/>
      </c>
      <c r="BN616">
        <f>IF($E616="","",IFERROR(VLOOKUP($C616,'_CONFIG_Risk_Calibration'!$A$5:$H$21,6,FALSE),"No"))</f>
        <v/>
      </c>
      <c r="BO616">
        <f>IF($E616="","",IFERROR(VLOOKUP($C616,'_CONFIG_Risk_Calibration'!$A$5:$H$21,7,FALSE),1))</f>
        <v/>
      </c>
      <c r="BP616">
        <f>IF($H616="","",MAX(1,MIN(5,((6-$H616)*0.45)+($BJ616*0.20)+('Resilience &amp; Risk Scenario'!$B$7*0.15)+($BK616*0.10)+($BL616*0.05)+(IF($BB616="Fast",5,IF($BB616="Slow",1,3))*0.05))))</f>
        <v/>
      </c>
      <c r="BQ616">
        <f>IF($H616="","",MAX(IF($BN616="Yes",$BO616,1),MIN(5,($U616*0.20)+($V616*0.15)+($W616*0.25)+($X616*0.15)+($BJ616*0.10)+($BM616*0.15))))</f>
        <v/>
      </c>
      <c r="BR616">
        <f>IF(OR($BP616="",$BQ616=""),"",ROUND($BP616*$BQ616,2))</f>
        <v/>
      </c>
      <c r="BS616">
        <f>IF($BR616="","",ROUND($BR616*IF($AO616="",1,$AO616)*IF($AX616="",1,$AX616)*(1+(($BM616-3)*0.10))*IF($BC616="",1,$BC616),2))</f>
        <v/>
      </c>
    </row>
    <row r="617" ht="69.90000000000001" customHeight="1" s="209">
      <c r="A617">
        <f>IF($BD617="","",SUMPRODUCT(ISNUMBER($BD$500:$BD$923)*($BD$500:$BD$923&gt;$BD617))+COUNTIF($BD$500:$BD617,$BD617))</f>
        <v/>
      </c>
      <c r="B617">
        <f>IF($H617="","",IF($H617&lt;5,"Yes","Maintain"))</f>
        <v/>
      </c>
      <c r="C617" t="inlineStr">
        <is>
          <t>Finance Procurement</t>
        </is>
      </c>
      <c r="D617" t="inlineStr">
        <is>
          <t>Financial resilience</t>
        </is>
      </c>
      <c r="E617" t="inlineStr">
        <is>
          <t>FINA-026</t>
        </is>
      </c>
      <c r="F617" t="inlineStr">
        <is>
          <t>Financial flexibility and market risk</t>
        </is>
      </c>
      <c r="G617">
        <f>IF($H617="","",IFERROR(INDEX('_ENGINE_Risk'!$H$41:$M$920,MATCH($E617,'_ENGINE_Risk'!$A$41:$A$920,0),$H617+1),""))</f>
        <v/>
      </c>
      <c r="H617">
        <f>IFERROR(VALUE(INDEX(_DATA_Assessment_Model!$H$5:$H$884,MATCH($E617,_DATA_Assessment_Model!$A$5:$A$884,0))),"")</f>
        <v/>
      </c>
      <c r="I617">
        <f>IF($H617="","",IFERROR(INDEX(_DATA_Assessment_Model!$L$5:$L$884,MATCH($E617,_DATA_Assessment_Model!$A$5:$A$884,0)),IF($H617&lt;=1,"Critical",IF($H617=2,"High",IF($H617=3,"Medium",IF($H617=4,"Low","Resilient"))))))</f>
        <v/>
      </c>
      <c r="J617">
        <f>IF($H617="","",MIN(5,MAX(1,6-$H617)))</f>
        <v/>
      </c>
      <c r="K617">
        <f>IF($H617="","",MAX(1,MIN(5,ROUNDUP(($U617*0.45)+($W617*0.35)+($X617*0.2),0))))</f>
        <v/>
      </c>
      <c r="L617">
        <f>IF($H617="","",$J617*$K617)</f>
        <v/>
      </c>
      <c r="M617">
        <f>IF($H617="","",MAX(1,MIN(5,ROUNDUP($L617/5,0))))</f>
        <v/>
      </c>
      <c r="N617">
        <f>IF($H617="","",IFERROR(INDEX('_ENGINE_Risk'!$T$41:$Y$920,MATCH($E617,'_ENGINE_Risk'!$A$41:$A$920,0),$H617+1),""))</f>
        <v/>
      </c>
      <c r="O617">
        <f>IF($H617="","",MAX(1,MIN(5,($U617+$V617+$X617)/3)))</f>
        <v/>
      </c>
      <c r="P617">
        <f>IF($H617="","",IF($I617="Critical",5,IF($I617="High",4,IF($I617="Medium",3,IF($I617="Low",2,1)))))</f>
        <v/>
      </c>
      <c r="Q617">
        <f>IF($H617="","",MAX(1,MIN(5,((5-$H617)*0.65)+($W617*0.35))))</f>
        <v/>
      </c>
      <c r="R617">
        <f>IF($H617="","",MAX(1,MIN(5,($V617+$X617)/2)))</f>
        <v/>
      </c>
      <c r="S617">
        <f>IF(OR($H617="",$N617=""),"",ROUND(($O617+$P617+$Q617+$R617)/$N617,2))</f>
        <v/>
      </c>
      <c r="T617">
        <f>IF($H617="","",IFERROR(INDEX('_ENGINE_Risk'!$N$41:$S$920,MATCH($E617,'_ENGINE_Risk'!$A$41:$A$920,0),$H617+1),""))</f>
        <v/>
      </c>
      <c r="U617">
        <f>IFERROR(INDEX(_DATA_Assessment_Model!$G$5:$G$884,MATCH($E617,_DATA_Assessment_Model!$A$5:$A$884,0)),"")</f>
        <v/>
      </c>
      <c r="V617">
        <f>IFERROR(INDEX(_DATA_Assessment_Model!$W$5:$W$884,MATCH($E617,_DATA_Assessment_Model!$A$5:$A$884,0)),"")</f>
        <v/>
      </c>
      <c r="W617">
        <f>IFERROR(INDEX(_DATA_Assessment_Model!$X$5:$X$884,MATCH($E617,_DATA_Assessment_Model!$A$5:$A$884,0)),"")</f>
        <v/>
      </c>
      <c r="X617">
        <f>IFERROR(INDEX(_DATA_Assessment_Model!$Y$5:$Y$884,MATCH($E617,_DATA_Assessment_Model!$A$5:$A$884,0)),"")</f>
        <v/>
      </c>
      <c r="Y617" t="inlineStr">
        <is>
          <t>Financial/liquidity crisis; Demand shock</t>
        </is>
      </c>
      <c r="Z617" t="inlineStr">
        <is>
          <t>CFO</t>
        </is>
      </c>
      <c r="AA617" t="inlineStr">
        <is>
          <t>Policy/SOP; owner/RACI; system report; dashboard; contracts; test records; incident history; interview evidence related to cost structure flexibility with fixed-to-variable ratio visibility and cost reduction levers ranked by speed and impact</t>
        </is>
      </c>
      <c r="AB617">
        <f>IFERROR(INDEX(_DATA_Assessment_Model!$U$5:$U$884,MATCH($E617,_DATA_Assessment_Model!$A$5:$A$884,0)),"")</f>
        <v/>
      </c>
      <c r="AF617" t="inlineStr">
        <is>
          <t>How mature is the organization in managing cost structure flexibility with fixed-to-variable ratio visibility and cost reduction levers ranked by speed and impact, including ownership, evidence, metrics, fallback procedures and crisis stress testing?</t>
        </is>
      </c>
      <c r="AO617">
        <f>IF($B617="Yes",IFERROR(INDEX(_ENGINE_Crisis!$F$501:$F$517,MATCH($C617,_ENGINE_Crisis!$A$501:$A$517,0)),1),"")</f>
        <v/>
      </c>
      <c r="AP617">
        <f>IF(AO617="","",ROUND($L617*AO617,1))</f>
        <v/>
      </c>
      <c r="AQ617">
        <f>IF(OR(AO617="",$S617=""),"",ROUND($S617*(0.7+0.3*AO617),2))</f>
        <v/>
      </c>
      <c r="AR617">
        <f>IFERROR(INDEX(_ENGINE_Crisis!$E$41:$E$700,MATCH('Resilience &amp; Risk Scenario'!$B$60&amp;"|"&amp;$C617,_ENGINE_Crisis!$I$41:$I$700,0)),"")</f>
        <v/>
      </c>
      <c r="AS617">
        <f>IFERROR(INDEX(_ENGINE_Crisis!$G$41:$G$700,MATCH('Resilience &amp; Risk Scenario'!$B$60&amp;"|"&amp;$C617,_ENGINE_Crisis!$I$41:$I$700,0)),"")</f>
        <v/>
      </c>
      <c r="AT617">
        <f>IFERROR(INDEX(_ENGINE_Initiatives!$A$5:$A$532,MATCH(1,INDEX((_ENGINE_Initiatives!$B$5:$B$532=$C617)*(_ENGINE_Initiatives!$C$5:$C$532=$D617),0),0)),"")</f>
        <v/>
      </c>
      <c r="AU617">
        <f>IFERROR(INDEX(_ENGINE_Initiatives!$F$5:$F$532,MATCH(1,INDEX((_ENGINE_Initiatives!$B$5:$B$532=$C617)*(_ENGINE_Initiatives!$C$5:$C$532=$D617),0),0)),"")</f>
        <v/>
      </c>
      <c r="AV617">
        <f>IFERROR(INDEX(_ENGINE_Initiatives!$AC$5:$AC$532,MATCH(1,INDEX((_ENGINE_Initiatives!$B$5:$B$532=$C617)*(_ENGINE_Initiatives!$C$5:$C$532=$D617),0),0)),"")</f>
        <v/>
      </c>
      <c r="AW617">
        <f>IFERROR(INDEX(_ENGINE_Initiatives!$AE$5:$AE$532,MATCH(1,INDEX((_ENGINE_Initiatives!$B$5:$B$532=$C617)*(_ENGINE_Initiatives!$C$5:$C$532=$D617),0),0)),"")</f>
        <v/>
      </c>
      <c r="AX617">
        <f>IF($B617="Yes",IFERROR(IF(SUMIFS(_REF_Model_Content!$E$1:$E$613,_REF_Model_Content!$A$1:$A$613,'Company Profile'!$B$9,_REF_Model_Content!$B$1:$B$613,$C617)=0,1,SUMIFS(_REF_Model_Content!$E$1:$E$613,_REF_Model_Content!$A$1:$A$613,'Company Profile'!$B$9,_REF_Model_Content!$B$1:$B$613,$C617)),1),"")</f>
        <v/>
      </c>
      <c r="AY617">
        <f>IF($L617="","",ROUND(IF($AP617="",$L617,$AP617)*IF($AX617="",1,$AX617),2))</f>
        <v/>
      </c>
      <c r="AZ617">
        <f>IF($S617="","",ROUND(IF($AQ617="",$S617,$AQ617)*IF($AX617="",1,$AX617),2))</f>
        <v/>
      </c>
      <c r="BB617">
        <f>IF($H617="","",IFERROR(INDEX('_ENGINE_Risk'!$AE$41:$AE$920,MATCH($E617,'_ENGINE_Risk'!$A$41:$A$920,0)),"Medium"))</f>
        <v/>
      </c>
      <c r="BC617">
        <f>IF($BB617="","",IF($BB617="Fast",1.25,IF($BB617="Slow",0.85,1)))</f>
        <v/>
      </c>
      <c r="BD617">
        <f>IF(OR($AZ617="",$BC617=""),"",ROUND($AZ617*$BC617,2))</f>
        <v/>
      </c>
      <c r="BF617">
        <f>IF(OR($H617="",$J617=""),"",_xlfn.IFNA(VLOOKUP($J617,_CONFIG_Model_Settings!$D$610:$E$614,2,0),""))</f>
        <v/>
      </c>
      <c r="BG617">
        <f>IF(OR($H617="",$K617=""),"",ROUND('Company Profile'!$B$569*INDEX(_CONFIG_Model_Settings!$H$610:$H$614,MATCH($K617,_CONFIG_Model_Settings!$G$610:$G$614,0)),0))</f>
        <v/>
      </c>
      <c r="BH617">
        <f>IF(OR($BF617="",$BG617=""),"",ROUND($BF617*$BG617,1))</f>
        <v/>
      </c>
      <c r="BI617">
        <f>IF($BH617="","",IF($AO617="",$BH617,ROUND($BH617*$AO617,1)))</f>
        <v/>
      </c>
      <c r="BJ617">
        <f>IF($E617="","",IFERROR(VLOOKUP($C617,'_CONFIG_Risk_Calibration'!$A$5:$H$21,2,FALSE),3))</f>
        <v/>
      </c>
      <c r="BK617">
        <f>IF($E617="","",IFERROR(VLOOKUP($C617,'_CONFIG_Risk_Calibration'!$A$5:$H$21,3,FALSE),0))</f>
        <v/>
      </c>
      <c r="BL617">
        <f>IF($E617="","",IFERROR(VLOOKUP($C617,'_CONFIG_Risk_Calibration'!$A$5:$H$21,4,FALSE),3))</f>
        <v/>
      </c>
      <c r="BM617">
        <f>IF($E617="","",IFERROR(VLOOKUP($C617,'_CONFIG_Risk_Calibration'!$A$5:$H$21,5,FALSE),3))</f>
        <v/>
      </c>
      <c r="BN617">
        <f>IF($E617="","",IFERROR(VLOOKUP($C617,'_CONFIG_Risk_Calibration'!$A$5:$H$21,6,FALSE),"No"))</f>
        <v/>
      </c>
      <c r="BO617">
        <f>IF($E617="","",IFERROR(VLOOKUP($C617,'_CONFIG_Risk_Calibration'!$A$5:$H$21,7,FALSE),1))</f>
        <v/>
      </c>
      <c r="BP617">
        <f>IF($H617="","",MAX(1,MIN(5,((6-$H617)*0.45)+($BJ617*0.20)+('Resilience &amp; Risk Scenario'!$B$7*0.15)+($BK617*0.10)+($BL617*0.05)+(IF($BB617="Fast",5,IF($BB617="Slow",1,3))*0.05))))</f>
        <v/>
      </c>
      <c r="BQ617">
        <f>IF($H617="","",MAX(IF($BN617="Yes",$BO617,1),MIN(5,($U617*0.20)+($V617*0.15)+($W617*0.25)+($X617*0.15)+($BJ617*0.10)+($BM617*0.15))))</f>
        <v/>
      </c>
      <c r="BR617">
        <f>IF(OR($BP617="",$BQ617=""),"",ROUND($BP617*$BQ617,2))</f>
        <v/>
      </c>
      <c r="BS617">
        <f>IF($BR617="","",ROUND($BR617*IF($AO617="",1,$AO617)*IF($AX617="",1,$AX617)*(1+(($BM617-3)*0.10))*IF($BC617="",1,$BC617),2))</f>
        <v/>
      </c>
    </row>
    <row r="618" ht="69.90000000000001" customHeight="1" s="209">
      <c r="A618">
        <f>IF($BD618="","",SUMPRODUCT(ISNUMBER($BD$500:$BD$923)*($BD$500:$BD$923&gt;$BD618))+COUNTIF($BD$500:$BD618,$BD618))</f>
        <v/>
      </c>
      <c r="B618">
        <f>IF($H618="","",IF($H618&lt;5,"Yes","Maintain"))</f>
        <v/>
      </c>
      <c r="C618" t="inlineStr">
        <is>
          <t>Finance Procurement</t>
        </is>
      </c>
      <c r="D618" t="inlineStr">
        <is>
          <t>Working capital</t>
        </is>
      </c>
      <c r="E618" t="inlineStr">
        <is>
          <t>FINA-027</t>
        </is>
      </c>
      <c r="F618" t="inlineStr">
        <is>
          <t>Financial flexibility and market risk</t>
        </is>
      </c>
      <c r="G618">
        <f>IF($H618="","",IFERROR(INDEX('_ENGINE_Risk'!$H$41:$M$920,MATCH($E618,'_ENGINE_Risk'!$A$41:$A$920,0),$H618+1),""))</f>
        <v/>
      </c>
      <c r="H618">
        <f>IFERROR(VALUE(INDEX(_DATA_Assessment_Model!$H$5:$H$884,MATCH($E618,_DATA_Assessment_Model!$A$5:$A$884,0))),"")</f>
        <v/>
      </c>
      <c r="I618">
        <f>IF($H618="","",IFERROR(INDEX(_DATA_Assessment_Model!$L$5:$L$884,MATCH($E618,_DATA_Assessment_Model!$A$5:$A$884,0)),IF($H618&lt;=1,"Critical",IF($H618=2,"High",IF($H618=3,"Medium",IF($H618=4,"Low","Resilient"))))))</f>
        <v/>
      </c>
      <c r="J618">
        <f>IF($H618="","",MIN(5,MAX(1,6-$H618)))</f>
        <v/>
      </c>
      <c r="K618">
        <f>IF($H618="","",MAX(1,MIN(5,ROUNDUP(($U618*0.45)+($W618*0.35)+($X618*0.2),0))))</f>
        <v/>
      </c>
      <c r="L618">
        <f>IF($H618="","",$J618*$K618)</f>
        <v/>
      </c>
      <c r="M618">
        <f>IF($H618="","",MAX(1,MIN(5,ROUNDUP($L618/5,0))))</f>
        <v/>
      </c>
      <c r="N618">
        <f>IF($H618="","",IFERROR(INDEX('_ENGINE_Risk'!$T$41:$Y$920,MATCH($E618,'_ENGINE_Risk'!$A$41:$A$920,0),$H618+1),""))</f>
        <v/>
      </c>
      <c r="O618">
        <f>IF($H618="","",MAX(1,MIN(5,($U618+$V618+$X618)/3)))</f>
        <v/>
      </c>
      <c r="P618">
        <f>IF($H618="","",IF($I618="Critical",5,IF($I618="High",4,IF($I618="Medium",3,IF($I618="Low",2,1)))))</f>
        <v/>
      </c>
      <c r="Q618">
        <f>IF($H618="","",MAX(1,MIN(5,((5-$H618)*0.65)+($W618*0.35))))</f>
        <v/>
      </c>
      <c r="R618">
        <f>IF($H618="","",MAX(1,MIN(5,($V618+$X618)/2)))</f>
        <v/>
      </c>
      <c r="S618">
        <f>IF(OR($H618="",$N618=""),"",ROUND(($O618+$P618+$Q618+$R618)/$N618,2))</f>
        <v/>
      </c>
      <c r="T618">
        <f>IF($H618="","",IFERROR(INDEX('_ENGINE_Risk'!$N$41:$S$920,MATCH($E618,'_ENGINE_Risk'!$A$41:$A$920,0),$H618+1),""))</f>
        <v/>
      </c>
      <c r="U618">
        <f>IFERROR(INDEX(_DATA_Assessment_Model!$G$5:$G$884,MATCH($E618,_DATA_Assessment_Model!$A$5:$A$884,0)),"")</f>
        <v/>
      </c>
      <c r="V618">
        <f>IFERROR(INDEX(_DATA_Assessment_Model!$W$5:$W$884,MATCH($E618,_DATA_Assessment_Model!$A$5:$A$884,0)),"")</f>
        <v/>
      </c>
      <c r="W618">
        <f>IFERROR(INDEX(_DATA_Assessment_Model!$X$5:$X$884,MATCH($E618,_DATA_Assessment_Model!$A$5:$A$884,0)),"")</f>
        <v/>
      </c>
      <c r="X618">
        <f>IFERROR(INDEX(_DATA_Assessment_Model!$Y$5:$Y$884,MATCH($E618,_DATA_Assessment_Model!$A$5:$A$884,0)),"")</f>
        <v/>
      </c>
      <c r="Y618" t="inlineStr">
        <is>
          <t>Financial/liquidity crisis; Key customer loss</t>
        </is>
      </c>
      <c r="Z618" t="inlineStr">
        <is>
          <t>CFO / Sales</t>
        </is>
      </c>
      <c r="AA618" t="inlineStr">
        <is>
          <t>Policy/SOP; owner/RACI; system report; dashboard; contracts; test records; incident history; interview evidence related to customer credit risk assessment with credit checks, limits and payment terms control before contracting</t>
        </is>
      </c>
      <c r="AB618">
        <f>IFERROR(INDEX(_DATA_Assessment_Model!$U$5:$U$884,MATCH($E618,_DATA_Assessment_Model!$A$5:$A$884,0)),"")</f>
        <v/>
      </c>
      <c r="AF618" t="inlineStr">
        <is>
          <t>How mature is the organization in managing customer credit risk assessment with credit checks, limits and payment terms control before contracting, including ownership, evidence, metrics, fallback procedures and crisis stress testing?</t>
        </is>
      </c>
      <c r="AO618">
        <f>IF($B618="Yes",IFERROR(INDEX(_ENGINE_Crisis!$F$501:$F$517,MATCH($C618,_ENGINE_Crisis!$A$501:$A$517,0)),1),"")</f>
        <v/>
      </c>
      <c r="AP618">
        <f>IF(AO618="","",ROUND($L618*AO618,1))</f>
        <v/>
      </c>
      <c r="AQ618">
        <f>IF(OR(AO618="",$S618=""),"",ROUND($S618*(0.7+0.3*AO618),2))</f>
        <v/>
      </c>
      <c r="AR618">
        <f>IFERROR(INDEX(_ENGINE_Crisis!$E$41:$E$700,MATCH('Resilience &amp; Risk Scenario'!$B$60&amp;"|"&amp;$C618,_ENGINE_Crisis!$I$41:$I$700,0)),"")</f>
        <v/>
      </c>
      <c r="AS618">
        <f>IFERROR(INDEX(_ENGINE_Crisis!$G$41:$G$700,MATCH('Resilience &amp; Risk Scenario'!$B$60&amp;"|"&amp;$C618,_ENGINE_Crisis!$I$41:$I$700,0)),"")</f>
        <v/>
      </c>
      <c r="AT618">
        <f>IFERROR(INDEX(_ENGINE_Initiatives!$A$5:$A$532,MATCH(1,INDEX((_ENGINE_Initiatives!$B$5:$B$532=$C618)*(_ENGINE_Initiatives!$C$5:$C$532=$D618),0),0)),"")</f>
        <v/>
      </c>
      <c r="AU618">
        <f>IFERROR(INDEX(_ENGINE_Initiatives!$F$5:$F$532,MATCH(1,INDEX((_ENGINE_Initiatives!$B$5:$B$532=$C618)*(_ENGINE_Initiatives!$C$5:$C$532=$D618),0),0)),"")</f>
        <v/>
      </c>
      <c r="AV618">
        <f>IFERROR(INDEX(_ENGINE_Initiatives!$AC$5:$AC$532,MATCH(1,INDEX((_ENGINE_Initiatives!$B$5:$B$532=$C618)*(_ENGINE_Initiatives!$C$5:$C$532=$D618),0),0)),"")</f>
        <v/>
      </c>
      <c r="AW618">
        <f>IFERROR(INDEX(_ENGINE_Initiatives!$AE$5:$AE$532,MATCH(1,INDEX((_ENGINE_Initiatives!$B$5:$B$532=$C618)*(_ENGINE_Initiatives!$C$5:$C$532=$D618),0),0)),"")</f>
        <v/>
      </c>
      <c r="AX618">
        <f>IF($B618="Yes",IFERROR(IF(SUMIFS(_REF_Model_Content!$E$1:$E$613,_REF_Model_Content!$A$1:$A$613,'Company Profile'!$B$9,_REF_Model_Content!$B$1:$B$613,$C618)=0,1,SUMIFS(_REF_Model_Content!$E$1:$E$613,_REF_Model_Content!$A$1:$A$613,'Company Profile'!$B$9,_REF_Model_Content!$B$1:$B$613,$C618)),1),"")</f>
        <v/>
      </c>
      <c r="AY618">
        <f>IF($L618="","",ROUND(IF($AP618="",$L618,$AP618)*IF($AX618="",1,$AX618),2))</f>
        <v/>
      </c>
      <c r="AZ618">
        <f>IF($S618="","",ROUND(IF($AQ618="",$S618,$AQ618)*IF($AX618="",1,$AX618),2))</f>
        <v/>
      </c>
      <c r="BB618">
        <f>IF($H618="","",IFERROR(INDEX('_ENGINE_Risk'!$AE$41:$AE$920,MATCH($E618,'_ENGINE_Risk'!$A$41:$A$920,0)),"Medium"))</f>
        <v/>
      </c>
      <c r="BC618">
        <f>IF($BB618="","",IF($BB618="Fast",1.25,IF($BB618="Slow",0.85,1)))</f>
        <v/>
      </c>
      <c r="BD618">
        <f>IF(OR($AZ618="",$BC618=""),"",ROUND($AZ618*$BC618,2))</f>
        <v/>
      </c>
      <c r="BF618">
        <f>IF(OR($H618="",$J618=""),"",_xlfn.IFNA(VLOOKUP($J618,_CONFIG_Model_Settings!$D$610:$E$614,2,0),""))</f>
        <v/>
      </c>
      <c r="BG618">
        <f>IF(OR($H618="",$K618=""),"",ROUND('Company Profile'!$B$569*INDEX(_CONFIG_Model_Settings!$H$610:$H$614,MATCH($K618,_CONFIG_Model_Settings!$G$610:$G$614,0)),0))</f>
        <v/>
      </c>
      <c r="BH618">
        <f>IF(OR($BF618="",$BG618=""),"",ROUND($BF618*$BG618,1))</f>
        <v/>
      </c>
      <c r="BI618">
        <f>IF($BH618="","",IF($AO618="",$BH618,ROUND($BH618*$AO618,1)))</f>
        <v/>
      </c>
      <c r="BJ618">
        <f>IF($E618="","",IFERROR(VLOOKUP($C618,'_CONFIG_Risk_Calibration'!$A$5:$H$21,2,FALSE),3))</f>
        <v/>
      </c>
      <c r="BK618">
        <f>IF($E618="","",IFERROR(VLOOKUP($C618,'_CONFIG_Risk_Calibration'!$A$5:$H$21,3,FALSE),0))</f>
        <v/>
      </c>
      <c r="BL618">
        <f>IF($E618="","",IFERROR(VLOOKUP($C618,'_CONFIG_Risk_Calibration'!$A$5:$H$21,4,FALSE),3))</f>
        <v/>
      </c>
      <c r="BM618">
        <f>IF($E618="","",IFERROR(VLOOKUP($C618,'_CONFIG_Risk_Calibration'!$A$5:$H$21,5,FALSE),3))</f>
        <v/>
      </c>
      <c r="BN618">
        <f>IF($E618="","",IFERROR(VLOOKUP($C618,'_CONFIG_Risk_Calibration'!$A$5:$H$21,6,FALSE),"No"))</f>
        <v/>
      </c>
      <c r="BO618">
        <f>IF($E618="","",IFERROR(VLOOKUP($C618,'_CONFIG_Risk_Calibration'!$A$5:$H$21,7,FALSE),1))</f>
        <v/>
      </c>
      <c r="BP618">
        <f>IF($H618="","",MAX(1,MIN(5,((6-$H618)*0.45)+($BJ618*0.20)+('Resilience &amp; Risk Scenario'!$B$7*0.15)+($BK618*0.10)+($BL618*0.05)+(IF($BB618="Fast",5,IF($BB618="Slow",1,3))*0.05))))</f>
        <v/>
      </c>
      <c r="BQ618">
        <f>IF($H618="","",MAX(IF($BN618="Yes",$BO618,1),MIN(5,($U618*0.20)+($V618*0.15)+($W618*0.25)+($X618*0.15)+($BJ618*0.10)+($BM618*0.15))))</f>
        <v/>
      </c>
      <c r="BR618">
        <f>IF(OR($BP618="",$BQ618=""),"",ROUND($BP618*$BQ618,2))</f>
        <v/>
      </c>
      <c r="BS618">
        <f>IF($BR618="","",ROUND($BR618*IF($AO618="",1,$AO618)*IF($AX618="",1,$AX618)*(1+(($BM618-3)*0.10))*IF($BC618="",1,$BC618),2))</f>
        <v/>
      </c>
    </row>
    <row r="619" ht="69.90000000000001" customHeight="1" s="209">
      <c r="A619">
        <f>IF($BD619="","",SUMPRODUCT(ISNUMBER($BD$500:$BD$923)*($BD$500:$BD$923&gt;$BD619))+COUNTIF($BD$500:$BD619,$BD619))</f>
        <v/>
      </c>
      <c r="B619">
        <f>IF($H619="","",IF($H619&lt;5,"Yes","Maintain"))</f>
        <v/>
      </c>
      <c r="C619" t="inlineStr">
        <is>
          <t>Legal Risk</t>
        </is>
      </c>
      <c r="D619" t="inlineStr">
        <is>
          <t>Compliance</t>
        </is>
      </c>
      <c r="E619" t="inlineStr">
        <is>
          <t>LEGA-001</t>
        </is>
      </c>
      <c r="F619" t="inlineStr">
        <is>
          <t>Legal, compliance and contractual exposure</t>
        </is>
      </c>
      <c r="G619">
        <f>IF($H619="","",IFERROR(INDEX('_ENGINE_Risk'!$H$41:$M$920,MATCH($E619,'_ENGINE_Risk'!$A$41:$A$920,0),$H619+1),""))</f>
        <v/>
      </c>
      <c r="H619">
        <f>IFERROR(VALUE(INDEX(_DATA_Assessment_Model!$H$5:$H$884,MATCH($E619,_DATA_Assessment_Model!$A$5:$A$884,0))),"")</f>
        <v/>
      </c>
      <c r="I619">
        <f>IF($H619="","",IFERROR(INDEX(_DATA_Assessment_Model!$L$5:$L$884,MATCH($E619,_DATA_Assessment_Model!$A$5:$A$884,0)),IF($H619&lt;=1,"Critical",IF($H619=2,"High",IF($H619=3,"Medium",IF($H619=4,"Low","Resilient"))))))</f>
        <v/>
      </c>
      <c r="J619">
        <f>IF($H619="","",MIN(5,MAX(1,6-$H619)))</f>
        <v/>
      </c>
      <c r="K619">
        <f>IF($H619="","",MAX(1,MIN(5,ROUNDUP(($U619*0.45)+($W619*0.35)+($X619*0.2),0))))</f>
        <v/>
      </c>
      <c r="L619">
        <f>IF($H619="","",$J619*$K619)</f>
        <v/>
      </c>
      <c r="M619">
        <f>IF($H619="","",MAX(1,MIN(5,ROUNDUP($L619/5,0))))</f>
        <v/>
      </c>
      <c r="N619">
        <f>IF($H619="","",IFERROR(INDEX('_ENGINE_Risk'!$T$41:$Y$920,MATCH($E619,'_ENGINE_Risk'!$A$41:$A$920,0),$H619+1),""))</f>
        <v/>
      </c>
      <c r="O619">
        <f>IF($H619="","",MAX(1,MIN(5,($U619+$V619+$X619)/3)))</f>
        <v/>
      </c>
      <c r="P619">
        <f>IF($H619="","",IF($I619="Critical",5,IF($I619="High",4,IF($I619="Medium",3,IF($I619="Low",2,1)))))</f>
        <v/>
      </c>
      <c r="Q619">
        <f>IF($H619="","",MAX(1,MIN(5,((5-$H619)*0.65)+($W619*0.35))))</f>
        <v/>
      </c>
      <c r="R619">
        <f>IF($H619="","",MAX(1,MIN(5,($V619+$X619)/2)))</f>
        <v/>
      </c>
      <c r="S619">
        <f>IF(OR($H619="",$N619=""),"",ROUND(($O619+$P619+$Q619+$R619)/$N619,2))</f>
        <v/>
      </c>
      <c r="T619">
        <f>IF($H619="","",IFERROR(INDEX('_ENGINE_Risk'!$N$41:$S$920,MATCH($E619,'_ENGINE_Risk'!$A$41:$A$920,0),$H619+1),""))</f>
        <v/>
      </c>
      <c r="U619">
        <f>IFERROR(INDEX(_DATA_Assessment_Model!$G$5:$G$884,MATCH($E619,_DATA_Assessment_Model!$A$5:$A$884,0)),"")</f>
        <v/>
      </c>
      <c r="V619">
        <f>IFERROR(INDEX(_DATA_Assessment_Model!$W$5:$W$884,MATCH($E619,_DATA_Assessment_Model!$A$5:$A$884,0)),"")</f>
        <v/>
      </c>
      <c r="W619">
        <f>IFERROR(INDEX(_DATA_Assessment_Model!$X$5:$X$884,MATCH($E619,_DATA_Assessment_Model!$A$5:$A$884,0)),"")</f>
        <v/>
      </c>
      <c r="X619">
        <f>IFERROR(INDEX(_DATA_Assessment_Model!$Y$5:$Y$884,MATCH($E619,_DATA_Assessment_Model!$A$5:$A$884,0)),"")</f>
        <v/>
      </c>
      <c r="Y619" t="inlineStr">
        <is>
          <t>Regulatory/legal shock; Contractual exposure; Data breach</t>
        </is>
      </c>
      <c r="Z619" t="inlineStr">
        <is>
          <t>Legal / Compliance</t>
        </is>
      </c>
      <c r="AA619" t="inlineStr">
        <is>
          <t>Policy/SOP; owner/RACI; system report; dashboard; contracts; test records; incident history; interview evidence related to compliance obligations register by jurisdiction, license, customer, industry and function.</t>
        </is>
      </c>
      <c r="AB619">
        <f>IFERROR(INDEX(_DATA_Assessment_Model!$U$5:$U$884,MATCH($E619,_DATA_Assessment_Model!$A$5:$A$884,0)),"")</f>
        <v/>
      </c>
      <c r="AF619" t="inlineStr">
        <is>
          <t>How mature is the organization in managing compliance obligations register by jurisdiction, license, customer, industry and function, including ownership, evidence, metrics, fallback procedures and crisis stress testing?</t>
        </is>
      </c>
      <c r="AO619">
        <f>IF($B619="Yes",IFERROR(INDEX(_ENGINE_Crisis!$F$501:$F$517,MATCH($C619,_ENGINE_Crisis!$A$501:$A$517,0)),1),"")</f>
        <v/>
      </c>
      <c r="AP619">
        <f>IF(AO619="","",ROUND($L619*AO619,1))</f>
        <v/>
      </c>
      <c r="AQ619">
        <f>IF(OR(AO619="",$S619=""),"",ROUND($S619*(0.7+0.3*AO619),2))</f>
        <v/>
      </c>
      <c r="AR619">
        <f>IFERROR(INDEX(_ENGINE_Crisis!$E$41:$E$700,MATCH('Resilience &amp; Risk Scenario'!$B$60&amp;"|"&amp;$C619,_ENGINE_Crisis!$I$41:$I$700,0)),"")</f>
        <v/>
      </c>
      <c r="AS619">
        <f>IFERROR(INDEX(_ENGINE_Crisis!$G$41:$G$700,MATCH('Resilience &amp; Risk Scenario'!$B$60&amp;"|"&amp;$C619,_ENGINE_Crisis!$I$41:$I$700,0)),"")</f>
        <v/>
      </c>
      <c r="AT619">
        <f>IFERROR(INDEX(_ENGINE_Initiatives!$A$5:$A$532,MATCH(1,INDEX((_ENGINE_Initiatives!$B$5:$B$532=$C619)*(_ENGINE_Initiatives!$C$5:$C$532=$D619),0),0)),"")</f>
        <v/>
      </c>
      <c r="AU619">
        <f>IFERROR(INDEX(_ENGINE_Initiatives!$F$5:$F$532,MATCH(1,INDEX((_ENGINE_Initiatives!$B$5:$B$532=$C619)*(_ENGINE_Initiatives!$C$5:$C$532=$D619),0),0)),"")</f>
        <v/>
      </c>
      <c r="AV619">
        <f>IFERROR(INDEX(_ENGINE_Initiatives!$AC$5:$AC$532,MATCH(1,INDEX((_ENGINE_Initiatives!$B$5:$B$532=$C619)*(_ENGINE_Initiatives!$C$5:$C$532=$D619),0),0)),"")</f>
        <v/>
      </c>
      <c r="AW619">
        <f>IFERROR(INDEX(_ENGINE_Initiatives!$AE$5:$AE$532,MATCH(1,INDEX((_ENGINE_Initiatives!$B$5:$B$532=$C619)*(_ENGINE_Initiatives!$C$5:$C$532=$D619),0),0)),"")</f>
        <v/>
      </c>
      <c r="AX619">
        <f>IF($B619="Yes",IFERROR(IF(SUMIFS(_REF_Model_Content!$E$1:$E$613,_REF_Model_Content!$A$1:$A$613,'Company Profile'!$B$9,_REF_Model_Content!$B$1:$B$613,$C619)=0,1,SUMIFS(_REF_Model_Content!$E$1:$E$613,_REF_Model_Content!$A$1:$A$613,'Company Profile'!$B$9,_REF_Model_Content!$B$1:$B$613,$C619)),1),"")</f>
        <v/>
      </c>
      <c r="AY619">
        <f>IF($L619="","",ROUND(IF($AP619="",$L619,$AP619)*IF($AX619="",1,$AX619),2))</f>
        <v/>
      </c>
      <c r="AZ619">
        <f>IF($S619="","",ROUND(IF($AQ619="",$S619,$AQ619)*IF($AX619="",1,$AX619),2))</f>
        <v/>
      </c>
      <c r="BB619">
        <f>IF($H619="","",IFERROR(INDEX('_ENGINE_Risk'!$AE$41:$AE$920,MATCH($E619,'_ENGINE_Risk'!$A$41:$A$920,0)),"Medium"))</f>
        <v/>
      </c>
      <c r="BC619">
        <f>IF($BB619="","",IF($BB619="Fast",1.25,IF($BB619="Slow",0.85,1)))</f>
        <v/>
      </c>
      <c r="BD619">
        <f>IF(OR($AZ619="",$BC619=""),"",ROUND($AZ619*$BC619,2))</f>
        <v/>
      </c>
      <c r="BF619">
        <f>IF(OR($H619="",$J619=""),"",_xlfn.IFNA(VLOOKUP($J619,_CONFIG_Model_Settings!$D$610:$E$614,2,0),""))</f>
        <v/>
      </c>
      <c r="BG619">
        <f>IF(OR($H619="",$K619=""),"",ROUND('Company Profile'!$B$569*INDEX(_CONFIG_Model_Settings!$H$610:$H$614,MATCH($K619,_CONFIG_Model_Settings!$G$610:$G$614,0)),0))</f>
        <v/>
      </c>
      <c r="BH619">
        <f>IF(OR($BF619="",$BG619=""),"",ROUND($BF619*$BG619,1))</f>
        <v/>
      </c>
      <c r="BI619">
        <f>IF($BH619="","",IF($AO619="",$BH619,ROUND($BH619*$AO619,1)))</f>
        <v/>
      </c>
      <c r="BJ619">
        <f>IF($E619="","",IFERROR(VLOOKUP($C619,'_CONFIG_Risk_Calibration'!$A$5:$H$21,2,FALSE),3))</f>
        <v/>
      </c>
      <c r="BK619">
        <f>IF($E619="","",IFERROR(VLOOKUP($C619,'_CONFIG_Risk_Calibration'!$A$5:$H$21,3,FALSE),0))</f>
        <v/>
      </c>
      <c r="BL619">
        <f>IF($E619="","",IFERROR(VLOOKUP($C619,'_CONFIG_Risk_Calibration'!$A$5:$H$21,4,FALSE),3))</f>
        <v/>
      </c>
      <c r="BM619">
        <f>IF($E619="","",IFERROR(VLOOKUP($C619,'_CONFIG_Risk_Calibration'!$A$5:$H$21,5,FALSE),3))</f>
        <v/>
      </c>
      <c r="BN619">
        <f>IF($E619="","",IFERROR(VLOOKUP($C619,'_CONFIG_Risk_Calibration'!$A$5:$H$21,6,FALSE),"No"))</f>
        <v/>
      </c>
      <c r="BO619">
        <f>IF($E619="","",IFERROR(VLOOKUP($C619,'_CONFIG_Risk_Calibration'!$A$5:$H$21,7,FALSE),1))</f>
        <v/>
      </c>
      <c r="BP619">
        <f>IF($H619="","",MAX(1,MIN(5,((6-$H619)*0.45)+($BJ619*0.20)+('Resilience &amp; Risk Scenario'!$B$7*0.15)+($BK619*0.10)+($BL619*0.05)+(IF($BB619="Fast",5,IF($BB619="Slow",1,3))*0.05))))</f>
        <v/>
      </c>
      <c r="BQ619">
        <f>IF($H619="","",MAX(IF($BN619="Yes",$BO619,1),MIN(5,($U619*0.20)+($V619*0.15)+($W619*0.25)+($X619*0.15)+($BJ619*0.10)+($BM619*0.15))))</f>
        <v/>
      </c>
      <c r="BR619">
        <f>IF(OR($BP619="",$BQ619=""),"",ROUND($BP619*$BQ619,2))</f>
        <v/>
      </c>
      <c r="BS619">
        <f>IF($BR619="","",ROUND($BR619*IF($AO619="",1,$AO619)*IF($AX619="",1,$AX619)*(1+(($BM619-3)*0.10))*IF($BC619="",1,$BC619),2))</f>
        <v/>
      </c>
    </row>
    <row r="620" ht="69.90000000000001" customHeight="1" s="209">
      <c r="A620">
        <f>IF($BD620="","",SUMPRODUCT(ISNUMBER($BD$500:$BD$923)*($BD$500:$BD$923&gt;$BD620))+COUNTIF($BD$500:$BD620,$BD620))</f>
        <v/>
      </c>
      <c r="B620">
        <f>IF($H620="","",IF($H620&lt;5,"Yes","Maintain"))</f>
        <v/>
      </c>
      <c r="C620" t="inlineStr">
        <is>
          <t>Legal Risk</t>
        </is>
      </c>
      <c r="D620" t="inlineStr">
        <is>
          <t>Compliance</t>
        </is>
      </c>
      <c r="E620" t="inlineStr">
        <is>
          <t>LEGA-002</t>
        </is>
      </c>
      <c r="F620" t="inlineStr">
        <is>
          <t>Legal, compliance and contractual exposure</t>
        </is>
      </c>
      <c r="G620">
        <f>IF($H620="","",IFERROR(INDEX('_ENGINE_Risk'!$H$41:$M$920,MATCH($E620,'_ENGINE_Risk'!$A$41:$A$920,0),$H620+1),""))</f>
        <v/>
      </c>
      <c r="H620">
        <f>IFERROR(VALUE(INDEX(_DATA_Assessment_Model!$H$5:$H$884,MATCH($E620,_DATA_Assessment_Model!$A$5:$A$884,0))),"")</f>
        <v/>
      </c>
      <c r="I620">
        <f>IF($H620="","",IFERROR(INDEX(_DATA_Assessment_Model!$L$5:$L$884,MATCH($E620,_DATA_Assessment_Model!$A$5:$A$884,0)),IF($H620&lt;=1,"Critical",IF($H620=2,"High",IF($H620=3,"Medium",IF($H620=4,"Low","Resilient"))))))</f>
        <v/>
      </c>
      <c r="J620">
        <f>IF($H620="","",MIN(5,MAX(1,6-$H620)))</f>
        <v/>
      </c>
      <c r="K620">
        <f>IF($H620="","",MAX(1,MIN(5,ROUNDUP(($U620*0.45)+($W620*0.35)+($X620*0.2),0))))</f>
        <v/>
      </c>
      <c r="L620">
        <f>IF($H620="","",$J620*$K620)</f>
        <v/>
      </c>
      <c r="M620">
        <f>IF($H620="","",MAX(1,MIN(5,ROUNDUP($L620/5,0))))</f>
        <v/>
      </c>
      <c r="N620">
        <f>IF($H620="","",IFERROR(INDEX('_ENGINE_Risk'!$T$41:$Y$920,MATCH($E620,'_ENGINE_Risk'!$A$41:$A$920,0),$H620+1),""))</f>
        <v/>
      </c>
      <c r="O620">
        <f>IF($H620="","",MAX(1,MIN(5,($U620+$V620+$X620)/3)))</f>
        <v/>
      </c>
      <c r="P620">
        <f>IF($H620="","",IF($I620="Critical",5,IF($I620="High",4,IF($I620="Medium",3,IF($I620="Low",2,1)))))</f>
        <v/>
      </c>
      <c r="Q620">
        <f>IF($H620="","",MAX(1,MIN(5,((5-$H620)*0.65)+($W620*0.35))))</f>
        <v/>
      </c>
      <c r="R620">
        <f>IF($H620="","",MAX(1,MIN(5,($V620+$X620)/2)))</f>
        <v/>
      </c>
      <c r="S620">
        <f>IF(OR($H620="",$N620=""),"",ROUND(($O620+$P620+$Q620+$R620)/$N620,2))</f>
        <v/>
      </c>
      <c r="T620">
        <f>IF($H620="","",IFERROR(INDEX('_ENGINE_Risk'!$N$41:$S$920,MATCH($E620,'_ENGINE_Risk'!$A$41:$A$920,0),$H620+1),""))</f>
        <v/>
      </c>
      <c r="U620">
        <f>IFERROR(INDEX(_DATA_Assessment_Model!$G$5:$G$884,MATCH($E620,_DATA_Assessment_Model!$A$5:$A$884,0)),"")</f>
        <v/>
      </c>
      <c r="V620">
        <f>IFERROR(INDEX(_DATA_Assessment_Model!$W$5:$W$884,MATCH($E620,_DATA_Assessment_Model!$A$5:$A$884,0)),"")</f>
        <v/>
      </c>
      <c r="W620">
        <f>IFERROR(INDEX(_DATA_Assessment_Model!$X$5:$X$884,MATCH($E620,_DATA_Assessment_Model!$A$5:$A$884,0)),"")</f>
        <v/>
      </c>
      <c r="X620">
        <f>IFERROR(INDEX(_DATA_Assessment_Model!$Y$5:$Y$884,MATCH($E620,_DATA_Assessment_Model!$A$5:$A$884,0)),"")</f>
        <v/>
      </c>
      <c r="Y620" t="inlineStr">
        <is>
          <t>Regulatory/legal shock; Contractual exposure; Data breach</t>
        </is>
      </c>
      <c r="Z620" t="inlineStr">
        <is>
          <t>Legal / Compliance</t>
        </is>
      </c>
      <c r="AA620" t="inlineStr">
        <is>
          <t>Policy/SOP; owner/RACI; system report; dashboard; contracts; test records; incident history; interview evidence related to regulatory reporting calendar and emergency reporting triggers for cyber, safety, finance, environment and privacy.</t>
        </is>
      </c>
      <c r="AB620">
        <f>IFERROR(INDEX(_DATA_Assessment_Model!$U$5:$U$884,MATCH($E620,_DATA_Assessment_Model!$A$5:$A$884,0)),"")</f>
        <v/>
      </c>
      <c r="AF620" t="inlineStr">
        <is>
          <t>How mature is the organization in managing regulatory reporting calendar and emergency reporting triggers for cyber, safety, finance, environment and privacy, including ownership, evidence, metrics, fallback procedures and crisis stress testing?</t>
        </is>
      </c>
      <c r="AO620">
        <f>IF($B620="Yes",IFERROR(INDEX(_ENGINE_Crisis!$F$501:$F$517,MATCH($C620,_ENGINE_Crisis!$A$501:$A$517,0)),1),"")</f>
        <v/>
      </c>
      <c r="AP620">
        <f>IF(AO620="","",ROUND($L620*AO620,1))</f>
        <v/>
      </c>
      <c r="AQ620">
        <f>IF(OR(AO620="",$S620=""),"",ROUND($S620*(0.7+0.3*AO620),2))</f>
        <v/>
      </c>
      <c r="AR620">
        <f>IFERROR(INDEX(_ENGINE_Crisis!$E$41:$E$700,MATCH('Resilience &amp; Risk Scenario'!$B$60&amp;"|"&amp;$C620,_ENGINE_Crisis!$I$41:$I$700,0)),"")</f>
        <v/>
      </c>
      <c r="AS620">
        <f>IFERROR(INDEX(_ENGINE_Crisis!$G$41:$G$700,MATCH('Resilience &amp; Risk Scenario'!$B$60&amp;"|"&amp;$C620,_ENGINE_Crisis!$I$41:$I$700,0)),"")</f>
        <v/>
      </c>
      <c r="AT620">
        <f>IFERROR(INDEX(_ENGINE_Initiatives!$A$5:$A$532,MATCH(1,INDEX((_ENGINE_Initiatives!$B$5:$B$532=$C620)*(_ENGINE_Initiatives!$C$5:$C$532=$D620),0),0)),"")</f>
        <v/>
      </c>
      <c r="AU620">
        <f>IFERROR(INDEX(_ENGINE_Initiatives!$F$5:$F$532,MATCH(1,INDEX((_ENGINE_Initiatives!$B$5:$B$532=$C620)*(_ENGINE_Initiatives!$C$5:$C$532=$D620),0),0)),"")</f>
        <v/>
      </c>
      <c r="AV620">
        <f>IFERROR(INDEX(_ENGINE_Initiatives!$AC$5:$AC$532,MATCH(1,INDEX((_ENGINE_Initiatives!$B$5:$B$532=$C620)*(_ENGINE_Initiatives!$C$5:$C$532=$D620),0),0)),"")</f>
        <v/>
      </c>
      <c r="AW620">
        <f>IFERROR(INDEX(_ENGINE_Initiatives!$AE$5:$AE$532,MATCH(1,INDEX((_ENGINE_Initiatives!$B$5:$B$532=$C620)*(_ENGINE_Initiatives!$C$5:$C$532=$D620),0),0)),"")</f>
        <v/>
      </c>
      <c r="AX620">
        <f>IF($B620="Yes",IFERROR(IF(SUMIFS(_REF_Model_Content!$E$1:$E$613,_REF_Model_Content!$A$1:$A$613,'Company Profile'!$B$9,_REF_Model_Content!$B$1:$B$613,$C620)=0,1,SUMIFS(_REF_Model_Content!$E$1:$E$613,_REF_Model_Content!$A$1:$A$613,'Company Profile'!$B$9,_REF_Model_Content!$B$1:$B$613,$C620)),1),"")</f>
        <v/>
      </c>
      <c r="AY620">
        <f>IF($L620="","",ROUND(IF($AP620="",$L620,$AP620)*IF($AX620="",1,$AX620),2))</f>
        <v/>
      </c>
      <c r="AZ620">
        <f>IF($S620="","",ROUND(IF($AQ620="",$S620,$AQ620)*IF($AX620="",1,$AX620),2))</f>
        <v/>
      </c>
      <c r="BB620">
        <f>IF($H620="","",IFERROR(INDEX('_ENGINE_Risk'!$AE$41:$AE$920,MATCH($E620,'_ENGINE_Risk'!$A$41:$A$920,0)),"Medium"))</f>
        <v/>
      </c>
      <c r="BC620">
        <f>IF($BB620="","",IF($BB620="Fast",1.25,IF($BB620="Slow",0.85,1)))</f>
        <v/>
      </c>
      <c r="BD620">
        <f>IF(OR($AZ620="",$BC620=""),"",ROUND($AZ620*$BC620,2))</f>
        <v/>
      </c>
      <c r="BF620">
        <f>IF(OR($H620="",$J620=""),"",_xlfn.IFNA(VLOOKUP($J620,_CONFIG_Model_Settings!$D$610:$E$614,2,0),""))</f>
        <v/>
      </c>
      <c r="BG620">
        <f>IF(OR($H620="",$K620=""),"",ROUND('Company Profile'!$B$569*INDEX(_CONFIG_Model_Settings!$H$610:$H$614,MATCH($K620,_CONFIG_Model_Settings!$G$610:$G$614,0)),0))</f>
        <v/>
      </c>
      <c r="BH620">
        <f>IF(OR($BF620="",$BG620=""),"",ROUND($BF620*$BG620,1))</f>
        <v/>
      </c>
      <c r="BI620">
        <f>IF($BH620="","",IF($AO620="",$BH620,ROUND($BH620*$AO620,1)))</f>
        <v/>
      </c>
      <c r="BJ620">
        <f>IF($E620="","",IFERROR(VLOOKUP($C620,'_CONFIG_Risk_Calibration'!$A$5:$H$21,2,FALSE),3))</f>
        <v/>
      </c>
      <c r="BK620">
        <f>IF($E620="","",IFERROR(VLOOKUP($C620,'_CONFIG_Risk_Calibration'!$A$5:$H$21,3,FALSE),0))</f>
        <v/>
      </c>
      <c r="BL620">
        <f>IF($E620="","",IFERROR(VLOOKUP($C620,'_CONFIG_Risk_Calibration'!$A$5:$H$21,4,FALSE),3))</f>
        <v/>
      </c>
      <c r="BM620">
        <f>IF($E620="","",IFERROR(VLOOKUP($C620,'_CONFIG_Risk_Calibration'!$A$5:$H$21,5,FALSE),3))</f>
        <v/>
      </c>
      <c r="BN620">
        <f>IF($E620="","",IFERROR(VLOOKUP($C620,'_CONFIG_Risk_Calibration'!$A$5:$H$21,6,FALSE),"No"))</f>
        <v/>
      </c>
      <c r="BO620">
        <f>IF($E620="","",IFERROR(VLOOKUP($C620,'_CONFIG_Risk_Calibration'!$A$5:$H$21,7,FALSE),1))</f>
        <v/>
      </c>
      <c r="BP620">
        <f>IF($H620="","",MAX(1,MIN(5,((6-$H620)*0.45)+($BJ620*0.20)+('Resilience &amp; Risk Scenario'!$B$7*0.15)+($BK620*0.10)+($BL620*0.05)+(IF($BB620="Fast",5,IF($BB620="Slow",1,3))*0.05))))</f>
        <v/>
      </c>
      <c r="BQ620">
        <f>IF($H620="","",MAX(IF($BN620="Yes",$BO620,1),MIN(5,($U620*0.20)+($V620*0.15)+($W620*0.25)+($X620*0.15)+($BJ620*0.10)+($BM620*0.15))))</f>
        <v/>
      </c>
      <c r="BR620">
        <f>IF(OR($BP620="",$BQ620=""),"",ROUND($BP620*$BQ620,2))</f>
        <v/>
      </c>
      <c r="BS620">
        <f>IF($BR620="","",ROUND($BR620*IF($AO620="",1,$AO620)*IF($AX620="",1,$AX620)*(1+(($BM620-3)*0.10))*IF($BC620="",1,$BC620),2))</f>
        <v/>
      </c>
    </row>
    <row r="621" ht="69.90000000000001" customHeight="1" s="209">
      <c r="A621">
        <f>IF($BD621="","",SUMPRODUCT(ISNUMBER($BD$500:$BD$923)*($BD$500:$BD$923&gt;$BD621))+COUNTIF($BD$500:$BD621,$BD621))</f>
        <v/>
      </c>
      <c r="B621">
        <f>IF($H621="","",IF($H621&lt;5,"Yes","Maintain"))</f>
        <v/>
      </c>
      <c r="C621" t="inlineStr">
        <is>
          <t>Legal Risk</t>
        </is>
      </c>
      <c r="D621" t="inlineStr">
        <is>
          <t>Compliance</t>
        </is>
      </c>
      <c r="E621" t="inlineStr">
        <is>
          <t>LEGA-003</t>
        </is>
      </c>
      <c r="F621" t="inlineStr">
        <is>
          <t>Legal, compliance and contractual exposure</t>
        </is>
      </c>
      <c r="G621">
        <f>IF($H621="","",IFERROR(INDEX('_ENGINE_Risk'!$H$41:$M$920,MATCH($E621,'_ENGINE_Risk'!$A$41:$A$920,0),$H621+1),""))</f>
        <v/>
      </c>
      <c r="H621">
        <f>IFERROR(VALUE(INDEX(_DATA_Assessment_Model!$H$5:$H$884,MATCH($E621,_DATA_Assessment_Model!$A$5:$A$884,0))),"")</f>
        <v/>
      </c>
      <c r="I621">
        <f>IF($H621="","",IFERROR(INDEX(_DATA_Assessment_Model!$L$5:$L$884,MATCH($E621,_DATA_Assessment_Model!$A$5:$A$884,0)),IF($H621&lt;=1,"Critical",IF($H621=2,"High",IF($H621=3,"Medium",IF($H621=4,"Low","Resilient"))))))</f>
        <v/>
      </c>
      <c r="J621">
        <f>IF($H621="","",MIN(5,MAX(1,6-$H621)))</f>
        <v/>
      </c>
      <c r="K621">
        <f>IF($H621="","",MAX(1,MIN(5,ROUNDUP(($U621*0.45)+($W621*0.35)+($X621*0.2),0))))</f>
        <v/>
      </c>
      <c r="L621">
        <f>IF($H621="","",$J621*$K621)</f>
        <v/>
      </c>
      <c r="M621">
        <f>IF($H621="","",MAX(1,MIN(5,ROUNDUP($L621/5,0))))</f>
        <v/>
      </c>
      <c r="N621">
        <f>IF($H621="","",IFERROR(INDEX('_ENGINE_Risk'!$T$41:$Y$920,MATCH($E621,'_ENGINE_Risk'!$A$41:$A$920,0),$H621+1),""))</f>
        <v/>
      </c>
      <c r="O621">
        <f>IF($H621="","",MAX(1,MIN(5,($U621+$V621+$X621)/3)))</f>
        <v/>
      </c>
      <c r="P621">
        <f>IF($H621="","",IF($I621="Critical",5,IF($I621="High",4,IF($I621="Medium",3,IF($I621="Low",2,1)))))</f>
        <v/>
      </c>
      <c r="Q621">
        <f>IF($H621="","",MAX(1,MIN(5,((5-$H621)*0.65)+($W621*0.35))))</f>
        <v/>
      </c>
      <c r="R621">
        <f>IF($H621="","",MAX(1,MIN(5,($V621+$X621)/2)))</f>
        <v/>
      </c>
      <c r="S621">
        <f>IF(OR($H621="",$N621=""),"",ROUND(($O621+$P621+$Q621+$R621)/$N621,2))</f>
        <v/>
      </c>
      <c r="T621">
        <f>IF($H621="","",IFERROR(INDEX('_ENGINE_Risk'!$N$41:$S$920,MATCH($E621,'_ENGINE_Risk'!$A$41:$A$920,0),$H621+1),""))</f>
        <v/>
      </c>
      <c r="U621">
        <f>IFERROR(INDEX(_DATA_Assessment_Model!$G$5:$G$884,MATCH($E621,_DATA_Assessment_Model!$A$5:$A$884,0)),"")</f>
        <v/>
      </c>
      <c r="V621">
        <f>IFERROR(INDEX(_DATA_Assessment_Model!$W$5:$W$884,MATCH($E621,_DATA_Assessment_Model!$A$5:$A$884,0)),"")</f>
        <v/>
      </c>
      <c r="W621">
        <f>IFERROR(INDEX(_DATA_Assessment_Model!$X$5:$X$884,MATCH($E621,_DATA_Assessment_Model!$A$5:$A$884,0)),"")</f>
        <v/>
      </c>
      <c r="X621">
        <f>IFERROR(INDEX(_DATA_Assessment_Model!$Y$5:$Y$884,MATCH($E621,_DATA_Assessment_Model!$A$5:$A$884,0)),"")</f>
        <v/>
      </c>
      <c r="Y621" t="inlineStr">
        <is>
          <t>Regulatory/legal shock; Contractual exposure; Data breach</t>
        </is>
      </c>
      <c r="Z621" t="inlineStr">
        <is>
          <t>Legal / Compliance</t>
        </is>
      </c>
      <c r="AA621" t="inlineStr">
        <is>
          <t>Policy/SOP; owner/RACI; system report; dashboard; contracts; test records; incident history; interview evidence related to sanctions and restricted-party screening for customers, suppliers, owners and payments.</t>
        </is>
      </c>
      <c r="AB621">
        <f>IFERROR(INDEX(_DATA_Assessment_Model!$U$5:$U$884,MATCH($E621,_DATA_Assessment_Model!$A$5:$A$884,0)),"")</f>
        <v/>
      </c>
      <c r="AF621" t="inlineStr">
        <is>
          <t>How mature is the organization in managing sanctions and restricted-party screening for customers, suppliers, owners and payments, including ownership, evidence, metrics, fallback procedures and crisis stress testing?</t>
        </is>
      </c>
      <c r="AO621">
        <f>IF($B621="Yes",IFERROR(INDEX(_ENGINE_Crisis!$F$501:$F$517,MATCH($C621,_ENGINE_Crisis!$A$501:$A$517,0)),1),"")</f>
        <v/>
      </c>
      <c r="AP621">
        <f>IF(AO621="","",ROUND($L621*AO621,1))</f>
        <v/>
      </c>
      <c r="AQ621">
        <f>IF(OR(AO621="",$S621=""),"",ROUND($S621*(0.7+0.3*AO621),2))</f>
        <v/>
      </c>
      <c r="AR621">
        <f>IFERROR(INDEX(_ENGINE_Crisis!$E$41:$E$700,MATCH('Resilience &amp; Risk Scenario'!$B$60&amp;"|"&amp;$C621,_ENGINE_Crisis!$I$41:$I$700,0)),"")</f>
        <v/>
      </c>
      <c r="AS621">
        <f>IFERROR(INDEX(_ENGINE_Crisis!$G$41:$G$700,MATCH('Resilience &amp; Risk Scenario'!$B$60&amp;"|"&amp;$C621,_ENGINE_Crisis!$I$41:$I$700,0)),"")</f>
        <v/>
      </c>
      <c r="AT621">
        <f>IFERROR(INDEX(_ENGINE_Initiatives!$A$5:$A$532,MATCH(1,INDEX((_ENGINE_Initiatives!$B$5:$B$532=$C621)*(_ENGINE_Initiatives!$C$5:$C$532=$D621),0),0)),"")</f>
        <v/>
      </c>
      <c r="AU621">
        <f>IFERROR(INDEX(_ENGINE_Initiatives!$F$5:$F$532,MATCH(1,INDEX((_ENGINE_Initiatives!$B$5:$B$532=$C621)*(_ENGINE_Initiatives!$C$5:$C$532=$D621),0),0)),"")</f>
        <v/>
      </c>
      <c r="AV621">
        <f>IFERROR(INDEX(_ENGINE_Initiatives!$AC$5:$AC$532,MATCH(1,INDEX((_ENGINE_Initiatives!$B$5:$B$532=$C621)*(_ENGINE_Initiatives!$C$5:$C$532=$D621),0),0)),"")</f>
        <v/>
      </c>
      <c r="AW621">
        <f>IFERROR(INDEX(_ENGINE_Initiatives!$AE$5:$AE$532,MATCH(1,INDEX((_ENGINE_Initiatives!$B$5:$B$532=$C621)*(_ENGINE_Initiatives!$C$5:$C$532=$D621),0),0)),"")</f>
        <v/>
      </c>
      <c r="AX621">
        <f>IF($B621="Yes",IFERROR(IF(SUMIFS(_REF_Model_Content!$E$1:$E$613,_REF_Model_Content!$A$1:$A$613,'Company Profile'!$B$9,_REF_Model_Content!$B$1:$B$613,$C621)=0,1,SUMIFS(_REF_Model_Content!$E$1:$E$613,_REF_Model_Content!$A$1:$A$613,'Company Profile'!$B$9,_REF_Model_Content!$B$1:$B$613,$C621)),1),"")</f>
        <v/>
      </c>
      <c r="AY621">
        <f>IF($L621="","",ROUND(IF($AP621="",$L621,$AP621)*IF($AX621="",1,$AX621),2))</f>
        <v/>
      </c>
      <c r="AZ621">
        <f>IF($S621="","",ROUND(IF($AQ621="",$S621,$AQ621)*IF($AX621="",1,$AX621),2))</f>
        <v/>
      </c>
      <c r="BB621">
        <f>IF($H621="","",IFERROR(INDEX('_ENGINE_Risk'!$AE$41:$AE$920,MATCH($E621,'_ENGINE_Risk'!$A$41:$A$920,0)),"Medium"))</f>
        <v/>
      </c>
      <c r="BC621">
        <f>IF($BB621="","",IF($BB621="Fast",1.25,IF($BB621="Slow",0.85,1)))</f>
        <v/>
      </c>
      <c r="BD621">
        <f>IF(OR($AZ621="",$BC621=""),"",ROUND($AZ621*$BC621,2))</f>
        <v/>
      </c>
      <c r="BF621">
        <f>IF(OR($H621="",$J621=""),"",_xlfn.IFNA(VLOOKUP($J621,_CONFIG_Model_Settings!$D$610:$E$614,2,0),""))</f>
        <v/>
      </c>
      <c r="BG621">
        <f>IF(OR($H621="",$K621=""),"",ROUND('Company Profile'!$B$569*INDEX(_CONFIG_Model_Settings!$H$610:$H$614,MATCH($K621,_CONFIG_Model_Settings!$G$610:$G$614,0)),0))</f>
        <v/>
      </c>
      <c r="BH621">
        <f>IF(OR($BF621="",$BG621=""),"",ROUND($BF621*$BG621,1))</f>
        <v/>
      </c>
      <c r="BI621">
        <f>IF($BH621="","",IF($AO621="",$BH621,ROUND($BH621*$AO621,1)))</f>
        <v/>
      </c>
      <c r="BJ621">
        <f>IF($E621="","",IFERROR(VLOOKUP($C621,'_CONFIG_Risk_Calibration'!$A$5:$H$21,2,FALSE),3))</f>
        <v/>
      </c>
      <c r="BK621">
        <f>IF($E621="","",IFERROR(VLOOKUP($C621,'_CONFIG_Risk_Calibration'!$A$5:$H$21,3,FALSE),0))</f>
        <v/>
      </c>
      <c r="BL621">
        <f>IF($E621="","",IFERROR(VLOOKUP($C621,'_CONFIG_Risk_Calibration'!$A$5:$H$21,4,FALSE),3))</f>
        <v/>
      </c>
      <c r="BM621">
        <f>IF($E621="","",IFERROR(VLOOKUP($C621,'_CONFIG_Risk_Calibration'!$A$5:$H$21,5,FALSE),3))</f>
        <v/>
      </c>
      <c r="BN621">
        <f>IF($E621="","",IFERROR(VLOOKUP($C621,'_CONFIG_Risk_Calibration'!$A$5:$H$21,6,FALSE),"No"))</f>
        <v/>
      </c>
      <c r="BO621">
        <f>IF($E621="","",IFERROR(VLOOKUP($C621,'_CONFIG_Risk_Calibration'!$A$5:$H$21,7,FALSE),1))</f>
        <v/>
      </c>
      <c r="BP621">
        <f>IF($H621="","",MAX(1,MIN(5,((6-$H621)*0.45)+($BJ621*0.20)+('Resilience &amp; Risk Scenario'!$B$7*0.15)+($BK621*0.10)+($BL621*0.05)+(IF($BB621="Fast",5,IF($BB621="Slow",1,3))*0.05))))</f>
        <v/>
      </c>
      <c r="BQ621">
        <f>IF($H621="","",MAX(IF($BN621="Yes",$BO621,1),MIN(5,($U621*0.20)+($V621*0.15)+($W621*0.25)+($X621*0.15)+($BJ621*0.10)+($BM621*0.15))))</f>
        <v/>
      </c>
      <c r="BR621">
        <f>IF(OR($BP621="",$BQ621=""),"",ROUND($BP621*$BQ621,2))</f>
        <v/>
      </c>
      <c r="BS621">
        <f>IF($BR621="","",ROUND($BR621*IF($AO621="",1,$AO621)*IF($AX621="",1,$AX621)*(1+(($BM621-3)*0.10))*IF($BC621="",1,$BC621),2))</f>
        <v/>
      </c>
    </row>
    <row r="622" ht="69.90000000000001" customHeight="1" s="209">
      <c r="A622">
        <f>IF($BD622="","",SUMPRODUCT(ISNUMBER($BD$500:$BD$923)*($BD$500:$BD$923&gt;$BD622))+COUNTIF($BD$500:$BD622,$BD622))</f>
        <v/>
      </c>
      <c r="B622">
        <f>IF($H622="","",IF($H622&lt;5,"Yes","Maintain"))</f>
        <v/>
      </c>
      <c r="C622" t="inlineStr">
        <is>
          <t>Legal Risk</t>
        </is>
      </c>
      <c r="D622" t="inlineStr">
        <is>
          <t>Compliance</t>
        </is>
      </c>
      <c r="E622" t="inlineStr">
        <is>
          <t>LEGA-004</t>
        </is>
      </c>
      <c r="F622" t="inlineStr">
        <is>
          <t>Legal, compliance and contractual exposure</t>
        </is>
      </c>
      <c r="G622">
        <f>IF($H622="","",IFERROR(INDEX('_ENGINE_Risk'!$H$41:$M$920,MATCH($E622,'_ENGINE_Risk'!$A$41:$A$920,0),$H622+1),""))</f>
        <v/>
      </c>
      <c r="H622">
        <f>IFERROR(VALUE(INDEX(_DATA_Assessment_Model!$H$5:$H$884,MATCH($E622,_DATA_Assessment_Model!$A$5:$A$884,0))),"")</f>
        <v/>
      </c>
      <c r="I622">
        <f>IF($H622="","",IFERROR(INDEX(_DATA_Assessment_Model!$L$5:$L$884,MATCH($E622,_DATA_Assessment_Model!$A$5:$A$884,0)),IF($H622&lt;=1,"Critical",IF($H622=2,"High",IF($H622=3,"Medium",IF($H622=4,"Low","Resilient"))))))</f>
        <v/>
      </c>
      <c r="J622">
        <f>IF($H622="","",MIN(5,MAX(1,6-$H622)))</f>
        <v/>
      </c>
      <c r="K622">
        <f>IF($H622="","",MAX(1,MIN(5,ROUNDUP(($U622*0.45)+($W622*0.35)+($X622*0.2),0))))</f>
        <v/>
      </c>
      <c r="L622">
        <f>IF($H622="","",$J622*$K622)</f>
        <v/>
      </c>
      <c r="M622">
        <f>IF($H622="","",MAX(1,MIN(5,ROUNDUP($L622/5,0))))</f>
        <v/>
      </c>
      <c r="N622">
        <f>IF($H622="","",IFERROR(INDEX('_ENGINE_Risk'!$T$41:$Y$920,MATCH($E622,'_ENGINE_Risk'!$A$41:$A$920,0),$H622+1),""))</f>
        <v/>
      </c>
      <c r="O622">
        <f>IF($H622="","",MAX(1,MIN(5,($U622+$V622+$X622)/3)))</f>
        <v/>
      </c>
      <c r="P622">
        <f>IF($H622="","",IF($I622="Critical",5,IF($I622="High",4,IF($I622="Medium",3,IF($I622="Low",2,1)))))</f>
        <v/>
      </c>
      <c r="Q622">
        <f>IF($H622="","",MAX(1,MIN(5,((5-$H622)*0.65)+($W622*0.35))))</f>
        <v/>
      </c>
      <c r="R622">
        <f>IF($H622="","",MAX(1,MIN(5,($V622+$X622)/2)))</f>
        <v/>
      </c>
      <c r="S622">
        <f>IF(OR($H622="",$N622=""),"",ROUND(($O622+$P622+$Q622+$R622)/$N622,2))</f>
        <v/>
      </c>
      <c r="T622">
        <f>IF($H622="","",IFERROR(INDEX('_ENGINE_Risk'!$N$41:$S$920,MATCH($E622,'_ENGINE_Risk'!$A$41:$A$920,0),$H622+1),""))</f>
        <v/>
      </c>
      <c r="U622">
        <f>IFERROR(INDEX(_DATA_Assessment_Model!$G$5:$G$884,MATCH($E622,_DATA_Assessment_Model!$A$5:$A$884,0)),"")</f>
        <v/>
      </c>
      <c r="V622">
        <f>IFERROR(INDEX(_DATA_Assessment_Model!$W$5:$W$884,MATCH($E622,_DATA_Assessment_Model!$A$5:$A$884,0)),"")</f>
        <v/>
      </c>
      <c r="W622">
        <f>IFERROR(INDEX(_DATA_Assessment_Model!$X$5:$X$884,MATCH($E622,_DATA_Assessment_Model!$A$5:$A$884,0)),"")</f>
        <v/>
      </c>
      <c r="X622">
        <f>IFERROR(INDEX(_DATA_Assessment_Model!$Y$5:$Y$884,MATCH($E622,_DATA_Assessment_Model!$A$5:$A$884,0)),"")</f>
        <v/>
      </c>
      <c r="Y622" t="inlineStr">
        <is>
          <t>Regulatory/legal shock; Contractual exposure; Data breach</t>
        </is>
      </c>
      <c r="Z622" t="inlineStr">
        <is>
          <t>Legal / Compliance</t>
        </is>
      </c>
      <c r="AA622" t="inlineStr">
        <is>
          <t>Policy/SOP; owner/RACI; system report; dashboard; contracts; test records; incident history; interview evidence related to anti-bribery and corruption controls during emergency procurement and high-pressure sales.</t>
        </is>
      </c>
      <c r="AB622">
        <f>IFERROR(INDEX(_DATA_Assessment_Model!$U$5:$U$884,MATCH($E622,_DATA_Assessment_Model!$A$5:$A$884,0)),"")</f>
        <v/>
      </c>
      <c r="AF622" t="inlineStr">
        <is>
          <t>How mature is the organization in managing anti-bribery and corruption controls during emergency procurement and high-pressure sales, including ownership, evidence, metrics, fallback procedures and crisis stress testing?</t>
        </is>
      </c>
      <c r="AO622">
        <f>IF($B622="Yes",IFERROR(INDEX(_ENGINE_Crisis!$F$501:$F$517,MATCH($C622,_ENGINE_Crisis!$A$501:$A$517,0)),1),"")</f>
        <v/>
      </c>
      <c r="AP622">
        <f>IF(AO622="","",ROUND($L622*AO622,1))</f>
        <v/>
      </c>
      <c r="AQ622">
        <f>IF(OR(AO622="",$S622=""),"",ROUND($S622*(0.7+0.3*AO622),2))</f>
        <v/>
      </c>
      <c r="AR622">
        <f>IFERROR(INDEX(_ENGINE_Crisis!$E$41:$E$700,MATCH('Resilience &amp; Risk Scenario'!$B$60&amp;"|"&amp;$C622,_ENGINE_Crisis!$I$41:$I$700,0)),"")</f>
        <v/>
      </c>
      <c r="AS622">
        <f>IFERROR(INDEX(_ENGINE_Crisis!$G$41:$G$700,MATCH('Resilience &amp; Risk Scenario'!$B$60&amp;"|"&amp;$C622,_ENGINE_Crisis!$I$41:$I$700,0)),"")</f>
        <v/>
      </c>
      <c r="AT622">
        <f>IFERROR(INDEX(_ENGINE_Initiatives!$A$5:$A$532,MATCH(1,INDEX((_ENGINE_Initiatives!$B$5:$B$532=$C622)*(_ENGINE_Initiatives!$C$5:$C$532=$D622),0),0)),"")</f>
        <v/>
      </c>
      <c r="AU622">
        <f>IFERROR(INDEX(_ENGINE_Initiatives!$F$5:$F$532,MATCH(1,INDEX((_ENGINE_Initiatives!$B$5:$B$532=$C622)*(_ENGINE_Initiatives!$C$5:$C$532=$D622),0),0)),"")</f>
        <v/>
      </c>
      <c r="AV622">
        <f>IFERROR(INDEX(_ENGINE_Initiatives!$AC$5:$AC$532,MATCH(1,INDEX((_ENGINE_Initiatives!$B$5:$B$532=$C622)*(_ENGINE_Initiatives!$C$5:$C$532=$D622),0),0)),"")</f>
        <v/>
      </c>
      <c r="AW622">
        <f>IFERROR(INDEX(_ENGINE_Initiatives!$AE$5:$AE$532,MATCH(1,INDEX((_ENGINE_Initiatives!$B$5:$B$532=$C622)*(_ENGINE_Initiatives!$C$5:$C$532=$D622),0),0)),"")</f>
        <v/>
      </c>
      <c r="AX622">
        <f>IF($B622="Yes",IFERROR(IF(SUMIFS(_REF_Model_Content!$E$1:$E$613,_REF_Model_Content!$A$1:$A$613,'Company Profile'!$B$9,_REF_Model_Content!$B$1:$B$613,$C622)=0,1,SUMIFS(_REF_Model_Content!$E$1:$E$613,_REF_Model_Content!$A$1:$A$613,'Company Profile'!$B$9,_REF_Model_Content!$B$1:$B$613,$C622)),1),"")</f>
        <v/>
      </c>
      <c r="AY622">
        <f>IF($L622="","",ROUND(IF($AP622="",$L622,$AP622)*IF($AX622="",1,$AX622),2))</f>
        <v/>
      </c>
      <c r="AZ622">
        <f>IF($S622="","",ROUND(IF($AQ622="",$S622,$AQ622)*IF($AX622="",1,$AX622),2))</f>
        <v/>
      </c>
      <c r="BB622">
        <f>IF($H622="","",IFERROR(INDEX('_ENGINE_Risk'!$AE$41:$AE$920,MATCH($E622,'_ENGINE_Risk'!$A$41:$A$920,0)),"Medium"))</f>
        <v/>
      </c>
      <c r="BC622">
        <f>IF($BB622="","",IF($BB622="Fast",1.25,IF($BB622="Slow",0.85,1)))</f>
        <v/>
      </c>
      <c r="BD622">
        <f>IF(OR($AZ622="",$BC622=""),"",ROUND($AZ622*$BC622,2))</f>
        <v/>
      </c>
      <c r="BF622">
        <f>IF(OR($H622="",$J622=""),"",_xlfn.IFNA(VLOOKUP($J622,_CONFIG_Model_Settings!$D$610:$E$614,2,0),""))</f>
        <v/>
      </c>
      <c r="BG622">
        <f>IF(OR($H622="",$K622=""),"",ROUND('Company Profile'!$B$569*INDEX(_CONFIG_Model_Settings!$H$610:$H$614,MATCH($K622,_CONFIG_Model_Settings!$G$610:$G$614,0)),0))</f>
        <v/>
      </c>
      <c r="BH622">
        <f>IF(OR($BF622="",$BG622=""),"",ROUND($BF622*$BG622,1))</f>
        <v/>
      </c>
      <c r="BI622">
        <f>IF($BH622="","",IF($AO622="",$BH622,ROUND($BH622*$AO622,1)))</f>
        <v/>
      </c>
      <c r="BJ622">
        <f>IF($E622="","",IFERROR(VLOOKUP($C622,'_CONFIG_Risk_Calibration'!$A$5:$H$21,2,FALSE),3))</f>
        <v/>
      </c>
      <c r="BK622">
        <f>IF($E622="","",IFERROR(VLOOKUP($C622,'_CONFIG_Risk_Calibration'!$A$5:$H$21,3,FALSE),0))</f>
        <v/>
      </c>
      <c r="BL622">
        <f>IF($E622="","",IFERROR(VLOOKUP($C622,'_CONFIG_Risk_Calibration'!$A$5:$H$21,4,FALSE),3))</f>
        <v/>
      </c>
      <c r="BM622">
        <f>IF($E622="","",IFERROR(VLOOKUP($C622,'_CONFIG_Risk_Calibration'!$A$5:$H$21,5,FALSE),3))</f>
        <v/>
      </c>
      <c r="BN622">
        <f>IF($E622="","",IFERROR(VLOOKUP($C622,'_CONFIG_Risk_Calibration'!$A$5:$H$21,6,FALSE),"No"))</f>
        <v/>
      </c>
      <c r="BO622">
        <f>IF($E622="","",IFERROR(VLOOKUP($C622,'_CONFIG_Risk_Calibration'!$A$5:$H$21,7,FALSE),1))</f>
        <v/>
      </c>
      <c r="BP622">
        <f>IF($H622="","",MAX(1,MIN(5,((6-$H622)*0.45)+($BJ622*0.20)+('Resilience &amp; Risk Scenario'!$B$7*0.15)+($BK622*0.10)+($BL622*0.05)+(IF($BB622="Fast",5,IF($BB622="Slow",1,3))*0.05))))</f>
        <v/>
      </c>
      <c r="BQ622">
        <f>IF($H622="","",MAX(IF($BN622="Yes",$BO622,1),MIN(5,($U622*0.20)+($V622*0.15)+($W622*0.25)+($X622*0.15)+($BJ622*0.10)+($BM622*0.15))))</f>
        <v/>
      </c>
      <c r="BR622">
        <f>IF(OR($BP622="",$BQ622=""),"",ROUND($BP622*$BQ622,2))</f>
        <v/>
      </c>
      <c r="BS622">
        <f>IF($BR622="","",ROUND($BR622*IF($AO622="",1,$AO622)*IF($AX622="",1,$AX622)*(1+(($BM622-3)*0.10))*IF($BC622="",1,$BC622),2))</f>
        <v/>
      </c>
    </row>
    <row r="623" ht="69.90000000000001" customHeight="1" s="209">
      <c r="A623">
        <f>IF($BD623="","",SUMPRODUCT(ISNUMBER($BD$500:$BD$923)*($BD$500:$BD$923&gt;$BD623))+COUNTIF($BD$500:$BD623,$BD623))</f>
        <v/>
      </c>
      <c r="B623">
        <f>IF($H623="","",IF($H623&lt;5,"Yes","Maintain"))</f>
        <v/>
      </c>
      <c r="C623" t="inlineStr">
        <is>
          <t>Legal Risk</t>
        </is>
      </c>
      <c r="D623" t="inlineStr">
        <is>
          <t>Compliance</t>
        </is>
      </c>
      <c r="E623" t="inlineStr">
        <is>
          <t>LEGA-005</t>
        </is>
      </c>
      <c r="F623" t="inlineStr">
        <is>
          <t>Legal, compliance and contractual exposure</t>
        </is>
      </c>
      <c r="G623">
        <f>IF($H623="","",IFERROR(INDEX('_ENGINE_Risk'!$H$41:$M$920,MATCH($E623,'_ENGINE_Risk'!$A$41:$A$920,0),$H623+1),""))</f>
        <v/>
      </c>
      <c r="H623">
        <f>IFERROR(VALUE(INDEX(_DATA_Assessment_Model!$H$5:$H$884,MATCH($E623,_DATA_Assessment_Model!$A$5:$A$884,0))),"")</f>
        <v/>
      </c>
      <c r="I623">
        <f>IF($H623="","",IFERROR(INDEX(_DATA_Assessment_Model!$L$5:$L$884,MATCH($E623,_DATA_Assessment_Model!$A$5:$A$884,0)),IF($H623&lt;=1,"Critical",IF($H623=2,"High",IF($H623=3,"Medium",IF($H623=4,"Low","Resilient"))))))</f>
        <v/>
      </c>
      <c r="J623">
        <f>IF($H623="","",MIN(5,MAX(1,6-$H623)))</f>
        <v/>
      </c>
      <c r="K623">
        <f>IF($H623="","",MAX(1,MIN(5,ROUNDUP(($U623*0.45)+($W623*0.35)+($X623*0.2),0))))</f>
        <v/>
      </c>
      <c r="L623">
        <f>IF($H623="","",$J623*$K623)</f>
        <v/>
      </c>
      <c r="M623">
        <f>IF($H623="","",MAX(1,MIN(5,ROUNDUP($L623/5,0))))</f>
        <v/>
      </c>
      <c r="N623">
        <f>IF($H623="","",IFERROR(INDEX('_ENGINE_Risk'!$T$41:$Y$920,MATCH($E623,'_ENGINE_Risk'!$A$41:$A$920,0),$H623+1),""))</f>
        <v/>
      </c>
      <c r="O623">
        <f>IF($H623="","",MAX(1,MIN(5,($U623+$V623+$X623)/3)))</f>
        <v/>
      </c>
      <c r="P623">
        <f>IF($H623="","",IF($I623="Critical",5,IF($I623="High",4,IF($I623="Medium",3,IF($I623="Low",2,1)))))</f>
        <v/>
      </c>
      <c r="Q623">
        <f>IF($H623="","",MAX(1,MIN(5,((5-$H623)*0.65)+($W623*0.35))))</f>
        <v/>
      </c>
      <c r="R623">
        <f>IF($H623="","",MAX(1,MIN(5,($V623+$X623)/2)))</f>
        <v/>
      </c>
      <c r="S623">
        <f>IF(OR($H623="",$N623=""),"",ROUND(($O623+$P623+$Q623+$R623)/$N623,2))</f>
        <v/>
      </c>
      <c r="T623">
        <f>IF($H623="","",IFERROR(INDEX('_ENGINE_Risk'!$N$41:$S$920,MATCH($E623,'_ENGINE_Risk'!$A$41:$A$920,0),$H623+1),""))</f>
        <v/>
      </c>
      <c r="U623">
        <f>IFERROR(INDEX(_DATA_Assessment_Model!$G$5:$G$884,MATCH($E623,_DATA_Assessment_Model!$A$5:$A$884,0)),"")</f>
        <v/>
      </c>
      <c r="V623">
        <f>IFERROR(INDEX(_DATA_Assessment_Model!$W$5:$W$884,MATCH($E623,_DATA_Assessment_Model!$A$5:$A$884,0)),"")</f>
        <v/>
      </c>
      <c r="W623">
        <f>IFERROR(INDEX(_DATA_Assessment_Model!$X$5:$X$884,MATCH($E623,_DATA_Assessment_Model!$A$5:$A$884,0)),"")</f>
        <v/>
      </c>
      <c r="X623">
        <f>IFERROR(INDEX(_DATA_Assessment_Model!$Y$5:$Y$884,MATCH($E623,_DATA_Assessment_Model!$A$5:$A$884,0)),"")</f>
        <v/>
      </c>
      <c r="Y623" t="inlineStr">
        <is>
          <t>Regulatory/legal shock; Contractual exposure; Data breach</t>
        </is>
      </c>
      <c r="Z623" t="inlineStr">
        <is>
          <t>Legal / Compliance</t>
        </is>
      </c>
      <c r="AA623" t="inlineStr">
        <is>
          <t>Policy/SOP; owner/RACI; system report; dashboard; contracts; test records; incident history; interview evidence related to whistleblowing and misconduct reporting mechanism with investigation process.</t>
        </is>
      </c>
      <c r="AB623">
        <f>IFERROR(INDEX(_DATA_Assessment_Model!$U$5:$U$884,MATCH($E623,_DATA_Assessment_Model!$A$5:$A$884,0)),"")</f>
        <v/>
      </c>
      <c r="AF623" t="inlineStr">
        <is>
          <t>How mature is the organization in managing whistleblowing and misconduct reporting mechanism with investigation process, including ownership, evidence, metrics, fallback procedures and crisis stress testing?</t>
        </is>
      </c>
      <c r="AO623">
        <f>IF($B623="Yes",IFERROR(INDEX(_ENGINE_Crisis!$F$501:$F$517,MATCH($C623,_ENGINE_Crisis!$A$501:$A$517,0)),1),"")</f>
        <v/>
      </c>
      <c r="AP623">
        <f>IF(AO623="","",ROUND($L623*AO623,1))</f>
        <v/>
      </c>
      <c r="AQ623">
        <f>IF(OR(AO623="",$S623=""),"",ROUND($S623*(0.7+0.3*AO623),2))</f>
        <v/>
      </c>
      <c r="AR623">
        <f>IFERROR(INDEX(_ENGINE_Crisis!$E$41:$E$700,MATCH('Resilience &amp; Risk Scenario'!$B$60&amp;"|"&amp;$C623,_ENGINE_Crisis!$I$41:$I$700,0)),"")</f>
        <v/>
      </c>
      <c r="AS623">
        <f>IFERROR(INDEX(_ENGINE_Crisis!$G$41:$G$700,MATCH('Resilience &amp; Risk Scenario'!$B$60&amp;"|"&amp;$C623,_ENGINE_Crisis!$I$41:$I$700,0)),"")</f>
        <v/>
      </c>
      <c r="AT623">
        <f>IFERROR(INDEX(_ENGINE_Initiatives!$A$5:$A$532,MATCH(1,INDEX((_ENGINE_Initiatives!$B$5:$B$532=$C623)*(_ENGINE_Initiatives!$C$5:$C$532=$D623),0),0)),"")</f>
        <v/>
      </c>
      <c r="AU623">
        <f>IFERROR(INDEX(_ENGINE_Initiatives!$F$5:$F$532,MATCH(1,INDEX((_ENGINE_Initiatives!$B$5:$B$532=$C623)*(_ENGINE_Initiatives!$C$5:$C$532=$D623),0),0)),"")</f>
        <v/>
      </c>
      <c r="AV623">
        <f>IFERROR(INDEX(_ENGINE_Initiatives!$AC$5:$AC$532,MATCH(1,INDEX((_ENGINE_Initiatives!$B$5:$B$532=$C623)*(_ENGINE_Initiatives!$C$5:$C$532=$D623),0),0)),"")</f>
        <v/>
      </c>
      <c r="AW623">
        <f>IFERROR(INDEX(_ENGINE_Initiatives!$AE$5:$AE$532,MATCH(1,INDEX((_ENGINE_Initiatives!$B$5:$B$532=$C623)*(_ENGINE_Initiatives!$C$5:$C$532=$D623),0),0)),"")</f>
        <v/>
      </c>
      <c r="AX623">
        <f>IF($B623="Yes",IFERROR(IF(SUMIFS(_REF_Model_Content!$E$1:$E$613,_REF_Model_Content!$A$1:$A$613,'Company Profile'!$B$9,_REF_Model_Content!$B$1:$B$613,$C623)=0,1,SUMIFS(_REF_Model_Content!$E$1:$E$613,_REF_Model_Content!$A$1:$A$613,'Company Profile'!$B$9,_REF_Model_Content!$B$1:$B$613,$C623)),1),"")</f>
        <v/>
      </c>
      <c r="AY623">
        <f>IF($L623="","",ROUND(IF($AP623="",$L623,$AP623)*IF($AX623="",1,$AX623),2))</f>
        <v/>
      </c>
      <c r="AZ623">
        <f>IF($S623="","",ROUND(IF($AQ623="",$S623,$AQ623)*IF($AX623="",1,$AX623),2))</f>
        <v/>
      </c>
      <c r="BB623">
        <f>IF($H623="","",IFERROR(INDEX('_ENGINE_Risk'!$AE$41:$AE$920,MATCH($E623,'_ENGINE_Risk'!$A$41:$A$920,0)),"Medium"))</f>
        <v/>
      </c>
      <c r="BC623">
        <f>IF($BB623="","",IF($BB623="Fast",1.25,IF($BB623="Slow",0.85,1)))</f>
        <v/>
      </c>
      <c r="BD623">
        <f>IF(OR($AZ623="",$BC623=""),"",ROUND($AZ623*$BC623,2))</f>
        <v/>
      </c>
      <c r="BF623">
        <f>IF(OR($H623="",$J623=""),"",_xlfn.IFNA(VLOOKUP($J623,_CONFIG_Model_Settings!$D$610:$E$614,2,0),""))</f>
        <v/>
      </c>
      <c r="BG623">
        <f>IF(OR($H623="",$K623=""),"",ROUND('Company Profile'!$B$569*INDEX(_CONFIG_Model_Settings!$H$610:$H$614,MATCH($K623,_CONFIG_Model_Settings!$G$610:$G$614,0)),0))</f>
        <v/>
      </c>
      <c r="BH623">
        <f>IF(OR($BF623="",$BG623=""),"",ROUND($BF623*$BG623,1))</f>
        <v/>
      </c>
      <c r="BI623">
        <f>IF($BH623="","",IF($AO623="",$BH623,ROUND($BH623*$AO623,1)))</f>
        <v/>
      </c>
      <c r="BJ623">
        <f>IF($E623="","",IFERROR(VLOOKUP($C623,'_CONFIG_Risk_Calibration'!$A$5:$H$21,2,FALSE),3))</f>
        <v/>
      </c>
      <c r="BK623">
        <f>IF($E623="","",IFERROR(VLOOKUP($C623,'_CONFIG_Risk_Calibration'!$A$5:$H$21,3,FALSE),0))</f>
        <v/>
      </c>
      <c r="BL623">
        <f>IF($E623="","",IFERROR(VLOOKUP($C623,'_CONFIG_Risk_Calibration'!$A$5:$H$21,4,FALSE),3))</f>
        <v/>
      </c>
      <c r="BM623">
        <f>IF($E623="","",IFERROR(VLOOKUP($C623,'_CONFIG_Risk_Calibration'!$A$5:$H$21,5,FALSE),3))</f>
        <v/>
      </c>
      <c r="BN623">
        <f>IF($E623="","",IFERROR(VLOOKUP($C623,'_CONFIG_Risk_Calibration'!$A$5:$H$21,6,FALSE),"No"))</f>
        <v/>
      </c>
      <c r="BO623">
        <f>IF($E623="","",IFERROR(VLOOKUP($C623,'_CONFIG_Risk_Calibration'!$A$5:$H$21,7,FALSE),1))</f>
        <v/>
      </c>
      <c r="BP623">
        <f>IF($H623="","",MAX(1,MIN(5,((6-$H623)*0.45)+($BJ623*0.20)+('Resilience &amp; Risk Scenario'!$B$7*0.15)+($BK623*0.10)+($BL623*0.05)+(IF($BB623="Fast",5,IF($BB623="Slow",1,3))*0.05))))</f>
        <v/>
      </c>
      <c r="BQ623">
        <f>IF($H623="","",MAX(IF($BN623="Yes",$BO623,1),MIN(5,($U623*0.20)+($V623*0.15)+($W623*0.25)+($X623*0.15)+($BJ623*0.10)+($BM623*0.15))))</f>
        <v/>
      </c>
      <c r="BR623">
        <f>IF(OR($BP623="",$BQ623=""),"",ROUND($BP623*$BQ623,2))</f>
        <v/>
      </c>
      <c r="BS623">
        <f>IF($BR623="","",ROUND($BR623*IF($AO623="",1,$AO623)*IF($AX623="",1,$AX623)*(1+(($BM623-3)*0.10))*IF($BC623="",1,$BC623),2))</f>
        <v/>
      </c>
    </row>
    <row r="624" ht="69.90000000000001" customHeight="1" s="209">
      <c r="A624">
        <f>IF($BD624="","",SUMPRODUCT(ISNUMBER($BD$500:$BD$923)*($BD$500:$BD$923&gt;$BD624))+COUNTIF($BD$500:$BD624,$BD624))</f>
        <v/>
      </c>
      <c r="B624">
        <f>IF($H624="","",IF($H624&lt;5,"Yes","Maintain"))</f>
        <v/>
      </c>
      <c r="C624" t="inlineStr">
        <is>
          <t>Legal Risk</t>
        </is>
      </c>
      <c r="D624" t="inlineStr">
        <is>
          <t>Compliance</t>
        </is>
      </c>
      <c r="E624" t="inlineStr">
        <is>
          <t>LEGA-006</t>
        </is>
      </c>
      <c r="F624" t="inlineStr">
        <is>
          <t>Legal, compliance and contractual exposure</t>
        </is>
      </c>
      <c r="G624">
        <f>IF($H624="","",IFERROR(INDEX('_ENGINE_Risk'!$H$41:$M$920,MATCH($E624,'_ENGINE_Risk'!$A$41:$A$920,0),$H624+1),""))</f>
        <v/>
      </c>
      <c r="H624">
        <f>IFERROR(VALUE(INDEX(_DATA_Assessment_Model!$H$5:$H$884,MATCH($E624,_DATA_Assessment_Model!$A$5:$A$884,0))),"")</f>
        <v/>
      </c>
      <c r="I624">
        <f>IF($H624="","",IFERROR(INDEX(_DATA_Assessment_Model!$L$5:$L$884,MATCH($E624,_DATA_Assessment_Model!$A$5:$A$884,0)),IF($H624&lt;=1,"Critical",IF($H624=2,"High",IF($H624=3,"Medium",IF($H624=4,"Low","Resilient"))))))</f>
        <v/>
      </c>
      <c r="J624">
        <f>IF($H624="","",MIN(5,MAX(1,6-$H624)))</f>
        <v/>
      </c>
      <c r="K624">
        <f>IF($H624="","",MAX(1,MIN(5,ROUNDUP(($U624*0.45)+($W624*0.35)+($X624*0.2),0))))</f>
        <v/>
      </c>
      <c r="L624">
        <f>IF($H624="","",$J624*$K624)</f>
        <v/>
      </c>
      <c r="M624">
        <f>IF($H624="","",MAX(1,MIN(5,ROUNDUP($L624/5,0))))</f>
        <v/>
      </c>
      <c r="N624">
        <f>IF($H624="","",IFERROR(INDEX('_ENGINE_Risk'!$T$41:$Y$920,MATCH($E624,'_ENGINE_Risk'!$A$41:$A$920,0),$H624+1),""))</f>
        <v/>
      </c>
      <c r="O624">
        <f>IF($H624="","",MAX(1,MIN(5,($U624+$V624+$X624)/3)))</f>
        <v/>
      </c>
      <c r="P624">
        <f>IF($H624="","",IF($I624="Critical",5,IF($I624="High",4,IF($I624="Medium",3,IF($I624="Low",2,1)))))</f>
        <v/>
      </c>
      <c r="Q624">
        <f>IF($H624="","",MAX(1,MIN(5,((5-$H624)*0.65)+($W624*0.35))))</f>
        <v/>
      </c>
      <c r="R624">
        <f>IF($H624="","",MAX(1,MIN(5,($V624+$X624)/2)))</f>
        <v/>
      </c>
      <c r="S624">
        <f>IF(OR($H624="",$N624=""),"",ROUND(($O624+$P624+$Q624+$R624)/$N624,2))</f>
        <v/>
      </c>
      <c r="T624">
        <f>IF($H624="","",IFERROR(INDEX('_ENGINE_Risk'!$N$41:$S$920,MATCH($E624,'_ENGINE_Risk'!$A$41:$A$920,0),$H624+1),""))</f>
        <v/>
      </c>
      <c r="U624">
        <f>IFERROR(INDEX(_DATA_Assessment_Model!$G$5:$G$884,MATCH($E624,_DATA_Assessment_Model!$A$5:$A$884,0)),"")</f>
        <v/>
      </c>
      <c r="V624">
        <f>IFERROR(INDEX(_DATA_Assessment_Model!$W$5:$W$884,MATCH($E624,_DATA_Assessment_Model!$A$5:$A$884,0)),"")</f>
        <v/>
      </c>
      <c r="W624">
        <f>IFERROR(INDEX(_DATA_Assessment_Model!$X$5:$X$884,MATCH($E624,_DATA_Assessment_Model!$A$5:$A$884,0)),"")</f>
        <v/>
      </c>
      <c r="X624">
        <f>IFERROR(INDEX(_DATA_Assessment_Model!$Y$5:$Y$884,MATCH($E624,_DATA_Assessment_Model!$A$5:$A$884,0)),"")</f>
        <v/>
      </c>
      <c r="Y624" t="inlineStr">
        <is>
          <t>Regulatory/legal shock; Contractual exposure; Data breach</t>
        </is>
      </c>
      <c r="Z624" t="inlineStr">
        <is>
          <t>Legal / Compliance</t>
        </is>
      </c>
      <c r="AA624" t="inlineStr">
        <is>
          <t>Policy/SOP; owner/RACI; system report; dashboard; contracts; test records; incident history; interview evidence related to legal support continuity if internal or external counsel is unavailable.</t>
        </is>
      </c>
      <c r="AB624">
        <f>IFERROR(INDEX(_DATA_Assessment_Model!$U$5:$U$884,MATCH($E624,_DATA_Assessment_Model!$A$5:$A$884,0)),"")</f>
        <v/>
      </c>
      <c r="AF624" t="inlineStr">
        <is>
          <t>How mature is the organization in managing legal support continuity if internal or external counsel is unavailable, including ownership, evidence, metrics, fallback procedures and crisis stress testing?</t>
        </is>
      </c>
      <c r="AO624">
        <f>IF($B624="Yes",IFERROR(INDEX(_ENGINE_Crisis!$F$501:$F$517,MATCH($C624,_ENGINE_Crisis!$A$501:$A$517,0)),1),"")</f>
        <v/>
      </c>
      <c r="AP624">
        <f>IF(AO624="","",ROUND($L624*AO624,1))</f>
        <v/>
      </c>
      <c r="AQ624">
        <f>IF(OR(AO624="",$S624=""),"",ROUND($S624*(0.7+0.3*AO624),2))</f>
        <v/>
      </c>
      <c r="AR624">
        <f>IFERROR(INDEX(_ENGINE_Crisis!$E$41:$E$700,MATCH('Resilience &amp; Risk Scenario'!$B$60&amp;"|"&amp;$C624,_ENGINE_Crisis!$I$41:$I$700,0)),"")</f>
        <v/>
      </c>
      <c r="AS624">
        <f>IFERROR(INDEX(_ENGINE_Crisis!$G$41:$G$700,MATCH('Resilience &amp; Risk Scenario'!$B$60&amp;"|"&amp;$C624,_ENGINE_Crisis!$I$41:$I$700,0)),"")</f>
        <v/>
      </c>
      <c r="AT624">
        <f>IFERROR(INDEX(_ENGINE_Initiatives!$A$5:$A$532,MATCH(1,INDEX((_ENGINE_Initiatives!$B$5:$B$532=$C624)*(_ENGINE_Initiatives!$C$5:$C$532=$D624),0),0)),"")</f>
        <v/>
      </c>
      <c r="AU624">
        <f>IFERROR(INDEX(_ENGINE_Initiatives!$F$5:$F$532,MATCH(1,INDEX((_ENGINE_Initiatives!$B$5:$B$532=$C624)*(_ENGINE_Initiatives!$C$5:$C$532=$D624),0),0)),"")</f>
        <v/>
      </c>
      <c r="AV624">
        <f>IFERROR(INDEX(_ENGINE_Initiatives!$AC$5:$AC$532,MATCH(1,INDEX((_ENGINE_Initiatives!$B$5:$B$532=$C624)*(_ENGINE_Initiatives!$C$5:$C$532=$D624),0),0)),"")</f>
        <v/>
      </c>
      <c r="AW624">
        <f>IFERROR(INDEX(_ENGINE_Initiatives!$AE$5:$AE$532,MATCH(1,INDEX((_ENGINE_Initiatives!$B$5:$B$532=$C624)*(_ENGINE_Initiatives!$C$5:$C$532=$D624),0),0)),"")</f>
        <v/>
      </c>
      <c r="AX624">
        <f>IF($B624="Yes",IFERROR(IF(SUMIFS(_REF_Model_Content!$E$1:$E$613,_REF_Model_Content!$A$1:$A$613,'Company Profile'!$B$9,_REF_Model_Content!$B$1:$B$613,$C624)=0,1,SUMIFS(_REF_Model_Content!$E$1:$E$613,_REF_Model_Content!$A$1:$A$613,'Company Profile'!$B$9,_REF_Model_Content!$B$1:$B$613,$C624)),1),"")</f>
        <v/>
      </c>
      <c r="AY624">
        <f>IF($L624="","",ROUND(IF($AP624="",$L624,$AP624)*IF($AX624="",1,$AX624),2))</f>
        <v/>
      </c>
      <c r="AZ624">
        <f>IF($S624="","",ROUND(IF($AQ624="",$S624,$AQ624)*IF($AX624="",1,$AX624),2))</f>
        <v/>
      </c>
      <c r="BB624">
        <f>IF($H624="","",IFERROR(INDEX('_ENGINE_Risk'!$AE$41:$AE$920,MATCH($E624,'_ENGINE_Risk'!$A$41:$A$920,0)),"Medium"))</f>
        <v/>
      </c>
      <c r="BC624">
        <f>IF($BB624="","",IF($BB624="Fast",1.25,IF($BB624="Slow",0.85,1)))</f>
        <v/>
      </c>
      <c r="BD624">
        <f>IF(OR($AZ624="",$BC624=""),"",ROUND($AZ624*$BC624,2))</f>
        <v/>
      </c>
      <c r="BF624">
        <f>IF(OR($H624="",$J624=""),"",_xlfn.IFNA(VLOOKUP($J624,_CONFIG_Model_Settings!$D$610:$E$614,2,0),""))</f>
        <v/>
      </c>
      <c r="BG624">
        <f>IF(OR($H624="",$K624=""),"",ROUND('Company Profile'!$B$569*INDEX(_CONFIG_Model_Settings!$H$610:$H$614,MATCH($K624,_CONFIG_Model_Settings!$G$610:$G$614,0)),0))</f>
        <v/>
      </c>
      <c r="BH624">
        <f>IF(OR($BF624="",$BG624=""),"",ROUND($BF624*$BG624,1))</f>
        <v/>
      </c>
      <c r="BI624">
        <f>IF($BH624="","",IF($AO624="",$BH624,ROUND($BH624*$AO624,1)))</f>
        <v/>
      </c>
      <c r="BJ624">
        <f>IF($E624="","",IFERROR(VLOOKUP($C624,'_CONFIG_Risk_Calibration'!$A$5:$H$21,2,FALSE),3))</f>
        <v/>
      </c>
      <c r="BK624">
        <f>IF($E624="","",IFERROR(VLOOKUP($C624,'_CONFIG_Risk_Calibration'!$A$5:$H$21,3,FALSE),0))</f>
        <v/>
      </c>
      <c r="BL624">
        <f>IF($E624="","",IFERROR(VLOOKUP($C624,'_CONFIG_Risk_Calibration'!$A$5:$H$21,4,FALSE),3))</f>
        <v/>
      </c>
      <c r="BM624">
        <f>IF($E624="","",IFERROR(VLOOKUP($C624,'_CONFIG_Risk_Calibration'!$A$5:$H$21,5,FALSE),3))</f>
        <v/>
      </c>
      <c r="BN624">
        <f>IF($E624="","",IFERROR(VLOOKUP($C624,'_CONFIG_Risk_Calibration'!$A$5:$H$21,6,FALSE),"No"))</f>
        <v/>
      </c>
      <c r="BO624">
        <f>IF($E624="","",IFERROR(VLOOKUP($C624,'_CONFIG_Risk_Calibration'!$A$5:$H$21,7,FALSE),1))</f>
        <v/>
      </c>
      <c r="BP624">
        <f>IF($H624="","",MAX(1,MIN(5,((6-$H624)*0.45)+($BJ624*0.20)+('Resilience &amp; Risk Scenario'!$B$7*0.15)+($BK624*0.10)+($BL624*0.05)+(IF($BB624="Fast",5,IF($BB624="Slow",1,3))*0.05))))</f>
        <v/>
      </c>
      <c r="BQ624">
        <f>IF($H624="","",MAX(IF($BN624="Yes",$BO624,1),MIN(5,($U624*0.20)+($V624*0.15)+($W624*0.25)+($X624*0.15)+($BJ624*0.10)+($BM624*0.15))))</f>
        <v/>
      </c>
      <c r="BR624">
        <f>IF(OR($BP624="",$BQ624=""),"",ROUND($BP624*$BQ624,2))</f>
        <v/>
      </c>
      <c r="BS624">
        <f>IF($BR624="","",ROUND($BR624*IF($AO624="",1,$AO624)*IF($AX624="",1,$AX624)*(1+(($BM624-3)*0.10))*IF($BC624="",1,$BC624),2))</f>
        <v/>
      </c>
    </row>
    <row r="625" ht="69.90000000000001" customHeight="1" s="209">
      <c r="A625">
        <f>IF($BD625="","",SUMPRODUCT(ISNUMBER($BD$500:$BD$923)*($BD$500:$BD$923&gt;$BD625))+COUNTIF($BD$500:$BD625,$BD625))</f>
        <v/>
      </c>
      <c r="B625">
        <f>IF($H625="","",IF($H625&lt;5,"Yes","Maintain"))</f>
        <v/>
      </c>
      <c r="C625" t="inlineStr">
        <is>
          <t>Legal Risk</t>
        </is>
      </c>
      <c r="D625" t="inlineStr">
        <is>
          <t>Contracts</t>
        </is>
      </c>
      <c r="E625" t="inlineStr">
        <is>
          <t>LEGA-007</t>
        </is>
      </c>
      <c r="F625" t="inlineStr">
        <is>
          <t>Legal, compliance and contractual exposure</t>
        </is>
      </c>
      <c r="G625">
        <f>IF($H625="","",IFERROR(INDEX('_ENGINE_Risk'!$H$41:$M$920,MATCH($E625,'_ENGINE_Risk'!$A$41:$A$920,0),$H625+1),""))</f>
        <v/>
      </c>
      <c r="H625">
        <f>IFERROR(VALUE(INDEX(_DATA_Assessment_Model!$H$5:$H$884,MATCH($E625,_DATA_Assessment_Model!$A$5:$A$884,0))),"")</f>
        <v/>
      </c>
      <c r="I625">
        <f>IF($H625="","",IFERROR(INDEX(_DATA_Assessment_Model!$L$5:$L$884,MATCH($E625,_DATA_Assessment_Model!$A$5:$A$884,0)),IF($H625&lt;=1,"Critical",IF($H625=2,"High",IF($H625=3,"Medium",IF($H625=4,"Low","Resilient"))))))</f>
        <v/>
      </c>
      <c r="J625">
        <f>IF($H625="","",MIN(5,MAX(1,6-$H625)))</f>
        <v/>
      </c>
      <c r="K625">
        <f>IF($H625="","",MAX(1,MIN(5,ROUNDUP(($U625*0.45)+($W625*0.35)+($X625*0.2),0))))</f>
        <v/>
      </c>
      <c r="L625">
        <f>IF($H625="","",$J625*$K625)</f>
        <v/>
      </c>
      <c r="M625">
        <f>IF($H625="","",MAX(1,MIN(5,ROUNDUP($L625/5,0))))</f>
        <v/>
      </c>
      <c r="N625">
        <f>IF($H625="","",IFERROR(INDEX('_ENGINE_Risk'!$T$41:$Y$920,MATCH($E625,'_ENGINE_Risk'!$A$41:$A$920,0),$H625+1),""))</f>
        <v/>
      </c>
      <c r="O625">
        <f>IF($H625="","",MAX(1,MIN(5,($U625+$V625+$X625)/3)))</f>
        <v/>
      </c>
      <c r="P625">
        <f>IF($H625="","",IF($I625="Critical",5,IF($I625="High",4,IF($I625="Medium",3,IF($I625="Low",2,1)))))</f>
        <v/>
      </c>
      <c r="Q625">
        <f>IF($H625="","",MAX(1,MIN(5,((5-$H625)*0.65)+($W625*0.35))))</f>
        <v/>
      </c>
      <c r="R625">
        <f>IF($H625="","",MAX(1,MIN(5,($V625+$X625)/2)))</f>
        <v/>
      </c>
      <c r="S625">
        <f>IF(OR($H625="",$N625=""),"",ROUND(($O625+$P625+$Q625+$R625)/$N625,2))</f>
        <v/>
      </c>
      <c r="T625">
        <f>IF($H625="","",IFERROR(INDEX('_ENGINE_Risk'!$N$41:$S$920,MATCH($E625,'_ENGINE_Risk'!$A$41:$A$920,0),$H625+1),""))</f>
        <v/>
      </c>
      <c r="U625">
        <f>IFERROR(INDEX(_DATA_Assessment_Model!$G$5:$G$884,MATCH($E625,_DATA_Assessment_Model!$A$5:$A$884,0)),"")</f>
        <v/>
      </c>
      <c r="V625">
        <f>IFERROR(INDEX(_DATA_Assessment_Model!$W$5:$W$884,MATCH($E625,_DATA_Assessment_Model!$A$5:$A$884,0)),"")</f>
        <v/>
      </c>
      <c r="W625">
        <f>IFERROR(INDEX(_DATA_Assessment_Model!$X$5:$X$884,MATCH($E625,_DATA_Assessment_Model!$A$5:$A$884,0)),"")</f>
        <v/>
      </c>
      <c r="X625">
        <f>IFERROR(INDEX(_DATA_Assessment_Model!$Y$5:$Y$884,MATCH($E625,_DATA_Assessment_Model!$A$5:$A$884,0)),"")</f>
        <v/>
      </c>
      <c r="Y625" t="inlineStr">
        <is>
          <t>Regulatory/legal shock; Contractual exposure; Data breach</t>
        </is>
      </c>
      <c r="Z625" t="inlineStr">
        <is>
          <t>Legal / Compliance</t>
        </is>
      </c>
      <c r="AA625" t="inlineStr">
        <is>
          <t>Policy/SOP; owner/RACI; system report; dashboard; contracts; test records; incident history; interview evidence related to complete contract register for customers, suppliers, leases, loans, employment, insurance and IP.</t>
        </is>
      </c>
      <c r="AB625">
        <f>IFERROR(INDEX(_DATA_Assessment_Model!$U$5:$U$884,MATCH($E625,_DATA_Assessment_Model!$A$5:$A$884,0)),"")</f>
        <v/>
      </c>
      <c r="AF625" t="inlineStr">
        <is>
          <t>How mature is the organization in managing complete contract register for customers, suppliers, leases, loans, employment, insurance and IP, including ownership, evidence, metrics, fallback procedures and crisis stress testing?</t>
        </is>
      </c>
      <c r="AO625">
        <f>IF($B625="Yes",IFERROR(INDEX(_ENGINE_Crisis!$F$501:$F$517,MATCH($C625,_ENGINE_Crisis!$A$501:$A$517,0)),1),"")</f>
        <v/>
      </c>
      <c r="AP625">
        <f>IF(AO625="","",ROUND($L625*AO625,1))</f>
        <v/>
      </c>
      <c r="AQ625">
        <f>IF(OR(AO625="",$S625=""),"",ROUND($S625*(0.7+0.3*AO625),2))</f>
        <v/>
      </c>
      <c r="AR625">
        <f>IFERROR(INDEX(_ENGINE_Crisis!$E$41:$E$700,MATCH('Resilience &amp; Risk Scenario'!$B$60&amp;"|"&amp;$C625,_ENGINE_Crisis!$I$41:$I$700,0)),"")</f>
        <v/>
      </c>
      <c r="AS625">
        <f>IFERROR(INDEX(_ENGINE_Crisis!$G$41:$G$700,MATCH('Resilience &amp; Risk Scenario'!$B$60&amp;"|"&amp;$C625,_ENGINE_Crisis!$I$41:$I$700,0)),"")</f>
        <v/>
      </c>
      <c r="AT625">
        <f>IFERROR(INDEX(_ENGINE_Initiatives!$A$5:$A$532,MATCH(1,INDEX((_ENGINE_Initiatives!$B$5:$B$532=$C625)*(_ENGINE_Initiatives!$C$5:$C$532=$D625),0),0)),"")</f>
        <v/>
      </c>
      <c r="AU625">
        <f>IFERROR(INDEX(_ENGINE_Initiatives!$F$5:$F$532,MATCH(1,INDEX((_ENGINE_Initiatives!$B$5:$B$532=$C625)*(_ENGINE_Initiatives!$C$5:$C$532=$D625),0),0)),"")</f>
        <v/>
      </c>
      <c r="AV625">
        <f>IFERROR(INDEX(_ENGINE_Initiatives!$AC$5:$AC$532,MATCH(1,INDEX((_ENGINE_Initiatives!$B$5:$B$532=$C625)*(_ENGINE_Initiatives!$C$5:$C$532=$D625),0),0)),"")</f>
        <v/>
      </c>
      <c r="AW625">
        <f>IFERROR(INDEX(_ENGINE_Initiatives!$AE$5:$AE$532,MATCH(1,INDEX((_ENGINE_Initiatives!$B$5:$B$532=$C625)*(_ENGINE_Initiatives!$C$5:$C$532=$D625),0),0)),"")</f>
        <v/>
      </c>
      <c r="AX625">
        <f>IF($B625="Yes",IFERROR(IF(SUMIFS(_REF_Model_Content!$E$1:$E$613,_REF_Model_Content!$A$1:$A$613,'Company Profile'!$B$9,_REF_Model_Content!$B$1:$B$613,$C625)=0,1,SUMIFS(_REF_Model_Content!$E$1:$E$613,_REF_Model_Content!$A$1:$A$613,'Company Profile'!$B$9,_REF_Model_Content!$B$1:$B$613,$C625)),1),"")</f>
        <v/>
      </c>
      <c r="AY625">
        <f>IF($L625="","",ROUND(IF($AP625="",$L625,$AP625)*IF($AX625="",1,$AX625),2))</f>
        <v/>
      </c>
      <c r="AZ625">
        <f>IF($S625="","",ROUND(IF($AQ625="",$S625,$AQ625)*IF($AX625="",1,$AX625),2))</f>
        <v/>
      </c>
      <c r="BB625">
        <f>IF($H625="","",IFERROR(INDEX('_ENGINE_Risk'!$AE$41:$AE$920,MATCH($E625,'_ENGINE_Risk'!$A$41:$A$920,0)),"Medium"))</f>
        <v/>
      </c>
      <c r="BC625">
        <f>IF($BB625="","",IF($BB625="Fast",1.25,IF($BB625="Slow",0.85,1)))</f>
        <v/>
      </c>
      <c r="BD625">
        <f>IF(OR($AZ625="",$BC625=""),"",ROUND($AZ625*$BC625,2))</f>
        <v/>
      </c>
      <c r="BF625">
        <f>IF(OR($H625="",$J625=""),"",_xlfn.IFNA(VLOOKUP($J625,_CONFIG_Model_Settings!$D$610:$E$614,2,0),""))</f>
        <v/>
      </c>
      <c r="BG625">
        <f>IF(OR($H625="",$K625=""),"",ROUND('Company Profile'!$B$569*INDEX(_CONFIG_Model_Settings!$H$610:$H$614,MATCH($K625,_CONFIG_Model_Settings!$G$610:$G$614,0)),0))</f>
        <v/>
      </c>
      <c r="BH625">
        <f>IF(OR($BF625="",$BG625=""),"",ROUND($BF625*$BG625,1))</f>
        <v/>
      </c>
      <c r="BI625">
        <f>IF($BH625="","",IF($AO625="",$BH625,ROUND($BH625*$AO625,1)))</f>
        <v/>
      </c>
      <c r="BJ625">
        <f>IF($E625="","",IFERROR(VLOOKUP($C625,'_CONFIG_Risk_Calibration'!$A$5:$H$21,2,FALSE),3))</f>
        <v/>
      </c>
      <c r="BK625">
        <f>IF($E625="","",IFERROR(VLOOKUP($C625,'_CONFIG_Risk_Calibration'!$A$5:$H$21,3,FALSE),0))</f>
        <v/>
      </c>
      <c r="BL625">
        <f>IF($E625="","",IFERROR(VLOOKUP($C625,'_CONFIG_Risk_Calibration'!$A$5:$H$21,4,FALSE),3))</f>
        <v/>
      </c>
      <c r="BM625">
        <f>IF($E625="","",IFERROR(VLOOKUP($C625,'_CONFIG_Risk_Calibration'!$A$5:$H$21,5,FALSE),3))</f>
        <v/>
      </c>
      <c r="BN625">
        <f>IF($E625="","",IFERROR(VLOOKUP($C625,'_CONFIG_Risk_Calibration'!$A$5:$H$21,6,FALSE),"No"))</f>
        <v/>
      </c>
      <c r="BO625">
        <f>IF($E625="","",IFERROR(VLOOKUP($C625,'_CONFIG_Risk_Calibration'!$A$5:$H$21,7,FALSE),1))</f>
        <v/>
      </c>
      <c r="BP625">
        <f>IF($H625="","",MAX(1,MIN(5,((6-$H625)*0.45)+($BJ625*0.20)+('Resilience &amp; Risk Scenario'!$B$7*0.15)+($BK625*0.10)+($BL625*0.05)+(IF($BB625="Fast",5,IF($BB625="Slow",1,3))*0.05))))</f>
        <v/>
      </c>
      <c r="BQ625">
        <f>IF($H625="","",MAX(IF($BN625="Yes",$BO625,1),MIN(5,($U625*0.20)+($V625*0.15)+($W625*0.25)+($X625*0.15)+($BJ625*0.10)+($BM625*0.15))))</f>
        <v/>
      </c>
      <c r="BR625">
        <f>IF(OR($BP625="",$BQ625=""),"",ROUND($BP625*$BQ625,2))</f>
        <v/>
      </c>
      <c r="BS625">
        <f>IF($BR625="","",ROUND($BR625*IF($AO625="",1,$AO625)*IF($AX625="",1,$AX625)*(1+(($BM625-3)*0.10))*IF($BC625="",1,$BC625),2))</f>
        <v/>
      </c>
    </row>
    <row r="626" ht="69.90000000000001" customHeight="1" s="209">
      <c r="A626">
        <f>IF($BD626="","",SUMPRODUCT(ISNUMBER($BD$500:$BD$923)*($BD$500:$BD$923&gt;$BD626))+COUNTIF($BD$500:$BD626,$BD626))</f>
        <v/>
      </c>
      <c r="B626">
        <f>IF($H626="","",IF($H626&lt;5,"Yes","Maintain"))</f>
        <v/>
      </c>
      <c r="C626" t="inlineStr">
        <is>
          <t>Legal Risk</t>
        </is>
      </c>
      <c r="D626" t="inlineStr">
        <is>
          <t>Contracts</t>
        </is>
      </c>
      <c r="E626" t="inlineStr">
        <is>
          <t>LEGA-008</t>
        </is>
      </c>
      <c r="F626" t="inlineStr">
        <is>
          <t>Legal, compliance and contractual exposure</t>
        </is>
      </c>
      <c r="G626">
        <f>IF($H626="","",IFERROR(INDEX('_ENGINE_Risk'!$H$41:$M$920,MATCH($E626,'_ENGINE_Risk'!$A$41:$A$920,0),$H626+1),""))</f>
        <v/>
      </c>
      <c r="H626">
        <f>IFERROR(VALUE(INDEX(_DATA_Assessment_Model!$H$5:$H$884,MATCH($E626,_DATA_Assessment_Model!$A$5:$A$884,0))),"")</f>
        <v/>
      </c>
      <c r="I626">
        <f>IF($H626="","",IFERROR(INDEX(_DATA_Assessment_Model!$L$5:$L$884,MATCH($E626,_DATA_Assessment_Model!$A$5:$A$884,0)),IF($H626&lt;=1,"Critical",IF($H626=2,"High",IF($H626=3,"Medium",IF($H626=4,"Low","Resilient"))))))</f>
        <v/>
      </c>
      <c r="J626">
        <f>IF($H626="","",MIN(5,MAX(1,6-$H626)))</f>
        <v/>
      </c>
      <c r="K626">
        <f>IF($H626="","",MAX(1,MIN(5,ROUNDUP(($U626*0.45)+($W626*0.35)+($X626*0.2),0))))</f>
        <v/>
      </c>
      <c r="L626">
        <f>IF($H626="","",$J626*$K626)</f>
        <v/>
      </c>
      <c r="M626">
        <f>IF($H626="","",MAX(1,MIN(5,ROUNDUP($L626/5,0))))</f>
        <v/>
      </c>
      <c r="N626">
        <f>IF($H626="","",IFERROR(INDEX('_ENGINE_Risk'!$T$41:$Y$920,MATCH($E626,'_ENGINE_Risk'!$A$41:$A$920,0),$H626+1),""))</f>
        <v/>
      </c>
      <c r="O626">
        <f>IF($H626="","",MAX(1,MIN(5,($U626+$V626+$X626)/3)))</f>
        <v/>
      </c>
      <c r="P626">
        <f>IF($H626="","",IF($I626="Critical",5,IF($I626="High",4,IF($I626="Medium",3,IF($I626="Low",2,1)))))</f>
        <v/>
      </c>
      <c r="Q626">
        <f>IF($H626="","",MAX(1,MIN(5,((5-$H626)*0.65)+($W626*0.35))))</f>
        <v/>
      </c>
      <c r="R626">
        <f>IF($H626="","",MAX(1,MIN(5,($V626+$X626)/2)))</f>
        <v/>
      </c>
      <c r="S626">
        <f>IF(OR($H626="",$N626=""),"",ROUND(($O626+$P626+$Q626+$R626)/$N626,2))</f>
        <v/>
      </c>
      <c r="T626">
        <f>IF($H626="","",IFERROR(INDEX('_ENGINE_Risk'!$N$41:$S$920,MATCH($E626,'_ENGINE_Risk'!$A$41:$A$920,0),$H626+1),""))</f>
        <v/>
      </c>
      <c r="U626">
        <f>IFERROR(INDEX(_DATA_Assessment_Model!$G$5:$G$884,MATCH($E626,_DATA_Assessment_Model!$A$5:$A$884,0)),"")</f>
        <v/>
      </c>
      <c r="V626">
        <f>IFERROR(INDEX(_DATA_Assessment_Model!$W$5:$W$884,MATCH($E626,_DATA_Assessment_Model!$A$5:$A$884,0)),"")</f>
        <v/>
      </c>
      <c r="W626">
        <f>IFERROR(INDEX(_DATA_Assessment_Model!$X$5:$X$884,MATCH($E626,_DATA_Assessment_Model!$A$5:$A$884,0)),"")</f>
        <v/>
      </c>
      <c r="X626">
        <f>IFERROR(INDEX(_DATA_Assessment_Model!$Y$5:$Y$884,MATCH($E626,_DATA_Assessment_Model!$A$5:$A$884,0)),"")</f>
        <v/>
      </c>
      <c r="Y626" t="inlineStr">
        <is>
          <t>Regulatory/legal shock; Contractual exposure; Data breach</t>
        </is>
      </c>
      <c r="Z626" t="inlineStr">
        <is>
          <t>Legal / Compliance</t>
        </is>
      </c>
      <c r="AA626" t="inlineStr">
        <is>
          <t>Policy/SOP; owner/RACI; system report; dashboard; contracts; test records; incident history; interview evidence related to analysis of force majeure, hardship, termination, liability and continuity clauses in critical contracts.</t>
        </is>
      </c>
      <c r="AB626">
        <f>IFERROR(INDEX(_DATA_Assessment_Model!$U$5:$U$884,MATCH($E626,_DATA_Assessment_Model!$A$5:$A$884,0)),"")</f>
        <v/>
      </c>
      <c r="AF626" t="inlineStr">
        <is>
          <t>How mature is the organization in managing analysis of force majeure, hardship, termination, liability and continuity clauses in critical contracts, including ownership, evidence, metrics, fallback procedures and crisis stress testing?</t>
        </is>
      </c>
      <c r="AO626">
        <f>IF($B626="Yes",IFERROR(INDEX(_ENGINE_Crisis!$F$501:$F$517,MATCH($C626,_ENGINE_Crisis!$A$501:$A$517,0)),1),"")</f>
        <v/>
      </c>
      <c r="AP626">
        <f>IF(AO626="","",ROUND($L626*AO626,1))</f>
        <v/>
      </c>
      <c r="AQ626">
        <f>IF(OR(AO626="",$S626=""),"",ROUND($S626*(0.7+0.3*AO626),2))</f>
        <v/>
      </c>
      <c r="AR626">
        <f>IFERROR(INDEX(_ENGINE_Crisis!$E$41:$E$700,MATCH('Resilience &amp; Risk Scenario'!$B$60&amp;"|"&amp;$C626,_ENGINE_Crisis!$I$41:$I$700,0)),"")</f>
        <v/>
      </c>
      <c r="AS626">
        <f>IFERROR(INDEX(_ENGINE_Crisis!$G$41:$G$700,MATCH('Resilience &amp; Risk Scenario'!$B$60&amp;"|"&amp;$C626,_ENGINE_Crisis!$I$41:$I$700,0)),"")</f>
        <v/>
      </c>
      <c r="AT626">
        <f>IFERROR(INDEX(_ENGINE_Initiatives!$A$5:$A$532,MATCH(1,INDEX((_ENGINE_Initiatives!$B$5:$B$532=$C626)*(_ENGINE_Initiatives!$C$5:$C$532=$D626),0),0)),"")</f>
        <v/>
      </c>
      <c r="AU626">
        <f>IFERROR(INDEX(_ENGINE_Initiatives!$F$5:$F$532,MATCH(1,INDEX((_ENGINE_Initiatives!$B$5:$B$532=$C626)*(_ENGINE_Initiatives!$C$5:$C$532=$D626),0),0)),"")</f>
        <v/>
      </c>
      <c r="AV626">
        <f>IFERROR(INDEX(_ENGINE_Initiatives!$AC$5:$AC$532,MATCH(1,INDEX((_ENGINE_Initiatives!$B$5:$B$532=$C626)*(_ENGINE_Initiatives!$C$5:$C$532=$D626),0),0)),"")</f>
        <v/>
      </c>
      <c r="AW626">
        <f>IFERROR(INDEX(_ENGINE_Initiatives!$AE$5:$AE$532,MATCH(1,INDEX((_ENGINE_Initiatives!$B$5:$B$532=$C626)*(_ENGINE_Initiatives!$C$5:$C$532=$D626),0),0)),"")</f>
        <v/>
      </c>
      <c r="AX626">
        <f>IF($B626="Yes",IFERROR(IF(SUMIFS(_REF_Model_Content!$E$1:$E$613,_REF_Model_Content!$A$1:$A$613,'Company Profile'!$B$9,_REF_Model_Content!$B$1:$B$613,$C626)=0,1,SUMIFS(_REF_Model_Content!$E$1:$E$613,_REF_Model_Content!$A$1:$A$613,'Company Profile'!$B$9,_REF_Model_Content!$B$1:$B$613,$C626)),1),"")</f>
        <v/>
      </c>
      <c r="AY626">
        <f>IF($L626="","",ROUND(IF($AP626="",$L626,$AP626)*IF($AX626="",1,$AX626),2))</f>
        <v/>
      </c>
      <c r="AZ626">
        <f>IF($S626="","",ROUND(IF($AQ626="",$S626,$AQ626)*IF($AX626="",1,$AX626),2))</f>
        <v/>
      </c>
      <c r="BB626">
        <f>IF($H626="","",IFERROR(INDEX('_ENGINE_Risk'!$AE$41:$AE$920,MATCH($E626,'_ENGINE_Risk'!$A$41:$A$920,0)),"Medium"))</f>
        <v/>
      </c>
      <c r="BC626">
        <f>IF($BB626="","",IF($BB626="Fast",1.25,IF($BB626="Slow",0.85,1)))</f>
        <v/>
      </c>
      <c r="BD626">
        <f>IF(OR($AZ626="",$BC626=""),"",ROUND($AZ626*$BC626,2))</f>
        <v/>
      </c>
      <c r="BF626">
        <f>IF(OR($H626="",$J626=""),"",_xlfn.IFNA(VLOOKUP($J626,_CONFIG_Model_Settings!$D$610:$E$614,2,0),""))</f>
        <v/>
      </c>
      <c r="BG626">
        <f>IF(OR($H626="",$K626=""),"",ROUND('Company Profile'!$B$569*INDEX(_CONFIG_Model_Settings!$H$610:$H$614,MATCH($K626,_CONFIG_Model_Settings!$G$610:$G$614,0)),0))</f>
        <v/>
      </c>
      <c r="BH626">
        <f>IF(OR($BF626="",$BG626=""),"",ROUND($BF626*$BG626,1))</f>
        <v/>
      </c>
      <c r="BI626">
        <f>IF($BH626="","",IF($AO626="",$BH626,ROUND($BH626*$AO626,1)))</f>
        <v/>
      </c>
      <c r="BJ626">
        <f>IF($E626="","",IFERROR(VLOOKUP($C626,'_CONFIG_Risk_Calibration'!$A$5:$H$21,2,FALSE),3))</f>
        <v/>
      </c>
      <c r="BK626">
        <f>IF($E626="","",IFERROR(VLOOKUP($C626,'_CONFIG_Risk_Calibration'!$A$5:$H$21,3,FALSE),0))</f>
        <v/>
      </c>
      <c r="BL626">
        <f>IF($E626="","",IFERROR(VLOOKUP($C626,'_CONFIG_Risk_Calibration'!$A$5:$H$21,4,FALSE),3))</f>
        <v/>
      </c>
      <c r="BM626">
        <f>IF($E626="","",IFERROR(VLOOKUP($C626,'_CONFIG_Risk_Calibration'!$A$5:$H$21,5,FALSE),3))</f>
        <v/>
      </c>
      <c r="BN626">
        <f>IF($E626="","",IFERROR(VLOOKUP($C626,'_CONFIG_Risk_Calibration'!$A$5:$H$21,6,FALSE),"No"))</f>
        <v/>
      </c>
      <c r="BO626">
        <f>IF($E626="","",IFERROR(VLOOKUP($C626,'_CONFIG_Risk_Calibration'!$A$5:$H$21,7,FALSE),1))</f>
        <v/>
      </c>
      <c r="BP626">
        <f>IF($H626="","",MAX(1,MIN(5,((6-$H626)*0.45)+($BJ626*0.20)+('Resilience &amp; Risk Scenario'!$B$7*0.15)+($BK626*0.10)+($BL626*0.05)+(IF($BB626="Fast",5,IF($BB626="Slow",1,3))*0.05))))</f>
        <v/>
      </c>
      <c r="BQ626">
        <f>IF($H626="","",MAX(IF($BN626="Yes",$BO626,1),MIN(5,($U626*0.20)+($V626*0.15)+($W626*0.25)+($X626*0.15)+($BJ626*0.10)+($BM626*0.15))))</f>
        <v/>
      </c>
      <c r="BR626">
        <f>IF(OR($BP626="",$BQ626=""),"",ROUND($BP626*$BQ626,2))</f>
        <v/>
      </c>
      <c r="BS626">
        <f>IF($BR626="","",ROUND($BR626*IF($AO626="",1,$AO626)*IF($AX626="",1,$AX626)*(1+(($BM626-3)*0.10))*IF($BC626="",1,$BC626),2))</f>
        <v/>
      </c>
    </row>
    <row r="627" ht="69.90000000000001" customHeight="1" s="209">
      <c r="A627">
        <f>IF($BD627="","",SUMPRODUCT(ISNUMBER($BD$500:$BD$923)*($BD$500:$BD$923&gt;$BD627))+COUNTIF($BD$500:$BD627,$BD627))</f>
        <v/>
      </c>
      <c r="B627">
        <f>IF($H627="","",IF($H627&lt;5,"Yes","Maintain"))</f>
        <v/>
      </c>
      <c r="C627" t="inlineStr">
        <is>
          <t>Legal Risk</t>
        </is>
      </c>
      <c r="D627" t="inlineStr">
        <is>
          <t>Contracts</t>
        </is>
      </c>
      <c r="E627" t="inlineStr">
        <is>
          <t>LEGA-009</t>
        </is>
      </c>
      <c r="F627" t="inlineStr">
        <is>
          <t>Legal, compliance and contractual exposure</t>
        </is>
      </c>
      <c r="G627">
        <f>IF($H627="","",IFERROR(INDEX('_ENGINE_Risk'!$H$41:$M$920,MATCH($E627,'_ENGINE_Risk'!$A$41:$A$920,0),$H627+1),""))</f>
        <v/>
      </c>
      <c r="H627">
        <f>IFERROR(VALUE(INDEX(_DATA_Assessment_Model!$H$5:$H$884,MATCH($E627,_DATA_Assessment_Model!$A$5:$A$884,0))),"")</f>
        <v/>
      </c>
      <c r="I627">
        <f>IF($H627="","",IFERROR(INDEX(_DATA_Assessment_Model!$L$5:$L$884,MATCH($E627,_DATA_Assessment_Model!$A$5:$A$884,0)),IF($H627&lt;=1,"Critical",IF($H627=2,"High",IF($H627=3,"Medium",IF($H627=4,"Low","Resilient"))))))</f>
        <v/>
      </c>
      <c r="J627">
        <f>IF($H627="","",MIN(5,MAX(1,6-$H627)))</f>
        <v/>
      </c>
      <c r="K627">
        <f>IF($H627="","",MAX(1,MIN(5,ROUNDUP(($U627*0.45)+($W627*0.35)+($X627*0.2),0))))</f>
        <v/>
      </c>
      <c r="L627">
        <f>IF($H627="","",$J627*$K627)</f>
        <v/>
      </c>
      <c r="M627">
        <f>IF($H627="","",MAX(1,MIN(5,ROUNDUP($L627/5,0))))</f>
        <v/>
      </c>
      <c r="N627">
        <f>IF($H627="","",IFERROR(INDEX('_ENGINE_Risk'!$T$41:$Y$920,MATCH($E627,'_ENGINE_Risk'!$A$41:$A$920,0),$H627+1),""))</f>
        <v/>
      </c>
      <c r="O627">
        <f>IF($H627="","",MAX(1,MIN(5,($U627+$V627+$X627)/3)))</f>
        <v/>
      </c>
      <c r="P627">
        <f>IF($H627="","",IF($I627="Critical",5,IF($I627="High",4,IF($I627="Medium",3,IF($I627="Low",2,1)))))</f>
        <v/>
      </c>
      <c r="Q627">
        <f>IF($H627="","",MAX(1,MIN(5,((5-$H627)*0.65)+($W627*0.35))))</f>
        <v/>
      </c>
      <c r="R627">
        <f>IF($H627="","",MAX(1,MIN(5,($V627+$X627)/2)))</f>
        <v/>
      </c>
      <c r="S627">
        <f>IF(OR($H627="",$N627=""),"",ROUND(($O627+$P627+$Q627+$R627)/$N627,2))</f>
        <v/>
      </c>
      <c r="T627">
        <f>IF($H627="","",IFERROR(INDEX('_ENGINE_Risk'!$N$41:$S$920,MATCH($E627,'_ENGINE_Risk'!$A$41:$A$920,0),$H627+1),""))</f>
        <v/>
      </c>
      <c r="U627">
        <f>IFERROR(INDEX(_DATA_Assessment_Model!$G$5:$G$884,MATCH($E627,_DATA_Assessment_Model!$A$5:$A$884,0)),"")</f>
        <v/>
      </c>
      <c r="V627">
        <f>IFERROR(INDEX(_DATA_Assessment_Model!$W$5:$W$884,MATCH($E627,_DATA_Assessment_Model!$A$5:$A$884,0)),"")</f>
        <v/>
      </c>
      <c r="W627">
        <f>IFERROR(INDEX(_DATA_Assessment_Model!$X$5:$X$884,MATCH($E627,_DATA_Assessment_Model!$A$5:$A$884,0)),"")</f>
        <v/>
      </c>
      <c r="X627">
        <f>IFERROR(INDEX(_DATA_Assessment_Model!$Y$5:$Y$884,MATCH($E627,_DATA_Assessment_Model!$A$5:$A$884,0)),"")</f>
        <v/>
      </c>
      <c r="Y627" t="inlineStr">
        <is>
          <t>Regulatory/legal shock; Contractual exposure; Data breach</t>
        </is>
      </c>
      <c r="Z627" t="inlineStr">
        <is>
          <t>Legal / Compliance</t>
        </is>
      </c>
      <c r="AA627" t="inlineStr">
        <is>
          <t>Policy/SOP; owner/RACI; system report; dashboard; contracts; test records; incident history; interview evidence related to customer SLA obligations, penalties, notification timelines and service credits during disruption.</t>
        </is>
      </c>
      <c r="AB627">
        <f>IFERROR(INDEX(_DATA_Assessment_Model!$U$5:$U$884,MATCH($E627,_DATA_Assessment_Model!$A$5:$A$884,0)),"")</f>
        <v/>
      </c>
      <c r="AF627" t="inlineStr">
        <is>
          <t>How mature is the organization in managing customer SLA obligations, penalties, notification timelines and service credits during disruption, including ownership, evidence, metrics, fallback procedures and crisis stress testing?</t>
        </is>
      </c>
      <c r="AO627">
        <f>IF($B627="Yes",IFERROR(INDEX(_ENGINE_Crisis!$F$501:$F$517,MATCH($C627,_ENGINE_Crisis!$A$501:$A$517,0)),1),"")</f>
        <v/>
      </c>
      <c r="AP627">
        <f>IF(AO627="","",ROUND($L627*AO627,1))</f>
        <v/>
      </c>
      <c r="AQ627">
        <f>IF(OR(AO627="",$S627=""),"",ROUND($S627*(0.7+0.3*AO627),2))</f>
        <v/>
      </c>
      <c r="AR627">
        <f>IFERROR(INDEX(_ENGINE_Crisis!$E$41:$E$700,MATCH('Resilience &amp; Risk Scenario'!$B$60&amp;"|"&amp;$C627,_ENGINE_Crisis!$I$41:$I$700,0)),"")</f>
        <v/>
      </c>
      <c r="AS627">
        <f>IFERROR(INDEX(_ENGINE_Crisis!$G$41:$G$700,MATCH('Resilience &amp; Risk Scenario'!$B$60&amp;"|"&amp;$C627,_ENGINE_Crisis!$I$41:$I$700,0)),"")</f>
        <v/>
      </c>
      <c r="AT627">
        <f>IFERROR(INDEX(_ENGINE_Initiatives!$A$5:$A$532,MATCH(1,INDEX((_ENGINE_Initiatives!$B$5:$B$532=$C627)*(_ENGINE_Initiatives!$C$5:$C$532=$D627),0),0)),"")</f>
        <v/>
      </c>
      <c r="AU627">
        <f>IFERROR(INDEX(_ENGINE_Initiatives!$F$5:$F$532,MATCH(1,INDEX((_ENGINE_Initiatives!$B$5:$B$532=$C627)*(_ENGINE_Initiatives!$C$5:$C$532=$D627),0),0)),"")</f>
        <v/>
      </c>
      <c r="AV627">
        <f>IFERROR(INDEX(_ENGINE_Initiatives!$AC$5:$AC$532,MATCH(1,INDEX((_ENGINE_Initiatives!$B$5:$B$532=$C627)*(_ENGINE_Initiatives!$C$5:$C$532=$D627),0),0)),"")</f>
        <v/>
      </c>
      <c r="AW627">
        <f>IFERROR(INDEX(_ENGINE_Initiatives!$AE$5:$AE$532,MATCH(1,INDEX((_ENGINE_Initiatives!$B$5:$B$532=$C627)*(_ENGINE_Initiatives!$C$5:$C$532=$D627),0),0)),"")</f>
        <v/>
      </c>
      <c r="AX627">
        <f>IF($B627="Yes",IFERROR(IF(SUMIFS(_REF_Model_Content!$E$1:$E$613,_REF_Model_Content!$A$1:$A$613,'Company Profile'!$B$9,_REF_Model_Content!$B$1:$B$613,$C627)=0,1,SUMIFS(_REF_Model_Content!$E$1:$E$613,_REF_Model_Content!$A$1:$A$613,'Company Profile'!$B$9,_REF_Model_Content!$B$1:$B$613,$C627)),1),"")</f>
        <v/>
      </c>
      <c r="AY627">
        <f>IF($L627="","",ROUND(IF($AP627="",$L627,$AP627)*IF($AX627="",1,$AX627),2))</f>
        <v/>
      </c>
      <c r="AZ627">
        <f>IF($S627="","",ROUND(IF($AQ627="",$S627,$AQ627)*IF($AX627="",1,$AX627),2))</f>
        <v/>
      </c>
      <c r="BB627">
        <f>IF($H627="","",IFERROR(INDEX('_ENGINE_Risk'!$AE$41:$AE$920,MATCH($E627,'_ENGINE_Risk'!$A$41:$A$920,0)),"Medium"))</f>
        <v/>
      </c>
      <c r="BC627">
        <f>IF($BB627="","",IF($BB627="Fast",1.25,IF($BB627="Slow",0.85,1)))</f>
        <v/>
      </c>
      <c r="BD627">
        <f>IF(OR($AZ627="",$BC627=""),"",ROUND($AZ627*$BC627,2))</f>
        <v/>
      </c>
      <c r="BF627">
        <f>IF(OR($H627="",$J627=""),"",_xlfn.IFNA(VLOOKUP($J627,_CONFIG_Model_Settings!$D$610:$E$614,2,0),""))</f>
        <v/>
      </c>
      <c r="BG627">
        <f>IF(OR($H627="",$K627=""),"",ROUND('Company Profile'!$B$569*INDEX(_CONFIG_Model_Settings!$H$610:$H$614,MATCH($K627,_CONFIG_Model_Settings!$G$610:$G$614,0)),0))</f>
        <v/>
      </c>
      <c r="BH627">
        <f>IF(OR($BF627="",$BG627=""),"",ROUND($BF627*$BG627,1))</f>
        <v/>
      </c>
      <c r="BI627">
        <f>IF($BH627="","",IF($AO627="",$BH627,ROUND($BH627*$AO627,1)))</f>
        <v/>
      </c>
      <c r="BJ627">
        <f>IF($E627="","",IFERROR(VLOOKUP($C627,'_CONFIG_Risk_Calibration'!$A$5:$H$21,2,FALSE),3))</f>
        <v/>
      </c>
      <c r="BK627">
        <f>IF($E627="","",IFERROR(VLOOKUP($C627,'_CONFIG_Risk_Calibration'!$A$5:$H$21,3,FALSE),0))</f>
        <v/>
      </c>
      <c r="BL627">
        <f>IF($E627="","",IFERROR(VLOOKUP($C627,'_CONFIG_Risk_Calibration'!$A$5:$H$21,4,FALSE),3))</f>
        <v/>
      </c>
      <c r="BM627">
        <f>IF($E627="","",IFERROR(VLOOKUP($C627,'_CONFIG_Risk_Calibration'!$A$5:$H$21,5,FALSE),3))</f>
        <v/>
      </c>
      <c r="BN627">
        <f>IF($E627="","",IFERROR(VLOOKUP($C627,'_CONFIG_Risk_Calibration'!$A$5:$H$21,6,FALSE),"No"))</f>
        <v/>
      </c>
      <c r="BO627">
        <f>IF($E627="","",IFERROR(VLOOKUP($C627,'_CONFIG_Risk_Calibration'!$A$5:$H$21,7,FALSE),1))</f>
        <v/>
      </c>
      <c r="BP627">
        <f>IF($H627="","",MAX(1,MIN(5,((6-$H627)*0.45)+($BJ627*0.20)+('Resilience &amp; Risk Scenario'!$B$7*0.15)+($BK627*0.10)+($BL627*0.05)+(IF($BB627="Fast",5,IF($BB627="Slow",1,3))*0.05))))</f>
        <v/>
      </c>
      <c r="BQ627">
        <f>IF($H627="","",MAX(IF($BN627="Yes",$BO627,1),MIN(5,($U627*0.20)+($V627*0.15)+($W627*0.25)+($X627*0.15)+($BJ627*0.10)+($BM627*0.15))))</f>
        <v/>
      </c>
      <c r="BR627">
        <f>IF(OR($BP627="",$BQ627=""),"",ROUND($BP627*$BQ627,2))</f>
        <v/>
      </c>
      <c r="BS627">
        <f>IF($BR627="","",ROUND($BR627*IF($AO627="",1,$AO627)*IF($AX627="",1,$AX627)*(1+(($BM627-3)*0.10))*IF($BC627="",1,$BC627),2))</f>
        <v/>
      </c>
    </row>
    <row r="628" ht="69.90000000000001" customHeight="1" s="209">
      <c r="A628">
        <f>IF($BD628="","",SUMPRODUCT(ISNUMBER($BD$500:$BD$923)*($BD$500:$BD$923&gt;$BD628))+COUNTIF($BD$500:$BD628,$BD628))</f>
        <v/>
      </c>
      <c r="B628">
        <f>IF($H628="","",IF($H628&lt;5,"Yes","Maintain"))</f>
        <v/>
      </c>
      <c r="C628" t="inlineStr">
        <is>
          <t>Legal Risk</t>
        </is>
      </c>
      <c r="D628" t="inlineStr">
        <is>
          <t>Contracts</t>
        </is>
      </c>
      <c r="E628" t="inlineStr">
        <is>
          <t>LEGA-010</t>
        </is>
      </c>
      <c r="F628" t="inlineStr">
        <is>
          <t>Legal, compliance and contractual exposure</t>
        </is>
      </c>
      <c r="G628">
        <f>IF($H628="","",IFERROR(INDEX('_ENGINE_Risk'!$H$41:$M$920,MATCH($E628,'_ENGINE_Risk'!$A$41:$A$920,0),$H628+1),""))</f>
        <v/>
      </c>
      <c r="H628">
        <f>IFERROR(VALUE(INDEX(_DATA_Assessment_Model!$H$5:$H$884,MATCH($E628,_DATA_Assessment_Model!$A$5:$A$884,0))),"")</f>
        <v/>
      </c>
      <c r="I628">
        <f>IF($H628="","",IFERROR(INDEX(_DATA_Assessment_Model!$L$5:$L$884,MATCH($E628,_DATA_Assessment_Model!$A$5:$A$884,0)),IF($H628&lt;=1,"Critical",IF($H628=2,"High",IF($H628=3,"Medium",IF($H628=4,"Low","Resilient"))))))</f>
        <v/>
      </c>
      <c r="J628">
        <f>IF($H628="","",MIN(5,MAX(1,6-$H628)))</f>
        <v/>
      </c>
      <c r="K628">
        <f>IF($H628="","",MAX(1,MIN(5,ROUNDUP(($U628*0.45)+($W628*0.35)+($X628*0.2),0))))</f>
        <v/>
      </c>
      <c r="L628">
        <f>IF($H628="","",$J628*$K628)</f>
        <v/>
      </c>
      <c r="M628">
        <f>IF($H628="","",MAX(1,MIN(5,ROUNDUP($L628/5,0))))</f>
        <v/>
      </c>
      <c r="N628">
        <f>IF($H628="","",IFERROR(INDEX('_ENGINE_Risk'!$T$41:$Y$920,MATCH($E628,'_ENGINE_Risk'!$A$41:$A$920,0),$H628+1),""))</f>
        <v/>
      </c>
      <c r="O628">
        <f>IF($H628="","",MAX(1,MIN(5,($U628+$V628+$X628)/3)))</f>
        <v/>
      </c>
      <c r="P628">
        <f>IF($H628="","",IF($I628="Critical",5,IF($I628="High",4,IF($I628="Medium",3,IF($I628="Low",2,1)))))</f>
        <v/>
      </c>
      <c r="Q628">
        <f>IF($H628="","",MAX(1,MIN(5,((5-$H628)*0.65)+($W628*0.35))))</f>
        <v/>
      </c>
      <c r="R628">
        <f>IF($H628="","",MAX(1,MIN(5,($V628+$X628)/2)))</f>
        <v/>
      </c>
      <c r="S628">
        <f>IF(OR($H628="",$N628=""),"",ROUND(($O628+$P628+$Q628+$R628)/$N628,2))</f>
        <v/>
      </c>
      <c r="T628">
        <f>IF($H628="","",IFERROR(INDEX('_ENGINE_Risk'!$N$41:$S$920,MATCH($E628,'_ENGINE_Risk'!$A$41:$A$920,0),$H628+1),""))</f>
        <v/>
      </c>
      <c r="U628">
        <f>IFERROR(INDEX(_DATA_Assessment_Model!$G$5:$G$884,MATCH($E628,_DATA_Assessment_Model!$A$5:$A$884,0)),"")</f>
        <v/>
      </c>
      <c r="V628">
        <f>IFERROR(INDEX(_DATA_Assessment_Model!$W$5:$W$884,MATCH($E628,_DATA_Assessment_Model!$A$5:$A$884,0)),"")</f>
        <v/>
      </c>
      <c r="W628">
        <f>IFERROR(INDEX(_DATA_Assessment_Model!$X$5:$X$884,MATCH($E628,_DATA_Assessment_Model!$A$5:$A$884,0)),"")</f>
        <v/>
      </c>
      <c r="X628">
        <f>IFERROR(INDEX(_DATA_Assessment_Model!$Y$5:$Y$884,MATCH($E628,_DATA_Assessment_Model!$A$5:$A$884,0)),"")</f>
        <v/>
      </c>
      <c r="Y628" t="inlineStr">
        <is>
          <t>Regulatory/legal shock; Contractual exposure; Data breach</t>
        </is>
      </c>
      <c r="Z628" t="inlineStr">
        <is>
          <t>Legal / Compliance</t>
        </is>
      </c>
      <c r="AA628" t="inlineStr">
        <is>
          <t>Policy/SOP; owner/RACI; system report; dashboard; contracts; test records; incident history; interview evidence related to supplier continuity, security, audit, subcontractor and incident notification clauses.</t>
        </is>
      </c>
      <c r="AB628">
        <f>IFERROR(INDEX(_DATA_Assessment_Model!$U$5:$U$884,MATCH($E628,_DATA_Assessment_Model!$A$5:$A$884,0)),"")</f>
        <v/>
      </c>
      <c r="AF628" t="inlineStr">
        <is>
          <t>How mature is the organization in managing supplier continuity, security, audit, subcontractor and incident notification clauses, including ownership, evidence, metrics, fallback procedures and crisis stress testing?</t>
        </is>
      </c>
      <c r="AO628">
        <f>IF($B628="Yes",IFERROR(INDEX(_ENGINE_Crisis!$F$501:$F$517,MATCH($C628,_ENGINE_Crisis!$A$501:$A$517,0)),1),"")</f>
        <v/>
      </c>
      <c r="AP628">
        <f>IF(AO628="","",ROUND($L628*AO628,1))</f>
        <v/>
      </c>
      <c r="AQ628">
        <f>IF(OR(AO628="",$S628=""),"",ROUND($S628*(0.7+0.3*AO628),2))</f>
        <v/>
      </c>
      <c r="AR628">
        <f>IFERROR(INDEX(_ENGINE_Crisis!$E$41:$E$700,MATCH('Resilience &amp; Risk Scenario'!$B$60&amp;"|"&amp;$C628,_ENGINE_Crisis!$I$41:$I$700,0)),"")</f>
        <v/>
      </c>
      <c r="AS628">
        <f>IFERROR(INDEX(_ENGINE_Crisis!$G$41:$G$700,MATCH('Resilience &amp; Risk Scenario'!$B$60&amp;"|"&amp;$C628,_ENGINE_Crisis!$I$41:$I$700,0)),"")</f>
        <v/>
      </c>
      <c r="AT628">
        <f>IFERROR(INDEX(_ENGINE_Initiatives!$A$5:$A$532,MATCH(1,INDEX((_ENGINE_Initiatives!$B$5:$B$532=$C628)*(_ENGINE_Initiatives!$C$5:$C$532=$D628),0),0)),"")</f>
        <v/>
      </c>
      <c r="AU628">
        <f>IFERROR(INDEX(_ENGINE_Initiatives!$F$5:$F$532,MATCH(1,INDEX((_ENGINE_Initiatives!$B$5:$B$532=$C628)*(_ENGINE_Initiatives!$C$5:$C$532=$D628),0),0)),"")</f>
        <v/>
      </c>
      <c r="AV628">
        <f>IFERROR(INDEX(_ENGINE_Initiatives!$AC$5:$AC$532,MATCH(1,INDEX((_ENGINE_Initiatives!$B$5:$B$532=$C628)*(_ENGINE_Initiatives!$C$5:$C$532=$D628),0),0)),"")</f>
        <v/>
      </c>
      <c r="AW628">
        <f>IFERROR(INDEX(_ENGINE_Initiatives!$AE$5:$AE$532,MATCH(1,INDEX((_ENGINE_Initiatives!$B$5:$B$532=$C628)*(_ENGINE_Initiatives!$C$5:$C$532=$D628),0),0)),"")</f>
        <v/>
      </c>
      <c r="AX628">
        <f>IF($B628="Yes",IFERROR(IF(SUMIFS(_REF_Model_Content!$E$1:$E$613,_REF_Model_Content!$A$1:$A$613,'Company Profile'!$B$9,_REF_Model_Content!$B$1:$B$613,$C628)=0,1,SUMIFS(_REF_Model_Content!$E$1:$E$613,_REF_Model_Content!$A$1:$A$613,'Company Profile'!$B$9,_REF_Model_Content!$B$1:$B$613,$C628)),1),"")</f>
        <v/>
      </c>
      <c r="AY628">
        <f>IF($L628="","",ROUND(IF($AP628="",$L628,$AP628)*IF($AX628="",1,$AX628),2))</f>
        <v/>
      </c>
      <c r="AZ628">
        <f>IF($S628="","",ROUND(IF($AQ628="",$S628,$AQ628)*IF($AX628="",1,$AX628),2))</f>
        <v/>
      </c>
      <c r="BB628">
        <f>IF($H628="","",IFERROR(INDEX('_ENGINE_Risk'!$AE$41:$AE$920,MATCH($E628,'_ENGINE_Risk'!$A$41:$A$920,0)),"Medium"))</f>
        <v/>
      </c>
      <c r="BC628">
        <f>IF($BB628="","",IF($BB628="Fast",1.25,IF($BB628="Slow",0.85,1)))</f>
        <v/>
      </c>
      <c r="BD628">
        <f>IF(OR($AZ628="",$BC628=""),"",ROUND($AZ628*$BC628,2))</f>
        <v/>
      </c>
      <c r="BF628">
        <f>IF(OR($H628="",$J628=""),"",_xlfn.IFNA(VLOOKUP($J628,_CONFIG_Model_Settings!$D$610:$E$614,2,0),""))</f>
        <v/>
      </c>
      <c r="BG628">
        <f>IF(OR($H628="",$K628=""),"",ROUND('Company Profile'!$B$569*INDEX(_CONFIG_Model_Settings!$H$610:$H$614,MATCH($K628,_CONFIG_Model_Settings!$G$610:$G$614,0)),0))</f>
        <v/>
      </c>
      <c r="BH628">
        <f>IF(OR($BF628="",$BG628=""),"",ROUND($BF628*$BG628,1))</f>
        <v/>
      </c>
      <c r="BI628">
        <f>IF($BH628="","",IF($AO628="",$BH628,ROUND($BH628*$AO628,1)))</f>
        <v/>
      </c>
      <c r="BJ628">
        <f>IF($E628="","",IFERROR(VLOOKUP($C628,'_CONFIG_Risk_Calibration'!$A$5:$H$21,2,FALSE),3))</f>
        <v/>
      </c>
      <c r="BK628">
        <f>IF($E628="","",IFERROR(VLOOKUP($C628,'_CONFIG_Risk_Calibration'!$A$5:$H$21,3,FALSE),0))</f>
        <v/>
      </c>
      <c r="BL628">
        <f>IF($E628="","",IFERROR(VLOOKUP($C628,'_CONFIG_Risk_Calibration'!$A$5:$H$21,4,FALSE),3))</f>
        <v/>
      </c>
      <c r="BM628">
        <f>IF($E628="","",IFERROR(VLOOKUP($C628,'_CONFIG_Risk_Calibration'!$A$5:$H$21,5,FALSE),3))</f>
        <v/>
      </c>
      <c r="BN628">
        <f>IF($E628="","",IFERROR(VLOOKUP($C628,'_CONFIG_Risk_Calibration'!$A$5:$H$21,6,FALSE),"No"))</f>
        <v/>
      </c>
      <c r="BO628">
        <f>IF($E628="","",IFERROR(VLOOKUP($C628,'_CONFIG_Risk_Calibration'!$A$5:$H$21,7,FALSE),1))</f>
        <v/>
      </c>
      <c r="BP628">
        <f>IF($H628="","",MAX(1,MIN(5,((6-$H628)*0.45)+($BJ628*0.20)+('Resilience &amp; Risk Scenario'!$B$7*0.15)+($BK628*0.10)+($BL628*0.05)+(IF($BB628="Fast",5,IF($BB628="Slow",1,3))*0.05))))</f>
        <v/>
      </c>
      <c r="BQ628">
        <f>IF($H628="","",MAX(IF($BN628="Yes",$BO628,1),MIN(5,($U628*0.20)+($V628*0.15)+($W628*0.25)+($X628*0.15)+($BJ628*0.10)+($BM628*0.15))))</f>
        <v/>
      </c>
      <c r="BR628">
        <f>IF(OR($BP628="",$BQ628=""),"",ROUND($BP628*$BQ628,2))</f>
        <v/>
      </c>
      <c r="BS628">
        <f>IF($BR628="","",ROUND($BR628*IF($AO628="",1,$AO628)*IF($AX628="",1,$AX628)*(1+(($BM628-3)*0.10))*IF($BC628="",1,$BC628),2))</f>
        <v/>
      </c>
    </row>
    <row r="629" ht="69.90000000000001" customHeight="1" s="209">
      <c r="A629">
        <f>IF($BD629="","",SUMPRODUCT(ISNUMBER($BD$500:$BD$923)*($BD$500:$BD$923&gt;$BD629))+COUNTIF($BD$500:$BD629,$BD629))</f>
        <v/>
      </c>
      <c r="B629">
        <f>IF($H629="","",IF($H629&lt;5,"Yes","Maintain"))</f>
        <v/>
      </c>
      <c r="C629" t="inlineStr">
        <is>
          <t>Legal Risk</t>
        </is>
      </c>
      <c r="D629" t="inlineStr">
        <is>
          <t>Contracts</t>
        </is>
      </c>
      <c r="E629" t="inlineStr">
        <is>
          <t>LEGA-011</t>
        </is>
      </c>
      <c r="F629" t="inlineStr">
        <is>
          <t>Legal, compliance and contractual exposure</t>
        </is>
      </c>
      <c r="G629">
        <f>IF($H629="","",IFERROR(INDEX('_ENGINE_Risk'!$H$41:$M$920,MATCH($E629,'_ENGINE_Risk'!$A$41:$A$920,0),$H629+1),""))</f>
        <v/>
      </c>
      <c r="H629">
        <f>IFERROR(VALUE(INDEX(_DATA_Assessment_Model!$H$5:$H$884,MATCH($E629,_DATA_Assessment_Model!$A$5:$A$884,0))),"")</f>
        <v/>
      </c>
      <c r="I629">
        <f>IF($H629="","",IFERROR(INDEX(_DATA_Assessment_Model!$L$5:$L$884,MATCH($E629,_DATA_Assessment_Model!$A$5:$A$884,0)),IF($H629&lt;=1,"Critical",IF($H629=2,"High",IF($H629=3,"Medium",IF($H629=4,"Low","Resilient"))))))</f>
        <v/>
      </c>
      <c r="J629">
        <f>IF($H629="","",MIN(5,MAX(1,6-$H629)))</f>
        <v/>
      </c>
      <c r="K629">
        <f>IF($H629="","",MAX(1,MIN(5,ROUNDUP(($U629*0.45)+($W629*0.35)+($X629*0.2),0))))</f>
        <v/>
      </c>
      <c r="L629">
        <f>IF($H629="","",$J629*$K629)</f>
        <v/>
      </c>
      <c r="M629">
        <f>IF($H629="","",MAX(1,MIN(5,ROUNDUP($L629/5,0))))</f>
        <v/>
      </c>
      <c r="N629">
        <f>IF($H629="","",IFERROR(INDEX('_ENGINE_Risk'!$T$41:$Y$920,MATCH($E629,'_ENGINE_Risk'!$A$41:$A$920,0),$H629+1),""))</f>
        <v/>
      </c>
      <c r="O629">
        <f>IF($H629="","",MAX(1,MIN(5,($U629+$V629+$X629)/3)))</f>
        <v/>
      </c>
      <c r="P629">
        <f>IF($H629="","",IF($I629="Critical",5,IF($I629="High",4,IF($I629="Medium",3,IF($I629="Low",2,1)))))</f>
        <v/>
      </c>
      <c r="Q629">
        <f>IF($H629="","",MAX(1,MIN(5,((5-$H629)*0.65)+($W629*0.35))))</f>
        <v/>
      </c>
      <c r="R629">
        <f>IF($H629="","",MAX(1,MIN(5,($V629+$X629)/2)))</f>
        <v/>
      </c>
      <c r="S629">
        <f>IF(OR($H629="",$N629=""),"",ROUND(($O629+$P629+$Q629+$R629)/$N629,2))</f>
        <v/>
      </c>
      <c r="T629">
        <f>IF($H629="","",IFERROR(INDEX('_ENGINE_Risk'!$N$41:$S$920,MATCH($E629,'_ENGINE_Risk'!$A$41:$A$920,0),$H629+1),""))</f>
        <v/>
      </c>
      <c r="U629">
        <f>IFERROR(INDEX(_DATA_Assessment_Model!$G$5:$G$884,MATCH($E629,_DATA_Assessment_Model!$A$5:$A$884,0)),"")</f>
        <v/>
      </c>
      <c r="V629">
        <f>IFERROR(INDEX(_DATA_Assessment_Model!$W$5:$W$884,MATCH($E629,_DATA_Assessment_Model!$A$5:$A$884,0)),"")</f>
        <v/>
      </c>
      <c r="W629">
        <f>IFERROR(INDEX(_DATA_Assessment_Model!$X$5:$X$884,MATCH($E629,_DATA_Assessment_Model!$A$5:$A$884,0)),"")</f>
        <v/>
      </c>
      <c r="X629">
        <f>IFERROR(INDEX(_DATA_Assessment_Model!$Y$5:$Y$884,MATCH($E629,_DATA_Assessment_Model!$A$5:$A$884,0)),"")</f>
        <v/>
      </c>
      <c r="Y629" t="inlineStr">
        <is>
          <t>Regulatory/legal shock; Contractual exposure; Data breach</t>
        </is>
      </c>
      <c r="Z629" t="inlineStr">
        <is>
          <t>Legal / Compliance</t>
        </is>
      </c>
      <c r="AA629" t="inlineStr">
        <is>
          <t>Policy/SOP; owner/RACI; system report; dashboard; contracts; test records; incident history; interview evidence related to signatory continuity with powers of attorney, board approvals and emergency delegation.</t>
        </is>
      </c>
      <c r="AB629">
        <f>IFERROR(INDEX(_DATA_Assessment_Model!$U$5:$U$884,MATCH($E629,_DATA_Assessment_Model!$A$5:$A$884,0)),"")</f>
        <v/>
      </c>
      <c r="AF629" t="inlineStr">
        <is>
          <t>How mature is the organization in managing signatory continuity with powers of attorney, board approvals and emergency delegation, including ownership, evidence, metrics, fallback procedures and crisis stress testing?</t>
        </is>
      </c>
      <c r="AO629">
        <f>IF($B629="Yes",IFERROR(INDEX(_ENGINE_Crisis!$F$501:$F$517,MATCH($C629,_ENGINE_Crisis!$A$501:$A$517,0)),1),"")</f>
        <v/>
      </c>
      <c r="AP629">
        <f>IF(AO629="","",ROUND($L629*AO629,1))</f>
        <v/>
      </c>
      <c r="AQ629">
        <f>IF(OR(AO629="",$S629=""),"",ROUND($S629*(0.7+0.3*AO629),2))</f>
        <v/>
      </c>
      <c r="AR629">
        <f>IFERROR(INDEX(_ENGINE_Crisis!$E$41:$E$700,MATCH('Resilience &amp; Risk Scenario'!$B$60&amp;"|"&amp;$C629,_ENGINE_Crisis!$I$41:$I$700,0)),"")</f>
        <v/>
      </c>
      <c r="AS629">
        <f>IFERROR(INDEX(_ENGINE_Crisis!$G$41:$G$700,MATCH('Resilience &amp; Risk Scenario'!$B$60&amp;"|"&amp;$C629,_ENGINE_Crisis!$I$41:$I$700,0)),"")</f>
        <v/>
      </c>
      <c r="AT629">
        <f>IFERROR(INDEX(_ENGINE_Initiatives!$A$5:$A$532,MATCH(1,INDEX((_ENGINE_Initiatives!$B$5:$B$532=$C629)*(_ENGINE_Initiatives!$C$5:$C$532=$D629),0),0)),"")</f>
        <v/>
      </c>
      <c r="AU629">
        <f>IFERROR(INDEX(_ENGINE_Initiatives!$F$5:$F$532,MATCH(1,INDEX((_ENGINE_Initiatives!$B$5:$B$532=$C629)*(_ENGINE_Initiatives!$C$5:$C$532=$D629),0),0)),"")</f>
        <v/>
      </c>
      <c r="AV629">
        <f>IFERROR(INDEX(_ENGINE_Initiatives!$AC$5:$AC$532,MATCH(1,INDEX((_ENGINE_Initiatives!$B$5:$B$532=$C629)*(_ENGINE_Initiatives!$C$5:$C$532=$D629),0),0)),"")</f>
        <v/>
      </c>
      <c r="AW629">
        <f>IFERROR(INDEX(_ENGINE_Initiatives!$AE$5:$AE$532,MATCH(1,INDEX((_ENGINE_Initiatives!$B$5:$B$532=$C629)*(_ENGINE_Initiatives!$C$5:$C$532=$D629),0),0)),"")</f>
        <v/>
      </c>
      <c r="AX629">
        <f>IF($B629="Yes",IFERROR(IF(SUMIFS(_REF_Model_Content!$E$1:$E$613,_REF_Model_Content!$A$1:$A$613,'Company Profile'!$B$9,_REF_Model_Content!$B$1:$B$613,$C629)=0,1,SUMIFS(_REF_Model_Content!$E$1:$E$613,_REF_Model_Content!$A$1:$A$613,'Company Profile'!$B$9,_REF_Model_Content!$B$1:$B$613,$C629)),1),"")</f>
        <v/>
      </c>
      <c r="AY629">
        <f>IF($L629="","",ROUND(IF($AP629="",$L629,$AP629)*IF($AX629="",1,$AX629),2))</f>
        <v/>
      </c>
      <c r="AZ629">
        <f>IF($S629="","",ROUND(IF($AQ629="",$S629,$AQ629)*IF($AX629="",1,$AX629),2))</f>
        <v/>
      </c>
      <c r="BB629">
        <f>IF($H629="","",IFERROR(INDEX('_ENGINE_Risk'!$AE$41:$AE$920,MATCH($E629,'_ENGINE_Risk'!$A$41:$A$920,0)),"Medium"))</f>
        <v/>
      </c>
      <c r="BC629">
        <f>IF($BB629="","",IF($BB629="Fast",1.25,IF($BB629="Slow",0.85,1)))</f>
        <v/>
      </c>
      <c r="BD629">
        <f>IF(OR($AZ629="",$BC629=""),"",ROUND($AZ629*$BC629,2))</f>
        <v/>
      </c>
      <c r="BF629">
        <f>IF(OR($H629="",$J629=""),"",_xlfn.IFNA(VLOOKUP($J629,_CONFIG_Model_Settings!$D$610:$E$614,2,0),""))</f>
        <v/>
      </c>
      <c r="BG629">
        <f>IF(OR($H629="",$K629=""),"",ROUND('Company Profile'!$B$569*INDEX(_CONFIG_Model_Settings!$H$610:$H$614,MATCH($K629,_CONFIG_Model_Settings!$G$610:$G$614,0)),0))</f>
        <v/>
      </c>
      <c r="BH629">
        <f>IF(OR($BF629="",$BG629=""),"",ROUND($BF629*$BG629,1))</f>
        <v/>
      </c>
      <c r="BI629">
        <f>IF($BH629="","",IF($AO629="",$BH629,ROUND($BH629*$AO629,1)))</f>
        <v/>
      </c>
      <c r="BJ629">
        <f>IF($E629="","",IFERROR(VLOOKUP($C629,'_CONFIG_Risk_Calibration'!$A$5:$H$21,2,FALSE),3))</f>
        <v/>
      </c>
      <c r="BK629">
        <f>IF($E629="","",IFERROR(VLOOKUP($C629,'_CONFIG_Risk_Calibration'!$A$5:$H$21,3,FALSE),0))</f>
        <v/>
      </c>
      <c r="BL629">
        <f>IF($E629="","",IFERROR(VLOOKUP($C629,'_CONFIG_Risk_Calibration'!$A$5:$H$21,4,FALSE),3))</f>
        <v/>
      </c>
      <c r="BM629">
        <f>IF($E629="","",IFERROR(VLOOKUP($C629,'_CONFIG_Risk_Calibration'!$A$5:$H$21,5,FALSE),3))</f>
        <v/>
      </c>
      <c r="BN629">
        <f>IF($E629="","",IFERROR(VLOOKUP($C629,'_CONFIG_Risk_Calibration'!$A$5:$H$21,6,FALSE),"No"))</f>
        <v/>
      </c>
      <c r="BO629">
        <f>IF($E629="","",IFERROR(VLOOKUP($C629,'_CONFIG_Risk_Calibration'!$A$5:$H$21,7,FALSE),1))</f>
        <v/>
      </c>
      <c r="BP629">
        <f>IF($H629="","",MAX(1,MIN(5,((6-$H629)*0.45)+($BJ629*0.20)+('Resilience &amp; Risk Scenario'!$B$7*0.15)+($BK629*0.10)+($BL629*0.05)+(IF($BB629="Fast",5,IF($BB629="Slow",1,3))*0.05))))</f>
        <v/>
      </c>
      <c r="BQ629">
        <f>IF($H629="","",MAX(IF($BN629="Yes",$BO629,1),MIN(5,($U629*0.20)+($V629*0.15)+($W629*0.25)+($X629*0.15)+($BJ629*0.10)+($BM629*0.15))))</f>
        <v/>
      </c>
      <c r="BR629">
        <f>IF(OR($BP629="",$BQ629=""),"",ROUND($BP629*$BQ629,2))</f>
        <v/>
      </c>
      <c r="BS629">
        <f>IF($BR629="","",ROUND($BR629*IF($AO629="",1,$AO629)*IF($AX629="",1,$AX629)*(1+(($BM629-3)*0.10))*IF($BC629="",1,$BC629),2))</f>
        <v/>
      </c>
    </row>
    <row r="630" ht="69.90000000000001" customHeight="1" s="209">
      <c r="A630">
        <f>IF($BD630="","",SUMPRODUCT(ISNUMBER($BD$500:$BD$923)*($BD$500:$BD$923&gt;$BD630))+COUNTIF($BD$500:$BD630,$BD630))</f>
        <v/>
      </c>
      <c r="B630">
        <f>IF($H630="","",IF($H630&lt;5,"Yes","Maintain"))</f>
        <v/>
      </c>
      <c r="C630" t="inlineStr">
        <is>
          <t>Legal Risk</t>
        </is>
      </c>
      <c r="D630" t="inlineStr">
        <is>
          <t>Contracts</t>
        </is>
      </c>
      <c r="E630" t="inlineStr">
        <is>
          <t>LEGA-012</t>
        </is>
      </c>
      <c r="F630" t="inlineStr">
        <is>
          <t>Legal, compliance and contractual exposure</t>
        </is>
      </c>
      <c r="G630">
        <f>IF($H630="","",IFERROR(INDEX('_ENGINE_Risk'!$H$41:$M$920,MATCH($E630,'_ENGINE_Risk'!$A$41:$A$920,0),$H630+1),""))</f>
        <v/>
      </c>
      <c r="H630">
        <f>IFERROR(VALUE(INDEX(_DATA_Assessment_Model!$H$5:$H$884,MATCH($E630,_DATA_Assessment_Model!$A$5:$A$884,0))),"")</f>
        <v/>
      </c>
      <c r="I630">
        <f>IF($H630="","",IFERROR(INDEX(_DATA_Assessment_Model!$L$5:$L$884,MATCH($E630,_DATA_Assessment_Model!$A$5:$A$884,0)),IF($H630&lt;=1,"Critical",IF($H630=2,"High",IF($H630=3,"Medium",IF($H630=4,"Low","Resilient"))))))</f>
        <v/>
      </c>
      <c r="J630">
        <f>IF($H630="","",MIN(5,MAX(1,6-$H630)))</f>
        <v/>
      </c>
      <c r="K630">
        <f>IF($H630="","",MAX(1,MIN(5,ROUNDUP(($U630*0.45)+($W630*0.35)+($X630*0.2),0))))</f>
        <v/>
      </c>
      <c r="L630">
        <f>IF($H630="","",$J630*$K630)</f>
        <v/>
      </c>
      <c r="M630">
        <f>IF($H630="","",MAX(1,MIN(5,ROUNDUP($L630/5,0))))</f>
        <v/>
      </c>
      <c r="N630">
        <f>IF($H630="","",IFERROR(INDEX('_ENGINE_Risk'!$T$41:$Y$920,MATCH($E630,'_ENGINE_Risk'!$A$41:$A$920,0),$H630+1),""))</f>
        <v/>
      </c>
      <c r="O630">
        <f>IF($H630="","",MAX(1,MIN(5,($U630+$V630+$X630)/3)))</f>
        <v/>
      </c>
      <c r="P630">
        <f>IF($H630="","",IF($I630="Critical",5,IF($I630="High",4,IF($I630="Medium",3,IF($I630="Low",2,1)))))</f>
        <v/>
      </c>
      <c r="Q630">
        <f>IF($H630="","",MAX(1,MIN(5,((5-$H630)*0.65)+($W630*0.35))))</f>
        <v/>
      </c>
      <c r="R630">
        <f>IF($H630="","",MAX(1,MIN(5,($V630+$X630)/2)))</f>
        <v/>
      </c>
      <c r="S630">
        <f>IF(OR($H630="",$N630=""),"",ROUND(($O630+$P630+$Q630+$R630)/$N630,2))</f>
        <v/>
      </c>
      <c r="T630">
        <f>IF($H630="","",IFERROR(INDEX('_ENGINE_Risk'!$N$41:$S$920,MATCH($E630,'_ENGINE_Risk'!$A$41:$A$920,0),$H630+1),""))</f>
        <v/>
      </c>
      <c r="U630">
        <f>IFERROR(INDEX(_DATA_Assessment_Model!$G$5:$G$884,MATCH($E630,_DATA_Assessment_Model!$A$5:$A$884,0)),"")</f>
        <v/>
      </c>
      <c r="V630">
        <f>IFERROR(INDEX(_DATA_Assessment_Model!$W$5:$W$884,MATCH($E630,_DATA_Assessment_Model!$A$5:$A$884,0)),"")</f>
        <v/>
      </c>
      <c r="W630">
        <f>IFERROR(INDEX(_DATA_Assessment_Model!$X$5:$X$884,MATCH($E630,_DATA_Assessment_Model!$A$5:$A$884,0)),"")</f>
        <v/>
      </c>
      <c r="X630">
        <f>IFERROR(INDEX(_DATA_Assessment_Model!$Y$5:$Y$884,MATCH($E630,_DATA_Assessment_Model!$A$5:$A$884,0)),"")</f>
        <v/>
      </c>
      <c r="Y630" t="inlineStr">
        <is>
          <t>Regulatory/legal shock; Contractual exposure; Data breach</t>
        </is>
      </c>
      <c r="Z630" t="inlineStr">
        <is>
          <t>Legal / Compliance</t>
        </is>
      </c>
      <c r="AA630" t="inlineStr">
        <is>
          <t>Policy/SOP; owner/RACI; system report; dashboard; contracts; test records; incident history; interview evidence related to insurance claims process linked to incident evidence collection.</t>
        </is>
      </c>
      <c r="AB630">
        <f>IFERROR(INDEX(_DATA_Assessment_Model!$U$5:$U$884,MATCH($E630,_DATA_Assessment_Model!$A$5:$A$884,0)),"")</f>
        <v/>
      </c>
      <c r="AF630" t="inlineStr">
        <is>
          <t>How mature is the organization in managing insurance claims process linked to incident evidence collection, including ownership, evidence, metrics, fallback procedures and crisis stress testing?</t>
        </is>
      </c>
      <c r="AO630">
        <f>IF($B630="Yes",IFERROR(INDEX(_ENGINE_Crisis!$F$501:$F$517,MATCH($C630,_ENGINE_Crisis!$A$501:$A$517,0)),1),"")</f>
        <v/>
      </c>
      <c r="AP630">
        <f>IF(AO630="","",ROUND($L630*AO630,1))</f>
        <v/>
      </c>
      <c r="AQ630">
        <f>IF(OR(AO630="",$S630=""),"",ROUND($S630*(0.7+0.3*AO630),2))</f>
        <v/>
      </c>
      <c r="AR630">
        <f>IFERROR(INDEX(_ENGINE_Crisis!$E$41:$E$700,MATCH('Resilience &amp; Risk Scenario'!$B$60&amp;"|"&amp;$C630,_ENGINE_Crisis!$I$41:$I$700,0)),"")</f>
        <v/>
      </c>
      <c r="AS630">
        <f>IFERROR(INDEX(_ENGINE_Crisis!$G$41:$G$700,MATCH('Resilience &amp; Risk Scenario'!$B$60&amp;"|"&amp;$C630,_ENGINE_Crisis!$I$41:$I$700,0)),"")</f>
        <v/>
      </c>
      <c r="AT630">
        <f>IFERROR(INDEX(_ENGINE_Initiatives!$A$5:$A$532,MATCH(1,INDEX((_ENGINE_Initiatives!$B$5:$B$532=$C630)*(_ENGINE_Initiatives!$C$5:$C$532=$D630),0),0)),"")</f>
        <v/>
      </c>
      <c r="AU630">
        <f>IFERROR(INDEX(_ENGINE_Initiatives!$F$5:$F$532,MATCH(1,INDEX((_ENGINE_Initiatives!$B$5:$B$532=$C630)*(_ENGINE_Initiatives!$C$5:$C$532=$D630),0),0)),"")</f>
        <v/>
      </c>
      <c r="AV630">
        <f>IFERROR(INDEX(_ENGINE_Initiatives!$AC$5:$AC$532,MATCH(1,INDEX((_ENGINE_Initiatives!$B$5:$B$532=$C630)*(_ENGINE_Initiatives!$C$5:$C$532=$D630),0),0)),"")</f>
        <v/>
      </c>
      <c r="AW630">
        <f>IFERROR(INDEX(_ENGINE_Initiatives!$AE$5:$AE$532,MATCH(1,INDEX((_ENGINE_Initiatives!$B$5:$B$532=$C630)*(_ENGINE_Initiatives!$C$5:$C$532=$D630),0),0)),"")</f>
        <v/>
      </c>
      <c r="AX630">
        <f>IF($B630="Yes",IFERROR(IF(SUMIFS(_REF_Model_Content!$E$1:$E$613,_REF_Model_Content!$A$1:$A$613,'Company Profile'!$B$9,_REF_Model_Content!$B$1:$B$613,$C630)=0,1,SUMIFS(_REF_Model_Content!$E$1:$E$613,_REF_Model_Content!$A$1:$A$613,'Company Profile'!$B$9,_REF_Model_Content!$B$1:$B$613,$C630)),1),"")</f>
        <v/>
      </c>
      <c r="AY630">
        <f>IF($L630="","",ROUND(IF($AP630="",$L630,$AP630)*IF($AX630="",1,$AX630),2))</f>
        <v/>
      </c>
      <c r="AZ630">
        <f>IF($S630="","",ROUND(IF($AQ630="",$S630,$AQ630)*IF($AX630="",1,$AX630),2))</f>
        <v/>
      </c>
      <c r="BB630">
        <f>IF($H630="","",IFERROR(INDEX('_ENGINE_Risk'!$AE$41:$AE$920,MATCH($E630,'_ENGINE_Risk'!$A$41:$A$920,0)),"Medium"))</f>
        <v/>
      </c>
      <c r="BC630">
        <f>IF($BB630="","",IF($BB630="Fast",1.25,IF($BB630="Slow",0.85,1)))</f>
        <v/>
      </c>
      <c r="BD630">
        <f>IF(OR($AZ630="",$BC630=""),"",ROUND($AZ630*$BC630,2))</f>
        <v/>
      </c>
      <c r="BF630">
        <f>IF(OR($H630="",$J630=""),"",_xlfn.IFNA(VLOOKUP($J630,_CONFIG_Model_Settings!$D$610:$E$614,2,0),""))</f>
        <v/>
      </c>
      <c r="BG630">
        <f>IF(OR($H630="",$K630=""),"",ROUND('Company Profile'!$B$569*INDEX(_CONFIG_Model_Settings!$H$610:$H$614,MATCH($K630,_CONFIG_Model_Settings!$G$610:$G$614,0)),0))</f>
        <v/>
      </c>
      <c r="BH630">
        <f>IF(OR($BF630="",$BG630=""),"",ROUND($BF630*$BG630,1))</f>
        <v/>
      </c>
      <c r="BI630">
        <f>IF($BH630="","",IF($AO630="",$BH630,ROUND($BH630*$AO630,1)))</f>
        <v/>
      </c>
      <c r="BJ630">
        <f>IF($E630="","",IFERROR(VLOOKUP($C630,'_CONFIG_Risk_Calibration'!$A$5:$H$21,2,FALSE),3))</f>
        <v/>
      </c>
      <c r="BK630">
        <f>IF($E630="","",IFERROR(VLOOKUP($C630,'_CONFIG_Risk_Calibration'!$A$5:$H$21,3,FALSE),0))</f>
        <v/>
      </c>
      <c r="BL630">
        <f>IF($E630="","",IFERROR(VLOOKUP($C630,'_CONFIG_Risk_Calibration'!$A$5:$H$21,4,FALSE),3))</f>
        <v/>
      </c>
      <c r="BM630">
        <f>IF($E630="","",IFERROR(VLOOKUP($C630,'_CONFIG_Risk_Calibration'!$A$5:$H$21,5,FALSE),3))</f>
        <v/>
      </c>
      <c r="BN630">
        <f>IF($E630="","",IFERROR(VLOOKUP($C630,'_CONFIG_Risk_Calibration'!$A$5:$H$21,6,FALSE),"No"))</f>
        <v/>
      </c>
      <c r="BO630">
        <f>IF($E630="","",IFERROR(VLOOKUP($C630,'_CONFIG_Risk_Calibration'!$A$5:$H$21,7,FALSE),1))</f>
        <v/>
      </c>
      <c r="BP630">
        <f>IF($H630="","",MAX(1,MIN(5,((6-$H630)*0.45)+($BJ630*0.20)+('Resilience &amp; Risk Scenario'!$B$7*0.15)+($BK630*0.10)+($BL630*0.05)+(IF($BB630="Fast",5,IF($BB630="Slow",1,3))*0.05))))</f>
        <v/>
      </c>
      <c r="BQ630">
        <f>IF($H630="","",MAX(IF($BN630="Yes",$BO630,1),MIN(5,($U630*0.20)+($V630*0.15)+($W630*0.25)+($X630*0.15)+($BJ630*0.10)+($BM630*0.15))))</f>
        <v/>
      </c>
      <c r="BR630">
        <f>IF(OR($BP630="",$BQ630=""),"",ROUND($BP630*$BQ630,2))</f>
        <v/>
      </c>
      <c r="BS630">
        <f>IF($BR630="","",ROUND($BR630*IF($AO630="",1,$AO630)*IF($AX630="",1,$AX630)*(1+(($BM630-3)*0.10))*IF($BC630="",1,$BC630),2))</f>
        <v/>
      </c>
    </row>
    <row r="631" ht="69.90000000000001" customHeight="1" s="209">
      <c r="A631">
        <f>IF($BD631="","",SUMPRODUCT(ISNUMBER($BD$500:$BD$923)*($BD$500:$BD$923&gt;$BD631))+COUNTIF($BD$500:$BD631,$BD631))</f>
        <v/>
      </c>
      <c r="B631">
        <f>IF($H631="","",IF($H631&lt;5,"Yes","Maintain"))</f>
        <v/>
      </c>
      <c r="C631" t="inlineStr">
        <is>
          <t>Legal Risk</t>
        </is>
      </c>
      <c r="D631" t="inlineStr">
        <is>
          <t>Data and IP</t>
        </is>
      </c>
      <c r="E631" t="inlineStr">
        <is>
          <t>LEGA-013</t>
        </is>
      </c>
      <c r="F631" t="inlineStr">
        <is>
          <t>Legal, compliance and contractual exposure</t>
        </is>
      </c>
      <c r="G631">
        <f>IF($H631="","",IFERROR(INDEX('_ENGINE_Risk'!$H$41:$M$920,MATCH($E631,'_ENGINE_Risk'!$A$41:$A$920,0),$H631+1),""))</f>
        <v/>
      </c>
      <c r="H631">
        <f>IFERROR(VALUE(INDEX(_DATA_Assessment_Model!$H$5:$H$884,MATCH($E631,_DATA_Assessment_Model!$A$5:$A$884,0))),"")</f>
        <v/>
      </c>
      <c r="I631">
        <f>IF($H631="","",IFERROR(INDEX(_DATA_Assessment_Model!$L$5:$L$884,MATCH($E631,_DATA_Assessment_Model!$A$5:$A$884,0)),IF($H631&lt;=1,"Critical",IF($H631=2,"High",IF($H631=3,"Medium",IF($H631=4,"Low","Resilient"))))))</f>
        <v/>
      </c>
      <c r="J631">
        <f>IF($H631="","",MIN(5,MAX(1,6-$H631)))</f>
        <v/>
      </c>
      <c r="K631">
        <f>IF($H631="","",MAX(1,MIN(5,ROUNDUP(($U631*0.45)+($W631*0.35)+($X631*0.2),0))))</f>
        <v/>
      </c>
      <c r="L631">
        <f>IF($H631="","",$J631*$K631)</f>
        <v/>
      </c>
      <c r="M631">
        <f>IF($H631="","",MAX(1,MIN(5,ROUNDUP($L631/5,0))))</f>
        <v/>
      </c>
      <c r="N631">
        <f>IF($H631="","",IFERROR(INDEX('_ENGINE_Risk'!$T$41:$Y$920,MATCH($E631,'_ENGINE_Risk'!$A$41:$A$920,0),$H631+1),""))</f>
        <v/>
      </c>
      <c r="O631">
        <f>IF($H631="","",MAX(1,MIN(5,($U631+$V631+$X631)/3)))</f>
        <v/>
      </c>
      <c r="P631">
        <f>IF($H631="","",IF($I631="Critical",5,IF($I631="High",4,IF($I631="Medium",3,IF($I631="Low",2,1)))))</f>
        <v/>
      </c>
      <c r="Q631">
        <f>IF($H631="","",MAX(1,MIN(5,((5-$H631)*0.65)+($W631*0.35))))</f>
        <v/>
      </c>
      <c r="R631">
        <f>IF($H631="","",MAX(1,MIN(5,($V631+$X631)/2)))</f>
        <v/>
      </c>
      <c r="S631">
        <f>IF(OR($H631="",$N631=""),"",ROUND(($O631+$P631+$Q631+$R631)/$N631,2))</f>
        <v/>
      </c>
      <c r="T631">
        <f>IF($H631="","",IFERROR(INDEX('_ENGINE_Risk'!$N$41:$S$920,MATCH($E631,'_ENGINE_Risk'!$A$41:$A$920,0),$H631+1),""))</f>
        <v/>
      </c>
      <c r="U631">
        <f>IFERROR(INDEX(_DATA_Assessment_Model!$G$5:$G$884,MATCH($E631,_DATA_Assessment_Model!$A$5:$A$884,0)),"")</f>
        <v/>
      </c>
      <c r="V631">
        <f>IFERROR(INDEX(_DATA_Assessment_Model!$W$5:$W$884,MATCH($E631,_DATA_Assessment_Model!$A$5:$A$884,0)),"")</f>
        <v/>
      </c>
      <c r="W631">
        <f>IFERROR(INDEX(_DATA_Assessment_Model!$X$5:$X$884,MATCH($E631,_DATA_Assessment_Model!$A$5:$A$884,0)),"")</f>
        <v/>
      </c>
      <c r="X631">
        <f>IFERROR(INDEX(_DATA_Assessment_Model!$Y$5:$Y$884,MATCH($E631,_DATA_Assessment_Model!$A$5:$A$884,0)),"")</f>
        <v/>
      </c>
      <c r="Y631" t="inlineStr">
        <is>
          <t>Regulatory/legal shock; Contractual exposure; Data breach</t>
        </is>
      </c>
      <c r="Z631" t="inlineStr">
        <is>
          <t>Legal / Compliance</t>
        </is>
      </c>
      <c r="AA631" t="inlineStr">
        <is>
          <t>Policy/SOP; owner/RACI; system report; dashboard; contracts; test records; incident history; interview evidence related to personal data processing map by system, purpose, location, processor and transfer mechanism.</t>
        </is>
      </c>
      <c r="AB631">
        <f>IFERROR(INDEX(_DATA_Assessment_Model!$U$5:$U$884,MATCH($E631,_DATA_Assessment_Model!$A$5:$A$884,0)),"")</f>
        <v/>
      </c>
      <c r="AF631" t="inlineStr">
        <is>
          <t>How mature is the organization in managing personal data processing map by system, purpose, location, processor and transfer mechanism, including ownership, evidence, metrics, fallback procedures and crisis stress testing?</t>
        </is>
      </c>
      <c r="AO631">
        <f>IF($B631="Yes",IFERROR(INDEX(_ENGINE_Crisis!$F$501:$F$517,MATCH($C631,_ENGINE_Crisis!$A$501:$A$517,0)),1),"")</f>
        <v/>
      </c>
      <c r="AP631">
        <f>IF(AO631="","",ROUND($L631*AO631,1))</f>
        <v/>
      </c>
      <c r="AQ631">
        <f>IF(OR(AO631="",$S631=""),"",ROUND($S631*(0.7+0.3*AO631),2))</f>
        <v/>
      </c>
      <c r="AR631">
        <f>IFERROR(INDEX(_ENGINE_Crisis!$E$41:$E$700,MATCH('Resilience &amp; Risk Scenario'!$B$60&amp;"|"&amp;$C631,_ENGINE_Crisis!$I$41:$I$700,0)),"")</f>
        <v/>
      </c>
      <c r="AS631">
        <f>IFERROR(INDEX(_ENGINE_Crisis!$G$41:$G$700,MATCH('Resilience &amp; Risk Scenario'!$B$60&amp;"|"&amp;$C631,_ENGINE_Crisis!$I$41:$I$700,0)),"")</f>
        <v/>
      </c>
      <c r="AT631">
        <f>IFERROR(INDEX(_ENGINE_Initiatives!$A$5:$A$532,MATCH(1,INDEX((_ENGINE_Initiatives!$B$5:$B$532=$C631)*(_ENGINE_Initiatives!$C$5:$C$532=$D631),0),0)),"")</f>
        <v/>
      </c>
      <c r="AU631">
        <f>IFERROR(INDEX(_ENGINE_Initiatives!$F$5:$F$532,MATCH(1,INDEX((_ENGINE_Initiatives!$B$5:$B$532=$C631)*(_ENGINE_Initiatives!$C$5:$C$532=$D631),0),0)),"")</f>
        <v/>
      </c>
      <c r="AV631">
        <f>IFERROR(INDEX(_ENGINE_Initiatives!$AC$5:$AC$532,MATCH(1,INDEX((_ENGINE_Initiatives!$B$5:$B$532=$C631)*(_ENGINE_Initiatives!$C$5:$C$532=$D631),0),0)),"")</f>
        <v/>
      </c>
      <c r="AW631">
        <f>IFERROR(INDEX(_ENGINE_Initiatives!$AE$5:$AE$532,MATCH(1,INDEX((_ENGINE_Initiatives!$B$5:$B$532=$C631)*(_ENGINE_Initiatives!$C$5:$C$532=$D631),0),0)),"")</f>
        <v/>
      </c>
      <c r="AX631">
        <f>IF($B631="Yes",IFERROR(IF(SUMIFS(_REF_Model_Content!$E$1:$E$613,_REF_Model_Content!$A$1:$A$613,'Company Profile'!$B$9,_REF_Model_Content!$B$1:$B$613,$C631)=0,1,SUMIFS(_REF_Model_Content!$E$1:$E$613,_REF_Model_Content!$A$1:$A$613,'Company Profile'!$B$9,_REF_Model_Content!$B$1:$B$613,$C631)),1),"")</f>
        <v/>
      </c>
      <c r="AY631">
        <f>IF($L631="","",ROUND(IF($AP631="",$L631,$AP631)*IF($AX631="",1,$AX631),2))</f>
        <v/>
      </c>
      <c r="AZ631">
        <f>IF($S631="","",ROUND(IF($AQ631="",$S631,$AQ631)*IF($AX631="",1,$AX631),2))</f>
        <v/>
      </c>
      <c r="BB631">
        <f>IF($H631="","",IFERROR(INDEX('_ENGINE_Risk'!$AE$41:$AE$920,MATCH($E631,'_ENGINE_Risk'!$A$41:$A$920,0)),"Medium"))</f>
        <v/>
      </c>
      <c r="BC631">
        <f>IF($BB631="","",IF($BB631="Fast",1.25,IF($BB631="Slow",0.85,1)))</f>
        <v/>
      </c>
      <c r="BD631">
        <f>IF(OR($AZ631="",$BC631=""),"",ROUND($AZ631*$BC631,2))</f>
        <v/>
      </c>
      <c r="BF631">
        <f>IF(OR($H631="",$J631=""),"",_xlfn.IFNA(VLOOKUP($J631,_CONFIG_Model_Settings!$D$610:$E$614,2,0),""))</f>
        <v/>
      </c>
      <c r="BG631">
        <f>IF(OR($H631="",$K631=""),"",ROUND('Company Profile'!$B$569*INDEX(_CONFIG_Model_Settings!$H$610:$H$614,MATCH($K631,_CONFIG_Model_Settings!$G$610:$G$614,0)),0))</f>
        <v/>
      </c>
      <c r="BH631">
        <f>IF(OR($BF631="",$BG631=""),"",ROUND($BF631*$BG631,1))</f>
        <v/>
      </c>
      <c r="BI631">
        <f>IF($BH631="","",IF($AO631="",$BH631,ROUND($BH631*$AO631,1)))</f>
        <v/>
      </c>
      <c r="BJ631">
        <f>IF($E631="","",IFERROR(VLOOKUP($C631,'_CONFIG_Risk_Calibration'!$A$5:$H$21,2,FALSE),3))</f>
        <v/>
      </c>
      <c r="BK631">
        <f>IF($E631="","",IFERROR(VLOOKUP($C631,'_CONFIG_Risk_Calibration'!$A$5:$H$21,3,FALSE),0))</f>
        <v/>
      </c>
      <c r="BL631">
        <f>IF($E631="","",IFERROR(VLOOKUP($C631,'_CONFIG_Risk_Calibration'!$A$5:$H$21,4,FALSE),3))</f>
        <v/>
      </c>
      <c r="BM631">
        <f>IF($E631="","",IFERROR(VLOOKUP($C631,'_CONFIG_Risk_Calibration'!$A$5:$H$21,5,FALSE),3))</f>
        <v/>
      </c>
      <c r="BN631">
        <f>IF($E631="","",IFERROR(VLOOKUP($C631,'_CONFIG_Risk_Calibration'!$A$5:$H$21,6,FALSE),"No"))</f>
        <v/>
      </c>
      <c r="BO631">
        <f>IF($E631="","",IFERROR(VLOOKUP($C631,'_CONFIG_Risk_Calibration'!$A$5:$H$21,7,FALSE),1))</f>
        <v/>
      </c>
      <c r="BP631">
        <f>IF($H631="","",MAX(1,MIN(5,((6-$H631)*0.45)+($BJ631*0.20)+('Resilience &amp; Risk Scenario'!$B$7*0.15)+($BK631*0.10)+($BL631*0.05)+(IF($BB631="Fast",5,IF($BB631="Slow",1,3))*0.05))))</f>
        <v/>
      </c>
      <c r="BQ631">
        <f>IF($H631="","",MAX(IF($BN631="Yes",$BO631,1),MIN(5,($U631*0.20)+($V631*0.15)+($W631*0.25)+($X631*0.15)+($BJ631*0.10)+($BM631*0.15))))</f>
        <v/>
      </c>
      <c r="BR631">
        <f>IF(OR($BP631="",$BQ631=""),"",ROUND($BP631*$BQ631,2))</f>
        <v/>
      </c>
      <c r="BS631">
        <f>IF($BR631="","",ROUND($BR631*IF($AO631="",1,$AO631)*IF($AX631="",1,$AX631)*(1+(($BM631-3)*0.10))*IF($BC631="",1,$BC631),2))</f>
        <v/>
      </c>
    </row>
    <row r="632" ht="69.90000000000001" customHeight="1" s="209">
      <c r="A632">
        <f>IF($BD632="","",SUMPRODUCT(ISNUMBER($BD$500:$BD$923)*($BD$500:$BD$923&gt;$BD632))+COUNTIF($BD$500:$BD632,$BD632))</f>
        <v/>
      </c>
      <c r="B632">
        <f>IF($H632="","",IF($H632&lt;5,"Yes","Maintain"))</f>
        <v/>
      </c>
      <c r="C632" t="inlineStr">
        <is>
          <t>Legal Risk</t>
        </is>
      </c>
      <c r="D632" t="inlineStr">
        <is>
          <t>Data and IP</t>
        </is>
      </c>
      <c r="E632" t="inlineStr">
        <is>
          <t>LEGA-014</t>
        </is>
      </c>
      <c r="F632" t="inlineStr">
        <is>
          <t>Legal, compliance and contractual exposure</t>
        </is>
      </c>
      <c r="G632">
        <f>IF($H632="","",IFERROR(INDEX('_ENGINE_Risk'!$H$41:$M$920,MATCH($E632,'_ENGINE_Risk'!$A$41:$A$920,0),$H632+1),""))</f>
        <v/>
      </c>
      <c r="H632">
        <f>IFERROR(VALUE(INDEX(_DATA_Assessment_Model!$H$5:$H$884,MATCH($E632,_DATA_Assessment_Model!$A$5:$A$884,0))),"")</f>
        <v/>
      </c>
      <c r="I632">
        <f>IF($H632="","",IFERROR(INDEX(_DATA_Assessment_Model!$L$5:$L$884,MATCH($E632,_DATA_Assessment_Model!$A$5:$A$884,0)),IF($H632&lt;=1,"Critical",IF($H632=2,"High",IF($H632=3,"Medium",IF($H632=4,"Low","Resilient"))))))</f>
        <v/>
      </c>
      <c r="J632">
        <f>IF($H632="","",MIN(5,MAX(1,6-$H632)))</f>
        <v/>
      </c>
      <c r="K632">
        <f>IF($H632="","",MAX(1,MIN(5,ROUNDUP(($U632*0.45)+($W632*0.35)+($X632*0.2),0))))</f>
        <v/>
      </c>
      <c r="L632">
        <f>IF($H632="","",$J632*$K632)</f>
        <v/>
      </c>
      <c r="M632">
        <f>IF($H632="","",MAX(1,MIN(5,ROUNDUP($L632/5,0))))</f>
        <v/>
      </c>
      <c r="N632">
        <f>IF($H632="","",IFERROR(INDEX('_ENGINE_Risk'!$T$41:$Y$920,MATCH($E632,'_ENGINE_Risk'!$A$41:$A$920,0),$H632+1),""))</f>
        <v/>
      </c>
      <c r="O632">
        <f>IF($H632="","",MAX(1,MIN(5,($U632+$V632+$X632)/3)))</f>
        <v/>
      </c>
      <c r="P632">
        <f>IF($H632="","",IF($I632="Critical",5,IF($I632="High",4,IF($I632="Medium",3,IF($I632="Low",2,1)))))</f>
        <v/>
      </c>
      <c r="Q632">
        <f>IF($H632="","",MAX(1,MIN(5,((5-$H632)*0.65)+($W632*0.35))))</f>
        <v/>
      </c>
      <c r="R632">
        <f>IF($H632="","",MAX(1,MIN(5,($V632+$X632)/2)))</f>
        <v/>
      </c>
      <c r="S632">
        <f>IF(OR($H632="",$N632=""),"",ROUND(($O632+$P632+$Q632+$R632)/$N632,2))</f>
        <v/>
      </c>
      <c r="T632">
        <f>IF($H632="","",IFERROR(INDEX('_ENGINE_Risk'!$N$41:$S$920,MATCH($E632,'_ENGINE_Risk'!$A$41:$A$920,0),$H632+1),""))</f>
        <v/>
      </c>
      <c r="U632">
        <f>IFERROR(INDEX(_DATA_Assessment_Model!$G$5:$G$884,MATCH($E632,_DATA_Assessment_Model!$A$5:$A$884,0)),"")</f>
        <v/>
      </c>
      <c r="V632">
        <f>IFERROR(INDEX(_DATA_Assessment_Model!$W$5:$W$884,MATCH($E632,_DATA_Assessment_Model!$A$5:$A$884,0)),"")</f>
        <v/>
      </c>
      <c r="W632">
        <f>IFERROR(INDEX(_DATA_Assessment_Model!$X$5:$X$884,MATCH($E632,_DATA_Assessment_Model!$A$5:$A$884,0)),"")</f>
        <v/>
      </c>
      <c r="X632">
        <f>IFERROR(INDEX(_DATA_Assessment_Model!$Y$5:$Y$884,MATCH($E632,_DATA_Assessment_Model!$A$5:$A$884,0)),"")</f>
        <v/>
      </c>
      <c r="Y632" t="inlineStr">
        <is>
          <t>Regulatory/legal shock; Contractual exposure; Data breach</t>
        </is>
      </c>
      <c r="Z632" t="inlineStr">
        <is>
          <t>Legal / Compliance</t>
        </is>
      </c>
      <c r="AA632" t="inlineStr">
        <is>
          <t>Policy/SOP; owner/RACI; system report; dashboard; contracts; test records; incident history; interview evidence related to breach notification readiness for personal data and customer contractual obligations.</t>
        </is>
      </c>
      <c r="AB632">
        <f>IFERROR(INDEX(_DATA_Assessment_Model!$U$5:$U$884,MATCH($E632,_DATA_Assessment_Model!$A$5:$A$884,0)),"")</f>
        <v/>
      </c>
      <c r="AF632" t="inlineStr">
        <is>
          <t>How mature is the organization in managing breach notification readiness for personal data and customer contractual obligations, including ownership, evidence, metrics, fallback procedures and crisis stress testing?</t>
        </is>
      </c>
      <c r="AO632">
        <f>IF($B632="Yes",IFERROR(INDEX(_ENGINE_Crisis!$F$501:$F$517,MATCH($C632,_ENGINE_Crisis!$A$501:$A$517,0)),1),"")</f>
        <v/>
      </c>
      <c r="AP632">
        <f>IF(AO632="","",ROUND($L632*AO632,1))</f>
        <v/>
      </c>
      <c r="AQ632">
        <f>IF(OR(AO632="",$S632=""),"",ROUND($S632*(0.7+0.3*AO632),2))</f>
        <v/>
      </c>
      <c r="AR632">
        <f>IFERROR(INDEX(_ENGINE_Crisis!$E$41:$E$700,MATCH('Resilience &amp; Risk Scenario'!$B$60&amp;"|"&amp;$C632,_ENGINE_Crisis!$I$41:$I$700,0)),"")</f>
        <v/>
      </c>
      <c r="AS632">
        <f>IFERROR(INDEX(_ENGINE_Crisis!$G$41:$G$700,MATCH('Resilience &amp; Risk Scenario'!$B$60&amp;"|"&amp;$C632,_ENGINE_Crisis!$I$41:$I$700,0)),"")</f>
        <v/>
      </c>
      <c r="AT632">
        <f>IFERROR(INDEX(_ENGINE_Initiatives!$A$5:$A$532,MATCH(1,INDEX((_ENGINE_Initiatives!$B$5:$B$532=$C632)*(_ENGINE_Initiatives!$C$5:$C$532=$D632),0),0)),"")</f>
        <v/>
      </c>
      <c r="AU632">
        <f>IFERROR(INDEX(_ENGINE_Initiatives!$F$5:$F$532,MATCH(1,INDEX((_ENGINE_Initiatives!$B$5:$B$532=$C632)*(_ENGINE_Initiatives!$C$5:$C$532=$D632),0),0)),"")</f>
        <v/>
      </c>
      <c r="AV632">
        <f>IFERROR(INDEX(_ENGINE_Initiatives!$AC$5:$AC$532,MATCH(1,INDEX((_ENGINE_Initiatives!$B$5:$B$532=$C632)*(_ENGINE_Initiatives!$C$5:$C$532=$D632),0),0)),"")</f>
        <v/>
      </c>
      <c r="AW632">
        <f>IFERROR(INDEX(_ENGINE_Initiatives!$AE$5:$AE$532,MATCH(1,INDEX((_ENGINE_Initiatives!$B$5:$B$532=$C632)*(_ENGINE_Initiatives!$C$5:$C$532=$D632),0),0)),"")</f>
        <v/>
      </c>
      <c r="AX632">
        <f>IF($B632="Yes",IFERROR(IF(SUMIFS(_REF_Model_Content!$E$1:$E$613,_REF_Model_Content!$A$1:$A$613,'Company Profile'!$B$9,_REF_Model_Content!$B$1:$B$613,$C632)=0,1,SUMIFS(_REF_Model_Content!$E$1:$E$613,_REF_Model_Content!$A$1:$A$613,'Company Profile'!$B$9,_REF_Model_Content!$B$1:$B$613,$C632)),1),"")</f>
        <v/>
      </c>
      <c r="AY632">
        <f>IF($L632="","",ROUND(IF($AP632="",$L632,$AP632)*IF($AX632="",1,$AX632),2))</f>
        <v/>
      </c>
      <c r="AZ632">
        <f>IF($S632="","",ROUND(IF($AQ632="",$S632,$AQ632)*IF($AX632="",1,$AX632),2))</f>
        <v/>
      </c>
      <c r="BB632">
        <f>IF($H632="","",IFERROR(INDEX('_ENGINE_Risk'!$AE$41:$AE$920,MATCH($E632,'_ENGINE_Risk'!$A$41:$A$920,0)),"Medium"))</f>
        <v/>
      </c>
      <c r="BC632">
        <f>IF($BB632="","",IF($BB632="Fast",1.25,IF($BB632="Slow",0.85,1)))</f>
        <v/>
      </c>
      <c r="BD632">
        <f>IF(OR($AZ632="",$BC632=""),"",ROUND($AZ632*$BC632,2))</f>
        <v/>
      </c>
      <c r="BF632">
        <f>IF(OR($H632="",$J632=""),"",_xlfn.IFNA(VLOOKUP($J632,_CONFIG_Model_Settings!$D$610:$E$614,2,0),""))</f>
        <v/>
      </c>
      <c r="BG632">
        <f>IF(OR($H632="",$K632=""),"",ROUND('Company Profile'!$B$569*INDEX(_CONFIG_Model_Settings!$H$610:$H$614,MATCH($K632,_CONFIG_Model_Settings!$G$610:$G$614,0)),0))</f>
        <v/>
      </c>
      <c r="BH632">
        <f>IF(OR($BF632="",$BG632=""),"",ROUND($BF632*$BG632,1))</f>
        <v/>
      </c>
      <c r="BI632">
        <f>IF($BH632="","",IF($AO632="",$BH632,ROUND($BH632*$AO632,1)))</f>
        <v/>
      </c>
      <c r="BJ632">
        <f>IF($E632="","",IFERROR(VLOOKUP($C632,'_CONFIG_Risk_Calibration'!$A$5:$H$21,2,FALSE),3))</f>
        <v/>
      </c>
      <c r="BK632">
        <f>IF($E632="","",IFERROR(VLOOKUP($C632,'_CONFIG_Risk_Calibration'!$A$5:$H$21,3,FALSE),0))</f>
        <v/>
      </c>
      <c r="BL632">
        <f>IF($E632="","",IFERROR(VLOOKUP($C632,'_CONFIG_Risk_Calibration'!$A$5:$H$21,4,FALSE),3))</f>
        <v/>
      </c>
      <c r="BM632">
        <f>IF($E632="","",IFERROR(VLOOKUP($C632,'_CONFIG_Risk_Calibration'!$A$5:$H$21,5,FALSE),3))</f>
        <v/>
      </c>
      <c r="BN632">
        <f>IF($E632="","",IFERROR(VLOOKUP($C632,'_CONFIG_Risk_Calibration'!$A$5:$H$21,6,FALSE),"No"))</f>
        <v/>
      </c>
      <c r="BO632">
        <f>IF($E632="","",IFERROR(VLOOKUP($C632,'_CONFIG_Risk_Calibration'!$A$5:$H$21,7,FALSE),1))</f>
        <v/>
      </c>
      <c r="BP632">
        <f>IF($H632="","",MAX(1,MIN(5,((6-$H632)*0.45)+($BJ632*0.20)+('Resilience &amp; Risk Scenario'!$B$7*0.15)+($BK632*0.10)+($BL632*0.05)+(IF($BB632="Fast",5,IF($BB632="Slow",1,3))*0.05))))</f>
        <v/>
      </c>
      <c r="BQ632">
        <f>IF($H632="","",MAX(IF($BN632="Yes",$BO632,1),MIN(5,($U632*0.20)+($V632*0.15)+($W632*0.25)+($X632*0.15)+($BJ632*0.10)+($BM632*0.15))))</f>
        <v/>
      </c>
      <c r="BR632">
        <f>IF(OR($BP632="",$BQ632=""),"",ROUND($BP632*$BQ632,2))</f>
        <v/>
      </c>
      <c r="BS632">
        <f>IF($BR632="","",ROUND($BR632*IF($AO632="",1,$AO632)*IF($AX632="",1,$AX632)*(1+(($BM632-3)*0.10))*IF($BC632="",1,$BC632),2))</f>
        <v/>
      </c>
    </row>
    <row r="633" ht="69.90000000000001" customHeight="1" s="209">
      <c r="A633">
        <f>IF($BD633="","",SUMPRODUCT(ISNUMBER($BD$500:$BD$923)*($BD$500:$BD$923&gt;$BD633))+COUNTIF($BD$500:$BD633,$BD633))</f>
        <v/>
      </c>
      <c r="B633">
        <f>IF($H633="","",IF($H633&lt;5,"Yes","Maintain"))</f>
        <v/>
      </c>
      <c r="C633" t="inlineStr">
        <is>
          <t>Legal Risk</t>
        </is>
      </c>
      <c r="D633" t="inlineStr">
        <is>
          <t>Data and IP</t>
        </is>
      </c>
      <c r="E633" t="inlineStr">
        <is>
          <t>LEGA-015</t>
        </is>
      </c>
      <c r="F633" t="inlineStr">
        <is>
          <t>Legal, compliance and contractual exposure</t>
        </is>
      </c>
      <c r="G633">
        <f>IF($H633="","",IFERROR(INDEX('_ENGINE_Risk'!$H$41:$M$920,MATCH($E633,'_ENGINE_Risk'!$A$41:$A$920,0),$H633+1),""))</f>
        <v/>
      </c>
      <c r="H633">
        <f>IFERROR(VALUE(INDEX(_DATA_Assessment_Model!$H$5:$H$884,MATCH($E633,_DATA_Assessment_Model!$A$5:$A$884,0))),"")</f>
        <v/>
      </c>
      <c r="I633">
        <f>IF($H633="","",IFERROR(INDEX(_DATA_Assessment_Model!$L$5:$L$884,MATCH($E633,_DATA_Assessment_Model!$A$5:$A$884,0)),IF($H633&lt;=1,"Critical",IF($H633=2,"High",IF($H633=3,"Medium",IF($H633=4,"Low","Resilient"))))))</f>
        <v/>
      </c>
      <c r="J633">
        <f>IF($H633="","",MIN(5,MAX(1,6-$H633)))</f>
        <v/>
      </c>
      <c r="K633">
        <f>IF($H633="","",MAX(1,MIN(5,ROUNDUP(($U633*0.45)+($W633*0.35)+($X633*0.2),0))))</f>
        <v/>
      </c>
      <c r="L633">
        <f>IF($H633="","",$J633*$K633)</f>
        <v/>
      </c>
      <c r="M633">
        <f>IF($H633="","",MAX(1,MIN(5,ROUNDUP($L633/5,0))))</f>
        <v/>
      </c>
      <c r="N633">
        <f>IF($H633="","",IFERROR(INDEX('_ENGINE_Risk'!$T$41:$Y$920,MATCH($E633,'_ENGINE_Risk'!$A$41:$A$920,0),$H633+1),""))</f>
        <v/>
      </c>
      <c r="O633">
        <f>IF($H633="","",MAX(1,MIN(5,($U633+$V633+$X633)/3)))</f>
        <v/>
      </c>
      <c r="P633">
        <f>IF($H633="","",IF($I633="Critical",5,IF($I633="High",4,IF($I633="Medium",3,IF($I633="Low",2,1)))))</f>
        <v/>
      </c>
      <c r="Q633">
        <f>IF($H633="","",MAX(1,MIN(5,((5-$H633)*0.65)+($W633*0.35))))</f>
        <v/>
      </c>
      <c r="R633">
        <f>IF($H633="","",MAX(1,MIN(5,($V633+$X633)/2)))</f>
        <v/>
      </c>
      <c r="S633">
        <f>IF(OR($H633="",$N633=""),"",ROUND(($O633+$P633+$Q633+$R633)/$N633,2))</f>
        <v/>
      </c>
      <c r="T633">
        <f>IF($H633="","",IFERROR(INDEX('_ENGINE_Risk'!$N$41:$S$920,MATCH($E633,'_ENGINE_Risk'!$A$41:$A$920,0),$H633+1),""))</f>
        <v/>
      </c>
      <c r="U633">
        <f>IFERROR(INDEX(_DATA_Assessment_Model!$G$5:$G$884,MATCH($E633,_DATA_Assessment_Model!$A$5:$A$884,0)),"")</f>
        <v/>
      </c>
      <c r="V633">
        <f>IFERROR(INDEX(_DATA_Assessment_Model!$W$5:$W$884,MATCH($E633,_DATA_Assessment_Model!$A$5:$A$884,0)),"")</f>
        <v/>
      </c>
      <c r="W633">
        <f>IFERROR(INDEX(_DATA_Assessment_Model!$X$5:$X$884,MATCH($E633,_DATA_Assessment_Model!$A$5:$A$884,0)),"")</f>
        <v/>
      </c>
      <c r="X633">
        <f>IFERROR(INDEX(_DATA_Assessment_Model!$Y$5:$Y$884,MATCH($E633,_DATA_Assessment_Model!$A$5:$A$884,0)),"")</f>
        <v/>
      </c>
      <c r="Y633" t="inlineStr">
        <is>
          <t>Regulatory/legal shock; Contractual exposure; Data breach</t>
        </is>
      </c>
      <c r="Z633" t="inlineStr">
        <is>
          <t>Legal / Compliance</t>
        </is>
      </c>
      <c r="AA633" t="inlineStr">
        <is>
          <t>Policy/SOP; owner/RACI; system report; dashboard; contracts; test records; incident history; interview evidence related to data processing agreements with vendors covering security, incident response, sub-processors and continuity.</t>
        </is>
      </c>
      <c r="AB633">
        <f>IFERROR(INDEX(_DATA_Assessment_Model!$U$5:$U$884,MATCH($E633,_DATA_Assessment_Model!$A$5:$A$884,0)),"")</f>
        <v/>
      </c>
      <c r="AF633" t="inlineStr">
        <is>
          <t>How mature is the organization in managing data processing agreements with vendors covering security, incident response, sub-processors and continuity, including ownership, evidence, metrics, fallback procedures and crisis stress testing?</t>
        </is>
      </c>
      <c r="AO633">
        <f>IF($B633="Yes",IFERROR(INDEX(_ENGINE_Crisis!$F$501:$F$517,MATCH($C633,_ENGINE_Crisis!$A$501:$A$517,0)),1),"")</f>
        <v/>
      </c>
      <c r="AP633">
        <f>IF(AO633="","",ROUND($L633*AO633,1))</f>
        <v/>
      </c>
      <c r="AQ633">
        <f>IF(OR(AO633="",$S633=""),"",ROUND($S633*(0.7+0.3*AO633),2))</f>
        <v/>
      </c>
      <c r="AR633">
        <f>IFERROR(INDEX(_ENGINE_Crisis!$E$41:$E$700,MATCH('Resilience &amp; Risk Scenario'!$B$60&amp;"|"&amp;$C633,_ENGINE_Crisis!$I$41:$I$700,0)),"")</f>
        <v/>
      </c>
      <c r="AS633">
        <f>IFERROR(INDEX(_ENGINE_Crisis!$G$41:$G$700,MATCH('Resilience &amp; Risk Scenario'!$B$60&amp;"|"&amp;$C633,_ENGINE_Crisis!$I$41:$I$700,0)),"")</f>
        <v/>
      </c>
      <c r="AT633">
        <f>IFERROR(INDEX(_ENGINE_Initiatives!$A$5:$A$532,MATCH(1,INDEX((_ENGINE_Initiatives!$B$5:$B$532=$C633)*(_ENGINE_Initiatives!$C$5:$C$532=$D633),0),0)),"")</f>
        <v/>
      </c>
      <c r="AU633">
        <f>IFERROR(INDEX(_ENGINE_Initiatives!$F$5:$F$532,MATCH(1,INDEX((_ENGINE_Initiatives!$B$5:$B$532=$C633)*(_ENGINE_Initiatives!$C$5:$C$532=$D633),0),0)),"")</f>
        <v/>
      </c>
      <c r="AV633">
        <f>IFERROR(INDEX(_ENGINE_Initiatives!$AC$5:$AC$532,MATCH(1,INDEX((_ENGINE_Initiatives!$B$5:$B$532=$C633)*(_ENGINE_Initiatives!$C$5:$C$532=$D633),0),0)),"")</f>
        <v/>
      </c>
      <c r="AW633">
        <f>IFERROR(INDEX(_ENGINE_Initiatives!$AE$5:$AE$532,MATCH(1,INDEX((_ENGINE_Initiatives!$B$5:$B$532=$C633)*(_ENGINE_Initiatives!$C$5:$C$532=$D633),0),0)),"")</f>
        <v/>
      </c>
      <c r="AX633">
        <f>IF($B633="Yes",IFERROR(IF(SUMIFS(_REF_Model_Content!$E$1:$E$613,_REF_Model_Content!$A$1:$A$613,'Company Profile'!$B$9,_REF_Model_Content!$B$1:$B$613,$C633)=0,1,SUMIFS(_REF_Model_Content!$E$1:$E$613,_REF_Model_Content!$A$1:$A$613,'Company Profile'!$B$9,_REF_Model_Content!$B$1:$B$613,$C633)),1),"")</f>
        <v/>
      </c>
      <c r="AY633">
        <f>IF($L633="","",ROUND(IF($AP633="",$L633,$AP633)*IF($AX633="",1,$AX633),2))</f>
        <v/>
      </c>
      <c r="AZ633">
        <f>IF($S633="","",ROUND(IF($AQ633="",$S633,$AQ633)*IF($AX633="",1,$AX633),2))</f>
        <v/>
      </c>
      <c r="BB633">
        <f>IF($H633="","",IFERROR(INDEX('_ENGINE_Risk'!$AE$41:$AE$920,MATCH($E633,'_ENGINE_Risk'!$A$41:$A$920,0)),"Medium"))</f>
        <v/>
      </c>
      <c r="BC633">
        <f>IF($BB633="","",IF($BB633="Fast",1.25,IF($BB633="Slow",0.85,1)))</f>
        <v/>
      </c>
      <c r="BD633">
        <f>IF(OR($AZ633="",$BC633=""),"",ROUND($AZ633*$BC633,2))</f>
        <v/>
      </c>
      <c r="BF633">
        <f>IF(OR($H633="",$J633=""),"",_xlfn.IFNA(VLOOKUP($J633,_CONFIG_Model_Settings!$D$610:$E$614,2,0),""))</f>
        <v/>
      </c>
      <c r="BG633">
        <f>IF(OR($H633="",$K633=""),"",ROUND('Company Profile'!$B$569*INDEX(_CONFIG_Model_Settings!$H$610:$H$614,MATCH($K633,_CONFIG_Model_Settings!$G$610:$G$614,0)),0))</f>
        <v/>
      </c>
      <c r="BH633">
        <f>IF(OR($BF633="",$BG633=""),"",ROUND($BF633*$BG633,1))</f>
        <v/>
      </c>
      <c r="BI633">
        <f>IF($BH633="","",IF($AO633="",$BH633,ROUND($BH633*$AO633,1)))</f>
        <v/>
      </c>
      <c r="BJ633">
        <f>IF($E633="","",IFERROR(VLOOKUP($C633,'_CONFIG_Risk_Calibration'!$A$5:$H$21,2,FALSE),3))</f>
        <v/>
      </c>
      <c r="BK633">
        <f>IF($E633="","",IFERROR(VLOOKUP($C633,'_CONFIG_Risk_Calibration'!$A$5:$H$21,3,FALSE),0))</f>
        <v/>
      </c>
      <c r="BL633">
        <f>IF($E633="","",IFERROR(VLOOKUP($C633,'_CONFIG_Risk_Calibration'!$A$5:$H$21,4,FALSE),3))</f>
        <v/>
      </c>
      <c r="BM633">
        <f>IF($E633="","",IFERROR(VLOOKUP($C633,'_CONFIG_Risk_Calibration'!$A$5:$H$21,5,FALSE),3))</f>
        <v/>
      </c>
      <c r="BN633">
        <f>IF($E633="","",IFERROR(VLOOKUP($C633,'_CONFIG_Risk_Calibration'!$A$5:$H$21,6,FALSE),"No"))</f>
        <v/>
      </c>
      <c r="BO633">
        <f>IF($E633="","",IFERROR(VLOOKUP($C633,'_CONFIG_Risk_Calibration'!$A$5:$H$21,7,FALSE),1))</f>
        <v/>
      </c>
      <c r="BP633">
        <f>IF($H633="","",MAX(1,MIN(5,((6-$H633)*0.45)+($BJ633*0.20)+('Resilience &amp; Risk Scenario'!$B$7*0.15)+($BK633*0.10)+($BL633*0.05)+(IF($BB633="Fast",5,IF($BB633="Slow",1,3))*0.05))))</f>
        <v/>
      </c>
      <c r="BQ633">
        <f>IF($H633="","",MAX(IF($BN633="Yes",$BO633,1),MIN(5,($U633*0.20)+($V633*0.15)+($W633*0.25)+($X633*0.15)+($BJ633*0.10)+($BM633*0.15))))</f>
        <v/>
      </c>
      <c r="BR633">
        <f>IF(OR($BP633="",$BQ633=""),"",ROUND($BP633*$BQ633,2))</f>
        <v/>
      </c>
      <c r="BS633">
        <f>IF($BR633="","",ROUND($BR633*IF($AO633="",1,$AO633)*IF($AX633="",1,$AX633)*(1+(($BM633-3)*0.10))*IF($BC633="",1,$BC633),2))</f>
        <v/>
      </c>
    </row>
    <row r="634" ht="69.90000000000001" customHeight="1" s="209">
      <c r="A634">
        <f>IF($BD634="","",SUMPRODUCT(ISNUMBER($BD$500:$BD$923)*($BD$500:$BD$923&gt;$BD634))+COUNTIF($BD$500:$BD634,$BD634))</f>
        <v/>
      </c>
      <c r="B634">
        <f>IF($H634="","",IF($H634&lt;5,"Yes","Maintain"))</f>
        <v/>
      </c>
      <c r="C634" t="inlineStr">
        <is>
          <t>Legal Risk</t>
        </is>
      </c>
      <c r="D634" t="inlineStr">
        <is>
          <t>Data and IP</t>
        </is>
      </c>
      <c r="E634" t="inlineStr">
        <is>
          <t>LEGA-016</t>
        </is>
      </c>
      <c r="F634" t="inlineStr">
        <is>
          <t>Legal, compliance and contractual exposure</t>
        </is>
      </c>
      <c r="G634">
        <f>IF($H634="","",IFERROR(INDEX('_ENGINE_Risk'!$H$41:$M$920,MATCH($E634,'_ENGINE_Risk'!$A$41:$A$920,0),$H634+1),""))</f>
        <v/>
      </c>
      <c r="H634">
        <f>IFERROR(VALUE(INDEX(_DATA_Assessment_Model!$H$5:$H$884,MATCH($E634,_DATA_Assessment_Model!$A$5:$A$884,0))),"")</f>
        <v/>
      </c>
      <c r="I634">
        <f>IF($H634="","",IFERROR(INDEX(_DATA_Assessment_Model!$L$5:$L$884,MATCH($E634,_DATA_Assessment_Model!$A$5:$A$884,0)),IF($H634&lt;=1,"Critical",IF($H634=2,"High",IF($H634=3,"Medium",IF($H634=4,"Low","Resilient"))))))</f>
        <v/>
      </c>
      <c r="J634">
        <f>IF($H634="","",MIN(5,MAX(1,6-$H634)))</f>
        <v/>
      </c>
      <c r="K634">
        <f>IF($H634="","",MAX(1,MIN(5,ROUNDUP(($U634*0.45)+($W634*0.35)+($X634*0.2),0))))</f>
        <v/>
      </c>
      <c r="L634">
        <f>IF($H634="","",$J634*$K634)</f>
        <v/>
      </c>
      <c r="M634">
        <f>IF($H634="","",MAX(1,MIN(5,ROUNDUP($L634/5,0))))</f>
        <v/>
      </c>
      <c r="N634">
        <f>IF($H634="","",IFERROR(INDEX('_ENGINE_Risk'!$T$41:$Y$920,MATCH($E634,'_ENGINE_Risk'!$A$41:$A$920,0),$H634+1),""))</f>
        <v/>
      </c>
      <c r="O634">
        <f>IF($H634="","",MAX(1,MIN(5,($U634+$V634+$X634)/3)))</f>
        <v/>
      </c>
      <c r="P634">
        <f>IF($H634="","",IF($I634="Critical",5,IF($I634="High",4,IF($I634="Medium",3,IF($I634="Low",2,1)))))</f>
        <v/>
      </c>
      <c r="Q634">
        <f>IF($H634="","",MAX(1,MIN(5,((5-$H634)*0.65)+($W634*0.35))))</f>
        <v/>
      </c>
      <c r="R634">
        <f>IF($H634="","",MAX(1,MIN(5,($V634+$X634)/2)))</f>
        <v/>
      </c>
      <c r="S634">
        <f>IF(OR($H634="",$N634=""),"",ROUND(($O634+$P634+$Q634+$R634)/$N634,2))</f>
        <v/>
      </c>
      <c r="T634">
        <f>IF($H634="","",IFERROR(INDEX('_ENGINE_Risk'!$N$41:$S$920,MATCH($E634,'_ENGINE_Risk'!$A$41:$A$920,0),$H634+1),""))</f>
        <v/>
      </c>
      <c r="U634">
        <f>IFERROR(INDEX(_DATA_Assessment_Model!$G$5:$G$884,MATCH($E634,_DATA_Assessment_Model!$A$5:$A$884,0)),"")</f>
        <v/>
      </c>
      <c r="V634">
        <f>IFERROR(INDEX(_DATA_Assessment_Model!$W$5:$W$884,MATCH($E634,_DATA_Assessment_Model!$A$5:$A$884,0)),"")</f>
        <v/>
      </c>
      <c r="W634">
        <f>IFERROR(INDEX(_DATA_Assessment_Model!$X$5:$X$884,MATCH($E634,_DATA_Assessment_Model!$A$5:$A$884,0)),"")</f>
        <v/>
      </c>
      <c r="X634">
        <f>IFERROR(INDEX(_DATA_Assessment_Model!$Y$5:$Y$884,MATCH($E634,_DATA_Assessment_Model!$A$5:$A$884,0)),"")</f>
        <v/>
      </c>
      <c r="Y634" t="inlineStr">
        <is>
          <t>Regulatory/legal shock; Contractual exposure; Data breach</t>
        </is>
      </c>
      <c r="Z634" t="inlineStr">
        <is>
          <t>Legal / Compliance</t>
        </is>
      </c>
      <c r="AA634" t="inlineStr">
        <is>
          <t>Policy/SOP; owner/RACI; system report; dashboard; contracts; test records; incident history; interview evidence related to intellectual property ownership for employees, contractors, suppliers, software, designs, data and AI models.</t>
        </is>
      </c>
      <c r="AB634">
        <f>IFERROR(INDEX(_DATA_Assessment_Model!$U$5:$U$884,MATCH($E634,_DATA_Assessment_Model!$A$5:$A$884,0)),"")</f>
        <v/>
      </c>
      <c r="AF634" t="inlineStr">
        <is>
          <t>How mature is the organization in managing intellectual property ownership for employees, contractors, suppliers, software, designs, data and AI models, including ownership, evidence, metrics, fallback procedures and crisis stress testing?</t>
        </is>
      </c>
      <c r="AO634">
        <f>IF($B634="Yes",IFERROR(INDEX(_ENGINE_Crisis!$F$501:$F$517,MATCH($C634,_ENGINE_Crisis!$A$501:$A$517,0)),1),"")</f>
        <v/>
      </c>
      <c r="AP634">
        <f>IF(AO634="","",ROUND($L634*AO634,1))</f>
        <v/>
      </c>
      <c r="AQ634">
        <f>IF(OR(AO634="",$S634=""),"",ROUND($S634*(0.7+0.3*AO634),2))</f>
        <v/>
      </c>
      <c r="AR634">
        <f>IFERROR(INDEX(_ENGINE_Crisis!$E$41:$E$700,MATCH('Resilience &amp; Risk Scenario'!$B$60&amp;"|"&amp;$C634,_ENGINE_Crisis!$I$41:$I$700,0)),"")</f>
        <v/>
      </c>
      <c r="AS634">
        <f>IFERROR(INDEX(_ENGINE_Crisis!$G$41:$G$700,MATCH('Resilience &amp; Risk Scenario'!$B$60&amp;"|"&amp;$C634,_ENGINE_Crisis!$I$41:$I$700,0)),"")</f>
        <v/>
      </c>
      <c r="AT634">
        <f>IFERROR(INDEX(_ENGINE_Initiatives!$A$5:$A$532,MATCH(1,INDEX((_ENGINE_Initiatives!$B$5:$B$532=$C634)*(_ENGINE_Initiatives!$C$5:$C$532=$D634),0),0)),"")</f>
        <v/>
      </c>
      <c r="AU634">
        <f>IFERROR(INDEX(_ENGINE_Initiatives!$F$5:$F$532,MATCH(1,INDEX((_ENGINE_Initiatives!$B$5:$B$532=$C634)*(_ENGINE_Initiatives!$C$5:$C$532=$D634),0),0)),"")</f>
        <v/>
      </c>
      <c r="AV634">
        <f>IFERROR(INDEX(_ENGINE_Initiatives!$AC$5:$AC$532,MATCH(1,INDEX((_ENGINE_Initiatives!$B$5:$B$532=$C634)*(_ENGINE_Initiatives!$C$5:$C$532=$D634),0),0)),"")</f>
        <v/>
      </c>
      <c r="AW634">
        <f>IFERROR(INDEX(_ENGINE_Initiatives!$AE$5:$AE$532,MATCH(1,INDEX((_ENGINE_Initiatives!$B$5:$B$532=$C634)*(_ENGINE_Initiatives!$C$5:$C$532=$D634),0),0)),"")</f>
        <v/>
      </c>
      <c r="AX634">
        <f>IF($B634="Yes",IFERROR(IF(SUMIFS(_REF_Model_Content!$E$1:$E$613,_REF_Model_Content!$A$1:$A$613,'Company Profile'!$B$9,_REF_Model_Content!$B$1:$B$613,$C634)=0,1,SUMIFS(_REF_Model_Content!$E$1:$E$613,_REF_Model_Content!$A$1:$A$613,'Company Profile'!$B$9,_REF_Model_Content!$B$1:$B$613,$C634)),1),"")</f>
        <v/>
      </c>
      <c r="AY634">
        <f>IF($L634="","",ROUND(IF($AP634="",$L634,$AP634)*IF($AX634="",1,$AX634),2))</f>
        <v/>
      </c>
      <c r="AZ634">
        <f>IF($S634="","",ROUND(IF($AQ634="",$S634,$AQ634)*IF($AX634="",1,$AX634),2))</f>
        <v/>
      </c>
      <c r="BB634">
        <f>IF($H634="","",IFERROR(INDEX('_ENGINE_Risk'!$AE$41:$AE$920,MATCH($E634,'_ENGINE_Risk'!$A$41:$A$920,0)),"Medium"))</f>
        <v/>
      </c>
      <c r="BC634">
        <f>IF($BB634="","",IF($BB634="Fast",1.25,IF($BB634="Slow",0.85,1)))</f>
        <v/>
      </c>
      <c r="BD634">
        <f>IF(OR($AZ634="",$BC634=""),"",ROUND($AZ634*$BC634,2))</f>
        <v/>
      </c>
      <c r="BF634">
        <f>IF(OR($H634="",$J634=""),"",_xlfn.IFNA(VLOOKUP($J634,_CONFIG_Model_Settings!$D$610:$E$614,2,0),""))</f>
        <v/>
      </c>
      <c r="BG634">
        <f>IF(OR($H634="",$K634=""),"",ROUND('Company Profile'!$B$569*INDEX(_CONFIG_Model_Settings!$H$610:$H$614,MATCH($K634,_CONFIG_Model_Settings!$G$610:$G$614,0)),0))</f>
        <v/>
      </c>
      <c r="BH634">
        <f>IF(OR($BF634="",$BG634=""),"",ROUND($BF634*$BG634,1))</f>
        <v/>
      </c>
      <c r="BI634">
        <f>IF($BH634="","",IF($AO634="",$BH634,ROUND($BH634*$AO634,1)))</f>
        <v/>
      </c>
      <c r="BJ634">
        <f>IF($E634="","",IFERROR(VLOOKUP($C634,'_CONFIG_Risk_Calibration'!$A$5:$H$21,2,FALSE),3))</f>
        <v/>
      </c>
      <c r="BK634">
        <f>IF($E634="","",IFERROR(VLOOKUP($C634,'_CONFIG_Risk_Calibration'!$A$5:$H$21,3,FALSE),0))</f>
        <v/>
      </c>
      <c r="BL634">
        <f>IF($E634="","",IFERROR(VLOOKUP($C634,'_CONFIG_Risk_Calibration'!$A$5:$H$21,4,FALSE),3))</f>
        <v/>
      </c>
      <c r="BM634">
        <f>IF($E634="","",IFERROR(VLOOKUP($C634,'_CONFIG_Risk_Calibration'!$A$5:$H$21,5,FALSE),3))</f>
        <v/>
      </c>
      <c r="BN634">
        <f>IF($E634="","",IFERROR(VLOOKUP($C634,'_CONFIG_Risk_Calibration'!$A$5:$H$21,6,FALSE),"No"))</f>
        <v/>
      </c>
      <c r="BO634">
        <f>IF($E634="","",IFERROR(VLOOKUP($C634,'_CONFIG_Risk_Calibration'!$A$5:$H$21,7,FALSE),1))</f>
        <v/>
      </c>
      <c r="BP634">
        <f>IF($H634="","",MAX(1,MIN(5,((6-$H634)*0.45)+($BJ634*0.20)+('Resilience &amp; Risk Scenario'!$B$7*0.15)+($BK634*0.10)+($BL634*0.05)+(IF($BB634="Fast",5,IF($BB634="Slow",1,3))*0.05))))</f>
        <v/>
      </c>
      <c r="BQ634">
        <f>IF($H634="","",MAX(IF($BN634="Yes",$BO634,1),MIN(5,($U634*0.20)+($V634*0.15)+($W634*0.25)+($X634*0.15)+($BJ634*0.10)+($BM634*0.15))))</f>
        <v/>
      </c>
      <c r="BR634">
        <f>IF(OR($BP634="",$BQ634=""),"",ROUND($BP634*$BQ634,2))</f>
        <v/>
      </c>
      <c r="BS634">
        <f>IF($BR634="","",ROUND($BR634*IF($AO634="",1,$AO634)*IF($AX634="",1,$AX634)*(1+(($BM634-3)*0.10))*IF($BC634="",1,$BC634),2))</f>
        <v/>
      </c>
    </row>
    <row r="635" ht="69.90000000000001" customHeight="1" s="209">
      <c r="A635">
        <f>IF($BD635="","",SUMPRODUCT(ISNUMBER($BD$500:$BD$923)*($BD$500:$BD$923&gt;$BD635))+COUNTIF($BD$500:$BD635,$BD635))</f>
        <v/>
      </c>
      <c r="B635">
        <f>IF($H635="","",IF($H635&lt;5,"Yes","Maintain"))</f>
        <v/>
      </c>
      <c r="C635" t="inlineStr">
        <is>
          <t>Legal Risk</t>
        </is>
      </c>
      <c r="D635" t="inlineStr">
        <is>
          <t>Data and IP</t>
        </is>
      </c>
      <c r="E635" t="inlineStr">
        <is>
          <t>LEGA-017</t>
        </is>
      </c>
      <c r="F635" t="inlineStr">
        <is>
          <t>Legal, compliance and contractual exposure</t>
        </is>
      </c>
      <c r="G635">
        <f>IF($H635="","",IFERROR(INDEX('_ENGINE_Risk'!$H$41:$M$920,MATCH($E635,'_ENGINE_Risk'!$A$41:$A$920,0),$H635+1),""))</f>
        <v/>
      </c>
      <c r="H635">
        <f>IFERROR(VALUE(INDEX(_DATA_Assessment_Model!$H$5:$H$884,MATCH($E635,_DATA_Assessment_Model!$A$5:$A$884,0))),"")</f>
        <v/>
      </c>
      <c r="I635">
        <f>IF($H635="","",IFERROR(INDEX(_DATA_Assessment_Model!$L$5:$L$884,MATCH($E635,_DATA_Assessment_Model!$A$5:$A$884,0)),IF($H635&lt;=1,"Critical",IF($H635=2,"High",IF($H635=3,"Medium",IF($H635=4,"Low","Resilient"))))))</f>
        <v/>
      </c>
      <c r="J635">
        <f>IF($H635="","",MIN(5,MAX(1,6-$H635)))</f>
        <v/>
      </c>
      <c r="K635">
        <f>IF($H635="","",MAX(1,MIN(5,ROUNDUP(($U635*0.45)+($W635*0.35)+($X635*0.2),0))))</f>
        <v/>
      </c>
      <c r="L635">
        <f>IF($H635="","",$J635*$K635)</f>
        <v/>
      </c>
      <c r="M635">
        <f>IF($H635="","",MAX(1,MIN(5,ROUNDUP($L635/5,0))))</f>
        <v/>
      </c>
      <c r="N635">
        <f>IF($H635="","",IFERROR(INDEX('_ENGINE_Risk'!$T$41:$Y$920,MATCH($E635,'_ENGINE_Risk'!$A$41:$A$920,0),$H635+1),""))</f>
        <v/>
      </c>
      <c r="O635">
        <f>IF($H635="","",MAX(1,MIN(5,($U635+$V635+$X635)/3)))</f>
        <v/>
      </c>
      <c r="P635">
        <f>IF($H635="","",IF($I635="Critical",5,IF($I635="High",4,IF($I635="Medium",3,IF($I635="Low",2,1)))))</f>
        <v/>
      </c>
      <c r="Q635">
        <f>IF($H635="","",MAX(1,MIN(5,((5-$H635)*0.65)+($W635*0.35))))</f>
        <v/>
      </c>
      <c r="R635">
        <f>IF($H635="","",MAX(1,MIN(5,($V635+$X635)/2)))</f>
        <v/>
      </c>
      <c r="S635">
        <f>IF(OR($H635="",$N635=""),"",ROUND(($O635+$P635+$Q635+$R635)/$N635,2))</f>
        <v/>
      </c>
      <c r="T635">
        <f>IF($H635="","",IFERROR(INDEX('_ENGINE_Risk'!$N$41:$S$920,MATCH($E635,'_ENGINE_Risk'!$A$41:$A$920,0),$H635+1),""))</f>
        <v/>
      </c>
      <c r="U635">
        <f>IFERROR(INDEX(_DATA_Assessment_Model!$G$5:$G$884,MATCH($E635,_DATA_Assessment_Model!$A$5:$A$884,0)),"")</f>
        <v/>
      </c>
      <c r="V635">
        <f>IFERROR(INDEX(_DATA_Assessment_Model!$W$5:$W$884,MATCH($E635,_DATA_Assessment_Model!$A$5:$A$884,0)),"")</f>
        <v/>
      </c>
      <c r="W635">
        <f>IFERROR(INDEX(_DATA_Assessment_Model!$X$5:$X$884,MATCH($E635,_DATA_Assessment_Model!$A$5:$A$884,0)),"")</f>
        <v/>
      </c>
      <c r="X635">
        <f>IFERROR(INDEX(_DATA_Assessment_Model!$Y$5:$Y$884,MATCH($E635,_DATA_Assessment_Model!$A$5:$A$884,0)),"")</f>
        <v/>
      </c>
      <c r="Y635" t="inlineStr">
        <is>
          <t>Regulatory/legal shock; Contractual exposure; Data breach</t>
        </is>
      </c>
      <c r="Z635" t="inlineStr">
        <is>
          <t>Legal / Compliance</t>
        </is>
      </c>
      <c r="AA635" t="inlineStr">
        <is>
          <t>Policy/SOP; owner/RACI; system report; dashboard; contracts; test records; incident history; interview evidence related to software license and open-source compliance for critical systems and products.</t>
        </is>
      </c>
      <c r="AB635">
        <f>IFERROR(INDEX(_DATA_Assessment_Model!$U$5:$U$884,MATCH($E635,_DATA_Assessment_Model!$A$5:$A$884,0)),"")</f>
        <v/>
      </c>
      <c r="AF635" t="inlineStr">
        <is>
          <t>How mature is the organization in managing software license and open-source compliance for critical systems and products, including ownership, evidence, metrics, fallback procedures and crisis stress testing?</t>
        </is>
      </c>
      <c r="AO635">
        <f>IF($B635="Yes",IFERROR(INDEX(_ENGINE_Crisis!$F$501:$F$517,MATCH($C635,_ENGINE_Crisis!$A$501:$A$517,0)),1),"")</f>
        <v/>
      </c>
      <c r="AP635">
        <f>IF(AO635="","",ROUND($L635*AO635,1))</f>
        <v/>
      </c>
      <c r="AQ635">
        <f>IF(OR(AO635="",$S635=""),"",ROUND($S635*(0.7+0.3*AO635),2))</f>
        <v/>
      </c>
      <c r="AR635">
        <f>IFERROR(INDEX(_ENGINE_Crisis!$E$41:$E$700,MATCH('Resilience &amp; Risk Scenario'!$B$60&amp;"|"&amp;$C635,_ENGINE_Crisis!$I$41:$I$700,0)),"")</f>
        <v/>
      </c>
      <c r="AS635">
        <f>IFERROR(INDEX(_ENGINE_Crisis!$G$41:$G$700,MATCH('Resilience &amp; Risk Scenario'!$B$60&amp;"|"&amp;$C635,_ENGINE_Crisis!$I$41:$I$700,0)),"")</f>
        <v/>
      </c>
      <c r="AT635">
        <f>IFERROR(INDEX(_ENGINE_Initiatives!$A$5:$A$532,MATCH(1,INDEX((_ENGINE_Initiatives!$B$5:$B$532=$C635)*(_ENGINE_Initiatives!$C$5:$C$532=$D635),0),0)),"")</f>
        <v/>
      </c>
      <c r="AU635">
        <f>IFERROR(INDEX(_ENGINE_Initiatives!$F$5:$F$532,MATCH(1,INDEX((_ENGINE_Initiatives!$B$5:$B$532=$C635)*(_ENGINE_Initiatives!$C$5:$C$532=$D635),0),0)),"")</f>
        <v/>
      </c>
      <c r="AV635">
        <f>IFERROR(INDEX(_ENGINE_Initiatives!$AC$5:$AC$532,MATCH(1,INDEX((_ENGINE_Initiatives!$B$5:$B$532=$C635)*(_ENGINE_Initiatives!$C$5:$C$532=$D635),0),0)),"")</f>
        <v/>
      </c>
      <c r="AW635">
        <f>IFERROR(INDEX(_ENGINE_Initiatives!$AE$5:$AE$532,MATCH(1,INDEX((_ENGINE_Initiatives!$B$5:$B$532=$C635)*(_ENGINE_Initiatives!$C$5:$C$532=$D635),0),0)),"")</f>
        <v/>
      </c>
      <c r="AX635">
        <f>IF($B635="Yes",IFERROR(IF(SUMIFS(_REF_Model_Content!$E$1:$E$613,_REF_Model_Content!$A$1:$A$613,'Company Profile'!$B$9,_REF_Model_Content!$B$1:$B$613,$C635)=0,1,SUMIFS(_REF_Model_Content!$E$1:$E$613,_REF_Model_Content!$A$1:$A$613,'Company Profile'!$B$9,_REF_Model_Content!$B$1:$B$613,$C635)),1),"")</f>
        <v/>
      </c>
      <c r="AY635">
        <f>IF($L635="","",ROUND(IF($AP635="",$L635,$AP635)*IF($AX635="",1,$AX635),2))</f>
        <v/>
      </c>
      <c r="AZ635">
        <f>IF($S635="","",ROUND(IF($AQ635="",$S635,$AQ635)*IF($AX635="",1,$AX635),2))</f>
        <v/>
      </c>
      <c r="BB635">
        <f>IF($H635="","",IFERROR(INDEX('_ENGINE_Risk'!$AE$41:$AE$920,MATCH($E635,'_ENGINE_Risk'!$A$41:$A$920,0)),"Medium"))</f>
        <v/>
      </c>
      <c r="BC635">
        <f>IF($BB635="","",IF($BB635="Fast",1.25,IF($BB635="Slow",0.85,1)))</f>
        <v/>
      </c>
      <c r="BD635">
        <f>IF(OR($AZ635="",$BC635=""),"",ROUND($AZ635*$BC635,2))</f>
        <v/>
      </c>
      <c r="BF635">
        <f>IF(OR($H635="",$J635=""),"",_xlfn.IFNA(VLOOKUP($J635,_CONFIG_Model_Settings!$D$610:$E$614,2,0),""))</f>
        <v/>
      </c>
      <c r="BG635">
        <f>IF(OR($H635="",$K635=""),"",ROUND('Company Profile'!$B$569*INDEX(_CONFIG_Model_Settings!$H$610:$H$614,MATCH($K635,_CONFIG_Model_Settings!$G$610:$G$614,0)),0))</f>
        <v/>
      </c>
      <c r="BH635">
        <f>IF(OR($BF635="",$BG635=""),"",ROUND($BF635*$BG635,1))</f>
        <v/>
      </c>
      <c r="BI635">
        <f>IF($BH635="","",IF($AO635="",$BH635,ROUND($BH635*$AO635,1)))</f>
        <v/>
      </c>
      <c r="BJ635">
        <f>IF($E635="","",IFERROR(VLOOKUP($C635,'_CONFIG_Risk_Calibration'!$A$5:$H$21,2,FALSE),3))</f>
        <v/>
      </c>
      <c r="BK635">
        <f>IF($E635="","",IFERROR(VLOOKUP($C635,'_CONFIG_Risk_Calibration'!$A$5:$H$21,3,FALSE),0))</f>
        <v/>
      </c>
      <c r="BL635">
        <f>IF($E635="","",IFERROR(VLOOKUP($C635,'_CONFIG_Risk_Calibration'!$A$5:$H$21,4,FALSE),3))</f>
        <v/>
      </c>
      <c r="BM635">
        <f>IF($E635="","",IFERROR(VLOOKUP($C635,'_CONFIG_Risk_Calibration'!$A$5:$H$21,5,FALSE),3))</f>
        <v/>
      </c>
      <c r="BN635">
        <f>IF($E635="","",IFERROR(VLOOKUP($C635,'_CONFIG_Risk_Calibration'!$A$5:$H$21,6,FALSE),"No"))</f>
        <v/>
      </c>
      <c r="BO635">
        <f>IF($E635="","",IFERROR(VLOOKUP($C635,'_CONFIG_Risk_Calibration'!$A$5:$H$21,7,FALSE),1))</f>
        <v/>
      </c>
      <c r="BP635">
        <f>IF($H635="","",MAX(1,MIN(5,((6-$H635)*0.45)+($BJ635*0.20)+('Resilience &amp; Risk Scenario'!$B$7*0.15)+($BK635*0.10)+($BL635*0.05)+(IF($BB635="Fast",5,IF($BB635="Slow",1,3))*0.05))))</f>
        <v/>
      </c>
      <c r="BQ635">
        <f>IF($H635="","",MAX(IF($BN635="Yes",$BO635,1),MIN(5,($U635*0.20)+($V635*0.15)+($W635*0.25)+($X635*0.15)+($BJ635*0.10)+($BM635*0.15))))</f>
        <v/>
      </c>
      <c r="BR635">
        <f>IF(OR($BP635="",$BQ635=""),"",ROUND($BP635*$BQ635,2))</f>
        <v/>
      </c>
      <c r="BS635">
        <f>IF($BR635="","",ROUND($BR635*IF($AO635="",1,$AO635)*IF($AX635="",1,$AX635)*(1+(($BM635-3)*0.10))*IF($BC635="",1,$BC635),2))</f>
        <v/>
      </c>
    </row>
    <row r="636" ht="69.90000000000001" customHeight="1" s="209">
      <c r="A636">
        <f>IF($BD636="","",SUMPRODUCT(ISNUMBER($BD$500:$BD$923)*($BD$500:$BD$923&gt;$BD636))+COUNTIF($BD$500:$BD636,$BD636))</f>
        <v/>
      </c>
      <c r="B636">
        <f>IF($H636="","",IF($H636&lt;5,"Yes","Maintain"))</f>
        <v/>
      </c>
      <c r="C636" t="inlineStr">
        <is>
          <t>Legal Risk</t>
        </is>
      </c>
      <c r="D636" t="inlineStr">
        <is>
          <t>Data and IP</t>
        </is>
      </c>
      <c r="E636" t="inlineStr">
        <is>
          <t>LEGA-018</t>
        </is>
      </c>
      <c r="F636" t="inlineStr">
        <is>
          <t>Legal, compliance and contractual exposure</t>
        </is>
      </c>
      <c r="G636">
        <f>IF($H636="","",IFERROR(INDEX('_ENGINE_Risk'!$H$41:$M$920,MATCH($E636,'_ENGINE_Risk'!$A$41:$A$920,0),$H636+1),""))</f>
        <v/>
      </c>
      <c r="H636">
        <f>IFERROR(VALUE(INDEX(_DATA_Assessment_Model!$H$5:$H$884,MATCH($E636,_DATA_Assessment_Model!$A$5:$A$884,0))),"")</f>
        <v/>
      </c>
      <c r="I636">
        <f>IF($H636="","",IFERROR(INDEX(_DATA_Assessment_Model!$L$5:$L$884,MATCH($E636,_DATA_Assessment_Model!$A$5:$A$884,0)),IF($H636&lt;=1,"Critical",IF($H636=2,"High",IF($H636=3,"Medium",IF($H636=4,"Low","Resilient"))))))</f>
        <v/>
      </c>
      <c r="J636">
        <f>IF($H636="","",MIN(5,MAX(1,6-$H636)))</f>
        <v/>
      </c>
      <c r="K636">
        <f>IF($H636="","",MAX(1,MIN(5,ROUNDUP(($U636*0.45)+($W636*0.35)+($X636*0.2),0))))</f>
        <v/>
      </c>
      <c r="L636">
        <f>IF($H636="","",$J636*$K636)</f>
        <v/>
      </c>
      <c r="M636">
        <f>IF($H636="","",MAX(1,MIN(5,ROUNDUP($L636/5,0))))</f>
        <v/>
      </c>
      <c r="N636">
        <f>IF($H636="","",IFERROR(INDEX('_ENGINE_Risk'!$T$41:$Y$920,MATCH($E636,'_ENGINE_Risk'!$A$41:$A$920,0),$H636+1),""))</f>
        <v/>
      </c>
      <c r="O636">
        <f>IF($H636="","",MAX(1,MIN(5,($U636+$V636+$X636)/3)))</f>
        <v/>
      </c>
      <c r="P636">
        <f>IF($H636="","",IF($I636="Critical",5,IF($I636="High",4,IF($I636="Medium",3,IF($I636="Low",2,1)))))</f>
        <v/>
      </c>
      <c r="Q636">
        <f>IF($H636="","",MAX(1,MIN(5,((5-$H636)*0.65)+($W636*0.35))))</f>
        <v/>
      </c>
      <c r="R636">
        <f>IF($H636="","",MAX(1,MIN(5,($V636+$X636)/2)))</f>
        <v/>
      </c>
      <c r="S636">
        <f>IF(OR($H636="",$N636=""),"",ROUND(($O636+$P636+$Q636+$R636)/$N636,2))</f>
        <v/>
      </c>
      <c r="T636">
        <f>IF($H636="","",IFERROR(INDEX('_ENGINE_Risk'!$N$41:$S$920,MATCH($E636,'_ENGINE_Risk'!$A$41:$A$920,0),$H636+1),""))</f>
        <v/>
      </c>
      <c r="U636">
        <f>IFERROR(INDEX(_DATA_Assessment_Model!$G$5:$G$884,MATCH($E636,_DATA_Assessment_Model!$A$5:$A$884,0)),"")</f>
        <v/>
      </c>
      <c r="V636">
        <f>IFERROR(INDEX(_DATA_Assessment_Model!$W$5:$W$884,MATCH($E636,_DATA_Assessment_Model!$A$5:$A$884,0)),"")</f>
        <v/>
      </c>
      <c r="W636">
        <f>IFERROR(INDEX(_DATA_Assessment_Model!$X$5:$X$884,MATCH($E636,_DATA_Assessment_Model!$A$5:$A$884,0)),"")</f>
        <v/>
      </c>
      <c r="X636">
        <f>IFERROR(INDEX(_DATA_Assessment_Model!$Y$5:$Y$884,MATCH($E636,_DATA_Assessment_Model!$A$5:$A$884,0)),"")</f>
        <v/>
      </c>
      <c r="Y636" t="inlineStr">
        <is>
          <t>Regulatory/legal shock; Contractual exposure; Data breach</t>
        </is>
      </c>
      <c r="Z636" t="inlineStr">
        <is>
          <t>Legal / Compliance</t>
        </is>
      </c>
      <c r="AA636" t="inlineStr">
        <is>
          <t>Policy/SOP; owner/RACI; system report; dashboard; contracts; test records; incident history; interview evidence related to records retention rules for legal, finance, HR, contracts, safety, customer and technical records.</t>
        </is>
      </c>
      <c r="AB636">
        <f>IFERROR(INDEX(_DATA_Assessment_Model!$U$5:$U$884,MATCH($E636,_DATA_Assessment_Model!$A$5:$A$884,0)),"")</f>
        <v/>
      </c>
      <c r="AF636" t="inlineStr">
        <is>
          <t>How mature is the organization in managing records retention rules for legal, finance, HR, contracts, safety, customer and technical records, including ownership, evidence, metrics, fallback procedures and crisis stress testing?</t>
        </is>
      </c>
      <c r="AO636">
        <f>IF($B636="Yes",IFERROR(INDEX(_ENGINE_Crisis!$F$501:$F$517,MATCH($C636,_ENGINE_Crisis!$A$501:$A$517,0)),1),"")</f>
        <v/>
      </c>
      <c r="AP636">
        <f>IF(AO636="","",ROUND($L636*AO636,1))</f>
        <v/>
      </c>
      <c r="AQ636">
        <f>IF(OR(AO636="",$S636=""),"",ROUND($S636*(0.7+0.3*AO636),2))</f>
        <v/>
      </c>
      <c r="AR636">
        <f>IFERROR(INDEX(_ENGINE_Crisis!$E$41:$E$700,MATCH('Resilience &amp; Risk Scenario'!$B$60&amp;"|"&amp;$C636,_ENGINE_Crisis!$I$41:$I$700,0)),"")</f>
        <v/>
      </c>
      <c r="AS636">
        <f>IFERROR(INDEX(_ENGINE_Crisis!$G$41:$G$700,MATCH('Resilience &amp; Risk Scenario'!$B$60&amp;"|"&amp;$C636,_ENGINE_Crisis!$I$41:$I$700,0)),"")</f>
        <v/>
      </c>
      <c r="AT636">
        <f>IFERROR(INDEX(_ENGINE_Initiatives!$A$5:$A$532,MATCH(1,INDEX((_ENGINE_Initiatives!$B$5:$B$532=$C636)*(_ENGINE_Initiatives!$C$5:$C$532=$D636),0),0)),"")</f>
        <v/>
      </c>
      <c r="AU636">
        <f>IFERROR(INDEX(_ENGINE_Initiatives!$F$5:$F$532,MATCH(1,INDEX((_ENGINE_Initiatives!$B$5:$B$532=$C636)*(_ENGINE_Initiatives!$C$5:$C$532=$D636),0),0)),"")</f>
        <v/>
      </c>
      <c r="AV636">
        <f>IFERROR(INDEX(_ENGINE_Initiatives!$AC$5:$AC$532,MATCH(1,INDEX((_ENGINE_Initiatives!$B$5:$B$532=$C636)*(_ENGINE_Initiatives!$C$5:$C$532=$D636),0),0)),"")</f>
        <v/>
      </c>
      <c r="AW636">
        <f>IFERROR(INDEX(_ENGINE_Initiatives!$AE$5:$AE$532,MATCH(1,INDEX((_ENGINE_Initiatives!$B$5:$B$532=$C636)*(_ENGINE_Initiatives!$C$5:$C$532=$D636),0),0)),"")</f>
        <v/>
      </c>
      <c r="AX636">
        <f>IF($B636="Yes",IFERROR(IF(SUMIFS(_REF_Model_Content!$E$1:$E$613,_REF_Model_Content!$A$1:$A$613,'Company Profile'!$B$9,_REF_Model_Content!$B$1:$B$613,$C636)=0,1,SUMIFS(_REF_Model_Content!$E$1:$E$613,_REF_Model_Content!$A$1:$A$613,'Company Profile'!$B$9,_REF_Model_Content!$B$1:$B$613,$C636)),1),"")</f>
        <v/>
      </c>
      <c r="AY636">
        <f>IF($L636="","",ROUND(IF($AP636="",$L636,$AP636)*IF($AX636="",1,$AX636),2))</f>
        <v/>
      </c>
      <c r="AZ636">
        <f>IF($S636="","",ROUND(IF($AQ636="",$S636,$AQ636)*IF($AX636="",1,$AX636),2))</f>
        <v/>
      </c>
      <c r="BB636">
        <f>IF($H636="","",IFERROR(INDEX('_ENGINE_Risk'!$AE$41:$AE$920,MATCH($E636,'_ENGINE_Risk'!$A$41:$A$920,0)),"Medium"))</f>
        <v/>
      </c>
      <c r="BC636">
        <f>IF($BB636="","",IF($BB636="Fast",1.25,IF($BB636="Slow",0.85,1)))</f>
        <v/>
      </c>
      <c r="BD636">
        <f>IF(OR($AZ636="",$BC636=""),"",ROUND($AZ636*$BC636,2))</f>
        <v/>
      </c>
      <c r="BF636">
        <f>IF(OR($H636="",$J636=""),"",_xlfn.IFNA(VLOOKUP($J636,_CONFIG_Model_Settings!$D$610:$E$614,2,0),""))</f>
        <v/>
      </c>
      <c r="BG636">
        <f>IF(OR($H636="",$K636=""),"",ROUND('Company Profile'!$B$569*INDEX(_CONFIG_Model_Settings!$H$610:$H$614,MATCH($K636,_CONFIG_Model_Settings!$G$610:$G$614,0)),0))</f>
        <v/>
      </c>
      <c r="BH636">
        <f>IF(OR($BF636="",$BG636=""),"",ROUND($BF636*$BG636,1))</f>
        <v/>
      </c>
      <c r="BI636">
        <f>IF($BH636="","",IF($AO636="",$BH636,ROUND($BH636*$AO636,1)))</f>
        <v/>
      </c>
      <c r="BJ636">
        <f>IF($E636="","",IFERROR(VLOOKUP($C636,'_CONFIG_Risk_Calibration'!$A$5:$H$21,2,FALSE),3))</f>
        <v/>
      </c>
      <c r="BK636">
        <f>IF($E636="","",IFERROR(VLOOKUP($C636,'_CONFIG_Risk_Calibration'!$A$5:$H$21,3,FALSE),0))</f>
        <v/>
      </c>
      <c r="BL636">
        <f>IF($E636="","",IFERROR(VLOOKUP($C636,'_CONFIG_Risk_Calibration'!$A$5:$H$21,4,FALSE),3))</f>
        <v/>
      </c>
      <c r="BM636">
        <f>IF($E636="","",IFERROR(VLOOKUP($C636,'_CONFIG_Risk_Calibration'!$A$5:$H$21,5,FALSE),3))</f>
        <v/>
      </c>
      <c r="BN636">
        <f>IF($E636="","",IFERROR(VLOOKUP($C636,'_CONFIG_Risk_Calibration'!$A$5:$H$21,6,FALSE),"No"))</f>
        <v/>
      </c>
      <c r="BO636">
        <f>IF($E636="","",IFERROR(VLOOKUP($C636,'_CONFIG_Risk_Calibration'!$A$5:$H$21,7,FALSE),1))</f>
        <v/>
      </c>
      <c r="BP636">
        <f>IF($H636="","",MAX(1,MIN(5,((6-$H636)*0.45)+($BJ636*0.20)+('Resilience &amp; Risk Scenario'!$B$7*0.15)+($BK636*0.10)+($BL636*0.05)+(IF($BB636="Fast",5,IF($BB636="Slow",1,3))*0.05))))</f>
        <v/>
      </c>
      <c r="BQ636">
        <f>IF($H636="","",MAX(IF($BN636="Yes",$BO636,1),MIN(5,($U636*0.20)+($V636*0.15)+($W636*0.25)+($X636*0.15)+($BJ636*0.10)+($BM636*0.15))))</f>
        <v/>
      </c>
      <c r="BR636">
        <f>IF(OR($BP636="",$BQ636=""),"",ROUND($BP636*$BQ636,2))</f>
        <v/>
      </c>
      <c r="BS636">
        <f>IF($BR636="","",ROUND($BR636*IF($AO636="",1,$AO636)*IF($AX636="",1,$AX636)*(1+(($BM636-3)*0.10))*IF($BC636="",1,$BC636),2))</f>
        <v/>
      </c>
    </row>
    <row r="637" ht="69.90000000000001" customHeight="1" s="209">
      <c r="A637">
        <f>IF($BD637="","",SUMPRODUCT(ISNUMBER($BD$500:$BD$923)*($BD$500:$BD$923&gt;$BD637))+COUNTIF($BD$500:$BD637,$BD637))</f>
        <v/>
      </c>
      <c r="B637">
        <f>IF($H637="","",IF($H637&lt;5,"Yes","Maintain"))</f>
        <v/>
      </c>
      <c r="C637" t="inlineStr">
        <is>
          <t>Legal Risk</t>
        </is>
      </c>
      <c r="D637" t="inlineStr">
        <is>
          <t>Employment law</t>
        </is>
      </c>
      <c r="E637" t="inlineStr">
        <is>
          <t>LEGA-019</t>
        </is>
      </c>
      <c r="F637" t="inlineStr">
        <is>
          <t>Legal, compliance and contractual exposure</t>
        </is>
      </c>
      <c r="G637">
        <f>IF($H637="","",IFERROR(INDEX('_ENGINE_Risk'!$H$41:$M$920,MATCH($E637,'_ENGINE_Risk'!$A$41:$A$920,0),$H637+1),""))</f>
        <v/>
      </c>
      <c r="H637">
        <f>IFERROR(VALUE(INDEX(_DATA_Assessment_Model!$H$5:$H$884,MATCH($E637,_DATA_Assessment_Model!$A$5:$A$884,0))),"")</f>
        <v/>
      </c>
      <c r="I637">
        <f>IF($H637="","",IFERROR(INDEX(_DATA_Assessment_Model!$L$5:$L$884,MATCH($E637,_DATA_Assessment_Model!$A$5:$A$884,0)),IF($H637&lt;=1,"Critical",IF($H637=2,"High",IF($H637=3,"Medium",IF($H637=4,"Low","Resilient"))))))</f>
        <v/>
      </c>
      <c r="J637">
        <f>IF($H637="","",MIN(5,MAX(1,6-$H637)))</f>
        <v/>
      </c>
      <c r="K637">
        <f>IF($H637="","",MAX(1,MIN(5,ROUNDUP(($U637*0.45)+($W637*0.35)+($X637*0.2),0))))</f>
        <v/>
      </c>
      <c r="L637">
        <f>IF($H637="","",$J637*$K637)</f>
        <v/>
      </c>
      <c r="M637">
        <f>IF($H637="","",MAX(1,MIN(5,ROUNDUP($L637/5,0))))</f>
        <v/>
      </c>
      <c r="N637">
        <f>IF($H637="","",IFERROR(INDEX('_ENGINE_Risk'!$T$41:$Y$920,MATCH($E637,'_ENGINE_Risk'!$A$41:$A$920,0),$H637+1),""))</f>
        <v/>
      </c>
      <c r="O637">
        <f>IF($H637="","",MAX(1,MIN(5,($U637+$V637+$X637)/3)))</f>
        <v/>
      </c>
      <c r="P637">
        <f>IF($H637="","",IF($I637="Critical",5,IF($I637="High",4,IF($I637="Medium",3,IF($I637="Low",2,1)))))</f>
        <v/>
      </c>
      <c r="Q637">
        <f>IF($H637="","",MAX(1,MIN(5,((5-$H637)*0.65)+($W637*0.35))))</f>
        <v/>
      </c>
      <c r="R637">
        <f>IF($H637="","",MAX(1,MIN(5,($V637+$X637)/2)))</f>
        <v/>
      </c>
      <c r="S637">
        <f>IF(OR($H637="",$N637=""),"",ROUND(($O637+$P637+$Q637+$R637)/$N637,2))</f>
        <v/>
      </c>
      <c r="T637">
        <f>IF($H637="","",IFERROR(INDEX('_ENGINE_Risk'!$N$41:$S$920,MATCH($E637,'_ENGINE_Risk'!$A$41:$A$920,0),$H637+1),""))</f>
        <v/>
      </c>
      <c r="U637">
        <f>IFERROR(INDEX(_DATA_Assessment_Model!$G$5:$G$884,MATCH($E637,_DATA_Assessment_Model!$A$5:$A$884,0)),"")</f>
        <v/>
      </c>
      <c r="V637">
        <f>IFERROR(INDEX(_DATA_Assessment_Model!$W$5:$W$884,MATCH($E637,_DATA_Assessment_Model!$A$5:$A$884,0)),"")</f>
        <v/>
      </c>
      <c r="W637">
        <f>IFERROR(INDEX(_DATA_Assessment_Model!$X$5:$X$884,MATCH($E637,_DATA_Assessment_Model!$A$5:$A$884,0)),"")</f>
        <v/>
      </c>
      <c r="X637">
        <f>IFERROR(INDEX(_DATA_Assessment_Model!$Y$5:$Y$884,MATCH($E637,_DATA_Assessment_Model!$A$5:$A$884,0)),"")</f>
        <v/>
      </c>
      <c r="Y637" t="inlineStr">
        <is>
          <t>Regulatory/legal shock; Contractual exposure; Data breach</t>
        </is>
      </c>
      <c r="Z637" t="inlineStr">
        <is>
          <t>Legal / Compliance</t>
        </is>
      </c>
      <c r="AA637" t="inlineStr">
        <is>
          <t>Policy/SOP; owner/RACI; system report; dashboard; contracts; test records; incident history; interview evidence related to legal options for relocation, evacuation, furlough, flexible work, terminations or hardship support by country.</t>
        </is>
      </c>
      <c r="AB637">
        <f>IFERROR(INDEX(_DATA_Assessment_Model!$U$5:$U$884,MATCH($E637,_DATA_Assessment_Model!$A$5:$A$884,0)),"")</f>
        <v/>
      </c>
      <c r="AF637" t="inlineStr">
        <is>
          <t>How mature is the organization in managing legal options for relocation, evacuation, furlough, flexible work, terminations or hardship support by country, including ownership, evidence, metrics, fallback procedures and crisis stress testing?</t>
        </is>
      </c>
      <c r="AO637">
        <f>IF($B637="Yes",IFERROR(INDEX(_ENGINE_Crisis!$F$501:$F$517,MATCH($C637,_ENGINE_Crisis!$A$501:$A$517,0)),1),"")</f>
        <v/>
      </c>
      <c r="AP637">
        <f>IF(AO637="","",ROUND($L637*AO637,1))</f>
        <v/>
      </c>
      <c r="AQ637">
        <f>IF(OR(AO637="",$S637=""),"",ROUND($S637*(0.7+0.3*AO637),2))</f>
        <v/>
      </c>
      <c r="AR637">
        <f>IFERROR(INDEX(_ENGINE_Crisis!$E$41:$E$700,MATCH('Resilience &amp; Risk Scenario'!$B$60&amp;"|"&amp;$C637,_ENGINE_Crisis!$I$41:$I$700,0)),"")</f>
        <v/>
      </c>
      <c r="AS637">
        <f>IFERROR(INDEX(_ENGINE_Crisis!$G$41:$G$700,MATCH('Resilience &amp; Risk Scenario'!$B$60&amp;"|"&amp;$C637,_ENGINE_Crisis!$I$41:$I$700,0)),"")</f>
        <v/>
      </c>
      <c r="AT637">
        <f>IFERROR(INDEX(_ENGINE_Initiatives!$A$5:$A$532,MATCH(1,INDEX((_ENGINE_Initiatives!$B$5:$B$532=$C637)*(_ENGINE_Initiatives!$C$5:$C$532=$D637),0),0)),"")</f>
        <v/>
      </c>
      <c r="AU637">
        <f>IFERROR(INDEX(_ENGINE_Initiatives!$F$5:$F$532,MATCH(1,INDEX((_ENGINE_Initiatives!$B$5:$B$532=$C637)*(_ENGINE_Initiatives!$C$5:$C$532=$D637),0),0)),"")</f>
        <v/>
      </c>
      <c r="AV637">
        <f>IFERROR(INDEX(_ENGINE_Initiatives!$AC$5:$AC$532,MATCH(1,INDEX((_ENGINE_Initiatives!$B$5:$B$532=$C637)*(_ENGINE_Initiatives!$C$5:$C$532=$D637),0),0)),"")</f>
        <v/>
      </c>
      <c r="AW637">
        <f>IFERROR(INDEX(_ENGINE_Initiatives!$AE$5:$AE$532,MATCH(1,INDEX((_ENGINE_Initiatives!$B$5:$B$532=$C637)*(_ENGINE_Initiatives!$C$5:$C$532=$D637),0),0)),"")</f>
        <v/>
      </c>
      <c r="AX637">
        <f>IF($B637="Yes",IFERROR(IF(SUMIFS(_REF_Model_Content!$E$1:$E$613,_REF_Model_Content!$A$1:$A$613,'Company Profile'!$B$9,_REF_Model_Content!$B$1:$B$613,$C637)=0,1,SUMIFS(_REF_Model_Content!$E$1:$E$613,_REF_Model_Content!$A$1:$A$613,'Company Profile'!$B$9,_REF_Model_Content!$B$1:$B$613,$C637)),1),"")</f>
        <v/>
      </c>
      <c r="AY637">
        <f>IF($L637="","",ROUND(IF($AP637="",$L637,$AP637)*IF($AX637="",1,$AX637),2))</f>
        <v/>
      </c>
      <c r="AZ637">
        <f>IF($S637="","",ROUND(IF($AQ637="",$S637,$AQ637)*IF($AX637="",1,$AX637),2))</f>
        <v/>
      </c>
      <c r="BB637">
        <f>IF($H637="","",IFERROR(INDEX('_ENGINE_Risk'!$AE$41:$AE$920,MATCH($E637,'_ENGINE_Risk'!$A$41:$A$920,0)),"Medium"))</f>
        <v/>
      </c>
      <c r="BC637">
        <f>IF($BB637="","",IF($BB637="Fast",1.25,IF($BB637="Slow",0.85,1)))</f>
        <v/>
      </c>
      <c r="BD637">
        <f>IF(OR($AZ637="",$BC637=""),"",ROUND($AZ637*$BC637,2))</f>
        <v/>
      </c>
      <c r="BF637">
        <f>IF(OR($H637="",$J637=""),"",_xlfn.IFNA(VLOOKUP($J637,_CONFIG_Model_Settings!$D$610:$E$614,2,0),""))</f>
        <v/>
      </c>
      <c r="BG637">
        <f>IF(OR($H637="",$K637=""),"",ROUND('Company Profile'!$B$569*INDEX(_CONFIG_Model_Settings!$H$610:$H$614,MATCH($K637,_CONFIG_Model_Settings!$G$610:$G$614,0)),0))</f>
        <v/>
      </c>
      <c r="BH637">
        <f>IF(OR($BF637="",$BG637=""),"",ROUND($BF637*$BG637,1))</f>
        <v/>
      </c>
      <c r="BI637">
        <f>IF($BH637="","",IF($AO637="",$BH637,ROUND($BH637*$AO637,1)))</f>
        <v/>
      </c>
      <c r="BJ637">
        <f>IF($E637="","",IFERROR(VLOOKUP($C637,'_CONFIG_Risk_Calibration'!$A$5:$H$21,2,FALSE),3))</f>
        <v/>
      </c>
      <c r="BK637">
        <f>IF($E637="","",IFERROR(VLOOKUP($C637,'_CONFIG_Risk_Calibration'!$A$5:$H$21,3,FALSE),0))</f>
        <v/>
      </c>
      <c r="BL637">
        <f>IF($E637="","",IFERROR(VLOOKUP($C637,'_CONFIG_Risk_Calibration'!$A$5:$H$21,4,FALSE),3))</f>
        <v/>
      </c>
      <c r="BM637">
        <f>IF($E637="","",IFERROR(VLOOKUP($C637,'_CONFIG_Risk_Calibration'!$A$5:$H$21,5,FALSE),3))</f>
        <v/>
      </c>
      <c r="BN637">
        <f>IF($E637="","",IFERROR(VLOOKUP($C637,'_CONFIG_Risk_Calibration'!$A$5:$H$21,6,FALSE),"No"))</f>
        <v/>
      </c>
      <c r="BO637">
        <f>IF($E637="","",IFERROR(VLOOKUP($C637,'_CONFIG_Risk_Calibration'!$A$5:$H$21,7,FALSE),1))</f>
        <v/>
      </c>
      <c r="BP637">
        <f>IF($H637="","",MAX(1,MIN(5,((6-$H637)*0.45)+($BJ637*0.20)+('Resilience &amp; Risk Scenario'!$B$7*0.15)+($BK637*0.10)+($BL637*0.05)+(IF($BB637="Fast",5,IF($BB637="Slow",1,3))*0.05))))</f>
        <v/>
      </c>
      <c r="BQ637">
        <f>IF($H637="","",MAX(IF($BN637="Yes",$BO637,1),MIN(5,($U637*0.20)+($V637*0.15)+($W637*0.25)+($X637*0.15)+($BJ637*0.10)+($BM637*0.15))))</f>
        <v/>
      </c>
      <c r="BR637">
        <f>IF(OR($BP637="",$BQ637=""),"",ROUND($BP637*$BQ637,2))</f>
        <v/>
      </c>
      <c r="BS637">
        <f>IF($BR637="","",ROUND($BR637*IF($AO637="",1,$AO637)*IF($AX637="",1,$AX637)*(1+(($BM637-3)*0.10))*IF($BC637="",1,$BC637),2))</f>
        <v/>
      </c>
    </row>
    <row r="638" ht="69.90000000000001" customHeight="1" s="209">
      <c r="A638">
        <f>IF($BD638="","",SUMPRODUCT(ISNUMBER($BD$500:$BD$923)*($BD$500:$BD$923&gt;$BD638))+COUNTIF($BD$500:$BD638,$BD638))</f>
        <v/>
      </c>
      <c r="B638">
        <f>IF($H638="","",IF($H638&lt;5,"Yes","Maintain"))</f>
        <v/>
      </c>
      <c r="C638" t="inlineStr">
        <is>
          <t>Legal Risk</t>
        </is>
      </c>
      <c r="D638" t="inlineStr">
        <is>
          <t>Employment law</t>
        </is>
      </c>
      <c r="E638" t="inlineStr">
        <is>
          <t>LEGA-020</t>
        </is>
      </c>
      <c r="F638" t="inlineStr">
        <is>
          <t>Legal, compliance and contractual exposure</t>
        </is>
      </c>
      <c r="G638">
        <f>IF($H638="","",IFERROR(INDEX('_ENGINE_Risk'!$H$41:$M$920,MATCH($E638,'_ENGINE_Risk'!$A$41:$A$920,0),$H638+1),""))</f>
        <v/>
      </c>
      <c r="H638">
        <f>IFERROR(VALUE(INDEX(_DATA_Assessment_Model!$H$5:$H$884,MATCH($E638,_DATA_Assessment_Model!$A$5:$A$884,0))),"")</f>
        <v/>
      </c>
      <c r="I638">
        <f>IF($H638="","",IFERROR(INDEX(_DATA_Assessment_Model!$L$5:$L$884,MATCH($E638,_DATA_Assessment_Model!$A$5:$A$884,0)),IF($H638&lt;=1,"Critical",IF($H638=2,"High",IF($H638=3,"Medium",IF($H638=4,"Low","Resilient"))))))</f>
        <v/>
      </c>
      <c r="J638">
        <f>IF($H638="","",MIN(5,MAX(1,6-$H638)))</f>
        <v/>
      </c>
      <c r="K638">
        <f>IF($H638="","",MAX(1,MIN(5,ROUNDUP(($U638*0.45)+($W638*0.35)+($X638*0.2),0))))</f>
        <v/>
      </c>
      <c r="L638">
        <f>IF($H638="","",$J638*$K638)</f>
        <v/>
      </c>
      <c r="M638">
        <f>IF($H638="","",MAX(1,MIN(5,ROUNDUP($L638/5,0))))</f>
        <v/>
      </c>
      <c r="N638">
        <f>IF($H638="","",IFERROR(INDEX('_ENGINE_Risk'!$T$41:$Y$920,MATCH($E638,'_ENGINE_Risk'!$A$41:$A$920,0),$H638+1),""))</f>
        <v/>
      </c>
      <c r="O638">
        <f>IF($H638="","",MAX(1,MIN(5,($U638+$V638+$X638)/3)))</f>
        <v/>
      </c>
      <c r="P638">
        <f>IF($H638="","",IF($I638="Critical",5,IF($I638="High",4,IF($I638="Medium",3,IF($I638="Low",2,1)))))</f>
        <v/>
      </c>
      <c r="Q638">
        <f>IF($H638="","",MAX(1,MIN(5,((5-$H638)*0.65)+($W638*0.35))))</f>
        <v/>
      </c>
      <c r="R638">
        <f>IF($H638="","",MAX(1,MIN(5,($V638+$X638)/2)))</f>
        <v/>
      </c>
      <c r="S638">
        <f>IF(OR($H638="",$N638=""),"",ROUND(($O638+$P638+$Q638+$R638)/$N638,2))</f>
        <v/>
      </c>
      <c r="T638">
        <f>IF($H638="","",IFERROR(INDEX('_ENGINE_Risk'!$N$41:$S$920,MATCH($E638,'_ENGINE_Risk'!$A$41:$A$920,0),$H638+1),""))</f>
        <v/>
      </c>
      <c r="U638">
        <f>IFERROR(INDEX(_DATA_Assessment_Model!$G$5:$G$884,MATCH($E638,_DATA_Assessment_Model!$A$5:$A$884,0)),"")</f>
        <v/>
      </c>
      <c r="V638">
        <f>IFERROR(INDEX(_DATA_Assessment_Model!$W$5:$W$884,MATCH($E638,_DATA_Assessment_Model!$A$5:$A$884,0)),"")</f>
        <v/>
      </c>
      <c r="W638">
        <f>IFERROR(INDEX(_DATA_Assessment_Model!$X$5:$X$884,MATCH($E638,_DATA_Assessment_Model!$A$5:$A$884,0)),"")</f>
        <v/>
      </c>
      <c r="X638">
        <f>IFERROR(INDEX(_DATA_Assessment_Model!$Y$5:$Y$884,MATCH($E638,_DATA_Assessment_Model!$A$5:$A$884,0)),"")</f>
        <v/>
      </c>
      <c r="Y638" t="inlineStr">
        <is>
          <t>Regulatory/legal shock; Contractual exposure; Data breach</t>
        </is>
      </c>
      <c r="Z638" t="inlineStr">
        <is>
          <t>Legal / Compliance</t>
        </is>
      </c>
      <c r="AA638" t="inlineStr">
        <is>
          <t>Policy/SOP; owner/RACI; system report; dashboard; contracts; test records; incident history; interview evidence related to labor relations, works council or union obligations during restructuring or crisis measures.</t>
        </is>
      </c>
      <c r="AB638">
        <f>IFERROR(INDEX(_DATA_Assessment_Model!$U$5:$U$884,MATCH($E638,_DATA_Assessment_Model!$A$5:$A$884,0)),"")</f>
        <v/>
      </c>
      <c r="AF638" t="inlineStr">
        <is>
          <t>How mature is the organization in managing labor relations, works council or union obligations during restructuring or crisis measures, including ownership, evidence, metrics, fallback procedures and crisis stress testing?</t>
        </is>
      </c>
      <c r="AO638">
        <f>IF($B638="Yes",IFERROR(INDEX(_ENGINE_Crisis!$F$501:$F$517,MATCH($C638,_ENGINE_Crisis!$A$501:$A$517,0)),1),"")</f>
        <v/>
      </c>
      <c r="AP638">
        <f>IF(AO638="","",ROUND($L638*AO638,1))</f>
        <v/>
      </c>
      <c r="AQ638">
        <f>IF(OR(AO638="",$S638=""),"",ROUND($S638*(0.7+0.3*AO638),2))</f>
        <v/>
      </c>
      <c r="AR638">
        <f>IFERROR(INDEX(_ENGINE_Crisis!$E$41:$E$700,MATCH('Resilience &amp; Risk Scenario'!$B$60&amp;"|"&amp;$C638,_ENGINE_Crisis!$I$41:$I$700,0)),"")</f>
        <v/>
      </c>
      <c r="AS638">
        <f>IFERROR(INDEX(_ENGINE_Crisis!$G$41:$G$700,MATCH('Resilience &amp; Risk Scenario'!$B$60&amp;"|"&amp;$C638,_ENGINE_Crisis!$I$41:$I$700,0)),"")</f>
        <v/>
      </c>
      <c r="AT638">
        <f>IFERROR(INDEX(_ENGINE_Initiatives!$A$5:$A$532,MATCH(1,INDEX((_ENGINE_Initiatives!$B$5:$B$532=$C638)*(_ENGINE_Initiatives!$C$5:$C$532=$D638),0),0)),"")</f>
        <v/>
      </c>
      <c r="AU638">
        <f>IFERROR(INDEX(_ENGINE_Initiatives!$F$5:$F$532,MATCH(1,INDEX((_ENGINE_Initiatives!$B$5:$B$532=$C638)*(_ENGINE_Initiatives!$C$5:$C$532=$D638),0),0)),"")</f>
        <v/>
      </c>
      <c r="AV638">
        <f>IFERROR(INDEX(_ENGINE_Initiatives!$AC$5:$AC$532,MATCH(1,INDEX((_ENGINE_Initiatives!$B$5:$B$532=$C638)*(_ENGINE_Initiatives!$C$5:$C$532=$D638),0),0)),"")</f>
        <v/>
      </c>
      <c r="AW638">
        <f>IFERROR(INDEX(_ENGINE_Initiatives!$AE$5:$AE$532,MATCH(1,INDEX((_ENGINE_Initiatives!$B$5:$B$532=$C638)*(_ENGINE_Initiatives!$C$5:$C$532=$D638),0),0)),"")</f>
        <v/>
      </c>
      <c r="AX638">
        <f>IF($B638="Yes",IFERROR(IF(SUMIFS(_REF_Model_Content!$E$1:$E$613,_REF_Model_Content!$A$1:$A$613,'Company Profile'!$B$9,_REF_Model_Content!$B$1:$B$613,$C638)=0,1,SUMIFS(_REF_Model_Content!$E$1:$E$613,_REF_Model_Content!$A$1:$A$613,'Company Profile'!$B$9,_REF_Model_Content!$B$1:$B$613,$C638)),1),"")</f>
        <v/>
      </c>
      <c r="AY638">
        <f>IF($L638="","",ROUND(IF($AP638="",$L638,$AP638)*IF($AX638="",1,$AX638),2))</f>
        <v/>
      </c>
      <c r="AZ638">
        <f>IF($S638="","",ROUND(IF($AQ638="",$S638,$AQ638)*IF($AX638="",1,$AX638),2))</f>
        <v/>
      </c>
      <c r="BB638">
        <f>IF($H638="","",IFERROR(INDEX('_ENGINE_Risk'!$AE$41:$AE$920,MATCH($E638,'_ENGINE_Risk'!$A$41:$A$920,0)),"Medium"))</f>
        <v/>
      </c>
      <c r="BC638">
        <f>IF($BB638="","",IF($BB638="Fast",1.25,IF($BB638="Slow",0.85,1)))</f>
        <v/>
      </c>
      <c r="BD638">
        <f>IF(OR($AZ638="",$BC638=""),"",ROUND($AZ638*$BC638,2))</f>
        <v/>
      </c>
      <c r="BF638">
        <f>IF(OR($H638="",$J638=""),"",_xlfn.IFNA(VLOOKUP($J638,_CONFIG_Model_Settings!$D$610:$E$614,2,0),""))</f>
        <v/>
      </c>
      <c r="BG638">
        <f>IF(OR($H638="",$K638=""),"",ROUND('Company Profile'!$B$569*INDEX(_CONFIG_Model_Settings!$H$610:$H$614,MATCH($K638,_CONFIG_Model_Settings!$G$610:$G$614,0)),0))</f>
        <v/>
      </c>
      <c r="BH638">
        <f>IF(OR($BF638="",$BG638=""),"",ROUND($BF638*$BG638,1))</f>
        <v/>
      </c>
      <c r="BI638">
        <f>IF($BH638="","",IF($AO638="",$BH638,ROUND($BH638*$AO638,1)))</f>
        <v/>
      </c>
      <c r="BJ638">
        <f>IF($E638="","",IFERROR(VLOOKUP($C638,'_CONFIG_Risk_Calibration'!$A$5:$H$21,2,FALSE),3))</f>
        <v/>
      </c>
      <c r="BK638">
        <f>IF($E638="","",IFERROR(VLOOKUP($C638,'_CONFIG_Risk_Calibration'!$A$5:$H$21,3,FALSE),0))</f>
        <v/>
      </c>
      <c r="BL638">
        <f>IF($E638="","",IFERROR(VLOOKUP($C638,'_CONFIG_Risk_Calibration'!$A$5:$H$21,4,FALSE),3))</f>
        <v/>
      </c>
      <c r="BM638">
        <f>IF($E638="","",IFERROR(VLOOKUP($C638,'_CONFIG_Risk_Calibration'!$A$5:$H$21,5,FALSE),3))</f>
        <v/>
      </c>
      <c r="BN638">
        <f>IF($E638="","",IFERROR(VLOOKUP($C638,'_CONFIG_Risk_Calibration'!$A$5:$H$21,6,FALSE),"No"))</f>
        <v/>
      </c>
      <c r="BO638">
        <f>IF($E638="","",IFERROR(VLOOKUP($C638,'_CONFIG_Risk_Calibration'!$A$5:$H$21,7,FALSE),1))</f>
        <v/>
      </c>
      <c r="BP638">
        <f>IF($H638="","",MAX(1,MIN(5,((6-$H638)*0.45)+($BJ638*0.20)+('Resilience &amp; Risk Scenario'!$B$7*0.15)+($BK638*0.10)+($BL638*0.05)+(IF($BB638="Fast",5,IF($BB638="Slow",1,3))*0.05))))</f>
        <v/>
      </c>
      <c r="BQ638">
        <f>IF($H638="","",MAX(IF($BN638="Yes",$BO638,1),MIN(5,($U638*0.20)+($V638*0.15)+($W638*0.25)+($X638*0.15)+($BJ638*0.10)+($BM638*0.15))))</f>
        <v/>
      </c>
      <c r="BR638">
        <f>IF(OR($BP638="",$BQ638=""),"",ROUND($BP638*$BQ638,2))</f>
        <v/>
      </c>
      <c r="BS638">
        <f>IF($BR638="","",ROUND($BR638*IF($AO638="",1,$AO638)*IF($AX638="",1,$AX638)*(1+(($BM638-3)*0.10))*IF($BC638="",1,$BC638),2))</f>
        <v/>
      </c>
    </row>
    <row r="639" ht="69.90000000000001" customHeight="1" s="209">
      <c r="A639">
        <f>IF($BD639="","",SUMPRODUCT(ISNUMBER($BD$500:$BD$923)*($BD$500:$BD$923&gt;$BD639))+COUNTIF($BD$500:$BD639,$BD639))</f>
        <v/>
      </c>
      <c r="B639">
        <f>IF($H639="","",IF($H639&lt;5,"Yes","Maintain"))</f>
        <v/>
      </c>
      <c r="C639" t="inlineStr">
        <is>
          <t>Legal Risk</t>
        </is>
      </c>
      <c r="D639" t="inlineStr">
        <is>
          <t>Compliance</t>
        </is>
      </c>
      <c r="E639" t="inlineStr">
        <is>
          <t>LEGA-021</t>
        </is>
      </c>
      <c r="F639" t="inlineStr">
        <is>
          <t>Legal exposure and dispute readiness</t>
        </is>
      </c>
      <c r="G639">
        <f>IF($H639="","",IFERROR(INDEX('_ENGINE_Risk'!$H$41:$M$920,MATCH($E639,'_ENGINE_Risk'!$A$41:$A$920,0),$H639+1),""))</f>
        <v/>
      </c>
      <c r="H639">
        <f>IFERROR(VALUE(INDEX(_DATA_Assessment_Model!$H$5:$H$884,MATCH($E639,_DATA_Assessment_Model!$A$5:$A$884,0))),"")</f>
        <v/>
      </c>
      <c r="I639">
        <f>IF($H639="","",IFERROR(INDEX(_DATA_Assessment_Model!$L$5:$L$884,MATCH($E639,_DATA_Assessment_Model!$A$5:$A$884,0)),IF($H639&lt;=1,"Critical",IF($H639=2,"High",IF($H639=3,"Medium",IF($H639=4,"Low","Resilient"))))))</f>
        <v/>
      </c>
      <c r="J639">
        <f>IF($H639="","",MIN(5,MAX(1,6-$H639)))</f>
        <v/>
      </c>
      <c r="K639">
        <f>IF($H639="","",MAX(1,MIN(5,ROUNDUP(($U639*0.45)+($W639*0.35)+($X639*0.2),0))))</f>
        <v/>
      </c>
      <c r="L639">
        <f>IF($H639="","",$J639*$K639)</f>
        <v/>
      </c>
      <c r="M639">
        <f>IF($H639="","",MAX(1,MIN(5,ROUNDUP($L639/5,0))))</f>
        <v/>
      </c>
      <c r="N639">
        <f>IF($H639="","",IFERROR(INDEX('_ENGINE_Risk'!$T$41:$Y$920,MATCH($E639,'_ENGINE_Risk'!$A$41:$A$920,0),$H639+1),""))</f>
        <v/>
      </c>
      <c r="O639">
        <f>IF($H639="","",MAX(1,MIN(5,($U639+$V639+$X639)/3)))</f>
        <v/>
      </c>
      <c r="P639">
        <f>IF($H639="","",IF($I639="Critical",5,IF($I639="High",4,IF($I639="Medium",3,IF($I639="Low",2,1)))))</f>
        <v/>
      </c>
      <c r="Q639">
        <f>IF($H639="","",MAX(1,MIN(5,((5-$H639)*0.65)+($W639*0.35))))</f>
        <v/>
      </c>
      <c r="R639">
        <f>IF($H639="","",MAX(1,MIN(5,($V639+$X639)/2)))</f>
        <v/>
      </c>
      <c r="S639">
        <f>IF(OR($H639="",$N639=""),"",ROUND(($O639+$P639+$Q639+$R639)/$N639,2))</f>
        <v/>
      </c>
      <c r="T639">
        <f>IF($H639="","",IFERROR(INDEX('_ENGINE_Risk'!$N$41:$S$920,MATCH($E639,'_ENGINE_Risk'!$A$41:$A$920,0),$H639+1),""))</f>
        <v/>
      </c>
      <c r="U639">
        <f>IFERROR(INDEX(_DATA_Assessment_Model!$G$5:$G$884,MATCH($E639,_DATA_Assessment_Model!$A$5:$A$884,0)),"")</f>
        <v/>
      </c>
      <c r="V639">
        <f>IFERROR(INDEX(_DATA_Assessment_Model!$W$5:$W$884,MATCH($E639,_DATA_Assessment_Model!$A$5:$A$884,0)),"")</f>
        <v/>
      </c>
      <c r="W639">
        <f>IFERROR(INDEX(_DATA_Assessment_Model!$X$5:$X$884,MATCH($E639,_DATA_Assessment_Model!$A$5:$A$884,0)),"")</f>
        <v/>
      </c>
      <c r="X639">
        <f>IFERROR(INDEX(_DATA_Assessment_Model!$Y$5:$Y$884,MATCH($E639,_DATA_Assessment_Model!$A$5:$A$884,0)),"")</f>
        <v/>
      </c>
      <c r="Y639" t="inlineStr">
        <is>
          <t>Regulatory/legal shock; Financial/liquidity crisis</t>
        </is>
      </c>
      <c r="Z639" t="inlineStr">
        <is>
          <t>General Counsel / CFO</t>
        </is>
      </c>
      <c r="AA639" t="inlineStr">
        <is>
          <t>Policy/SOP; owner/RACI; system report; dashboard; contracts; test records; incident history; interview evidence related to litigation and dispute portfolio management with a dispute register, external counsel panel and budget control</t>
        </is>
      </c>
      <c r="AB639">
        <f>IFERROR(INDEX(_DATA_Assessment_Model!$U$5:$U$884,MATCH($E639,_DATA_Assessment_Model!$A$5:$A$884,0)),"")</f>
        <v/>
      </c>
      <c r="AF639" t="inlineStr">
        <is>
          <t>How mature is the organization in managing litigation and dispute portfolio management with a dispute register, external counsel panel and budget control, including ownership, evidence, metrics, fallback procedures and crisis stress testing?</t>
        </is>
      </c>
      <c r="AO639">
        <f>IF($B639="Yes",IFERROR(INDEX(_ENGINE_Crisis!$F$501:$F$517,MATCH($C639,_ENGINE_Crisis!$A$501:$A$517,0)),1),"")</f>
        <v/>
      </c>
      <c r="AP639">
        <f>IF(AO639="","",ROUND($L639*AO639,1))</f>
        <v/>
      </c>
      <c r="AQ639">
        <f>IF(OR(AO639="",$S639=""),"",ROUND($S639*(0.7+0.3*AO639),2))</f>
        <v/>
      </c>
      <c r="AR639">
        <f>IFERROR(INDEX(_ENGINE_Crisis!$E$41:$E$700,MATCH('Resilience &amp; Risk Scenario'!$B$60&amp;"|"&amp;$C639,_ENGINE_Crisis!$I$41:$I$700,0)),"")</f>
        <v/>
      </c>
      <c r="AS639">
        <f>IFERROR(INDEX(_ENGINE_Crisis!$G$41:$G$700,MATCH('Resilience &amp; Risk Scenario'!$B$60&amp;"|"&amp;$C639,_ENGINE_Crisis!$I$41:$I$700,0)),"")</f>
        <v/>
      </c>
      <c r="AT639">
        <f>IFERROR(INDEX(_ENGINE_Initiatives!$A$5:$A$532,MATCH(1,INDEX((_ENGINE_Initiatives!$B$5:$B$532=$C639)*(_ENGINE_Initiatives!$C$5:$C$532=$D639),0),0)),"")</f>
        <v/>
      </c>
      <c r="AU639">
        <f>IFERROR(INDEX(_ENGINE_Initiatives!$F$5:$F$532,MATCH(1,INDEX((_ENGINE_Initiatives!$B$5:$B$532=$C639)*(_ENGINE_Initiatives!$C$5:$C$532=$D639),0),0)),"")</f>
        <v/>
      </c>
      <c r="AV639">
        <f>IFERROR(INDEX(_ENGINE_Initiatives!$AC$5:$AC$532,MATCH(1,INDEX((_ENGINE_Initiatives!$B$5:$B$532=$C639)*(_ENGINE_Initiatives!$C$5:$C$532=$D639),0),0)),"")</f>
        <v/>
      </c>
      <c r="AW639">
        <f>IFERROR(INDEX(_ENGINE_Initiatives!$AE$5:$AE$532,MATCH(1,INDEX((_ENGINE_Initiatives!$B$5:$B$532=$C639)*(_ENGINE_Initiatives!$C$5:$C$532=$D639),0),0)),"")</f>
        <v/>
      </c>
      <c r="AX639">
        <f>IF($B639="Yes",IFERROR(IF(SUMIFS(_REF_Model_Content!$E$1:$E$613,_REF_Model_Content!$A$1:$A$613,'Company Profile'!$B$9,_REF_Model_Content!$B$1:$B$613,$C639)=0,1,SUMIFS(_REF_Model_Content!$E$1:$E$613,_REF_Model_Content!$A$1:$A$613,'Company Profile'!$B$9,_REF_Model_Content!$B$1:$B$613,$C639)),1),"")</f>
        <v/>
      </c>
      <c r="AY639">
        <f>IF($L639="","",ROUND(IF($AP639="",$L639,$AP639)*IF($AX639="",1,$AX639),2))</f>
        <v/>
      </c>
      <c r="AZ639">
        <f>IF($S639="","",ROUND(IF($AQ639="",$S639,$AQ639)*IF($AX639="",1,$AX639),2))</f>
        <v/>
      </c>
      <c r="BB639">
        <f>IF($H639="","",IFERROR(INDEX('_ENGINE_Risk'!$AE$41:$AE$920,MATCH($E639,'_ENGINE_Risk'!$A$41:$A$920,0)),"Medium"))</f>
        <v/>
      </c>
      <c r="BC639">
        <f>IF($BB639="","",IF($BB639="Fast",1.25,IF($BB639="Slow",0.85,1)))</f>
        <v/>
      </c>
      <c r="BD639">
        <f>IF(OR($AZ639="",$BC639=""),"",ROUND($AZ639*$BC639,2))</f>
        <v/>
      </c>
      <c r="BF639">
        <f>IF(OR($H639="",$J639=""),"",_xlfn.IFNA(VLOOKUP($J639,_CONFIG_Model_Settings!$D$610:$E$614,2,0),""))</f>
        <v/>
      </c>
      <c r="BG639">
        <f>IF(OR($H639="",$K639=""),"",ROUND('Company Profile'!$B$569*INDEX(_CONFIG_Model_Settings!$H$610:$H$614,MATCH($K639,_CONFIG_Model_Settings!$G$610:$G$614,0)),0))</f>
        <v/>
      </c>
      <c r="BH639">
        <f>IF(OR($BF639="",$BG639=""),"",ROUND($BF639*$BG639,1))</f>
        <v/>
      </c>
      <c r="BI639">
        <f>IF($BH639="","",IF($AO639="",$BH639,ROUND($BH639*$AO639,1)))</f>
        <v/>
      </c>
      <c r="BJ639">
        <f>IF($E639="","",IFERROR(VLOOKUP($C639,'_CONFIG_Risk_Calibration'!$A$5:$H$21,2,FALSE),3))</f>
        <v/>
      </c>
      <c r="BK639">
        <f>IF($E639="","",IFERROR(VLOOKUP($C639,'_CONFIG_Risk_Calibration'!$A$5:$H$21,3,FALSE),0))</f>
        <v/>
      </c>
      <c r="BL639">
        <f>IF($E639="","",IFERROR(VLOOKUP($C639,'_CONFIG_Risk_Calibration'!$A$5:$H$21,4,FALSE),3))</f>
        <v/>
      </c>
      <c r="BM639">
        <f>IF($E639="","",IFERROR(VLOOKUP($C639,'_CONFIG_Risk_Calibration'!$A$5:$H$21,5,FALSE),3))</f>
        <v/>
      </c>
      <c r="BN639">
        <f>IF($E639="","",IFERROR(VLOOKUP($C639,'_CONFIG_Risk_Calibration'!$A$5:$H$21,6,FALSE),"No"))</f>
        <v/>
      </c>
      <c r="BO639">
        <f>IF($E639="","",IFERROR(VLOOKUP($C639,'_CONFIG_Risk_Calibration'!$A$5:$H$21,7,FALSE),1))</f>
        <v/>
      </c>
      <c r="BP639">
        <f>IF($H639="","",MAX(1,MIN(5,((6-$H639)*0.45)+($BJ639*0.20)+('Resilience &amp; Risk Scenario'!$B$7*0.15)+($BK639*0.10)+($BL639*0.05)+(IF($BB639="Fast",5,IF($BB639="Slow",1,3))*0.05))))</f>
        <v/>
      </c>
      <c r="BQ639">
        <f>IF($H639="","",MAX(IF($BN639="Yes",$BO639,1),MIN(5,($U639*0.20)+($V639*0.15)+($W639*0.25)+($X639*0.15)+($BJ639*0.10)+($BM639*0.15))))</f>
        <v/>
      </c>
      <c r="BR639">
        <f>IF(OR($BP639="",$BQ639=""),"",ROUND($BP639*$BQ639,2))</f>
        <v/>
      </c>
      <c r="BS639">
        <f>IF($BR639="","",ROUND($BR639*IF($AO639="",1,$AO639)*IF($AX639="",1,$AX639)*(1+(($BM639-3)*0.10))*IF($BC639="",1,$BC639),2))</f>
        <v/>
      </c>
    </row>
    <row r="640" ht="69.90000000000001" customHeight="1" s="209">
      <c r="A640">
        <f>IF($BD640="","",SUMPRODUCT(ISNUMBER($BD$500:$BD$923)*($BD$500:$BD$923&gt;$BD640))+COUNTIF($BD$500:$BD640,$BD640))</f>
        <v/>
      </c>
      <c r="B640">
        <f>IF($H640="","",IF($H640&lt;5,"Yes","Maintain"))</f>
        <v/>
      </c>
      <c r="C640" t="inlineStr">
        <is>
          <t>Physical Safety</t>
        </is>
      </c>
      <c r="D640" t="inlineStr">
        <is>
          <t>OH&amp;S governance</t>
        </is>
      </c>
      <c r="E640" t="inlineStr">
        <is>
          <t>PHYS-001</t>
        </is>
      </c>
      <c r="F640" t="inlineStr">
        <is>
          <t>Physical safety, security and facility resilience</t>
        </is>
      </c>
      <c r="G640">
        <f>IF($H640="","",IFERROR(INDEX('_ENGINE_Risk'!$H$41:$M$920,MATCH($E640,'_ENGINE_Risk'!$A$41:$A$920,0),$H640+1),""))</f>
        <v/>
      </c>
      <c r="H640">
        <f>IFERROR(VALUE(INDEX(_DATA_Assessment_Model!$H$5:$H$884,MATCH($E640,_DATA_Assessment_Model!$A$5:$A$884,0))),"")</f>
        <v/>
      </c>
      <c r="I640">
        <f>IF($H640="","",IFERROR(INDEX(_DATA_Assessment_Model!$L$5:$L$884,MATCH($E640,_DATA_Assessment_Model!$A$5:$A$884,0)),IF($H640&lt;=1,"Critical",IF($H640=2,"High",IF($H640=3,"Medium",IF($H640=4,"Low","Resilient"))))))</f>
        <v/>
      </c>
      <c r="J640">
        <f>IF($H640="","",MIN(5,MAX(1,6-$H640)))</f>
        <v/>
      </c>
      <c r="K640">
        <f>IF($H640="","",MAX(1,MIN(5,ROUNDUP(($U640*0.45)+($W640*0.35)+($X640*0.2),0))))</f>
        <v/>
      </c>
      <c r="L640">
        <f>IF($H640="","",$J640*$K640)</f>
        <v/>
      </c>
      <c r="M640">
        <f>IF($H640="","",MAX(1,MIN(5,ROUNDUP($L640/5,0))))</f>
        <v/>
      </c>
      <c r="N640">
        <f>IF($H640="","",IFERROR(INDEX('_ENGINE_Risk'!$T$41:$Y$920,MATCH($E640,'_ENGINE_Risk'!$A$41:$A$920,0),$H640+1),""))</f>
        <v/>
      </c>
      <c r="O640">
        <f>IF($H640="","",MAX(1,MIN(5,($U640+$V640+$X640)/3)))</f>
        <v/>
      </c>
      <c r="P640">
        <f>IF($H640="","",IF($I640="Critical",5,IF($I640="High",4,IF($I640="Medium",3,IF($I640="Low",2,1)))))</f>
        <v/>
      </c>
      <c r="Q640">
        <f>IF($H640="","",MAX(1,MIN(5,((5-$H640)*0.65)+($W640*0.35))))</f>
        <v/>
      </c>
      <c r="R640">
        <f>IF($H640="","",MAX(1,MIN(5,($V640+$X640)/2)))</f>
        <v/>
      </c>
      <c r="S640">
        <f>IF(OR($H640="",$N640=""),"",ROUND(($O640+$P640+$Q640+$R640)/$N640,2))</f>
        <v/>
      </c>
      <c r="T640">
        <f>IF($H640="","",IFERROR(INDEX('_ENGINE_Risk'!$N$41:$S$920,MATCH($E640,'_ENGINE_Risk'!$A$41:$A$920,0),$H640+1),""))</f>
        <v/>
      </c>
      <c r="U640">
        <f>IFERROR(INDEX(_DATA_Assessment_Model!$G$5:$G$884,MATCH($E640,_DATA_Assessment_Model!$A$5:$A$884,0)),"")</f>
        <v/>
      </c>
      <c r="V640">
        <f>IFERROR(INDEX(_DATA_Assessment_Model!$W$5:$W$884,MATCH($E640,_DATA_Assessment_Model!$A$5:$A$884,0)),"")</f>
        <v/>
      </c>
      <c r="W640">
        <f>IFERROR(INDEX(_DATA_Assessment_Model!$X$5:$X$884,MATCH($E640,_DATA_Assessment_Model!$A$5:$A$884,0)),"")</f>
        <v/>
      </c>
      <c r="X640">
        <f>IFERROR(INDEX(_DATA_Assessment_Model!$Y$5:$Y$884,MATCH($E640,_DATA_Assessment_Model!$A$5:$A$884,0)),"")</f>
        <v/>
      </c>
      <c r="Y640" t="inlineStr">
        <is>
          <t>Safety incident; Physical site loss; War/security crisis; Natural disaster</t>
        </is>
      </c>
      <c r="Z640" t="inlineStr">
        <is>
          <t>Facilities / Security / HSE</t>
        </is>
      </c>
      <c r="AA640" t="inlineStr">
        <is>
          <t>Policy/SOP; owner/RACI; system report; dashboard; contracts; test records; incident history; interview evidence related to occupational health and safety management system with owners, objectives, audits and management review.</t>
        </is>
      </c>
      <c r="AB640">
        <f>IFERROR(INDEX(_DATA_Assessment_Model!$U$5:$U$884,MATCH($E640,_DATA_Assessment_Model!$A$5:$A$884,0)),"")</f>
        <v/>
      </c>
      <c r="AF640" t="inlineStr">
        <is>
          <t>How mature is the organization in managing occupational health and safety management system with owners, objectives, audits and management review, including ownership, evidence, metrics, fallback procedures and crisis stress testing?</t>
        </is>
      </c>
      <c r="AO640">
        <f>IF($B640="Yes",IFERROR(INDEX(_ENGINE_Crisis!$F$501:$F$517,MATCH($C640,_ENGINE_Crisis!$A$501:$A$517,0)),1),"")</f>
        <v/>
      </c>
      <c r="AP640">
        <f>IF(AO640="","",ROUND($L640*AO640,1))</f>
        <v/>
      </c>
      <c r="AQ640">
        <f>IF(OR(AO640="",$S640=""),"",ROUND($S640*(0.7+0.3*AO640),2))</f>
        <v/>
      </c>
      <c r="AR640">
        <f>IFERROR(INDEX(_ENGINE_Crisis!$E$41:$E$700,MATCH('Resilience &amp; Risk Scenario'!$B$60&amp;"|"&amp;$C640,_ENGINE_Crisis!$I$41:$I$700,0)),"")</f>
        <v/>
      </c>
      <c r="AS640">
        <f>IFERROR(INDEX(_ENGINE_Crisis!$G$41:$G$700,MATCH('Resilience &amp; Risk Scenario'!$B$60&amp;"|"&amp;$C640,_ENGINE_Crisis!$I$41:$I$700,0)),"")</f>
        <v/>
      </c>
      <c r="AT640">
        <f>IFERROR(INDEX(_ENGINE_Initiatives!$A$5:$A$532,MATCH(1,INDEX((_ENGINE_Initiatives!$B$5:$B$532=$C640)*(_ENGINE_Initiatives!$C$5:$C$532=$D640),0),0)),"")</f>
        <v/>
      </c>
      <c r="AU640">
        <f>IFERROR(INDEX(_ENGINE_Initiatives!$F$5:$F$532,MATCH(1,INDEX((_ENGINE_Initiatives!$B$5:$B$532=$C640)*(_ENGINE_Initiatives!$C$5:$C$532=$D640),0),0)),"")</f>
        <v/>
      </c>
      <c r="AV640">
        <f>IFERROR(INDEX(_ENGINE_Initiatives!$AC$5:$AC$532,MATCH(1,INDEX((_ENGINE_Initiatives!$B$5:$B$532=$C640)*(_ENGINE_Initiatives!$C$5:$C$532=$D640),0),0)),"")</f>
        <v/>
      </c>
      <c r="AW640">
        <f>IFERROR(INDEX(_ENGINE_Initiatives!$AE$5:$AE$532,MATCH(1,INDEX((_ENGINE_Initiatives!$B$5:$B$532=$C640)*(_ENGINE_Initiatives!$C$5:$C$532=$D640),0),0)),"")</f>
        <v/>
      </c>
      <c r="AX640">
        <f>IF($B640="Yes",IFERROR(IF(SUMIFS(_REF_Model_Content!$E$1:$E$613,_REF_Model_Content!$A$1:$A$613,'Company Profile'!$B$9,_REF_Model_Content!$B$1:$B$613,$C640)=0,1,SUMIFS(_REF_Model_Content!$E$1:$E$613,_REF_Model_Content!$A$1:$A$613,'Company Profile'!$B$9,_REF_Model_Content!$B$1:$B$613,$C640)),1),"")</f>
        <v/>
      </c>
      <c r="AY640">
        <f>IF($L640="","",ROUND(IF($AP640="",$L640,$AP640)*IF($AX640="",1,$AX640),2))</f>
        <v/>
      </c>
      <c r="AZ640">
        <f>IF($S640="","",ROUND(IF($AQ640="",$S640,$AQ640)*IF($AX640="",1,$AX640),2))</f>
        <v/>
      </c>
      <c r="BB640">
        <f>IF($H640="","",IFERROR(INDEX('_ENGINE_Risk'!$AE$41:$AE$920,MATCH($E640,'_ENGINE_Risk'!$A$41:$A$920,0)),"Medium"))</f>
        <v/>
      </c>
      <c r="BC640">
        <f>IF($BB640="","",IF($BB640="Fast",1.25,IF($BB640="Slow",0.85,1)))</f>
        <v/>
      </c>
      <c r="BD640">
        <f>IF(OR($AZ640="",$BC640=""),"",ROUND($AZ640*$BC640,2))</f>
        <v/>
      </c>
      <c r="BF640">
        <f>IF(OR($H640="",$J640=""),"",_xlfn.IFNA(VLOOKUP($J640,_CONFIG_Model_Settings!$D$610:$E$614,2,0),""))</f>
        <v/>
      </c>
      <c r="BG640">
        <f>IF(OR($H640="",$K640=""),"",ROUND('Company Profile'!$B$569*INDEX(_CONFIG_Model_Settings!$H$610:$H$614,MATCH($K640,_CONFIG_Model_Settings!$G$610:$G$614,0)),0))</f>
        <v/>
      </c>
      <c r="BH640">
        <f>IF(OR($BF640="",$BG640=""),"",ROUND($BF640*$BG640,1))</f>
        <v/>
      </c>
      <c r="BI640">
        <f>IF($BH640="","",IF($AO640="",$BH640,ROUND($BH640*$AO640,1)))</f>
        <v/>
      </c>
      <c r="BJ640">
        <f>IF($E640="","",IFERROR(VLOOKUP($C640,'_CONFIG_Risk_Calibration'!$A$5:$H$21,2,FALSE),3))</f>
        <v/>
      </c>
      <c r="BK640">
        <f>IF($E640="","",IFERROR(VLOOKUP($C640,'_CONFIG_Risk_Calibration'!$A$5:$H$21,3,FALSE),0))</f>
        <v/>
      </c>
      <c r="BL640">
        <f>IF($E640="","",IFERROR(VLOOKUP($C640,'_CONFIG_Risk_Calibration'!$A$5:$H$21,4,FALSE),3))</f>
        <v/>
      </c>
      <c r="BM640">
        <f>IF($E640="","",IFERROR(VLOOKUP($C640,'_CONFIG_Risk_Calibration'!$A$5:$H$21,5,FALSE),3))</f>
        <v/>
      </c>
      <c r="BN640">
        <f>IF($E640="","",IFERROR(VLOOKUP($C640,'_CONFIG_Risk_Calibration'!$A$5:$H$21,6,FALSE),"No"))</f>
        <v/>
      </c>
      <c r="BO640">
        <f>IF($E640="","",IFERROR(VLOOKUP($C640,'_CONFIG_Risk_Calibration'!$A$5:$H$21,7,FALSE),1))</f>
        <v/>
      </c>
      <c r="BP640">
        <f>IF($H640="","",MAX(1,MIN(5,((6-$H640)*0.45)+($BJ640*0.20)+('Resilience &amp; Risk Scenario'!$B$7*0.15)+($BK640*0.10)+($BL640*0.05)+(IF($BB640="Fast",5,IF($BB640="Slow",1,3))*0.05))))</f>
        <v/>
      </c>
      <c r="BQ640">
        <f>IF($H640="","",MAX(IF($BN640="Yes",$BO640,1),MIN(5,($U640*0.20)+($V640*0.15)+($W640*0.25)+($X640*0.15)+($BJ640*0.10)+($BM640*0.15))))</f>
        <v/>
      </c>
      <c r="BR640">
        <f>IF(OR($BP640="",$BQ640=""),"",ROUND($BP640*$BQ640,2))</f>
        <v/>
      </c>
      <c r="BS640">
        <f>IF($BR640="","",ROUND($BR640*IF($AO640="",1,$AO640)*IF($AX640="",1,$AX640)*(1+(($BM640-3)*0.10))*IF($BC640="",1,$BC640),2))</f>
        <v/>
      </c>
    </row>
    <row r="641" ht="69.90000000000001" customHeight="1" s="209">
      <c r="A641">
        <f>IF($BD641="","",SUMPRODUCT(ISNUMBER($BD$500:$BD$923)*($BD$500:$BD$923&gt;$BD641))+COUNTIF($BD$500:$BD641,$BD641))</f>
        <v/>
      </c>
      <c r="B641">
        <f>IF($H641="","",IF($H641&lt;5,"Yes","Maintain"))</f>
        <v/>
      </c>
      <c r="C641" t="inlineStr">
        <is>
          <t>Physical Safety</t>
        </is>
      </c>
      <c r="D641" t="inlineStr">
        <is>
          <t>OH&amp;S governance</t>
        </is>
      </c>
      <c r="E641" t="inlineStr">
        <is>
          <t>PHYS-002</t>
        </is>
      </c>
      <c r="F641" t="inlineStr">
        <is>
          <t>Physical safety, security and facility resilience</t>
        </is>
      </c>
      <c r="G641">
        <f>IF($H641="","",IFERROR(INDEX('_ENGINE_Risk'!$H$41:$M$920,MATCH($E641,'_ENGINE_Risk'!$A$41:$A$920,0),$H641+1),""))</f>
        <v/>
      </c>
      <c r="H641">
        <f>IFERROR(VALUE(INDEX(_DATA_Assessment_Model!$H$5:$H$884,MATCH($E641,_DATA_Assessment_Model!$A$5:$A$884,0))),"")</f>
        <v/>
      </c>
      <c r="I641">
        <f>IF($H641="","",IFERROR(INDEX(_DATA_Assessment_Model!$L$5:$L$884,MATCH($E641,_DATA_Assessment_Model!$A$5:$A$884,0)),IF($H641&lt;=1,"Critical",IF($H641=2,"High",IF($H641=3,"Medium",IF($H641=4,"Low","Resilient"))))))</f>
        <v/>
      </c>
      <c r="J641">
        <f>IF($H641="","",MIN(5,MAX(1,6-$H641)))</f>
        <v/>
      </c>
      <c r="K641">
        <f>IF($H641="","",MAX(1,MIN(5,ROUNDUP(($U641*0.45)+($W641*0.35)+($X641*0.2),0))))</f>
        <v/>
      </c>
      <c r="L641">
        <f>IF($H641="","",$J641*$K641)</f>
        <v/>
      </c>
      <c r="M641">
        <f>IF($H641="","",MAX(1,MIN(5,ROUNDUP($L641/5,0))))</f>
        <v/>
      </c>
      <c r="N641">
        <f>IF($H641="","",IFERROR(INDEX('_ENGINE_Risk'!$T$41:$Y$920,MATCH($E641,'_ENGINE_Risk'!$A$41:$A$920,0),$H641+1),""))</f>
        <v/>
      </c>
      <c r="O641">
        <f>IF($H641="","",MAX(1,MIN(5,($U641+$V641+$X641)/3)))</f>
        <v/>
      </c>
      <c r="P641">
        <f>IF($H641="","",IF($I641="Critical",5,IF($I641="High",4,IF($I641="Medium",3,IF($I641="Low",2,1)))))</f>
        <v/>
      </c>
      <c r="Q641">
        <f>IF($H641="","",MAX(1,MIN(5,((5-$H641)*0.65)+($W641*0.35))))</f>
        <v/>
      </c>
      <c r="R641">
        <f>IF($H641="","",MAX(1,MIN(5,($V641+$X641)/2)))</f>
        <v/>
      </c>
      <c r="S641">
        <f>IF(OR($H641="",$N641=""),"",ROUND(($O641+$P641+$Q641+$R641)/$N641,2))</f>
        <v/>
      </c>
      <c r="T641">
        <f>IF($H641="","",IFERROR(INDEX('_ENGINE_Risk'!$N$41:$S$920,MATCH($E641,'_ENGINE_Risk'!$A$41:$A$920,0),$H641+1),""))</f>
        <v/>
      </c>
      <c r="U641">
        <f>IFERROR(INDEX(_DATA_Assessment_Model!$G$5:$G$884,MATCH($E641,_DATA_Assessment_Model!$A$5:$A$884,0)),"")</f>
        <v/>
      </c>
      <c r="V641">
        <f>IFERROR(INDEX(_DATA_Assessment_Model!$W$5:$W$884,MATCH($E641,_DATA_Assessment_Model!$A$5:$A$884,0)),"")</f>
        <v/>
      </c>
      <c r="W641">
        <f>IFERROR(INDEX(_DATA_Assessment_Model!$X$5:$X$884,MATCH($E641,_DATA_Assessment_Model!$A$5:$A$884,0)),"")</f>
        <v/>
      </c>
      <c r="X641">
        <f>IFERROR(INDEX(_DATA_Assessment_Model!$Y$5:$Y$884,MATCH($E641,_DATA_Assessment_Model!$A$5:$A$884,0)),"")</f>
        <v/>
      </c>
      <c r="Y641" t="inlineStr">
        <is>
          <t>Safety incident; Physical site loss; War/security crisis; Natural disaster</t>
        </is>
      </c>
      <c r="Z641" t="inlineStr">
        <is>
          <t>Facilities / Security / HSE</t>
        </is>
      </c>
      <c r="AA641" t="inlineStr">
        <is>
          <t>Policy/SOP; owner/RACI; system report; dashboard; contracts; test records; incident history; interview evidence related to site risk assessments for fire, structure, utilities, hazardous materials, crime, weather, war/security and access.</t>
        </is>
      </c>
      <c r="AB641">
        <f>IFERROR(INDEX(_DATA_Assessment_Model!$U$5:$U$884,MATCH($E641,_DATA_Assessment_Model!$A$5:$A$884,0)),"")</f>
        <v/>
      </c>
      <c r="AF641" t="inlineStr">
        <is>
          <t>How mature is the organization in managing site risk assessments for fire, structure, utilities, hazardous materials, crime, weather, war/security and access, including ownership, evidence, metrics, fallback procedures and crisis stress testing?</t>
        </is>
      </c>
      <c r="AO641">
        <f>IF($B641="Yes",IFERROR(INDEX(_ENGINE_Crisis!$F$501:$F$517,MATCH($C641,_ENGINE_Crisis!$A$501:$A$517,0)),1),"")</f>
        <v/>
      </c>
      <c r="AP641">
        <f>IF(AO641="","",ROUND($L641*AO641,1))</f>
        <v/>
      </c>
      <c r="AQ641">
        <f>IF(OR(AO641="",$S641=""),"",ROUND($S641*(0.7+0.3*AO641),2))</f>
        <v/>
      </c>
      <c r="AR641">
        <f>IFERROR(INDEX(_ENGINE_Crisis!$E$41:$E$700,MATCH('Resilience &amp; Risk Scenario'!$B$60&amp;"|"&amp;$C641,_ENGINE_Crisis!$I$41:$I$700,0)),"")</f>
        <v/>
      </c>
      <c r="AS641">
        <f>IFERROR(INDEX(_ENGINE_Crisis!$G$41:$G$700,MATCH('Resilience &amp; Risk Scenario'!$B$60&amp;"|"&amp;$C641,_ENGINE_Crisis!$I$41:$I$700,0)),"")</f>
        <v/>
      </c>
      <c r="AT641">
        <f>IFERROR(INDEX(_ENGINE_Initiatives!$A$5:$A$532,MATCH(1,INDEX((_ENGINE_Initiatives!$B$5:$B$532=$C641)*(_ENGINE_Initiatives!$C$5:$C$532=$D641),0),0)),"")</f>
        <v/>
      </c>
      <c r="AU641">
        <f>IFERROR(INDEX(_ENGINE_Initiatives!$F$5:$F$532,MATCH(1,INDEX((_ENGINE_Initiatives!$B$5:$B$532=$C641)*(_ENGINE_Initiatives!$C$5:$C$532=$D641),0),0)),"")</f>
        <v/>
      </c>
      <c r="AV641">
        <f>IFERROR(INDEX(_ENGINE_Initiatives!$AC$5:$AC$532,MATCH(1,INDEX((_ENGINE_Initiatives!$B$5:$B$532=$C641)*(_ENGINE_Initiatives!$C$5:$C$532=$D641),0),0)),"")</f>
        <v/>
      </c>
      <c r="AW641">
        <f>IFERROR(INDEX(_ENGINE_Initiatives!$AE$5:$AE$532,MATCH(1,INDEX((_ENGINE_Initiatives!$B$5:$B$532=$C641)*(_ENGINE_Initiatives!$C$5:$C$532=$D641),0),0)),"")</f>
        <v/>
      </c>
      <c r="AX641">
        <f>IF($B641="Yes",IFERROR(IF(SUMIFS(_REF_Model_Content!$E$1:$E$613,_REF_Model_Content!$A$1:$A$613,'Company Profile'!$B$9,_REF_Model_Content!$B$1:$B$613,$C641)=0,1,SUMIFS(_REF_Model_Content!$E$1:$E$613,_REF_Model_Content!$A$1:$A$613,'Company Profile'!$B$9,_REF_Model_Content!$B$1:$B$613,$C641)),1),"")</f>
        <v/>
      </c>
      <c r="AY641">
        <f>IF($L641="","",ROUND(IF($AP641="",$L641,$AP641)*IF($AX641="",1,$AX641),2))</f>
        <v/>
      </c>
      <c r="AZ641">
        <f>IF($S641="","",ROUND(IF($AQ641="",$S641,$AQ641)*IF($AX641="",1,$AX641),2))</f>
        <v/>
      </c>
      <c r="BB641">
        <f>IF($H641="","",IFERROR(INDEX('_ENGINE_Risk'!$AE$41:$AE$920,MATCH($E641,'_ENGINE_Risk'!$A$41:$A$920,0)),"Medium"))</f>
        <v/>
      </c>
      <c r="BC641">
        <f>IF($BB641="","",IF($BB641="Fast",1.25,IF($BB641="Slow",0.85,1)))</f>
        <v/>
      </c>
      <c r="BD641">
        <f>IF(OR($AZ641="",$BC641=""),"",ROUND($AZ641*$BC641,2))</f>
        <v/>
      </c>
      <c r="BF641">
        <f>IF(OR($H641="",$J641=""),"",_xlfn.IFNA(VLOOKUP($J641,_CONFIG_Model_Settings!$D$610:$E$614,2,0),""))</f>
        <v/>
      </c>
      <c r="BG641">
        <f>IF(OR($H641="",$K641=""),"",ROUND('Company Profile'!$B$569*INDEX(_CONFIG_Model_Settings!$H$610:$H$614,MATCH($K641,_CONFIG_Model_Settings!$G$610:$G$614,0)),0))</f>
        <v/>
      </c>
      <c r="BH641">
        <f>IF(OR($BF641="",$BG641=""),"",ROUND($BF641*$BG641,1))</f>
        <v/>
      </c>
      <c r="BI641">
        <f>IF($BH641="","",IF($AO641="",$BH641,ROUND($BH641*$AO641,1)))</f>
        <v/>
      </c>
      <c r="BJ641">
        <f>IF($E641="","",IFERROR(VLOOKUP($C641,'_CONFIG_Risk_Calibration'!$A$5:$H$21,2,FALSE),3))</f>
        <v/>
      </c>
      <c r="BK641">
        <f>IF($E641="","",IFERROR(VLOOKUP($C641,'_CONFIG_Risk_Calibration'!$A$5:$H$21,3,FALSE),0))</f>
        <v/>
      </c>
      <c r="BL641">
        <f>IF($E641="","",IFERROR(VLOOKUP($C641,'_CONFIG_Risk_Calibration'!$A$5:$H$21,4,FALSE),3))</f>
        <v/>
      </c>
      <c r="BM641">
        <f>IF($E641="","",IFERROR(VLOOKUP($C641,'_CONFIG_Risk_Calibration'!$A$5:$H$21,5,FALSE),3))</f>
        <v/>
      </c>
      <c r="BN641">
        <f>IF($E641="","",IFERROR(VLOOKUP($C641,'_CONFIG_Risk_Calibration'!$A$5:$H$21,6,FALSE),"No"))</f>
        <v/>
      </c>
      <c r="BO641">
        <f>IF($E641="","",IFERROR(VLOOKUP($C641,'_CONFIG_Risk_Calibration'!$A$5:$H$21,7,FALSE),1))</f>
        <v/>
      </c>
      <c r="BP641">
        <f>IF($H641="","",MAX(1,MIN(5,((6-$H641)*0.45)+($BJ641*0.20)+('Resilience &amp; Risk Scenario'!$B$7*0.15)+($BK641*0.10)+($BL641*0.05)+(IF($BB641="Fast",5,IF($BB641="Slow",1,3))*0.05))))</f>
        <v/>
      </c>
      <c r="BQ641">
        <f>IF($H641="","",MAX(IF($BN641="Yes",$BO641,1),MIN(5,($U641*0.20)+($V641*0.15)+($W641*0.25)+($X641*0.15)+($BJ641*0.10)+($BM641*0.15))))</f>
        <v/>
      </c>
      <c r="BR641">
        <f>IF(OR($BP641="",$BQ641=""),"",ROUND($BP641*$BQ641,2))</f>
        <v/>
      </c>
      <c r="BS641">
        <f>IF($BR641="","",ROUND($BR641*IF($AO641="",1,$AO641)*IF($AX641="",1,$AX641)*(1+(($BM641-3)*0.10))*IF($BC641="",1,$BC641),2))</f>
        <v/>
      </c>
    </row>
    <row r="642" ht="69.90000000000001" customHeight="1" s="209">
      <c r="A642">
        <f>IF($BD642="","",SUMPRODUCT(ISNUMBER($BD$500:$BD$923)*($BD$500:$BD$923&gt;$BD642))+COUNTIF($BD$500:$BD642,$BD642))</f>
        <v/>
      </c>
      <c r="B642">
        <f>IF($H642="","",IF($H642&lt;5,"Yes","Maintain"))</f>
        <v/>
      </c>
      <c r="C642" t="inlineStr">
        <is>
          <t>Physical Safety</t>
        </is>
      </c>
      <c r="D642" t="inlineStr">
        <is>
          <t>OH&amp;S governance</t>
        </is>
      </c>
      <c r="E642" t="inlineStr">
        <is>
          <t>PHYS-003</t>
        </is>
      </c>
      <c r="F642" t="inlineStr">
        <is>
          <t>Physical safety, security and facility resilience</t>
        </is>
      </c>
      <c r="G642">
        <f>IF($H642="","",IFERROR(INDEX('_ENGINE_Risk'!$H$41:$M$920,MATCH($E642,'_ENGINE_Risk'!$A$41:$A$920,0),$H642+1),""))</f>
        <v/>
      </c>
      <c r="H642">
        <f>IFERROR(VALUE(INDEX(_DATA_Assessment_Model!$H$5:$H$884,MATCH($E642,_DATA_Assessment_Model!$A$5:$A$884,0))),"")</f>
        <v/>
      </c>
      <c r="I642">
        <f>IF($H642="","",IFERROR(INDEX(_DATA_Assessment_Model!$L$5:$L$884,MATCH($E642,_DATA_Assessment_Model!$A$5:$A$884,0)),IF($H642&lt;=1,"Critical",IF($H642=2,"High",IF($H642=3,"Medium",IF($H642=4,"Low","Resilient"))))))</f>
        <v/>
      </c>
      <c r="J642">
        <f>IF($H642="","",MIN(5,MAX(1,6-$H642)))</f>
        <v/>
      </c>
      <c r="K642">
        <f>IF($H642="","",MAX(1,MIN(5,ROUNDUP(($U642*0.45)+($W642*0.35)+($X642*0.2),0))))</f>
        <v/>
      </c>
      <c r="L642">
        <f>IF($H642="","",$J642*$K642)</f>
        <v/>
      </c>
      <c r="M642">
        <f>IF($H642="","",MAX(1,MIN(5,ROUNDUP($L642/5,0))))</f>
        <v/>
      </c>
      <c r="N642">
        <f>IF($H642="","",IFERROR(INDEX('_ENGINE_Risk'!$T$41:$Y$920,MATCH($E642,'_ENGINE_Risk'!$A$41:$A$920,0),$H642+1),""))</f>
        <v/>
      </c>
      <c r="O642">
        <f>IF($H642="","",MAX(1,MIN(5,($U642+$V642+$X642)/3)))</f>
        <v/>
      </c>
      <c r="P642">
        <f>IF($H642="","",IF($I642="Critical",5,IF($I642="High",4,IF($I642="Medium",3,IF($I642="Low",2,1)))))</f>
        <v/>
      </c>
      <c r="Q642">
        <f>IF($H642="","",MAX(1,MIN(5,((5-$H642)*0.65)+($W642*0.35))))</f>
        <v/>
      </c>
      <c r="R642">
        <f>IF($H642="","",MAX(1,MIN(5,($V642+$X642)/2)))</f>
        <v/>
      </c>
      <c r="S642">
        <f>IF(OR($H642="",$N642=""),"",ROUND(($O642+$P642+$Q642+$R642)/$N642,2))</f>
        <v/>
      </c>
      <c r="T642">
        <f>IF($H642="","",IFERROR(INDEX('_ENGINE_Risk'!$N$41:$S$920,MATCH($E642,'_ENGINE_Risk'!$A$41:$A$920,0),$H642+1),""))</f>
        <v/>
      </c>
      <c r="U642">
        <f>IFERROR(INDEX(_DATA_Assessment_Model!$G$5:$G$884,MATCH($E642,_DATA_Assessment_Model!$A$5:$A$884,0)),"")</f>
        <v/>
      </c>
      <c r="V642">
        <f>IFERROR(INDEX(_DATA_Assessment_Model!$W$5:$W$884,MATCH($E642,_DATA_Assessment_Model!$A$5:$A$884,0)),"")</f>
        <v/>
      </c>
      <c r="W642">
        <f>IFERROR(INDEX(_DATA_Assessment_Model!$X$5:$X$884,MATCH($E642,_DATA_Assessment_Model!$A$5:$A$884,0)),"")</f>
        <v/>
      </c>
      <c r="X642">
        <f>IFERROR(INDEX(_DATA_Assessment_Model!$Y$5:$Y$884,MATCH($E642,_DATA_Assessment_Model!$A$5:$A$884,0)),"")</f>
        <v/>
      </c>
      <c r="Y642" t="inlineStr">
        <is>
          <t>Safety incident; Physical site loss; War/security crisis; Natural disaster</t>
        </is>
      </c>
      <c r="Z642" t="inlineStr">
        <is>
          <t>Facilities / Security / HSE</t>
        </is>
      </c>
      <c r="AA642" t="inlineStr">
        <is>
          <t>Policy/SOP; owner/RACI; system report; dashboard; contracts; test records; incident history; interview evidence related to job hazard analysis for roles, tasks, production activities and field work.</t>
        </is>
      </c>
      <c r="AB642">
        <f>IFERROR(INDEX(_DATA_Assessment_Model!$U$5:$U$884,MATCH($E642,_DATA_Assessment_Model!$A$5:$A$884,0)),"")</f>
        <v/>
      </c>
      <c r="AF642" t="inlineStr">
        <is>
          <t>How mature is the organization in managing job hazard analysis for roles, tasks, production activities and field work, including ownership, evidence, metrics, fallback procedures and crisis stress testing?</t>
        </is>
      </c>
      <c r="AO642">
        <f>IF($B642="Yes",IFERROR(INDEX(_ENGINE_Crisis!$F$501:$F$517,MATCH($C642,_ENGINE_Crisis!$A$501:$A$517,0)),1),"")</f>
        <v/>
      </c>
      <c r="AP642">
        <f>IF(AO642="","",ROUND($L642*AO642,1))</f>
        <v/>
      </c>
      <c r="AQ642">
        <f>IF(OR(AO642="",$S642=""),"",ROUND($S642*(0.7+0.3*AO642),2))</f>
        <v/>
      </c>
      <c r="AR642">
        <f>IFERROR(INDEX(_ENGINE_Crisis!$E$41:$E$700,MATCH('Resilience &amp; Risk Scenario'!$B$60&amp;"|"&amp;$C642,_ENGINE_Crisis!$I$41:$I$700,0)),"")</f>
        <v/>
      </c>
      <c r="AS642">
        <f>IFERROR(INDEX(_ENGINE_Crisis!$G$41:$G$700,MATCH('Resilience &amp; Risk Scenario'!$B$60&amp;"|"&amp;$C642,_ENGINE_Crisis!$I$41:$I$700,0)),"")</f>
        <v/>
      </c>
      <c r="AT642">
        <f>IFERROR(INDEX(_ENGINE_Initiatives!$A$5:$A$532,MATCH(1,INDEX((_ENGINE_Initiatives!$B$5:$B$532=$C642)*(_ENGINE_Initiatives!$C$5:$C$532=$D642),0),0)),"")</f>
        <v/>
      </c>
      <c r="AU642">
        <f>IFERROR(INDEX(_ENGINE_Initiatives!$F$5:$F$532,MATCH(1,INDEX((_ENGINE_Initiatives!$B$5:$B$532=$C642)*(_ENGINE_Initiatives!$C$5:$C$532=$D642),0),0)),"")</f>
        <v/>
      </c>
      <c r="AV642">
        <f>IFERROR(INDEX(_ENGINE_Initiatives!$AC$5:$AC$532,MATCH(1,INDEX((_ENGINE_Initiatives!$B$5:$B$532=$C642)*(_ENGINE_Initiatives!$C$5:$C$532=$D642),0),0)),"")</f>
        <v/>
      </c>
      <c r="AW642">
        <f>IFERROR(INDEX(_ENGINE_Initiatives!$AE$5:$AE$532,MATCH(1,INDEX((_ENGINE_Initiatives!$B$5:$B$532=$C642)*(_ENGINE_Initiatives!$C$5:$C$532=$D642),0),0)),"")</f>
        <v/>
      </c>
      <c r="AX642">
        <f>IF($B642="Yes",IFERROR(IF(SUMIFS(_REF_Model_Content!$E$1:$E$613,_REF_Model_Content!$A$1:$A$613,'Company Profile'!$B$9,_REF_Model_Content!$B$1:$B$613,$C642)=0,1,SUMIFS(_REF_Model_Content!$E$1:$E$613,_REF_Model_Content!$A$1:$A$613,'Company Profile'!$B$9,_REF_Model_Content!$B$1:$B$613,$C642)),1),"")</f>
        <v/>
      </c>
      <c r="AY642">
        <f>IF($L642="","",ROUND(IF($AP642="",$L642,$AP642)*IF($AX642="",1,$AX642),2))</f>
        <v/>
      </c>
      <c r="AZ642">
        <f>IF($S642="","",ROUND(IF($AQ642="",$S642,$AQ642)*IF($AX642="",1,$AX642),2))</f>
        <v/>
      </c>
      <c r="BB642">
        <f>IF($H642="","",IFERROR(INDEX('_ENGINE_Risk'!$AE$41:$AE$920,MATCH($E642,'_ENGINE_Risk'!$A$41:$A$920,0)),"Medium"))</f>
        <v/>
      </c>
      <c r="BC642">
        <f>IF($BB642="","",IF($BB642="Fast",1.25,IF($BB642="Slow",0.85,1)))</f>
        <v/>
      </c>
      <c r="BD642">
        <f>IF(OR($AZ642="",$BC642=""),"",ROUND($AZ642*$BC642,2))</f>
        <v/>
      </c>
      <c r="BF642">
        <f>IF(OR($H642="",$J642=""),"",_xlfn.IFNA(VLOOKUP($J642,_CONFIG_Model_Settings!$D$610:$E$614,2,0),""))</f>
        <v/>
      </c>
      <c r="BG642">
        <f>IF(OR($H642="",$K642=""),"",ROUND('Company Profile'!$B$569*INDEX(_CONFIG_Model_Settings!$H$610:$H$614,MATCH($K642,_CONFIG_Model_Settings!$G$610:$G$614,0)),0))</f>
        <v/>
      </c>
      <c r="BH642">
        <f>IF(OR($BF642="",$BG642=""),"",ROUND($BF642*$BG642,1))</f>
        <v/>
      </c>
      <c r="BI642">
        <f>IF($BH642="","",IF($AO642="",$BH642,ROUND($BH642*$AO642,1)))</f>
        <v/>
      </c>
      <c r="BJ642">
        <f>IF($E642="","",IFERROR(VLOOKUP($C642,'_CONFIG_Risk_Calibration'!$A$5:$H$21,2,FALSE),3))</f>
        <v/>
      </c>
      <c r="BK642">
        <f>IF($E642="","",IFERROR(VLOOKUP($C642,'_CONFIG_Risk_Calibration'!$A$5:$H$21,3,FALSE),0))</f>
        <v/>
      </c>
      <c r="BL642">
        <f>IF($E642="","",IFERROR(VLOOKUP($C642,'_CONFIG_Risk_Calibration'!$A$5:$H$21,4,FALSE),3))</f>
        <v/>
      </c>
      <c r="BM642">
        <f>IF($E642="","",IFERROR(VLOOKUP($C642,'_CONFIG_Risk_Calibration'!$A$5:$H$21,5,FALSE),3))</f>
        <v/>
      </c>
      <c r="BN642">
        <f>IF($E642="","",IFERROR(VLOOKUP($C642,'_CONFIG_Risk_Calibration'!$A$5:$H$21,6,FALSE),"No"))</f>
        <v/>
      </c>
      <c r="BO642">
        <f>IF($E642="","",IFERROR(VLOOKUP($C642,'_CONFIG_Risk_Calibration'!$A$5:$H$21,7,FALSE),1))</f>
        <v/>
      </c>
      <c r="BP642">
        <f>IF($H642="","",MAX(1,MIN(5,((6-$H642)*0.45)+($BJ642*0.20)+('Resilience &amp; Risk Scenario'!$B$7*0.15)+($BK642*0.10)+($BL642*0.05)+(IF($BB642="Fast",5,IF($BB642="Slow",1,3))*0.05))))</f>
        <v/>
      </c>
      <c r="BQ642">
        <f>IF($H642="","",MAX(IF($BN642="Yes",$BO642,1),MIN(5,($U642*0.20)+($V642*0.15)+($W642*0.25)+($X642*0.15)+($BJ642*0.10)+($BM642*0.15))))</f>
        <v/>
      </c>
      <c r="BR642">
        <f>IF(OR($BP642="",$BQ642=""),"",ROUND($BP642*$BQ642,2))</f>
        <v/>
      </c>
      <c r="BS642">
        <f>IF($BR642="","",ROUND($BR642*IF($AO642="",1,$AO642)*IF($AX642="",1,$AX642)*(1+(($BM642-3)*0.10))*IF($BC642="",1,$BC642),2))</f>
        <v/>
      </c>
    </row>
    <row r="643" ht="69.90000000000001" customHeight="1" s="209">
      <c r="A643">
        <f>IF($BD643="","",SUMPRODUCT(ISNUMBER($BD$500:$BD$923)*($BD$500:$BD$923&gt;$BD643))+COUNTIF($BD$500:$BD643,$BD643))</f>
        <v/>
      </c>
      <c r="B643">
        <f>IF($H643="","",IF($H643&lt;5,"Yes","Maintain"))</f>
        <v/>
      </c>
      <c r="C643" t="inlineStr">
        <is>
          <t>Physical Safety</t>
        </is>
      </c>
      <c r="D643" t="inlineStr">
        <is>
          <t>OH&amp;S governance</t>
        </is>
      </c>
      <c r="E643" t="inlineStr">
        <is>
          <t>PHYS-004</t>
        </is>
      </c>
      <c r="F643" t="inlineStr">
        <is>
          <t>Physical safety, security and facility resilience</t>
        </is>
      </c>
      <c r="G643">
        <f>IF($H643="","",IFERROR(INDEX('_ENGINE_Risk'!$H$41:$M$920,MATCH($E643,'_ENGINE_Risk'!$A$41:$A$920,0),$H643+1),""))</f>
        <v/>
      </c>
      <c r="H643">
        <f>IFERROR(VALUE(INDEX(_DATA_Assessment_Model!$H$5:$H$884,MATCH($E643,_DATA_Assessment_Model!$A$5:$A$884,0))),"")</f>
        <v/>
      </c>
      <c r="I643">
        <f>IF($H643="","",IFERROR(INDEX(_DATA_Assessment_Model!$L$5:$L$884,MATCH($E643,_DATA_Assessment_Model!$A$5:$A$884,0)),IF($H643&lt;=1,"Critical",IF($H643=2,"High",IF($H643=3,"Medium",IF($H643=4,"Low","Resilient"))))))</f>
        <v/>
      </c>
      <c r="J643">
        <f>IF($H643="","",MIN(5,MAX(1,6-$H643)))</f>
        <v/>
      </c>
      <c r="K643">
        <f>IF($H643="","",MAX(1,MIN(5,ROUNDUP(($U643*0.45)+($W643*0.35)+($X643*0.2),0))))</f>
        <v/>
      </c>
      <c r="L643">
        <f>IF($H643="","",$J643*$K643)</f>
        <v/>
      </c>
      <c r="M643">
        <f>IF($H643="","",MAX(1,MIN(5,ROUNDUP($L643/5,0))))</f>
        <v/>
      </c>
      <c r="N643">
        <f>IF($H643="","",IFERROR(INDEX('_ENGINE_Risk'!$T$41:$Y$920,MATCH($E643,'_ENGINE_Risk'!$A$41:$A$920,0),$H643+1),""))</f>
        <v/>
      </c>
      <c r="O643">
        <f>IF($H643="","",MAX(1,MIN(5,($U643+$V643+$X643)/3)))</f>
        <v/>
      </c>
      <c r="P643">
        <f>IF($H643="","",IF($I643="Critical",5,IF($I643="High",4,IF($I643="Medium",3,IF($I643="Low",2,1)))))</f>
        <v/>
      </c>
      <c r="Q643">
        <f>IF($H643="","",MAX(1,MIN(5,((5-$H643)*0.65)+($W643*0.35))))</f>
        <v/>
      </c>
      <c r="R643">
        <f>IF($H643="","",MAX(1,MIN(5,($V643+$X643)/2)))</f>
        <v/>
      </c>
      <c r="S643">
        <f>IF(OR($H643="",$N643=""),"",ROUND(($O643+$P643+$Q643+$R643)/$N643,2))</f>
        <v/>
      </c>
      <c r="T643">
        <f>IF($H643="","",IFERROR(INDEX('_ENGINE_Risk'!$N$41:$S$920,MATCH($E643,'_ENGINE_Risk'!$A$41:$A$920,0),$H643+1),""))</f>
        <v/>
      </c>
      <c r="U643">
        <f>IFERROR(INDEX(_DATA_Assessment_Model!$G$5:$G$884,MATCH($E643,_DATA_Assessment_Model!$A$5:$A$884,0)),"")</f>
        <v/>
      </c>
      <c r="V643">
        <f>IFERROR(INDEX(_DATA_Assessment_Model!$W$5:$W$884,MATCH($E643,_DATA_Assessment_Model!$A$5:$A$884,0)),"")</f>
        <v/>
      </c>
      <c r="W643">
        <f>IFERROR(INDEX(_DATA_Assessment_Model!$X$5:$X$884,MATCH($E643,_DATA_Assessment_Model!$A$5:$A$884,0)),"")</f>
        <v/>
      </c>
      <c r="X643">
        <f>IFERROR(INDEX(_DATA_Assessment_Model!$Y$5:$Y$884,MATCH($E643,_DATA_Assessment_Model!$A$5:$A$884,0)),"")</f>
        <v/>
      </c>
      <c r="Y643" t="inlineStr">
        <is>
          <t>Safety incident; Physical site loss; War/security crisis; Natural disaster</t>
        </is>
      </c>
      <c r="Z643" t="inlineStr">
        <is>
          <t>Facilities / Security / HSE</t>
        </is>
      </c>
      <c r="AA643" t="inlineStr">
        <is>
          <t>Policy/SOP; owner/RACI; system report; dashboard; contracts; test records; incident history; interview evidence related to contractor and visitor safety induction, permits-to-work, site rules and emergency procedures.</t>
        </is>
      </c>
      <c r="AB643">
        <f>IFERROR(INDEX(_DATA_Assessment_Model!$U$5:$U$884,MATCH($E643,_DATA_Assessment_Model!$A$5:$A$884,0)),"")</f>
        <v/>
      </c>
      <c r="AF643" t="inlineStr">
        <is>
          <t>How mature is the organization in managing contractor and visitor safety induction, permits-to-work, site rules and emergency procedures, including ownership, evidence, metrics, fallback procedures and crisis stress testing?</t>
        </is>
      </c>
      <c r="AO643">
        <f>IF($B643="Yes",IFERROR(INDEX(_ENGINE_Crisis!$F$501:$F$517,MATCH($C643,_ENGINE_Crisis!$A$501:$A$517,0)),1),"")</f>
        <v/>
      </c>
      <c r="AP643">
        <f>IF(AO643="","",ROUND($L643*AO643,1))</f>
        <v/>
      </c>
      <c r="AQ643">
        <f>IF(OR(AO643="",$S643=""),"",ROUND($S643*(0.7+0.3*AO643),2))</f>
        <v/>
      </c>
      <c r="AR643">
        <f>IFERROR(INDEX(_ENGINE_Crisis!$E$41:$E$700,MATCH('Resilience &amp; Risk Scenario'!$B$60&amp;"|"&amp;$C643,_ENGINE_Crisis!$I$41:$I$700,0)),"")</f>
        <v/>
      </c>
      <c r="AS643">
        <f>IFERROR(INDEX(_ENGINE_Crisis!$G$41:$G$700,MATCH('Resilience &amp; Risk Scenario'!$B$60&amp;"|"&amp;$C643,_ENGINE_Crisis!$I$41:$I$700,0)),"")</f>
        <v/>
      </c>
      <c r="AT643">
        <f>IFERROR(INDEX(_ENGINE_Initiatives!$A$5:$A$532,MATCH(1,INDEX((_ENGINE_Initiatives!$B$5:$B$532=$C643)*(_ENGINE_Initiatives!$C$5:$C$532=$D643),0),0)),"")</f>
        <v/>
      </c>
      <c r="AU643">
        <f>IFERROR(INDEX(_ENGINE_Initiatives!$F$5:$F$532,MATCH(1,INDEX((_ENGINE_Initiatives!$B$5:$B$532=$C643)*(_ENGINE_Initiatives!$C$5:$C$532=$D643),0),0)),"")</f>
        <v/>
      </c>
      <c r="AV643">
        <f>IFERROR(INDEX(_ENGINE_Initiatives!$AC$5:$AC$532,MATCH(1,INDEX((_ENGINE_Initiatives!$B$5:$B$532=$C643)*(_ENGINE_Initiatives!$C$5:$C$532=$D643),0),0)),"")</f>
        <v/>
      </c>
      <c r="AW643">
        <f>IFERROR(INDEX(_ENGINE_Initiatives!$AE$5:$AE$532,MATCH(1,INDEX((_ENGINE_Initiatives!$B$5:$B$532=$C643)*(_ENGINE_Initiatives!$C$5:$C$532=$D643),0),0)),"")</f>
        <v/>
      </c>
      <c r="AX643">
        <f>IF($B643="Yes",IFERROR(IF(SUMIFS(_REF_Model_Content!$E$1:$E$613,_REF_Model_Content!$A$1:$A$613,'Company Profile'!$B$9,_REF_Model_Content!$B$1:$B$613,$C643)=0,1,SUMIFS(_REF_Model_Content!$E$1:$E$613,_REF_Model_Content!$A$1:$A$613,'Company Profile'!$B$9,_REF_Model_Content!$B$1:$B$613,$C643)),1),"")</f>
        <v/>
      </c>
      <c r="AY643">
        <f>IF($L643="","",ROUND(IF($AP643="",$L643,$AP643)*IF($AX643="",1,$AX643),2))</f>
        <v/>
      </c>
      <c r="AZ643">
        <f>IF($S643="","",ROUND(IF($AQ643="",$S643,$AQ643)*IF($AX643="",1,$AX643),2))</f>
        <v/>
      </c>
      <c r="BB643">
        <f>IF($H643="","",IFERROR(INDEX('_ENGINE_Risk'!$AE$41:$AE$920,MATCH($E643,'_ENGINE_Risk'!$A$41:$A$920,0)),"Medium"))</f>
        <v/>
      </c>
      <c r="BC643">
        <f>IF($BB643="","",IF($BB643="Fast",1.25,IF($BB643="Slow",0.85,1)))</f>
        <v/>
      </c>
      <c r="BD643">
        <f>IF(OR($AZ643="",$BC643=""),"",ROUND($AZ643*$BC643,2))</f>
        <v/>
      </c>
      <c r="BF643">
        <f>IF(OR($H643="",$J643=""),"",_xlfn.IFNA(VLOOKUP($J643,_CONFIG_Model_Settings!$D$610:$E$614,2,0),""))</f>
        <v/>
      </c>
      <c r="BG643">
        <f>IF(OR($H643="",$K643=""),"",ROUND('Company Profile'!$B$569*INDEX(_CONFIG_Model_Settings!$H$610:$H$614,MATCH($K643,_CONFIG_Model_Settings!$G$610:$G$614,0)),0))</f>
        <v/>
      </c>
      <c r="BH643">
        <f>IF(OR($BF643="",$BG643=""),"",ROUND($BF643*$BG643,1))</f>
        <v/>
      </c>
      <c r="BI643">
        <f>IF($BH643="","",IF($AO643="",$BH643,ROUND($BH643*$AO643,1)))</f>
        <v/>
      </c>
      <c r="BJ643">
        <f>IF($E643="","",IFERROR(VLOOKUP($C643,'_CONFIG_Risk_Calibration'!$A$5:$H$21,2,FALSE),3))</f>
        <v/>
      </c>
      <c r="BK643">
        <f>IF($E643="","",IFERROR(VLOOKUP($C643,'_CONFIG_Risk_Calibration'!$A$5:$H$21,3,FALSE),0))</f>
        <v/>
      </c>
      <c r="BL643">
        <f>IF($E643="","",IFERROR(VLOOKUP($C643,'_CONFIG_Risk_Calibration'!$A$5:$H$21,4,FALSE),3))</f>
        <v/>
      </c>
      <c r="BM643">
        <f>IF($E643="","",IFERROR(VLOOKUP($C643,'_CONFIG_Risk_Calibration'!$A$5:$H$21,5,FALSE),3))</f>
        <v/>
      </c>
      <c r="BN643">
        <f>IF($E643="","",IFERROR(VLOOKUP($C643,'_CONFIG_Risk_Calibration'!$A$5:$H$21,6,FALSE),"No"))</f>
        <v/>
      </c>
      <c r="BO643">
        <f>IF($E643="","",IFERROR(VLOOKUP($C643,'_CONFIG_Risk_Calibration'!$A$5:$H$21,7,FALSE),1))</f>
        <v/>
      </c>
      <c r="BP643">
        <f>IF($H643="","",MAX(1,MIN(5,((6-$H643)*0.45)+($BJ643*0.20)+('Resilience &amp; Risk Scenario'!$B$7*0.15)+($BK643*0.10)+($BL643*0.05)+(IF($BB643="Fast",5,IF($BB643="Slow",1,3))*0.05))))</f>
        <v/>
      </c>
      <c r="BQ643">
        <f>IF($H643="","",MAX(IF($BN643="Yes",$BO643,1),MIN(5,($U643*0.20)+($V643*0.15)+($W643*0.25)+($X643*0.15)+($BJ643*0.10)+($BM643*0.15))))</f>
        <v/>
      </c>
      <c r="BR643">
        <f>IF(OR($BP643="",$BQ643=""),"",ROUND($BP643*$BQ643,2))</f>
        <v/>
      </c>
      <c r="BS643">
        <f>IF($BR643="","",ROUND($BR643*IF($AO643="",1,$AO643)*IF($AX643="",1,$AX643)*(1+(($BM643-3)*0.10))*IF($BC643="",1,$BC643),2))</f>
        <v/>
      </c>
    </row>
    <row r="644" ht="69.90000000000001" customHeight="1" s="209">
      <c r="A644">
        <f>IF($BD644="","",SUMPRODUCT(ISNUMBER($BD$500:$BD$923)*($BD$500:$BD$923&gt;$BD644))+COUNTIF($BD$500:$BD644,$BD644))</f>
        <v/>
      </c>
      <c r="B644">
        <f>IF($H644="","",IF($H644&lt;5,"Yes","Maintain"))</f>
        <v/>
      </c>
      <c r="C644" t="inlineStr">
        <is>
          <t>Physical Safety</t>
        </is>
      </c>
      <c r="D644" t="inlineStr">
        <is>
          <t>OH&amp;S governance</t>
        </is>
      </c>
      <c r="E644" t="inlineStr">
        <is>
          <t>PHYS-005</t>
        </is>
      </c>
      <c r="F644" t="inlineStr">
        <is>
          <t>Physical safety, security and facility resilience</t>
        </is>
      </c>
      <c r="G644">
        <f>IF($H644="","",IFERROR(INDEX('_ENGINE_Risk'!$H$41:$M$920,MATCH($E644,'_ENGINE_Risk'!$A$41:$A$920,0),$H644+1),""))</f>
        <v/>
      </c>
      <c r="H644">
        <f>IFERROR(VALUE(INDEX(_DATA_Assessment_Model!$H$5:$H$884,MATCH($E644,_DATA_Assessment_Model!$A$5:$A$884,0))),"")</f>
        <v/>
      </c>
      <c r="I644">
        <f>IF($H644="","",IFERROR(INDEX(_DATA_Assessment_Model!$L$5:$L$884,MATCH($E644,_DATA_Assessment_Model!$A$5:$A$884,0)),IF($H644&lt;=1,"Critical",IF($H644=2,"High",IF($H644=3,"Medium",IF($H644=4,"Low","Resilient"))))))</f>
        <v/>
      </c>
      <c r="J644">
        <f>IF($H644="","",MIN(5,MAX(1,6-$H644)))</f>
        <v/>
      </c>
      <c r="K644">
        <f>IF($H644="","",MAX(1,MIN(5,ROUNDUP(($U644*0.45)+($W644*0.35)+($X644*0.2),0))))</f>
        <v/>
      </c>
      <c r="L644">
        <f>IF($H644="","",$J644*$K644)</f>
        <v/>
      </c>
      <c r="M644">
        <f>IF($H644="","",MAX(1,MIN(5,ROUNDUP($L644/5,0))))</f>
        <v/>
      </c>
      <c r="N644">
        <f>IF($H644="","",IFERROR(INDEX('_ENGINE_Risk'!$T$41:$Y$920,MATCH($E644,'_ENGINE_Risk'!$A$41:$A$920,0),$H644+1),""))</f>
        <v/>
      </c>
      <c r="O644">
        <f>IF($H644="","",MAX(1,MIN(5,($U644+$V644+$X644)/3)))</f>
        <v/>
      </c>
      <c r="P644">
        <f>IF($H644="","",IF($I644="Critical",5,IF($I644="High",4,IF($I644="Medium",3,IF($I644="Low",2,1)))))</f>
        <v/>
      </c>
      <c r="Q644">
        <f>IF($H644="","",MAX(1,MIN(5,((5-$H644)*0.65)+($W644*0.35))))</f>
        <v/>
      </c>
      <c r="R644">
        <f>IF($H644="","",MAX(1,MIN(5,($V644+$X644)/2)))</f>
        <v/>
      </c>
      <c r="S644">
        <f>IF(OR($H644="",$N644=""),"",ROUND(($O644+$P644+$Q644+$R644)/$N644,2))</f>
        <v/>
      </c>
      <c r="T644">
        <f>IF($H644="","",IFERROR(INDEX('_ENGINE_Risk'!$N$41:$S$920,MATCH($E644,'_ENGINE_Risk'!$A$41:$A$920,0),$H644+1),""))</f>
        <v/>
      </c>
      <c r="U644">
        <f>IFERROR(INDEX(_DATA_Assessment_Model!$G$5:$G$884,MATCH($E644,_DATA_Assessment_Model!$A$5:$A$884,0)),"")</f>
        <v/>
      </c>
      <c r="V644">
        <f>IFERROR(INDEX(_DATA_Assessment_Model!$W$5:$W$884,MATCH($E644,_DATA_Assessment_Model!$A$5:$A$884,0)),"")</f>
        <v/>
      </c>
      <c r="W644">
        <f>IFERROR(INDEX(_DATA_Assessment_Model!$X$5:$X$884,MATCH($E644,_DATA_Assessment_Model!$A$5:$A$884,0)),"")</f>
        <v/>
      </c>
      <c r="X644">
        <f>IFERROR(INDEX(_DATA_Assessment_Model!$Y$5:$Y$884,MATCH($E644,_DATA_Assessment_Model!$A$5:$A$884,0)),"")</f>
        <v/>
      </c>
      <c r="Y644" t="inlineStr">
        <is>
          <t>Safety incident; Physical site loss; War/security crisis; Natural disaster</t>
        </is>
      </c>
      <c r="Z644" t="inlineStr">
        <is>
          <t>Facilities / Security / HSE</t>
        </is>
      </c>
      <c r="AA644" t="inlineStr">
        <is>
          <t>Policy/SOP; owner/RACI; system report; dashboard; contracts; test records; incident history; interview evidence related to near-miss and safety incident reporting, investigation and corrective action.</t>
        </is>
      </c>
      <c r="AB644">
        <f>IFERROR(INDEX(_DATA_Assessment_Model!$U$5:$U$884,MATCH($E644,_DATA_Assessment_Model!$A$5:$A$884,0)),"")</f>
        <v/>
      </c>
      <c r="AF644" t="inlineStr">
        <is>
          <t>How mature is the organization in managing near-miss and safety incident reporting, investigation and corrective action, including ownership, evidence, metrics, fallback procedures and crisis stress testing?</t>
        </is>
      </c>
      <c r="AO644">
        <f>IF($B644="Yes",IFERROR(INDEX(_ENGINE_Crisis!$F$501:$F$517,MATCH($C644,_ENGINE_Crisis!$A$501:$A$517,0)),1),"")</f>
        <v/>
      </c>
      <c r="AP644">
        <f>IF(AO644="","",ROUND($L644*AO644,1))</f>
        <v/>
      </c>
      <c r="AQ644">
        <f>IF(OR(AO644="",$S644=""),"",ROUND($S644*(0.7+0.3*AO644),2))</f>
        <v/>
      </c>
      <c r="AR644">
        <f>IFERROR(INDEX(_ENGINE_Crisis!$E$41:$E$700,MATCH('Resilience &amp; Risk Scenario'!$B$60&amp;"|"&amp;$C644,_ENGINE_Crisis!$I$41:$I$700,0)),"")</f>
        <v/>
      </c>
      <c r="AS644">
        <f>IFERROR(INDEX(_ENGINE_Crisis!$G$41:$G$700,MATCH('Resilience &amp; Risk Scenario'!$B$60&amp;"|"&amp;$C644,_ENGINE_Crisis!$I$41:$I$700,0)),"")</f>
        <v/>
      </c>
      <c r="AT644">
        <f>IFERROR(INDEX(_ENGINE_Initiatives!$A$5:$A$532,MATCH(1,INDEX((_ENGINE_Initiatives!$B$5:$B$532=$C644)*(_ENGINE_Initiatives!$C$5:$C$532=$D644),0),0)),"")</f>
        <v/>
      </c>
      <c r="AU644">
        <f>IFERROR(INDEX(_ENGINE_Initiatives!$F$5:$F$532,MATCH(1,INDEX((_ENGINE_Initiatives!$B$5:$B$532=$C644)*(_ENGINE_Initiatives!$C$5:$C$532=$D644),0),0)),"")</f>
        <v/>
      </c>
      <c r="AV644">
        <f>IFERROR(INDEX(_ENGINE_Initiatives!$AC$5:$AC$532,MATCH(1,INDEX((_ENGINE_Initiatives!$B$5:$B$532=$C644)*(_ENGINE_Initiatives!$C$5:$C$532=$D644),0),0)),"")</f>
        <v/>
      </c>
      <c r="AW644">
        <f>IFERROR(INDEX(_ENGINE_Initiatives!$AE$5:$AE$532,MATCH(1,INDEX((_ENGINE_Initiatives!$B$5:$B$532=$C644)*(_ENGINE_Initiatives!$C$5:$C$532=$D644),0),0)),"")</f>
        <v/>
      </c>
      <c r="AX644">
        <f>IF($B644="Yes",IFERROR(IF(SUMIFS(_REF_Model_Content!$E$1:$E$613,_REF_Model_Content!$A$1:$A$613,'Company Profile'!$B$9,_REF_Model_Content!$B$1:$B$613,$C644)=0,1,SUMIFS(_REF_Model_Content!$E$1:$E$613,_REF_Model_Content!$A$1:$A$613,'Company Profile'!$B$9,_REF_Model_Content!$B$1:$B$613,$C644)),1),"")</f>
        <v/>
      </c>
      <c r="AY644">
        <f>IF($L644="","",ROUND(IF($AP644="",$L644,$AP644)*IF($AX644="",1,$AX644),2))</f>
        <v/>
      </c>
      <c r="AZ644">
        <f>IF($S644="","",ROUND(IF($AQ644="",$S644,$AQ644)*IF($AX644="",1,$AX644),2))</f>
        <v/>
      </c>
      <c r="BB644">
        <f>IF($H644="","",IFERROR(INDEX('_ENGINE_Risk'!$AE$41:$AE$920,MATCH($E644,'_ENGINE_Risk'!$A$41:$A$920,0)),"Medium"))</f>
        <v/>
      </c>
      <c r="BC644">
        <f>IF($BB644="","",IF($BB644="Fast",1.25,IF($BB644="Slow",0.85,1)))</f>
        <v/>
      </c>
      <c r="BD644">
        <f>IF(OR($AZ644="",$BC644=""),"",ROUND($AZ644*$BC644,2))</f>
        <v/>
      </c>
      <c r="BF644">
        <f>IF(OR($H644="",$J644=""),"",_xlfn.IFNA(VLOOKUP($J644,_CONFIG_Model_Settings!$D$610:$E$614,2,0),""))</f>
        <v/>
      </c>
      <c r="BG644">
        <f>IF(OR($H644="",$K644=""),"",ROUND('Company Profile'!$B$569*INDEX(_CONFIG_Model_Settings!$H$610:$H$614,MATCH($K644,_CONFIG_Model_Settings!$G$610:$G$614,0)),0))</f>
        <v/>
      </c>
      <c r="BH644">
        <f>IF(OR($BF644="",$BG644=""),"",ROUND($BF644*$BG644,1))</f>
        <v/>
      </c>
      <c r="BI644">
        <f>IF($BH644="","",IF($AO644="",$BH644,ROUND($BH644*$AO644,1)))</f>
        <v/>
      </c>
      <c r="BJ644">
        <f>IF($E644="","",IFERROR(VLOOKUP($C644,'_CONFIG_Risk_Calibration'!$A$5:$H$21,2,FALSE),3))</f>
        <v/>
      </c>
      <c r="BK644">
        <f>IF($E644="","",IFERROR(VLOOKUP($C644,'_CONFIG_Risk_Calibration'!$A$5:$H$21,3,FALSE),0))</f>
        <v/>
      </c>
      <c r="BL644">
        <f>IF($E644="","",IFERROR(VLOOKUP($C644,'_CONFIG_Risk_Calibration'!$A$5:$H$21,4,FALSE),3))</f>
        <v/>
      </c>
      <c r="BM644">
        <f>IF($E644="","",IFERROR(VLOOKUP($C644,'_CONFIG_Risk_Calibration'!$A$5:$H$21,5,FALSE),3))</f>
        <v/>
      </c>
      <c r="BN644">
        <f>IF($E644="","",IFERROR(VLOOKUP($C644,'_CONFIG_Risk_Calibration'!$A$5:$H$21,6,FALSE),"No"))</f>
        <v/>
      </c>
      <c r="BO644">
        <f>IF($E644="","",IFERROR(VLOOKUP($C644,'_CONFIG_Risk_Calibration'!$A$5:$H$21,7,FALSE),1))</f>
        <v/>
      </c>
      <c r="BP644">
        <f>IF($H644="","",MAX(1,MIN(5,((6-$H644)*0.45)+($BJ644*0.20)+('Resilience &amp; Risk Scenario'!$B$7*0.15)+($BK644*0.10)+($BL644*0.05)+(IF($BB644="Fast",5,IF($BB644="Slow",1,3))*0.05))))</f>
        <v/>
      </c>
      <c r="BQ644">
        <f>IF($H644="","",MAX(IF($BN644="Yes",$BO644,1),MIN(5,($U644*0.20)+($V644*0.15)+($W644*0.25)+($X644*0.15)+($BJ644*0.10)+($BM644*0.15))))</f>
        <v/>
      </c>
      <c r="BR644">
        <f>IF(OR($BP644="",$BQ644=""),"",ROUND($BP644*$BQ644,2))</f>
        <v/>
      </c>
      <c r="BS644">
        <f>IF($BR644="","",ROUND($BR644*IF($AO644="",1,$AO644)*IF($AX644="",1,$AX644)*(1+(($BM644-3)*0.10))*IF($BC644="",1,$BC644),2))</f>
        <v/>
      </c>
    </row>
    <row r="645" ht="69.90000000000001" customHeight="1" s="209">
      <c r="A645">
        <f>IF($BD645="","",SUMPRODUCT(ISNUMBER($BD$500:$BD$923)*($BD$500:$BD$923&gt;$BD645))+COUNTIF($BD$500:$BD645,$BD645))</f>
        <v/>
      </c>
      <c r="B645">
        <f>IF($H645="","",IF($H645&lt;5,"Yes","Maintain"))</f>
        <v/>
      </c>
      <c r="C645" t="inlineStr">
        <is>
          <t>Physical Safety</t>
        </is>
      </c>
      <c r="D645" t="inlineStr">
        <is>
          <t>OH&amp;S governance</t>
        </is>
      </c>
      <c r="E645" t="inlineStr">
        <is>
          <t>PHYS-006</t>
        </is>
      </c>
      <c r="F645" t="inlineStr">
        <is>
          <t>Physical safety, security and facility resilience</t>
        </is>
      </c>
      <c r="G645">
        <f>IF($H645="","",IFERROR(INDEX('_ENGINE_Risk'!$H$41:$M$920,MATCH($E645,'_ENGINE_Risk'!$A$41:$A$920,0),$H645+1),""))</f>
        <v/>
      </c>
      <c r="H645">
        <f>IFERROR(VALUE(INDEX(_DATA_Assessment_Model!$H$5:$H$884,MATCH($E645,_DATA_Assessment_Model!$A$5:$A$884,0))),"")</f>
        <v/>
      </c>
      <c r="I645">
        <f>IF($H645="","",IFERROR(INDEX(_DATA_Assessment_Model!$L$5:$L$884,MATCH($E645,_DATA_Assessment_Model!$A$5:$A$884,0)),IF($H645&lt;=1,"Critical",IF($H645=2,"High",IF($H645=3,"Medium",IF($H645=4,"Low","Resilient"))))))</f>
        <v/>
      </c>
      <c r="J645">
        <f>IF($H645="","",MIN(5,MAX(1,6-$H645)))</f>
        <v/>
      </c>
      <c r="K645">
        <f>IF($H645="","",MAX(1,MIN(5,ROUNDUP(($U645*0.45)+($W645*0.35)+($X645*0.2),0))))</f>
        <v/>
      </c>
      <c r="L645">
        <f>IF($H645="","",$J645*$K645)</f>
        <v/>
      </c>
      <c r="M645">
        <f>IF($H645="","",MAX(1,MIN(5,ROUNDUP($L645/5,0))))</f>
        <v/>
      </c>
      <c r="N645">
        <f>IF($H645="","",IFERROR(INDEX('_ENGINE_Risk'!$T$41:$Y$920,MATCH($E645,'_ENGINE_Risk'!$A$41:$A$920,0),$H645+1),""))</f>
        <v/>
      </c>
      <c r="O645">
        <f>IF($H645="","",MAX(1,MIN(5,($U645+$V645+$X645)/3)))</f>
        <v/>
      </c>
      <c r="P645">
        <f>IF($H645="","",IF($I645="Critical",5,IF($I645="High",4,IF($I645="Medium",3,IF($I645="Low",2,1)))))</f>
        <v/>
      </c>
      <c r="Q645">
        <f>IF($H645="","",MAX(1,MIN(5,((5-$H645)*0.65)+($W645*0.35))))</f>
        <v/>
      </c>
      <c r="R645">
        <f>IF($H645="","",MAX(1,MIN(5,($V645+$X645)/2)))</f>
        <v/>
      </c>
      <c r="S645">
        <f>IF(OR($H645="",$N645=""),"",ROUND(($O645+$P645+$Q645+$R645)/$N645,2))</f>
        <v/>
      </c>
      <c r="T645">
        <f>IF($H645="","",IFERROR(INDEX('_ENGINE_Risk'!$N$41:$S$920,MATCH($E645,'_ENGINE_Risk'!$A$41:$A$920,0),$H645+1),""))</f>
        <v/>
      </c>
      <c r="U645">
        <f>IFERROR(INDEX(_DATA_Assessment_Model!$G$5:$G$884,MATCH($E645,_DATA_Assessment_Model!$A$5:$A$884,0)),"")</f>
        <v/>
      </c>
      <c r="V645">
        <f>IFERROR(INDEX(_DATA_Assessment_Model!$W$5:$W$884,MATCH($E645,_DATA_Assessment_Model!$A$5:$A$884,0)),"")</f>
        <v/>
      </c>
      <c r="W645">
        <f>IFERROR(INDEX(_DATA_Assessment_Model!$X$5:$X$884,MATCH($E645,_DATA_Assessment_Model!$A$5:$A$884,0)),"")</f>
        <v/>
      </c>
      <c r="X645">
        <f>IFERROR(INDEX(_DATA_Assessment_Model!$Y$5:$Y$884,MATCH($E645,_DATA_Assessment_Model!$A$5:$A$884,0)),"")</f>
        <v/>
      </c>
      <c r="Y645" t="inlineStr">
        <is>
          <t>Safety incident; Physical site loss; War/security crisis; Natural disaster</t>
        </is>
      </c>
      <c r="Z645" t="inlineStr">
        <is>
          <t>Facilities / Security / HSE</t>
        </is>
      </c>
      <c r="AA645" t="inlineStr">
        <is>
          <t>Policy/SOP; owner/RACI; system report; dashboard; contracts; test records; incident history; interview evidence related to serious incident escalation to executives, legal, insurers and regulators.</t>
        </is>
      </c>
      <c r="AB645">
        <f>IFERROR(INDEX(_DATA_Assessment_Model!$U$5:$U$884,MATCH($E645,_DATA_Assessment_Model!$A$5:$A$884,0)),"")</f>
        <v/>
      </c>
      <c r="AF645" t="inlineStr">
        <is>
          <t>How mature is the organization in managing serious incident escalation to executives, legal, insurers and regulators, including ownership, evidence, metrics, fallback procedures and crisis stress testing?</t>
        </is>
      </c>
      <c r="AO645">
        <f>IF($B645="Yes",IFERROR(INDEX(_ENGINE_Crisis!$F$501:$F$517,MATCH($C645,_ENGINE_Crisis!$A$501:$A$517,0)),1),"")</f>
        <v/>
      </c>
      <c r="AP645">
        <f>IF(AO645="","",ROUND($L645*AO645,1))</f>
        <v/>
      </c>
      <c r="AQ645">
        <f>IF(OR(AO645="",$S645=""),"",ROUND($S645*(0.7+0.3*AO645),2))</f>
        <v/>
      </c>
      <c r="AR645">
        <f>IFERROR(INDEX(_ENGINE_Crisis!$E$41:$E$700,MATCH('Resilience &amp; Risk Scenario'!$B$60&amp;"|"&amp;$C645,_ENGINE_Crisis!$I$41:$I$700,0)),"")</f>
        <v/>
      </c>
      <c r="AS645">
        <f>IFERROR(INDEX(_ENGINE_Crisis!$G$41:$G$700,MATCH('Resilience &amp; Risk Scenario'!$B$60&amp;"|"&amp;$C645,_ENGINE_Crisis!$I$41:$I$700,0)),"")</f>
        <v/>
      </c>
      <c r="AT645">
        <f>IFERROR(INDEX(_ENGINE_Initiatives!$A$5:$A$532,MATCH(1,INDEX((_ENGINE_Initiatives!$B$5:$B$532=$C645)*(_ENGINE_Initiatives!$C$5:$C$532=$D645),0),0)),"")</f>
        <v/>
      </c>
      <c r="AU645">
        <f>IFERROR(INDEX(_ENGINE_Initiatives!$F$5:$F$532,MATCH(1,INDEX((_ENGINE_Initiatives!$B$5:$B$532=$C645)*(_ENGINE_Initiatives!$C$5:$C$532=$D645),0),0)),"")</f>
        <v/>
      </c>
      <c r="AV645">
        <f>IFERROR(INDEX(_ENGINE_Initiatives!$AC$5:$AC$532,MATCH(1,INDEX((_ENGINE_Initiatives!$B$5:$B$532=$C645)*(_ENGINE_Initiatives!$C$5:$C$532=$D645),0),0)),"")</f>
        <v/>
      </c>
      <c r="AW645">
        <f>IFERROR(INDEX(_ENGINE_Initiatives!$AE$5:$AE$532,MATCH(1,INDEX((_ENGINE_Initiatives!$B$5:$B$532=$C645)*(_ENGINE_Initiatives!$C$5:$C$532=$D645),0),0)),"")</f>
        <v/>
      </c>
      <c r="AX645">
        <f>IF($B645="Yes",IFERROR(IF(SUMIFS(_REF_Model_Content!$E$1:$E$613,_REF_Model_Content!$A$1:$A$613,'Company Profile'!$B$9,_REF_Model_Content!$B$1:$B$613,$C645)=0,1,SUMIFS(_REF_Model_Content!$E$1:$E$613,_REF_Model_Content!$A$1:$A$613,'Company Profile'!$B$9,_REF_Model_Content!$B$1:$B$613,$C645)),1),"")</f>
        <v/>
      </c>
      <c r="AY645">
        <f>IF($L645="","",ROUND(IF($AP645="",$L645,$AP645)*IF($AX645="",1,$AX645),2))</f>
        <v/>
      </c>
      <c r="AZ645">
        <f>IF($S645="","",ROUND(IF($AQ645="",$S645,$AQ645)*IF($AX645="",1,$AX645),2))</f>
        <v/>
      </c>
      <c r="BB645">
        <f>IF($H645="","",IFERROR(INDEX('_ENGINE_Risk'!$AE$41:$AE$920,MATCH($E645,'_ENGINE_Risk'!$A$41:$A$920,0)),"Medium"))</f>
        <v/>
      </c>
      <c r="BC645">
        <f>IF($BB645="","",IF($BB645="Fast",1.25,IF($BB645="Slow",0.85,1)))</f>
        <v/>
      </c>
      <c r="BD645">
        <f>IF(OR($AZ645="",$BC645=""),"",ROUND($AZ645*$BC645,2))</f>
        <v/>
      </c>
      <c r="BF645">
        <f>IF(OR($H645="",$J645=""),"",_xlfn.IFNA(VLOOKUP($J645,_CONFIG_Model_Settings!$D$610:$E$614,2,0),""))</f>
        <v/>
      </c>
      <c r="BG645">
        <f>IF(OR($H645="",$K645=""),"",ROUND('Company Profile'!$B$569*INDEX(_CONFIG_Model_Settings!$H$610:$H$614,MATCH($K645,_CONFIG_Model_Settings!$G$610:$G$614,0)),0))</f>
        <v/>
      </c>
      <c r="BH645">
        <f>IF(OR($BF645="",$BG645=""),"",ROUND($BF645*$BG645,1))</f>
        <v/>
      </c>
      <c r="BI645">
        <f>IF($BH645="","",IF($AO645="",$BH645,ROUND($BH645*$AO645,1)))</f>
        <v/>
      </c>
      <c r="BJ645">
        <f>IF($E645="","",IFERROR(VLOOKUP($C645,'_CONFIG_Risk_Calibration'!$A$5:$H$21,2,FALSE),3))</f>
        <v/>
      </c>
      <c r="BK645">
        <f>IF($E645="","",IFERROR(VLOOKUP($C645,'_CONFIG_Risk_Calibration'!$A$5:$H$21,3,FALSE),0))</f>
        <v/>
      </c>
      <c r="BL645">
        <f>IF($E645="","",IFERROR(VLOOKUP($C645,'_CONFIG_Risk_Calibration'!$A$5:$H$21,4,FALSE),3))</f>
        <v/>
      </c>
      <c r="BM645">
        <f>IF($E645="","",IFERROR(VLOOKUP($C645,'_CONFIG_Risk_Calibration'!$A$5:$H$21,5,FALSE),3))</f>
        <v/>
      </c>
      <c r="BN645">
        <f>IF($E645="","",IFERROR(VLOOKUP($C645,'_CONFIG_Risk_Calibration'!$A$5:$H$21,6,FALSE),"No"))</f>
        <v/>
      </c>
      <c r="BO645">
        <f>IF($E645="","",IFERROR(VLOOKUP($C645,'_CONFIG_Risk_Calibration'!$A$5:$H$21,7,FALSE),1))</f>
        <v/>
      </c>
      <c r="BP645">
        <f>IF($H645="","",MAX(1,MIN(5,((6-$H645)*0.45)+($BJ645*0.20)+('Resilience &amp; Risk Scenario'!$B$7*0.15)+($BK645*0.10)+($BL645*0.05)+(IF($BB645="Fast",5,IF($BB645="Slow",1,3))*0.05))))</f>
        <v/>
      </c>
      <c r="BQ645">
        <f>IF($H645="","",MAX(IF($BN645="Yes",$BO645,1),MIN(5,($U645*0.20)+($V645*0.15)+($W645*0.25)+($X645*0.15)+($BJ645*0.10)+($BM645*0.15))))</f>
        <v/>
      </c>
      <c r="BR645">
        <f>IF(OR($BP645="",$BQ645=""),"",ROUND($BP645*$BQ645,2))</f>
        <v/>
      </c>
      <c r="BS645">
        <f>IF($BR645="","",ROUND($BR645*IF($AO645="",1,$AO645)*IF($AX645="",1,$AX645)*(1+(($BM645-3)*0.10))*IF($BC645="",1,$BC645),2))</f>
        <v/>
      </c>
    </row>
    <row r="646" ht="69.90000000000001" customHeight="1" s="209">
      <c r="A646">
        <f>IF($BD646="","",SUMPRODUCT(ISNUMBER($BD$500:$BD$923)*($BD$500:$BD$923&gt;$BD646))+COUNTIF($BD$500:$BD646,$BD646))</f>
        <v/>
      </c>
      <c r="B646">
        <f>IF($H646="","",IF($H646&lt;5,"Yes","Maintain"))</f>
        <v/>
      </c>
      <c r="C646" t="inlineStr">
        <is>
          <t>Physical Safety</t>
        </is>
      </c>
      <c r="D646" t="inlineStr">
        <is>
          <t>Facilities and access</t>
        </is>
      </c>
      <c r="E646" t="inlineStr">
        <is>
          <t>PHYS-007</t>
        </is>
      </c>
      <c r="F646" t="inlineStr">
        <is>
          <t>Physical safety, security and facility resilience</t>
        </is>
      </c>
      <c r="G646">
        <f>IF($H646="","",IFERROR(INDEX('_ENGINE_Risk'!$H$41:$M$920,MATCH($E646,'_ENGINE_Risk'!$A$41:$A$920,0),$H646+1),""))</f>
        <v/>
      </c>
      <c r="H646">
        <f>IFERROR(VALUE(INDEX(_DATA_Assessment_Model!$H$5:$H$884,MATCH($E646,_DATA_Assessment_Model!$A$5:$A$884,0))),"")</f>
        <v/>
      </c>
      <c r="I646">
        <f>IF($H646="","",IFERROR(INDEX(_DATA_Assessment_Model!$L$5:$L$884,MATCH($E646,_DATA_Assessment_Model!$A$5:$A$884,0)),IF($H646&lt;=1,"Critical",IF($H646=2,"High",IF($H646=3,"Medium",IF($H646=4,"Low","Resilient"))))))</f>
        <v/>
      </c>
      <c r="J646">
        <f>IF($H646="","",MIN(5,MAX(1,6-$H646)))</f>
        <v/>
      </c>
      <c r="K646">
        <f>IF($H646="","",MAX(1,MIN(5,ROUNDUP(($U646*0.45)+($W646*0.35)+($X646*0.2),0))))</f>
        <v/>
      </c>
      <c r="L646">
        <f>IF($H646="","",$J646*$K646)</f>
        <v/>
      </c>
      <c r="M646">
        <f>IF($H646="","",MAX(1,MIN(5,ROUNDUP($L646/5,0))))</f>
        <v/>
      </c>
      <c r="N646">
        <f>IF($H646="","",IFERROR(INDEX('_ENGINE_Risk'!$T$41:$Y$920,MATCH($E646,'_ENGINE_Risk'!$A$41:$A$920,0),$H646+1),""))</f>
        <v/>
      </c>
      <c r="O646">
        <f>IF($H646="","",MAX(1,MIN(5,($U646+$V646+$X646)/3)))</f>
        <v/>
      </c>
      <c r="P646">
        <f>IF($H646="","",IF($I646="Critical",5,IF($I646="High",4,IF($I646="Medium",3,IF($I646="Low",2,1)))))</f>
        <v/>
      </c>
      <c r="Q646">
        <f>IF($H646="","",MAX(1,MIN(5,((5-$H646)*0.65)+($W646*0.35))))</f>
        <v/>
      </c>
      <c r="R646">
        <f>IF($H646="","",MAX(1,MIN(5,($V646+$X646)/2)))</f>
        <v/>
      </c>
      <c r="S646">
        <f>IF(OR($H646="",$N646=""),"",ROUND(($O646+$P646+$Q646+$R646)/$N646,2))</f>
        <v/>
      </c>
      <c r="T646">
        <f>IF($H646="","",IFERROR(INDEX('_ENGINE_Risk'!$N$41:$S$920,MATCH($E646,'_ENGINE_Risk'!$A$41:$A$920,0),$H646+1),""))</f>
        <v/>
      </c>
      <c r="U646">
        <f>IFERROR(INDEX(_DATA_Assessment_Model!$G$5:$G$884,MATCH($E646,_DATA_Assessment_Model!$A$5:$A$884,0)),"")</f>
        <v/>
      </c>
      <c r="V646">
        <f>IFERROR(INDEX(_DATA_Assessment_Model!$W$5:$W$884,MATCH($E646,_DATA_Assessment_Model!$A$5:$A$884,0)),"")</f>
        <v/>
      </c>
      <c r="W646">
        <f>IFERROR(INDEX(_DATA_Assessment_Model!$X$5:$X$884,MATCH($E646,_DATA_Assessment_Model!$A$5:$A$884,0)),"")</f>
        <v/>
      </c>
      <c r="X646">
        <f>IFERROR(INDEX(_DATA_Assessment_Model!$Y$5:$Y$884,MATCH($E646,_DATA_Assessment_Model!$A$5:$A$884,0)),"")</f>
        <v/>
      </c>
      <c r="Y646" t="inlineStr">
        <is>
          <t>Safety incident; Physical site loss; War/security crisis; Natural disaster</t>
        </is>
      </c>
      <c r="Z646" t="inlineStr">
        <is>
          <t>Facilities / Security / HSE</t>
        </is>
      </c>
      <c r="AA646" t="inlineStr">
        <is>
          <t>Policy/SOP; owner/RACI; system report; dashboard; contracts; test records; incident history; interview evidence related to critical facility register with occupancy, business processes, utilities, safety risks and recovery priority.</t>
        </is>
      </c>
      <c r="AB646">
        <f>IFERROR(INDEX(_DATA_Assessment_Model!$U$5:$U$884,MATCH($E646,_DATA_Assessment_Model!$A$5:$A$884,0)),"")</f>
        <v/>
      </c>
      <c r="AF646" t="inlineStr">
        <is>
          <t>How mature is the organization in managing critical facility register with occupancy, business processes, utilities, safety risks and recovery priority, including ownership, evidence, metrics, fallback procedures and crisis stress testing?</t>
        </is>
      </c>
      <c r="AO646">
        <f>IF($B646="Yes",IFERROR(INDEX(_ENGINE_Crisis!$F$501:$F$517,MATCH($C646,_ENGINE_Crisis!$A$501:$A$517,0)),1),"")</f>
        <v/>
      </c>
      <c r="AP646">
        <f>IF(AO646="","",ROUND($L646*AO646,1))</f>
        <v/>
      </c>
      <c r="AQ646">
        <f>IF(OR(AO646="",$S646=""),"",ROUND($S646*(0.7+0.3*AO646),2))</f>
        <v/>
      </c>
      <c r="AR646">
        <f>IFERROR(INDEX(_ENGINE_Crisis!$E$41:$E$700,MATCH('Resilience &amp; Risk Scenario'!$B$60&amp;"|"&amp;$C646,_ENGINE_Crisis!$I$41:$I$700,0)),"")</f>
        <v/>
      </c>
      <c r="AS646">
        <f>IFERROR(INDEX(_ENGINE_Crisis!$G$41:$G$700,MATCH('Resilience &amp; Risk Scenario'!$B$60&amp;"|"&amp;$C646,_ENGINE_Crisis!$I$41:$I$700,0)),"")</f>
        <v/>
      </c>
      <c r="AT646">
        <f>IFERROR(INDEX(_ENGINE_Initiatives!$A$5:$A$532,MATCH(1,INDEX((_ENGINE_Initiatives!$B$5:$B$532=$C646)*(_ENGINE_Initiatives!$C$5:$C$532=$D646),0),0)),"")</f>
        <v/>
      </c>
      <c r="AU646">
        <f>IFERROR(INDEX(_ENGINE_Initiatives!$F$5:$F$532,MATCH(1,INDEX((_ENGINE_Initiatives!$B$5:$B$532=$C646)*(_ENGINE_Initiatives!$C$5:$C$532=$D646),0),0)),"")</f>
        <v/>
      </c>
      <c r="AV646">
        <f>IFERROR(INDEX(_ENGINE_Initiatives!$AC$5:$AC$532,MATCH(1,INDEX((_ENGINE_Initiatives!$B$5:$B$532=$C646)*(_ENGINE_Initiatives!$C$5:$C$532=$D646),0),0)),"")</f>
        <v/>
      </c>
      <c r="AW646">
        <f>IFERROR(INDEX(_ENGINE_Initiatives!$AE$5:$AE$532,MATCH(1,INDEX((_ENGINE_Initiatives!$B$5:$B$532=$C646)*(_ENGINE_Initiatives!$C$5:$C$532=$D646),0),0)),"")</f>
        <v/>
      </c>
      <c r="AX646">
        <f>IF($B646="Yes",IFERROR(IF(SUMIFS(_REF_Model_Content!$E$1:$E$613,_REF_Model_Content!$A$1:$A$613,'Company Profile'!$B$9,_REF_Model_Content!$B$1:$B$613,$C646)=0,1,SUMIFS(_REF_Model_Content!$E$1:$E$613,_REF_Model_Content!$A$1:$A$613,'Company Profile'!$B$9,_REF_Model_Content!$B$1:$B$613,$C646)),1),"")</f>
        <v/>
      </c>
      <c r="AY646">
        <f>IF($L646="","",ROUND(IF($AP646="",$L646,$AP646)*IF($AX646="",1,$AX646),2))</f>
        <v/>
      </c>
      <c r="AZ646">
        <f>IF($S646="","",ROUND(IF($AQ646="",$S646,$AQ646)*IF($AX646="",1,$AX646),2))</f>
        <v/>
      </c>
      <c r="BB646">
        <f>IF($H646="","",IFERROR(INDEX('_ENGINE_Risk'!$AE$41:$AE$920,MATCH($E646,'_ENGINE_Risk'!$A$41:$A$920,0)),"Medium"))</f>
        <v/>
      </c>
      <c r="BC646">
        <f>IF($BB646="","",IF($BB646="Fast",1.25,IF($BB646="Slow",0.85,1)))</f>
        <v/>
      </c>
      <c r="BD646">
        <f>IF(OR($AZ646="",$BC646=""),"",ROUND($AZ646*$BC646,2))</f>
        <v/>
      </c>
      <c r="BF646">
        <f>IF(OR($H646="",$J646=""),"",_xlfn.IFNA(VLOOKUP($J646,_CONFIG_Model_Settings!$D$610:$E$614,2,0),""))</f>
        <v/>
      </c>
      <c r="BG646">
        <f>IF(OR($H646="",$K646=""),"",ROUND('Company Profile'!$B$569*INDEX(_CONFIG_Model_Settings!$H$610:$H$614,MATCH($K646,_CONFIG_Model_Settings!$G$610:$G$614,0)),0))</f>
        <v/>
      </c>
      <c r="BH646">
        <f>IF(OR($BF646="",$BG646=""),"",ROUND($BF646*$BG646,1))</f>
        <v/>
      </c>
      <c r="BI646">
        <f>IF($BH646="","",IF($AO646="",$BH646,ROUND($BH646*$AO646,1)))</f>
        <v/>
      </c>
      <c r="BJ646">
        <f>IF($E646="","",IFERROR(VLOOKUP($C646,'_CONFIG_Risk_Calibration'!$A$5:$H$21,2,FALSE),3))</f>
        <v/>
      </c>
      <c r="BK646">
        <f>IF($E646="","",IFERROR(VLOOKUP($C646,'_CONFIG_Risk_Calibration'!$A$5:$H$21,3,FALSE),0))</f>
        <v/>
      </c>
      <c r="BL646">
        <f>IF($E646="","",IFERROR(VLOOKUP($C646,'_CONFIG_Risk_Calibration'!$A$5:$H$21,4,FALSE),3))</f>
        <v/>
      </c>
      <c r="BM646">
        <f>IF($E646="","",IFERROR(VLOOKUP($C646,'_CONFIG_Risk_Calibration'!$A$5:$H$21,5,FALSE),3))</f>
        <v/>
      </c>
      <c r="BN646">
        <f>IF($E646="","",IFERROR(VLOOKUP($C646,'_CONFIG_Risk_Calibration'!$A$5:$H$21,6,FALSE),"No"))</f>
        <v/>
      </c>
      <c r="BO646">
        <f>IF($E646="","",IFERROR(VLOOKUP($C646,'_CONFIG_Risk_Calibration'!$A$5:$H$21,7,FALSE),1))</f>
        <v/>
      </c>
      <c r="BP646">
        <f>IF($H646="","",MAX(1,MIN(5,((6-$H646)*0.45)+($BJ646*0.20)+('Resilience &amp; Risk Scenario'!$B$7*0.15)+($BK646*0.10)+($BL646*0.05)+(IF($BB646="Fast",5,IF($BB646="Slow",1,3))*0.05))))</f>
        <v/>
      </c>
      <c r="BQ646">
        <f>IF($H646="","",MAX(IF($BN646="Yes",$BO646,1),MIN(5,($U646*0.20)+($V646*0.15)+($W646*0.25)+($X646*0.15)+($BJ646*0.10)+($BM646*0.15))))</f>
        <v/>
      </c>
      <c r="BR646">
        <f>IF(OR($BP646="",$BQ646=""),"",ROUND($BP646*$BQ646,2))</f>
        <v/>
      </c>
      <c r="BS646">
        <f>IF($BR646="","",ROUND($BR646*IF($AO646="",1,$AO646)*IF($AX646="",1,$AX646)*(1+(($BM646-3)*0.10))*IF($BC646="",1,$BC646),2))</f>
        <v/>
      </c>
    </row>
    <row r="647" ht="69.90000000000001" customHeight="1" s="209">
      <c r="A647">
        <f>IF($BD647="","",SUMPRODUCT(ISNUMBER($BD$500:$BD$923)*($BD$500:$BD$923&gt;$BD647))+COUNTIF($BD$500:$BD647,$BD647))</f>
        <v/>
      </c>
      <c r="B647">
        <f>IF($H647="","",IF($H647&lt;5,"Yes","Maintain"))</f>
        <v/>
      </c>
      <c r="C647" t="inlineStr">
        <is>
          <t>Physical Safety</t>
        </is>
      </c>
      <c r="D647" t="inlineStr">
        <is>
          <t>Facilities and access</t>
        </is>
      </c>
      <c r="E647" t="inlineStr">
        <is>
          <t>PHYS-008</t>
        </is>
      </c>
      <c r="F647" t="inlineStr">
        <is>
          <t>Physical safety, security and facility resilience</t>
        </is>
      </c>
      <c r="G647">
        <f>IF($H647="","",IFERROR(INDEX('_ENGINE_Risk'!$H$41:$M$920,MATCH($E647,'_ENGINE_Risk'!$A$41:$A$920,0),$H647+1),""))</f>
        <v/>
      </c>
      <c r="H647">
        <f>IFERROR(VALUE(INDEX(_DATA_Assessment_Model!$H$5:$H$884,MATCH($E647,_DATA_Assessment_Model!$A$5:$A$884,0))),"")</f>
        <v/>
      </c>
      <c r="I647">
        <f>IF($H647="","",IFERROR(INDEX(_DATA_Assessment_Model!$L$5:$L$884,MATCH($E647,_DATA_Assessment_Model!$A$5:$A$884,0)),IF($H647&lt;=1,"Critical",IF($H647=2,"High",IF($H647=3,"Medium",IF($H647=4,"Low","Resilient"))))))</f>
        <v/>
      </c>
      <c r="J647">
        <f>IF($H647="","",MIN(5,MAX(1,6-$H647)))</f>
        <v/>
      </c>
      <c r="K647">
        <f>IF($H647="","",MAX(1,MIN(5,ROUNDUP(($U647*0.45)+($W647*0.35)+($X647*0.2),0))))</f>
        <v/>
      </c>
      <c r="L647">
        <f>IF($H647="","",$J647*$K647)</f>
        <v/>
      </c>
      <c r="M647">
        <f>IF($H647="","",MAX(1,MIN(5,ROUNDUP($L647/5,0))))</f>
        <v/>
      </c>
      <c r="N647">
        <f>IF($H647="","",IFERROR(INDEX('_ENGINE_Risk'!$T$41:$Y$920,MATCH($E647,'_ENGINE_Risk'!$A$41:$A$920,0),$H647+1),""))</f>
        <v/>
      </c>
      <c r="O647">
        <f>IF($H647="","",MAX(1,MIN(5,($U647+$V647+$X647)/3)))</f>
        <v/>
      </c>
      <c r="P647">
        <f>IF($H647="","",IF($I647="Critical",5,IF($I647="High",4,IF($I647="Medium",3,IF($I647="Low",2,1)))))</f>
        <v/>
      </c>
      <c r="Q647">
        <f>IF($H647="","",MAX(1,MIN(5,((5-$H647)*0.65)+($W647*0.35))))</f>
        <v/>
      </c>
      <c r="R647">
        <f>IF($H647="","",MAX(1,MIN(5,($V647+$X647)/2)))</f>
        <v/>
      </c>
      <c r="S647">
        <f>IF(OR($H647="",$N647=""),"",ROUND(($O647+$P647+$Q647+$R647)/$N647,2))</f>
        <v/>
      </c>
      <c r="T647">
        <f>IF($H647="","",IFERROR(INDEX('_ENGINE_Risk'!$N$41:$S$920,MATCH($E647,'_ENGINE_Risk'!$A$41:$A$920,0),$H647+1),""))</f>
        <v/>
      </c>
      <c r="U647">
        <f>IFERROR(INDEX(_DATA_Assessment_Model!$G$5:$G$884,MATCH($E647,_DATA_Assessment_Model!$A$5:$A$884,0)),"")</f>
        <v/>
      </c>
      <c r="V647">
        <f>IFERROR(INDEX(_DATA_Assessment_Model!$W$5:$W$884,MATCH($E647,_DATA_Assessment_Model!$A$5:$A$884,0)),"")</f>
        <v/>
      </c>
      <c r="W647">
        <f>IFERROR(INDEX(_DATA_Assessment_Model!$X$5:$X$884,MATCH($E647,_DATA_Assessment_Model!$A$5:$A$884,0)),"")</f>
        <v/>
      </c>
      <c r="X647">
        <f>IFERROR(INDEX(_DATA_Assessment_Model!$Y$5:$Y$884,MATCH($E647,_DATA_Assessment_Model!$A$5:$A$884,0)),"")</f>
        <v/>
      </c>
      <c r="Y647" t="inlineStr">
        <is>
          <t>Safety incident; Physical site loss; War/security crisis; Natural disaster</t>
        </is>
      </c>
      <c r="Z647" t="inlineStr">
        <is>
          <t>Facilities / Security / HSE</t>
        </is>
      </c>
      <c r="AA647" t="inlineStr">
        <is>
          <t>Policy/SOP; owner/RACI; system report; dashboard; contracts; test records; incident history; interview evidence related to building integrity, fire systems, emergency exits, shelters, alarms, lighting and backup power inspection.</t>
        </is>
      </c>
      <c r="AB647">
        <f>IFERROR(INDEX(_DATA_Assessment_Model!$U$5:$U$884,MATCH($E647,_DATA_Assessment_Model!$A$5:$A$884,0)),"")</f>
        <v/>
      </c>
      <c r="AF647" t="inlineStr">
        <is>
          <t>How mature is the organization in managing building integrity, fire systems, emergency exits, shelters, alarms, lighting and backup power inspection, including ownership, evidence, metrics, fallback procedures and crisis stress testing?</t>
        </is>
      </c>
      <c r="AO647">
        <f>IF($B647="Yes",IFERROR(INDEX(_ENGINE_Crisis!$F$501:$F$517,MATCH($C647,_ENGINE_Crisis!$A$501:$A$517,0)),1),"")</f>
        <v/>
      </c>
      <c r="AP647">
        <f>IF(AO647="","",ROUND($L647*AO647,1))</f>
        <v/>
      </c>
      <c r="AQ647">
        <f>IF(OR(AO647="",$S647=""),"",ROUND($S647*(0.7+0.3*AO647),2))</f>
        <v/>
      </c>
      <c r="AR647">
        <f>IFERROR(INDEX(_ENGINE_Crisis!$E$41:$E$700,MATCH('Resilience &amp; Risk Scenario'!$B$60&amp;"|"&amp;$C647,_ENGINE_Crisis!$I$41:$I$700,0)),"")</f>
        <v/>
      </c>
      <c r="AS647">
        <f>IFERROR(INDEX(_ENGINE_Crisis!$G$41:$G$700,MATCH('Resilience &amp; Risk Scenario'!$B$60&amp;"|"&amp;$C647,_ENGINE_Crisis!$I$41:$I$700,0)),"")</f>
        <v/>
      </c>
      <c r="AT647">
        <f>IFERROR(INDEX(_ENGINE_Initiatives!$A$5:$A$532,MATCH(1,INDEX((_ENGINE_Initiatives!$B$5:$B$532=$C647)*(_ENGINE_Initiatives!$C$5:$C$532=$D647),0),0)),"")</f>
        <v/>
      </c>
      <c r="AU647">
        <f>IFERROR(INDEX(_ENGINE_Initiatives!$F$5:$F$532,MATCH(1,INDEX((_ENGINE_Initiatives!$B$5:$B$532=$C647)*(_ENGINE_Initiatives!$C$5:$C$532=$D647),0),0)),"")</f>
        <v/>
      </c>
      <c r="AV647">
        <f>IFERROR(INDEX(_ENGINE_Initiatives!$AC$5:$AC$532,MATCH(1,INDEX((_ENGINE_Initiatives!$B$5:$B$532=$C647)*(_ENGINE_Initiatives!$C$5:$C$532=$D647),0),0)),"")</f>
        <v/>
      </c>
      <c r="AW647">
        <f>IFERROR(INDEX(_ENGINE_Initiatives!$AE$5:$AE$532,MATCH(1,INDEX((_ENGINE_Initiatives!$B$5:$B$532=$C647)*(_ENGINE_Initiatives!$C$5:$C$532=$D647),0),0)),"")</f>
        <v/>
      </c>
      <c r="AX647">
        <f>IF($B647="Yes",IFERROR(IF(SUMIFS(_REF_Model_Content!$E$1:$E$613,_REF_Model_Content!$A$1:$A$613,'Company Profile'!$B$9,_REF_Model_Content!$B$1:$B$613,$C647)=0,1,SUMIFS(_REF_Model_Content!$E$1:$E$613,_REF_Model_Content!$A$1:$A$613,'Company Profile'!$B$9,_REF_Model_Content!$B$1:$B$613,$C647)),1),"")</f>
        <v/>
      </c>
      <c r="AY647">
        <f>IF($L647="","",ROUND(IF($AP647="",$L647,$AP647)*IF($AX647="",1,$AX647),2))</f>
        <v/>
      </c>
      <c r="AZ647">
        <f>IF($S647="","",ROUND(IF($AQ647="",$S647,$AQ647)*IF($AX647="",1,$AX647),2))</f>
        <v/>
      </c>
      <c r="BB647">
        <f>IF($H647="","",IFERROR(INDEX('_ENGINE_Risk'!$AE$41:$AE$920,MATCH($E647,'_ENGINE_Risk'!$A$41:$A$920,0)),"Medium"))</f>
        <v/>
      </c>
      <c r="BC647">
        <f>IF($BB647="","",IF($BB647="Fast",1.25,IF($BB647="Slow",0.85,1)))</f>
        <v/>
      </c>
      <c r="BD647">
        <f>IF(OR($AZ647="",$BC647=""),"",ROUND($AZ647*$BC647,2))</f>
        <v/>
      </c>
      <c r="BF647">
        <f>IF(OR($H647="",$J647=""),"",_xlfn.IFNA(VLOOKUP($J647,_CONFIG_Model_Settings!$D$610:$E$614,2,0),""))</f>
        <v/>
      </c>
      <c r="BG647">
        <f>IF(OR($H647="",$K647=""),"",ROUND('Company Profile'!$B$569*INDEX(_CONFIG_Model_Settings!$H$610:$H$614,MATCH($K647,_CONFIG_Model_Settings!$G$610:$G$614,0)),0))</f>
        <v/>
      </c>
      <c r="BH647">
        <f>IF(OR($BF647="",$BG647=""),"",ROUND($BF647*$BG647,1))</f>
        <v/>
      </c>
      <c r="BI647">
        <f>IF($BH647="","",IF($AO647="",$BH647,ROUND($BH647*$AO647,1)))</f>
        <v/>
      </c>
      <c r="BJ647">
        <f>IF($E647="","",IFERROR(VLOOKUP($C647,'_CONFIG_Risk_Calibration'!$A$5:$H$21,2,FALSE),3))</f>
        <v/>
      </c>
      <c r="BK647">
        <f>IF($E647="","",IFERROR(VLOOKUP($C647,'_CONFIG_Risk_Calibration'!$A$5:$H$21,3,FALSE),0))</f>
        <v/>
      </c>
      <c r="BL647">
        <f>IF($E647="","",IFERROR(VLOOKUP($C647,'_CONFIG_Risk_Calibration'!$A$5:$H$21,4,FALSE),3))</f>
        <v/>
      </c>
      <c r="BM647">
        <f>IF($E647="","",IFERROR(VLOOKUP($C647,'_CONFIG_Risk_Calibration'!$A$5:$H$21,5,FALSE),3))</f>
        <v/>
      </c>
      <c r="BN647">
        <f>IF($E647="","",IFERROR(VLOOKUP($C647,'_CONFIG_Risk_Calibration'!$A$5:$H$21,6,FALSE),"No"))</f>
        <v/>
      </c>
      <c r="BO647">
        <f>IF($E647="","",IFERROR(VLOOKUP($C647,'_CONFIG_Risk_Calibration'!$A$5:$H$21,7,FALSE),1))</f>
        <v/>
      </c>
      <c r="BP647">
        <f>IF($H647="","",MAX(1,MIN(5,((6-$H647)*0.45)+($BJ647*0.20)+('Resilience &amp; Risk Scenario'!$B$7*0.15)+($BK647*0.10)+($BL647*0.05)+(IF($BB647="Fast",5,IF($BB647="Slow",1,3))*0.05))))</f>
        <v/>
      </c>
      <c r="BQ647">
        <f>IF($H647="","",MAX(IF($BN647="Yes",$BO647,1),MIN(5,($U647*0.20)+($V647*0.15)+($W647*0.25)+($X647*0.15)+($BJ647*0.10)+($BM647*0.15))))</f>
        <v/>
      </c>
      <c r="BR647">
        <f>IF(OR($BP647="",$BQ647=""),"",ROUND($BP647*$BQ647,2))</f>
        <v/>
      </c>
      <c r="BS647">
        <f>IF($BR647="","",ROUND($BR647*IF($AO647="",1,$AO647)*IF($AX647="",1,$AX647)*(1+(($BM647-3)*0.10))*IF($BC647="",1,$BC647),2))</f>
        <v/>
      </c>
    </row>
    <row r="648" ht="69.90000000000001" customHeight="1" s="209">
      <c r="A648">
        <f>IF($BD648="","",SUMPRODUCT(ISNUMBER($BD$500:$BD$923)*($BD$500:$BD$923&gt;$BD648))+COUNTIF($BD$500:$BD648,$BD648))</f>
        <v/>
      </c>
      <c r="B648">
        <f>IF($H648="","",IF($H648&lt;5,"Yes","Maintain"))</f>
        <v/>
      </c>
      <c r="C648" t="inlineStr">
        <is>
          <t>Physical Safety</t>
        </is>
      </c>
      <c r="D648" t="inlineStr">
        <is>
          <t>Facilities and access</t>
        </is>
      </c>
      <c r="E648" t="inlineStr">
        <is>
          <t>PHYS-009</t>
        </is>
      </c>
      <c r="F648" t="inlineStr">
        <is>
          <t>Physical safety, security and facility resilience</t>
        </is>
      </c>
      <c r="G648">
        <f>IF($H648="","",IFERROR(INDEX('_ENGINE_Risk'!$H$41:$M$920,MATCH($E648,'_ENGINE_Risk'!$A$41:$A$920,0),$H648+1),""))</f>
        <v/>
      </c>
      <c r="H648">
        <f>IFERROR(VALUE(INDEX(_DATA_Assessment_Model!$H$5:$H$884,MATCH($E648,_DATA_Assessment_Model!$A$5:$A$884,0))),"")</f>
        <v/>
      </c>
      <c r="I648">
        <f>IF($H648="","",IFERROR(INDEX(_DATA_Assessment_Model!$L$5:$L$884,MATCH($E648,_DATA_Assessment_Model!$A$5:$A$884,0)),IF($H648&lt;=1,"Critical",IF($H648=2,"High",IF($H648=3,"Medium",IF($H648=4,"Low","Resilient"))))))</f>
        <v/>
      </c>
      <c r="J648">
        <f>IF($H648="","",MIN(5,MAX(1,6-$H648)))</f>
        <v/>
      </c>
      <c r="K648">
        <f>IF($H648="","",MAX(1,MIN(5,ROUNDUP(($U648*0.45)+($W648*0.35)+($X648*0.2),0))))</f>
        <v/>
      </c>
      <c r="L648">
        <f>IF($H648="","",$J648*$K648)</f>
        <v/>
      </c>
      <c r="M648">
        <f>IF($H648="","",MAX(1,MIN(5,ROUNDUP($L648/5,0))))</f>
        <v/>
      </c>
      <c r="N648">
        <f>IF($H648="","",IFERROR(INDEX('_ENGINE_Risk'!$T$41:$Y$920,MATCH($E648,'_ENGINE_Risk'!$A$41:$A$920,0),$H648+1),""))</f>
        <v/>
      </c>
      <c r="O648">
        <f>IF($H648="","",MAX(1,MIN(5,($U648+$V648+$X648)/3)))</f>
        <v/>
      </c>
      <c r="P648">
        <f>IF($H648="","",IF($I648="Critical",5,IF($I648="High",4,IF($I648="Medium",3,IF($I648="Low",2,1)))))</f>
        <v/>
      </c>
      <c r="Q648">
        <f>IF($H648="","",MAX(1,MIN(5,((5-$H648)*0.65)+($W648*0.35))))</f>
        <v/>
      </c>
      <c r="R648">
        <f>IF($H648="","",MAX(1,MIN(5,($V648+$X648)/2)))</f>
        <v/>
      </c>
      <c r="S648">
        <f>IF(OR($H648="",$N648=""),"",ROUND(($O648+$P648+$Q648+$R648)/$N648,2))</f>
        <v/>
      </c>
      <c r="T648">
        <f>IF($H648="","",IFERROR(INDEX('_ENGINE_Risk'!$N$41:$S$920,MATCH($E648,'_ENGINE_Risk'!$A$41:$A$920,0),$H648+1),""))</f>
        <v/>
      </c>
      <c r="U648">
        <f>IFERROR(INDEX(_DATA_Assessment_Model!$G$5:$G$884,MATCH($E648,_DATA_Assessment_Model!$A$5:$A$884,0)),"")</f>
        <v/>
      </c>
      <c r="V648">
        <f>IFERROR(INDEX(_DATA_Assessment_Model!$W$5:$W$884,MATCH($E648,_DATA_Assessment_Model!$A$5:$A$884,0)),"")</f>
        <v/>
      </c>
      <c r="W648">
        <f>IFERROR(INDEX(_DATA_Assessment_Model!$X$5:$X$884,MATCH($E648,_DATA_Assessment_Model!$A$5:$A$884,0)),"")</f>
        <v/>
      </c>
      <c r="X648">
        <f>IFERROR(INDEX(_DATA_Assessment_Model!$Y$5:$Y$884,MATCH($E648,_DATA_Assessment_Model!$A$5:$A$884,0)),"")</f>
        <v/>
      </c>
      <c r="Y648" t="inlineStr">
        <is>
          <t>Safety incident; Physical site loss; War/security crisis; Natural disaster</t>
        </is>
      </c>
      <c r="Z648" t="inlineStr">
        <is>
          <t>Facilities / Security / HSE</t>
        </is>
      </c>
      <c r="AA648" t="inlineStr">
        <is>
          <t>Policy/SOP; owner/RACI; system report; dashboard; contracts; test records; incident history; interview evidence related to physical access control linked to HR onboarding, offboarding and periodic access review.</t>
        </is>
      </c>
      <c r="AB648">
        <f>IFERROR(INDEX(_DATA_Assessment_Model!$U$5:$U$884,MATCH($E648,_DATA_Assessment_Model!$A$5:$A$884,0)),"")</f>
        <v/>
      </c>
      <c r="AF648" t="inlineStr">
        <is>
          <t>How mature is the organization in managing physical access control linked to HR onboarding, offboarding and periodic access review, including ownership, evidence, metrics, fallback procedures and crisis stress testing?</t>
        </is>
      </c>
      <c r="AO648">
        <f>IF($B648="Yes",IFERROR(INDEX(_ENGINE_Crisis!$F$501:$F$517,MATCH($C648,_ENGINE_Crisis!$A$501:$A$517,0)),1),"")</f>
        <v/>
      </c>
      <c r="AP648">
        <f>IF(AO648="","",ROUND($L648*AO648,1))</f>
        <v/>
      </c>
      <c r="AQ648">
        <f>IF(OR(AO648="",$S648=""),"",ROUND($S648*(0.7+0.3*AO648),2))</f>
        <v/>
      </c>
      <c r="AR648">
        <f>IFERROR(INDEX(_ENGINE_Crisis!$E$41:$E$700,MATCH('Resilience &amp; Risk Scenario'!$B$60&amp;"|"&amp;$C648,_ENGINE_Crisis!$I$41:$I$700,0)),"")</f>
        <v/>
      </c>
      <c r="AS648">
        <f>IFERROR(INDEX(_ENGINE_Crisis!$G$41:$G$700,MATCH('Resilience &amp; Risk Scenario'!$B$60&amp;"|"&amp;$C648,_ENGINE_Crisis!$I$41:$I$700,0)),"")</f>
        <v/>
      </c>
      <c r="AT648">
        <f>IFERROR(INDEX(_ENGINE_Initiatives!$A$5:$A$532,MATCH(1,INDEX((_ENGINE_Initiatives!$B$5:$B$532=$C648)*(_ENGINE_Initiatives!$C$5:$C$532=$D648),0),0)),"")</f>
        <v/>
      </c>
      <c r="AU648">
        <f>IFERROR(INDEX(_ENGINE_Initiatives!$F$5:$F$532,MATCH(1,INDEX((_ENGINE_Initiatives!$B$5:$B$532=$C648)*(_ENGINE_Initiatives!$C$5:$C$532=$D648),0),0)),"")</f>
        <v/>
      </c>
      <c r="AV648">
        <f>IFERROR(INDEX(_ENGINE_Initiatives!$AC$5:$AC$532,MATCH(1,INDEX((_ENGINE_Initiatives!$B$5:$B$532=$C648)*(_ENGINE_Initiatives!$C$5:$C$532=$D648),0),0)),"")</f>
        <v/>
      </c>
      <c r="AW648">
        <f>IFERROR(INDEX(_ENGINE_Initiatives!$AE$5:$AE$532,MATCH(1,INDEX((_ENGINE_Initiatives!$B$5:$B$532=$C648)*(_ENGINE_Initiatives!$C$5:$C$532=$D648),0),0)),"")</f>
        <v/>
      </c>
      <c r="AX648">
        <f>IF($B648="Yes",IFERROR(IF(SUMIFS(_REF_Model_Content!$E$1:$E$613,_REF_Model_Content!$A$1:$A$613,'Company Profile'!$B$9,_REF_Model_Content!$B$1:$B$613,$C648)=0,1,SUMIFS(_REF_Model_Content!$E$1:$E$613,_REF_Model_Content!$A$1:$A$613,'Company Profile'!$B$9,_REF_Model_Content!$B$1:$B$613,$C648)),1),"")</f>
        <v/>
      </c>
      <c r="AY648">
        <f>IF($L648="","",ROUND(IF($AP648="",$L648,$AP648)*IF($AX648="",1,$AX648),2))</f>
        <v/>
      </c>
      <c r="AZ648">
        <f>IF($S648="","",ROUND(IF($AQ648="",$S648,$AQ648)*IF($AX648="",1,$AX648),2))</f>
        <v/>
      </c>
      <c r="BB648">
        <f>IF($H648="","",IFERROR(INDEX('_ENGINE_Risk'!$AE$41:$AE$920,MATCH($E648,'_ENGINE_Risk'!$A$41:$A$920,0)),"Medium"))</f>
        <v/>
      </c>
      <c r="BC648">
        <f>IF($BB648="","",IF($BB648="Fast",1.25,IF($BB648="Slow",0.85,1)))</f>
        <v/>
      </c>
      <c r="BD648">
        <f>IF(OR($AZ648="",$BC648=""),"",ROUND($AZ648*$BC648,2))</f>
        <v/>
      </c>
      <c r="BF648">
        <f>IF(OR($H648="",$J648=""),"",_xlfn.IFNA(VLOOKUP($J648,_CONFIG_Model_Settings!$D$610:$E$614,2,0),""))</f>
        <v/>
      </c>
      <c r="BG648">
        <f>IF(OR($H648="",$K648=""),"",ROUND('Company Profile'!$B$569*INDEX(_CONFIG_Model_Settings!$H$610:$H$614,MATCH($K648,_CONFIG_Model_Settings!$G$610:$G$614,0)),0))</f>
        <v/>
      </c>
      <c r="BH648">
        <f>IF(OR($BF648="",$BG648=""),"",ROUND($BF648*$BG648,1))</f>
        <v/>
      </c>
      <c r="BI648">
        <f>IF($BH648="","",IF($AO648="",$BH648,ROUND($BH648*$AO648,1)))</f>
        <v/>
      </c>
      <c r="BJ648">
        <f>IF($E648="","",IFERROR(VLOOKUP($C648,'_CONFIG_Risk_Calibration'!$A$5:$H$21,2,FALSE),3))</f>
        <v/>
      </c>
      <c r="BK648">
        <f>IF($E648="","",IFERROR(VLOOKUP($C648,'_CONFIG_Risk_Calibration'!$A$5:$H$21,3,FALSE),0))</f>
        <v/>
      </c>
      <c r="BL648">
        <f>IF($E648="","",IFERROR(VLOOKUP($C648,'_CONFIG_Risk_Calibration'!$A$5:$H$21,4,FALSE),3))</f>
        <v/>
      </c>
      <c r="BM648">
        <f>IF($E648="","",IFERROR(VLOOKUP($C648,'_CONFIG_Risk_Calibration'!$A$5:$H$21,5,FALSE),3))</f>
        <v/>
      </c>
      <c r="BN648">
        <f>IF($E648="","",IFERROR(VLOOKUP($C648,'_CONFIG_Risk_Calibration'!$A$5:$H$21,6,FALSE),"No"))</f>
        <v/>
      </c>
      <c r="BO648">
        <f>IF($E648="","",IFERROR(VLOOKUP($C648,'_CONFIG_Risk_Calibration'!$A$5:$H$21,7,FALSE),1))</f>
        <v/>
      </c>
      <c r="BP648">
        <f>IF($H648="","",MAX(1,MIN(5,((6-$H648)*0.45)+($BJ648*0.20)+('Resilience &amp; Risk Scenario'!$B$7*0.15)+($BK648*0.10)+($BL648*0.05)+(IF($BB648="Fast",5,IF($BB648="Slow",1,3))*0.05))))</f>
        <v/>
      </c>
      <c r="BQ648">
        <f>IF($H648="","",MAX(IF($BN648="Yes",$BO648,1),MIN(5,($U648*0.20)+($V648*0.15)+($W648*0.25)+($X648*0.15)+($BJ648*0.10)+($BM648*0.15))))</f>
        <v/>
      </c>
      <c r="BR648">
        <f>IF(OR($BP648="",$BQ648=""),"",ROUND($BP648*$BQ648,2))</f>
        <v/>
      </c>
      <c r="BS648">
        <f>IF($BR648="","",ROUND($BR648*IF($AO648="",1,$AO648)*IF($AX648="",1,$AX648)*(1+(($BM648-3)*0.10))*IF($BC648="",1,$BC648),2))</f>
        <v/>
      </c>
    </row>
    <row r="649" ht="69.90000000000001" customHeight="1" s="209">
      <c r="A649">
        <f>IF($BD649="","",SUMPRODUCT(ISNUMBER($BD$500:$BD$923)*($BD$500:$BD$923&gt;$BD649))+COUNTIF($BD$500:$BD649,$BD649))</f>
        <v/>
      </c>
      <c r="B649">
        <f>IF($H649="","",IF($H649&lt;5,"Yes","Maintain"))</f>
        <v/>
      </c>
      <c r="C649" t="inlineStr">
        <is>
          <t>Physical Safety</t>
        </is>
      </c>
      <c r="D649" t="inlineStr">
        <is>
          <t>Facilities and access</t>
        </is>
      </c>
      <c r="E649" t="inlineStr">
        <is>
          <t>PHYS-010</t>
        </is>
      </c>
      <c r="F649" t="inlineStr">
        <is>
          <t>Physical safety, security and facility resilience</t>
        </is>
      </c>
      <c r="G649">
        <f>IF($H649="","",IFERROR(INDEX('_ENGINE_Risk'!$H$41:$M$920,MATCH($E649,'_ENGINE_Risk'!$A$41:$A$920,0),$H649+1),""))</f>
        <v/>
      </c>
      <c r="H649">
        <f>IFERROR(VALUE(INDEX(_DATA_Assessment_Model!$H$5:$H$884,MATCH($E649,_DATA_Assessment_Model!$A$5:$A$884,0))),"")</f>
        <v/>
      </c>
      <c r="I649">
        <f>IF($H649="","",IFERROR(INDEX(_DATA_Assessment_Model!$L$5:$L$884,MATCH($E649,_DATA_Assessment_Model!$A$5:$A$884,0)),IF($H649&lt;=1,"Critical",IF($H649=2,"High",IF($H649=3,"Medium",IF($H649=4,"Low","Resilient"))))))</f>
        <v/>
      </c>
      <c r="J649">
        <f>IF($H649="","",MIN(5,MAX(1,6-$H649)))</f>
        <v/>
      </c>
      <c r="K649">
        <f>IF($H649="","",MAX(1,MIN(5,ROUNDUP(($U649*0.45)+($W649*0.35)+($X649*0.2),0))))</f>
        <v/>
      </c>
      <c r="L649">
        <f>IF($H649="","",$J649*$K649)</f>
        <v/>
      </c>
      <c r="M649">
        <f>IF($H649="","",MAX(1,MIN(5,ROUNDUP($L649/5,0))))</f>
        <v/>
      </c>
      <c r="N649">
        <f>IF($H649="","",IFERROR(INDEX('_ENGINE_Risk'!$T$41:$Y$920,MATCH($E649,'_ENGINE_Risk'!$A$41:$A$920,0),$H649+1),""))</f>
        <v/>
      </c>
      <c r="O649">
        <f>IF($H649="","",MAX(1,MIN(5,($U649+$V649+$X649)/3)))</f>
        <v/>
      </c>
      <c r="P649">
        <f>IF($H649="","",IF($I649="Critical",5,IF($I649="High",4,IF($I649="Medium",3,IF($I649="Low",2,1)))))</f>
        <v/>
      </c>
      <c r="Q649">
        <f>IF($H649="","",MAX(1,MIN(5,((5-$H649)*0.65)+($W649*0.35))))</f>
        <v/>
      </c>
      <c r="R649">
        <f>IF($H649="","",MAX(1,MIN(5,($V649+$X649)/2)))</f>
        <v/>
      </c>
      <c r="S649">
        <f>IF(OR($H649="",$N649=""),"",ROUND(($O649+$P649+$Q649+$R649)/$N649,2))</f>
        <v/>
      </c>
      <c r="T649">
        <f>IF($H649="","",IFERROR(INDEX('_ENGINE_Risk'!$N$41:$S$920,MATCH($E649,'_ENGINE_Risk'!$A$41:$A$920,0),$H649+1),""))</f>
        <v/>
      </c>
      <c r="U649">
        <f>IFERROR(INDEX(_DATA_Assessment_Model!$G$5:$G$884,MATCH($E649,_DATA_Assessment_Model!$A$5:$A$884,0)),"")</f>
        <v/>
      </c>
      <c r="V649">
        <f>IFERROR(INDEX(_DATA_Assessment_Model!$W$5:$W$884,MATCH($E649,_DATA_Assessment_Model!$A$5:$A$884,0)),"")</f>
        <v/>
      </c>
      <c r="W649">
        <f>IFERROR(INDEX(_DATA_Assessment_Model!$X$5:$X$884,MATCH($E649,_DATA_Assessment_Model!$A$5:$A$884,0)),"")</f>
        <v/>
      </c>
      <c r="X649">
        <f>IFERROR(INDEX(_DATA_Assessment_Model!$Y$5:$Y$884,MATCH($E649,_DATA_Assessment_Model!$A$5:$A$884,0)),"")</f>
        <v/>
      </c>
      <c r="Y649" t="inlineStr">
        <is>
          <t>Safety incident; Physical site loss; War/security crisis; Natural disaster</t>
        </is>
      </c>
      <c r="Z649" t="inlineStr">
        <is>
          <t>Facilities / Security / HSE</t>
        </is>
      </c>
      <c r="AA649" t="inlineStr">
        <is>
          <t>Policy/SOP; owner/RACI; system report; dashboard; contracts; test records; incident history; interview evidence related to visitor management covering identity checks, escorting, sensitive areas and evacuation accountability.</t>
        </is>
      </c>
      <c r="AB649">
        <f>IFERROR(INDEX(_DATA_Assessment_Model!$U$5:$U$884,MATCH($E649,_DATA_Assessment_Model!$A$5:$A$884,0)),"")</f>
        <v/>
      </c>
      <c r="AF649" t="inlineStr">
        <is>
          <t>How mature is the organization in managing visitor management covering identity checks, escorting, sensitive areas and evacuation accountability, including ownership, evidence, metrics, fallback procedures and crisis stress testing?</t>
        </is>
      </c>
      <c r="AO649">
        <f>IF($B649="Yes",IFERROR(INDEX(_ENGINE_Crisis!$F$501:$F$517,MATCH($C649,_ENGINE_Crisis!$A$501:$A$517,0)),1),"")</f>
        <v/>
      </c>
      <c r="AP649">
        <f>IF(AO649="","",ROUND($L649*AO649,1))</f>
        <v/>
      </c>
      <c r="AQ649">
        <f>IF(OR(AO649="",$S649=""),"",ROUND($S649*(0.7+0.3*AO649),2))</f>
        <v/>
      </c>
      <c r="AR649">
        <f>IFERROR(INDEX(_ENGINE_Crisis!$E$41:$E$700,MATCH('Resilience &amp; Risk Scenario'!$B$60&amp;"|"&amp;$C649,_ENGINE_Crisis!$I$41:$I$700,0)),"")</f>
        <v/>
      </c>
      <c r="AS649">
        <f>IFERROR(INDEX(_ENGINE_Crisis!$G$41:$G$700,MATCH('Resilience &amp; Risk Scenario'!$B$60&amp;"|"&amp;$C649,_ENGINE_Crisis!$I$41:$I$700,0)),"")</f>
        <v/>
      </c>
      <c r="AT649">
        <f>IFERROR(INDEX(_ENGINE_Initiatives!$A$5:$A$532,MATCH(1,INDEX((_ENGINE_Initiatives!$B$5:$B$532=$C649)*(_ENGINE_Initiatives!$C$5:$C$532=$D649),0),0)),"")</f>
        <v/>
      </c>
      <c r="AU649">
        <f>IFERROR(INDEX(_ENGINE_Initiatives!$F$5:$F$532,MATCH(1,INDEX((_ENGINE_Initiatives!$B$5:$B$532=$C649)*(_ENGINE_Initiatives!$C$5:$C$532=$D649),0),0)),"")</f>
        <v/>
      </c>
      <c r="AV649">
        <f>IFERROR(INDEX(_ENGINE_Initiatives!$AC$5:$AC$532,MATCH(1,INDEX((_ENGINE_Initiatives!$B$5:$B$532=$C649)*(_ENGINE_Initiatives!$C$5:$C$532=$D649),0),0)),"")</f>
        <v/>
      </c>
      <c r="AW649">
        <f>IFERROR(INDEX(_ENGINE_Initiatives!$AE$5:$AE$532,MATCH(1,INDEX((_ENGINE_Initiatives!$B$5:$B$532=$C649)*(_ENGINE_Initiatives!$C$5:$C$532=$D649),0),0)),"")</f>
        <v/>
      </c>
      <c r="AX649">
        <f>IF($B649="Yes",IFERROR(IF(SUMIFS(_REF_Model_Content!$E$1:$E$613,_REF_Model_Content!$A$1:$A$613,'Company Profile'!$B$9,_REF_Model_Content!$B$1:$B$613,$C649)=0,1,SUMIFS(_REF_Model_Content!$E$1:$E$613,_REF_Model_Content!$A$1:$A$613,'Company Profile'!$B$9,_REF_Model_Content!$B$1:$B$613,$C649)),1),"")</f>
        <v/>
      </c>
      <c r="AY649">
        <f>IF($L649="","",ROUND(IF($AP649="",$L649,$AP649)*IF($AX649="",1,$AX649),2))</f>
        <v/>
      </c>
      <c r="AZ649">
        <f>IF($S649="","",ROUND(IF($AQ649="",$S649,$AQ649)*IF($AX649="",1,$AX649),2))</f>
        <v/>
      </c>
      <c r="BB649">
        <f>IF($H649="","",IFERROR(INDEX('_ENGINE_Risk'!$AE$41:$AE$920,MATCH($E649,'_ENGINE_Risk'!$A$41:$A$920,0)),"Medium"))</f>
        <v/>
      </c>
      <c r="BC649">
        <f>IF($BB649="","",IF($BB649="Fast",1.25,IF($BB649="Slow",0.85,1)))</f>
        <v/>
      </c>
      <c r="BD649">
        <f>IF(OR($AZ649="",$BC649=""),"",ROUND($AZ649*$BC649,2))</f>
        <v/>
      </c>
      <c r="BF649">
        <f>IF(OR($H649="",$J649=""),"",_xlfn.IFNA(VLOOKUP($J649,_CONFIG_Model_Settings!$D$610:$E$614,2,0),""))</f>
        <v/>
      </c>
      <c r="BG649">
        <f>IF(OR($H649="",$K649=""),"",ROUND('Company Profile'!$B$569*INDEX(_CONFIG_Model_Settings!$H$610:$H$614,MATCH($K649,_CONFIG_Model_Settings!$G$610:$G$614,0)),0))</f>
        <v/>
      </c>
      <c r="BH649">
        <f>IF(OR($BF649="",$BG649=""),"",ROUND($BF649*$BG649,1))</f>
        <v/>
      </c>
      <c r="BI649">
        <f>IF($BH649="","",IF($AO649="",$BH649,ROUND($BH649*$AO649,1)))</f>
        <v/>
      </c>
      <c r="BJ649">
        <f>IF($E649="","",IFERROR(VLOOKUP($C649,'_CONFIG_Risk_Calibration'!$A$5:$H$21,2,FALSE),3))</f>
        <v/>
      </c>
      <c r="BK649">
        <f>IF($E649="","",IFERROR(VLOOKUP($C649,'_CONFIG_Risk_Calibration'!$A$5:$H$21,3,FALSE),0))</f>
        <v/>
      </c>
      <c r="BL649">
        <f>IF($E649="","",IFERROR(VLOOKUP($C649,'_CONFIG_Risk_Calibration'!$A$5:$H$21,4,FALSE),3))</f>
        <v/>
      </c>
      <c r="BM649">
        <f>IF($E649="","",IFERROR(VLOOKUP($C649,'_CONFIG_Risk_Calibration'!$A$5:$H$21,5,FALSE),3))</f>
        <v/>
      </c>
      <c r="BN649">
        <f>IF($E649="","",IFERROR(VLOOKUP($C649,'_CONFIG_Risk_Calibration'!$A$5:$H$21,6,FALSE),"No"))</f>
        <v/>
      </c>
      <c r="BO649">
        <f>IF($E649="","",IFERROR(VLOOKUP($C649,'_CONFIG_Risk_Calibration'!$A$5:$H$21,7,FALSE),1))</f>
        <v/>
      </c>
      <c r="BP649">
        <f>IF($H649="","",MAX(1,MIN(5,((6-$H649)*0.45)+($BJ649*0.20)+('Resilience &amp; Risk Scenario'!$B$7*0.15)+($BK649*0.10)+($BL649*0.05)+(IF($BB649="Fast",5,IF($BB649="Slow",1,3))*0.05))))</f>
        <v/>
      </c>
      <c r="BQ649">
        <f>IF($H649="","",MAX(IF($BN649="Yes",$BO649,1),MIN(5,($U649*0.20)+($V649*0.15)+($W649*0.25)+($X649*0.15)+($BJ649*0.10)+($BM649*0.15))))</f>
        <v/>
      </c>
      <c r="BR649">
        <f>IF(OR($BP649="",$BQ649=""),"",ROUND($BP649*$BQ649,2))</f>
        <v/>
      </c>
      <c r="BS649">
        <f>IF($BR649="","",ROUND($BR649*IF($AO649="",1,$AO649)*IF($AX649="",1,$AX649)*(1+(($BM649-3)*0.10))*IF($BC649="",1,$BC649),2))</f>
        <v/>
      </c>
    </row>
    <row r="650" ht="69.90000000000001" customHeight="1" s="209">
      <c r="A650">
        <f>IF($BD650="","",SUMPRODUCT(ISNUMBER($BD$500:$BD$923)*($BD$500:$BD$923&gt;$BD650))+COUNTIF($BD$500:$BD650,$BD650))</f>
        <v/>
      </c>
      <c r="B650">
        <f>IF($H650="","",IF($H650&lt;5,"Yes","Maintain"))</f>
        <v/>
      </c>
      <c r="C650" t="inlineStr">
        <is>
          <t>Physical Safety</t>
        </is>
      </c>
      <c r="D650" t="inlineStr">
        <is>
          <t>Facilities and access</t>
        </is>
      </c>
      <c r="E650" t="inlineStr">
        <is>
          <t>PHYS-011</t>
        </is>
      </c>
      <c r="F650" t="inlineStr">
        <is>
          <t>Physical safety, security and facility resilience</t>
        </is>
      </c>
      <c r="G650">
        <f>IF($H650="","",IFERROR(INDEX('_ENGINE_Risk'!$H$41:$M$920,MATCH($E650,'_ENGINE_Risk'!$A$41:$A$920,0),$H650+1),""))</f>
        <v/>
      </c>
      <c r="H650">
        <f>IFERROR(VALUE(INDEX(_DATA_Assessment_Model!$H$5:$H$884,MATCH($E650,_DATA_Assessment_Model!$A$5:$A$884,0))),"")</f>
        <v/>
      </c>
      <c r="I650">
        <f>IF($H650="","",IFERROR(INDEX(_DATA_Assessment_Model!$L$5:$L$884,MATCH($E650,_DATA_Assessment_Model!$A$5:$A$884,0)),IF($H650&lt;=1,"Critical",IF($H650=2,"High",IF($H650=3,"Medium",IF($H650=4,"Low","Resilient"))))))</f>
        <v/>
      </c>
      <c r="J650">
        <f>IF($H650="","",MIN(5,MAX(1,6-$H650)))</f>
        <v/>
      </c>
      <c r="K650">
        <f>IF($H650="","",MAX(1,MIN(5,ROUNDUP(($U650*0.45)+($W650*0.35)+($X650*0.2),0))))</f>
        <v/>
      </c>
      <c r="L650">
        <f>IF($H650="","",$J650*$K650)</f>
        <v/>
      </c>
      <c r="M650">
        <f>IF($H650="","",MAX(1,MIN(5,ROUNDUP($L650/5,0))))</f>
        <v/>
      </c>
      <c r="N650">
        <f>IF($H650="","",IFERROR(INDEX('_ENGINE_Risk'!$T$41:$Y$920,MATCH($E650,'_ENGINE_Risk'!$A$41:$A$920,0),$H650+1),""))</f>
        <v/>
      </c>
      <c r="O650">
        <f>IF($H650="","",MAX(1,MIN(5,($U650+$V650+$X650)/3)))</f>
        <v/>
      </c>
      <c r="P650">
        <f>IF($H650="","",IF($I650="Critical",5,IF($I650="High",4,IF($I650="Medium",3,IF($I650="Low",2,1)))))</f>
        <v/>
      </c>
      <c r="Q650">
        <f>IF($H650="","",MAX(1,MIN(5,((5-$H650)*0.65)+($W650*0.35))))</f>
        <v/>
      </c>
      <c r="R650">
        <f>IF($H650="","",MAX(1,MIN(5,($V650+$X650)/2)))</f>
        <v/>
      </c>
      <c r="S650">
        <f>IF(OR($H650="",$N650=""),"",ROUND(($O650+$P650+$Q650+$R650)/$N650,2))</f>
        <v/>
      </c>
      <c r="T650">
        <f>IF($H650="","",IFERROR(INDEX('_ENGINE_Risk'!$N$41:$S$920,MATCH($E650,'_ENGINE_Risk'!$A$41:$A$920,0),$H650+1),""))</f>
        <v/>
      </c>
      <c r="U650">
        <f>IFERROR(INDEX(_DATA_Assessment_Model!$G$5:$G$884,MATCH($E650,_DATA_Assessment_Model!$A$5:$A$884,0)),"")</f>
        <v/>
      </c>
      <c r="V650">
        <f>IFERROR(INDEX(_DATA_Assessment_Model!$W$5:$W$884,MATCH($E650,_DATA_Assessment_Model!$A$5:$A$884,0)),"")</f>
        <v/>
      </c>
      <c r="W650">
        <f>IFERROR(INDEX(_DATA_Assessment_Model!$X$5:$X$884,MATCH($E650,_DATA_Assessment_Model!$A$5:$A$884,0)),"")</f>
        <v/>
      </c>
      <c r="X650">
        <f>IFERROR(INDEX(_DATA_Assessment_Model!$Y$5:$Y$884,MATCH($E650,_DATA_Assessment_Model!$A$5:$A$884,0)),"")</f>
        <v/>
      </c>
      <c r="Y650" t="inlineStr">
        <is>
          <t>Safety incident; Physical site loss; War/security crisis; Natural disaster</t>
        </is>
      </c>
      <c r="Z650" t="inlineStr">
        <is>
          <t>Facilities / Security / HSE</t>
        </is>
      </c>
      <c r="AA650" t="inlineStr">
        <is>
          <t>Policy/SOP; owner/RACI; system report; dashboard; contracts; test records; incident history; interview evidence related to security guarding, CCTV, alarm monitoring and response procedures.</t>
        </is>
      </c>
      <c r="AB650">
        <f>IFERROR(INDEX(_DATA_Assessment_Model!$U$5:$U$884,MATCH($E650,_DATA_Assessment_Model!$A$5:$A$884,0)),"")</f>
        <v/>
      </c>
      <c r="AF650" t="inlineStr">
        <is>
          <t>How mature is the organization in managing security guarding, CCTV, alarm monitoring and response procedures, including ownership, evidence, metrics, fallback procedures and crisis stress testing?</t>
        </is>
      </c>
      <c r="AO650">
        <f>IF($B650="Yes",IFERROR(INDEX(_ENGINE_Crisis!$F$501:$F$517,MATCH($C650,_ENGINE_Crisis!$A$501:$A$517,0)),1),"")</f>
        <v/>
      </c>
      <c r="AP650">
        <f>IF(AO650="","",ROUND($L650*AO650,1))</f>
        <v/>
      </c>
      <c r="AQ650">
        <f>IF(OR(AO650="",$S650=""),"",ROUND($S650*(0.7+0.3*AO650),2))</f>
        <v/>
      </c>
      <c r="AR650">
        <f>IFERROR(INDEX(_ENGINE_Crisis!$E$41:$E$700,MATCH('Resilience &amp; Risk Scenario'!$B$60&amp;"|"&amp;$C650,_ENGINE_Crisis!$I$41:$I$700,0)),"")</f>
        <v/>
      </c>
      <c r="AS650">
        <f>IFERROR(INDEX(_ENGINE_Crisis!$G$41:$G$700,MATCH('Resilience &amp; Risk Scenario'!$B$60&amp;"|"&amp;$C650,_ENGINE_Crisis!$I$41:$I$700,0)),"")</f>
        <v/>
      </c>
      <c r="AT650">
        <f>IFERROR(INDEX(_ENGINE_Initiatives!$A$5:$A$532,MATCH(1,INDEX((_ENGINE_Initiatives!$B$5:$B$532=$C650)*(_ENGINE_Initiatives!$C$5:$C$532=$D650),0),0)),"")</f>
        <v/>
      </c>
      <c r="AU650">
        <f>IFERROR(INDEX(_ENGINE_Initiatives!$F$5:$F$532,MATCH(1,INDEX((_ENGINE_Initiatives!$B$5:$B$532=$C650)*(_ENGINE_Initiatives!$C$5:$C$532=$D650),0),0)),"")</f>
        <v/>
      </c>
      <c r="AV650">
        <f>IFERROR(INDEX(_ENGINE_Initiatives!$AC$5:$AC$532,MATCH(1,INDEX((_ENGINE_Initiatives!$B$5:$B$532=$C650)*(_ENGINE_Initiatives!$C$5:$C$532=$D650),0),0)),"")</f>
        <v/>
      </c>
      <c r="AW650">
        <f>IFERROR(INDEX(_ENGINE_Initiatives!$AE$5:$AE$532,MATCH(1,INDEX((_ENGINE_Initiatives!$B$5:$B$532=$C650)*(_ENGINE_Initiatives!$C$5:$C$532=$D650),0),0)),"")</f>
        <v/>
      </c>
      <c r="AX650">
        <f>IF($B650="Yes",IFERROR(IF(SUMIFS(_REF_Model_Content!$E$1:$E$613,_REF_Model_Content!$A$1:$A$613,'Company Profile'!$B$9,_REF_Model_Content!$B$1:$B$613,$C650)=0,1,SUMIFS(_REF_Model_Content!$E$1:$E$613,_REF_Model_Content!$A$1:$A$613,'Company Profile'!$B$9,_REF_Model_Content!$B$1:$B$613,$C650)),1),"")</f>
        <v/>
      </c>
      <c r="AY650">
        <f>IF($L650="","",ROUND(IF($AP650="",$L650,$AP650)*IF($AX650="",1,$AX650),2))</f>
        <v/>
      </c>
      <c r="AZ650">
        <f>IF($S650="","",ROUND(IF($AQ650="",$S650,$AQ650)*IF($AX650="",1,$AX650),2))</f>
        <v/>
      </c>
      <c r="BB650">
        <f>IF($H650="","",IFERROR(INDEX('_ENGINE_Risk'!$AE$41:$AE$920,MATCH($E650,'_ENGINE_Risk'!$A$41:$A$920,0)),"Medium"))</f>
        <v/>
      </c>
      <c r="BC650">
        <f>IF($BB650="","",IF($BB650="Fast",1.25,IF($BB650="Slow",0.85,1)))</f>
        <v/>
      </c>
      <c r="BD650">
        <f>IF(OR($AZ650="",$BC650=""),"",ROUND($AZ650*$BC650,2))</f>
        <v/>
      </c>
      <c r="BF650">
        <f>IF(OR($H650="",$J650=""),"",_xlfn.IFNA(VLOOKUP($J650,_CONFIG_Model_Settings!$D$610:$E$614,2,0),""))</f>
        <v/>
      </c>
      <c r="BG650">
        <f>IF(OR($H650="",$K650=""),"",ROUND('Company Profile'!$B$569*INDEX(_CONFIG_Model_Settings!$H$610:$H$614,MATCH($K650,_CONFIG_Model_Settings!$G$610:$G$614,0)),0))</f>
        <v/>
      </c>
      <c r="BH650">
        <f>IF(OR($BF650="",$BG650=""),"",ROUND($BF650*$BG650,1))</f>
        <v/>
      </c>
      <c r="BI650">
        <f>IF($BH650="","",IF($AO650="",$BH650,ROUND($BH650*$AO650,1)))</f>
        <v/>
      </c>
      <c r="BJ650">
        <f>IF($E650="","",IFERROR(VLOOKUP($C650,'_CONFIG_Risk_Calibration'!$A$5:$H$21,2,FALSE),3))</f>
        <v/>
      </c>
      <c r="BK650">
        <f>IF($E650="","",IFERROR(VLOOKUP($C650,'_CONFIG_Risk_Calibration'!$A$5:$H$21,3,FALSE),0))</f>
        <v/>
      </c>
      <c r="BL650">
        <f>IF($E650="","",IFERROR(VLOOKUP($C650,'_CONFIG_Risk_Calibration'!$A$5:$H$21,4,FALSE),3))</f>
        <v/>
      </c>
      <c r="BM650">
        <f>IF($E650="","",IFERROR(VLOOKUP($C650,'_CONFIG_Risk_Calibration'!$A$5:$H$21,5,FALSE),3))</f>
        <v/>
      </c>
      <c r="BN650">
        <f>IF($E650="","",IFERROR(VLOOKUP($C650,'_CONFIG_Risk_Calibration'!$A$5:$H$21,6,FALSE),"No"))</f>
        <v/>
      </c>
      <c r="BO650">
        <f>IF($E650="","",IFERROR(VLOOKUP($C650,'_CONFIG_Risk_Calibration'!$A$5:$H$21,7,FALSE),1))</f>
        <v/>
      </c>
      <c r="BP650">
        <f>IF($H650="","",MAX(1,MIN(5,((6-$H650)*0.45)+($BJ650*0.20)+('Resilience &amp; Risk Scenario'!$B$7*0.15)+($BK650*0.10)+($BL650*0.05)+(IF($BB650="Fast",5,IF($BB650="Slow",1,3))*0.05))))</f>
        <v/>
      </c>
      <c r="BQ650">
        <f>IF($H650="","",MAX(IF($BN650="Yes",$BO650,1),MIN(5,($U650*0.20)+($V650*0.15)+($W650*0.25)+($X650*0.15)+($BJ650*0.10)+($BM650*0.15))))</f>
        <v/>
      </c>
      <c r="BR650">
        <f>IF(OR($BP650="",$BQ650=""),"",ROUND($BP650*$BQ650,2))</f>
        <v/>
      </c>
      <c r="BS650">
        <f>IF($BR650="","",ROUND($BR650*IF($AO650="",1,$AO650)*IF($AX650="",1,$AX650)*(1+(($BM650-3)*0.10))*IF($BC650="",1,$BC650),2))</f>
        <v/>
      </c>
    </row>
    <row r="651" ht="69.90000000000001" customHeight="1" s="209">
      <c r="A651">
        <f>IF($BD651="","",SUMPRODUCT(ISNUMBER($BD$500:$BD$923)*($BD$500:$BD$923&gt;$BD651))+COUNTIF($BD$500:$BD651,$BD651))</f>
        <v/>
      </c>
      <c r="B651">
        <f>IF($H651="","",IF($H651&lt;5,"Yes","Maintain"))</f>
        <v/>
      </c>
      <c r="C651" t="inlineStr">
        <is>
          <t>Physical Safety</t>
        </is>
      </c>
      <c r="D651" t="inlineStr">
        <is>
          <t>Facilities and access</t>
        </is>
      </c>
      <c r="E651" t="inlineStr">
        <is>
          <t>PHYS-012</t>
        </is>
      </c>
      <c r="F651" t="inlineStr">
        <is>
          <t>Physical safety, security and facility resilience</t>
        </is>
      </c>
      <c r="G651">
        <f>IF($H651="","",IFERROR(INDEX('_ENGINE_Risk'!$H$41:$M$920,MATCH($E651,'_ENGINE_Risk'!$A$41:$A$920,0),$H651+1),""))</f>
        <v/>
      </c>
      <c r="H651">
        <f>IFERROR(VALUE(INDEX(_DATA_Assessment_Model!$H$5:$H$884,MATCH($E651,_DATA_Assessment_Model!$A$5:$A$884,0))),"")</f>
        <v/>
      </c>
      <c r="I651">
        <f>IF($H651="","",IFERROR(INDEX(_DATA_Assessment_Model!$L$5:$L$884,MATCH($E651,_DATA_Assessment_Model!$A$5:$A$884,0)),IF($H651&lt;=1,"Critical",IF($H651=2,"High",IF($H651=3,"Medium",IF($H651=4,"Low","Resilient"))))))</f>
        <v/>
      </c>
      <c r="J651">
        <f>IF($H651="","",MIN(5,MAX(1,6-$H651)))</f>
        <v/>
      </c>
      <c r="K651">
        <f>IF($H651="","",MAX(1,MIN(5,ROUNDUP(($U651*0.45)+($W651*0.35)+($X651*0.2),0))))</f>
        <v/>
      </c>
      <c r="L651">
        <f>IF($H651="","",$J651*$K651)</f>
        <v/>
      </c>
      <c r="M651">
        <f>IF($H651="","",MAX(1,MIN(5,ROUNDUP($L651/5,0))))</f>
        <v/>
      </c>
      <c r="N651">
        <f>IF($H651="","",IFERROR(INDEX('_ENGINE_Risk'!$T$41:$Y$920,MATCH($E651,'_ENGINE_Risk'!$A$41:$A$920,0),$H651+1),""))</f>
        <v/>
      </c>
      <c r="O651">
        <f>IF($H651="","",MAX(1,MIN(5,($U651+$V651+$X651)/3)))</f>
        <v/>
      </c>
      <c r="P651">
        <f>IF($H651="","",IF($I651="Critical",5,IF($I651="High",4,IF($I651="Medium",3,IF($I651="Low",2,1)))))</f>
        <v/>
      </c>
      <c r="Q651">
        <f>IF($H651="","",MAX(1,MIN(5,((5-$H651)*0.65)+($W651*0.35))))</f>
        <v/>
      </c>
      <c r="R651">
        <f>IF($H651="","",MAX(1,MIN(5,($V651+$X651)/2)))</f>
        <v/>
      </c>
      <c r="S651">
        <f>IF(OR($H651="",$N651=""),"",ROUND(($O651+$P651+$Q651+$R651)/$N651,2))</f>
        <v/>
      </c>
      <c r="T651">
        <f>IF($H651="","",IFERROR(INDEX('_ENGINE_Risk'!$N$41:$S$920,MATCH($E651,'_ENGINE_Risk'!$A$41:$A$920,0),$H651+1),""))</f>
        <v/>
      </c>
      <c r="U651">
        <f>IFERROR(INDEX(_DATA_Assessment_Model!$G$5:$G$884,MATCH($E651,_DATA_Assessment_Model!$A$5:$A$884,0)),"")</f>
        <v/>
      </c>
      <c r="V651">
        <f>IFERROR(INDEX(_DATA_Assessment_Model!$W$5:$W$884,MATCH($E651,_DATA_Assessment_Model!$A$5:$A$884,0)),"")</f>
        <v/>
      </c>
      <c r="W651">
        <f>IFERROR(INDEX(_DATA_Assessment_Model!$X$5:$X$884,MATCH($E651,_DATA_Assessment_Model!$A$5:$A$884,0)),"")</f>
        <v/>
      </c>
      <c r="X651">
        <f>IFERROR(INDEX(_DATA_Assessment_Model!$Y$5:$Y$884,MATCH($E651,_DATA_Assessment_Model!$A$5:$A$884,0)),"")</f>
        <v/>
      </c>
      <c r="Y651" t="inlineStr">
        <is>
          <t>Safety incident; Physical site loss; War/security crisis; Natural disaster</t>
        </is>
      </c>
      <c r="Z651" t="inlineStr">
        <is>
          <t>Facilities / Security / HSE</t>
        </is>
      </c>
      <c r="AA651" t="inlineStr">
        <is>
          <t>Policy/SOP; owner/RACI; system report; dashboard; contracts; test records; incident history; interview evidence related to physical asset protection against theft, sabotage, environmental damage and unauthorized access.</t>
        </is>
      </c>
      <c r="AB651">
        <f>IFERROR(INDEX(_DATA_Assessment_Model!$U$5:$U$884,MATCH($E651,_DATA_Assessment_Model!$A$5:$A$884,0)),"")</f>
        <v/>
      </c>
      <c r="AF651" t="inlineStr">
        <is>
          <t>How mature is the organization in managing physical asset protection against theft, sabotage, environmental damage and unauthorized access, including ownership, evidence, metrics, fallback procedures and crisis stress testing?</t>
        </is>
      </c>
      <c r="AO651">
        <f>IF($B651="Yes",IFERROR(INDEX(_ENGINE_Crisis!$F$501:$F$517,MATCH($C651,_ENGINE_Crisis!$A$501:$A$517,0)),1),"")</f>
        <v/>
      </c>
      <c r="AP651">
        <f>IF(AO651="","",ROUND($L651*AO651,1))</f>
        <v/>
      </c>
      <c r="AQ651">
        <f>IF(OR(AO651="",$S651=""),"",ROUND($S651*(0.7+0.3*AO651),2))</f>
        <v/>
      </c>
      <c r="AR651">
        <f>IFERROR(INDEX(_ENGINE_Crisis!$E$41:$E$700,MATCH('Resilience &amp; Risk Scenario'!$B$60&amp;"|"&amp;$C651,_ENGINE_Crisis!$I$41:$I$700,0)),"")</f>
        <v/>
      </c>
      <c r="AS651">
        <f>IFERROR(INDEX(_ENGINE_Crisis!$G$41:$G$700,MATCH('Resilience &amp; Risk Scenario'!$B$60&amp;"|"&amp;$C651,_ENGINE_Crisis!$I$41:$I$700,0)),"")</f>
        <v/>
      </c>
      <c r="AT651">
        <f>IFERROR(INDEX(_ENGINE_Initiatives!$A$5:$A$532,MATCH(1,INDEX((_ENGINE_Initiatives!$B$5:$B$532=$C651)*(_ENGINE_Initiatives!$C$5:$C$532=$D651),0),0)),"")</f>
        <v/>
      </c>
      <c r="AU651">
        <f>IFERROR(INDEX(_ENGINE_Initiatives!$F$5:$F$532,MATCH(1,INDEX((_ENGINE_Initiatives!$B$5:$B$532=$C651)*(_ENGINE_Initiatives!$C$5:$C$532=$D651),0),0)),"")</f>
        <v/>
      </c>
      <c r="AV651">
        <f>IFERROR(INDEX(_ENGINE_Initiatives!$AC$5:$AC$532,MATCH(1,INDEX((_ENGINE_Initiatives!$B$5:$B$532=$C651)*(_ENGINE_Initiatives!$C$5:$C$532=$D651),0),0)),"")</f>
        <v/>
      </c>
      <c r="AW651">
        <f>IFERROR(INDEX(_ENGINE_Initiatives!$AE$5:$AE$532,MATCH(1,INDEX((_ENGINE_Initiatives!$B$5:$B$532=$C651)*(_ENGINE_Initiatives!$C$5:$C$532=$D651),0),0)),"")</f>
        <v/>
      </c>
      <c r="AX651">
        <f>IF($B651="Yes",IFERROR(IF(SUMIFS(_REF_Model_Content!$E$1:$E$613,_REF_Model_Content!$A$1:$A$613,'Company Profile'!$B$9,_REF_Model_Content!$B$1:$B$613,$C651)=0,1,SUMIFS(_REF_Model_Content!$E$1:$E$613,_REF_Model_Content!$A$1:$A$613,'Company Profile'!$B$9,_REF_Model_Content!$B$1:$B$613,$C651)),1),"")</f>
        <v/>
      </c>
      <c r="AY651">
        <f>IF($L651="","",ROUND(IF($AP651="",$L651,$AP651)*IF($AX651="",1,$AX651),2))</f>
        <v/>
      </c>
      <c r="AZ651">
        <f>IF($S651="","",ROUND(IF($AQ651="",$S651,$AQ651)*IF($AX651="",1,$AX651),2))</f>
        <v/>
      </c>
      <c r="BB651">
        <f>IF($H651="","",IFERROR(INDEX('_ENGINE_Risk'!$AE$41:$AE$920,MATCH($E651,'_ENGINE_Risk'!$A$41:$A$920,0)),"Medium"))</f>
        <v/>
      </c>
      <c r="BC651">
        <f>IF($BB651="","",IF($BB651="Fast",1.25,IF($BB651="Slow",0.85,1)))</f>
        <v/>
      </c>
      <c r="BD651">
        <f>IF(OR($AZ651="",$BC651=""),"",ROUND($AZ651*$BC651,2))</f>
        <v/>
      </c>
      <c r="BF651">
        <f>IF(OR($H651="",$J651=""),"",_xlfn.IFNA(VLOOKUP($J651,_CONFIG_Model_Settings!$D$610:$E$614,2,0),""))</f>
        <v/>
      </c>
      <c r="BG651">
        <f>IF(OR($H651="",$K651=""),"",ROUND('Company Profile'!$B$569*INDEX(_CONFIG_Model_Settings!$H$610:$H$614,MATCH($K651,_CONFIG_Model_Settings!$G$610:$G$614,0)),0))</f>
        <v/>
      </c>
      <c r="BH651">
        <f>IF(OR($BF651="",$BG651=""),"",ROUND($BF651*$BG651,1))</f>
        <v/>
      </c>
      <c r="BI651">
        <f>IF($BH651="","",IF($AO651="",$BH651,ROUND($BH651*$AO651,1)))</f>
        <v/>
      </c>
      <c r="BJ651">
        <f>IF($E651="","",IFERROR(VLOOKUP($C651,'_CONFIG_Risk_Calibration'!$A$5:$H$21,2,FALSE),3))</f>
        <v/>
      </c>
      <c r="BK651">
        <f>IF($E651="","",IFERROR(VLOOKUP($C651,'_CONFIG_Risk_Calibration'!$A$5:$H$21,3,FALSE),0))</f>
        <v/>
      </c>
      <c r="BL651">
        <f>IF($E651="","",IFERROR(VLOOKUP($C651,'_CONFIG_Risk_Calibration'!$A$5:$H$21,4,FALSE),3))</f>
        <v/>
      </c>
      <c r="BM651">
        <f>IF($E651="","",IFERROR(VLOOKUP($C651,'_CONFIG_Risk_Calibration'!$A$5:$H$21,5,FALSE),3))</f>
        <v/>
      </c>
      <c r="BN651">
        <f>IF($E651="","",IFERROR(VLOOKUP($C651,'_CONFIG_Risk_Calibration'!$A$5:$H$21,6,FALSE),"No"))</f>
        <v/>
      </c>
      <c r="BO651">
        <f>IF($E651="","",IFERROR(VLOOKUP($C651,'_CONFIG_Risk_Calibration'!$A$5:$H$21,7,FALSE),1))</f>
        <v/>
      </c>
      <c r="BP651">
        <f>IF($H651="","",MAX(1,MIN(5,((6-$H651)*0.45)+($BJ651*0.20)+('Resilience &amp; Risk Scenario'!$B$7*0.15)+($BK651*0.10)+($BL651*0.05)+(IF($BB651="Fast",5,IF($BB651="Slow",1,3))*0.05))))</f>
        <v/>
      </c>
      <c r="BQ651">
        <f>IF($H651="","",MAX(IF($BN651="Yes",$BO651,1),MIN(5,($U651*0.20)+($V651*0.15)+($W651*0.25)+($X651*0.15)+($BJ651*0.10)+($BM651*0.15))))</f>
        <v/>
      </c>
      <c r="BR651">
        <f>IF(OR($BP651="",$BQ651=""),"",ROUND($BP651*$BQ651,2))</f>
        <v/>
      </c>
      <c r="BS651">
        <f>IF($BR651="","",ROUND($BR651*IF($AO651="",1,$AO651)*IF($AX651="",1,$AX651)*(1+(($BM651-3)*0.10))*IF($BC651="",1,$BC651),2))</f>
        <v/>
      </c>
    </row>
    <row r="652" ht="69.90000000000001" customHeight="1" s="209">
      <c r="A652">
        <f>IF($BD652="","",SUMPRODUCT(ISNUMBER($BD$500:$BD$923)*($BD$500:$BD$923&gt;$BD652))+COUNTIF($BD$500:$BD652,$BD652))</f>
        <v/>
      </c>
      <c r="B652">
        <f>IF($H652="","",IF($H652&lt;5,"Yes","Maintain"))</f>
        <v/>
      </c>
      <c r="C652" t="inlineStr">
        <is>
          <t>Physical Safety</t>
        </is>
      </c>
      <c r="D652" t="inlineStr">
        <is>
          <t>Emergency response</t>
        </is>
      </c>
      <c r="E652" t="inlineStr">
        <is>
          <t>PHYS-013</t>
        </is>
      </c>
      <c r="F652" t="inlineStr">
        <is>
          <t>Physical safety, security and facility resilience</t>
        </is>
      </c>
      <c r="G652">
        <f>IF($H652="","",IFERROR(INDEX('_ENGINE_Risk'!$H$41:$M$920,MATCH($E652,'_ENGINE_Risk'!$A$41:$A$920,0),$H652+1),""))</f>
        <v/>
      </c>
      <c r="H652">
        <f>IFERROR(VALUE(INDEX(_DATA_Assessment_Model!$H$5:$H$884,MATCH($E652,_DATA_Assessment_Model!$A$5:$A$884,0))),"")</f>
        <v/>
      </c>
      <c r="I652">
        <f>IF($H652="","",IFERROR(INDEX(_DATA_Assessment_Model!$L$5:$L$884,MATCH($E652,_DATA_Assessment_Model!$A$5:$A$884,0)),IF($H652&lt;=1,"Critical",IF($H652=2,"High",IF($H652=3,"Medium",IF($H652=4,"Low","Resilient"))))))</f>
        <v/>
      </c>
      <c r="J652">
        <f>IF($H652="","",MIN(5,MAX(1,6-$H652)))</f>
        <v/>
      </c>
      <c r="K652">
        <f>IF($H652="","",MAX(1,MIN(5,ROUNDUP(($U652*0.45)+($W652*0.35)+($X652*0.2),0))))</f>
        <v/>
      </c>
      <c r="L652">
        <f>IF($H652="","",$J652*$K652)</f>
        <v/>
      </c>
      <c r="M652">
        <f>IF($H652="","",MAX(1,MIN(5,ROUNDUP($L652/5,0))))</f>
        <v/>
      </c>
      <c r="N652">
        <f>IF($H652="","",IFERROR(INDEX('_ENGINE_Risk'!$T$41:$Y$920,MATCH($E652,'_ENGINE_Risk'!$A$41:$A$920,0),$H652+1),""))</f>
        <v/>
      </c>
      <c r="O652">
        <f>IF($H652="","",MAX(1,MIN(5,($U652+$V652+$X652)/3)))</f>
        <v/>
      </c>
      <c r="P652">
        <f>IF($H652="","",IF($I652="Critical",5,IF($I652="High",4,IF($I652="Medium",3,IF($I652="Low",2,1)))))</f>
        <v/>
      </c>
      <c r="Q652">
        <f>IF($H652="","",MAX(1,MIN(5,((5-$H652)*0.65)+($W652*0.35))))</f>
        <v/>
      </c>
      <c r="R652">
        <f>IF($H652="","",MAX(1,MIN(5,($V652+$X652)/2)))</f>
        <v/>
      </c>
      <c r="S652">
        <f>IF(OR($H652="",$N652=""),"",ROUND(($O652+$P652+$Q652+$R652)/$N652,2))</f>
        <v/>
      </c>
      <c r="T652">
        <f>IF($H652="","",IFERROR(INDEX('_ENGINE_Risk'!$N$41:$S$920,MATCH($E652,'_ENGINE_Risk'!$A$41:$A$920,0),$H652+1),""))</f>
        <v/>
      </c>
      <c r="U652">
        <f>IFERROR(INDEX(_DATA_Assessment_Model!$G$5:$G$884,MATCH($E652,_DATA_Assessment_Model!$A$5:$A$884,0)),"")</f>
        <v/>
      </c>
      <c r="V652">
        <f>IFERROR(INDEX(_DATA_Assessment_Model!$W$5:$W$884,MATCH($E652,_DATA_Assessment_Model!$A$5:$A$884,0)),"")</f>
        <v/>
      </c>
      <c r="W652">
        <f>IFERROR(INDEX(_DATA_Assessment_Model!$X$5:$X$884,MATCH($E652,_DATA_Assessment_Model!$A$5:$A$884,0)),"")</f>
        <v/>
      </c>
      <c r="X652">
        <f>IFERROR(INDEX(_DATA_Assessment_Model!$Y$5:$Y$884,MATCH($E652,_DATA_Assessment_Model!$A$5:$A$884,0)),"")</f>
        <v/>
      </c>
      <c r="Y652" t="inlineStr">
        <is>
          <t>Safety incident; Physical site loss; War/security crisis; Natural disaster</t>
        </is>
      </c>
      <c r="Z652" t="inlineStr">
        <is>
          <t>Facilities / Security / HSE</t>
        </is>
      </c>
      <c r="AA652" t="inlineStr">
        <is>
          <t>Policy/SOP; owner/RACI; system report; dashboard; contracts; test records; incident history; interview evidence related to emergency response plans for fire, medical emergency, violence, bomb threat, shelling, evacuation, shelter-in-place and utility failure.</t>
        </is>
      </c>
      <c r="AB652">
        <f>IFERROR(INDEX(_DATA_Assessment_Model!$U$5:$U$884,MATCH($E652,_DATA_Assessment_Model!$A$5:$A$884,0)),"")</f>
        <v/>
      </c>
      <c r="AF652" t="inlineStr">
        <is>
          <t>How mature is the organization in managing emergency response plans for fire, medical emergency, violence, bomb threat, shelling, evacuation, shelter-in-place and utility failure, including ownership, evidence, metrics, fallback procedures and crisis stress testing?</t>
        </is>
      </c>
      <c r="AO652">
        <f>IF($B652="Yes",IFERROR(INDEX(_ENGINE_Crisis!$F$501:$F$517,MATCH($C652,_ENGINE_Crisis!$A$501:$A$517,0)),1),"")</f>
        <v/>
      </c>
      <c r="AP652">
        <f>IF(AO652="","",ROUND($L652*AO652,1))</f>
        <v/>
      </c>
      <c r="AQ652">
        <f>IF(OR(AO652="",$S652=""),"",ROUND($S652*(0.7+0.3*AO652),2))</f>
        <v/>
      </c>
      <c r="AR652">
        <f>IFERROR(INDEX(_ENGINE_Crisis!$E$41:$E$700,MATCH('Resilience &amp; Risk Scenario'!$B$60&amp;"|"&amp;$C652,_ENGINE_Crisis!$I$41:$I$700,0)),"")</f>
        <v/>
      </c>
      <c r="AS652">
        <f>IFERROR(INDEX(_ENGINE_Crisis!$G$41:$G$700,MATCH('Resilience &amp; Risk Scenario'!$B$60&amp;"|"&amp;$C652,_ENGINE_Crisis!$I$41:$I$700,0)),"")</f>
        <v/>
      </c>
      <c r="AT652">
        <f>IFERROR(INDEX(_ENGINE_Initiatives!$A$5:$A$532,MATCH(1,INDEX((_ENGINE_Initiatives!$B$5:$B$532=$C652)*(_ENGINE_Initiatives!$C$5:$C$532=$D652),0),0)),"")</f>
        <v/>
      </c>
      <c r="AU652">
        <f>IFERROR(INDEX(_ENGINE_Initiatives!$F$5:$F$532,MATCH(1,INDEX((_ENGINE_Initiatives!$B$5:$B$532=$C652)*(_ENGINE_Initiatives!$C$5:$C$532=$D652),0),0)),"")</f>
        <v/>
      </c>
      <c r="AV652">
        <f>IFERROR(INDEX(_ENGINE_Initiatives!$AC$5:$AC$532,MATCH(1,INDEX((_ENGINE_Initiatives!$B$5:$B$532=$C652)*(_ENGINE_Initiatives!$C$5:$C$532=$D652),0),0)),"")</f>
        <v/>
      </c>
      <c r="AW652">
        <f>IFERROR(INDEX(_ENGINE_Initiatives!$AE$5:$AE$532,MATCH(1,INDEX((_ENGINE_Initiatives!$B$5:$B$532=$C652)*(_ENGINE_Initiatives!$C$5:$C$532=$D652),0),0)),"")</f>
        <v/>
      </c>
      <c r="AX652">
        <f>IF($B652="Yes",IFERROR(IF(SUMIFS(_REF_Model_Content!$E$1:$E$613,_REF_Model_Content!$A$1:$A$613,'Company Profile'!$B$9,_REF_Model_Content!$B$1:$B$613,$C652)=0,1,SUMIFS(_REF_Model_Content!$E$1:$E$613,_REF_Model_Content!$A$1:$A$613,'Company Profile'!$B$9,_REF_Model_Content!$B$1:$B$613,$C652)),1),"")</f>
        <v/>
      </c>
      <c r="AY652">
        <f>IF($L652="","",ROUND(IF($AP652="",$L652,$AP652)*IF($AX652="",1,$AX652),2))</f>
        <v/>
      </c>
      <c r="AZ652">
        <f>IF($S652="","",ROUND(IF($AQ652="",$S652,$AQ652)*IF($AX652="",1,$AX652),2))</f>
        <v/>
      </c>
      <c r="BB652">
        <f>IF($H652="","",IFERROR(INDEX('_ENGINE_Risk'!$AE$41:$AE$920,MATCH($E652,'_ENGINE_Risk'!$A$41:$A$920,0)),"Medium"))</f>
        <v/>
      </c>
      <c r="BC652">
        <f>IF($BB652="","",IF($BB652="Fast",1.25,IF($BB652="Slow",0.85,1)))</f>
        <v/>
      </c>
      <c r="BD652">
        <f>IF(OR($AZ652="",$BC652=""),"",ROUND($AZ652*$BC652,2))</f>
        <v/>
      </c>
      <c r="BF652">
        <f>IF(OR($H652="",$J652=""),"",_xlfn.IFNA(VLOOKUP($J652,_CONFIG_Model_Settings!$D$610:$E$614,2,0),""))</f>
        <v/>
      </c>
      <c r="BG652">
        <f>IF(OR($H652="",$K652=""),"",ROUND('Company Profile'!$B$569*INDEX(_CONFIG_Model_Settings!$H$610:$H$614,MATCH($K652,_CONFIG_Model_Settings!$G$610:$G$614,0)),0))</f>
        <v/>
      </c>
      <c r="BH652">
        <f>IF(OR($BF652="",$BG652=""),"",ROUND($BF652*$BG652,1))</f>
        <v/>
      </c>
      <c r="BI652">
        <f>IF($BH652="","",IF($AO652="",$BH652,ROUND($BH652*$AO652,1)))</f>
        <v/>
      </c>
      <c r="BJ652">
        <f>IF($E652="","",IFERROR(VLOOKUP($C652,'_CONFIG_Risk_Calibration'!$A$5:$H$21,2,FALSE),3))</f>
        <v/>
      </c>
      <c r="BK652">
        <f>IF($E652="","",IFERROR(VLOOKUP($C652,'_CONFIG_Risk_Calibration'!$A$5:$H$21,3,FALSE),0))</f>
        <v/>
      </c>
      <c r="BL652">
        <f>IF($E652="","",IFERROR(VLOOKUP($C652,'_CONFIG_Risk_Calibration'!$A$5:$H$21,4,FALSE),3))</f>
        <v/>
      </c>
      <c r="BM652">
        <f>IF($E652="","",IFERROR(VLOOKUP($C652,'_CONFIG_Risk_Calibration'!$A$5:$H$21,5,FALSE),3))</f>
        <v/>
      </c>
      <c r="BN652">
        <f>IF($E652="","",IFERROR(VLOOKUP($C652,'_CONFIG_Risk_Calibration'!$A$5:$H$21,6,FALSE),"No"))</f>
        <v/>
      </c>
      <c r="BO652">
        <f>IF($E652="","",IFERROR(VLOOKUP($C652,'_CONFIG_Risk_Calibration'!$A$5:$H$21,7,FALSE),1))</f>
        <v/>
      </c>
      <c r="BP652">
        <f>IF($H652="","",MAX(1,MIN(5,((6-$H652)*0.45)+($BJ652*0.20)+('Resilience &amp; Risk Scenario'!$B$7*0.15)+($BK652*0.10)+($BL652*0.05)+(IF($BB652="Fast",5,IF($BB652="Slow",1,3))*0.05))))</f>
        <v/>
      </c>
      <c r="BQ652">
        <f>IF($H652="","",MAX(IF($BN652="Yes",$BO652,1),MIN(5,($U652*0.20)+($V652*0.15)+($W652*0.25)+($X652*0.15)+($BJ652*0.10)+($BM652*0.15))))</f>
        <v/>
      </c>
      <c r="BR652">
        <f>IF(OR($BP652="",$BQ652=""),"",ROUND($BP652*$BQ652,2))</f>
        <v/>
      </c>
      <c r="BS652">
        <f>IF($BR652="","",ROUND($BR652*IF($AO652="",1,$AO652)*IF($AX652="",1,$AX652)*(1+(($BM652-3)*0.10))*IF($BC652="",1,$BC652),2))</f>
        <v/>
      </c>
    </row>
    <row r="653" ht="69.90000000000001" customHeight="1" s="209">
      <c r="A653">
        <f>IF($BD653="","",SUMPRODUCT(ISNUMBER($BD$500:$BD$923)*($BD$500:$BD$923&gt;$BD653))+COUNTIF($BD$500:$BD653,$BD653))</f>
        <v/>
      </c>
      <c r="B653">
        <f>IF($H653="","",IF($H653&lt;5,"Yes","Maintain"))</f>
        <v/>
      </c>
      <c r="C653" t="inlineStr">
        <is>
          <t>Physical Safety</t>
        </is>
      </c>
      <c r="D653" t="inlineStr">
        <is>
          <t>Emergency response</t>
        </is>
      </c>
      <c r="E653" t="inlineStr">
        <is>
          <t>PHYS-014</t>
        </is>
      </c>
      <c r="F653" t="inlineStr">
        <is>
          <t>Physical safety, security and facility resilience</t>
        </is>
      </c>
      <c r="G653">
        <f>IF($H653="","",IFERROR(INDEX('_ENGINE_Risk'!$H$41:$M$920,MATCH($E653,'_ENGINE_Risk'!$A$41:$A$920,0),$H653+1),""))</f>
        <v/>
      </c>
      <c r="H653">
        <f>IFERROR(VALUE(INDEX(_DATA_Assessment_Model!$H$5:$H$884,MATCH($E653,_DATA_Assessment_Model!$A$5:$A$884,0))),"")</f>
        <v/>
      </c>
      <c r="I653">
        <f>IF($H653="","",IFERROR(INDEX(_DATA_Assessment_Model!$L$5:$L$884,MATCH($E653,_DATA_Assessment_Model!$A$5:$A$884,0)),IF($H653&lt;=1,"Critical",IF($H653=2,"High",IF($H653=3,"Medium",IF($H653=4,"Low","Resilient"))))))</f>
        <v/>
      </c>
      <c r="J653">
        <f>IF($H653="","",MIN(5,MAX(1,6-$H653)))</f>
        <v/>
      </c>
      <c r="K653">
        <f>IF($H653="","",MAX(1,MIN(5,ROUNDUP(($U653*0.45)+($W653*0.35)+($X653*0.2),0))))</f>
        <v/>
      </c>
      <c r="L653">
        <f>IF($H653="","",$J653*$K653)</f>
        <v/>
      </c>
      <c r="M653">
        <f>IF($H653="","",MAX(1,MIN(5,ROUNDUP($L653/5,0))))</f>
        <v/>
      </c>
      <c r="N653">
        <f>IF($H653="","",IFERROR(INDEX('_ENGINE_Risk'!$T$41:$Y$920,MATCH($E653,'_ENGINE_Risk'!$A$41:$A$920,0),$H653+1),""))</f>
        <v/>
      </c>
      <c r="O653">
        <f>IF($H653="","",MAX(1,MIN(5,($U653+$V653+$X653)/3)))</f>
        <v/>
      </c>
      <c r="P653">
        <f>IF($H653="","",IF($I653="Critical",5,IF($I653="High",4,IF($I653="Medium",3,IF($I653="Low",2,1)))))</f>
        <v/>
      </c>
      <c r="Q653">
        <f>IF($H653="","",MAX(1,MIN(5,((5-$H653)*0.65)+($W653*0.35))))</f>
        <v/>
      </c>
      <c r="R653">
        <f>IF($H653="","",MAX(1,MIN(5,($V653+$X653)/2)))</f>
        <v/>
      </c>
      <c r="S653">
        <f>IF(OR($H653="",$N653=""),"",ROUND(($O653+$P653+$Q653+$R653)/$N653,2))</f>
        <v/>
      </c>
      <c r="T653">
        <f>IF($H653="","",IFERROR(INDEX('_ENGINE_Risk'!$N$41:$S$920,MATCH($E653,'_ENGINE_Risk'!$A$41:$A$920,0),$H653+1),""))</f>
        <v/>
      </c>
      <c r="U653">
        <f>IFERROR(INDEX(_DATA_Assessment_Model!$G$5:$G$884,MATCH($E653,_DATA_Assessment_Model!$A$5:$A$884,0)),"")</f>
        <v/>
      </c>
      <c r="V653">
        <f>IFERROR(INDEX(_DATA_Assessment_Model!$W$5:$W$884,MATCH($E653,_DATA_Assessment_Model!$A$5:$A$884,0)),"")</f>
        <v/>
      </c>
      <c r="W653">
        <f>IFERROR(INDEX(_DATA_Assessment_Model!$X$5:$X$884,MATCH($E653,_DATA_Assessment_Model!$A$5:$A$884,0)),"")</f>
        <v/>
      </c>
      <c r="X653">
        <f>IFERROR(INDEX(_DATA_Assessment_Model!$Y$5:$Y$884,MATCH($E653,_DATA_Assessment_Model!$A$5:$A$884,0)),"")</f>
        <v/>
      </c>
      <c r="Y653" t="inlineStr">
        <is>
          <t>Safety incident; Physical site loss; War/security crisis; Natural disaster</t>
        </is>
      </c>
      <c r="Z653" t="inlineStr">
        <is>
          <t>Facilities / Security / HSE</t>
        </is>
      </c>
      <c r="AA653" t="inlineStr">
        <is>
          <t>Policy/SOP; owner/RACI; system report; dashboard; contracts; test records; incident history; interview evidence related to evacuation and shelter drills with attendance, outcomes and corrective actions.</t>
        </is>
      </c>
      <c r="AB653">
        <f>IFERROR(INDEX(_DATA_Assessment_Model!$U$5:$U$884,MATCH($E653,_DATA_Assessment_Model!$A$5:$A$884,0)),"")</f>
        <v/>
      </c>
      <c r="AF653" t="inlineStr">
        <is>
          <t>How mature is the organization in managing evacuation and shelter drills with attendance, outcomes and corrective actions, including ownership, evidence, metrics, fallback procedures and crisis stress testing?</t>
        </is>
      </c>
      <c r="AO653">
        <f>IF($B653="Yes",IFERROR(INDEX(_ENGINE_Crisis!$F$501:$F$517,MATCH($C653,_ENGINE_Crisis!$A$501:$A$517,0)),1),"")</f>
        <v/>
      </c>
      <c r="AP653">
        <f>IF(AO653="","",ROUND($L653*AO653,1))</f>
        <v/>
      </c>
      <c r="AQ653">
        <f>IF(OR(AO653="",$S653=""),"",ROUND($S653*(0.7+0.3*AO653),2))</f>
        <v/>
      </c>
      <c r="AR653">
        <f>IFERROR(INDEX(_ENGINE_Crisis!$E$41:$E$700,MATCH('Resilience &amp; Risk Scenario'!$B$60&amp;"|"&amp;$C653,_ENGINE_Crisis!$I$41:$I$700,0)),"")</f>
        <v/>
      </c>
      <c r="AS653">
        <f>IFERROR(INDEX(_ENGINE_Crisis!$G$41:$G$700,MATCH('Resilience &amp; Risk Scenario'!$B$60&amp;"|"&amp;$C653,_ENGINE_Crisis!$I$41:$I$700,0)),"")</f>
        <v/>
      </c>
      <c r="AT653">
        <f>IFERROR(INDEX(_ENGINE_Initiatives!$A$5:$A$532,MATCH(1,INDEX((_ENGINE_Initiatives!$B$5:$B$532=$C653)*(_ENGINE_Initiatives!$C$5:$C$532=$D653),0),0)),"")</f>
        <v/>
      </c>
      <c r="AU653">
        <f>IFERROR(INDEX(_ENGINE_Initiatives!$F$5:$F$532,MATCH(1,INDEX((_ENGINE_Initiatives!$B$5:$B$532=$C653)*(_ENGINE_Initiatives!$C$5:$C$532=$D653),0),0)),"")</f>
        <v/>
      </c>
      <c r="AV653">
        <f>IFERROR(INDEX(_ENGINE_Initiatives!$AC$5:$AC$532,MATCH(1,INDEX((_ENGINE_Initiatives!$B$5:$B$532=$C653)*(_ENGINE_Initiatives!$C$5:$C$532=$D653),0),0)),"")</f>
        <v/>
      </c>
      <c r="AW653">
        <f>IFERROR(INDEX(_ENGINE_Initiatives!$AE$5:$AE$532,MATCH(1,INDEX((_ENGINE_Initiatives!$B$5:$B$532=$C653)*(_ENGINE_Initiatives!$C$5:$C$532=$D653),0),0)),"")</f>
        <v/>
      </c>
      <c r="AX653">
        <f>IF($B653="Yes",IFERROR(IF(SUMIFS(_REF_Model_Content!$E$1:$E$613,_REF_Model_Content!$A$1:$A$613,'Company Profile'!$B$9,_REF_Model_Content!$B$1:$B$613,$C653)=0,1,SUMIFS(_REF_Model_Content!$E$1:$E$613,_REF_Model_Content!$A$1:$A$613,'Company Profile'!$B$9,_REF_Model_Content!$B$1:$B$613,$C653)),1),"")</f>
        <v/>
      </c>
      <c r="AY653">
        <f>IF($L653="","",ROUND(IF($AP653="",$L653,$AP653)*IF($AX653="",1,$AX653),2))</f>
        <v/>
      </c>
      <c r="AZ653">
        <f>IF($S653="","",ROUND(IF($AQ653="",$S653,$AQ653)*IF($AX653="",1,$AX653),2))</f>
        <v/>
      </c>
      <c r="BB653">
        <f>IF($H653="","",IFERROR(INDEX('_ENGINE_Risk'!$AE$41:$AE$920,MATCH($E653,'_ENGINE_Risk'!$A$41:$A$920,0)),"Medium"))</f>
        <v/>
      </c>
      <c r="BC653">
        <f>IF($BB653="","",IF($BB653="Fast",1.25,IF($BB653="Slow",0.85,1)))</f>
        <v/>
      </c>
      <c r="BD653">
        <f>IF(OR($AZ653="",$BC653=""),"",ROUND($AZ653*$BC653,2))</f>
        <v/>
      </c>
      <c r="BF653">
        <f>IF(OR($H653="",$J653=""),"",_xlfn.IFNA(VLOOKUP($J653,_CONFIG_Model_Settings!$D$610:$E$614,2,0),""))</f>
        <v/>
      </c>
      <c r="BG653">
        <f>IF(OR($H653="",$K653=""),"",ROUND('Company Profile'!$B$569*INDEX(_CONFIG_Model_Settings!$H$610:$H$614,MATCH($K653,_CONFIG_Model_Settings!$G$610:$G$614,0)),0))</f>
        <v/>
      </c>
      <c r="BH653">
        <f>IF(OR($BF653="",$BG653=""),"",ROUND($BF653*$BG653,1))</f>
        <v/>
      </c>
      <c r="BI653">
        <f>IF($BH653="","",IF($AO653="",$BH653,ROUND($BH653*$AO653,1)))</f>
        <v/>
      </c>
      <c r="BJ653">
        <f>IF($E653="","",IFERROR(VLOOKUP($C653,'_CONFIG_Risk_Calibration'!$A$5:$H$21,2,FALSE),3))</f>
        <v/>
      </c>
      <c r="BK653">
        <f>IF($E653="","",IFERROR(VLOOKUP($C653,'_CONFIG_Risk_Calibration'!$A$5:$H$21,3,FALSE),0))</f>
        <v/>
      </c>
      <c r="BL653">
        <f>IF($E653="","",IFERROR(VLOOKUP($C653,'_CONFIG_Risk_Calibration'!$A$5:$H$21,4,FALSE),3))</f>
        <v/>
      </c>
      <c r="BM653">
        <f>IF($E653="","",IFERROR(VLOOKUP($C653,'_CONFIG_Risk_Calibration'!$A$5:$H$21,5,FALSE),3))</f>
        <v/>
      </c>
      <c r="BN653">
        <f>IF($E653="","",IFERROR(VLOOKUP($C653,'_CONFIG_Risk_Calibration'!$A$5:$H$21,6,FALSE),"No"))</f>
        <v/>
      </c>
      <c r="BO653">
        <f>IF($E653="","",IFERROR(VLOOKUP($C653,'_CONFIG_Risk_Calibration'!$A$5:$H$21,7,FALSE),1))</f>
        <v/>
      </c>
      <c r="BP653">
        <f>IF($H653="","",MAX(1,MIN(5,((6-$H653)*0.45)+($BJ653*0.20)+('Resilience &amp; Risk Scenario'!$B$7*0.15)+($BK653*0.10)+($BL653*0.05)+(IF($BB653="Fast",5,IF($BB653="Slow",1,3))*0.05))))</f>
        <v/>
      </c>
      <c r="BQ653">
        <f>IF($H653="","",MAX(IF($BN653="Yes",$BO653,1),MIN(5,($U653*0.20)+($V653*0.15)+($W653*0.25)+($X653*0.15)+($BJ653*0.10)+($BM653*0.15))))</f>
        <v/>
      </c>
      <c r="BR653">
        <f>IF(OR($BP653="",$BQ653=""),"",ROUND($BP653*$BQ653,2))</f>
        <v/>
      </c>
      <c r="BS653">
        <f>IF($BR653="","",ROUND($BR653*IF($AO653="",1,$AO653)*IF($AX653="",1,$AX653)*(1+(($BM653-3)*0.10))*IF($BC653="",1,$BC653),2))</f>
        <v/>
      </c>
    </row>
    <row r="654" ht="69.90000000000001" customHeight="1" s="209">
      <c r="A654">
        <f>IF($BD654="","",SUMPRODUCT(ISNUMBER($BD$500:$BD$923)*($BD$500:$BD$923&gt;$BD654))+COUNTIF($BD$500:$BD654,$BD654))</f>
        <v/>
      </c>
      <c r="B654">
        <f>IF($H654="","",IF($H654&lt;5,"Yes","Maintain"))</f>
        <v/>
      </c>
      <c r="C654" t="inlineStr">
        <is>
          <t>Physical Safety</t>
        </is>
      </c>
      <c r="D654" t="inlineStr">
        <is>
          <t>Emergency response</t>
        </is>
      </c>
      <c r="E654" t="inlineStr">
        <is>
          <t>PHYS-015</t>
        </is>
      </c>
      <c r="F654" t="inlineStr">
        <is>
          <t>Physical safety, security and facility resilience</t>
        </is>
      </c>
      <c r="G654">
        <f>IF($H654="","",IFERROR(INDEX('_ENGINE_Risk'!$H$41:$M$920,MATCH($E654,'_ENGINE_Risk'!$A$41:$A$920,0),$H654+1),""))</f>
        <v/>
      </c>
      <c r="H654">
        <f>IFERROR(VALUE(INDEX(_DATA_Assessment_Model!$H$5:$H$884,MATCH($E654,_DATA_Assessment_Model!$A$5:$A$884,0))),"")</f>
        <v/>
      </c>
      <c r="I654">
        <f>IF($H654="","",IFERROR(INDEX(_DATA_Assessment_Model!$L$5:$L$884,MATCH($E654,_DATA_Assessment_Model!$A$5:$A$884,0)),IF($H654&lt;=1,"Critical",IF($H654=2,"High",IF($H654=3,"Medium",IF($H654=4,"Low","Resilient"))))))</f>
        <v/>
      </c>
      <c r="J654">
        <f>IF($H654="","",MIN(5,MAX(1,6-$H654)))</f>
        <v/>
      </c>
      <c r="K654">
        <f>IF($H654="","",MAX(1,MIN(5,ROUNDUP(($U654*0.45)+($W654*0.35)+($X654*0.2),0))))</f>
        <v/>
      </c>
      <c r="L654">
        <f>IF($H654="","",$J654*$K654)</f>
        <v/>
      </c>
      <c r="M654">
        <f>IF($H654="","",MAX(1,MIN(5,ROUNDUP($L654/5,0))))</f>
        <v/>
      </c>
      <c r="N654">
        <f>IF($H654="","",IFERROR(INDEX('_ENGINE_Risk'!$T$41:$Y$920,MATCH($E654,'_ENGINE_Risk'!$A$41:$A$920,0),$H654+1),""))</f>
        <v/>
      </c>
      <c r="O654">
        <f>IF($H654="","",MAX(1,MIN(5,($U654+$V654+$X654)/3)))</f>
        <v/>
      </c>
      <c r="P654">
        <f>IF($H654="","",IF($I654="Critical",5,IF($I654="High",4,IF($I654="Medium",3,IF($I654="Low",2,1)))))</f>
        <v/>
      </c>
      <c r="Q654">
        <f>IF($H654="","",MAX(1,MIN(5,((5-$H654)*0.65)+($W654*0.35))))</f>
        <v/>
      </c>
      <c r="R654">
        <f>IF($H654="","",MAX(1,MIN(5,($V654+$X654)/2)))</f>
        <v/>
      </c>
      <c r="S654">
        <f>IF(OR($H654="",$N654=""),"",ROUND(($O654+$P654+$Q654+$R654)/$N654,2))</f>
        <v/>
      </c>
      <c r="T654">
        <f>IF($H654="","",IFERROR(INDEX('_ENGINE_Risk'!$N$41:$S$920,MATCH($E654,'_ENGINE_Risk'!$A$41:$A$920,0),$H654+1),""))</f>
        <v/>
      </c>
      <c r="U654">
        <f>IFERROR(INDEX(_DATA_Assessment_Model!$G$5:$G$884,MATCH($E654,_DATA_Assessment_Model!$A$5:$A$884,0)),"")</f>
        <v/>
      </c>
      <c r="V654">
        <f>IFERROR(INDEX(_DATA_Assessment_Model!$W$5:$W$884,MATCH($E654,_DATA_Assessment_Model!$A$5:$A$884,0)),"")</f>
        <v/>
      </c>
      <c r="W654">
        <f>IFERROR(INDEX(_DATA_Assessment_Model!$X$5:$X$884,MATCH($E654,_DATA_Assessment_Model!$A$5:$A$884,0)),"")</f>
        <v/>
      </c>
      <c r="X654">
        <f>IFERROR(INDEX(_DATA_Assessment_Model!$Y$5:$Y$884,MATCH($E654,_DATA_Assessment_Model!$A$5:$A$884,0)),"")</f>
        <v/>
      </c>
      <c r="Y654" t="inlineStr">
        <is>
          <t>Safety incident; Physical site loss; War/security crisis; Natural disaster</t>
        </is>
      </c>
      <c r="Z654" t="inlineStr">
        <is>
          <t>Facilities / Security / HSE</t>
        </is>
      </c>
      <c r="AA654" t="inlineStr">
        <is>
          <t>Policy/SOP; owner/RACI; system report; dashboard; contracts; test records; incident history; interview evidence related to first aid readiness with trained responders, AEDs, medical contacts and first aid supplies.</t>
        </is>
      </c>
      <c r="AB654">
        <f>IFERROR(INDEX(_DATA_Assessment_Model!$U$5:$U$884,MATCH($E654,_DATA_Assessment_Model!$A$5:$A$884,0)),"")</f>
        <v/>
      </c>
      <c r="AF654" t="inlineStr">
        <is>
          <t>How mature is the organization in managing first aid readiness with trained responders, AEDs, medical contacts and first aid supplies, including ownership, evidence, metrics, fallback procedures and crisis stress testing?</t>
        </is>
      </c>
      <c r="AO654">
        <f>IF($B654="Yes",IFERROR(INDEX(_ENGINE_Crisis!$F$501:$F$517,MATCH($C654,_ENGINE_Crisis!$A$501:$A$517,0)),1),"")</f>
        <v/>
      </c>
      <c r="AP654">
        <f>IF(AO654="","",ROUND($L654*AO654,1))</f>
        <v/>
      </c>
      <c r="AQ654">
        <f>IF(OR(AO654="",$S654=""),"",ROUND($S654*(0.7+0.3*AO654),2))</f>
        <v/>
      </c>
      <c r="AR654">
        <f>IFERROR(INDEX(_ENGINE_Crisis!$E$41:$E$700,MATCH('Resilience &amp; Risk Scenario'!$B$60&amp;"|"&amp;$C654,_ENGINE_Crisis!$I$41:$I$700,0)),"")</f>
        <v/>
      </c>
      <c r="AS654">
        <f>IFERROR(INDEX(_ENGINE_Crisis!$G$41:$G$700,MATCH('Resilience &amp; Risk Scenario'!$B$60&amp;"|"&amp;$C654,_ENGINE_Crisis!$I$41:$I$700,0)),"")</f>
        <v/>
      </c>
      <c r="AT654">
        <f>IFERROR(INDEX(_ENGINE_Initiatives!$A$5:$A$532,MATCH(1,INDEX((_ENGINE_Initiatives!$B$5:$B$532=$C654)*(_ENGINE_Initiatives!$C$5:$C$532=$D654),0),0)),"")</f>
        <v/>
      </c>
      <c r="AU654">
        <f>IFERROR(INDEX(_ENGINE_Initiatives!$F$5:$F$532,MATCH(1,INDEX((_ENGINE_Initiatives!$B$5:$B$532=$C654)*(_ENGINE_Initiatives!$C$5:$C$532=$D654),0),0)),"")</f>
        <v/>
      </c>
      <c r="AV654">
        <f>IFERROR(INDEX(_ENGINE_Initiatives!$AC$5:$AC$532,MATCH(1,INDEX((_ENGINE_Initiatives!$B$5:$B$532=$C654)*(_ENGINE_Initiatives!$C$5:$C$532=$D654),0),0)),"")</f>
        <v/>
      </c>
      <c r="AW654">
        <f>IFERROR(INDEX(_ENGINE_Initiatives!$AE$5:$AE$532,MATCH(1,INDEX((_ENGINE_Initiatives!$B$5:$B$532=$C654)*(_ENGINE_Initiatives!$C$5:$C$532=$D654),0),0)),"")</f>
        <v/>
      </c>
      <c r="AX654">
        <f>IF($B654="Yes",IFERROR(IF(SUMIFS(_REF_Model_Content!$E$1:$E$613,_REF_Model_Content!$A$1:$A$613,'Company Profile'!$B$9,_REF_Model_Content!$B$1:$B$613,$C654)=0,1,SUMIFS(_REF_Model_Content!$E$1:$E$613,_REF_Model_Content!$A$1:$A$613,'Company Profile'!$B$9,_REF_Model_Content!$B$1:$B$613,$C654)),1),"")</f>
        <v/>
      </c>
      <c r="AY654">
        <f>IF($L654="","",ROUND(IF($AP654="",$L654,$AP654)*IF($AX654="",1,$AX654),2))</f>
        <v/>
      </c>
      <c r="AZ654">
        <f>IF($S654="","",ROUND(IF($AQ654="",$S654,$AQ654)*IF($AX654="",1,$AX654),2))</f>
        <v/>
      </c>
      <c r="BB654">
        <f>IF($H654="","",IFERROR(INDEX('_ENGINE_Risk'!$AE$41:$AE$920,MATCH($E654,'_ENGINE_Risk'!$A$41:$A$920,0)),"Medium"))</f>
        <v/>
      </c>
      <c r="BC654">
        <f>IF($BB654="","",IF($BB654="Fast",1.25,IF($BB654="Slow",0.85,1)))</f>
        <v/>
      </c>
      <c r="BD654">
        <f>IF(OR($AZ654="",$BC654=""),"",ROUND($AZ654*$BC654,2))</f>
        <v/>
      </c>
      <c r="BF654">
        <f>IF(OR($H654="",$J654=""),"",_xlfn.IFNA(VLOOKUP($J654,_CONFIG_Model_Settings!$D$610:$E$614,2,0),""))</f>
        <v/>
      </c>
      <c r="BG654">
        <f>IF(OR($H654="",$K654=""),"",ROUND('Company Profile'!$B$569*INDEX(_CONFIG_Model_Settings!$H$610:$H$614,MATCH($K654,_CONFIG_Model_Settings!$G$610:$G$614,0)),0))</f>
        <v/>
      </c>
      <c r="BH654">
        <f>IF(OR($BF654="",$BG654=""),"",ROUND($BF654*$BG654,1))</f>
        <v/>
      </c>
      <c r="BI654">
        <f>IF($BH654="","",IF($AO654="",$BH654,ROUND($BH654*$AO654,1)))</f>
        <v/>
      </c>
      <c r="BJ654">
        <f>IF($E654="","",IFERROR(VLOOKUP($C654,'_CONFIG_Risk_Calibration'!$A$5:$H$21,2,FALSE),3))</f>
        <v/>
      </c>
      <c r="BK654">
        <f>IF($E654="","",IFERROR(VLOOKUP($C654,'_CONFIG_Risk_Calibration'!$A$5:$H$21,3,FALSE),0))</f>
        <v/>
      </c>
      <c r="BL654">
        <f>IF($E654="","",IFERROR(VLOOKUP($C654,'_CONFIG_Risk_Calibration'!$A$5:$H$21,4,FALSE),3))</f>
        <v/>
      </c>
      <c r="BM654">
        <f>IF($E654="","",IFERROR(VLOOKUP($C654,'_CONFIG_Risk_Calibration'!$A$5:$H$21,5,FALSE),3))</f>
        <v/>
      </c>
      <c r="BN654">
        <f>IF($E654="","",IFERROR(VLOOKUP($C654,'_CONFIG_Risk_Calibration'!$A$5:$H$21,6,FALSE),"No"))</f>
        <v/>
      </c>
      <c r="BO654">
        <f>IF($E654="","",IFERROR(VLOOKUP($C654,'_CONFIG_Risk_Calibration'!$A$5:$H$21,7,FALSE),1))</f>
        <v/>
      </c>
      <c r="BP654">
        <f>IF($H654="","",MAX(1,MIN(5,((6-$H654)*0.45)+($BJ654*0.20)+('Resilience &amp; Risk Scenario'!$B$7*0.15)+($BK654*0.10)+($BL654*0.05)+(IF($BB654="Fast",5,IF($BB654="Slow",1,3))*0.05))))</f>
        <v/>
      </c>
      <c r="BQ654">
        <f>IF($H654="","",MAX(IF($BN654="Yes",$BO654,1),MIN(5,($U654*0.20)+($V654*0.15)+($W654*0.25)+($X654*0.15)+($BJ654*0.10)+($BM654*0.15))))</f>
        <v/>
      </c>
      <c r="BR654">
        <f>IF(OR($BP654="",$BQ654=""),"",ROUND($BP654*$BQ654,2))</f>
        <v/>
      </c>
      <c r="BS654">
        <f>IF($BR654="","",ROUND($BR654*IF($AO654="",1,$AO654)*IF($AX654="",1,$AX654)*(1+(($BM654-3)*0.10))*IF($BC654="",1,$BC654),2))</f>
        <v/>
      </c>
    </row>
    <row r="655" ht="69.90000000000001" customHeight="1" s="209">
      <c r="A655">
        <f>IF($BD655="","",SUMPRODUCT(ISNUMBER($BD$500:$BD$923)*($BD$500:$BD$923&gt;$BD655))+COUNTIF($BD$500:$BD655,$BD655))</f>
        <v/>
      </c>
      <c r="B655">
        <f>IF($H655="","",IF($H655&lt;5,"Yes","Maintain"))</f>
        <v/>
      </c>
      <c r="C655" t="inlineStr">
        <is>
          <t>Physical Safety</t>
        </is>
      </c>
      <c r="D655" t="inlineStr">
        <is>
          <t>Emergency response</t>
        </is>
      </c>
      <c r="E655" t="inlineStr">
        <is>
          <t>PHYS-016</t>
        </is>
      </c>
      <c r="F655" t="inlineStr">
        <is>
          <t>Physical safety, security and facility resilience</t>
        </is>
      </c>
      <c r="G655">
        <f>IF($H655="","",IFERROR(INDEX('_ENGINE_Risk'!$H$41:$M$920,MATCH($E655,'_ENGINE_Risk'!$A$41:$A$920,0),$H655+1),""))</f>
        <v/>
      </c>
      <c r="H655">
        <f>IFERROR(VALUE(INDEX(_DATA_Assessment_Model!$H$5:$H$884,MATCH($E655,_DATA_Assessment_Model!$A$5:$A$884,0))),"")</f>
        <v/>
      </c>
      <c r="I655">
        <f>IF($H655="","",IFERROR(INDEX(_DATA_Assessment_Model!$L$5:$L$884,MATCH($E655,_DATA_Assessment_Model!$A$5:$A$884,0)),IF($H655&lt;=1,"Critical",IF($H655=2,"High",IF($H655=3,"Medium",IF($H655=4,"Low","Resilient"))))))</f>
        <v/>
      </c>
      <c r="J655">
        <f>IF($H655="","",MIN(5,MAX(1,6-$H655)))</f>
        <v/>
      </c>
      <c r="K655">
        <f>IF($H655="","",MAX(1,MIN(5,ROUNDUP(($U655*0.45)+($W655*0.35)+($X655*0.2),0))))</f>
        <v/>
      </c>
      <c r="L655">
        <f>IF($H655="","",$J655*$K655)</f>
        <v/>
      </c>
      <c r="M655">
        <f>IF($H655="","",MAX(1,MIN(5,ROUNDUP($L655/5,0))))</f>
        <v/>
      </c>
      <c r="N655">
        <f>IF($H655="","",IFERROR(INDEX('_ENGINE_Risk'!$T$41:$Y$920,MATCH($E655,'_ENGINE_Risk'!$A$41:$A$920,0),$H655+1),""))</f>
        <v/>
      </c>
      <c r="O655">
        <f>IF($H655="","",MAX(1,MIN(5,($U655+$V655+$X655)/3)))</f>
        <v/>
      </c>
      <c r="P655">
        <f>IF($H655="","",IF($I655="Critical",5,IF($I655="High",4,IF($I655="Medium",3,IF($I655="Low",2,1)))))</f>
        <v/>
      </c>
      <c r="Q655">
        <f>IF($H655="","",MAX(1,MIN(5,((5-$H655)*0.65)+($W655*0.35))))</f>
        <v/>
      </c>
      <c r="R655">
        <f>IF($H655="","",MAX(1,MIN(5,($V655+$X655)/2)))</f>
        <v/>
      </c>
      <c r="S655">
        <f>IF(OR($H655="",$N655=""),"",ROUND(($O655+$P655+$Q655+$R655)/$N655,2))</f>
        <v/>
      </c>
      <c r="T655">
        <f>IF($H655="","",IFERROR(INDEX('_ENGINE_Risk'!$N$41:$S$920,MATCH($E655,'_ENGINE_Risk'!$A$41:$A$920,0),$H655+1),""))</f>
        <v/>
      </c>
      <c r="U655">
        <f>IFERROR(INDEX(_DATA_Assessment_Model!$G$5:$G$884,MATCH($E655,_DATA_Assessment_Model!$A$5:$A$884,0)),"")</f>
        <v/>
      </c>
      <c r="V655">
        <f>IFERROR(INDEX(_DATA_Assessment_Model!$W$5:$W$884,MATCH($E655,_DATA_Assessment_Model!$A$5:$A$884,0)),"")</f>
        <v/>
      </c>
      <c r="W655">
        <f>IFERROR(INDEX(_DATA_Assessment_Model!$X$5:$X$884,MATCH($E655,_DATA_Assessment_Model!$A$5:$A$884,0)),"")</f>
        <v/>
      </c>
      <c r="X655">
        <f>IFERROR(INDEX(_DATA_Assessment_Model!$Y$5:$Y$884,MATCH($E655,_DATA_Assessment_Model!$A$5:$A$884,0)),"")</f>
        <v/>
      </c>
      <c r="Y655" t="inlineStr">
        <is>
          <t>Safety incident; Physical site loss; War/security crisis; Natural disaster</t>
        </is>
      </c>
      <c r="Z655" t="inlineStr">
        <is>
          <t>Facilities / Security / HSE</t>
        </is>
      </c>
      <c r="AA655" t="inlineStr">
        <is>
          <t>Policy/SOP; owner/RACI; system report; dashboard; contracts; test records; incident history; interview evidence related to mass notification to employees, visitors and contractors during site emergencies.</t>
        </is>
      </c>
      <c r="AB655">
        <f>IFERROR(INDEX(_DATA_Assessment_Model!$U$5:$U$884,MATCH($E655,_DATA_Assessment_Model!$A$5:$A$884,0)),"")</f>
        <v/>
      </c>
      <c r="AF655" t="inlineStr">
        <is>
          <t>How mature is the organization in managing mass notification to employees, visitors and contractors during site emergencies, including ownership, evidence, metrics, fallback procedures and crisis stress testing?</t>
        </is>
      </c>
      <c r="AO655">
        <f>IF($B655="Yes",IFERROR(INDEX(_ENGINE_Crisis!$F$501:$F$517,MATCH($C655,_ENGINE_Crisis!$A$501:$A$517,0)),1),"")</f>
        <v/>
      </c>
      <c r="AP655">
        <f>IF(AO655="","",ROUND($L655*AO655,1))</f>
        <v/>
      </c>
      <c r="AQ655">
        <f>IF(OR(AO655="",$S655=""),"",ROUND($S655*(0.7+0.3*AO655),2))</f>
        <v/>
      </c>
      <c r="AR655">
        <f>IFERROR(INDEX(_ENGINE_Crisis!$E$41:$E$700,MATCH('Resilience &amp; Risk Scenario'!$B$60&amp;"|"&amp;$C655,_ENGINE_Crisis!$I$41:$I$700,0)),"")</f>
        <v/>
      </c>
      <c r="AS655">
        <f>IFERROR(INDEX(_ENGINE_Crisis!$G$41:$G$700,MATCH('Resilience &amp; Risk Scenario'!$B$60&amp;"|"&amp;$C655,_ENGINE_Crisis!$I$41:$I$700,0)),"")</f>
        <v/>
      </c>
      <c r="AT655">
        <f>IFERROR(INDEX(_ENGINE_Initiatives!$A$5:$A$532,MATCH(1,INDEX((_ENGINE_Initiatives!$B$5:$B$532=$C655)*(_ENGINE_Initiatives!$C$5:$C$532=$D655),0),0)),"")</f>
        <v/>
      </c>
      <c r="AU655">
        <f>IFERROR(INDEX(_ENGINE_Initiatives!$F$5:$F$532,MATCH(1,INDEX((_ENGINE_Initiatives!$B$5:$B$532=$C655)*(_ENGINE_Initiatives!$C$5:$C$532=$D655),0),0)),"")</f>
        <v/>
      </c>
      <c r="AV655">
        <f>IFERROR(INDEX(_ENGINE_Initiatives!$AC$5:$AC$532,MATCH(1,INDEX((_ENGINE_Initiatives!$B$5:$B$532=$C655)*(_ENGINE_Initiatives!$C$5:$C$532=$D655),0),0)),"")</f>
        <v/>
      </c>
      <c r="AW655">
        <f>IFERROR(INDEX(_ENGINE_Initiatives!$AE$5:$AE$532,MATCH(1,INDEX((_ENGINE_Initiatives!$B$5:$B$532=$C655)*(_ENGINE_Initiatives!$C$5:$C$532=$D655),0),0)),"")</f>
        <v/>
      </c>
      <c r="AX655">
        <f>IF($B655="Yes",IFERROR(IF(SUMIFS(_REF_Model_Content!$E$1:$E$613,_REF_Model_Content!$A$1:$A$613,'Company Profile'!$B$9,_REF_Model_Content!$B$1:$B$613,$C655)=0,1,SUMIFS(_REF_Model_Content!$E$1:$E$613,_REF_Model_Content!$A$1:$A$613,'Company Profile'!$B$9,_REF_Model_Content!$B$1:$B$613,$C655)),1),"")</f>
        <v/>
      </c>
      <c r="AY655">
        <f>IF($L655="","",ROUND(IF($AP655="",$L655,$AP655)*IF($AX655="",1,$AX655),2))</f>
        <v/>
      </c>
      <c r="AZ655">
        <f>IF($S655="","",ROUND(IF($AQ655="",$S655,$AQ655)*IF($AX655="",1,$AX655),2))</f>
        <v/>
      </c>
      <c r="BB655">
        <f>IF($H655="","",IFERROR(INDEX('_ENGINE_Risk'!$AE$41:$AE$920,MATCH($E655,'_ENGINE_Risk'!$A$41:$A$920,0)),"Medium"))</f>
        <v/>
      </c>
      <c r="BC655">
        <f>IF($BB655="","",IF($BB655="Fast",1.25,IF($BB655="Slow",0.85,1)))</f>
        <v/>
      </c>
      <c r="BD655">
        <f>IF(OR($AZ655="",$BC655=""),"",ROUND($AZ655*$BC655,2))</f>
        <v/>
      </c>
      <c r="BF655">
        <f>IF(OR($H655="",$J655=""),"",_xlfn.IFNA(VLOOKUP($J655,_CONFIG_Model_Settings!$D$610:$E$614,2,0),""))</f>
        <v/>
      </c>
      <c r="BG655">
        <f>IF(OR($H655="",$K655=""),"",ROUND('Company Profile'!$B$569*INDEX(_CONFIG_Model_Settings!$H$610:$H$614,MATCH($K655,_CONFIG_Model_Settings!$G$610:$G$614,0)),0))</f>
        <v/>
      </c>
      <c r="BH655">
        <f>IF(OR($BF655="",$BG655=""),"",ROUND($BF655*$BG655,1))</f>
        <v/>
      </c>
      <c r="BI655">
        <f>IF($BH655="","",IF($AO655="",$BH655,ROUND($BH655*$AO655,1)))</f>
        <v/>
      </c>
      <c r="BJ655">
        <f>IF($E655="","",IFERROR(VLOOKUP($C655,'_CONFIG_Risk_Calibration'!$A$5:$H$21,2,FALSE),3))</f>
        <v/>
      </c>
      <c r="BK655">
        <f>IF($E655="","",IFERROR(VLOOKUP($C655,'_CONFIG_Risk_Calibration'!$A$5:$H$21,3,FALSE),0))</f>
        <v/>
      </c>
      <c r="BL655">
        <f>IF($E655="","",IFERROR(VLOOKUP($C655,'_CONFIG_Risk_Calibration'!$A$5:$H$21,4,FALSE),3))</f>
        <v/>
      </c>
      <c r="BM655">
        <f>IF($E655="","",IFERROR(VLOOKUP($C655,'_CONFIG_Risk_Calibration'!$A$5:$H$21,5,FALSE),3))</f>
        <v/>
      </c>
      <c r="BN655">
        <f>IF($E655="","",IFERROR(VLOOKUP($C655,'_CONFIG_Risk_Calibration'!$A$5:$H$21,6,FALSE),"No"))</f>
        <v/>
      </c>
      <c r="BO655">
        <f>IF($E655="","",IFERROR(VLOOKUP($C655,'_CONFIG_Risk_Calibration'!$A$5:$H$21,7,FALSE),1))</f>
        <v/>
      </c>
      <c r="BP655">
        <f>IF($H655="","",MAX(1,MIN(5,((6-$H655)*0.45)+($BJ655*0.20)+('Resilience &amp; Risk Scenario'!$B$7*0.15)+($BK655*0.10)+($BL655*0.05)+(IF($BB655="Fast",5,IF($BB655="Slow",1,3))*0.05))))</f>
        <v/>
      </c>
      <c r="BQ655">
        <f>IF($H655="","",MAX(IF($BN655="Yes",$BO655,1),MIN(5,($U655*0.20)+($V655*0.15)+($W655*0.25)+($X655*0.15)+($BJ655*0.10)+($BM655*0.15))))</f>
        <v/>
      </c>
      <c r="BR655">
        <f>IF(OR($BP655="",$BQ655=""),"",ROUND($BP655*$BQ655,2))</f>
        <v/>
      </c>
      <c r="BS655">
        <f>IF($BR655="","",ROUND($BR655*IF($AO655="",1,$AO655)*IF($AX655="",1,$AX655)*(1+(($BM655-3)*0.10))*IF($BC655="",1,$BC655),2))</f>
        <v/>
      </c>
    </row>
    <row r="656" ht="69.90000000000001" customHeight="1" s="209">
      <c r="A656">
        <f>IF($BD656="","",SUMPRODUCT(ISNUMBER($BD$500:$BD$923)*($BD$500:$BD$923&gt;$BD656))+COUNTIF($BD$500:$BD656,$BD656))</f>
        <v/>
      </c>
      <c r="B656">
        <f>IF($H656="","",IF($H656&lt;5,"Yes","Maintain"))</f>
        <v/>
      </c>
      <c r="C656" t="inlineStr">
        <is>
          <t>Physical Safety</t>
        </is>
      </c>
      <c r="D656" t="inlineStr">
        <is>
          <t>Emergency response</t>
        </is>
      </c>
      <c r="E656" t="inlineStr">
        <is>
          <t>PHYS-017</t>
        </is>
      </c>
      <c r="F656" t="inlineStr">
        <is>
          <t>Physical safety, security and facility resilience</t>
        </is>
      </c>
      <c r="G656">
        <f>IF($H656="","",IFERROR(INDEX('_ENGINE_Risk'!$H$41:$M$920,MATCH($E656,'_ENGINE_Risk'!$A$41:$A$920,0),$H656+1),""))</f>
        <v/>
      </c>
      <c r="H656">
        <f>IFERROR(VALUE(INDEX(_DATA_Assessment_Model!$H$5:$H$884,MATCH($E656,_DATA_Assessment_Model!$A$5:$A$884,0))),"")</f>
        <v/>
      </c>
      <c r="I656">
        <f>IF($H656="","",IFERROR(INDEX(_DATA_Assessment_Model!$L$5:$L$884,MATCH($E656,_DATA_Assessment_Model!$A$5:$A$884,0)),IF($H656&lt;=1,"Critical",IF($H656=2,"High",IF($H656=3,"Medium",IF($H656=4,"Low","Resilient"))))))</f>
        <v/>
      </c>
      <c r="J656">
        <f>IF($H656="","",MIN(5,MAX(1,6-$H656)))</f>
        <v/>
      </c>
      <c r="K656">
        <f>IF($H656="","",MAX(1,MIN(5,ROUNDUP(($U656*0.45)+($W656*0.35)+($X656*0.2),0))))</f>
        <v/>
      </c>
      <c r="L656">
        <f>IF($H656="","",$J656*$K656)</f>
        <v/>
      </c>
      <c r="M656">
        <f>IF($H656="","",MAX(1,MIN(5,ROUNDUP($L656/5,0))))</f>
        <v/>
      </c>
      <c r="N656">
        <f>IF($H656="","",IFERROR(INDEX('_ENGINE_Risk'!$T$41:$Y$920,MATCH($E656,'_ENGINE_Risk'!$A$41:$A$920,0),$H656+1),""))</f>
        <v/>
      </c>
      <c r="O656">
        <f>IF($H656="","",MAX(1,MIN(5,($U656+$V656+$X656)/3)))</f>
        <v/>
      </c>
      <c r="P656">
        <f>IF($H656="","",IF($I656="Critical",5,IF($I656="High",4,IF($I656="Medium",3,IF($I656="Low",2,1)))))</f>
        <v/>
      </c>
      <c r="Q656">
        <f>IF($H656="","",MAX(1,MIN(5,((5-$H656)*0.65)+($W656*0.35))))</f>
        <v/>
      </c>
      <c r="R656">
        <f>IF($H656="","",MAX(1,MIN(5,($V656+$X656)/2)))</f>
        <v/>
      </c>
      <c r="S656">
        <f>IF(OR($H656="",$N656=""),"",ROUND(($O656+$P656+$Q656+$R656)/$N656,2))</f>
        <v/>
      </c>
      <c r="T656">
        <f>IF($H656="","",IFERROR(INDEX('_ENGINE_Risk'!$N$41:$S$920,MATCH($E656,'_ENGINE_Risk'!$A$41:$A$920,0),$H656+1),""))</f>
        <v/>
      </c>
      <c r="U656">
        <f>IFERROR(INDEX(_DATA_Assessment_Model!$G$5:$G$884,MATCH($E656,_DATA_Assessment_Model!$A$5:$A$884,0)),"")</f>
        <v/>
      </c>
      <c r="V656">
        <f>IFERROR(INDEX(_DATA_Assessment_Model!$W$5:$W$884,MATCH($E656,_DATA_Assessment_Model!$A$5:$A$884,0)),"")</f>
        <v/>
      </c>
      <c r="W656">
        <f>IFERROR(INDEX(_DATA_Assessment_Model!$X$5:$X$884,MATCH($E656,_DATA_Assessment_Model!$A$5:$A$884,0)),"")</f>
        <v/>
      </c>
      <c r="X656">
        <f>IFERROR(INDEX(_DATA_Assessment_Model!$Y$5:$Y$884,MATCH($E656,_DATA_Assessment_Model!$A$5:$A$884,0)),"")</f>
        <v/>
      </c>
      <c r="Y656" t="inlineStr">
        <is>
          <t>Safety incident; Physical site loss; War/security crisis; Natural disaster</t>
        </is>
      </c>
      <c r="Z656" t="inlineStr">
        <is>
          <t>Facilities / Security / HSE</t>
        </is>
      </c>
      <c r="AA656" t="inlineStr">
        <is>
          <t>Policy/SOP; owner/RACI; system report; dashboard; contracts; test records; incident history; interview evidence related to employee and visitor accountability after evacuation or sheltering.</t>
        </is>
      </c>
      <c r="AB656">
        <f>IFERROR(INDEX(_DATA_Assessment_Model!$U$5:$U$884,MATCH($E656,_DATA_Assessment_Model!$A$5:$A$884,0)),"")</f>
        <v/>
      </c>
      <c r="AF656" t="inlineStr">
        <is>
          <t>How mature is the organization in managing employee and visitor accountability after evacuation or sheltering, including ownership, evidence, metrics, fallback procedures and crisis stress testing?</t>
        </is>
      </c>
      <c r="AO656">
        <f>IF($B656="Yes",IFERROR(INDEX(_ENGINE_Crisis!$F$501:$F$517,MATCH($C656,_ENGINE_Crisis!$A$501:$A$517,0)),1),"")</f>
        <v/>
      </c>
      <c r="AP656">
        <f>IF(AO656="","",ROUND($L656*AO656,1))</f>
        <v/>
      </c>
      <c r="AQ656">
        <f>IF(OR(AO656="",$S656=""),"",ROUND($S656*(0.7+0.3*AO656),2))</f>
        <v/>
      </c>
      <c r="AR656">
        <f>IFERROR(INDEX(_ENGINE_Crisis!$E$41:$E$700,MATCH('Resilience &amp; Risk Scenario'!$B$60&amp;"|"&amp;$C656,_ENGINE_Crisis!$I$41:$I$700,0)),"")</f>
        <v/>
      </c>
      <c r="AS656">
        <f>IFERROR(INDEX(_ENGINE_Crisis!$G$41:$G$700,MATCH('Resilience &amp; Risk Scenario'!$B$60&amp;"|"&amp;$C656,_ENGINE_Crisis!$I$41:$I$700,0)),"")</f>
        <v/>
      </c>
      <c r="AT656">
        <f>IFERROR(INDEX(_ENGINE_Initiatives!$A$5:$A$532,MATCH(1,INDEX((_ENGINE_Initiatives!$B$5:$B$532=$C656)*(_ENGINE_Initiatives!$C$5:$C$532=$D656),0),0)),"")</f>
        <v/>
      </c>
      <c r="AU656">
        <f>IFERROR(INDEX(_ENGINE_Initiatives!$F$5:$F$532,MATCH(1,INDEX((_ENGINE_Initiatives!$B$5:$B$532=$C656)*(_ENGINE_Initiatives!$C$5:$C$532=$D656),0),0)),"")</f>
        <v/>
      </c>
      <c r="AV656">
        <f>IFERROR(INDEX(_ENGINE_Initiatives!$AC$5:$AC$532,MATCH(1,INDEX((_ENGINE_Initiatives!$B$5:$B$532=$C656)*(_ENGINE_Initiatives!$C$5:$C$532=$D656),0),0)),"")</f>
        <v/>
      </c>
      <c r="AW656">
        <f>IFERROR(INDEX(_ENGINE_Initiatives!$AE$5:$AE$532,MATCH(1,INDEX((_ENGINE_Initiatives!$B$5:$B$532=$C656)*(_ENGINE_Initiatives!$C$5:$C$532=$D656),0),0)),"")</f>
        <v/>
      </c>
      <c r="AX656">
        <f>IF($B656="Yes",IFERROR(IF(SUMIFS(_REF_Model_Content!$E$1:$E$613,_REF_Model_Content!$A$1:$A$613,'Company Profile'!$B$9,_REF_Model_Content!$B$1:$B$613,$C656)=0,1,SUMIFS(_REF_Model_Content!$E$1:$E$613,_REF_Model_Content!$A$1:$A$613,'Company Profile'!$B$9,_REF_Model_Content!$B$1:$B$613,$C656)),1),"")</f>
        <v/>
      </c>
      <c r="AY656">
        <f>IF($L656="","",ROUND(IF($AP656="",$L656,$AP656)*IF($AX656="",1,$AX656),2))</f>
        <v/>
      </c>
      <c r="AZ656">
        <f>IF($S656="","",ROUND(IF($AQ656="",$S656,$AQ656)*IF($AX656="",1,$AX656),2))</f>
        <v/>
      </c>
      <c r="BB656">
        <f>IF($H656="","",IFERROR(INDEX('_ENGINE_Risk'!$AE$41:$AE$920,MATCH($E656,'_ENGINE_Risk'!$A$41:$A$920,0)),"Medium"))</f>
        <v/>
      </c>
      <c r="BC656">
        <f>IF($BB656="","",IF($BB656="Fast",1.25,IF($BB656="Slow",0.85,1)))</f>
        <v/>
      </c>
      <c r="BD656">
        <f>IF(OR($AZ656="",$BC656=""),"",ROUND($AZ656*$BC656,2))</f>
        <v/>
      </c>
      <c r="BF656">
        <f>IF(OR($H656="",$J656=""),"",_xlfn.IFNA(VLOOKUP($J656,_CONFIG_Model_Settings!$D$610:$E$614,2,0),""))</f>
        <v/>
      </c>
      <c r="BG656">
        <f>IF(OR($H656="",$K656=""),"",ROUND('Company Profile'!$B$569*INDEX(_CONFIG_Model_Settings!$H$610:$H$614,MATCH($K656,_CONFIG_Model_Settings!$G$610:$G$614,0)),0))</f>
        <v/>
      </c>
      <c r="BH656">
        <f>IF(OR($BF656="",$BG656=""),"",ROUND($BF656*$BG656,1))</f>
        <v/>
      </c>
      <c r="BI656">
        <f>IF($BH656="","",IF($AO656="",$BH656,ROUND($BH656*$AO656,1)))</f>
        <v/>
      </c>
      <c r="BJ656">
        <f>IF($E656="","",IFERROR(VLOOKUP($C656,'_CONFIG_Risk_Calibration'!$A$5:$H$21,2,FALSE),3))</f>
        <v/>
      </c>
      <c r="BK656">
        <f>IF($E656="","",IFERROR(VLOOKUP($C656,'_CONFIG_Risk_Calibration'!$A$5:$H$21,3,FALSE),0))</f>
        <v/>
      </c>
      <c r="BL656">
        <f>IF($E656="","",IFERROR(VLOOKUP($C656,'_CONFIG_Risk_Calibration'!$A$5:$H$21,4,FALSE),3))</f>
        <v/>
      </c>
      <c r="BM656">
        <f>IF($E656="","",IFERROR(VLOOKUP($C656,'_CONFIG_Risk_Calibration'!$A$5:$H$21,5,FALSE),3))</f>
        <v/>
      </c>
      <c r="BN656">
        <f>IF($E656="","",IFERROR(VLOOKUP($C656,'_CONFIG_Risk_Calibration'!$A$5:$H$21,6,FALSE),"No"))</f>
        <v/>
      </c>
      <c r="BO656">
        <f>IF($E656="","",IFERROR(VLOOKUP($C656,'_CONFIG_Risk_Calibration'!$A$5:$H$21,7,FALSE),1))</f>
        <v/>
      </c>
      <c r="BP656">
        <f>IF($H656="","",MAX(1,MIN(5,((6-$H656)*0.45)+($BJ656*0.20)+('Resilience &amp; Risk Scenario'!$B$7*0.15)+($BK656*0.10)+($BL656*0.05)+(IF($BB656="Fast",5,IF($BB656="Slow",1,3))*0.05))))</f>
        <v/>
      </c>
      <c r="BQ656">
        <f>IF($H656="","",MAX(IF($BN656="Yes",$BO656,1),MIN(5,($U656*0.20)+($V656*0.15)+($W656*0.25)+($X656*0.15)+($BJ656*0.10)+($BM656*0.15))))</f>
        <v/>
      </c>
      <c r="BR656">
        <f>IF(OR($BP656="",$BQ656=""),"",ROUND($BP656*$BQ656,2))</f>
        <v/>
      </c>
      <c r="BS656">
        <f>IF($BR656="","",ROUND($BR656*IF($AO656="",1,$AO656)*IF($AX656="",1,$AX656)*(1+(($BM656-3)*0.10))*IF($BC656="",1,$BC656),2))</f>
        <v/>
      </c>
    </row>
    <row r="657" ht="69.90000000000001" customHeight="1" s="209">
      <c r="A657">
        <f>IF($BD657="","",SUMPRODUCT(ISNUMBER($BD$500:$BD$923)*($BD$500:$BD$923&gt;$BD657))+COUNTIF($BD$500:$BD657,$BD657))</f>
        <v/>
      </c>
      <c r="B657">
        <f>IF($H657="","",IF($H657&lt;5,"Yes","Maintain"))</f>
        <v/>
      </c>
      <c r="C657" t="inlineStr">
        <is>
          <t>Physical Safety</t>
        </is>
      </c>
      <c r="D657" t="inlineStr">
        <is>
          <t>Emergency response</t>
        </is>
      </c>
      <c r="E657" t="inlineStr">
        <is>
          <t>PHYS-018</t>
        </is>
      </c>
      <c r="F657" t="inlineStr">
        <is>
          <t>Physical safety, security and facility resilience</t>
        </is>
      </c>
      <c r="G657">
        <f>IF($H657="","",IFERROR(INDEX('_ENGINE_Risk'!$H$41:$M$920,MATCH($E657,'_ENGINE_Risk'!$A$41:$A$920,0),$H657+1),""))</f>
        <v/>
      </c>
      <c r="H657">
        <f>IFERROR(VALUE(INDEX(_DATA_Assessment_Model!$H$5:$H$884,MATCH($E657,_DATA_Assessment_Model!$A$5:$A$884,0))),"")</f>
        <v/>
      </c>
      <c r="I657">
        <f>IF($H657="","",IFERROR(INDEX(_DATA_Assessment_Model!$L$5:$L$884,MATCH($E657,_DATA_Assessment_Model!$A$5:$A$884,0)),IF($H657&lt;=1,"Critical",IF($H657=2,"High",IF($H657=3,"Medium",IF($H657=4,"Low","Resilient"))))))</f>
        <v/>
      </c>
      <c r="J657">
        <f>IF($H657="","",MIN(5,MAX(1,6-$H657)))</f>
        <v/>
      </c>
      <c r="K657">
        <f>IF($H657="","",MAX(1,MIN(5,ROUNDUP(($U657*0.45)+($W657*0.35)+($X657*0.2),0))))</f>
        <v/>
      </c>
      <c r="L657">
        <f>IF($H657="","",$J657*$K657)</f>
        <v/>
      </c>
      <c r="M657">
        <f>IF($H657="","",MAX(1,MIN(5,ROUNDUP($L657/5,0))))</f>
        <v/>
      </c>
      <c r="N657">
        <f>IF($H657="","",IFERROR(INDEX('_ENGINE_Risk'!$T$41:$Y$920,MATCH($E657,'_ENGINE_Risk'!$A$41:$A$920,0),$H657+1),""))</f>
        <v/>
      </c>
      <c r="O657">
        <f>IF($H657="","",MAX(1,MIN(5,($U657+$V657+$X657)/3)))</f>
        <v/>
      </c>
      <c r="P657">
        <f>IF($H657="","",IF($I657="Critical",5,IF($I657="High",4,IF($I657="Medium",3,IF($I657="Low",2,1)))))</f>
        <v/>
      </c>
      <c r="Q657">
        <f>IF($H657="","",MAX(1,MIN(5,((5-$H657)*0.65)+($W657*0.35))))</f>
        <v/>
      </c>
      <c r="R657">
        <f>IF($H657="","",MAX(1,MIN(5,($V657+$X657)/2)))</f>
        <v/>
      </c>
      <c r="S657">
        <f>IF(OR($H657="",$N657=""),"",ROUND(($O657+$P657+$Q657+$R657)/$N657,2))</f>
        <v/>
      </c>
      <c r="T657">
        <f>IF($H657="","",IFERROR(INDEX('_ENGINE_Risk'!$N$41:$S$920,MATCH($E657,'_ENGINE_Risk'!$A$41:$A$920,0),$H657+1),""))</f>
        <v/>
      </c>
      <c r="U657">
        <f>IFERROR(INDEX(_DATA_Assessment_Model!$G$5:$G$884,MATCH($E657,_DATA_Assessment_Model!$A$5:$A$884,0)),"")</f>
        <v/>
      </c>
      <c r="V657">
        <f>IFERROR(INDEX(_DATA_Assessment_Model!$W$5:$W$884,MATCH($E657,_DATA_Assessment_Model!$A$5:$A$884,0)),"")</f>
        <v/>
      </c>
      <c r="W657">
        <f>IFERROR(INDEX(_DATA_Assessment_Model!$X$5:$X$884,MATCH($E657,_DATA_Assessment_Model!$A$5:$A$884,0)),"")</f>
        <v/>
      </c>
      <c r="X657">
        <f>IFERROR(INDEX(_DATA_Assessment_Model!$Y$5:$Y$884,MATCH($E657,_DATA_Assessment_Model!$A$5:$A$884,0)),"")</f>
        <v/>
      </c>
      <c r="Y657" t="inlineStr">
        <is>
          <t>Safety incident; Physical site loss; War/security crisis; Natural disaster</t>
        </is>
      </c>
      <c r="Z657" t="inlineStr">
        <is>
          <t>Facilities / Security / HSE</t>
        </is>
      </c>
      <c r="AA657" t="inlineStr">
        <is>
          <t>Policy/SOP; owner/RACI; system report; dashboard; contracts; test records; incident history; interview evidence related to emergency supplies such as water, batteries, power banks, fuel, PPE, radios and flashlights.</t>
        </is>
      </c>
      <c r="AB657">
        <f>IFERROR(INDEX(_DATA_Assessment_Model!$U$5:$U$884,MATCH($E657,_DATA_Assessment_Model!$A$5:$A$884,0)),"")</f>
        <v/>
      </c>
      <c r="AF657" t="inlineStr">
        <is>
          <t>How mature is the organization in managing emergency supplies such as water, batteries, power banks, fuel, PPE, radios and flashlights, including ownership, evidence, metrics, fallback procedures and crisis stress testing?</t>
        </is>
      </c>
      <c r="AO657">
        <f>IF($B657="Yes",IFERROR(INDEX(_ENGINE_Crisis!$F$501:$F$517,MATCH($C657,_ENGINE_Crisis!$A$501:$A$517,0)),1),"")</f>
        <v/>
      </c>
      <c r="AP657">
        <f>IF(AO657="","",ROUND($L657*AO657,1))</f>
        <v/>
      </c>
      <c r="AQ657">
        <f>IF(OR(AO657="",$S657=""),"",ROUND($S657*(0.7+0.3*AO657),2))</f>
        <v/>
      </c>
      <c r="AR657">
        <f>IFERROR(INDEX(_ENGINE_Crisis!$E$41:$E$700,MATCH('Resilience &amp; Risk Scenario'!$B$60&amp;"|"&amp;$C657,_ENGINE_Crisis!$I$41:$I$700,0)),"")</f>
        <v/>
      </c>
      <c r="AS657">
        <f>IFERROR(INDEX(_ENGINE_Crisis!$G$41:$G$700,MATCH('Resilience &amp; Risk Scenario'!$B$60&amp;"|"&amp;$C657,_ENGINE_Crisis!$I$41:$I$700,0)),"")</f>
        <v/>
      </c>
      <c r="AT657">
        <f>IFERROR(INDEX(_ENGINE_Initiatives!$A$5:$A$532,MATCH(1,INDEX((_ENGINE_Initiatives!$B$5:$B$532=$C657)*(_ENGINE_Initiatives!$C$5:$C$532=$D657),0),0)),"")</f>
        <v/>
      </c>
      <c r="AU657">
        <f>IFERROR(INDEX(_ENGINE_Initiatives!$F$5:$F$532,MATCH(1,INDEX((_ENGINE_Initiatives!$B$5:$B$532=$C657)*(_ENGINE_Initiatives!$C$5:$C$532=$D657),0),0)),"")</f>
        <v/>
      </c>
      <c r="AV657">
        <f>IFERROR(INDEX(_ENGINE_Initiatives!$AC$5:$AC$532,MATCH(1,INDEX((_ENGINE_Initiatives!$B$5:$B$532=$C657)*(_ENGINE_Initiatives!$C$5:$C$532=$D657),0),0)),"")</f>
        <v/>
      </c>
      <c r="AW657">
        <f>IFERROR(INDEX(_ENGINE_Initiatives!$AE$5:$AE$532,MATCH(1,INDEX((_ENGINE_Initiatives!$B$5:$B$532=$C657)*(_ENGINE_Initiatives!$C$5:$C$532=$D657),0),0)),"")</f>
        <v/>
      </c>
      <c r="AX657">
        <f>IF($B657="Yes",IFERROR(IF(SUMIFS(_REF_Model_Content!$E$1:$E$613,_REF_Model_Content!$A$1:$A$613,'Company Profile'!$B$9,_REF_Model_Content!$B$1:$B$613,$C657)=0,1,SUMIFS(_REF_Model_Content!$E$1:$E$613,_REF_Model_Content!$A$1:$A$613,'Company Profile'!$B$9,_REF_Model_Content!$B$1:$B$613,$C657)),1),"")</f>
        <v/>
      </c>
      <c r="AY657">
        <f>IF($L657="","",ROUND(IF($AP657="",$L657,$AP657)*IF($AX657="",1,$AX657),2))</f>
        <v/>
      </c>
      <c r="AZ657">
        <f>IF($S657="","",ROUND(IF($AQ657="",$S657,$AQ657)*IF($AX657="",1,$AX657),2))</f>
        <v/>
      </c>
      <c r="BB657">
        <f>IF($H657="","",IFERROR(INDEX('_ENGINE_Risk'!$AE$41:$AE$920,MATCH($E657,'_ENGINE_Risk'!$A$41:$A$920,0)),"Medium"))</f>
        <v/>
      </c>
      <c r="BC657">
        <f>IF($BB657="","",IF($BB657="Fast",1.25,IF($BB657="Slow",0.85,1)))</f>
        <v/>
      </c>
      <c r="BD657">
        <f>IF(OR($AZ657="",$BC657=""),"",ROUND($AZ657*$BC657,2))</f>
        <v/>
      </c>
      <c r="BF657">
        <f>IF(OR($H657="",$J657=""),"",_xlfn.IFNA(VLOOKUP($J657,_CONFIG_Model_Settings!$D$610:$E$614,2,0),""))</f>
        <v/>
      </c>
      <c r="BG657">
        <f>IF(OR($H657="",$K657=""),"",ROUND('Company Profile'!$B$569*INDEX(_CONFIG_Model_Settings!$H$610:$H$614,MATCH($K657,_CONFIG_Model_Settings!$G$610:$G$614,0)),0))</f>
        <v/>
      </c>
      <c r="BH657">
        <f>IF(OR($BF657="",$BG657=""),"",ROUND($BF657*$BG657,1))</f>
        <v/>
      </c>
      <c r="BI657">
        <f>IF($BH657="","",IF($AO657="",$BH657,ROUND($BH657*$AO657,1)))</f>
        <v/>
      </c>
      <c r="BJ657">
        <f>IF($E657="","",IFERROR(VLOOKUP($C657,'_CONFIG_Risk_Calibration'!$A$5:$H$21,2,FALSE),3))</f>
        <v/>
      </c>
      <c r="BK657">
        <f>IF($E657="","",IFERROR(VLOOKUP($C657,'_CONFIG_Risk_Calibration'!$A$5:$H$21,3,FALSE),0))</f>
        <v/>
      </c>
      <c r="BL657">
        <f>IF($E657="","",IFERROR(VLOOKUP($C657,'_CONFIG_Risk_Calibration'!$A$5:$H$21,4,FALSE),3))</f>
        <v/>
      </c>
      <c r="BM657">
        <f>IF($E657="","",IFERROR(VLOOKUP($C657,'_CONFIG_Risk_Calibration'!$A$5:$H$21,5,FALSE),3))</f>
        <v/>
      </c>
      <c r="BN657">
        <f>IF($E657="","",IFERROR(VLOOKUP($C657,'_CONFIG_Risk_Calibration'!$A$5:$H$21,6,FALSE),"No"))</f>
        <v/>
      </c>
      <c r="BO657">
        <f>IF($E657="","",IFERROR(VLOOKUP($C657,'_CONFIG_Risk_Calibration'!$A$5:$H$21,7,FALSE),1))</f>
        <v/>
      </c>
      <c r="BP657">
        <f>IF($H657="","",MAX(1,MIN(5,((6-$H657)*0.45)+($BJ657*0.20)+('Resilience &amp; Risk Scenario'!$B$7*0.15)+($BK657*0.10)+($BL657*0.05)+(IF($BB657="Fast",5,IF($BB657="Slow",1,3))*0.05))))</f>
        <v/>
      </c>
      <c r="BQ657">
        <f>IF($H657="","",MAX(IF($BN657="Yes",$BO657,1),MIN(5,($U657*0.20)+($V657*0.15)+($W657*0.25)+($X657*0.15)+($BJ657*0.10)+($BM657*0.15))))</f>
        <v/>
      </c>
      <c r="BR657">
        <f>IF(OR($BP657="",$BQ657=""),"",ROUND($BP657*$BQ657,2))</f>
        <v/>
      </c>
      <c r="BS657">
        <f>IF($BR657="","",ROUND($BR657*IF($AO657="",1,$AO657)*IF($AX657="",1,$AX657)*(1+(($BM657-3)*0.10))*IF($BC657="",1,$BC657),2))</f>
        <v/>
      </c>
    </row>
    <row r="658" ht="69.90000000000001" customHeight="1" s="209">
      <c r="A658">
        <f>IF($BD658="","",SUMPRODUCT(ISNUMBER($BD$500:$BD$923)*($BD$500:$BD$923&gt;$BD658))+COUNTIF($BD$500:$BD658,$BD658))</f>
        <v/>
      </c>
      <c r="B658">
        <f>IF($H658="","",IF($H658&lt;5,"Yes","Maintain"))</f>
        <v/>
      </c>
      <c r="C658" t="inlineStr">
        <is>
          <t>Physical Safety</t>
        </is>
      </c>
      <c r="D658" t="inlineStr">
        <is>
          <t>Security and travel</t>
        </is>
      </c>
      <c r="E658" t="inlineStr">
        <is>
          <t>PHYS-019</t>
        </is>
      </c>
      <c r="F658" t="inlineStr">
        <is>
          <t>Physical safety, security and facility resilience</t>
        </is>
      </c>
      <c r="G658">
        <f>IF($H658="","",IFERROR(INDEX('_ENGINE_Risk'!$H$41:$M$920,MATCH($E658,'_ENGINE_Risk'!$A$41:$A$920,0),$H658+1),""))</f>
        <v/>
      </c>
      <c r="H658">
        <f>IFERROR(VALUE(INDEX(_DATA_Assessment_Model!$H$5:$H$884,MATCH($E658,_DATA_Assessment_Model!$A$5:$A$884,0))),"")</f>
        <v/>
      </c>
      <c r="I658">
        <f>IF($H658="","",IFERROR(INDEX(_DATA_Assessment_Model!$L$5:$L$884,MATCH($E658,_DATA_Assessment_Model!$A$5:$A$884,0)),IF($H658&lt;=1,"Critical",IF($H658=2,"High",IF($H658=3,"Medium",IF($H658=4,"Low","Resilient"))))))</f>
        <v/>
      </c>
      <c r="J658">
        <f>IF($H658="","",MIN(5,MAX(1,6-$H658)))</f>
        <v/>
      </c>
      <c r="K658">
        <f>IF($H658="","",MAX(1,MIN(5,ROUNDUP(($U658*0.45)+($W658*0.35)+($X658*0.2),0))))</f>
        <v/>
      </c>
      <c r="L658">
        <f>IF($H658="","",$J658*$K658)</f>
        <v/>
      </c>
      <c r="M658">
        <f>IF($H658="","",MAX(1,MIN(5,ROUNDUP($L658/5,0))))</f>
        <v/>
      </c>
      <c r="N658">
        <f>IF($H658="","",IFERROR(INDEX('_ENGINE_Risk'!$T$41:$Y$920,MATCH($E658,'_ENGINE_Risk'!$A$41:$A$920,0),$H658+1),""))</f>
        <v/>
      </c>
      <c r="O658">
        <f>IF($H658="","",MAX(1,MIN(5,($U658+$V658+$X658)/3)))</f>
        <v/>
      </c>
      <c r="P658">
        <f>IF($H658="","",IF($I658="Critical",5,IF($I658="High",4,IF($I658="Medium",3,IF($I658="Low",2,1)))))</f>
        <v/>
      </c>
      <c r="Q658">
        <f>IF($H658="","",MAX(1,MIN(5,((5-$H658)*0.65)+($W658*0.35))))</f>
        <v/>
      </c>
      <c r="R658">
        <f>IF($H658="","",MAX(1,MIN(5,($V658+$X658)/2)))</f>
        <v/>
      </c>
      <c r="S658">
        <f>IF(OR($H658="",$N658=""),"",ROUND(($O658+$P658+$Q658+$R658)/$N658,2))</f>
        <v/>
      </c>
      <c r="T658">
        <f>IF($H658="","",IFERROR(INDEX('_ENGINE_Risk'!$N$41:$S$920,MATCH($E658,'_ENGINE_Risk'!$A$41:$A$920,0),$H658+1),""))</f>
        <v/>
      </c>
      <c r="U658">
        <f>IFERROR(INDEX(_DATA_Assessment_Model!$G$5:$G$884,MATCH($E658,_DATA_Assessment_Model!$A$5:$A$884,0)),"")</f>
        <v/>
      </c>
      <c r="V658">
        <f>IFERROR(INDEX(_DATA_Assessment_Model!$W$5:$W$884,MATCH($E658,_DATA_Assessment_Model!$A$5:$A$884,0)),"")</f>
        <v/>
      </c>
      <c r="W658">
        <f>IFERROR(INDEX(_DATA_Assessment_Model!$X$5:$X$884,MATCH($E658,_DATA_Assessment_Model!$A$5:$A$884,0)),"")</f>
        <v/>
      </c>
      <c r="X658">
        <f>IFERROR(INDEX(_DATA_Assessment_Model!$Y$5:$Y$884,MATCH($E658,_DATA_Assessment_Model!$A$5:$A$884,0)),"")</f>
        <v/>
      </c>
      <c r="Y658" t="inlineStr">
        <is>
          <t>Safety incident; Physical site loss; War/security crisis; Natural disaster</t>
        </is>
      </c>
      <c r="Z658" t="inlineStr">
        <is>
          <t>Facilities / Security / HSE</t>
        </is>
      </c>
      <c r="AA658" t="inlineStr">
        <is>
          <t>Policy/SOP; owner/RACI; system report; dashboard; contracts; test records; incident history; interview evidence related to air raid, shelling, curfew, checkpoints, movement restriction and shelter procedures for high-risk geographies.</t>
        </is>
      </c>
      <c r="AB658">
        <f>IFERROR(INDEX(_DATA_Assessment_Model!$U$5:$U$884,MATCH($E658,_DATA_Assessment_Model!$A$5:$A$884,0)),"")</f>
        <v/>
      </c>
      <c r="AF658" t="inlineStr">
        <is>
          <t>How mature is the organization in managing air raid, shelling, curfew, checkpoints, movement restriction and shelter procedures for high-risk geographies, including ownership, evidence, metrics, fallback procedures and crisis stress testing?</t>
        </is>
      </c>
      <c r="AO658">
        <f>IF($B658="Yes",IFERROR(INDEX(_ENGINE_Crisis!$F$501:$F$517,MATCH($C658,_ENGINE_Crisis!$A$501:$A$517,0)),1),"")</f>
        <v/>
      </c>
      <c r="AP658">
        <f>IF(AO658="","",ROUND($L658*AO658,1))</f>
        <v/>
      </c>
      <c r="AQ658">
        <f>IF(OR(AO658="",$S658=""),"",ROUND($S658*(0.7+0.3*AO658),2))</f>
        <v/>
      </c>
      <c r="AR658">
        <f>IFERROR(INDEX(_ENGINE_Crisis!$E$41:$E$700,MATCH('Resilience &amp; Risk Scenario'!$B$60&amp;"|"&amp;$C658,_ENGINE_Crisis!$I$41:$I$700,0)),"")</f>
        <v/>
      </c>
      <c r="AS658">
        <f>IFERROR(INDEX(_ENGINE_Crisis!$G$41:$G$700,MATCH('Resilience &amp; Risk Scenario'!$B$60&amp;"|"&amp;$C658,_ENGINE_Crisis!$I$41:$I$700,0)),"")</f>
        <v/>
      </c>
      <c r="AT658">
        <f>IFERROR(INDEX(_ENGINE_Initiatives!$A$5:$A$532,MATCH(1,INDEX((_ENGINE_Initiatives!$B$5:$B$532=$C658)*(_ENGINE_Initiatives!$C$5:$C$532=$D658),0),0)),"")</f>
        <v/>
      </c>
      <c r="AU658">
        <f>IFERROR(INDEX(_ENGINE_Initiatives!$F$5:$F$532,MATCH(1,INDEX((_ENGINE_Initiatives!$B$5:$B$532=$C658)*(_ENGINE_Initiatives!$C$5:$C$532=$D658),0),0)),"")</f>
        <v/>
      </c>
      <c r="AV658">
        <f>IFERROR(INDEX(_ENGINE_Initiatives!$AC$5:$AC$532,MATCH(1,INDEX((_ENGINE_Initiatives!$B$5:$B$532=$C658)*(_ENGINE_Initiatives!$C$5:$C$532=$D658),0),0)),"")</f>
        <v/>
      </c>
      <c r="AW658">
        <f>IFERROR(INDEX(_ENGINE_Initiatives!$AE$5:$AE$532,MATCH(1,INDEX((_ENGINE_Initiatives!$B$5:$B$532=$C658)*(_ENGINE_Initiatives!$C$5:$C$532=$D658),0),0)),"")</f>
        <v/>
      </c>
      <c r="AX658">
        <f>IF($B658="Yes",IFERROR(IF(SUMIFS(_REF_Model_Content!$E$1:$E$613,_REF_Model_Content!$A$1:$A$613,'Company Profile'!$B$9,_REF_Model_Content!$B$1:$B$613,$C658)=0,1,SUMIFS(_REF_Model_Content!$E$1:$E$613,_REF_Model_Content!$A$1:$A$613,'Company Profile'!$B$9,_REF_Model_Content!$B$1:$B$613,$C658)),1),"")</f>
        <v/>
      </c>
      <c r="AY658">
        <f>IF($L658="","",ROUND(IF($AP658="",$L658,$AP658)*IF($AX658="",1,$AX658),2))</f>
        <v/>
      </c>
      <c r="AZ658">
        <f>IF($S658="","",ROUND(IF($AQ658="",$S658,$AQ658)*IF($AX658="",1,$AX658),2))</f>
        <v/>
      </c>
      <c r="BB658">
        <f>IF($H658="","",IFERROR(INDEX('_ENGINE_Risk'!$AE$41:$AE$920,MATCH($E658,'_ENGINE_Risk'!$A$41:$A$920,0)),"Medium"))</f>
        <v/>
      </c>
      <c r="BC658">
        <f>IF($BB658="","",IF($BB658="Fast",1.25,IF($BB658="Slow",0.85,1)))</f>
        <v/>
      </c>
      <c r="BD658">
        <f>IF(OR($AZ658="",$BC658=""),"",ROUND($AZ658*$BC658,2))</f>
        <v/>
      </c>
      <c r="BF658">
        <f>IF(OR($H658="",$J658=""),"",_xlfn.IFNA(VLOOKUP($J658,_CONFIG_Model_Settings!$D$610:$E$614,2,0),""))</f>
        <v/>
      </c>
      <c r="BG658">
        <f>IF(OR($H658="",$K658=""),"",ROUND('Company Profile'!$B$569*INDEX(_CONFIG_Model_Settings!$H$610:$H$614,MATCH($K658,_CONFIG_Model_Settings!$G$610:$G$614,0)),0))</f>
        <v/>
      </c>
      <c r="BH658">
        <f>IF(OR($BF658="",$BG658=""),"",ROUND($BF658*$BG658,1))</f>
        <v/>
      </c>
      <c r="BI658">
        <f>IF($BH658="","",IF($AO658="",$BH658,ROUND($BH658*$AO658,1)))</f>
        <v/>
      </c>
      <c r="BJ658">
        <f>IF($E658="","",IFERROR(VLOOKUP($C658,'_CONFIG_Risk_Calibration'!$A$5:$H$21,2,FALSE),3))</f>
        <v/>
      </c>
      <c r="BK658">
        <f>IF($E658="","",IFERROR(VLOOKUP($C658,'_CONFIG_Risk_Calibration'!$A$5:$H$21,3,FALSE),0))</f>
        <v/>
      </c>
      <c r="BL658">
        <f>IF($E658="","",IFERROR(VLOOKUP($C658,'_CONFIG_Risk_Calibration'!$A$5:$H$21,4,FALSE),3))</f>
        <v/>
      </c>
      <c r="BM658">
        <f>IF($E658="","",IFERROR(VLOOKUP($C658,'_CONFIG_Risk_Calibration'!$A$5:$H$21,5,FALSE),3))</f>
        <v/>
      </c>
      <c r="BN658">
        <f>IF($E658="","",IFERROR(VLOOKUP($C658,'_CONFIG_Risk_Calibration'!$A$5:$H$21,6,FALSE),"No"))</f>
        <v/>
      </c>
      <c r="BO658">
        <f>IF($E658="","",IFERROR(VLOOKUP($C658,'_CONFIG_Risk_Calibration'!$A$5:$H$21,7,FALSE),1))</f>
        <v/>
      </c>
      <c r="BP658">
        <f>IF($H658="","",MAX(1,MIN(5,((6-$H658)*0.45)+($BJ658*0.20)+('Resilience &amp; Risk Scenario'!$B$7*0.15)+($BK658*0.10)+($BL658*0.05)+(IF($BB658="Fast",5,IF($BB658="Slow",1,3))*0.05))))</f>
        <v/>
      </c>
      <c r="BQ658">
        <f>IF($H658="","",MAX(IF($BN658="Yes",$BO658,1),MIN(5,($U658*0.20)+($V658*0.15)+($W658*0.25)+($X658*0.15)+($BJ658*0.10)+($BM658*0.15))))</f>
        <v/>
      </c>
      <c r="BR658">
        <f>IF(OR($BP658="",$BQ658=""),"",ROUND($BP658*$BQ658,2))</f>
        <v/>
      </c>
      <c r="BS658">
        <f>IF($BR658="","",ROUND($BR658*IF($AO658="",1,$AO658)*IF($AX658="",1,$AX658)*(1+(($BM658-3)*0.10))*IF($BC658="",1,$BC658),2))</f>
        <v/>
      </c>
    </row>
    <row r="659" ht="69.90000000000001" customHeight="1" s="209">
      <c r="A659">
        <f>IF($BD659="","",SUMPRODUCT(ISNUMBER($BD$500:$BD$923)*($BD$500:$BD$923&gt;$BD659))+COUNTIF($BD$500:$BD659,$BD659))</f>
        <v/>
      </c>
      <c r="B659">
        <f>IF($H659="","",IF($H659&lt;5,"Yes","Maintain"))</f>
        <v/>
      </c>
      <c r="C659" t="inlineStr">
        <is>
          <t>Physical Safety</t>
        </is>
      </c>
      <c r="D659" t="inlineStr">
        <is>
          <t>Security and travel</t>
        </is>
      </c>
      <c r="E659" t="inlineStr">
        <is>
          <t>PHYS-020</t>
        </is>
      </c>
      <c r="F659" t="inlineStr">
        <is>
          <t>Physical safety, security and facility resilience</t>
        </is>
      </c>
      <c r="G659">
        <f>IF($H659="","",IFERROR(INDEX('_ENGINE_Risk'!$H$41:$M$920,MATCH($E659,'_ENGINE_Risk'!$A$41:$A$920,0),$H659+1),""))</f>
        <v/>
      </c>
      <c r="H659">
        <f>IFERROR(VALUE(INDEX(_DATA_Assessment_Model!$H$5:$H$884,MATCH($E659,_DATA_Assessment_Model!$A$5:$A$884,0))),"")</f>
        <v/>
      </c>
      <c r="I659">
        <f>IF($H659="","",IFERROR(INDEX(_DATA_Assessment_Model!$L$5:$L$884,MATCH($E659,_DATA_Assessment_Model!$A$5:$A$884,0)),IF($H659&lt;=1,"Critical",IF($H659=2,"High",IF($H659=3,"Medium",IF($H659=4,"Low","Resilient"))))))</f>
        <v/>
      </c>
      <c r="J659">
        <f>IF($H659="","",MIN(5,MAX(1,6-$H659)))</f>
        <v/>
      </c>
      <c r="K659">
        <f>IF($H659="","",MAX(1,MIN(5,ROUNDUP(($U659*0.45)+($W659*0.35)+($X659*0.2),0))))</f>
        <v/>
      </c>
      <c r="L659">
        <f>IF($H659="","",$J659*$K659)</f>
        <v/>
      </c>
      <c r="M659">
        <f>IF($H659="","",MAX(1,MIN(5,ROUNDUP($L659/5,0))))</f>
        <v/>
      </c>
      <c r="N659">
        <f>IF($H659="","",IFERROR(INDEX('_ENGINE_Risk'!$T$41:$Y$920,MATCH($E659,'_ENGINE_Risk'!$A$41:$A$920,0),$H659+1),""))</f>
        <v/>
      </c>
      <c r="O659">
        <f>IF($H659="","",MAX(1,MIN(5,($U659+$V659+$X659)/3)))</f>
        <v/>
      </c>
      <c r="P659">
        <f>IF($H659="","",IF($I659="Critical",5,IF($I659="High",4,IF($I659="Medium",3,IF($I659="Low",2,1)))))</f>
        <v/>
      </c>
      <c r="Q659">
        <f>IF($H659="","",MAX(1,MIN(5,((5-$H659)*0.65)+($W659*0.35))))</f>
        <v/>
      </c>
      <c r="R659">
        <f>IF($H659="","",MAX(1,MIN(5,($V659+$X659)/2)))</f>
        <v/>
      </c>
      <c r="S659">
        <f>IF(OR($H659="",$N659=""),"",ROUND(($O659+$P659+$Q659+$R659)/$N659,2))</f>
        <v/>
      </c>
      <c r="T659">
        <f>IF($H659="","",IFERROR(INDEX('_ENGINE_Risk'!$N$41:$S$920,MATCH($E659,'_ENGINE_Risk'!$A$41:$A$920,0),$H659+1),""))</f>
        <v/>
      </c>
      <c r="U659">
        <f>IFERROR(INDEX(_DATA_Assessment_Model!$G$5:$G$884,MATCH($E659,_DATA_Assessment_Model!$A$5:$A$884,0)),"")</f>
        <v/>
      </c>
      <c r="V659">
        <f>IFERROR(INDEX(_DATA_Assessment_Model!$W$5:$W$884,MATCH($E659,_DATA_Assessment_Model!$A$5:$A$884,0)),"")</f>
        <v/>
      </c>
      <c r="W659">
        <f>IFERROR(INDEX(_DATA_Assessment_Model!$X$5:$X$884,MATCH($E659,_DATA_Assessment_Model!$A$5:$A$884,0)),"")</f>
        <v/>
      </c>
      <c r="X659">
        <f>IFERROR(INDEX(_DATA_Assessment_Model!$Y$5:$Y$884,MATCH($E659,_DATA_Assessment_Model!$A$5:$A$884,0)),"")</f>
        <v/>
      </c>
      <c r="Y659" t="inlineStr">
        <is>
          <t>Safety incident; Physical site loss; War/security crisis; Natural disaster</t>
        </is>
      </c>
      <c r="Z659" t="inlineStr">
        <is>
          <t>Facilities / Security / HSE</t>
        </is>
      </c>
      <c r="AA659" t="inlineStr">
        <is>
          <t>Policy/SOP; owner/RACI; system report; dashboard; contracts; test records; incident history; interview evidence related to relocation and evacuation options for employees and critical teams.</t>
        </is>
      </c>
      <c r="AB659">
        <f>IFERROR(INDEX(_DATA_Assessment_Model!$U$5:$U$884,MATCH($E659,_DATA_Assessment_Model!$A$5:$A$884,0)),"")</f>
        <v/>
      </c>
      <c r="AF659" t="inlineStr">
        <is>
          <t>How mature is the organization in managing relocation and evacuation options for employees and critical teams, including ownership, evidence, metrics, fallback procedures and crisis stress testing?</t>
        </is>
      </c>
      <c r="AO659">
        <f>IF($B659="Yes",IFERROR(INDEX(_ENGINE_Crisis!$F$501:$F$517,MATCH($C659,_ENGINE_Crisis!$A$501:$A$517,0)),1),"")</f>
        <v/>
      </c>
      <c r="AP659">
        <f>IF(AO659="","",ROUND($L659*AO659,1))</f>
        <v/>
      </c>
      <c r="AQ659">
        <f>IF(OR(AO659="",$S659=""),"",ROUND($S659*(0.7+0.3*AO659),2))</f>
        <v/>
      </c>
      <c r="AR659">
        <f>IFERROR(INDEX(_ENGINE_Crisis!$E$41:$E$700,MATCH('Resilience &amp; Risk Scenario'!$B$60&amp;"|"&amp;$C659,_ENGINE_Crisis!$I$41:$I$700,0)),"")</f>
        <v/>
      </c>
      <c r="AS659">
        <f>IFERROR(INDEX(_ENGINE_Crisis!$G$41:$G$700,MATCH('Resilience &amp; Risk Scenario'!$B$60&amp;"|"&amp;$C659,_ENGINE_Crisis!$I$41:$I$700,0)),"")</f>
        <v/>
      </c>
      <c r="AT659">
        <f>IFERROR(INDEX(_ENGINE_Initiatives!$A$5:$A$532,MATCH(1,INDEX((_ENGINE_Initiatives!$B$5:$B$532=$C659)*(_ENGINE_Initiatives!$C$5:$C$532=$D659),0),0)),"")</f>
        <v/>
      </c>
      <c r="AU659">
        <f>IFERROR(INDEX(_ENGINE_Initiatives!$F$5:$F$532,MATCH(1,INDEX((_ENGINE_Initiatives!$B$5:$B$532=$C659)*(_ENGINE_Initiatives!$C$5:$C$532=$D659),0),0)),"")</f>
        <v/>
      </c>
      <c r="AV659">
        <f>IFERROR(INDEX(_ENGINE_Initiatives!$AC$5:$AC$532,MATCH(1,INDEX((_ENGINE_Initiatives!$B$5:$B$532=$C659)*(_ENGINE_Initiatives!$C$5:$C$532=$D659),0),0)),"")</f>
        <v/>
      </c>
      <c r="AW659">
        <f>IFERROR(INDEX(_ENGINE_Initiatives!$AE$5:$AE$532,MATCH(1,INDEX((_ENGINE_Initiatives!$B$5:$B$532=$C659)*(_ENGINE_Initiatives!$C$5:$C$532=$D659),0),0)),"")</f>
        <v/>
      </c>
      <c r="AX659">
        <f>IF($B659="Yes",IFERROR(IF(SUMIFS(_REF_Model_Content!$E$1:$E$613,_REF_Model_Content!$A$1:$A$613,'Company Profile'!$B$9,_REF_Model_Content!$B$1:$B$613,$C659)=0,1,SUMIFS(_REF_Model_Content!$E$1:$E$613,_REF_Model_Content!$A$1:$A$613,'Company Profile'!$B$9,_REF_Model_Content!$B$1:$B$613,$C659)),1),"")</f>
        <v/>
      </c>
      <c r="AY659">
        <f>IF($L659="","",ROUND(IF($AP659="",$L659,$AP659)*IF($AX659="",1,$AX659),2))</f>
        <v/>
      </c>
      <c r="AZ659">
        <f>IF($S659="","",ROUND(IF($AQ659="",$S659,$AQ659)*IF($AX659="",1,$AX659),2))</f>
        <v/>
      </c>
      <c r="BB659">
        <f>IF($H659="","",IFERROR(INDEX('_ENGINE_Risk'!$AE$41:$AE$920,MATCH($E659,'_ENGINE_Risk'!$A$41:$A$920,0)),"Medium"))</f>
        <v/>
      </c>
      <c r="BC659">
        <f>IF($BB659="","",IF($BB659="Fast",1.25,IF($BB659="Slow",0.85,1)))</f>
        <v/>
      </c>
      <c r="BD659">
        <f>IF(OR($AZ659="",$BC659=""),"",ROUND($AZ659*$BC659,2))</f>
        <v/>
      </c>
      <c r="BF659">
        <f>IF(OR($H659="",$J659=""),"",_xlfn.IFNA(VLOOKUP($J659,_CONFIG_Model_Settings!$D$610:$E$614,2,0),""))</f>
        <v/>
      </c>
      <c r="BG659">
        <f>IF(OR($H659="",$K659=""),"",ROUND('Company Profile'!$B$569*INDEX(_CONFIG_Model_Settings!$H$610:$H$614,MATCH($K659,_CONFIG_Model_Settings!$G$610:$G$614,0)),0))</f>
        <v/>
      </c>
      <c r="BH659">
        <f>IF(OR($BF659="",$BG659=""),"",ROUND($BF659*$BG659,1))</f>
        <v/>
      </c>
      <c r="BI659">
        <f>IF($BH659="","",IF($AO659="",$BH659,ROUND($BH659*$AO659,1)))</f>
        <v/>
      </c>
      <c r="BJ659">
        <f>IF($E659="","",IFERROR(VLOOKUP($C659,'_CONFIG_Risk_Calibration'!$A$5:$H$21,2,FALSE),3))</f>
        <v/>
      </c>
      <c r="BK659">
        <f>IF($E659="","",IFERROR(VLOOKUP($C659,'_CONFIG_Risk_Calibration'!$A$5:$H$21,3,FALSE),0))</f>
        <v/>
      </c>
      <c r="BL659">
        <f>IF($E659="","",IFERROR(VLOOKUP($C659,'_CONFIG_Risk_Calibration'!$A$5:$H$21,4,FALSE),3))</f>
        <v/>
      </c>
      <c r="BM659">
        <f>IF($E659="","",IFERROR(VLOOKUP($C659,'_CONFIG_Risk_Calibration'!$A$5:$H$21,5,FALSE),3))</f>
        <v/>
      </c>
      <c r="BN659">
        <f>IF($E659="","",IFERROR(VLOOKUP($C659,'_CONFIG_Risk_Calibration'!$A$5:$H$21,6,FALSE),"No"))</f>
        <v/>
      </c>
      <c r="BO659">
        <f>IF($E659="","",IFERROR(VLOOKUP($C659,'_CONFIG_Risk_Calibration'!$A$5:$H$21,7,FALSE),1))</f>
        <v/>
      </c>
      <c r="BP659">
        <f>IF($H659="","",MAX(1,MIN(5,((6-$H659)*0.45)+($BJ659*0.20)+('Resilience &amp; Risk Scenario'!$B$7*0.15)+($BK659*0.10)+($BL659*0.05)+(IF($BB659="Fast",5,IF($BB659="Slow",1,3))*0.05))))</f>
        <v/>
      </c>
      <c r="BQ659">
        <f>IF($H659="","",MAX(IF($BN659="Yes",$BO659,1),MIN(5,($U659*0.20)+($V659*0.15)+($W659*0.25)+($X659*0.15)+($BJ659*0.10)+($BM659*0.15))))</f>
        <v/>
      </c>
      <c r="BR659">
        <f>IF(OR($BP659="",$BQ659=""),"",ROUND($BP659*$BQ659,2))</f>
        <v/>
      </c>
      <c r="BS659">
        <f>IF($BR659="","",ROUND($BR659*IF($AO659="",1,$AO659)*IF($AX659="",1,$AX659)*(1+(($BM659-3)*0.10))*IF($BC659="",1,$BC659),2))</f>
        <v/>
      </c>
    </row>
    <row r="660" ht="69.90000000000001" customHeight="1" s="209">
      <c r="A660">
        <f>IF($BD660="","",SUMPRODUCT(ISNUMBER($BD$500:$BD$923)*($BD$500:$BD$923&gt;$BD660))+COUNTIF($BD$500:$BD660,$BD660))</f>
        <v/>
      </c>
      <c r="B660">
        <f>IF($H660="","",IF($H660&lt;5,"Yes","Maintain"))</f>
        <v/>
      </c>
      <c r="C660" t="inlineStr">
        <is>
          <t>Physical Safety</t>
        </is>
      </c>
      <c r="D660" t="inlineStr">
        <is>
          <t>Security and travel</t>
        </is>
      </c>
      <c r="E660" t="inlineStr">
        <is>
          <t>PHYS-021</t>
        </is>
      </c>
      <c r="F660" t="inlineStr">
        <is>
          <t>Physical safety, security and facility resilience</t>
        </is>
      </c>
      <c r="G660">
        <f>IF($H660="","",IFERROR(INDEX('_ENGINE_Risk'!$H$41:$M$920,MATCH($E660,'_ENGINE_Risk'!$A$41:$A$920,0),$H660+1),""))</f>
        <v/>
      </c>
      <c r="H660">
        <f>IFERROR(VALUE(INDEX(_DATA_Assessment_Model!$H$5:$H$884,MATCH($E660,_DATA_Assessment_Model!$A$5:$A$884,0))),"")</f>
        <v/>
      </c>
      <c r="I660">
        <f>IF($H660="","",IFERROR(INDEX(_DATA_Assessment_Model!$L$5:$L$884,MATCH($E660,_DATA_Assessment_Model!$A$5:$A$884,0)),IF($H660&lt;=1,"Critical",IF($H660=2,"High",IF($H660=3,"Medium",IF($H660=4,"Low","Resilient"))))))</f>
        <v/>
      </c>
      <c r="J660">
        <f>IF($H660="","",MIN(5,MAX(1,6-$H660)))</f>
        <v/>
      </c>
      <c r="K660">
        <f>IF($H660="","",MAX(1,MIN(5,ROUNDUP(($U660*0.45)+($W660*0.35)+($X660*0.2),0))))</f>
        <v/>
      </c>
      <c r="L660">
        <f>IF($H660="","",$J660*$K660)</f>
        <v/>
      </c>
      <c r="M660">
        <f>IF($H660="","",MAX(1,MIN(5,ROUNDUP($L660/5,0))))</f>
        <v/>
      </c>
      <c r="N660">
        <f>IF($H660="","",IFERROR(INDEX('_ENGINE_Risk'!$T$41:$Y$920,MATCH($E660,'_ENGINE_Risk'!$A$41:$A$920,0),$H660+1),""))</f>
        <v/>
      </c>
      <c r="O660">
        <f>IF($H660="","",MAX(1,MIN(5,($U660+$V660+$X660)/3)))</f>
        <v/>
      </c>
      <c r="P660">
        <f>IF($H660="","",IF($I660="Critical",5,IF($I660="High",4,IF($I660="Medium",3,IF($I660="Low",2,1)))))</f>
        <v/>
      </c>
      <c r="Q660">
        <f>IF($H660="","",MAX(1,MIN(5,((5-$H660)*0.65)+($W660*0.35))))</f>
        <v/>
      </c>
      <c r="R660">
        <f>IF($H660="","",MAX(1,MIN(5,($V660+$X660)/2)))</f>
        <v/>
      </c>
      <c r="S660">
        <f>IF(OR($H660="",$N660=""),"",ROUND(($O660+$P660+$Q660+$R660)/$N660,2))</f>
        <v/>
      </c>
      <c r="T660">
        <f>IF($H660="","",IFERROR(INDEX('_ENGINE_Risk'!$N$41:$S$920,MATCH($E660,'_ENGINE_Risk'!$A$41:$A$920,0),$H660+1),""))</f>
        <v/>
      </c>
      <c r="U660">
        <f>IFERROR(INDEX(_DATA_Assessment_Model!$G$5:$G$884,MATCH($E660,_DATA_Assessment_Model!$A$5:$A$884,0)),"")</f>
        <v/>
      </c>
      <c r="V660">
        <f>IFERROR(INDEX(_DATA_Assessment_Model!$W$5:$W$884,MATCH($E660,_DATA_Assessment_Model!$A$5:$A$884,0)),"")</f>
        <v/>
      </c>
      <c r="W660">
        <f>IFERROR(INDEX(_DATA_Assessment_Model!$X$5:$X$884,MATCH($E660,_DATA_Assessment_Model!$A$5:$A$884,0)),"")</f>
        <v/>
      </c>
      <c r="X660">
        <f>IFERROR(INDEX(_DATA_Assessment_Model!$Y$5:$Y$884,MATCH($E660,_DATA_Assessment_Model!$A$5:$A$884,0)),"")</f>
        <v/>
      </c>
      <c r="Y660" t="inlineStr">
        <is>
          <t>Safety incident; Physical site loss; War/security crisis; Natural disaster</t>
        </is>
      </c>
      <c r="Z660" t="inlineStr">
        <is>
          <t>Facilities / Security / HSE</t>
        </is>
      </c>
      <c r="AA660" t="inlineStr">
        <is>
          <t>Policy/SOP; owner/RACI; system report; dashboard; contracts; test records; incident history; interview evidence related to travel risk assessment by destination, route, purpose, employee profile and emergency support.</t>
        </is>
      </c>
      <c r="AB660">
        <f>IFERROR(INDEX(_DATA_Assessment_Model!$U$5:$U$884,MATCH($E660,_DATA_Assessment_Model!$A$5:$A$884,0)),"")</f>
        <v/>
      </c>
      <c r="AF660" t="inlineStr">
        <is>
          <t>How mature is the organization in managing travel risk assessment by destination, route, purpose, employee profile and emergency support, including ownership, evidence, metrics, fallback procedures and crisis stress testing?</t>
        </is>
      </c>
      <c r="AO660">
        <f>IF($B660="Yes",IFERROR(INDEX(_ENGINE_Crisis!$F$501:$F$517,MATCH($C660,_ENGINE_Crisis!$A$501:$A$517,0)),1),"")</f>
        <v/>
      </c>
      <c r="AP660">
        <f>IF(AO660="","",ROUND($L660*AO660,1))</f>
        <v/>
      </c>
      <c r="AQ660">
        <f>IF(OR(AO660="",$S660=""),"",ROUND($S660*(0.7+0.3*AO660),2))</f>
        <v/>
      </c>
      <c r="AR660">
        <f>IFERROR(INDEX(_ENGINE_Crisis!$E$41:$E$700,MATCH('Resilience &amp; Risk Scenario'!$B$60&amp;"|"&amp;$C660,_ENGINE_Crisis!$I$41:$I$700,0)),"")</f>
        <v/>
      </c>
      <c r="AS660">
        <f>IFERROR(INDEX(_ENGINE_Crisis!$G$41:$G$700,MATCH('Resilience &amp; Risk Scenario'!$B$60&amp;"|"&amp;$C660,_ENGINE_Crisis!$I$41:$I$700,0)),"")</f>
        <v/>
      </c>
      <c r="AT660">
        <f>IFERROR(INDEX(_ENGINE_Initiatives!$A$5:$A$532,MATCH(1,INDEX((_ENGINE_Initiatives!$B$5:$B$532=$C660)*(_ENGINE_Initiatives!$C$5:$C$532=$D660),0),0)),"")</f>
        <v/>
      </c>
      <c r="AU660">
        <f>IFERROR(INDEX(_ENGINE_Initiatives!$F$5:$F$532,MATCH(1,INDEX((_ENGINE_Initiatives!$B$5:$B$532=$C660)*(_ENGINE_Initiatives!$C$5:$C$532=$D660),0),0)),"")</f>
        <v/>
      </c>
      <c r="AV660">
        <f>IFERROR(INDEX(_ENGINE_Initiatives!$AC$5:$AC$532,MATCH(1,INDEX((_ENGINE_Initiatives!$B$5:$B$532=$C660)*(_ENGINE_Initiatives!$C$5:$C$532=$D660),0),0)),"")</f>
        <v/>
      </c>
      <c r="AW660">
        <f>IFERROR(INDEX(_ENGINE_Initiatives!$AE$5:$AE$532,MATCH(1,INDEX((_ENGINE_Initiatives!$B$5:$B$532=$C660)*(_ENGINE_Initiatives!$C$5:$C$532=$D660),0),0)),"")</f>
        <v/>
      </c>
      <c r="AX660">
        <f>IF($B660="Yes",IFERROR(IF(SUMIFS(_REF_Model_Content!$E$1:$E$613,_REF_Model_Content!$A$1:$A$613,'Company Profile'!$B$9,_REF_Model_Content!$B$1:$B$613,$C660)=0,1,SUMIFS(_REF_Model_Content!$E$1:$E$613,_REF_Model_Content!$A$1:$A$613,'Company Profile'!$B$9,_REF_Model_Content!$B$1:$B$613,$C660)),1),"")</f>
        <v/>
      </c>
      <c r="AY660">
        <f>IF($L660="","",ROUND(IF($AP660="",$L660,$AP660)*IF($AX660="",1,$AX660),2))</f>
        <v/>
      </c>
      <c r="AZ660">
        <f>IF($S660="","",ROUND(IF($AQ660="",$S660,$AQ660)*IF($AX660="",1,$AX660),2))</f>
        <v/>
      </c>
      <c r="BB660">
        <f>IF($H660="","",IFERROR(INDEX('_ENGINE_Risk'!$AE$41:$AE$920,MATCH($E660,'_ENGINE_Risk'!$A$41:$A$920,0)),"Medium"))</f>
        <v/>
      </c>
      <c r="BC660">
        <f>IF($BB660="","",IF($BB660="Fast",1.25,IF($BB660="Slow",0.85,1)))</f>
        <v/>
      </c>
      <c r="BD660">
        <f>IF(OR($AZ660="",$BC660=""),"",ROUND($AZ660*$BC660,2))</f>
        <v/>
      </c>
      <c r="BF660">
        <f>IF(OR($H660="",$J660=""),"",_xlfn.IFNA(VLOOKUP($J660,_CONFIG_Model_Settings!$D$610:$E$614,2,0),""))</f>
        <v/>
      </c>
      <c r="BG660">
        <f>IF(OR($H660="",$K660=""),"",ROUND('Company Profile'!$B$569*INDEX(_CONFIG_Model_Settings!$H$610:$H$614,MATCH($K660,_CONFIG_Model_Settings!$G$610:$G$614,0)),0))</f>
        <v/>
      </c>
      <c r="BH660">
        <f>IF(OR($BF660="",$BG660=""),"",ROUND($BF660*$BG660,1))</f>
        <v/>
      </c>
      <c r="BI660">
        <f>IF($BH660="","",IF($AO660="",$BH660,ROUND($BH660*$AO660,1)))</f>
        <v/>
      </c>
      <c r="BJ660">
        <f>IF($E660="","",IFERROR(VLOOKUP($C660,'_CONFIG_Risk_Calibration'!$A$5:$H$21,2,FALSE),3))</f>
        <v/>
      </c>
      <c r="BK660">
        <f>IF($E660="","",IFERROR(VLOOKUP($C660,'_CONFIG_Risk_Calibration'!$A$5:$H$21,3,FALSE),0))</f>
        <v/>
      </c>
      <c r="BL660">
        <f>IF($E660="","",IFERROR(VLOOKUP($C660,'_CONFIG_Risk_Calibration'!$A$5:$H$21,4,FALSE),3))</f>
        <v/>
      </c>
      <c r="BM660">
        <f>IF($E660="","",IFERROR(VLOOKUP($C660,'_CONFIG_Risk_Calibration'!$A$5:$H$21,5,FALSE),3))</f>
        <v/>
      </c>
      <c r="BN660">
        <f>IF($E660="","",IFERROR(VLOOKUP($C660,'_CONFIG_Risk_Calibration'!$A$5:$H$21,6,FALSE),"No"))</f>
        <v/>
      </c>
      <c r="BO660">
        <f>IF($E660="","",IFERROR(VLOOKUP($C660,'_CONFIG_Risk_Calibration'!$A$5:$H$21,7,FALSE),1))</f>
        <v/>
      </c>
      <c r="BP660">
        <f>IF($H660="","",MAX(1,MIN(5,((6-$H660)*0.45)+($BJ660*0.20)+('Resilience &amp; Risk Scenario'!$B$7*0.15)+($BK660*0.10)+($BL660*0.05)+(IF($BB660="Fast",5,IF($BB660="Slow",1,3))*0.05))))</f>
        <v/>
      </c>
      <c r="BQ660">
        <f>IF($H660="","",MAX(IF($BN660="Yes",$BO660,1),MIN(5,($U660*0.20)+($V660*0.15)+($W660*0.25)+($X660*0.15)+($BJ660*0.10)+($BM660*0.15))))</f>
        <v/>
      </c>
      <c r="BR660">
        <f>IF(OR($BP660="",$BQ660=""),"",ROUND($BP660*$BQ660,2))</f>
        <v/>
      </c>
      <c r="BS660">
        <f>IF($BR660="","",ROUND($BR660*IF($AO660="",1,$AO660)*IF($AX660="",1,$AX660)*(1+(($BM660-3)*0.10))*IF($BC660="",1,$BC660),2))</f>
        <v/>
      </c>
    </row>
    <row r="661" ht="69.90000000000001" customHeight="1" s="209">
      <c r="A661">
        <f>IF($BD661="","",SUMPRODUCT(ISNUMBER($BD$500:$BD$923)*($BD$500:$BD$923&gt;$BD661))+COUNTIF($BD$500:$BD661,$BD661))</f>
        <v/>
      </c>
      <c r="B661">
        <f>IF($H661="","",IF($H661&lt;5,"Yes","Maintain"))</f>
        <v/>
      </c>
      <c r="C661" t="inlineStr">
        <is>
          <t>Physical Safety</t>
        </is>
      </c>
      <c r="D661" t="inlineStr">
        <is>
          <t>Security and travel</t>
        </is>
      </c>
      <c r="E661" t="inlineStr">
        <is>
          <t>PHYS-022</t>
        </is>
      </c>
      <c r="F661" t="inlineStr">
        <is>
          <t>Physical safety, security and facility resilience</t>
        </is>
      </c>
      <c r="G661">
        <f>IF($H661="","",IFERROR(INDEX('_ENGINE_Risk'!$H$41:$M$920,MATCH($E661,'_ENGINE_Risk'!$A$41:$A$920,0),$H661+1),""))</f>
        <v/>
      </c>
      <c r="H661">
        <f>IFERROR(VALUE(INDEX(_DATA_Assessment_Model!$H$5:$H$884,MATCH($E661,_DATA_Assessment_Model!$A$5:$A$884,0))),"")</f>
        <v/>
      </c>
      <c r="I661">
        <f>IF($H661="","",IFERROR(INDEX(_DATA_Assessment_Model!$L$5:$L$884,MATCH($E661,_DATA_Assessment_Model!$A$5:$A$884,0)),IF($H661&lt;=1,"Critical",IF($H661=2,"High",IF($H661=3,"Medium",IF($H661=4,"Low","Resilient"))))))</f>
        <v/>
      </c>
      <c r="J661">
        <f>IF($H661="","",MIN(5,MAX(1,6-$H661)))</f>
        <v/>
      </c>
      <c r="K661">
        <f>IF($H661="","",MAX(1,MIN(5,ROUNDUP(($U661*0.45)+($W661*0.35)+($X661*0.2),0))))</f>
        <v/>
      </c>
      <c r="L661">
        <f>IF($H661="","",$J661*$K661)</f>
        <v/>
      </c>
      <c r="M661">
        <f>IF($H661="","",MAX(1,MIN(5,ROUNDUP($L661/5,0))))</f>
        <v/>
      </c>
      <c r="N661">
        <f>IF($H661="","",IFERROR(INDEX('_ENGINE_Risk'!$T$41:$Y$920,MATCH($E661,'_ENGINE_Risk'!$A$41:$A$920,0),$H661+1),""))</f>
        <v/>
      </c>
      <c r="O661">
        <f>IF($H661="","",MAX(1,MIN(5,($U661+$V661+$X661)/3)))</f>
        <v/>
      </c>
      <c r="P661">
        <f>IF($H661="","",IF($I661="Critical",5,IF($I661="High",4,IF($I661="Medium",3,IF($I661="Low",2,1)))))</f>
        <v/>
      </c>
      <c r="Q661">
        <f>IF($H661="","",MAX(1,MIN(5,((5-$H661)*0.65)+($W661*0.35))))</f>
        <v/>
      </c>
      <c r="R661">
        <f>IF($H661="","",MAX(1,MIN(5,($V661+$X661)/2)))</f>
        <v/>
      </c>
      <c r="S661">
        <f>IF(OR($H661="",$N661=""),"",ROUND(($O661+$P661+$Q661+$R661)/$N661,2))</f>
        <v/>
      </c>
      <c r="T661">
        <f>IF($H661="","",IFERROR(INDEX('_ENGINE_Risk'!$N$41:$S$920,MATCH($E661,'_ENGINE_Risk'!$A$41:$A$920,0),$H661+1),""))</f>
        <v/>
      </c>
      <c r="U661">
        <f>IFERROR(INDEX(_DATA_Assessment_Model!$G$5:$G$884,MATCH($E661,_DATA_Assessment_Model!$A$5:$A$884,0)),"")</f>
        <v/>
      </c>
      <c r="V661">
        <f>IFERROR(INDEX(_DATA_Assessment_Model!$W$5:$W$884,MATCH($E661,_DATA_Assessment_Model!$A$5:$A$884,0)),"")</f>
        <v/>
      </c>
      <c r="W661">
        <f>IFERROR(INDEX(_DATA_Assessment_Model!$X$5:$X$884,MATCH($E661,_DATA_Assessment_Model!$A$5:$A$884,0)),"")</f>
        <v/>
      </c>
      <c r="X661">
        <f>IFERROR(INDEX(_DATA_Assessment_Model!$Y$5:$Y$884,MATCH($E661,_DATA_Assessment_Model!$A$5:$A$884,0)),"")</f>
        <v/>
      </c>
      <c r="Y661" t="inlineStr">
        <is>
          <t>Safety incident; Physical site loss; War/security crisis; Natural disaster</t>
        </is>
      </c>
      <c r="Z661" t="inlineStr">
        <is>
          <t>Facilities / Security / HSE</t>
        </is>
      </c>
      <c r="AA661" t="inlineStr">
        <is>
          <t>Policy/SOP; owner/RACI; system report; dashboard; contracts; test records; incident history; interview evidence related to local threat monitoring for critical sites and geographies.</t>
        </is>
      </c>
      <c r="AB661">
        <f>IFERROR(INDEX(_DATA_Assessment_Model!$U$5:$U$884,MATCH($E661,_DATA_Assessment_Model!$A$5:$A$884,0)),"")</f>
        <v/>
      </c>
      <c r="AF661" t="inlineStr">
        <is>
          <t>How mature is the organization in managing local threat monitoring for critical sites and geographies, including ownership, evidence, metrics, fallback procedures and crisis stress testing?</t>
        </is>
      </c>
      <c r="AO661">
        <f>IF($B661="Yes",IFERROR(INDEX(_ENGINE_Crisis!$F$501:$F$517,MATCH($C661,_ENGINE_Crisis!$A$501:$A$517,0)),1),"")</f>
        <v/>
      </c>
      <c r="AP661">
        <f>IF(AO661="","",ROUND($L661*AO661,1))</f>
        <v/>
      </c>
      <c r="AQ661">
        <f>IF(OR(AO661="",$S661=""),"",ROUND($S661*(0.7+0.3*AO661),2))</f>
        <v/>
      </c>
      <c r="AR661">
        <f>IFERROR(INDEX(_ENGINE_Crisis!$E$41:$E$700,MATCH('Resilience &amp; Risk Scenario'!$B$60&amp;"|"&amp;$C661,_ENGINE_Crisis!$I$41:$I$700,0)),"")</f>
        <v/>
      </c>
      <c r="AS661">
        <f>IFERROR(INDEX(_ENGINE_Crisis!$G$41:$G$700,MATCH('Resilience &amp; Risk Scenario'!$B$60&amp;"|"&amp;$C661,_ENGINE_Crisis!$I$41:$I$700,0)),"")</f>
        <v/>
      </c>
      <c r="AT661">
        <f>IFERROR(INDEX(_ENGINE_Initiatives!$A$5:$A$532,MATCH(1,INDEX((_ENGINE_Initiatives!$B$5:$B$532=$C661)*(_ENGINE_Initiatives!$C$5:$C$532=$D661),0),0)),"")</f>
        <v/>
      </c>
      <c r="AU661">
        <f>IFERROR(INDEX(_ENGINE_Initiatives!$F$5:$F$532,MATCH(1,INDEX((_ENGINE_Initiatives!$B$5:$B$532=$C661)*(_ENGINE_Initiatives!$C$5:$C$532=$D661),0),0)),"")</f>
        <v/>
      </c>
      <c r="AV661">
        <f>IFERROR(INDEX(_ENGINE_Initiatives!$AC$5:$AC$532,MATCH(1,INDEX((_ENGINE_Initiatives!$B$5:$B$532=$C661)*(_ENGINE_Initiatives!$C$5:$C$532=$D661),0),0)),"")</f>
        <v/>
      </c>
      <c r="AW661">
        <f>IFERROR(INDEX(_ENGINE_Initiatives!$AE$5:$AE$532,MATCH(1,INDEX((_ENGINE_Initiatives!$B$5:$B$532=$C661)*(_ENGINE_Initiatives!$C$5:$C$532=$D661),0),0)),"")</f>
        <v/>
      </c>
      <c r="AX661">
        <f>IF($B661="Yes",IFERROR(IF(SUMIFS(_REF_Model_Content!$E$1:$E$613,_REF_Model_Content!$A$1:$A$613,'Company Profile'!$B$9,_REF_Model_Content!$B$1:$B$613,$C661)=0,1,SUMIFS(_REF_Model_Content!$E$1:$E$613,_REF_Model_Content!$A$1:$A$613,'Company Profile'!$B$9,_REF_Model_Content!$B$1:$B$613,$C661)),1),"")</f>
        <v/>
      </c>
      <c r="AY661">
        <f>IF($L661="","",ROUND(IF($AP661="",$L661,$AP661)*IF($AX661="",1,$AX661),2))</f>
        <v/>
      </c>
      <c r="AZ661">
        <f>IF($S661="","",ROUND(IF($AQ661="",$S661,$AQ661)*IF($AX661="",1,$AX661),2))</f>
        <v/>
      </c>
      <c r="BB661">
        <f>IF($H661="","",IFERROR(INDEX('_ENGINE_Risk'!$AE$41:$AE$920,MATCH($E661,'_ENGINE_Risk'!$A$41:$A$920,0)),"Medium"))</f>
        <v/>
      </c>
      <c r="BC661">
        <f>IF($BB661="","",IF($BB661="Fast",1.25,IF($BB661="Slow",0.85,1)))</f>
        <v/>
      </c>
      <c r="BD661">
        <f>IF(OR($AZ661="",$BC661=""),"",ROUND($AZ661*$BC661,2))</f>
        <v/>
      </c>
      <c r="BF661">
        <f>IF(OR($H661="",$J661=""),"",_xlfn.IFNA(VLOOKUP($J661,_CONFIG_Model_Settings!$D$610:$E$614,2,0),""))</f>
        <v/>
      </c>
      <c r="BG661">
        <f>IF(OR($H661="",$K661=""),"",ROUND('Company Profile'!$B$569*INDEX(_CONFIG_Model_Settings!$H$610:$H$614,MATCH($K661,_CONFIG_Model_Settings!$G$610:$G$614,0)),0))</f>
        <v/>
      </c>
      <c r="BH661">
        <f>IF(OR($BF661="",$BG661=""),"",ROUND($BF661*$BG661,1))</f>
        <v/>
      </c>
      <c r="BI661">
        <f>IF($BH661="","",IF($AO661="",$BH661,ROUND($BH661*$AO661,1)))</f>
        <v/>
      </c>
      <c r="BJ661">
        <f>IF($E661="","",IFERROR(VLOOKUP($C661,'_CONFIG_Risk_Calibration'!$A$5:$H$21,2,FALSE),3))</f>
        <v/>
      </c>
      <c r="BK661">
        <f>IF($E661="","",IFERROR(VLOOKUP($C661,'_CONFIG_Risk_Calibration'!$A$5:$H$21,3,FALSE),0))</f>
        <v/>
      </c>
      <c r="BL661">
        <f>IF($E661="","",IFERROR(VLOOKUP($C661,'_CONFIG_Risk_Calibration'!$A$5:$H$21,4,FALSE),3))</f>
        <v/>
      </c>
      <c r="BM661">
        <f>IF($E661="","",IFERROR(VLOOKUP($C661,'_CONFIG_Risk_Calibration'!$A$5:$H$21,5,FALSE),3))</f>
        <v/>
      </c>
      <c r="BN661">
        <f>IF($E661="","",IFERROR(VLOOKUP($C661,'_CONFIG_Risk_Calibration'!$A$5:$H$21,6,FALSE),"No"))</f>
        <v/>
      </c>
      <c r="BO661">
        <f>IF($E661="","",IFERROR(VLOOKUP($C661,'_CONFIG_Risk_Calibration'!$A$5:$H$21,7,FALSE),1))</f>
        <v/>
      </c>
      <c r="BP661">
        <f>IF($H661="","",MAX(1,MIN(5,((6-$H661)*0.45)+($BJ661*0.20)+('Resilience &amp; Risk Scenario'!$B$7*0.15)+($BK661*0.10)+($BL661*0.05)+(IF($BB661="Fast",5,IF($BB661="Slow",1,3))*0.05))))</f>
        <v/>
      </c>
      <c r="BQ661">
        <f>IF($H661="","",MAX(IF($BN661="Yes",$BO661,1),MIN(5,($U661*0.20)+($V661*0.15)+($W661*0.25)+($X661*0.15)+($BJ661*0.10)+($BM661*0.15))))</f>
        <v/>
      </c>
      <c r="BR661">
        <f>IF(OR($BP661="",$BQ661=""),"",ROUND($BP661*$BQ661,2))</f>
        <v/>
      </c>
      <c r="BS661">
        <f>IF($BR661="","",ROUND($BR661*IF($AO661="",1,$AO661)*IF($AX661="",1,$AX661)*(1+(($BM661-3)*0.10))*IF($BC661="",1,$BC661),2))</f>
        <v/>
      </c>
    </row>
    <row r="662" ht="69.90000000000001" customHeight="1" s="209">
      <c r="A662">
        <f>IF($BD662="","",SUMPRODUCT(ISNUMBER($BD$500:$BD$923)*($BD$500:$BD$923&gt;$BD662))+COUNTIF($BD$500:$BD662,$BD662))</f>
        <v/>
      </c>
      <c r="B662">
        <f>IF($H662="","",IF($H662&lt;5,"Yes","Maintain"))</f>
        <v/>
      </c>
      <c r="C662" t="inlineStr">
        <is>
          <t>Physical Safety</t>
        </is>
      </c>
      <c r="D662" t="inlineStr">
        <is>
          <t>Security and travel</t>
        </is>
      </c>
      <c r="E662" t="inlineStr">
        <is>
          <t>PHYS-023</t>
        </is>
      </c>
      <c r="F662" t="inlineStr">
        <is>
          <t>Physical safety, security and facility resilience</t>
        </is>
      </c>
      <c r="G662">
        <f>IF($H662="","",IFERROR(INDEX('_ENGINE_Risk'!$H$41:$M$920,MATCH($E662,'_ENGINE_Risk'!$A$41:$A$920,0),$H662+1),""))</f>
        <v/>
      </c>
      <c r="H662">
        <f>IFERROR(VALUE(INDEX(_DATA_Assessment_Model!$H$5:$H$884,MATCH($E662,_DATA_Assessment_Model!$A$5:$A$884,0))),"")</f>
        <v/>
      </c>
      <c r="I662">
        <f>IF($H662="","",IFERROR(INDEX(_DATA_Assessment_Model!$L$5:$L$884,MATCH($E662,_DATA_Assessment_Model!$A$5:$A$884,0)),IF($H662&lt;=1,"Critical",IF($H662=2,"High",IF($H662=3,"Medium",IF($H662=4,"Low","Resilient"))))))</f>
        <v/>
      </c>
      <c r="J662">
        <f>IF($H662="","",MIN(5,MAX(1,6-$H662)))</f>
        <v/>
      </c>
      <c r="K662">
        <f>IF($H662="","",MAX(1,MIN(5,ROUNDUP(($U662*0.45)+($W662*0.35)+($X662*0.2),0))))</f>
        <v/>
      </c>
      <c r="L662">
        <f>IF($H662="","",$J662*$K662)</f>
        <v/>
      </c>
      <c r="M662">
        <f>IF($H662="","",MAX(1,MIN(5,ROUNDUP($L662/5,0))))</f>
        <v/>
      </c>
      <c r="N662">
        <f>IF($H662="","",IFERROR(INDEX('_ENGINE_Risk'!$T$41:$Y$920,MATCH($E662,'_ENGINE_Risk'!$A$41:$A$920,0),$H662+1),""))</f>
        <v/>
      </c>
      <c r="O662">
        <f>IF($H662="","",MAX(1,MIN(5,($U662+$V662+$X662)/3)))</f>
        <v/>
      </c>
      <c r="P662">
        <f>IF($H662="","",IF($I662="Critical",5,IF($I662="High",4,IF($I662="Medium",3,IF($I662="Low",2,1)))))</f>
        <v/>
      </c>
      <c r="Q662">
        <f>IF($H662="","",MAX(1,MIN(5,((5-$H662)*0.65)+($W662*0.35))))</f>
        <v/>
      </c>
      <c r="R662">
        <f>IF($H662="","",MAX(1,MIN(5,($V662+$X662)/2)))</f>
        <v/>
      </c>
      <c r="S662">
        <f>IF(OR($H662="",$N662=""),"",ROUND(($O662+$P662+$Q662+$R662)/$N662,2))</f>
        <v/>
      </c>
      <c r="T662">
        <f>IF($H662="","",IFERROR(INDEX('_ENGINE_Risk'!$N$41:$S$920,MATCH($E662,'_ENGINE_Risk'!$A$41:$A$920,0),$H662+1),""))</f>
        <v/>
      </c>
      <c r="U662">
        <f>IFERROR(INDEX(_DATA_Assessment_Model!$G$5:$G$884,MATCH($E662,_DATA_Assessment_Model!$A$5:$A$884,0)),"")</f>
        <v/>
      </c>
      <c r="V662">
        <f>IFERROR(INDEX(_DATA_Assessment_Model!$W$5:$W$884,MATCH($E662,_DATA_Assessment_Model!$A$5:$A$884,0)),"")</f>
        <v/>
      </c>
      <c r="W662">
        <f>IFERROR(INDEX(_DATA_Assessment_Model!$X$5:$X$884,MATCH($E662,_DATA_Assessment_Model!$A$5:$A$884,0)),"")</f>
        <v/>
      </c>
      <c r="X662">
        <f>IFERROR(INDEX(_DATA_Assessment_Model!$Y$5:$Y$884,MATCH($E662,_DATA_Assessment_Model!$A$5:$A$884,0)),"")</f>
        <v/>
      </c>
      <c r="Y662" t="inlineStr">
        <is>
          <t>Safety incident; Physical site loss; War/security crisis; Natural disaster</t>
        </is>
      </c>
      <c r="Z662" t="inlineStr">
        <is>
          <t>Facilities / Security / HSE</t>
        </is>
      </c>
      <c r="AA662" t="inlineStr">
        <is>
          <t>Policy/SOP; owner/RACI; system report; dashboard; contracts; test records; incident history; interview evidence related to coordination with fire, police, medical, local administration and utility providers.</t>
        </is>
      </c>
      <c r="AB662">
        <f>IFERROR(INDEX(_DATA_Assessment_Model!$U$5:$U$884,MATCH($E662,_DATA_Assessment_Model!$A$5:$A$884,0)),"")</f>
        <v/>
      </c>
      <c r="AF662" t="inlineStr">
        <is>
          <t>How mature is the organization in managing coordination with fire, police, medical, local administration and utility providers, including ownership, evidence, metrics, fallback procedures and crisis stress testing?</t>
        </is>
      </c>
      <c r="AO662">
        <f>IF($B662="Yes",IFERROR(INDEX(_ENGINE_Crisis!$F$501:$F$517,MATCH($C662,_ENGINE_Crisis!$A$501:$A$517,0)),1),"")</f>
        <v/>
      </c>
      <c r="AP662">
        <f>IF(AO662="","",ROUND($L662*AO662,1))</f>
        <v/>
      </c>
      <c r="AQ662">
        <f>IF(OR(AO662="",$S662=""),"",ROUND($S662*(0.7+0.3*AO662),2))</f>
        <v/>
      </c>
      <c r="AR662">
        <f>IFERROR(INDEX(_ENGINE_Crisis!$E$41:$E$700,MATCH('Resilience &amp; Risk Scenario'!$B$60&amp;"|"&amp;$C662,_ENGINE_Crisis!$I$41:$I$700,0)),"")</f>
        <v/>
      </c>
      <c r="AS662">
        <f>IFERROR(INDEX(_ENGINE_Crisis!$G$41:$G$700,MATCH('Resilience &amp; Risk Scenario'!$B$60&amp;"|"&amp;$C662,_ENGINE_Crisis!$I$41:$I$700,0)),"")</f>
        <v/>
      </c>
      <c r="AT662">
        <f>IFERROR(INDEX(_ENGINE_Initiatives!$A$5:$A$532,MATCH(1,INDEX((_ENGINE_Initiatives!$B$5:$B$532=$C662)*(_ENGINE_Initiatives!$C$5:$C$532=$D662),0),0)),"")</f>
        <v/>
      </c>
      <c r="AU662">
        <f>IFERROR(INDEX(_ENGINE_Initiatives!$F$5:$F$532,MATCH(1,INDEX((_ENGINE_Initiatives!$B$5:$B$532=$C662)*(_ENGINE_Initiatives!$C$5:$C$532=$D662),0),0)),"")</f>
        <v/>
      </c>
      <c r="AV662">
        <f>IFERROR(INDEX(_ENGINE_Initiatives!$AC$5:$AC$532,MATCH(1,INDEX((_ENGINE_Initiatives!$B$5:$B$532=$C662)*(_ENGINE_Initiatives!$C$5:$C$532=$D662),0),0)),"")</f>
        <v/>
      </c>
      <c r="AW662">
        <f>IFERROR(INDEX(_ENGINE_Initiatives!$AE$5:$AE$532,MATCH(1,INDEX((_ENGINE_Initiatives!$B$5:$B$532=$C662)*(_ENGINE_Initiatives!$C$5:$C$532=$D662),0),0)),"")</f>
        <v/>
      </c>
      <c r="AX662">
        <f>IF($B662="Yes",IFERROR(IF(SUMIFS(_REF_Model_Content!$E$1:$E$613,_REF_Model_Content!$A$1:$A$613,'Company Profile'!$B$9,_REF_Model_Content!$B$1:$B$613,$C662)=0,1,SUMIFS(_REF_Model_Content!$E$1:$E$613,_REF_Model_Content!$A$1:$A$613,'Company Profile'!$B$9,_REF_Model_Content!$B$1:$B$613,$C662)),1),"")</f>
        <v/>
      </c>
      <c r="AY662">
        <f>IF($L662="","",ROUND(IF($AP662="",$L662,$AP662)*IF($AX662="",1,$AX662),2))</f>
        <v/>
      </c>
      <c r="AZ662">
        <f>IF($S662="","",ROUND(IF($AQ662="",$S662,$AQ662)*IF($AX662="",1,$AX662),2))</f>
        <v/>
      </c>
      <c r="BB662">
        <f>IF($H662="","",IFERROR(INDEX('_ENGINE_Risk'!$AE$41:$AE$920,MATCH($E662,'_ENGINE_Risk'!$A$41:$A$920,0)),"Medium"))</f>
        <v/>
      </c>
      <c r="BC662">
        <f>IF($BB662="","",IF($BB662="Fast",1.25,IF($BB662="Slow",0.85,1)))</f>
        <v/>
      </c>
      <c r="BD662">
        <f>IF(OR($AZ662="",$BC662=""),"",ROUND($AZ662*$BC662,2))</f>
        <v/>
      </c>
      <c r="BF662">
        <f>IF(OR($H662="",$J662=""),"",_xlfn.IFNA(VLOOKUP($J662,_CONFIG_Model_Settings!$D$610:$E$614,2,0),""))</f>
        <v/>
      </c>
      <c r="BG662">
        <f>IF(OR($H662="",$K662=""),"",ROUND('Company Profile'!$B$569*INDEX(_CONFIG_Model_Settings!$H$610:$H$614,MATCH($K662,_CONFIG_Model_Settings!$G$610:$G$614,0)),0))</f>
        <v/>
      </c>
      <c r="BH662">
        <f>IF(OR($BF662="",$BG662=""),"",ROUND($BF662*$BG662,1))</f>
        <v/>
      </c>
      <c r="BI662">
        <f>IF($BH662="","",IF($AO662="",$BH662,ROUND($BH662*$AO662,1)))</f>
        <v/>
      </c>
      <c r="BJ662">
        <f>IF($E662="","",IFERROR(VLOOKUP($C662,'_CONFIG_Risk_Calibration'!$A$5:$H$21,2,FALSE),3))</f>
        <v/>
      </c>
      <c r="BK662">
        <f>IF($E662="","",IFERROR(VLOOKUP($C662,'_CONFIG_Risk_Calibration'!$A$5:$H$21,3,FALSE),0))</f>
        <v/>
      </c>
      <c r="BL662">
        <f>IF($E662="","",IFERROR(VLOOKUP($C662,'_CONFIG_Risk_Calibration'!$A$5:$H$21,4,FALSE),3))</f>
        <v/>
      </c>
      <c r="BM662">
        <f>IF($E662="","",IFERROR(VLOOKUP($C662,'_CONFIG_Risk_Calibration'!$A$5:$H$21,5,FALSE),3))</f>
        <v/>
      </c>
      <c r="BN662">
        <f>IF($E662="","",IFERROR(VLOOKUP($C662,'_CONFIG_Risk_Calibration'!$A$5:$H$21,6,FALSE),"No"))</f>
        <v/>
      </c>
      <c r="BO662">
        <f>IF($E662="","",IFERROR(VLOOKUP($C662,'_CONFIG_Risk_Calibration'!$A$5:$H$21,7,FALSE),1))</f>
        <v/>
      </c>
      <c r="BP662">
        <f>IF($H662="","",MAX(1,MIN(5,((6-$H662)*0.45)+($BJ662*0.20)+('Resilience &amp; Risk Scenario'!$B$7*0.15)+($BK662*0.10)+($BL662*0.05)+(IF($BB662="Fast",5,IF($BB662="Slow",1,3))*0.05))))</f>
        <v/>
      </c>
      <c r="BQ662">
        <f>IF($H662="","",MAX(IF($BN662="Yes",$BO662,1),MIN(5,($U662*0.20)+($V662*0.15)+($W662*0.25)+($X662*0.15)+($BJ662*0.10)+($BM662*0.15))))</f>
        <v/>
      </c>
      <c r="BR662">
        <f>IF(OR($BP662="",$BQ662=""),"",ROUND($BP662*$BQ662,2))</f>
        <v/>
      </c>
      <c r="BS662">
        <f>IF($BR662="","",ROUND($BR662*IF($AO662="",1,$AO662)*IF($AX662="",1,$AX662)*(1+(($BM662-3)*0.10))*IF($BC662="",1,$BC662),2))</f>
        <v/>
      </c>
    </row>
    <row r="663" ht="69.90000000000001" customHeight="1" s="209">
      <c r="A663">
        <f>IF($BD663="","",SUMPRODUCT(ISNUMBER($BD$500:$BD$923)*($BD$500:$BD$923&gt;$BD663))+COUNTIF($BD$500:$BD663,$BD663))</f>
        <v/>
      </c>
      <c r="B663">
        <f>IF($H663="","",IF($H663&lt;5,"Yes","Maintain"))</f>
        <v/>
      </c>
      <c r="C663" t="inlineStr">
        <is>
          <t>Physical Safety</t>
        </is>
      </c>
      <c r="D663" t="inlineStr">
        <is>
          <t>Utilities and resilience</t>
        </is>
      </c>
      <c r="E663" t="inlineStr">
        <is>
          <t>PHYS-024</t>
        </is>
      </c>
      <c r="F663" t="inlineStr">
        <is>
          <t>Physical safety, security and facility resilience</t>
        </is>
      </c>
      <c r="G663">
        <f>IF($H663="","",IFERROR(INDEX('_ENGINE_Risk'!$H$41:$M$920,MATCH($E663,'_ENGINE_Risk'!$A$41:$A$920,0),$H663+1),""))</f>
        <v/>
      </c>
      <c r="H663">
        <f>IFERROR(VALUE(INDEX(_DATA_Assessment_Model!$H$5:$H$884,MATCH($E663,_DATA_Assessment_Model!$A$5:$A$884,0))),"")</f>
        <v/>
      </c>
      <c r="I663">
        <f>IF($H663="","",IFERROR(INDEX(_DATA_Assessment_Model!$L$5:$L$884,MATCH($E663,_DATA_Assessment_Model!$A$5:$A$884,0)),IF($H663&lt;=1,"Critical",IF($H663=2,"High",IF($H663=3,"Medium",IF($H663=4,"Low","Resilient"))))))</f>
        <v/>
      </c>
      <c r="J663">
        <f>IF($H663="","",MIN(5,MAX(1,6-$H663)))</f>
        <v/>
      </c>
      <c r="K663">
        <f>IF($H663="","",MAX(1,MIN(5,ROUNDUP(($U663*0.45)+($W663*0.35)+($X663*0.2),0))))</f>
        <v/>
      </c>
      <c r="L663">
        <f>IF($H663="","",$J663*$K663)</f>
        <v/>
      </c>
      <c r="M663">
        <f>IF($H663="","",MAX(1,MIN(5,ROUNDUP($L663/5,0))))</f>
        <v/>
      </c>
      <c r="N663">
        <f>IF($H663="","",IFERROR(INDEX('_ENGINE_Risk'!$T$41:$Y$920,MATCH($E663,'_ENGINE_Risk'!$A$41:$A$920,0),$H663+1),""))</f>
        <v/>
      </c>
      <c r="O663">
        <f>IF($H663="","",MAX(1,MIN(5,($U663+$V663+$X663)/3)))</f>
        <v/>
      </c>
      <c r="P663">
        <f>IF($H663="","",IF($I663="Critical",5,IF($I663="High",4,IF($I663="Medium",3,IF($I663="Low",2,1)))))</f>
        <v/>
      </c>
      <c r="Q663">
        <f>IF($H663="","",MAX(1,MIN(5,((5-$H663)*0.65)+($W663*0.35))))</f>
        <v/>
      </c>
      <c r="R663">
        <f>IF($H663="","",MAX(1,MIN(5,($V663+$X663)/2)))</f>
        <v/>
      </c>
      <c r="S663">
        <f>IF(OR($H663="",$N663=""),"",ROUND(($O663+$P663+$Q663+$R663)/$N663,2))</f>
        <v/>
      </c>
      <c r="T663">
        <f>IF($H663="","",IFERROR(INDEX('_ENGINE_Risk'!$N$41:$S$920,MATCH($E663,'_ENGINE_Risk'!$A$41:$A$920,0),$H663+1),""))</f>
        <v/>
      </c>
      <c r="U663">
        <f>IFERROR(INDEX(_DATA_Assessment_Model!$G$5:$G$884,MATCH($E663,_DATA_Assessment_Model!$A$5:$A$884,0)),"")</f>
        <v/>
      </c>
      <c r="V663">
        <f>IFERROR(INDEX(_DATA_Assessment_Model!$W$5:$W$884,MATCH($E663,_DATA_Assessment_Model!$A$5:$A$884,0)),"")</f>
        <v/>
      </c>
      <c r="W663">
        <f>IFERROR(INDEX(_DATA_Assessment_Model!$X$5:$X$884,MATCH($E663,_DATA_Assessment_Model!$A$5:$A$884,0)),"")</f>
        <v/>
      </c>
      <c r="X663">
        <f>IFERROR(INDEX(_DATA_Assessment_Model!$Y$5:$Y$884,MATCH($E663,_DATA_Assessment_Model!$A$5:$A$884,0)),"")</f>
        <v/>
      </c>
      <c r="Y663" t="inlineStr">
        <is>
          <t>Safety incident; Physical site loss; War/security crisis; Natural disaster</t>
        </is>
      </c>
      <c r="Z663" t="inlineStr">
        <is>
          <t>Facilities / Security / HSE</t>
        </is>
      </c>
      <c r="AA663" t="inlineStr">
        <is>
          <t>Policy/SOP; owner/RACI; system report; dashboard; contracts; test records; incident history; interview evidence related to backup power for critical sites with capacity, maintenance, fuel and test records.</t>
        </is>
      </c>
      <c r="AB663">
        <f>IFERROR(INDEX(_DATA_Assessment_Model!$U$5:$U$884,MATCH($E663,_DATA_Assessment_Model!$A$5:$A$884,0)),"")</f>
        <v/>
      </c>
      <c r="AF663" t="inlineStr">
        <is>
          <t>How mature is the organization in managing backup power for critical sites with capacity, maintenance, fuel and test records, including ownership, evidence, metrics, fallback procedures and crisis stress testing?</t>
        </is>
      </c>
      <c r="AO663">
        <f>IF($B663="Yes",IFERROR(INDEX(_ENGINE_Crisis!$F$501:$F$517,MATCH($C663,_ENGINE_Crisis!$A$501:$A$517,0)),1),"")</f>
        <v/>
      </c>
      <c r="AP663">
        <f>IF(AO663="","",ROUND($L663*AO663,1))</f>
        <v/>
      </c>
      <c r="AQ663">
        <f>IF(OR(AO663="",$S663=""),"",ROUND($S663*(0.7+0.3*AO663),2))</f>
        <v/>
      </c>
      <c r="AR663">
        <f>IFERROR(INDEX(_ENGINE_Crisis!$E$41:$E$700,MATCH('Resilience &amp; Risk Scenario'!$B$60&amp;"|"&amp;$C663,_ENGINE_Crisis!$I$41:$I$700,0)),"")</f>
        <v/>
      </c>
      <c r="AS663">
        <f>IFERROR(INDEX(_ENGINE_Crisis!$G$41:$G$700,MATCH('Resilience &amp; Risk Scenario'!$B$60&amp;"|"&amp;$C663,_ENGINE_Crisis!$I$41:$I$700,0)),"")</f>
        <v/>
      </c>
      <c r="AT663">
        <f>IFERROR(INDEX(_ENGINE_Initiatives!$A$5:$A$532,MATCH(1,INDEX((_ENGINE_Initiatives!$B$5:$B$532=$C663)*(_ENGINE_Initiatives!$C$5:$C$532=$D663),0),0)),"")</f>
        <v/>
      </c>
      <c r="AU663">
        <f>IFERROR(INDEX(_ENGINE_Initiatives!$F$5:$F$532,MATCH(1,INDEX((_ENGINE_Initiatives!$B$5:$B$532=$C663)*(_ENGINE_Initiatives!$C$5:$C$532=$D663),0),0)),"")</f>
        <v/>
      </c>
      <c r="AV663">
        <f>IFERROR(INDEX(_ENGINE_Initiatives!$AC$5:$AC$532,MATCH(1,INDEX((_ENGINE_Initiatives!$B$5:$B$532=$C663)*(_ENGINE_Initiatives!$C$5:$C$532=$D663),0),0)),"")</f>
        <v/>
      </c>
      <c r="AW663">
        <f>IFERROR(INDEX(_ENGINE_Initiatives!$AE$5:$AE$532,MATCH(1,INDEX((_ENGINE_Initiatives!$B$5:$B$532=$C663)*(_ENGINE_Initiatives!$C$5:$C$532=$D663),0),0)),"")</f>
        <v/>
      </c>
      <c r="AX663">
        <f>IF($B663="Yes",IFERROR(IF(SUMIFS(_REF_Model_Content!$E$1:$E$613,_REF_Model_Content!$A$1:$A$613,'Company Profile'!$B$9,_REF_Model_Content!$B$1:$B$613,$C663)=0,1,SUMIFS(_REF_Model_Content!$E$1:$E$613,_REF_Model_Content!$A$1:$A$613,'Company Profile'!$B$9,_REF_Model_Content!$B$1:$B$613,$C663)),1),"")</f>
        <v/>
      </c>
      <c r="AY663">
        <f>IF($L663="","",ROUND(IF($AP663="",$L663,$AP663)*IF($AX663="",1,$AX663),2))</f>
        <v/>
      </c>
      <c r="AZ663">
        <f>IF($S663="","",ROUND(IF($AQ663="",$S663,$AQ663)*IF($AX663="",1,$AX663),2))</f>
        <v/>
      </c>
      <c r="BB663">
        <f>IF($H663="","",IFERROR(INDEX('_ENGINE_Risk'!$AE$41:$AE$920,MATCH($E663,'_ENGINE_Risk'!$A$41:$A$920,0)),"Medium"))</f>
        <v/>
      </c>
      <c r="BC663">
        <f>IF($BB663="","",IF($BB663="Fast",1.25,IF($BB663="Slow",0.85,1)))</f>
        <v/>
      </c>
      <c r="BD663">
        <f>IF(OR($AZ663="",$BC663=""),"",ROUND($AZ663*$BC663,2))</f>
        <v/>
      </c>
      <c r="BF663">
        <f>IF(OR($H663="",$J663=""),"",_xlfn.IFNA(VLOOKUP($J663,_CONFIG_Model_Settings!$D$610:$E$614,2,0),""))</f>
        <v/>
      </c>
      <c r="BG663">
        <f>IF(OR($H663="",$K663=""),"",ROUND('Company Profile'!$B$569*INDEX(_CONFIG_Model_Settings!$H$610:$H$614,MATCH($K663,_CONFIG_Model_Settings!$G$610:$G$614,0)),0))</f>
        <v/>
      </c>
      <c r="BH663">
        <f>IF(OR($BF663="",$BG663=""),"",ROUND($BF663*$BG663,1))</f>
        <v/>
      </c>
      <c r="BI663">
        <f>IF($BH663="","",IF($AO663="",$BH663,ROUND($BH663*$AO663,1)))</f>
        <v/>
      </c>
      <c r="BJ663">
        <f>IF($E663="","",IFERROR(VLOOKUP($C663,'_CONFIG_Risk_Calibration'!$A$5:$H$21,2,FALSE),3))</f>
        <v/>
      </c>
      <c r="BK663">
        <f>IF($E663="","",IFERROR(VLOOKUP($C663,'_CONFIG_Risk_Calibration'!$A$5:$H$21,3,FALSE),0))</f>
        <v/>
      </c>
      <c r="BL663">
        <f>IF($E663="","",IFERROR(VLOOKUP($C663,'_CONFIG_Risk_Calibration'!$A$5:$H$21,4,FALSE),3))</f>
        <v/>
      </c>
      <c r="BM663">
        <f>IF($E663="","",IFERROR(VLOOKUP($C663,'_CONFIG_Risk_Calibration'!$A$5:$H$21,5,FALSE),3))</f>
        <v/>
      </c>
      <c r="BN663">
        <f>IF($E663="","",IFERROR(VLOOKUP($C663,'_CONFIG_Risk_Calibration'!$A$5:$H$21,6,FALSE),"No"))</f>
        <v/>
      </c>
      <c r="BO663">
        <f>IF($E663="","",IFERROR(VLOOKUP($C663,'_CONFIG_Risk_Calibration'!$A$5:$H$21,7,FALSE),1))</f>
        <v/>
      </c>
      <c r="BP663">
        <f>IF($H663="","",MAX(1,MIN(5,((6-$H663)*0.45)+($BJ663*0.20)+('Resilience &amp; Risk Scenario'!$B$7*0.15)+($BK663*0.10)+($BL663*0.05)+(IF($BB663="Fast",5,IF($BB663="Slow",1,3))*0.05))))</f>
        <v/>
      </c>
      <c r="BQ663">
        <f>IF($H663="","",MAX(IF($BN663="Yes",$BO663,1),MIN(5,($U663*0.20)+($V663*0.15)+($W663*0.25)+($X663*0.15)+($BJ663*0.10)+($BM663*0.15))))</f>
        <v/>
      </c>
      <c r="BR663">
        <f>IF(OR($BP663="",$BQ663=""),"",ROUND($BP663*$BQ663,2))</f>
        <v/>
      </c>
      <c r="BS663">
        <f>IF($BR663="","",ROUND($BR663*IF($AO663="",1,$AO663)*IF($AX663="",1,$AX663)*(1+(($BM663-3)*0.10))*IF($BC663="",1,$BC663),2))</f>
        <v/>
      </c>
    </row>
    <row r="664" ht="69.90000000000001" customHeight="1" s="209">
      <c r="A664">
        <f>IF($BD664="","",SUMPRODUCT(ISNUMBER($BD$500:$BD$923)*($BD$500:$BD$923&gt;$BD664))+COUNTIF($BD$500:$BD664,$BD664))</f>
        <v/>
      </c>
      <c r="B664">
        <f>IF($H664="","",IF($H664&lt;5,"Yes","Maintain"))</f>
        <v/>
      </c>
      <c r="C664" t="inlineStr">
        <is>
          <t>Physical Safety</t>
        </is>
      </c>
      <c r="D664" t="inlineStr">
        <is>
          <t>Utilities and resilience</t>
        </is>
      </c>
      <c r="E664" t="inlineStr">
        <is>
          <t>PHYS-025</t>
        </is>
      </c>
      <c r="F664" t="inlineStr">
        <is>
          <t>Physical safety, security and facility resilience</t>
        </is>
      </c>
      <c r="G664">
        <f>IF($H664="","",IFERROR(INDEX('_ENGINE_Risk'!$H$41:$M$920,MATCH($E664,'_ENGINE_Risk'!$A$41:$A$920,0),$H664+1),""))</f>
        <v/>
      </c>
      <c r="H664">
        <f>IFERROR(VALUE(INDEX(_DATA_Assessment_Model!$H$5:$H$884,MATCH($E664,_DATA_Assessment_Model!$A$5:$A$884,0))),"")</f>
        <v/>
      </c>
      <c r="I664">
        <f>IF($H664="","",IFERROR(INDEX(_DATA_Assessment_Model!$L$5:$L$884,MATCH($E664,_DATA_Assessment_Model!$A$5:$A$884,0)),IF($H664&lt;=1,"Critical",IF($H664=2,"High",IF($H664=3,"Medium",IF($H664=4,"Low","Resilient"))))))</f>
        <v/>
      </c>
      <c r="J664">
        <f>IF($H664="","",MIN(5,MAX(1,6-$H664)))</f>
        <v/>
      </c>
      <c r="K664">
        <f>IF($H664="","",MAX(1,MIN(5,ROUNDUP(($U664*0.45)+($W664*0.35)+($X664*0.2),0))))</f>
        <v/>
      </c>
      <c r="L664">
        <f>IF($H664="","",$J664*$K664)</f>
        <v/>
      </c>
      <c r="M664">
        <f>IF($H664="","",MAX(1,MIN(5,ROUNDUP($L664/5,0))))</f>
        <v/>
      </c>
      <c r="N664">
        <f>IF($H664="","",IFERROR(INDEX('_ENGINE_Risk'!$T$41:$Y$920,MATCH($E664,'_ENGINE_Risk'!$A$41:$A$920,0),$H664+1),""))</f>
        <v/>
      </c>
      <c r="O664">
        <f>IF($H664="","",MAX(1,MIN(5,($U664+$V664+$X664)/3)))</f>
        <v/>
      </c>
      <c r="P664">
        <f>IF($H664="","",IF($I664="Critical",5,IF($I664="High",4,IF($I664="Medium",3,IF($I664="Low",2,1)))))</f>
        <v/>
      </c>
      <c r="Q664">
        <f>IF($H664="","",MAX(1,MIN(5,((5-$H664)*0.65)+($W664*0.35))))</f>
        <v/>
      </c>
      <c r="R664">
        <f>IF($H664="","",MAX(1,MIN(5,($V664+$X664)/2)))</f>
        <v/>
      </c>
      <c r="S664">
        <f>IF(OR($H664="",$N664=""),"",ROUND(($O664+$P664+$Q664+$R664)/$N664,2))</f>
        <v/>
      </c>
      <c r="T664">
        <f>IF($H664="","",IFERROR(INDEX('_ENGINE_Risk'!$N$41:$S$920,MATCH($E664,'_ENGINE_Risk'!$A$41:$A$920,0),$H664+1),""))</f>
        <v/>
      </c>
      <c r="U664">
        <f>IFERROR(INDEX(_DATA_Assessment_Model!$G$5:$G$884,MATCH($E664,_DATA_Assessment_Model!$A$5:$A$884,0)),"")</f>
        <v/>
      </c>
      <c r="V664">
        <f>IFERROR(INDEX(_DATA_Assessment_Model!$W$5:$W$884,MATCH($E664,_DATA_Assessment_Model!$A$5:$A$884,0)),"")</f>
        <v/>
      </c>
      <c r="W664">
        <f>IFERROR(INDEX(_DATA_Assessment_Model!$X$5:$X$884,MATCH($E664,_DATA_Assessment_Model!$A$5:$A$884,0)),"")</f>
        <v/>
      </c>
      <c r="X664">
        <f>IFERROR(INDEX(_DATA_Assessment_Model!$Y$5:$Y$884,MATCH($E664,_DATA_Assessment_Model!$A$5:$A$884,0)),"")</f>
        <v/>
      </c>
      <c r="Y664" t="inlineStr">
        <is>
          <t>Safety incident; Physical site loss; War/security crisis; Natural disaster</t>
        </is>
      </c>
      <c r="Z664" t="inlineStr">
        <is>
          <t>Facilities / Security / HSE</t>
        </is>
      </c>
      <c r="AA664" t="inlineStr">
        <is>
          <t>Policy/SOP; owner/RACI; system report; dashboard; contracts; test records; incident history; interview evidence related to water, sanitation, HVAC and environmental controls in facility continuity plans.</t>
        </is>
      </c>
      <c r="AB664">
        <f>IFERROR(INDEX(_DATA_Assessment_Model!$U$5:$U$884,MATCH($E664,_DATA_Assessment_Model!$A$5:$A$884,0)),"")</f>
        <v/>
      </c>
      <c r="AF664" t="inlineStr">
        <is>
          <t>How mature is the organization in managing water, sanitation, HVAC and environmental controls in facility continuity plans, including ownership, evidence, metrics, fallback procedures and crisis stress testing?</t>
        </is>
      </c>
      <c r="AO664">
        <f>IF($B664="Yes",IFERROR(INDEX(_ENGINE_Crisis!$F$501:$F$517,MATCH($C664,_ENGINE_Crisis!$A$501:$A$517,0)),1),"")</f>
        <v/>
      </c>
      <c r="AP664">
        <f>IF(AO664="","",ROUND($L664*AO664,1))</f>
        <v/>
      </c>
      <c r="AQ664">
        <f>IF(OR(AO664="",$S664=""),"",ROUND($S664*(0.7+0.3*AO664),2))</f>
        <v/>
      </c>
      <c r="AR664">
        <f>IFERROR(INDEX(_ENGINE_Crisis!$E$41:$E$700,MATCH('Resilience &amp; Risk Scenario'!$B$60&amp;"|"&amp;$C664,_ENGINE_Crisis!$I$41:$I$700,0)),"")</f>
        <v/>
      </c>
      <c r="AS664">
        <f>IFERROR(INDEX(_ENGINE_Crisis!$G$41:$G$700,MATCH('Resilience &amp; Risk Scenario'!$B$60&amp;"|"&amp;$C664,_ENGINE_Crisis!$I$41:$I$700,0)),"")</f>
        <v/>
      </c>
      <c r="AT664">
        <f>IFERROR(INDEX(_ENGINE_Initiatives!$A$5:$A$532,MATCH(1,INDEX((_ENGINE_Initiatives!$B$5:$B$532=$C664)*(_ENGINE_Initiatives!$C$5:$C$532=$D664),0),0)),"")</f>
        <v/>
      </c>
      <c r="AU664">
        <f>IFERROR(INDEX(_ENGINE_Initiatives!$F$5:$F$532,MATCH(1,INDEX((_ENGINE_Initiatives!$B$5:$B$532=$C664)*(_ENGINE_Initiatives!$C$5:$C$532=$D664),0),0)),"")</f>
        <v/>
      </c>
      <c r="AV664">
        <f>IFERROR(INDEX(_ENGINE_Initiatives!$AC$5:$AC$532,MATCH(1,INDEX((_ENGINE_Initiatives!$B$5:$B$532=$C664)*(_ENGINE_Initiatives!$C$5:$C$532=$D664),0),0)),"")</f>
        <v/>
      </c>
      <c r="AW664">
        <f>IFERROR(INDEX(_ENGINE_Initiatives!$AE$5:$AE$532,MATCH(1,INDEX((_ENGINE_Initiatives!$B$5:$B$532=$C664)*(_ENGINE_Initiatives!$C$5:$C$532=$D664),0),0)),"")</f>
        <v/>
      </c>
      <c r="AX664">
        <f>IF($B664="Yes",IFERROR(IF(SUMIFS(_REF_Model_Content!$E$1:$E$613,_REF_Model_Content!$A$1:$A$613,'Company Profile'!$B$9,_REF_Model_Content!$B$1:$B$613,$C664)=0,1,SUMIFS(_REF_Model_Content!$E$1:$E$613,_REF_Model_Content!$A$1:$A$613,'Company Profile'!$B$9,_REF_Model_Content!$B$1:$B$613,$C664)),1),"")</f>
        <v/>
      </c>
      <c r="AY664">
        <f>IF($L664="","",ROUND(IF($AP664="",$L664,$AP664)*IF($AX664="",1,$AX664),2))</f>
        <v/>
      </c>
      <c r="AZ664">
        <f>IF($S664="","",ROUND(IF($AQ664="",$S664,$AQ664)*IF($AX664="",1,$AX664),2))</f>
        <v/>
      </c>
      <c r="BB664">
        <f>IF($H664="","",IFERROR(INDEX('_ENGINE_Risk'!$AE$41:$AE$920,MATCH($E664,'_ENGINE_Risk'!$A$41:$A$920,0)),"Medium"))</f>
        <v/>
      </c>
      <c r="BC664">
        <f>IF($BB664="","",IF($BB664="Fast",1.25,IF($BB664="Slow",0.85,1)))</f>
        <v/>
      </c>
      <c r="BD664">
        <f>IF(OR($AZ664="",$BC664=""),"",ROUND($AZ664*$BC664,2))</f>
        <v/>
      </c>
      <c r="BF664">
        <f>IF(OR($H664="",$J664=""),"",_xlfn.IFNA(VLOOKUP($J664,_CONFIG_Model_Settings!$D$610:$E$614,2,0),""))</f>
        <v/>
      </c>
      <c r="BG664">
        <f>IF(OR($H664="",$K664=""),"",ROUND('Company Profile'!$B$569*INDEX(_CONFIG_Model_Settings!$H$610:$H$614,MATCH($K664,_CONFIG_Model_Settings!$G$610:$G$614,0)),0))</f>
        <v/>
      </c>
      <c r="BH664">
        <f>IF(OR($BF664="",$BG664=""),"",ROUND($BF664*$BG664,1))</f>
        <v/>
      </c>
      <c r="BI664">
        <f>IF($BH664="","",IF($AO664="",$BH664,ROUND($BH664*$AO664,1)))</f>
        <v/>
      </c>
      <c r="BJ664">
        <f>IF($E664="","",IFERROR(VLOOKUP($C664,'_CONFIG_Risk_Calibration'!$A$5:$H$21,2,FALSE),3))</f>
        <v/>
      </c>
      <c r="BK664">
        <f>IF($E664="","",IFERROR(VLOOKUP($C664,'_CONFIG_Risk_Calibration'!$A$5:$H$21,3,FALSE),0))</f>
        <v/>
      </c>
      <c r="BL664">
        <f>IF($E664="","",IFERROR(VLOOKUP($C664,'_CONFIG_Risk_Calibration'!$A$5:$H$21,4,FALSE),3))</f>
        <v/>
      </c>
      <c r="BM664">
        <f>IF($E664="","",IFERROR(VLOOKUP($C664,'_CONFIG_Risk_Calibration'!$A$5:$H$21,5,FALSE),3))</f>
        <v/>
      </c>
      <c r="BN664">
        <f>IF($E664="","",IFERROR(VLOOKUP($C664,'_CONFIG_Risk_Calibration'!$A$5:$H$21,6,FALSE),"No"))</f>
        <v/>
      </c>
      <c r="BO664">
        <f>IF($E664="","",IFERROR(VLOOKUP($C664,'_CONFIG_Risk_Calibration'!$A$5:$H$21,7,FALSE),1))</f>
        <v/>
      </c>
      <c r="BP664">
        <f>IF($H664="","",MAX(1,MIN(5,((6-$H664)*0.45)+($BJ664*0.20)+('Resilience &amp; Risk Scenario'!$B$7*0.15)+($BK664*0.10)+($BL664*0.05)+(IF($BB664="Fast",5,IF($BB664="Slow",1,3))*0.05))))</f>
        <v/>
      </c>
      <c r="BQ664">
        <f>IF($H664="","",MAX(IF($BN664="Yes",$BO664,1),MIN(5,($U664*0.20)+($V664*0.15)+($W664*0.25)+($X664*0.15)+($BJ664*0.10)+($BM664*0.15))))</f>
        <v/>
      </c>
      <c r="BR664">
        <f>IF(OR($BP664="",$BQ664=""),"",ROUND($BP664*$BQ664,2))</f>
        <v/>
      </c>
      <c r="BS664">
        <f>IF($BR664="","",ROUND($BR664*IF($AO664="",1,$AO664)*IF($AX664="",1,$AX664)*(1+(($BM664-3)*0.10))*IF($BC664="",1,$BC664),2))</f>
        <v/>
      </c>
    </row>
    <row r="665" ht="69.90000000000001" customHeight="1" s="209">
      <c r="A665">
        <f>IF($BD665="","",SUMPRODUCT(ISNUMBER($BD$500:$BD$923)*($BD$500:$BD$923&gt;$BD665))+COUNTIF($BD$500:$BD665,$BD665))</f>
        <v/>
      </c>
      <c r="B665">
        <f>IF($H665="","",IF($H665&lt;5,"Yes","Maintain"))</f>
        <v/>
      </c>
      <c r="C665" t="inlineStr">
        <is>
          <t>Physical Safety</t>
        </is>
      </c>
      <c r="D665" t="inlineStr">
        <is>
          <t>Utilities and resilience</t>
        </is>
      </c>
      <c r="E665" t="inlineStr">
        <is>
          <t>PHYS-026</t>
        </is>
      </c>
      <c r="F665" t="inlineStr">
        <is>
          <t>Physical safety, security and facility resilience</t>
        </is>
      </c>
      <c r="G665">
        <f>IF($H665="","",IFERROR(INDEX('_ENGINE_Risk'!$H$41:$M$920,MATCH($E665,'_ENGINE_Risk'!$A$41:$A$920,0),$H665+1),""))</f>
        <v/>
      </c>
      <c r="H665">
        <f>IFERROR(VALUE(INDEX(_DATA_Assessment_Model!$H$5:$H$884,MATCH($E665,_DATA_Assessment_Model!$A$5:$A$884,0))),"")</f>
        <v/>
      </c>
      <c r="I665">
        <f>IF($H665="","",IFERROR(INDEX(_DATA_Assessment_Model!$L$5:$L$884,MATCH($E665,_DATA_Assessment_Model!$A$5:$A$884,0)),IF($H665&lt;=1,"Critical",IF($H665=2,"High",IF($H665=3,"Medium",IF($H665=4,"Low","Resilient"))))))</f>
        <v/>
      </c>
      <c r="J665">
        <f>IF($H665="","",MIN(5,MAX(1,6-$H665)))</f>
        <v/>
      </c>
      <c r="K665">
        <f>IF($H665="","",MAX(1,MIN(5,ROUNDUP(($U665*0.45)+($W665*0.35)+($X665*0.2),0))))</f>
        <v/>
      </c>
      <c r="L665">
        <f>IF($H665="","",$J665*$K665)</f>
        <v/>
      </c>
      <c r="M665">
        <f>IF($H665="","",MAX(1,MIN(5,ROUNDUP($L665/5,0))))</f>
        <v/>
      </c>
      <c r="N665">
        <f>IF($H665="","",IFERROR(INDEX('_ENGINE_Risk'!$T$41:$Y$920,MATCH($E665,'_ENGINE_Risk'!$A$41:$A$920,0),$H665+1),""))</f>
        <v/>
      </c>
      <c r="O665">
        <f>IF($H665="","",MAX(1,MIN(5,($U665+$V665+$X665)/3)))</f>
        <v/>
      </c>
      <c r="P665">
        <f>IF($H665="","",IF($I665="Critical",5,IF($I665="High",4,IF($I665="Medium",3,IF($I665="Low",2,1)))))</f>
        <v/>
      </c>
      <c r="Q665">
        <f>IF($H665="","",MAX(1,MIN(5,((5-$H665)*0.65)+($W665*0.35))))</f>
        <v/>
      </c>
      <c r="R665">
        <f>IF($H665="","",MAX(1,MIN(5,($V665+$X665)/2)))</f>
        <v/>
      </c>
      <c r="S665">
        <f>IF(OR($H665="",$N665=""),"",ROUND(($O665+$P665+$Q665+$R665)/$N665,2))</f>
        <v/>
      </c>
      <c r="T665">
        <f>IF($H665="","",IFERROR(INDEX('_ENGINE_Risk'!$N$41:$S$920,MATCH($E665,'_ENGINE_Risk'!$A$41:$A$920,0),$H665+1),""))</f>
        <v/>
      </c>
      <c r="U665">
        <f>IFERROR(INDEX(_DATA_Assessment_Model!$G$5:$G$884,MATCH($E665,_DATA_Assessment_Model!$A$5:$A$884,0)),"")</f>
        <v/>
      </c>
      <c r="V665">
        <f>IFERROR(INDEX(_DATA_Assessment_Model!$W$5:$W$884,MATCH($E665,_DATA_Assessment_Model!$A$5:$A$884,0)),"")</f>
        <v/>
      </c>
      <c r="W665">
        <f>IFERROR(INDEX(_DATA_Assessment_Model!$X$5:$X$884,MATCH($E665,_DATA_Assessment_Model!$A$5:$A$884,0)),"")</f>
        <v/>
      </c>
      <c r="X665">
        <f>IFERROR(INDEX(_DATA_Assessment_Model!$Y$5:$Y$884,MATCH($E665,_DATA_Assessment_Model!$A$5:$A$884,0)),"")</f>
        <v/>
      </c>
      <c r="Y665" t="inlineStr">
        <is>
          <t>Safety incident; Physical site loss; War/security crisis; Natural disaster</t>
        </is>
      </c>
      <c r="Z665" t="inlineStr">
        <is>
          <t>Facilities / Security / HSE</t>
        </is>
      </c>
      <c r="AA665" t="inlineStr">
        <is>
          <t>Policy/SOP; owner/RACI; system report; dashboard; contracts; test records; incident history; interview evidence related to backup internet and telecom connectivity at critical sites.</t>
        </is>
      </c>
      <c r="AB665">
        <f>IFERROR(INDEX(_DATA_Assessment_Model!$U$5:$U$884,MATCH($E665,_DATA_Assessment_Model!$A$5:$A$884,0)),"")</f>
        <v/>
      </c>
      <c r="AF665" t="inlineStr">
        <is>
          <t>How mature is the organization in managing backup internet and telecom connectivity at critical sites, including ownership, evidence, metrics, fallback procedures and crisis stress testing?</t>
        </is>
      </c>
      <c r="AO665">
        <f>IF($B665="Yes",IFERROR(INDEX(_ENGINE_Crisis!$F$501:$F$517,MATCH($C665,_ENGINE_Crisis!$A$501:$A$517,0)),1),"")</f>
        <v/>
      </c>
      <c r="AP665">
        <f>IF(AO665="","",ROUND($L665*AO665,1))</f>
        <v/>
      </c>
      <c r="AQ665">
        <f>IF(OR(AO665="",$S665=""),"",ROUND($S665*(0.7+0.3*AO665),2))</f>
        <v/>
      </c>
      <c r="AR665">
        <f>IFERROR(INDEX(_ENGINE_Crisis!$E$41:$E$700,MATCH('Resilience &amp; Risk Scenario'!$B$60&amp;"|"&amp;$C665,_ENGINE_Crisis!$I$41:$I$700,0)),"")</f>
        <v/>
      </c>
      <c r="AS665">
        <f>IFERROR(INDEX(_ENGINE_Crisis!$G$41:$G$700,MATCH('Resilience &amp; Risk Scenario'!$B$60&amp;"|"&amp;$C665,_ENGINE_Crisis!$I$41:$I$700,0)),"")</f>
        <v/>
      </c>
      <c r="AT665">
        <f>IFERROR(INDEX(_ENGINE_Initiatives!$A$5:$A$532,MATCH(1,INDEX((_ENGINE_Initiatives!$B$5:$B$532=$C665)*(_ENGINE_Initiatives!$C$5:$C$532=$D665),0),0)),"")</f>
        <v/>
      </c>
      <c r="AU665">
        <f>IFERROR(INDEX(_ENGINE_Initiatives!$F$5:$F$532,MATCH(1,INDEX((_ENGINE_Initiatives!$B$5:$B$532=$C665)*(_ENGINE_Initiatives!$C$5:$C$532=$D665),0),0)),"")</f>
        <v/>
      </c>
      <c r="AV665">
        <f>IFERROR(INDEX(_ENGINE_Initiatives!$AC$5:$AC$532,MATCH(1,INDEX((_ENGINE_Initiatives!$B$5:$B$532=$C665)*(_ENGINE_Initiatives!$C$5:$C$532=$D665),0),0)),"")</f>
        <v/>
      </c>
      <c r="AW665">
        <f>IFERROR(INDEX(_ENGINE_Initiatives!$AE$5:$AE$532,MATCH(1,INDEX((_ENGINE_Initiatives!$B$5:$B$532=$C665)*(_ENGINE_Initiatives!$C$5:$C$532=$D665),0),0)),"")</f>
        <v/>
      </c>
      <c r="AX665">
        <f>IF($B665="Yes",IFERROR(IF(SUMIFS(_REF_Model_Content!$E$1:$E$613,_REF_Model_Content!$A$1:$A$613,'Company Profile'!$B$9,_REF_Model_Content!$B$1:$B$613,$C665)=0,1,SUMIFS(_REF_Model_Content!$E$1:$E$613,_REF_Model_Content!$A$1:$A$613,'Company Profile'!$B$9,_REF_Model_Content!$B$1:$B$613,$C665)),1),"")</f>
        <v/>
      </c>
      <c r="AY665">
        <f>IF($L665="","",ROUND(IF($AP665="",$L665,$AP665)*IF($AX665="",1,$AX665),2))</f>
        <v/>
      </c>
      <c r="AZ665">
        <f>IF($S665="","",ROUND(IF($AQ665="",$S665,$AQ665)*IF($AX665="",1,$AX665),2))</f>
        <v/>
      </c>
      <c r="BB665">
        <f>IF($H665="","",IFERROR(INDEX('_ENGINE_Risk'!$AE$41:$AE$920,MATCH($E665,'_ENGINE_Risk'!$A$41:$A$920,0)),"Medium"))</f>
        <v/>
      </c>
      <c r="BC665">
        <f>IF($BB665="","",IF($BB665="Fast",1.25,IF($BB665="Slow",0.85,1)))</f>
        <v/>
      </c>
      <c r="BD665">
        <f>IF(OR($AZ665="",$BC665=""),"",ROUND($AZ665*$BC665,2))</f>
        <v/>
      </c>
      <c r="BF665">
        <f>IF(OR($H665="",$J665=""),"",_xlfn.IFNA(VLOOKUP($J665,_CONFIG_Model_Settings!$D$610:$E$614,2,0),""))</f>
        <v/>
      </c>
      <c r="BG665">
        <f>IF(OR($H665="",$K665=""),"",ROUND('Company Profile'!$B$569*INDEX(_CONFIG_Model_Settings!$H$610:$H$614,MATCH($K665,_CONFIG_Model_Settings!$G$610:$G$614,0)),0))</f>
        <v/>
      </c>
      <c r="BH665">
        <f>IF(OR($BF665="",$BG665=""),"",ROUND($BF665*$BG665,1))</f>
        <v/>
      </c>
      <c r="BI665">
        <f>IF($BH665="","",IF($AO665="",$BH665,ROUND($BH665*$AO665,1)))</f>
        <v/>
      </c>
      <c r="BJ665">
        <f>IF($E665="","",IFERROR(VLOOKUP($C665,'_CONFIG_Risk_Calibration'!$A$5:$H$21,2,FALSE),3))</f>
        <v/>
      </c>
      <c r="BK665">
        <f>IF($E665="","",IFERROR(VLOOKUP($C665,'_CONFIG_Risk_Calibration'!$A$5:$H$21,3,FALSE),0))</f>
        <v/>
      </c>
      <c r="BL665">
        <f>IF($E665="","",IFERROR(VLOOKUP($C665,'_CONFIG_Risk_Calibration'!$A$5:$H$21,4,FALSE),3))</f>
        <v/>
      </c>
      <c r="BM665">
        <f>IF($E665="","",IFERROR(VLOOKUP($C665,'_CONFIG_Risk_Calibration'!$A$5:$H$21,5,FALSE),3))</f>
        <v/>
      </c>
      <c r="BN665">
        <f>IF($E665="","",IFERROR(VLOOKUP($C665,'_CONFIG_Risk_Calibration'!$A$5:$H$21,6,FALSE),"No"))</f>
        <v/>
      </c>
      <c r="BO665">
        <f>IF($E665="","",IFERROR(VLOOKUP($C665,'_CONFIG_Risk_Calibration'!$A$5:$H$21,7,FALSE),1))</f>
        <v/>
      </c>
      <c r="BP665">
        <f>IF($H665="","",MAX(1,MIN(5,((6-$H665)*0.45)+($BJ665*0.20)+('Resilience &amp; Risk Scenario'!$B$7*0.15)+($BK665*0.10)+($BL665*0.05)+(IF($BB665="Fast",5,IF($BB665="Slow",1,3))*0.05))))</f>
        <v/>
      </c>
      <c r="BQ665">
        <f>IF($H665="","",MAX(IF($BN665="Yes",$BO665,1),MIN(5,($U665*0.20)+($V665*0.15)+($W665*0.25)+($X665*0.15)+($BJ665*0.10)+($BM665*0.15))))</f>
        <v/>
      </c>
      <c r="BR665">
        <f>IF(OR($BP665="",$BQ665=""),"",ROUND($BP665*$BQ665,2))</f>
        <v/>
      </c>
      <c r="BS665">
        <f>IF($BR665="","",ROUND($BR665*IF($AO665="",1,$AO665)*IF($AX665="",1,$AX665)*(1+(($BM665-3)*0.10))*IF($BC665="",1,$BC665),2))</f>
        <v/>
      </c>
    </row>
    <row r="666" ht="69.90000000000001" customHeight="1" s="209">
      <c r="A666">
        <f>IF($BD666="","",SUMPRODUCT(ISNUMBER($BD$500:$BD$923)*($BD$500:$BD$923&gt;$BD666))+COUNTIF($BD$500:$BD666,$BD666))</f>
        <v/>
      </c>
      <c r="B666">
        <f>IF($H666="","",IF($H666&lt;5,"Yes","Maintain"))</f>
        <v/>
      </c>
      <c r="C666" t="inlineStr">
        <is>
          <t>Physical Safety</t>
        </is>
      </c>
      <c r="D666" t="inlineStr">
        <is>
          <t>Utilities and resilience</t>
        </is>
      </c>
      <c r="E666" t="inlineStr">
        <is>
          <t>PHYS-027</t>
        </is>
      </c>
      <c r="F666" t="inlineStr">
        <is>
          <t>Physical safety, security and facility resilience</t>
        </is>
      </c>
      <c r="G666">
        <f>IF($H666="","",IFERROR(INDEX('_ENGINE_Risk'!$H$41:$M$920,MATCH($E666,'_ENGINE_Risk'!$A$41:$A$920,0),$H666+1),""))</f>
        <v/>
      </c>
      <c r="H666">
        <f>IFERROR(VALUE(INDEX(_DATA_Assessment_Model!$H$5:$H$884,MATCH($E666,_DATA_Assessment_Model!$A$5:$A$884,0))),"")</f>
        <v/>
      </c>
      <c r="I666">
        <f>IF($H666="","",IFERROR(INDEX(_DATA_Assessment_Model!$L$5:$L$884,MATCH($E666,_DATA_Assessment_Model!$A$5:$A$884,0)),IF($H666&lt;=1,"Critical",IF($H666=2,"High",IF($H666=3,"Medium",IF($H666=4,"Low","Resilient"))))))</f>
        <v/>
      </c>
      <c r="J666">
        <f>IF($H666="","",MIN(5,MAX(1,6-$H666)))</f>
        <v/>
      </c>
      <c r="K666">
        <f>IF($H666="","",MAX(1,MIN(5,ROUNDUP(($U666*0.45)+($W666*0.35)+($X666*0.2),0))))</f>
        <v/>
      </c>
      <c r="L666">
        <f>IF($H666="","",$J666*$K666)</f>
        <v/>
      </c>
      <c r="M666">
        <f>IF($H666="","",MAX(1,MIN(5,ROUNDUP($L666/5,0))))</f>
        <v/>
      </c>
      <c r="N666">
        <f>IF($H666="","",IFERROR(INDEX('_ENGINE_Risk'!$T$41:$Y$920,MATCH($E666,'_ENGINE_Risk'!$A$41:$A$920,0),$H666+1),""))</f>
        <v/>
      </c>
      <c r="O666">
        <f>IF($H666="","",MAX(1,MIN(5,($U666+$V666+$X666)/3)))</f>
        <v/>
      </c>
      <c r="P666">
        <f>IF($H666="","",IF($I666="Critical",5,IF($I666="High",4,IF($I666="Medium",3,IF($I666="Low",2,1)))))</f>
        <v/>
      </c>
      <c r="Q666">
        <f>IF($H666="","",MAX(1,MIN(5,((5-$H666)*0.65)+($W666*0.35))))</f>
        <v/>
      </c>
      <c r="R666">
        <f>IF($H666="","",MAX(1,MIN(5,($V666+$X666)/2)))</f>
        <v/>
      </c>
      <c r="S666">
        <f>IF(OR($H666="",$N666=""),"",ROUND(($O666+$P666+$Q666+$R666)/$N666,2))</f>
        <v/>
      </c>
      <c r="T666">
        <f>IF($H666="","",IFERROR(INDEX('_ENGINE_Risk'!$N$41:$S$920,MATCH($E666,'_ENGINE_Risk'!$A$41:$A$920,0),$H666+1),""))</f>
        <v/>
      </c>
      <c r="U666">
        <f>IFERROR(INDEX(_DATA_Assessment_Model!$G$5:$G$884,MATCH($E666,_DATA_Assessment_Model!$A$5:$A$884,0)),"")</f>
        <v/>
      </c>
      <c r="V666">
        <f>IFERROR(INDEX(_DATA_Assessment_Model!$W$5:$W$884,MATCH($E666,_DATA_Assessment_Model!$A$5:$A$884,0)),"")</f>
        <v/>
      </c>
      <c r="W666">
        <f>IFERROR(INDEX(_DATA_Assessment_Model!$X$5:$X$884,MATCH($E666,_DATA_Assessment_Model!$A$5:$A$884,0)),"")</f>
        <v/>
      </c>
      <c r="X666">
        <f>IFERROR(INDEX(_DATA_Assessment_Model!$Y$5:$Y$884,MATCH($E666,_DATA_Assessment_Model!$A$5:$A$884,0)),"")</f>
        <v/>
      </c>
      <c r="Y666" t="inlineStr">
        <is>
          <t>Safety incident; Physical site loss; War/security crisis; Natural disaster</t>
        </is>
      </c>
      <c r="Z666" t="inlineStr">
        <is>
          <t>Facilities / Security / HSE</t>
        </is>
      </c>
      <c r="AA666" t="inlineStr">
        <is>
          <t>Policy/SOP; owner/RACI; system report; dashboard; contracts; test records; incident history; interview evidence related to preventive maintenance for safety-critical facility systems.</t>
        </is>
      </c>
      <c r="AB666">
        <f>IFERROR(INDEX(_DATA_Assessment_Model!$U$5:$U$884,MATCH($E666,_DATA_Assessment_Model!$A$5:$A$884,0)),"")</f>
        <v/>
      </c>
      <c r="AF666" t="inlineStr">
        <is>
          <t>How mature is the organization in managing preventive maintenance for safety-critical facility systems, including ownership, evidence, metrics, fallback procedures and crisis stress testing?</t>
        </is>
      </c>
      <c r="AO666">
        <f>IF($B666="Yes",IFERROR(INDEX(_ENGINE_Crisis!$F$501:$F$517,MATCH($C666,_ENGINE_Crisis!$A$501:$A$517,0)),1),"")</f>
        <v/>
      </c>
      <c r="AP666">
        <f>IF(AO666="","",ROUND($L666*AO666,1))</f>
        <v/>
      </c>
      <c r="AQ666">
        <f>IF(OR(AO666="",$S666=""),"",ROUND($S666*(0.7+0.3*AO666),2))</f>
        <v/>
      </c>
      <c r="AR666">
        <f>IFERROR(INDEX(_ENGINE_Crisis!$E$41:$E$700,MATCH('Resilience &amp; Risk Scenario'!$B$60&amp;"|"&amp;$C666,_ENGINE_Crisis!$I$41:$I$700,0)),"")</f>
        <v/>
      </c>
      <c r="AS666">
        <f>IFERROR(INDEX(_ENGINE_Crisis!$G$41:$G$700,MATCH('Resilience &amp; Risk Scenario'!$B$60&amp;"|"&amp;$C666,_ENGINE_Crisis!$I$41:$I$700,0)),"")</f>
        <v/>
      </c>
      <c r="AT666">
        <f>IFERROR(INDEX(_ENGINE_Initiatives!$A$5:$A$532,MATCH(1,INDEX((_ENGINE_Initiatives!$B$5:$B$532=$C666)*(_ENGINE_Initiatives!$C$5:$C$532=$D666),0),0)),"")</f>
        <v/>
      </c>
      <c r="AU666">
        <f>IFERROR(INDEX(_ENGINE_Initiatives!$F$5:$F$532,MATCH(1,INDEX((_ENGINE_Initiatives!$B$5:$B$532=$C666)*(_ENGINE_Initiatives!$C$5:$C$532=$D666),0),0)),"")</f>
        <v/>
      </c>
      <c r="AV666">
        <f>IFERROR(INDEX(_ENGINE_Initiatives!$AC$5:$AC$532,MATCH(1,INDEX((_ENGINE_Initiatives!$B$5:$B$532=$C666)*(_ENGINE_Initiatives!$C$5:$C$532=$D666),0),0)),"")</f>
        <v/>
      </c>
      <c r="AW666">
        <f>IFERROR(INDEX(_ENGINE_Initiatives!$AE$5:$AE$532,MATCH(1,INDEX((_ENGINE_Initiatives!$B$5:$B$532=$C666)*(_ENGINE_Initiatives!$C$5:$C$532=$D666),0),0)),"")</f>
        <v/>
      </c>
      <c r="AX666">
        <f>IF($B666="Yes",IFERROR(IF(SUMIFS(_REF_Model_Content!$E$1:$E$613,_REF_Model_Content!$A$1:$A$613,'Company Profile'!$B$9,_REF_Model_Content!$B$1:$B$613,$C666)=0,1,SUMIFS(_REF_Model_Content!$E$1:$E$613,_REF_Model_Content!$A$1:$A$613,'Company Profile'!$B$9,_REF_Model_Content!$B$1:$B$613,$C666)),1),"")</f>
        <v/>
      </c>
      <c r="AY666">
        <f>IF($L666="","",ROUND(IF($AP666="",$L666,$AP666)*IF($AX666="",1,$AX666),2))</f>
        <v/>
      </c>
      <c r="AZ666">
        <f>IF($S666="","",ROUND(IF($AQ666="",$S666,$AQ666)*IF($AX666="",1,$AX666),2))</f>
        <v/>
      </c>
      <c r="BB666">
        <f>IF($H666="","",IFERROR(INDEX('_ENGINE_Risk'!$AE$41:$AE$920,MATCH($E666,'_ENGINE_Risk'!$A$41:$A$920,0)),"Medium"))</f>
        <v/>
      </c>
      <c r="BC666">
        <f>IF($BB666="","",IF($BB666="Fast",1.25,IF($BB666="Slow",0.85,1)))</f>
        <v/>
      </c>
      <c r="BD666">
        <f>IF(OR($AZ666="",$BC666=""),"",ROUND($AZ666*$BC666,2))</f>
        <v/>
      </c>
      <c r="BF666">
        <f>IF(OR($H666="",$J666=""),"",_xlfn.IFNA(VLOOKUP($J666,_CONFIG_Model_Settings!$D$610:$E$614,2,0),""))</f>
        <v/>
      </c>
      <c r="BG666">
        <f>IF(OR($H666="",$K666=""),"",ROUND('Company Profile'!$B$569*INDEX(_CONFIG_Model_Settings!$H$610:$H$614,MATCH($K666,_CONFIG_Model_Settings!$G$610:$G$614,0)),0))</f>
        <v/>
      </c>
      <c r="BH666">
        <f>IF(OR($BF666="",$BG666=""),"",ROUND($BF666*$BG666,1))</f>
        <v/>
      </c>
      <c r="BI666">
        <f>IF($BH666="","",IF($AO666="",$BH666,ROUND($BH666*$AO666,1)))</f>
        <v/>
      </c>
      <c r="BJ666">
        <f>IF($E666="","",IFERROR(VLOOKUP($C666,'_CONFIG_Risk_Calibration'!$A$5:$H$21,2,FALSE),3))</f>
        <v/>
      </c>
      <c r="BK666">
        <f>IF($E666="","",IFERROR(VLOOKUP($C666,'_CONFIG_Risk_Calibration'!$A$5:$H$21,3,FALSE),0))</f>
        <v/>
      </c>
      <c r="BL666">
        <f>IF($E666="","",IFERROR(VLOOKUP($C666,'_CONFIG_Risk_Calibration'!$A$5:$H$21,4,FALSE),3))</f>
        <v/>
      </c>
      <c r="BM666">
        <f>IF($E666="","",IFERROR(VLOOKUP($C666,'_CONFIG_Risk_Calibration'!$A$5:$H$21,5,FALSE),3))</f>
        <v/>
      </c>
      <c r="BN666">
        <f>IF($E666="","",IFERROR(VLOOKUP($C666,'_CONFIG_Risk_Calibration'!$A$5:$H$21,6,FALSE),"No"))</f>
        <v/>
      </c>
      <c r="BO666">
        <f>IF($E666="","",IFERROR(VLOOKUP($C666,'_CONFIG_Risk_Calibration'!$A$5:$H$21,7,FALSE),1))</f>
        <v/>
      </c>
      <c r="BP666">
        <f>IF($H666="","",MAX(1,MIN(5,((6-$H666)*0.45)+($BJ666*0.20)+('Resilience &amp; Risk Scenario'!$B$7*0.15)+($BK666*0.10)+($BL666*0.05)+(IF($BB666="Fast",5,IF($BB666="Slow",1,3))*0.05))))</f>
        <v/>
      </c>
      <c r="BQ666">
        <f>IF($H666="","",MAX(IF($BN666="Yes",$BO666,1),MIN(5,($U666*0.20)+($V666*0.15)+($W666*0.25)+($X666*0.15)+($BJ666*0.10)+($BM666*0.15))))</f>
        <v/>
      </c>
      <c r="BR666">
        <f>IF(OR($BP666="",$BQ666=""),"",ROUND($BP666*$BQ666,2))</f>
        <v/>
      </c>
      <c r="BS666">
        <f>IF($BR666="","",ROUND($BR666*IF($AO666="",1,$AO666)*IF($AX666="",1,$AX666)*(1+(($BM666-3)*0.10))*IF($BC666="",1,$BC666),2))</f>
        <v/>
      </c>
    </row>
    <row r="667" ht="69.90000000000001" customHeight="1" s="209">
      <c r="A667">
        <f>IF($BD667="","",SUMPRODUCT(ISNUMBER($BD$500:$BD$923)*($BD$500:$BD$923&gt;$BD667))+COUNTIF($BD$500:$BD667,$BD667))</f>
        <v/>
      </c>
      <c r="B667">
        <f>IF($H667="","",IF($H667&lt;5,"Yes","Maintain"))</f>
        <v/>
      </c>
      <c r="C667" t="inlineStr">
        <is>
          <t>Physical Safety</t>
        </is>
      </c>
      <c r="D667" t="inlineStr">
        <is>
          <t>Utilities and resilience</t>
        </is>
      </c>
      <c r="E667" t="inlineStr">
        <is>
          <t>PHYS-028</t>
        </is>
      </c>
      <c r="F667" t="inlineStr">
        <is>
          <t>Physical safety, security and facility resilience</t>
        </is>
      </c>
      <c r="G667">
        <f>IF($H667="","",IFERROR(INDEX('_ENGINE_Risk'!$H$41:$M$920,MATCH($E667,'_ENGINE_Risk'!$A$41:$A$920,0),$H667+1),""))</f>
        <v/>
      </c>
      <c r="H667">
        <f>IFERROR(VALUE(INDEX(_DATA_Assessment_Model!$H$5:$H$884,MATCH($E667,_DATA_Assessment_Model!$A$5:$A$884,0))),"")</f>
        <v/>
      </c>
      <c r="I667">
        <f>IF($H667="","",IFERROR(INDEX(_DATA_Assessment_Model!$L$5:$L$884,MATCH($E667,_DATA_Assessment_Model!$A$5:$A$884,0)),IF($H667&lt;=1,"Critical",IF($H667=2,"High",IF($H667=3,"Medium",IF($H667=4,"Low","Resilient"))))))</f>
        <v/>
      </c>
      <c r="J667">
        <f>IF($H667="","",MIN(5,MAX(1,6-$H667)))</f>
        <v/>
      </c>
      <c r="K667">
        <f>IF($H667="","",MAX(1,MIN(5,ROUNDUP(($U667*0.45)+($W667*0.35)+($X667*0.2),0))))</f>
        <v/>
      </c>
      <c r="L667">
        <f>IF($H667="","",$J667*$K667)</f>
        <v/>
      </c>
      <c r="M667">
        <f>IF($H667="","",MAX(1,MIN(5,ROUNDUP($L667/5,0))))</f>
        <v/>
      </c>
      <c r="N667">
        <f>IF($H667="","",IFERROR(INDEX('_ENGINE_Risk'!$T$41:$Y$920,MATCH($E667,'_ENGINE_Risk'!$A$41:$A$920,0),$H667+1),""))</f>
        <v/>
      </c>
      <c r="O667">
        <f>IF($H667="","",MAX(1,MIN(5,($U667+$V667+$X667)/3)))</f>
        <v/>
      </c>
      <c r="P667">
        <f>IF($H667="","",IF($I667="Critical",5,IF($I667="High",4,IF($I667="Medium",3,IF($I667="Low",2,1)))))</f>
        <v/>
      </c>
      <c r="Q667">
        <f>IF($H667="","",MAX(1,MIN(5,((5-$H667)*0.65)+($W667*0.35))))</f>
        <v/>
      </c>
      <c r="R667">
        <f>IF($H667="","",MAX(1,MIN(5,($V667+$X667)/2)))</f>
        <v/>
      </c>
      <c r="S667">
        <f>IF(OR($H667="",$N667=""),"",ROUND(($O667+$P667+$Q667+$R667)/$N667,2))</f>
        <v/>
      </c>
      <c r="T667">
        <f>IF($H667="","",IFERROR(INDEX('_ENGINE_Risk'!$N$41:$S$920,MATCH($E667,'_ENGINE_Risk'!$A$41:$A$920,0),$H667+1),""))</f>
        <v/>
      </c>
      <c r="U667">
        <f>IFERROR(INDEX(_DATA_Assessment_Model!$G$5:$G$884,MATCH($E667,_DATA_Assessment_Model!$A$5:$A$884,0)),"")</f>
        <v/>
      </c>
      <c r="V667">
        <f>IFERROR(INDEX(_DATA_Assessment_Model!$W$5:$W$884,MATCH($E667,_DATA_Assessment_Model!$A$5:$A$884,0)),"")</f>
        <v/>
      </c>
      <c r="W667">
        <f>IFERROR(INDEX(_DATA_Assessment_Model!$X$5:$X$884,MATCH($E667,_DATA_Assessment_Model!$A$5:$A$884,0)),"")</f>
        <v/>
      </c>
      <c r="X667">
        <f>IFERROR(INDEX(_DATA_Assessment_Model!$Y$5:$Y$884,MATCH($E667,_DATA_Assessment_Model!$A$5:$A$884,0)),"")</f>
        <v/>
      </c>
      <c r="Y667" t="inlineStr">
        <is>
          <t>Safety incident; Physical site loss; War/security crisis; Natural disaster</t>
        </is>
      </c>
      <c r="Z667" t="inlineStr">
        <is>
          <t>Facilities / Security / HSE</t>
        </is>
      </c>
      <c r="AA667" t="inlineStr">
        <is>
          <t>Policy/SOP; owner/RACI; system report; dashboard; contracts; test records; incident history; interview evidence related to alternative worksites, temporary facilities, coworking spaces or remote-work options if a site is lost.</t>
        </is>
      </c>
      <c r="AB667">
        <f>IFERROR(INDEX(_DATA_Assessment_Model!$U$5:$U$884,MATCH($E667,_DATA_Assessment_Model!$A$5:$A$884,0)),"")</f>
        <v/>
      </c>
      <c r="AF667" t="inlineStr">
        <is>
          <t>How mature is the organization in managing alternative worksites, temporary facilities, coworking spaces or remote-work options if a site is lost, including ownership, evidence, metrics, fallback procedures and crisis stress testing?</t>
        </is>
      </c>
      <c r="AO667">
        <f>IF($B667="Yes",IFERROR(INDEX(_ENGINE_Crisis!$F$501:$F$517,MATCH($C667,_ENGINE_Crisis!$A$501:$A$517,0)),1),"")</f>
        <v/>
      </c>
      <c r="AP667">
        <f>IF(AO667="","",ROUND($L667*AO667,1))</f>
        <v/>
      </c>
      <c r="AQ667">
        <f>IF(OR(AO667="",$S667=""),"",ROUND($S667*(0.7+0.3*AO667),2))</f>
        <v/>
      </c>
      <c r="AR667">
        <f>IFERROR(INDEX(_ENGINE_Crisis!$E$41:$E$700,MATCH('Resilience &amp; Risk Scenario'!$B$60&amp;"|"&amp;$C667,_ENGINE_Crisis!$I$41:$I$700,0)),"")</f>
        <v/>
      </c>
      <c r="AS667">
        <f>IFERROR(INDEX(_ENGINE_Crisis!$G$41:$G$700,MATCH('Resilience &amp; Risk Scenario'!$B$60&amp;"|"&amp;$C667,_ENGINE_Crisis!$I$41:$I$700,0)),"")</f>
        <v/>
      </c>
      <c r="AT667">
        <f>IFERROR(INDEX(_ENGINE_Initiatives!$A$5:$A$532,MATCH(1,INDEX((_ENGINE_Initiatives!$B$5:$B$532=$C667)*(_ENGINE_Initiatives!$C$5:$C$532=$D667),0),0)),"")</f>
        <v/>
      </c>
      <c r="AU667">
        <f>IFERROR(INDEX(_ENGINE_Initiatives!$F$5:$F$532,MATCH(1,INDEX((_ENGINE_Initiatives!$B$5:$B$532=$C667)*(_ENGINE_Initiatives!$C$5:$C$532=$D667),0),0)),"")</f>
        <v/>
      </c>
      <c r="AV667">
        <f>IFERROR(INDEX(_ENGINE_Initiatives!$AC$5:$AC$532,MATCH(1,INDEX((_ENGINE_Initiatives!$B$5:$B$532=$C667)*(_ENGINE_Initiatives!$C$5:$C$532=$D667),0),0)),"")</f>
        <v/>
      </c>
      <c r="AW667">
        <f>IFERROR(INDEX(_ENGINE_Initiatives!$AE$5:$AE$532,MATCH(1,INDEX((_ENGINE_Initiatives!$B$5:$B$532=$C667)*(_ENGINE_Initiatives!$C$5:$C$532=$D667),0),0)),"")</f>
        <v/>
      </c>
      <c r="AX667">
        <f>IF($B667="Yes",IFERROR(IF(SUMIFS(_REF_Model_Content!$E$1:$E$613,_REF_Model_Content!$A$1:$A$613,'Company Profile'!$B$9,_REF_Model_Content!$B$1:$B$613,$C667)=0,1,SUMIFS(_REF_Model_Content!$E$1:$E$613,_REF_Model_Content!$A$1:$A$613,'Company Profile'!$B$9,_REF_Model_Content!$B$1:$B$613,$C667)),1),"")</f>
        <v/>
      </c>
      <c r="AY667">
        <f>IF($L667="","",ROUND(IF($AP667="",$L667,$AP667)*IF($AX667="",1,$AX667),2))</f>
        <v/>
      </c>
      <c r="AZ667">
        <f>IF($S667="","",ROUND(IF($AQ667="",$S667,$AQ667)*IF($AX667="",1,$AX667),2))</f>
        <v/>
      </c>
      <c r="BB667">
        <f>IF($H667="","",IFERROR(INDEX('_ENGINE_Risk'!$AE$41:$AE$920,MATCH($E667,'_ENGINE_Risk'!$A$41:$A$920,0)),"Medium"))</f>
        <v/>
      </c>
      <c r="BC667">
        <f>IF($BB667="","",IF($BB667="Fast",1.25,IF($BB667="Slow",0.85,1)))</f>
        <v/>
      </c>
      <c r="BD667">
        <f>IF(OR($AZ667="",$BC667=""),"",ROUND($AZ667*$BC667,2))</f>
        <v/>
      </c>
      <c r="BF667">
        <f>IF(OR($H667="",$J667=""),"",_xlfn.IFNA(VLOOKUP($J667,_CONFIG_Model_Settings!$D$610:$E$614,2,0),""))</f>
        <v/>
      </c>
      <c r="BG667">
        <f>IF(OR($H667="",$K667=""),"",ROUND('Company Profile'!$B$569*INDEX(_CONFIG_Model_Settings!$H$610:$H$614,MATCH($K667,_CONFIG_Model_Settings!$G$610:$G$614,0)),0))</f>
        <v/>
      </c>
      <c r="BH667">
        <f>IF(OR($BF667="",$BG667=""),"",ROUND($BF667*$BG667,1))</f>
        <v/>
      </c>
      <c r="BI667">
        <f>IF($BH667="","",IF($AO667="",$BH667,ROUND($BH667*$AO667,1)))</f>
        <v/>
      </c>
      <c r="BJ667">
        <f>IF($E667="","",IFERROR(VLOOKUP($C667,'_CONFIG_Risk_Calibration'!$A$5:$H$21,2,FALSE),3))</f>
        <v/>
      </c>
      <c r="BK667">
        <f>IF($E667="","",IFERROR(VLOOKUP($C667,'_CONFIG_Risk_Calibration'!$A$5:$H$21,3,FALSE),0))</f>
        <v/>
      </c>
      <c r="BL667">
        <f>IF($E667="","",IFERROR(VLOOKUP($C667,'_CONFIG_Risk_Calibration'!$A$5:$H$21,4,FALSE),3))</f>
        <v/>
      </c>
      <c r="BM667">
        <f>IF($E667="","",IFERROR(VLOOKUP($C667,'_CONFIG_Risk_Calibration'!$A$5:$H$21,5,FALSE),3))</f>
        <v/>
      </c>
      <c r="BN667">
        <f>IF($E667="","",IFERROR(VLOOKUP($C667,'_CONFIG_Risk_Calibration'!$A$5:$H$21,6,FALSE),"No"))</f>
        <v/>
      </c>
      <c r="BO667">
        <f>IF($E667="","",IFERROR(VLOOKUP($C667,'_CONFIG_Risk_Calibration'!$A$5:$H$21,7,FALSE),1))</f>
        <v/>
      </c>
      <c r="BP667">
        <f>IF($H667="","",MAX(1,MIN(5,((6-$H667)*0.45)+($BJ667*0.20)+('Resilience &amp; Risk Scenario'!$B$7*0.15)+($BK667*0.10)+($BL667*0.05)+(IF($BB667="Fast",5,IF($BB667="Slow",1,3))*0.05))))</f>
        <v/>
      </c>
      <c r="BQ667">
        <f>IF($H667="","",MAX(IF($BN667="Yes",$BO667,1),MIN(5,($U667*0.20)+($V667*0.15)+($W667*0.25)+($X667*0.15)+($BJ667*0.10)+($BM667*0.15))))</f>
        <v/>
      </c>
      <c r="BR667">
        <f>IF(OR($BP667="",$BQ667=""),"",ROUND($BP667*$BQ667,2))</f>
        <v/>
      </c>
      <c r="BS667">
        <f>IF($BR667="","",ROUND($BR667*IF($AO667="",1,$AO667)*IF($AX667="",1,$AX667)*(1+(($BM667-3)*0.10))*IF($BC667="",1,$BC667),2))</f>
        <v/>
      </c>
    </row>
    <row r="668" ht="69.90000000000001" customHeight="1" s="209">
      <c r="A668">
        <f>IF($BD668="","",SUMPRODUCT(ISNUMBER($BD$500:$BD$923)*($BD$500:$BD$923&gt;$BD668))+COUNTIF($BD$500:$BD668,$BD668))</f>
        <v/>
      </c>
      <c r="B668">
        <f>IF($H668="","",IF($H668&lt;5,"Yes","Maintain"))</f>
        <v/>
      </c>
      <c r="C668" t="inlineStr">
        <is>
          <t>Physical Safety</t>
        </is>
      </c>
      <c r="D668" t="inlineStr">
        <is>
          <t>Asset management</t>
        </is>
      </c>
      <c r="E668" t="inlineStr">
        <is>
          <t>PHYS-029</t>
        </is>
      </c>
      <c r="F668" t="inlineStr">
        <is>
          <t>Physical asset and facility resilience</t>
        </is>
      </c>
      <c r="G668">
        <f>IF($H668="","",IFERROR(INDEX('_ENGINE_Risk'!$H$41:$M$920,MATCH($E668,'_ENGINE_Risk'!$A$41:$A$920,0),$H668+1),""))</f>
        <v/>
      </c>
      <c r="H668">
        <f>IFERROR(VALUE(INDEX(_DATA_Assessment_Model!$H$5:$H$884,MATCH($E668,_DATA_Assessment_Model!$A$5:$A$884,0))),"")</f>
        <v/>
      </c>
      <c r="I668">
        <f>IF($H668="","",IFERROR(INDEX(_DATA_Assessment_Model!$L$5:$L$884,MATCH($E668,_DATA_Assessment_Model!$A$5:$A$884,0)),IF($H668&lt;=1,"Critical",IF($H668=2,"High",IF($H668=3,"Medium",IF($H668=4,"Low","Resilient"))))))</f>
        <v/>
      </c>
      <c r="J668">
        <f>IF($H668="","",MIN(5,MAX(1,6-$H668)))</f>
        <v/>
      </c>
      <c r="K668">
        <f>IF($H668="","",MAX(1,MIN(5,ROUNDUP(($U668*0.45)+($W668*0.35)+($X668*0.2),0))))</f>
        <v/>
      </c>
      <c r="L668">
        <f>IF($H668="","",$J668*$K668)</f>
        <v/>
      </c>
      <c r="M668">
        <f>IF($H668="","",MAX(1,MIN(5,ROUNDUP($L668/5,0))))</f>
        <v/>
      </c>
      <c r="N668">
        <f>IF($H668="","",IFERROR(INDEX('_ENGINE_Risk'!$T$41:$Y$920,MATCH($E668,'_ENGINE_Risk'!$A$41:$A$920,0),$H668+1),""))</f>
        <v/>
      </c>
      <c r="O668">
        <f>IF($H668="","",MAX(1,MIN(5,($U668+$V668+$X668)/3)))</f>
        <v/>
      </c>
      <c r="P668">
        <f>IF($H668="","",IF($I668="Critical",5,IF($I668="High",4,IF($I668="Medium",3,IF($I668="Low",2,1)))))</f>
        <v/>
      </c>
      <c r="Q668">
        <f>IF($H668="","",MAX(1,MIN(5,((5-$H668)*0.65)+($W668*0.35))))</f>
        <v/>
      </c>
      <c r="R668">
        <f>IF($H668="","",MAX(1,MIN(5,($V668+$X668)/2)))</f>
        <v/>
      </c>
      <c r="S668">
        <f>IF(OR($H668="",$N668=""),"",ROUND(($O668+$P668+$Q668+$R668)/$N668,2))</f>
        <v/>
      </c>
      <c r="T668">
        <f>IF($H668="","",IFERROR(INDEX('_ENGINE_Risk'!$N$41:$S$920,MATCH($E668,'_ENGINE_Risk'!$A$41:$A$920,0),$H668+1),""))</f>
        <v/>
      </c>
      <c r="U668">
        <f>IFERROR(INDEX(_DATA_Assessment_Model!$G$5:$G$884,MATCH($E668,_DATA_Assessment_Model!$A$5:$A$884,0)),"")</f>
        <v/>
      </c>
      <c r="V668">
        <f>IFERROR(INDEX(_DATA_Assessment_Model!$W$5:$W$884,MATCH($E668,_DATA_Assessment_Model!$A$5:$A$884,0)),"")</f>
        <v/>
      </c>
      <c r="W668">
        <f>IFERROR(INDEX(_DATA_Assessment_Model!$X$5:$X$884,MATCH($E668,_DATA_Assessment_Model!$A$5:$A$884,0)),"")</f>
        <v/>
      </c>
      <c r="X668">
        <f>IFERROR(INDEX(_DATA_Assessment_Model!$Y$5:$Y$884,MATCH($E668,_DATA_Assessment_Model!$A$5:$A$884,0)),"")</f>
        <v/>
      </c>
      <c r="Y668" t="inlineStr">
        <is>
          <t>Physical site loss; Natural disaster; War/security crisis</t>
        </is>
      </c>
      <c r="Z668" t="inlineStr">
        <is>
          <t>COO / Facilities</t>
        </is>
      </c>
      <c r="AA668" t="inlineStr">
        <is>
          <t>Policy/SOP; owner/RACI; system report; dashboard; contracts; test records; incident history; interview evidence related to enterprise asset register covering ownership, location, condition, replacement value and insurance linkage</t>
        </is>
      </c>
      <c r="AB668">
        <f>IFERROR(INDEX(_DATA_Assessment_Model!$U$5:$U$884,MATCH($E668,_DATA_Assessment_Model!$A$5:$A$884,0)),"")</f>
        <v/>
      </c>
      <c r="AF668" t="inlineStr">
        <is>
          <t>How mature is the organization in managing enterprise asset register covering ownership, location, condition, replacement value and insurance linkage, including ownership, evidence, metrics, fallback procedures and crisis stress testing?</t>
        </is>
      </c>
      <c r="AO668">
        <f>IF($B668="Yes",IFERROR(INDEX(_ENGINE_Crisis!$F$501:$F$517,MATCH($C668,_ENGINE_Crisis!$A$501:$A$517,0)),1),"")</f>
        <v/>
      </c>
      <c r="AP668">
        <f>IF(AO668="","",ROUND($L668*AO668,1))</f>
        <v/>
      </c>
      <c r="AQ668">
        <f>IF(OR(AO668="",$S668=""),"",ROUND($S668*(0.7+0.3*AO668),2))</f>
        <v/>
      </c>
      <c r="AR668">
        <f>IFERROR(INDEX(_ENGINE_Crisis!$E$41:$E$700,MATCH('Resilience &amp; Risk Scenario'!$B$60&amp;"|"&amp;$C668,_ENGINE_Crisis!$I$41:$I$700,0)),"")</f>
        <v/>
      </c>
      <c r="AS668">
        <f>IFERROR(INDEX(_ENGINE_Crisis!$G$41:$G$700,MATCH('Resilience &amp; Risk Scenario'!$B$60&amp;"|"&amp;$C668,_ENGINE_Crisis!$I$41:$I$700,0)),"")</f>
        <v/>
      </c>
      <c r="AT668">
        <f>IFERROR(INDEX(_ENGINE_Initiatives!$A$5:$A$532,MATCH(1,INDEX((_ENGINE_Initiatives!$B$5:$B$532=$C668)*(_ENGINE_Initiatives!$C$5:$C$532=$D668),0),0)),"")</f>
        <v/>
      </c>
      <c r="AU668">
        <f>IFERROR(INDEX(_ENGINE_Initiatives!$F$5:$F$532,MATCH(1,INDEX((_ENGINE_Initiatives!$B$5:$B$532=$C668)*(_ENGINE_Initiatives!$C$5:$C$532=$D668),0),0)),"")</f>
        <v/>
      </c>
      <c r="AV668">
        <f>IFERROR(INDEX(_ENGINE_Initiatives!$AC$5:$AC$532,MATCH(1,INDEX((_ENGINE_Initiatives!$B$5:$B$532=$C668)*(_ENGINE_Initiatives!$C$5:$C$532=$D668),0),0)),"")</f>
        <v/>
      </c>
      <c r="AW668">
        <f>IFERROR(INDEX(_ENGINE_Initiatives!$AE$5:$AE$532,MATCH(1,INDEX((_ENGINE_Initiatives!$B$5:$B$532=$C668)*(_ENGINE_Initiatives!$C$5:$C$532=$D668),0),0)),"")</f>
        <v/>
      </c>
      <c r="AX668">
        <f>IF($B668="Yes",IFERROR(IF(SUMIFS(_REF_Model_Content!$E$1:$E$613,_REF_Model_Content!$A$1:$A$613,'Company Profile'!$B$9,_REF_Model_Content!$B$1:$B$613,$C668)=0,1,SUMIFS(_REF_Model_Content!$E$1:$E$613,_REF_Model_Content!$A$1:$A$613,'Company Profile'!$B$9,_REF_Model_Content!$B$1:$B$613,$C668)),1),"")</f>
        <v/>
      </c>
      <c r="AY668">
        <f>IF($L668="","",ROUND(IF($AP668="",$L668,$AP668)*IF($AX668="",1,$AX668),2))</f>
        <v/>
      </c>
      <c r="AZ668">
        <f>IF($S668="","",ROUND(IF($AQ668="",$S668,$AQ668)*IF($AX668="",1,$AX668),2))</f>
        <v/>
      </c>
      <c r="BB668">
        <f>IF($H668="","",IFERROR(INDEX('_ENGINE_Risk'!$AE$41:$AE$920,MATCH($E668,'_ENGINE_Risk'!$A$41:$A$920,0)),"Medium"))</f>
        <v/>
      </c>
      <c r="BC668">
        <f>IF($BB668="","",IF($BB668="Fast",1.25,IF($BB668="Slow",0.85,1)))</f>
        <v/>
      </c>
      <c r="BD668">
        <f>IF(OR($AZ668="",$BC668=""),"",ROUND($AZ668*$BC668,2))</f>
        <v/>
      </c>
      <c r="BF668">
        <f>IF(OR($H668="",$J668=""),"",_xlfn.IFNA(VLOOKUP($J668,_CONFIG_Model_Settings!$D$610:$E$614,2,0),""))</f>
        <v/>
      </c>
      <c r="BG668">
        <f>IF(OR($H668="",$K668=""),"",ROUND('Company Profile'!$B$569*INDEX(_CONFIG_Model_Settings!$H$610:$H$614,MATCH($K668,_CONFIG_Model_Settings!$G$610:$G$614,0)),0))</f>
        <v/>
      </c>
      <c r="BH668">
        <f>IF(OR($BF668="",$BG668=""),"",ROUND($BF668*$BG668,1))</f>
        <v/>
      </c>
      <c r="BI668">
        <f>IF($BH668="","",IF($AO668="",$BH668,ROUND($BH668*$AO668,1)))</f>
        <v/>
      </c>
      <c r="BJ668">
        <f>IF($E668="","",IFERROR(VLOOKUP($C668,'_CONFIG_Risk_Calibration'!$A$5:$H$21,2,FALSE),3))</f>
        <v/>
      </c>
      <c r="BK668">
        <f>IF($E668="","",IFERROR(VLOOKUP($C668,'_CONFIG_Risk_Calibration'!$A$5:$H$21,3,FALSE),0))</f>
        <v/>
      </c>
      <c r="BL668">
        <f>IF($E668="","",IFERROR(VLOOKUP($C668,'_CONFIG_Risk_Calibration'!$A$5:$H$21,4,FALSE),3))</f>
        <v/>
      </c>
      <c r="BM668">
        <f>IF($E668="","",IFERROR(VLOOKUP($C668,'_CONFIG_Risk_Calibration'!$A$5:$H$21,5,FALSE),3))</f>
        <v/>
      </c>
      <c r="BN668">
        <f>IF($E668="","",IFERROR(VLOOKUP($C668,'_CONFIG_Risk_Calibration'!$A$5:$H$21,6,FALSE),"No"))</f>
        <v/>
      </c>
      <c r="BO668">
        <f>IF($E668="","",IFERROR(VLOOKUP($C668,'_CONFIG_Risk_Calibration'!$A$5:$H$21,7,FALSE),1))</f>
        <v/>
      </c>
      <c r="BP668">
        <f>IF($H668="","",MAX(1,MIN(5,((6-$H668)*0.45)+($BJ668*0.20)+('Resilience &amp; Risk Scenario'!$B$7*0.15)+($BK668*0.10)+($BL668*0.05)+(IF($BB668="Fast",5,IF($BB668="Slow",1,3))*0.05))))</f>
        <v/>
      </c>
      <c r="BQ668">
        <f>IF($H668="","",MAX(IF($BN668="Yes",$BO668,1),MIN(5,($U668*0.20)+($V668*0.15)+($W668*0.25)+($X668*0.15)+($BJ668*0.10)+($BM668*0.15))))</f>
        <v/>
      </c>
      <c r="BR668">
        <f>IF(OR($BP668="",$BQ668=""),"",ROUND($BP668*$BQ668,2))</f>
        <v/>
      </c>
      <c r="BS668">
        <f>IF($BR668="","",ROUND($BR668*IF($AO668="",1,$AO668)*IF($AX668="",1,$AX668)*(1+(($BM668-3)*0.10))*IF($BC668="",1,$BC668),2))</f>
        <v/>
      </c>
    </row>
    <row r="669" ht="69.90000000000001" customHeight="1" s="209">
      <c r="A669">
        <f>IF($BD669="","",SUMPRODUCT(ISNUMBER($BD$500:$BD$923)*($BD$500:$BD$923&gt;$BD669))+COUNTIF($BD$500:$BD669,$BD669))</f>
        <v/>
      </c>
      <c r="B669">
        <f>IF($H669="","",IF($H669&lt;5,"Yes","Maintain"))</f>
        <v/>
      </c>
      <c r="C669" t="inlineStr">
        <is>
          <t>Physical Safety</t>
        </is>
      </c>
      <c r="D669" t="inlineStr">
        <is>
          <t>Asset management</t>
        </is>
      </c>
      <c r="E669" t="inlineStr">
        <is>
          <t>PHYS-030</t>
        </is>
      </c>
      <c r="F669" t="inlineStr">
        <is>
          <t>Physical asset and facility resilience</t>
        </is>
      </c>
      <c r="G669">
        <f>IF($H669="","",IFERROR(INDEX('_ENGINE_Risk'!$H$41:$M$920,MATCH($E669,'_ENGINE_Risk'!$A$41:$A$920,0),$H669+1),""))</f>
        <v/>
      </c>
      <c r="H669">
        <f>IFERROR(VALUE(INDEX(_DATA_Assessment_Model!$H$5:$H$884,MATCH($E669,_DATA_Assessment_Model!$A$5:$A$884,0))),"")</f>
        <v/>
      </c>
      <c r="I669">
        <f>IF($H669="","",IFERROR(INDEX(_DATA_Assessment_Model!$L$5:$L$884,MATCH($E669,_DATA_Assessment_Model!$A$5:$A$884,0)),IF($H669&lt;=1,"Critical",IF($H669=2,"High",IF($H669=3,"Medium",IF($H669=4,"Low","Resilient"))))))</f>
        <v/>
      </c>
      <c r="J669">
        <f>IF($H669="","",MIN(5,MAX(1,6-$H669)))</f>
        <v/>
      </c>
      <c r="K669">
        <f>IF($H669="","",MAX(1,MIN(5,ROUNDUP(($U669*0.45)+($W669*0.35)+($X669*0.2),0))))</f>
        <v/>
      </c>
      <c r="L669">
        <f>IF($H669="","",$J669*$K669)</f>
        <v/>
      </c>
      <c r="M669">
        <f>IF($H669="","",MAX(1,MIN(5,ROUNDUP($L669/5,0))))</f>
        <v/>
      </c>
      <c r="N669">
        <f>IF($H669="","",IFERROR(INDEX('_ENGINE_Risk'!$T$41:$Y$920,MATCH($E669,'_ENGINE_Risk'!$A$41:$A$920,0),$H669+1),""))</f>
        <v/>
      </c>
      <c r="O669">
        <f>IF($H669="","",MAX(1,MIN(5,($U669+$V669+$X669)/3)))</f>
        <v/>
      </c>
      <c r="P669">
        <f>IF($H669="","",IF($I669="Critical",5,IF($I669="High",4,IF($I669="Medium",3,IF($I669="Low",2,1)))))</f>
        <v/>
      </c>
      <c r="Q669">
        <f>IF($H669="","",MAX(1,MIN(5,((5-$H669)*0.65)+($W669*0.35))))</f>
        <v/>
      </c>
      <c r="R669">
        <f>IF($H669="","",MAX(1,MIN(5,($V669+$X669)/2)))</f>
        <v/>
      </c>
      <c r="S669">
        <f>IF(OR($H669="",$N669=""),"",ROUND(($O669+$P669+$Q669+$R669)/$N669,2))</f>
        <v/>
      </c>
      <c r="T669">
        <f>IF($H669="","",IFERROR(INDEX('_ENGINE_Risk'!$N$41:$S$920,MATCH($E669,'_ENGINE_Risk'!$A$41:$A$920,0),$H669+1),""))</f>
        <v/>
      </c>
      <c r="U669">
        <f>IFERROR(INDEX(_DATA_Assessment_Model!$G$5:$G$884,MATCH($E669,_DATA_Assessment_Model!$A$5:$A$884,0)),"")</f>
        <v/>
      </c>
      <c r="V669">
        <f>IFERROR(INDEX(_DATA_Assessment_Model!$W$5:$W$884,MATCH($E669,_DATA_Assessment_Model!$A$5:$A$884,0)),"")</f>
        <v/>
      </c>
      <c r="W669">
        <f>IFERROR(INDEX(_DATA_Assessment_Model!$X$5:$X$884,MATCH($E669,_DATA_Assessment_Model!$A$5:$A$884,0)),"")</f>
        <v/>
      </c>
      <c r="X669">
        <f>IFERROR(INDEX(_DATA_Assessment_Model!$Y$5:$Y$884,MATCH($E669,_DATA_Assessment_Model!$A$5:$A$884,0)),"")</f>
        <v/>
      </c>
      <c r="Y669" t="inlineStr">
        <is>
          <t>Physical site loss; Energy/utilities outage; Financial/liquidity crisis</t>
        </is>
      </c>
      <c r="Z669" t="inlineStr">
        <is>
          <t>COO / Facilities</t>
        </is>
      </c>
      <c r="AA669" t="inlineStr">
        <is>
          <t>Policy/SOP; owner/RACI; system report; dashboard; contracts; test records; incident history; interview evidence related to asset lifecycle planning for acquisition, maintenance, renewal and disposal of critical equipment and facilities</t>
        </is>
      </c>
      <c r="AB669">
        <f>IFERROR(INDEX(_DATA_Assessment_Model!$U$5:$U$884,MATCH($E669,_DATA_Assessment_Model!$A$5:$A$884,0)),"")</f>
        <v/>
      </c>
      <c r="AF669" t="inlineStr">
        <is>
          <t>How mature is the organization in managing asset lifecycle planning for acquisition, maintenance, renewal and disposal of critical equipment and facilities, including ownership, evidence, metrics, fallback procedures and crisis stress testing?</t>
        </is>
      </c>
      <c r="AO669">
        <f>IF($B669="Yes",IFERROR(INDEX(_ENGINE_Crisis!$F$501:$F$517,MATCH($C669,_ENGINE_Crisis!$A$501:$A$517,0)),1),"")</f>
        <v/>
      </c>
      <c r="AP669">
        <f>IF(AO669="","",ROUND($L669*AO669,1))</f>
        <v/>
      </c>
      <c r="AQ669">
        <f>IF(OR(AO669="",$S669=""),"",ROUND($S669*(0.7+0.3*AO669),2))</f>
        <v/>
      </c>
      <c r="AR669">
        <f>IFERROR(INDEX(_ENGINE_Crisis!$E$41:$E$700,MATCH('Resilience &amp; Risk Scenario'!$B$60&amp;"|"&amp;$C669,_ENGINE_Crisis!$I$41:$I$700,0)),"")</f>
        <v/>
      </c>
      <c r="AS669">
        <f>IFERROR(INDEX(_ENGINE_Crisis!$G$41:$G$700,MATCH('Resilience &amp; Risk Scenario'!$B$60&amp;"|"&amp;$C669,_ENGINE_Crisis!$I$41:$I$700,0)),"")</f>
        <v/>
      </c>
      <c r="AT669">
        <f>IFERROR(INDEX(_ENGINE_Initiatives!$A$5:$A$532,MATCH(1,INDEX((_ENGINE_Initiatives!$B$5:$B$532=$C669)*(_ENGINE_Initiatives!$C$5:$C$532=$D669),0),0)),"")</f>
        <v/>
      </c>
      <c r="AU669">
        <f>IFERROR(INDEX(_ENGINE_Initiatives!$F$5:$F$532,MATCH(1,INDEX((_ENGINE_Initiatives!$B$5:$B$532=$C669)*(_ENGINE_Initiatives!$C$5:$C$532=$D669),0),0)),"")</f>
        <v/>
      </c>
      <c r="AV669">
        <f>IFERROR(INDEX(_ENGINE_Initiatives!$AC$5:$AC$532,MATCH(1,INDEX((_ENGINE_Initiatives!$B$5:$B$532=$C669)*(_ENGINE_Initiatives!$C$5:$C$532=$D669),0),0)),"")</f>
        <v/>
      </c>
      <c r="AW669">
        <f>IFERROR(INDEX(_ENGINE_Initiatives!$AE$5:$AE$532,MATCH(1,INDEX((_ENGINE_Initiatives!$B$5:$B$532=$C669)*(_ENGINE_Initiatives!$C$5:$C$532=$D669),0),0)),"")</f>
        <v/>
      </c>
      <c r="AX669">
        <f>IF($B669="Yes",IFERROR(IF(SUMIFS(_REF_Model_Content!$E$1:$E$613,_REF_Model_Content!$A$1:$A$613,'Company Profile'!$B$9,_REF_Model_Content!$B$1:$B$613,$C669)=0,1,SUMIFS(_REF_Model_Content!$E$1:$E$613,_REF_Model_Content!$A$1:$A$613,'Company Profile'!$B$9,_REF_Model_Content!$B$1:$B$613,$C669)),1),"")</f>
        <v/>
      </c>
      <c r="AY669">
        <f>IF($L669="","",ROUND(IF($AP669="",$L669,$AP669)*IF($AX669="",1,$AX669),2))</f>
        <v/>
      </c>
      <c r="AZ669">
        <f>IF($S669="","",ROUND(IF($AQ669="",$S669,$AQ669)*IF($AX669="",1,$AX669),2))</f>
        <v/>
      </c>
      <c r="BB669">
        <f>IF($H669="","",IFERROR(INDEX('_ENGINE_Risk'!$AE$41:$AE$920,MATCH($E669,'_ENGINE_Risk'!$A$41:$A$920,0)),"Medium"))</f>
        <v/>
      </c>
      <c r="BC669">
        <f>IF($BB669="","",IF($BB669="Fast",1.25,IF($BB669="Slow",0.85,1)))</f>
        <v/>
      </c>
      <c r="BD669">
        <f>IF(OR($AZ669="",$BC669=""),"",ROUND($AZ669*$BC669,2))</f>
        <v/>
      </c>
      <c r="BF669">
        <f>IF(OR($H669="",$J669=""),"",_xlfn.IFNA(VLOOKUP($J669,_CONFIG_Model_Settings!$D$610:$E$614,2,0),""))</f>
        <v/>
      </c>
      <c r="BG669">
        <f>IF(OR($H669="",$K669=""),"",ROUND('Company Profile'!$B$569*INDEX(_CONFIG_Model_Settings!$H$610:$H$614,MATCH($K669,_CONFIG_Model_Settings!$G$610:$G$614,0)),0))</f>
        <v/>
      </c>
      <c r="BH669">
        <f>IF(OR($BF669="",$BG669=""),"",ROUND($BF669*$BG669,1))</f>
        <v/>
      </c>
      <c r="BI669">
        <f>IF($BH669="","",IF($AO669="",$BH669,ROUND($BH669*$AO669,1)))</f>
        <v/>
      </c>
      <c r="BJ669">
        <f>IF($E669="","",IFERROR(VLOOKUP($C669,'_CONFIG_Risk_Calibration'!$A$5:$H$21,2,FALSE),3))</f>
        <v/>
      </c>
      <c r="BK669">
        <f>IF($E669="","",IFERROR(VLOOKUP($C669,'_CONFIG_Risk_Calibration'!$A$5:$H$21,3,FALSE),0))</f>
        <v/>
      </c>
      <c r="BL669">
        <f>IF($E669="","",IFERROR(VLOOKUP($C669,'_CONFIG_Risk_Calibration'!$A$5:$H$21,4,FALSE),3))</f>
        <v/>
      </c>
      <c r="BM669">
        <f>IF($E669="","",IFERROR(VLOOKUP($C669,'_CONFIG_Risk_Calibration'!$A$5:$H$21,5,FALSE),3))</f>
        <v/>
      </c>
      <c r="BN669">
        <f>IF($E669="","",IFERROR(VLOOKUP($C669,'_CONFIG_Risk_Calibration'!$A$5:$H$21,6,FALSE),"No"))</f>
        <v/>
      </c>
      <c r="BO669">
        <f>IF($E669="","",IFERROR(VLOOKUP($C669,'_CONFIG_Risk_Calibration'!$A$5:$H$21,7,FALSE),1))</f>
        <v/>
      </c>
      <c r="BP669">
        <f>IF($H669="","",MAX(1,MIN(5,((6-$H669)*0.45)+($BJ669*0.20)+('Resilience &amp; Risk Scenario'!$B$7*0.15)+($BK669*0.10)+($BL669*0.05)+(IF($BB669="Fast",5,IF($BB669="Slow",1,3))*0.05))))</f>
        <v/>
      </c>
      <c r="BQ669">
        <f>IF($H669="","",MAX(IF($BN669="Yes",$BO669,1),MIN(5,($U669*0.20)+($V669*0.15)+($W669*0.25)+($X669*0.15)+($BJ669*0.10)+($BM669*0.15))))</f>
        <v/>
      </c>
      <c r="BR669">
        <f>IF(OR($BP669="",$BQ669=""),"",ROUND($BP669*$BQ669,2))</f>
        <v/>
      </c>
      <c r="BS669">
        <f>IF($BR669="","",ROUND($BR669*IF($AO669="",1,$AO669)*IF($AX669="",1,$AX669)*(1+(($BM669-3)*0.10))*IF($BC669="",1,$BC669),2))</f>
        <v/>
      </c>
    </row>
    <row r="670" ht="69.90000000000001" customHeight="1" s="209">
      <c r="A670">
        <f>IF($BD670="","",SUMPRODUCT(ISNUMBER($BD$500:$BD$923)*($BD$500:$BD$923&gt;$BD670))+COUNTIF($BD$500:$BD670,$BD670))</f>
        <v/>
      </c>
      <c r="B670">
        <f>IF($H670="","",IF($H670&lt;5,"Yes","Maintain"))</f>
        <v/>
      </c>
      <c r="C670" t="inlineStr">
        <is>
          <t>Physical Safety</t>
        </is>
      </c>
      <c r="D670" t="inlineStr">
        <is>
          <t>Asset management</t>
        </is>
      </c>
      <c r="E670" t="inlineStr">
        <is>
          <t>PHYS-031</t>
        </is>
      </c>
      <c r="F670" t="inlineStr">
        <is>
          <t>Physical asset and facility resilience</t>
        </is>
      </c>
      <c r="G670">
        <f>IF($H670="","",IFERROR(INDEX('_ENGINE_Risk'!$H$41:$M$920,MATCH($E670,'_ENGINE_Risk'!$A$41:$A$920,0),$H670+1),""))</f>
        <v/>
      </c>
      <c r="H670">
        <f>IFERROR(VALUE(INDEX(_DATA_Assessment_Model!$H$5:$H$884,MATCH($E670,_DATA_Assessment_Model!$A$5:$A$884,0))),"")</f>
        <v/>
      </c>
      <c r="I670">
        <f>IF($H670="","",IFERROR(INDEX(_DATA_Assessment_Model!$L$5:$L$884,MATCH($E670,_DATA_Assessment_Model!$A$5:$A$884,0)),IF($H670&lt;=1,"Critical",IF($H670=2,"High",IF($H670=3,"Medium",IF($H670=4,"Low","Resilient"))))))</f>
        <v/>
      </c>
      <c r="J670">
        <f>IF($H670="","",MIN(5,MAX(1,6-$H670)))</f>
        <v/>
      </c>
      <c r="K670">
        <f>IF($H670="","",MAX(1,MIN(5,ROUNDUP(($U670*0.45)+($W670*0.35)+($X670*0.2),0))))</f>
        <v/>
      </c>
      <c r="L670">
        <f>IF($H670="","",$J670*$K670)</f>
        <v/>
      </c>
      <c r="M670">
        <f>IF($H670="","",MAX(1,MIN(5,ROUNDUP($L670/5,0))))</f>
        <v/>
      </c>
      <c r="N670">
        <f>IF($H670="","",IFERROR(INDEX('_ENGINE_Risk'!$T$41:$Y$920,MATCH($E670,'_ENGINE_Risk'!$A$41:$A$920,0),$H670+1),""))</f>
        <v/>
      </c>
      <c r="O670">
        <f>IF($H670="","",MAX(1,MIN(5,($U670+$V670+$X670)/3)))</f>
        <v/>
      </c>
      <c r="P670">
        <f>IF($H670="","",IF($I670="Critical",5,IF($I670="High",4,IF($I670="Medium",3,IF($I670="Low",2,1)))))</f>
        <v/>
      </c>
      <c r="Q670">
        <f>IF($H670="","",MAX(1,MIN(5,((5-$H670)*0.65)+($W670*0.35))))</f>
        <v/>
      </c>
      <c r="R670">
        <f>IF($H670="","",MAX(1,MIN(5,($V670+$X670)/2)))</f>
        <v/>
      </c>
      <c r="S670">
        <f>IF(OR($H670="",$N670=""),"",ROUND(($O670+$P670+$Q670+$R670)/$N670,2))</f>
        <v/>
      </c>
      <c r="T670">
        <f>IF($H670="","",IFERROR(INDEX('_ENGINE_Risk'!$N$41:$S$920,MATCH($E670,'_ENGINE_Risk'!$A$41:$A$920,0),$H670+1),""))</f>
        <v/>
      </c>
      <c r="U670">
        <f>IFERROR(INDEX(_DATA_Assessment_Model!$G$5:$G$884,MATCH($E670,_DATA_Assessment_Model!$A$5:$A$884,0)),"")</f>
        <v/>
      </c>
      <c r="V670">
        <f>IFERROR(INDEX(_DATA_Assessment_Model!$W$5:$W$884,MATCH($E670,_DATA_Assessment_Model!$A$5:$A$884,0)),"")</f>
        <v/>
      </c>
      <c r="W670">
        <f>IFERROR(INDEX(_DATA_Assessment_Model!$X$5:$X$884,MATCH($E670,_DATA_Assessment_Model!$A$5:$A$884,0)),"")</f>
        <v/>
      </c>
      <c r="X670">
        <f>IFERROR(INDEX(_DATA_Assessment_Model!$Y$5:$Y$884,MATCH($E670,_DATA_Assessment_Model!$A$5:$A$884,0)),"")</f>
        <v/>
      </c>
      <c r="Y670" t="inlineStr">
        <is>
          <t>Physical site loss; Financial/liquidity crisis; War/security crisis</t>
        </is>
      </c>
      <c r="Z670" t="inlineStr">
        <is>
          <t>CFO / Facilities</t>
        </is>
      </c>
      <c r="AA670" t="inlineStr">
        <is>
          <t>Policy/SOP; owner/RACI; system report; dashboard; contracts; test records; incident history; interview evidence related to property and lease portfolio management with obligations, expiry dates, exit options and flexibility</t>
        </is>
      </c>
      <c r="AB670">
        <f>IFERROR(INDEX(_DATA_Assessment_Model!$U$5:$U$884,MATCH($E670,_DATA_Assessment_Model!$A$5:$A$884,0)),"")</f>
        <v/>
      </c>
      <c r="AF670" t="inlineStr">
        <is>
          <t>How mature is the organization in managing property and lease portfolio management with obligations, expiry dates, exit options and flexibility, including ownership, evidence, metrics, fallback procedures and crisis stress testing?</t>
        </is>
      </c>
      <c r="AO670">
        <f>IF($B670="Yes",IFERROR(INDEX(_ENGINE_Crisis!$F$501:$F$517,MATCH($C670,_ENGINE_Crisis!$A$501:$A$517,0)),1),"")</f>
        <v/>
      </c>
      <c r="AP670">
        <f>IF(AO670="","",ROUND($L670*AO670,1))</f>
        <v/>
      </c>
      <c r="AQ670">
        <f>IF(OR(AO670="",$S670=""),"",ROUND($S670*(0.7+0.3*AO670),2))</f>
        <v/>
      </c>
      <c r="AR670">
        <f>IFERROR(INDEX(_ENGINE_Crisis!$E$41:$E$700,MATCH('Resilience &amp; Risk Scenario'!$B$60&amp;"|"&amp;$C670,_ENGINE_Crisis!$I$41:$I$700,0)),"")</f>
        <v/>
      </c>
      <c r="AS670">
        <f>IFERROR(INDEX(_ENGINE_Crisis!$G$41:$G$700,MATCH('Resilience &amp; Risk Scenario'!$B$60&amp;"|"&amp;$C670,_ENGINE_Crisis!$I$41:$I$700,0)),"")</f>
        <v/>
      </c>
      <c r="AT670">
        <f>IFERROR(INDEX(_ENGINE_Initiatives!$A$5:$A$532,MATCH(1,INDEX((_ENGINE_Initiatives!$B$5:$B$532=$C670)*(_ENGINE_Initiatives!$C$5:$C$532=$D670),0),0)),"")</f>
        <v/>
      </c>
      <c r="AU670">
        <f>IFERROR(INDEX(_ENGINE_Initiatives!$F$5:$F$532,MATCH(1,INDEX((_ENGINE_Initiatives!$B$5:$B$532=$C670)*(_ENGINE_Initiatives!$C$5:$C$532=$D670),0),0)),"")</f>
        <v/>
      </c>
      <c r="AV670">
        <f>IFERROR(INDEX(_ENGINE_Initiatives!$AC$5:$AC$532,MATCH(1,INDEX((_ENGINE_Initiatives!$B$5:$B$532=$C670)*(_ENGINE_Initiatives!$C$5:$C$532=$D670),0),0)),"")</f>
        <v/>
      </c>
      <c r="AW670">
        <f>IFERROR(INDEX(_ENGINE_Initiatives!$AE$5:$AE$532,MATCH(1,INDEX((_ENGINE_Initiatives!$B$5:$B$532=$C670)*(_ENGINE_Initiatives!$C$5:$C$532=$D670),0),0)),"")</f>
        <v/>
      </c>
      <c r="AX670">
        <f>IF($B670="Yes",IFERROR(IF(SUMIFS(_REF_Model_Content!$E$1:$E$613,_REF_Model_Content!$A$1:$A$613,'Company Profile'!$B$9,_REF_Model_Content!$B$1:$B$613,$C670)=0,1,SUMIFS(_REF_Model_Content!$E$1:$E$613,_REF_Model_Content!$A$1:$A$613,'Company Profile'!$B$9,_REF_Model_Content!$B$1:$B$613,$C670)),1),"")</f>
        <v/>
      </c>
      <c r="AY670">
        <f>IF($L670="","",ROUND(IF($AP670="",$L670,$AP670)*IF($AX670="",1,$AX670),2))</f>
        <v/>
      </c>
      <c r="AZ670">
        <f>IF($S670="","",ROUND(IF($AQ670="",$S670,$AQ670)*IF($AX670="",1,$AX670),2))</f>
        <v/>
      </c>
      <c r="BB670">
        <f>IF($H670="","",IFERROR(INDEX('_ENGINE_Risk'!$AE$41:$AE$920,MATCH($E670,'_ENGINE_Risk'!$A$41:$A$920,0)),"Medium"))</f>
        <v/>
      </c>
      <c r="BC670">
        <f>IF($BB670="","",IF($BB670="Fast",1.25,IF($BB670="Slow",0.85,1)))</f>
        <v/>
      </c>
      <c r="BD670">
        <f>IF(OR($AZ670="",$BC670=""),"",ROUND($AZ670*$BC670,2))</f>
        <v/>
      </c>
      <c r="BF670">
        <f>IF(OR($H670="",$J670=""),"",_xlfn.IFNA(VLOOKUP($J670,_CONFIG_Model_Settings!$D$610:$E$614,2,0),""))</f>
        <v/>
      </c>
      <c r="BG670">
        <f>IF(OR($H670="",$K670=""),"",ROUND('Company Profile'!$B$569*INDEX(_CONFIG_Model_Settings!$H$610:$H$614,MATCH($K670,_CONFIG_Model_Settings!$G$610:$G$614,0)),0))</f>
        <v/>
      </c>
      <c r="BH670">
        <f>IF(OR($BF670="",$BG670=""),"",ROUND($BF670*$BG670,1))</f>
        <v/>
      </c>
      <c r="BI670">
        <f>IF($BH670="","",IF($AO670="",$BH670,ROUND($BH670*$AO670,1)))</f>
        <v/>
      </c>
      <c r="BJ670">
        <f>IF($E670="","",IFERROR(VLOOKUP($C670,'_CONFIG_Risk_Calibration'!$A$5:$H$21,2,FALSE),3))</f>
        <v/>
      </c>
      <c r="BK670">
        <f>IF($E670="","",IFERROR(VLOOKUP($C670,'_CONFIG_Risk_Calibration'!$A$5:$H$21,3,FALSE),0))</f>
        <v/>
      </c>
      <c r="BL670">
        <f>IF($E670="","",IFERROR(VLOOKUP($C670,'_CONFIG_Risk_Calibration'!$A$5:$H$21,4,FALSE),3))</f>
        <v/>
      </c>
      <c r="BM670">
        <f>IF($E670="","",IFERROR(VLOOKUP($C670,'_CONFIG_Risk_Calibration'!$A$5:$H$21,5,FALSE),3))</f>
        <v/>
      </c>
      <c r="BN670">
        <f>IF($E670="","",IFERROR(VLOOKUP($C670,'_CONFIG_Risk_Calibration'!$A$5:$H$21,6,FALSE),"No"))</f>
        <v/>
      </c>
      <c r="BO670">
        <f>IF($E670="","",IFERROR(VLOOKUP($C670,'_CONFIG_Risk_Calibration'!$A$5:$H$21,7,FALSE),1))</f>
        <v/>
      </c>
      <c r="BP670">
        <f>IF($H670="","",MAX(1,MIN(5,((6-$H670)*0.45)+($BJ670*0.20)+('Resilience &amp; Risk Scenario'!$B$7*0.15)+($BK670*0.10)+($BL670*0.05)+(IF($BB670="Fast",5,IF($BB670="Slow",1,3))*0.05))))</f>
        <v/>
      </c>
      <c r="BQ670">
        <f>IF($H670="","",MAX(IF($BN670="Yes",$BO670,1),MIN(5,($U670*0.20)+($V670*0.15)+($W670*0.25)+($X670*0.15)+($BJ670*0.10)+($BM670*0.15))))</f>
        <v/>
      </c>
      <c r="BR670">
        <f>IF(OR($BP670="",$BQ670=""),"",ROUND($BP670*$BQ670,2))</f>
        <v/>
      </c>
      <c r="BS670">
        <f>IF($BR670="","",ROUND($BR670*IF($AO670="",1,$AO670)*IF($AX670="",1,$AX670)*(1+(($BM670-3)*0.10))*IF($BC670="",1,$BC670),2))</f>
        <v/>
      </c>
    </row>
    <row r="671" ht="69.90000000000001" customHeight="1" s="209">
      <c r="A671">
        <f>IF($BD671="","",SUMPRODUCT(ISNUMBER($BD$500:$BD$923)*($BD$500:$BD$923&gt;$BD671))+COUNTIF($BD$500:$BD671,$BD671))</f>
        <v/>
      </c>
      <c r="B671">
        <f>IF($H671="","",IF($H671&lt;5,"Yes","Maintain"))</f>
        <v/>
      </c>
      <c r="C671" t="inlineStr">
        <is>
          <t>Delivery Ops</t>
        </is>
      </c>
      <c r="D671" t="inlineStr">
        <is>
          <t>Delivery governance</t>
        </is>
      </c>
      <c r="E671" t="inlineStr">
        <is>
          <t>DELI-001</t>
        </is>
      </c>
      <c r="F671" t="inlineStr">
        <is>
          <t>Delivery, service continuity and operational execution</t>
        </is>
      </c>
      <c r="G671">
        <f>IF($H671="","",IFERROR(INDEX('_ENGINE_Risk'!$H$41:$M$920,MATCH($E671,'_ENGINE_Risk'!$A$41:$A$920,0),$H671+1),""))</f>
        <v/>
      </c>
      <c r="H671">
        <f>IFERROR(VALUE(INDEX(_DATA_Assessment_Model!$H$5:$H$884,MATCH($E671,_DATA_Assessment_Model!$A$5:$A$884,0))),"")</f>
        <v/>
      </c>
      <c r="I671">
        <f>IF($H671="","",IFERROR(INDEX(_DATA_Assessment_Model!$L$5:$L$884,MATCH($E671,_DATA_Assessment_Model!$A$5:$A$884,0)),IF($H671&lt;=1,"Critical",IF($H671=2,"High",IF($H671=3,"Medium",IF($H671=4,"Low","Resilient"))))))</f>
        <v/>
      </c>
      <c r="J671">
        <f>IF($H671="","",MIN(5,MAX(1,6-$H671)))</f>
        <v/>
      </c>
      <c r="K671">
        <f>IF($H671="","",MAX(1,MIN(5,ROUNDUP(($U671*0.45)+($W671*0.35)+($X671*0.2),0))))</f>
        <v/>
      </c>
      <c r="L671">
        <f>IF($H671="","",$J671*$K671)</f>
        <v/>
      </c>
      <c r="M671">
        <f>IF($H671="","",MAX(1,MIN(5,ROUNDUP($L671/5,0))))</f>
        <v/>
      </c>
      <c r="N671">
        <f>IF($H671="","",IFERROR(INDEX('_ENGINE_Risk'!$T$41:$Y$920,MATCH($E671,'_ENGINE_Risk'!$A$41:$A$920,0),$H671+1),""))</f>
        <v/>
      </c>
      <c r="O671">
        <f>IF($H671="","",MAX(1,MIN(5,($U671+$V671+$X671)/3)))</f>
        <v/>
      </c>
      <c r="P671">
        <f>IF($H671="","",IF($I671="Critical",5,IF($I671="High",4,IF($I671="Medium",3,IF($I671="Low",2,1)))))</f>
        <v/>
      </c>
      <c r="Q671">
        <f>IF($H671="","",MAX(1,MIN(5,((5-$H671)*0.65)+($W671*0.35))))</f>
        <v/>
      </c>
      <c r="R671">
        <f>IF($H671="","",MAX(1,MIN(5,($V671+$X671)/2)))</f>
        <v/>
      </c>
      <c r="S671">
        <f>IF(OR($H671="",$N671=""),"",ROUND(($O671+$P671+$Q671+$R671)/$N671,2))</f>
        <v/>
      </c>
      <c r="T671">
        <f>IF($H671="","",IFERROR(INDEX('_ENGINE_Risk'!$N$41:$S$920,MATCH($E671,'_ENGINE_Risk'!$A$41:$A$920,0),$H671+1),""))</f>
        <v/>
      </c>
      <c r="U671">
        <f>IFERROR(INDEX(_DATA_Assessment_Model!$G$5:$G$884,MATCH($E671,_DATA_Assessment_Model!$A$5:$A$884,0)),"")</f>
        <v/>
      </c>
      <c r="V671">
        <f>IFERROR(INDEX(_DATA_Assessment_Model!$W$5:$W$884,MATCH($E671,_DATA_Assessment_Model!$A$5:$A$884,0)),"")</f>
        <v/>
      </c>
      <c r="W671">
        <f>IFERROR(INDEX(_DATA_Assessment_Model!$X$5:$X$884,MATCH($E671,_DATA_Assessment_Model!$A$5:$A$884,0)),"")</f>
        <v/>
      </c>
      <c r="X671">
        <f>IFERROR(INDEX(_DATA_Assessment_Model!$Y$5:$Y$884,MATCH($E671,_DATA_Assessment_Model!$A$5:$A$884,0)),"")</f>
        <v/>
      </c>
      <c r="Y671" t="inlineStr">
        <is>
          <t>Delivery disruption; Customer impact; Workforce disruption</t>
        </is>
      </c>
      <c r="Z671" t="inlineStr">
        <is>
          <t>COO / Delivery</t>
        </is>
      </c>
      <c r="AA671" t="inlineStr">
        <is>
          <t>Policy/SOP; owner/RACI; system report; dashboard; contracts; test records; incident history; interview evidence related to documented delivery operating model across functions, teams, sites, vendors and customer interfaces.</t>
        </is>
      </c>
      <c r="AB671">
        <f>IFERROR(INDEX(_DATA_Assessment_Model!$U$5:$U$884,MATCH($E671,_DATA_Assessment_Model!$A$5:$A$884,0)),"")</f>
        <v/>
      </c>
      <c r="AF671" t="inlineStr">
        <is>
          <t>How mature is the organization in managing documented delivery operating model across functions, teams, sites, vendors and customer interfaces, including ownership, evidence, metrics, fallback procedures and crisis stress testing?</t>
        </is>
      </c>
      <c r="AO671">
        <f>IF($B671="Yes",IFERROR(INDEX(_ENGINE_Crisis!$F$501:$F$517,MATCH($C671,_ENGINE_Crisis!$A$501:$A$517,0)),1),"")</f>
        <v/>
      </c>
      <c r="AP671">
        <f>IF(AO671="","",ROUND($L671*AO671,1))</f>
        <v/>
      </c>
      <c r="AQ671">
        <f>IF(OR(AO671="",$S671=""),"",ROUND($S671*(0.7+0.3*AO671),2))</f>
        <v/>
      </c>
      <c r="AR671">
        <f>IFERROR(INDEX(_ENGINE_Crisis!$E$41:$E$700,MATCH('Resilience &amp; Risk Scenario'!$B$60&amp;"|"&amp;$C671,_ENGINE_Crisis!$I$41:$I$700,0)),"")</f>
        <v/>
      </c>
      <c r="AS671">
        <f>IFERROR(INDEX(_ENGINE_Crisis!$G$41:$G$700,MATCH('Resilience &amp; Risk Scenario'!$B$60&amp;"|"&amp;$C671,_ENGINE_Crisis!$I$41:$I$700,0)),"")</f>
        <v/>
      </c>
      <c r="AT671">
        <f>IFERROR(INDEX(_ENGINE_Initiatives!$A$5:$A$532,MATCH(1,INDEX((_ENGINE_Initiatives!$B$5:$B$532=$C671)*(_ENGINE_Initiatives!$C$5:$C$532=$D671),0),0)),"")</f>
        <v/>
      </c>
      <c r="AU671">
        <f>IFERROR(INDEX(_ENGINE_Initiatives!$F$5:$F$532,MATCH(1,INDEX((_ENGINE_Initiatives!$B$5:$B$532=$C671)*(_ENGINE_Initiatives!$C$5:$C$532=$D671),0),0)),"")</f>
        <v/>
      </c>
      <c r="AV671">
        <f>IFERROR(INDEX(_ENGINE_Initiatives!$AC$5:$AC$532,MATCH(1,INDEX((_ENGINE_Initiatives!$B$5:$B$532=$C671)*(_ENGINE_Initiatives!$C$5:$C$532=$D671),0),0)),"")</f>
        <v/>
      </c>
      <c r="AW671">
        <f>IFERROR(INDEX(_ENGINE_Initiatives!$AE$5:$AE$532,MATCH(1,INDEX((_ENGINE_Initiatives!$B$5:$B$532=$C671)*(_ENGINE_Initiatives!$C$5:$C$532=$D671),0),0)),"")</f>
        <v/>
      </c>
      <c r="AX671">
        <f>IF($B671="Yes",IFERROR(IF(SUMIFS(_REF_Model_Content!$E$1:$E$613,_REF_Model_Content!$A$1:$A$613,'Company Profile'!$B$9,_REF_Model_Content!$B$1:$B$613,$C671)=0,1,SUMIFS(_REF_Model_Content!$E$1:$E$613,_REF_Model_Content!$A$1:$A$613,'Company Profile'!$B$9,_REF_Model_Content!$B$1:$B$613,$C671)),1),"")</f>
        <v/>
      </c>
      <c r="AY671">
        <f>IF($L671="","",ROUND(IF($AP671="",$L671,$AP671)*IF($AX671="",1,$AX671),2))</f>
        <v/>
      </c>
      <c r="AZ671">
        <f>IF($S671="","",ROUND(IF($AQ671="",$S671,$AQ671)*IF($AX671="",1,$AX671),2))</f>
        <v/>
      </c>
      <c r="BB671">
        <f>IF($H671="","",IFERROR(INDEX('_ENGINE_Risk'!$AE$41:$AE$920,MATCH($E671,'_ENGINE_Risk'!$A$41:$A$920,0)),"Medium"))</f>
        <v/>
      </c>
      <c r="BC671">
        <f>IF($BB671="","",IF($BB671="Fast",1.25,IF($BB671="Slow",0.85,1)))</f>
        <v/>
      </c>
      <c r="BD671">
        <f>IF(OR($AZ671="",$BC671=""),"",ROUND($AZ671*$BC671,2))</f>
        <v/>
      </c>
      <c r="BF671">
        <f>IF(OR($H671="",$J671=""),"",_xlfn.IFNA(VLOOKUP($J671,_CONFIG_Model_Settings!$D$610:$E$614,2,0),""))</f>
        <v/>
      </c>
      <c r="BG671">
        <f>IF(OR($H671="",$K671=""),"",ROUND('Company Profile'!$B$569*INDEX(_CONFIG_Model_Settings!$H$610:$H$614,MATCH($K671,_CONFIG_Model_Settings!$G$610:$G$614,0)),0))</f>
        <v/>
      </c>
      <c r="BH671">
        <f>IF(OR($BF671="",$BG671=""),"",ROUND($BF671*$BG671,1))</f>
        <v/>
      </c>
      <c r="BI671">
        <f>IF($BH671="","",IF($AO671="",$BH671,ROUND($BH671*$AO671,1)))</f>
        <v/>
      </c>
      <c r="BJ671">
        <f>IF($E671="","",IFERROR(VLOOKUP($C671,'_CONFIG_Risk_Calibration'!$A$5:$H$21,2,FALSE),3))</f>
        <v/>
      </c>
      <c r="BK671">
        <f>IF($E671="","",IFERROR(VLOOKUP($C671,'_CONFIG_Risk_Calibration'!$A$5:$H$21,3,FALSE),0))</f>
        <v/>
      </c>
      <c r="BL671">
        <f>IF($E671="","",IFERROR(VLOOKUP($C671,'_CONFIG_Risk_Calibration'!$A$5:$H$21,4,FALSE),3))</f>
        <v/>
      </c>
      <c r="BM671">
        <f>IF($E671="","",IFERROR(VLOOKUP($C671,'_CONFIG_Risk_Calibration'!$A$5:$H$21,5,FALSE),3))</f>
        <v/>
      </c>
      <c r="BN671">
        <f>IF($E671="","",IFERROR(VLOOKUP($C671,'_CONFIG_Risk_Calibration'!$A$5:$H$21,6,FALSE),"No"))</f>
        <v/>
      </c>
      <c r="BO671">
        <f>IF($E671="","",IFERROR(VLOOKUP($C671,'_CONFIG_Risk_Calibration'!$A$5:$H$21,7,FALSE),1))</f>
        <v/>
      </c>
      <c r="BP671">
        <f>IF($H671="","",MAX(1,MIN(5,((6-$H671)*0.45)+($BJ671*0.20)+('Resilience &amp; Risk Scenario'!$B$7*0.15)+($BK671*0.10)+($BL671*0.05)+(IF($BB671="Fast",5,IF($BB671="Slow",1,3))*0.05))))</f>
        <v/>
      </c>
      <c r="BQ671">
        <f>IF($H671="","",MAX(IF($BN671="Yes",$BO671,1),MIN(5,($U671*0.20)+($V671*0.15)+($W671*0.25)+($X671*0.15)+($BJ671*0.10)+($BM671*0.15))))</f>
        <v/>
      </c>
      <c r="BR671">
        <f>IF(OR($BP671="",$BQ671=""),"",ROUND($BP671*$BQ671,2))</f>
        <v/>
      </c>
      <c r="BS671">
        <f>IF($BR671="","",ROUND($BR671*IF($AO671="",1,$AO671)*IF($AX671="",1,$AX671)*(1+(($BM671-3)*0.10))*IF($BC671="",1,$BC671),2))</f>
        <v/>
      </c>
    </row>
    <row r="672" ht="69.90000000000001" customHeight="1" s="209">
      <c r="A672">
        <f>IF($BD672="","",SUMPRODUCT(ISNUMBER($BD$500:$BD$923)*($BD$500:$BD$923&gt;$BD672))+COUNTIF($BD$500:$BD672,$BD672))</f>
        <v/>
      </c>
      <c r="B672">
        <f>IF($H672="","",IF($H672&lt;5,"Yes","Maintain"))</f>
        <v/>
      </c>
      <c r="C672" t="inlineStr">
        <is>
          <t>Delivery Ops</t>
        </is>
      </c>
      <c r="D672" t="inlineStr">
        <is>
          <t>Delivery governance</t>
        </is>
      </c>
      <c r="E672" t="inlineStr">
        <is>
          <t>DELI-002</t>
        </is>
      </c>
      <c r="F672" t="inlineStr">
        <is>
          <t>Delivery, service continuity and operational execution</t>
        </is>
      </c>
      <c r="G672">
        <f>IF($H672="","",IFERROR(INDEX('_ENGINE_Risk'!$H$41:$M$920,MATCH($E672,'_ENGINE_Risk'!$A$41:$A$920,0),$H672+1),""))</f>
        <v/>
      </c>
      <c r="H672">
        <f>IFERROR(VALUE(INDEX(_DATA_Assessment_Model!$H$5:$H$884,MATCH($E672,_DATA_Assessment_Model!$A$5:$A$884,0))),"")</f>
        <v/>
      </c>
      <c r="I672">
        <f>IF($H672="","",IFERROR(INDEX(_DATA_Assessment_Model!$L$5:$L$884,MATCH($E672,_DATA_Assessment_Model!$A$5:$A$884,0)),IF($H672&lt;=1,"Critical",IF($H672=2,"High",IF($H672=3,"Medium",IF($H672=4,"Low","Resilient"))))))</f>
        <v/>
      </c>
      <c r="J672">
        <f>IF($H672="","",MIN(5,MAX(1,6-$H672)))</f>
        <v/>
      </c>
      <c r="K672">
        <f>IF($H672="","",MAX(1,MIN(5,ROUNDUP(($U672*0.45)+($W672*0.35)+($X672*0.2),0))))</f>
        <v/>
      </c>
      <c r="L672">
        <f>IF($H672="","",$J672*$K672)</f>
        <v/>
      </c>
      <c r="M672">
        <f>IF($H672="","",MAX(1,MIN(5,ROUNDUP($L672/5,0))))</f>
        <v/>
      </c>
      <c r="N672">
        <f>IF($H672="","",IFERROR(INDEX('_ENGINE_Risk'!$T$41:$Y$920,MATCH($E672,'_ENGINE_Risk'!$A$41:$A$920,0),$H672+1),""))</f>
        <v/>
      </c>
      <c r="O672">
        <f>IF($H672="","",MAX(1,MIN(5,($U672+$V672+$X672)/3)))</f>
        <v/>
      </c>
      <c r="P672">
        <f>IF($H672="","",IF($I672="Critical",5,IF($I672="High",4,IF($I672="Medium",3,IF($I672="Low",2,1)))))</f>
        <v/>
      </c>
      <c r="Q672">
        <f>IF($H672="","",MAX(1,MIN(5,((5-$H672)*0.65)+($W672*0.35))))</f>
        <v/>
      </c>
      <c r="R672">
        <f>IF($H672="","",MAX(1,MIN(5,($V672+$X672)/2)))</f>
        <v/>
      </c>
      <c r="S672">
        <f>IF(OR($H672="",$N672=""),"",ROUND(($O672+$P672+$Q672+$R672)/$N672,2))</f>
        <v/>
      </c>
      <c r="T672">
        <f>IF($H672="","",IFERROR(INDEX('_ENGINE_Risk'!$N$41:$S$920,MATCH($E672,'_ENGINE_Risk'!$A$41:$A$920,0),$H672+1),""))</f>
        <v/>
      </c>
      <c r="U672">
        <f>IFERROR(INDEX(_DATA_Assessment_Model!$G$5:$G$884,MATCH($E672,_DATA_Assessment_Model!$A$5:$A$884,0)),"")</f>
        <v/>
      </c>
      <c r="V672">
        <f>IFERROR(INDEX(_DATA_Assessment_Model!$W$5:$W$884,MATCH($E672,_DATA_Assessment_Model!$A$5:$A$884,0)),"")</f>
        <v/>
      </c>
      <c r="W672">
        <f>IFERROR(INDEX(_DATA_Assessment_Model!$X$5:$X$884,MATCH($E672,_DATA_Assessment_Model!$A$5:$A$884,0)),"")</f>
        <v/>
      </c>
      <c r="X672">
        <f>IFERROR(INDEX(_DATA_Assessment_Model!$Y$5:$Y$884,MATCH($E672,_DATA_Assessment_Model!$A$5:$A$884,0)),"")</f>
        <v/>
      </c>
      <c r="Y672" t="inlineStr">
        <is>
          <t>Delivery disruption; Customer impact; Workforce disruption</t>
        </is>
      </c>
      <c r="Z672" t="inlineStr">
        <is>
          <t>COO / Delivery</t>
        </is>
      </c>
      <c r="AA672" t="inlineStr">
        <is>
          <t>Policy/SOP; owner/RACI; system report; dashboard; contracts; test records; incident history; interview evidence related to critical delivery processes ranked by customer, revenue, safety and contractual impact.</t>
        </is>
      </c>
      <c r="AB672">
        <f>IFERROR(INDEX(_DATA_Assessment_Model!$U$5:$U$884,MATCH($E672,_DATA_Assessment_Model!$A$5:$A$884,0)),"")</f>
        <v/>
      </c>
      <c r="AF672" t="inlineStr">
        <is>
          <t>How mature is the organization in managing critical delivery processes ranked by customer, revenue, safety and contractual impact, including ownership, evidence, metrics, fallback procedures and crisis stress testing?</t>
        </is>
      </c>
      <c r="AO672">
        <f>IF($B672="Yes",IFERROR(INDEX(_ENGINE_Crisis!$F$501:$F$517,MATCH($C672,_ENGINE_Crisis!$A$501:$A$517,0)),1),"")</f>
        <v/>
      </c>
      <c r="AP672">
        <f>IF(AO672="","",ROUND($L672*AO672,1))</f>
        <v/>
      </c>
      <c r="AQ672">
        <f>IF(OR(AO672="",$S672=""),"",ROUND($S672*(0.7+0.3*AO672),2))</f>
        <v/>
      </c>
      <c r="AR672">
        <f>IFERROR(INDEX(_ENGINE_Crisis!$E$41:$E$700,MATCH('Resilience &amp; Risk Scenario'!$B$60&amp;"|"&amp;$C672,_ENGINE_Crisis!$I$41:$I$700,0)),"")</f>
        <v/>
      </c>
      <c r="AS672">
        <f>IFERROR(INDEX(_ENGINE_Crisis!$G$41:$G$700,MATCH('Resilience &amp; Risk Scenario'!$B$60&amp;"|"&amp;$C672,_ENGINE_Crisis!$I$41:$I$700,0)),"")</f>
        <v/>
      </c>
      <c r="AT672">
        <f>IFERROR(INDEX(_ENGINE_Initiatives!$A$5:$A$532,MATCH(1,INDEX((_ENGINE_Initiatives!$B$5:$B$532=$C672)*(_ENGINE_Initiatives!$C$5:$C$532=$D672),0),0)),"")</f>
        <v/>
      </c>
      <c r="AU672">
        <f>IFERROR(INDEX(_ENGINE_Initiatives!$F$5:$F$532,MATCH(1,INDEX((_ENGINE_Initiatives!$B$5:$B$532=$C672)*(_ENGINE_Initiatives!$C$5:$C$532=$D672),0),0)),"")</f>
        <v/>
      </c>
      <c r="AV672">
        <f>IFERROR(INDEX(_ENGINE_Initiatives!$AC$5:$AC$532,MATCH(1,INDEX((_ENGINE_Initiatives!$B$5:$B$532=$C672)*(_ENGINE_Initiatives!$C$5:$C$532=$D672),0),0)),"")</f>
        <v/>
      </c>
      <c r="AW672">
        <f>IFERROR(INDEX(_ENGINE_Initiatives!$AE$5:$AE$532,MATCH(1,INDEX((_ENGINE_Initiatives!$B$5:$B$532=$C672)*(_ENGINE_Initiatives!$C$5:$C$532=$D672),0),0)),"")</f>
        <v/>
      </c>
      <c r="AX672">
        <f>IF($B672="Yes",IFERROR(IF(SUMIFS(_REF_Model_Content!$E$1:$E$613,_REF_Model_Content!$A$1:$A$613,'Company Profile'!$B$9,_REF_Model_Content!$B$1:$B$613,$C672)=0,1,SUMIFS(_REF_Model_Content!$E$1:$E$613,_REF_Model_Content!$A$1:$A$613,'Company Profile'!$B$9,_REF_Model_Content!$B$1:$B$613,$C672)),1),"")</f>
        <v/>
      </c>
      <c r="AY672">
        <f>IF($L672="","",ROUND(IF($AP672="",$L672,$AP672)*IF($AX672="",1,$AX672),2))</f>
        <v/>
      </c>
      <c r="AZ672">
        <f>IF($S672="","",ROUND(IF($AQ672="",$S672,$AQ672)*IF($AX672="",1,$AX672),2))</f>
        <v/>
      </c>
      <c r="BB672">
        <f>IF($H672="","",IFERROR(INDEX('_ENGINE_Risk'!$AE$41:$AE$920,MATCH($E672,'_ENGINE_Risk'!$A$41:$A$920,0)),"Medium"))</f>
        <v/>
      </c>
      <c r="BC672">
        <f>IF($BB672="","",IF($BB672="Fast",1.25,IF($BB672="Slow",0.85,1)))</f>
        <v/>
      </c>
      <c r="BD672">
        <f>IF(OR($AZ672="",$BC672=""),"",ROUND($AZ672*$BC672,2))</f>
        <v/>
      </c>
      <c r="BF672">
        <f>IF(OR($H672="",$J672=""),"",_xlfn.IFNA(VLOOKUP($J672,_CONFIG_Model_Settings!$D$610:$E$614,2,0),""))</f>
        <v/>
      </c>
      <c r="BG672">
        <f>IF(OR($H672="",$K672=""),"",ROUND('Company Profile'!$B$569*INDEX(_CONFIG_Model_Settings!$H$610:$H$614,MATCH($K672,_CONFIG_Model_Settings!$G$610:$G$614,0)),0))</f>
        <v/>
      </c>
      <c r="BH672">
        <f>IF(OR($BF672="",$BG672=""),"",ROUND($BF672*$BG672,1))</f>
        <v/>
      </c>
      <c r="BI672">
        <f>IF($BH672="","",IF($AO672="",$BH672,ROUND($BH672*$AO672,1)))</f>
        <v/>
      </c>
      <c r="BJ672">
        <f>IF($E672="","",IFERROR(VLOOKUP($C672,'_CONFIG_Risk_Calibration'!$A$5:$H$21,2,FALSE),3))</f>
        <v/>
      </c>
      <c r="BK672">
        <f>IF($E672="","",IFERROR(VLOOKUP($C672,'_CONFIG_Risk_Calibration'!$A$5:$H$21,3,FALSE),0))</f>
        <v/>
      </c>
      <c r="BL672">
        <f>IF($E672="","",IFERROR(VLOOKUP($C672,'_CONFIG_Risk_Calibration'!$A$5:$H$21,4,FALSE),3))</f>
        <v/>
      </c>
      <c r="BM672">
        <f>IF($E672="","",IFERROR(VLOOKUP($C672,'_CONFIG_Risk_Calibration'!$A$5:$H$21,5,FALSE),3))</f>
        <v/>
      </c>
      <c r="BN672">
        <f>IF($E672="","",IFERROR(VLOOKUP($C672,'_CONFIG_Risk_Calibration'!$A$5:$H$21,6,FALSE),"No"))</f>
        <v/>
      </c>
      <c r="BO672">
        <f>IF($E672="","",IFERROR(VLOOKUP($C672,'_CONFIG_Risk_Calibration'!$A$5:$H$21,7,FALSE),1))</f>
        <v/>
      </c>
      <c r="BP672">
        <f>IF($H672="","",MAX(1,MIN(5,((6-$H672)*0.45)+($BJ672*0.20)+('Resilience &amp; Risk Scenario'!$B$7*0.15)+($BK672*0.10)+($BL672*0.05)+(IF($BB672="Fast",5,IF($BB672="Slow",1,3))*0.05))))</f>
        <v/>
      </c>
      <c r="BQ672">
        <f>IF($H672="","",MAX(IF($BN672="Yes",$BO672,1),MIN(5,($U672*0.20)+($V672*0.15)+($W672*0.25)+($X672*0.15)+($BJ672*0.10)+($BM672*0.15))))</f>
        <v/>
      </c>
      <c r="BR672">
        <f>IF(OR($BP672="",$BQ672=""),"",ROUND($BP672*$BQ672,2))</f>
        <v/>
      </c>
      <c r="BS672">
        <f>IF($BR672="","",ROUND($BR672*IF($AO672="",1,$AO672)*IF($AX672="",1,$AX672)*(1+(($BM672-3)*0.10))*IF($BC672="",1,$BC672),2))</f>
        <v/>
      </c>
    </row>
    <row r="673" ht="69.90000000000001" customHeight="1" s="209">
      <c r="A673">
        <f>IF($BD673="","",SUMPRODUCT(ISNUMBER($BD$500:$BD$923)*($BD$500:$BD$923&gt;$BD673))+COUNTIF($BD$500:$BD673,$BD673))</f>
        <v/>
      </c>
      <c r="B673">
        <f>IF($H673="","",IF($H673&lt;5,"Yes","Maintain"))</f>
        <v/>
      </c>
      <c r="C673" t="inlineStr">
        <is>
          <t>Delivery Ops</t>
        </is>
      </c>
      <c r="D673" t="inlineStr">
        <is>
          <t>Delivery governance</t>
        </is>
      </c>
      <c r="E673" t="inlineStr">
        <is>
          <t>DELI-003</t>
        </is>
      </c>
      <c r="F673" t="inlineStr">
        <is>
          <t>Delivery, service continuity and operational execution</t>
        </is>
      </c>
      <c r="G673">
        <f>IF($H673="","",IFERROR(INDEX('_ENGINE_Risk'!$H$41:$M$920,MATCH($E673,'_ENGINE_Risk'!$A$41:$A$920,0),$H673+1),""))</f>
        <v/>
      </c>
      <c r="H673">
        <f>IFERROR(VALUE(INDEX(_DATA_Assessment_Model!$H$5:$H$884,MATCH($E673,_DATA_Assessment_Model!$A$5:$A$884,0))),"")</f>
        <v/>
      </c>
      <c r="I673">
        <f>IF($H673="","",IFERROR(INDEX(_DATA_Assessment_Model!$L$5:$L$884,MATCH($E673,_DATA_Assessment_Model!$A$5:$A$884,0)),IF($H673&lt;=1,"Critical",IF($H673=2,"High",IF($H673=3,"Medium",IF($H673=4,"Low","Resilient"))))))</f>
        <v/>
      </c>
      <c r="J673">
        <f>IF($H673="","",MIN(5,MAX(1,6-$H673)))</f>
        <v/>
      </c>
      <c r="K673">
        <f>IF($H673="","",MAX(1,MIN(5,ROUNDUP(($U673*0.45)+($W673*0.35)+($X673*0.2),0))))</f>
        <v/>
      </c>
      <c r="L673">
        <f>IF($H673="","",$J673*$K673)</f>
        <v/>
      </c>
      <c r="M673">
        <f>IF($H673="","",MAX(1,MIN(5,ROUNDUP($L673/5,0))))</f>
        <v/>
      </c>
      <c r="N673">
        <f>IF($H673="","",IFERROR(INDEX('_ENGINE_Risk'!$T$41:$Y$920,MATCH($E673,'_ENGINE_Risk'!$A$41:$A$920,0),$H673+1),""))</f>
        <v/>
      </c>
      <c r="O673">
        <f>IF($H673="","",MAX(1,MIN(5,($U673+$V673+$X673)/3)))</f>
        <v/>
      </c>
      <c r="P673">
        <f>IF($H673="","",IF($I673="Critical",5,IF($I673="High",4,IF($I673="Medium",3,IF($I673="Low",2,1)))))</f>
        <v/>
      </c>
      <c r="Q673">
        <f>IF($H673="","",MAX(1,MIN(5,((5-$H673)*0.65)+($W673*0.35))))</f>
        <v/>
      </c>
      <c r="R673">
        <f>IF($H673="","",MAX(1,MIN(5,($V673+$X673)/2)))</f>
        <v/>
      </c>
      <c r="S673">
        <f>IF(OR($H673="",$N673=""),"",ROUND(($O673+$P673+$Q673+$R673)/$N673,2))</f>
        <v/>
      </c>
      <c r="T673">
        <f>IF($H673="","",IFERROR(INDEX('_ENGINE_Risk'!$N$41:$S$920,MATCH($E673,'_ENGINE_Risk'!$A$41:$A$920,0),$H673+1),""))</f>
        <v/>
      </c>
      <c r="U673">
        <f>IFERROR(INDEX(_DATA_Assessment_Model!$G$5:$G$884,MATCH($E673,_DATA_Assessment_Model!$A$5:$A$884,0)),"")</f>
        <v/>
      </c>
      <c r="V673">
        <f>IFERROR(INDEX(_DATA_Assessment_Model!$W$5:$W$884,MATCH($E673,_DATA_Assessment_Model!$A$5:$A$884,0)),"")</f>
        <v/>
      </c>
      <c r="W673">
        <f>IFERROR(INDEX(_DATA_Assessment_Model!$X$5:$X$884,MATCH($E673,_DATA_Assessment_Model!$A$5:$A$884,0)),"")</f>
        <v/>
      </c>
      <c r="X673">
        <f>IFERROR(INDEX(_DATA_Assessment_Model!$Y$5:$Y$884,MATCH($E673,_DATA_Assessment_Model!$A$5:$A$884,0)),"")</f>
        <v/>
      </c>
      <c r="Y673" t="inlineStr">
        <is>
          <t>Delivery disruption; Customer impact; Workforce disruption</t>
        </is>
      </c>
      <c r="Z673" t="inlineStr">
        <is>
          <t>COO / Delivery</t>
        </is>
      </c>
      <c r="AA673" t="inlineStr">
        <is>
          <t>Policy/SOP; owner/RACI; system report; dashboard; contracts; test records; incident history; interview evidence related to SLA and OLA management with owners, escalation rules and customer communication.</t>
        </is>
      </c>
      <c r="AB673">
        <f>IFERROR(INDEX(_DATA_Assessment_Model!$U$5:$U$884,MATCH($E673,_DATA_Assessment_Model!$A$5:$A$884,0)),"")</f>
        <v/>
      </c>
      <c r="AF673" t="inlineStr">
        <is>
          <t>How mature is the organization in managing SLA and OLA management with owners, escalation rules and customer communication, including ownership, evidence, metrics, fallback procedures and crisis stress testing?</t>
        </is>
      </c>
      <c r="AO673">
        <f>IF($B673="Yes",IFERROR(INDEX(_ENGINE_Crisis!$F$501:$F$517,MATCH($C673,_ENGINE_Crisis!$A$501:$A$517,0)),1),"")</f>
        <v/>
      </c>
      <c r="AP673">
        <f>IF(AO673="","",ROUND($L673*AO673,1))</f>
        <v/>
      </c>
      <c r="AQ673">
        <f>IF(OR(AO673="",$S673=""),"",ROUND($S673*(0.7+0.3*AO673),2))</f>
        <v/>
      </c>
      <c r="AR673">
        <f>IFERROR(INDEX(_ENGINE_Crisis!$E$41:$E$700,MATCH('Resilience &amp; Risk Scenario'!$B$60&amp;"|"&amp;$C673,_ENGINE_Crisis!$I$41:$I$700,0)),"")</f>
        <v/>
      </c>
      <c r="AS673">
        <f>IFERROR(INDEX(_ENGINE_Crisis!$G$41:$G$700,MATCH('Resilience &amp; Risk Scenario'!$B$60&amp;"|"&amp;$C673,_ENGINE_Crisis!$I$41:$I$700,0)),"")</f>
        <v/>
      </c>
      <c r="AT673">
        <f>IFERROR(INDEX(_ENGINE_Initiatives!$A$5:$A$532,MATCH(1,INDEX((_ENGINE_Initiatives!$B$5:$B$532=$C673)*(_ENGINE_Initiatives!$C$5:$C$532=$D673),0),0)),"")</f>
        <v/>
      </c>
      <c r="AU673">
        <f>IFERROR(INDEX(_ENGINE_Initiatives!$F$5:$F$532,MATCH(1,INDEX((_ENGINE_Initiatives!$B$5:$B$532=$C673)*(_ENGINE_Initiatives!$C$5:$C$532=$D673),0),0)),"")</f>
        <v/>
      </c>
      <c r="AV673">
        <f>IFERROR(INDEX(_ENGINE_Initiatives!$AC$5:$AC$532,MATCH(1,INDEX((_ENGINE_Initiatives!$B$5:$B$532=$C673)*(_ENGINE_Initiatives!$C$5:$C$532=$D673),0),0)),"")</f>
        <v/>
      </c>
      <c r="AW673">
        <f>IFERROR(INDEX(_ENGINE_Initiatives!$AE$5:$AE$532,MATCH(1,INDEX((_ENGINE_Initiatives!$B$5:$B$532=$C673)*(_ENGINE_Initiatives!$C$5:$C$532=$D673),0),0)),"")</f>
        <v/>
      </c>
      <c r="AX673">
        <f>IF($B673="Yes",IFERROR(IF(SUMIFS(_REF_Model_Content!$E$1:$E$613,_REF_Model_Content!$A$1:$A$613,'Company Profile'!$B$9,_REF_Model_Content!$B$1:$B$613,$C673)=0,1,SUMIFS(_REF_Model_Content!$E$1:$E$613,_REF_Model_Content!$A$1:$A$613,'Company Profile'!$B$9,_REF_Model_Content!$B$1:$B$613,$C673)),1),"")</f>
        <v/>
      </c>
      <c r="AY673">
        <f>IF($L673="","",ROUND(IF($AP673="",$L673,$AP673)*IF($AX673="",1,$AX673),2))</f>
        <v/>
      </c>
      <c r="AZ673">
        <f>IF($S673="","",ROUND(IF($AQ673="",$S673,$AQ673)*IF($AX673="",1,$AX673),2))</f>
        <v/>
      </c>
      <c r="BB673">
        <f>IF($H673="","",IFERROR(INDEX('_ENGINE_Risk'!$AE$41:$AE$920,MATCH($E673,'_ENGINE_Risk'!$A$41:$A$920,0)),"Medium"))</f>
        <v/>
      </c>
      <c r="BC673">
        <f>IF($BB673="","",IF($BB673="Fast",1.25,IF($BB673="Slow",0.85,1)))</f>
        <v/>
      </c>
      <c r="BD673">
        <f>IF(OR($AZ673="",$BC673=""),"",ROUND($AZ673*$BC673,2))</f>
        <v/>
      </c>
      <c r="BF673">
        <f>IF(OR($H673="",$J673=""),"",_xlfn.IFNA(VLOOKUP($J673,_CONFIG_Model_Settings!$D$610:$E$614,2,0),""))</f>
        <v/>
      </c>
      <c r="BG673">
        <f>IF(OR($H673="",$K673=""),"",ROUND('Company Profile'!$B$569*INDEX(_CONFIG_Model_Settings!$H$610:$H$614,MATCH($K673,_CONFIG_Model_Settings!$G$610:$G$614,0)),0))</f>
        <v/>
      </c>
      <c r="BH673">
        <f>IF(OR($BF673="",$BG673=""),"",ROUND($BF673*$BG673,1))</f>
        <v/>
      </c>
      <c r="BI673">
        <f>IF($BH673="","",IF($AO673="",$BH673,ROUND($BH673*$AO673,1)))</f>
        <v/>
      </c>
      <c r="BJ673">
        <f>IF($E673="","",IFERROR(VLOOKUP($C673,'_CONFIG_Risk_Calibration'!$A$5:$H$21,2,FALSE),3))</f>
        <v/>
      </c>
      <c r="BK673">
        <f>IF($E673="","",IFERROR(VLOOKUP($C673,'_CONFIG_Risk_Calibration'!$A$5:$H$21,3,FALSE),0))</f>
        <v/>
      </c>
      <c r="BL673">
        <f>IF($E673="","",IFERROR(VLOOKUP($C673,'_CONFIG_Risk_Calibration'!$A$5:$H$21,4,FALSE),3))</f>
        <v/>
      </c>
      <c r="BM673">
        <f>IF($E673="","",IFERROR(VLOOKUP($C673,'_CONFIG_Risk_Calibration'!$A$5:$H$21,5,FALSE),3))</f>
        <v/>
      </c>
      <c r="BN673">
        <f>IF($E673="","",IFERROR(VLOOKUP($C673,'_CONFIG_Risk_Calibration'!$A$5:$H$21,6,FALSE),"No"))</f>
        <v/>
      </c>
      <c r="BO673">
        <f>IF($E673="","",IFERROR(VLOOKUP($C673,'_CONFIG_Risk_Calibration'!$A$5:$H$21,7,FALSE),1))</f>
        <v/>
      </c>
      <c r="BP673">
        <f>IF($H673="","",MAX(1,MIN(5,((6-$H673)*0.45)+($BJ673*0.20)+('Resilience &amp; Risk Scenario'!$B$7*0.15)+($BK673*0.10)+($BL673*0.05)+(IF($BB673="Fast",5,IF($BB673="Slow",1,3))*0.05))))</f>
        <v/>
      </c>
      <c r="BQ673">
        <f>IF($H673="","",MAX(IF($BN673="Yes",$BO673,1),MIN(5,($U673*0.20)+($V673*0.15)+($W673*0.25)+($X673*0.15)+($BJ673*0.10)+($BM673*0.15))))</f>
        <v/>
      </c>
      <c r="BR673">
        <f>IF(OR($BP673="",$BQ673=""),"",ROUND($BP673*$BQ673,2))</f>
        <v/>
      </c>
      <c r="BS673">
        <f>IF($BR673="","",ROUND($BR673*IF($AO673="",1,$AO673)*IF($AX673="",1,$AX673)*(1+(($BM673-3)*0.10))*IF($BC673="",1,$BC673),2))</f>
        <v/>
      </c>
    </row>
    <row r="674" ht="69.90000000000001" customHeight="1" s="209">
      <c r="A674">
        <f>IF($BD674="","",SUMPRODUCT(ISNUMBER($BD$500:$BD$923)*($BD$500:$BD$923&gt;$BD674))+COUNTIF($BD$500:$BD674,$BD674))</f>
        <v/>
      </c>
      <c r="B674">
        <f>IF($H674="","",IF($H674&lt;5,"Yes","Maintain"))</f>
        <v/>
      </c>
      <c r="C674" t="inlineStr">
        <is>
          <t>Delivery Ops</t>
        </is>
      </c>
      <c r="D674" t="inlineStr">
        <is>
          <t>Delivery governance</t>
        </is>
      </c>
      <c r="E674" t="inlineStr">
        <is>
          <t>DELI-004</t>
        </is>
      </c>
      <c r="F674" t="inlineStr">
        <is>
          <t>Delivery, service continuity and operational execution</t>
        </is>
      </c>
      <c r="G674">
        <f>IF($H674="","",IFERROR(INDEX('_ENGINE_Risk'!$H$41:$M$920,MATCH($E674,'_ENGINE_Risk'!$A$41:$A$920,0),$H674+1),""))</f>
        <v/>
      </c>
      <c r="H674">
        <f>IFERROR(VALUE(INDEX(_DATA_Assessment_Model!$H$5:$H$884,MATCH($E674,_DATA_Assessment_Model!$A$5:$A$884,0))),"")</f>
        <v/>
      </c>
      <c r="I674">
        <f>IF($H674="","",IFERROR(INDEX(_DATA_Assessment_Model!$L$5:$L$884,MATCH($E674,_DATA_Assessment_Model!$A$5:$A$884,0)),IF($H674&lt;=1,"Critical",IF($H674=2,"High",IF($H674=3,"Medium",IF($H674=4,"Low","Resilient"))))))</f>
        <v/>
      </c>
      <c r="J674">
        <f>IF($H674="","",MIN(5,MAX(1,6-$H674)))</f>
        <v/>
      </c>
      <c r="K674">
        <f>IF($H674="","",MAX(1,MIN(5,ROUNDUP(($U674*0.45)+($W674*0.35)+($X674*0.2),0))))</f>
        <v/>
      </c>
      <c r="L674">
        <f>IF($H674="","",$J674*$K674)</f>
        <v/>
      </c>
      <c r="M674">
        <f>IF($H674="","",MAX(1,MIN(5,ROUNDUP($L674/5,0))))</f>
        <v/>
      </c>
      <c r="N674">
        <f>IF($H674="","",IFERROR(INDEX('_ENGINE_Risk'!$T$41:$Y$920,MATCH($E674,'_ENGINE_Risk'!$A$41:$A$920,0),$H674+1),""))</f>
        <v/>
      </c>
      <c r="O674">
        <f>IF($H674="","",MAX(1,MIN(5,($U674+$V674+$X674)/3)))</f>
        <v/>
      </c>
      <c r="P674">
        <f>IF($H674="","",IF($I674="Critical",5,IF($I674="High",4,IF($I674="Medium",3,IF($I674="Low",2,1)))))</f>
        <v/>
      </c>
      <c r="Q674">
        <f>IF($H674="","",MAX(1,MIN(5,((5-$H674)*0.65)+($W674*0.35))))</f>
        <v/>
      </c>
      <c r="R674">
        <f>IF($H674="","",MAX(1,MIN(5,($V674+$X674)/2)))</f>
        <v/>
      </c>
      <c r="S674">
        <f>IF(OR($H674="",$N674=""),"",ROUND(($O674+$P674+$Q674+$R674)/$N674,2))</f>
        <v/>
      </c>
      <c r="T674">
        <f>IF($H674="","",IFERROR(INDEX('_ENGINE_Risk'!$N$41:$S$920,MATCH($E674,'_ENGINE_Risk'!$A$41:$A$920,0),$H674+1),""))</f>
        <v/>
      </c>
      <c r="U674">
        <f>IFERROR(INDEX(_DATA_Assessment_Model!$G$5:$G$884,MATCH($E674,_DATA_Assessment_Model!$A$5:$A$884,0)),"")</f>
        <v/>
      </c>
      <c r="V674">
        <f>IFERROR(INDEX(_DATA_Assessment_Model!$W$5:$W$884,MATCH($E674,_DATA_Assessment_Model!$A$5:$A$884,0)),"")</f>
        <v/>
      </c>
      <c r="W674">
        <f>IFERROR(INDEX(_DATA_Assessment_Model!$X$5:$X$884,MATCH($E674,_DATA_Assessment_Model!$A$5:$A$884,0)),"")</f>
        <v/>
      </c>
      <c r="X674">
        <f>IFERROR(INDEX(_DATA_Assessment_Model!$Y$5:$Y$884,MATCH($E674,_DATA_Assessment_Model!$A$5:$A$884,0)),"")</f>
        <v/>
      </c>
      <c r="Y674" t="inlineStr">
        <is>
          <t>Delivery disruption; Customer impact; Workforce disruption</t>
        </is>
      </c>
      <c r="Z674" t="inlineStr">
        <is>
          <t>COO / Delivery</t>
        </is>
      </c>
      <c r="AA674" t="inlineStr">
        <is>
          <t>Policy/SOP; owner/RACI; system report; dashboard; contracts; test records; incident history; interview evidence related to operational incident link to delivery impact, customer communication and corrective action.</t>
        </is>
      </c>
      <c r="AB674">
        <f>IFERROR(INDEX(_DATA_Assessment_Model!$U$5:$U$884,MATCH($E674,_DATA_Assessment_Model!$A$5:$A$884,0)),"")</f>
        <v/>
      </c>
      <c r="AF674" t="inlineStr">
        <is>
          <t>How mature is the organization in managing operational incident link to delivery impact, customer communication and corrective action, including ownership, evidence, metrics, fallback procedures and crisis stress testing?</t>
        </is>
      </c>
      <c r="AO674">
        <f>IF($B674="Yes",IFERROR(INDEX(_ENGINE_Crisis!$F$501:$F$517,MATCH($C674,_ENGINE_Crisis!$A$501:$A$517,0)),1),"")</f>
        <v/>
      </c>
      <c r="AP674">
        <f>IF(AO674="","",ROUND($L674*AO674,1))</f>
        <v/>
      </c>
      <c r="AQ674">
        <f>IF(OR(AO674="",$S674=""),"",ROUND($S674*(0.7+0.3*AO674),2))</f>
        <v/>
      </c>
      <c r="AR674">
        <f>IFERROR(INDEX(_ENGINE_Crisis!$E$41:$E$700,MATCH('Resilience &amp; Risk Scenario'!$B$60&amp;"|"&amp;$C674,_ENGINE_Crisis!$I$41:$I$700,0)),"")</f>
        <v/>
      </c>
      <c r="AS674">
        <f>IFERROR(INDEX(_ENGINE_Crisis!$G$41:$G$700,MATCH('Resilience &amp; Risk Scenario'!$B$60&amp;"|"&amp;$C674,_ENGINE_Crisis!$I$41:$I$700,0)),"")</f>
        <v/>
      </c>
      <c r="AT674">
        <f>IFERROR(INDEX(_ENGINE_Initiatives!$A$5:$A$532,MATCH(1,INDEX((_ENGINE_Initiatives!$B$5:$B$532=$C674)*(_ENGINE_Initiatives!$C$5:$C$532=$D674),0),0)),"")</f>
        <v/>
      </c>
      <c r="AU674">
        <f>IFERROR(INDEX(_ENGINE_Initiatives!$F$5:$F$532,MATCH(1,INDEX((_ENGINE_Initiatives!$B$5:$B$532=$C674)*(_ENGINE_Initiatives!$C$5:$C$532=$D674),0),0)),"")</f>
        <v/>
      </c>
      <c r="AV674">
        <f>IFERROR(INDEX(_ENGINE_Initiatives!$AC$5:$AC$532,MATCH(1,INDEX((_ENGINE_Initiatives!$B$5:$B$532=$C674)*(_ENGINE_Initiatives!$C$5:$C$532=$D674),0),0)),"")</f>
        <v/>
      </c>
      <c r="AW674">
        <f>IFERROR(INDEX(_ENGINE_Initiatives!$AE$5:$AE$532,MATCH(1,INDEX((_ENGINE_Initiatives!$B$5:$B$532=$C674)*(_ENGINE_Initiatives!$C$5:$C$532=$D674),0),0)),"")</f>
        <v/>
      </c>
      <c r="AX674">
        <f>IF($B674="Yes",IFERROR(IF(SUMIFS(_REF_Model_Content!$E$1:$E$613,_REF_Model_Content!$A$1:$A$613,'Company Profile'!$B$9,_REF_Model_Content!$B$1:$B$613,$C674)=0,1,SUMIFS(_REF_Model_Content!$E$1:$E$613,_REF_Model_Content!$A$1:$A$613,'Company Profile'!$B$9,_REF_Model_Content!$B$1:$B$613,$C674)),1),"")</f>
        <v/>
      </c>
      <c r="AY674">
        <f>IF($L674="","",ROUND(IF($AP674="",$L674,$AP674)*IF($AX674="",1,$AX674),2))</f>
        <v/>
      </c>
      <c r="AZ674">
        <f>IF($S674="","",ROUND(IF($AQ674="",$S674,$AQ674)*IF($AX674="",1,$AX674),2))</f>
        <v/>
      </c>
      <c r="BB674">
        <f>IF($H674="","",IFERROR(INDEX('_ENGINE_Risk'!$AE$41:$AE$920,MATCH($E674,'_ENGINE_Risk'!$A$41:$A$920,0)),"Medium"))</f>
        <v/>
      </c>
      <c r="BC674">
        <f>IF($BB674="","",IF($BB674="Fast",1.25,IF($BB674="Slow",0.85,1)))</f>
        <v/>
      </c>
      <c r="BD674">
        <f>IF(OR($AZ674="",$BC674=""),"",ROUND($AZ674*$BC674,2))</f>
        <v/>
      </c>
      <c r="BF674">
        <f>IF(OR($H674="",$J674=""),"",_xlfn.IFNA(VLOOKUP($J674,_CONFIG_Model_Settings!$D$610:$E$614,2,0),""))</f>
        <v/>
      </c>
      <c r="BG674">
        <f>IF(OR($H674="",$K674=""),"",ROUND('Company Profile'!$B$569*INDEX(_CONFIG_Model_Settings!$H$610:$H$614,MATCH($K674,_CONFIG_Model_Settings!$G$610:$G$614,0)),0))</f>
        <v/>
      </c>
      <c r="BH674">
        <f>IF(OR($BF674="",$BG674=""),"",ROUND($BF674*$BG674,1))</f>
        <v/>
      </c>
      <c r="BI674">
        <f>IF($BH674="","",IF($AO674="",$BH674,ROUND($BH674*$AO674,1)))</f>
        <v/>
      </c>
      <c r="BJ674">
        <f>IF($E674="","",IFERROR(VLOOKUP($C674,'_CONFIG_Risk_Calibration'!$A$5:$H$21,2,FALSE),3))</f>
        <v/>
      </c>
      <c r="BK674">
        <f>IF($E674="","",IFERROR(VLOOKUP($C674,'_CONFIG_Risk_Calibration'!$A$5:$H$21,3,FALSE),0))</f>
        <v/>
      </c>
      <c r="BL674">
        <f>IF($E674="","",IFERROR(VLOOKUP($C674,'_CONFIG_Risk_Calibration'!$A$5:$H$21,4,FALSE),3))</f>
        <v/>
      </c>
      <c r="BM674">
        <f>IF($E674="","",IFERROR(VLOOKUP($C674,'_CONFIG_Risk_Calibration'!$A$5:$H$21,5,FALSE),3))</f>
        <v/>
      </c>
      <c r="BN674">
        <f>IF($E674="","",IFERROR(VLOOKUP($C674,'_CONFIG_Risk_Calibration'!$A$5:$H$21,6,FALSE),"No"))</f>
        <v/>
      </c>
      <c r="BO674">
        <f>IF($E674="","",IFERROR(VLOOKUP($C674,'_CONFIG_Risk_Calibration'!$A$5:$H$21,7,FALSE),1))</f>
        <v/>
      </c>
      <c r="BP674">
        <f>IF($H674="","",MAX(1,MIN(5,((6-$H674)*0.45)+($BJ674*0.20)+('Resilience &amp; Risk Scenario'!$B$7*0.15)+($BK674*0.10)+($BL674*0.05)+(IF($BB674="Fast",5,IF($BB674="Slow",1,3))*0.05))))</f>
        <v/>
      </c>
      <c r="BQ674">
        <f>IF($H674="","",MAX(IF($BN674="Yes",$BO674,1),MIN(5,($U674*0.20)+($V674*0.15)+($W674*0.25)+($X674*0.15)+($BJ674*0.10)+($BM674*0.15))))</f>
        <v/>
      </c>
      <c r="BR674">
        <f>IF(OR($BP674="",$BQ674=""),"",ROUND($BP674*$BQ674,2))</f>
        <v/>
      </c>
      <c r="BS674">
        <f>IF($BR674="","",ROUND($BR674*IF($AO674="",1,$AO674)*IF($AX674="",1,$AX674)*(1+(($BM674-3)*0.10))*IF($BC674="",1,$BC674),2))</f>
        <v/>
      </c>
    </row>
    <row r="675" ht="69.90000000000001" customHeight="1" s="209">
      <c r="A675">
        <f>IF($BD675="","",SUMPRODUCT(ISNUMBER($BD$500:$BD$923)*($BD$500:$BD$923&gt;$BD675))+COUNTIF($BD$500:$BD675,$BD675))</f>
        <v/>
      </c>
      <c r="B675">
        <f>IF($H675="","",IF($H675&lt;5,"Yes","Maintain"))</f>
        <v/>
      </c>
      <c r="C675" t="inlineStr">
        <is>
          <t>Delivery Ops</t>
        </is>
      </c>
      <c r="D675" t="inlineStr">
        <is>
          <t>Delivery governance</t>
        </is>
      </c>
      <c r="E675" t="inlineStr">
        <is>
          <t>DELI-005</t>
        </is>
      </c>
      <c r="F675" t="inlineStr">
        <is>
          <t>Delivery, service continuity and operational execution</t>
        </is>
      </c>
      <c r="G675">
        <f>IF($H675="","",IFERROR(INDEX('_ENGINE_Risk'!$H$41:$M$920,MATCH($E675,'_ENGINE_Risk'!$A$41:$A$920,0),$H675+1),""))</f>
        <v/>
      </c>
      <c r="H675">
        <f>IFERROR(VALUE(INDEX(_DATA_Assessment_Model!$H$5:$H$884,MATCH($E675,_DATA_Assessment_Model!$A$5:$A$884,0))),"")</f>
        <v/>
      </c>
      <c r="I675">
        <f>IF($H675="","",IFERROR(INDEX(_DATA_Assessment_Model!$L$5:$L$884,MATCH($E675,_DATA_Assessment_Model!$A$5:$A$884,0)),IF($H675&lt;=1,"Critical",IF($H675=2,"High",IF($H675=3,"Medium",IF($H675=4,"Low","Resilient"))))))</f>
        <v/>
      </c>
      <c r="J675">
        <f>IF($H675="","",MIN(5,MAX(1,6-$H675)))</f>
        <v/>
      </c>
      <c r="K675">
        <f>IF($H675="","",MAX(1,MIN(5,ROUNDUP(($U675*0.45)+($W675*0.35)+($X675*0.2),0))))</f>
        <v/>
      </c>
      <c r="L675">
        <f>IF($H675="","",$J675*$K675)</f>
        <v/>
      </c>
      <c r="M675">
        <f>IF($H675="","",MAX(1,MIN(5,ROUNDUP($L675/5,0))))</f>
        <v/>
      </c>
      <c r="N675">
        <f>IF($H675="","",IFERROR(INDEX('_ENGINE_Risk'!$T$41:$Y$920,MATCH($E675,'_ENGINE_Risk'!$A$41:$A$920,0),$H675+1),""))</f>
        <v/>
      </c>
      <c r="O675">
        <f>IF($H675="","",MAX(1,MIN(5,($U675+$V675+$X675)/3)))</f>
        <v/>
      </c>
      <c r="P675">
        <f>IF($H675="","",IF($I675="Critical",5,IF($I675="High",4,IF($I675="Medium",3,IF($I675="Low",2,1)))))</f>
        <v/>
      </c>
      <c r="Q675">
        <f>IF($H675="","",MAX(1,MIN(5,((5-$H675)*0.65)+($W675*0.35))))</f>
        <v/>
      </c>
      <c r="R675">
        <f>IF($H675="","",MAX(1,MIN(5,($V675+$X675)/2)))</f>
        <v/>
      </c>
      <c r="S675">
        <f>IF(OR($H675="",$N675=""),"",ROUND(($O675+$P675+$Q675+$R675)/$N675,2))</f>
        <v/>
      </c>
      <c r="T675">
        <f>IF($H675="","",IFERROR(INDEX('_ENGINE_Risk'!$N$41:$S$920,MATCH($E675,'_ENGINE_Risk'!$A$41:$A$920,0),$H675+1),""))</f>
        <v/>
      </c>
      <c r="U675">
        <f>IFERROR(INDEX(_DATA_Assessment_Model!$G$5:$G$884,MATCH($E675,_DATA_Assessment_Model!$A$5:$A$884,0)),"")</f>
        <v/>
      </c>
      <c r="V675">
        <f>IFERROR(INDEX(_DATA_Assessment_Model!$W$5:$W$884,MATCH($E675,_DATA_Assessment_Model!$A$5:$A$884,0)),"")</f>
        <v/>
      </c>
      <c r="W675">
        <f>IFERROR(INDEX(_DATA_Assessment_Model!$X$5:$X$884,MATCH($E675,_DATA_Assessment_Model!$A$5:$A$884,0)),"")</f>
        <v/>
      </c>
      <c r="X675">
        <f>IFERROR(INDEX(_DATA_Assessment_Model!$Y$5:$Y$884,MATCH($E675,_DATA_Assessment_Model!$A$5:$A$884,0)),"")</f>
        <v/>
      </c>
      <c r="Y675" t="inlineStr">
        <is>
          <t>Delivery disruption; Customer impact; Workforce disruption</t>
        </is>
      </c>
      <c r="Z675" t="inlineStr">
        <is>
          <t>COO / Delivery</t>
        </is>
      </c>
      <c r="AA675" t="inlineStr">
        <is>
          <t>Policy/SOP; owner/RACI; system report; dashboard; contracts; test records; incident history; interview evidence related to customer prioritization rules during capacity constraints.</t>
        </is>
      </c>
      <c r="AB675">
        <f>IFERROR(INDEX(_DATA_Assessment_Model!$U$5:$U$884,MATCH($E675,_DATA_Assessment_Model!$A$5:$A$884,0)),"")</f>
        <v/>
      </c>
      <c r="AF675" t="inlineStr">
        <is>
          <t>How mature is the organization in managing customer prioritization rules during capacity constraints, including ownership, evidence, metrics, fallback procedures and crisis stress testing?</t>
        </is>
      </c>
      <c r="AO675">
        <f>IF($B675="Yes",IFERROR(INDEX(_ENGINE_Crisis!$F$501:$F$517,MATCH($C675,_ENGINE_Crisis!$A$501:$A$517,0)),1),"")</f>
        <v/>
      </c>
      <c r="AP675">
        <f>IF(AO675="","",ROUND($L675*AO675,1))</f>
        <v/>
      </c>
      <c r="AQ675">
        <f>IF(OR(AO675="",$S675=""),"",ROUND($S675*(0.7+0.3*AO675),2))</f>
        <v/>
      </c>
      <c r="AR675">
        <f>IFERROR(INDEX(_ENGINE_Crisis!$E$41:$E$700,MATCH('Resilience &amp; Risk Scenario'!$B$60&amp;"|"&amp;$C675,_ENGINE_Crisis!$I$41:$I$700,0)),"")</f>
        <v/>
      </c>
      <c r="AS675">
        <f>IFERROR(INDEX(_ENGINE_Crisis!$G$41:$G$700,MATCH('Resilience &amp; Risk Scenario'!$B$60&amp;"|"&amp;$C675,_ENGINE_Crisis!$I$41:$I$700,0)),"")</f>
        <v/>
      </c>
      <c r="AT675">
        <f>IFERROR(INDEX(_ENGINE_Initiatives!$A$5:$A$532,MATCH(1,INDEX((_ENGINE_Initiatives!$B$5:$B$532=$C675)*(_ENGINE_Initiatives!$C$5:$C$532=$D675),0),0)),"")</f>
        <v/>
      </c>
      <c r="AU675">
        <f>IFERROR(INDEX(_ENGINE_Initiatives!$F$5:$F$532,MATCH(1,INDEX((_ENGINE_Initiatives!$B$5:$B$532=$C675)*(_ENGINE_Initiatives!$C$5:$C$532=$D675),0),0)),"")</f>
        <v/>
      </c>
      <c r="AV675">
        <f>IFERROR(INDEX(_ENGINE_Initiatives!$AC$5:$AC$532,MATCH(1,INDEX((_ENGINE_Initiatives!$B$5:$B$532=$C675)*(_ENGINE_Initiatives!$C$5:$C$532=$D675),0),0)),"")</f>
        <v/>
      </c>
      <c r="AW675">
        <f>IFERROR(INDEX(_ENGINE_Initiatives!$AE$5:$AE$532,MATCH(1,INDEX((_ENGINE_Initiatives!$B$5:$B$532=$C675)*(_ENGINE_Initiatives!$C$5:$C$532=$D675),0),0)),"")</f>
        <v/>
      </c>
      <c r="AX675">
        <f>IF($B675="Yes",IFERROR(IF(SUMIFS(_REF_Model_Content!$E$1:$E$613,_REF_Model_Content!$A$1:$A$613,'Company Profile'!$B$9,_REF_Model_Content!$B$1:$B$613,$C675)=0,1,SUMIFS(_REF_Model_Content!$E$1:$E$613,_REF_Model_Content!$A$1:$A$613,'Company Profile'!$B$9,_REF_Model_Content!$B$1:$B$613,$C675)),1),"")</f>
        <v/>
      </c>
      <c r="AY675">
        <f>IF($L675="","",ROUND(IF($AP675="",$L675,$AP675)*IF($AX675="",1,$AX675),2))</f>
        <v/>
      </c>
      <c r="AZ675">
        <f>IF($S675="","",ROUND(IF($AQ675="",$S675,$AQ675)*IF($AX675="",1,$AX675),2))</f>
        <v/>
      </c>
      <c r="BB675">
        <f>IF($H675="","",IFERROR(INDEX('_ENGINE_Risk'!$AE$41:$AE$920,MATCH($E675,'_ENGINE_Risk'!$A$41:$A$920,0)),"Medium"))</f>
        <v/>
      </c>
      <c r="BC675">
        <f>IF($BB675="","",IF($BB675="Fast",1.25,IF($BB675="Slow",0.85,1)))</f>
        <v/>
      </c>
      <c r="BD675">
        <f>IF(OR($AZ675="",$BC675=""),"",ROUND($AZ675*$BC675,2))</f>
        <v/>
      </c>
      <c r="BF675">
        <f>IF(OR($H675="",$J675=""),"",_xlfn.IFNA(VLOOKUP($J675,_CONFIG_Model_Settings!$D$610:$E$614,2,0),""))</f>
        <v/>
      </c>
      <c r="BG675">
        <f>IF(OR($H675="",$K675=""),"",ROUND('Company Profile'!$B$569*INDEX(_CONFIG_Model_Settings!$H$610:$H$614,MATCH($K675,_CONFIG_Model_Settings!$G$610:$G$614,0)),0))</f>
        <v/>
      </c>
      <c r="BH675">
        <f>IF(OR($BF675="",$BG675=""),"",ROUND($BF675*$BG675,1))</f>
        <v/>
      </c>
      <c r="BI675">
        <f>IF($BH675="","",IF($AO675="",$BH675,ROUND($BH675*$AO675,1)))</f>
        <v/>
      </c>
      <c r="BJ675">
        <f>IF($E675="","",IFERROR(VLOOKUP($C675,'_CONFIG_Risk_Calibration'!$A$5:$H$21,2,FALSE),3))</f>
        <v/>
      </c>
      <c r="BK675">
        <f>IF($E675="","",IFERROR(VLOOKUP($C675,'_CONFIG_Risk_Calibration'!$A$5:$H$21,3,FALSE),0))</f>
        <v/>
      </c>
      <c r="BL675">
        <f>IF($E675="","",IFERROR(VLOOKUP($C675,'_CONFIG_Risk_Calibration'!$A$5:$H$21,4,FALSE),3))</f>
        <v/>
      </c>
      <c r="BM675">
        <f>IF($E675="","",IFERROR(VLOOKUP($C675,'_CONFIG_Risk_Calibration'!$A$5:$H$21,5,FALSE),3))</f>
        <v/>
      </c>
      <c r="BN675">
        <f>IF($E675="","",IFERROR(VLOOKUP($C675,'_CONFIG_Risk_Calibration'!$A$5:$H$21,6,FALSE),"No"))</f>
        <v/>
      </c>
      <c r="BO675">
        <f>IF($E675="","",IFERROR(VLOOKUP($C675,'_CONFIG_Risk_Calibration'!$A$5:$H$21,7,FALSE),1))</f>
        <v/>
      </c>
      <c r="BP675">
        <f>IF($H675="","",MAX(1,MIN(5,((6-$H675)*0.45)+($BJ675*0.20)+('Resilience &amp; Risk Scenario'!$B$7*0.15)+($BK675*0.10)+($BL675*0.05)+(IF($BB675="Fast",5,IF($BB675="Slow",1,3))*0.05))))</f>
        <v/>
      </c>
      <c r="BQ675">
        <f>IF($H675="","",MAX(IF($BN675="Yes",$BO675,1),MIN(5,($U675*0.20)+($V675*0.15)+($W675*0.25)+($X675*0.15)+($BJ675*0.10)+($BM675*0.15))))</f>
        <v/>
      </c>
      <c r="BR675">
        <f>IF(OR($BP675="",$BQ675=""),"",ROUND($BP675*$BQ675,2))</f>
        <v/>
      </c>
      <c r="BS675">
        <f>IF($BR675="","",ROUND($BR675*IF($AO675="",1,$AO675)*IF($AX675="",1,$AX675)*(1+(($BM675-3)*0.10))*IF($BC675="",1,$BC675),2))</f>
        <v/>
      </c>
    </row>
    <row r="676" ht="69.90000000000001" customHeight="1" s="209">
      <c r="A676">
        <f>IF($BD676="","",SUMPRODUCT(ISNUMBER($BD$500:$BD$923)*($BD$500:$BD$923&gt;$BD676))+COUNTIF($BD$500:$BD676,$BD676))</f>
        <v/>
      </c>
      <c r="B676">
        <f>IF($H676="","",IF($H676&lt;5,"Yes","Maintain"))</f>
        <v/>
      </c>
      <c r="C676" t="inlineStr">
        <is>
          <t>Delivery Ops</t>
        </is>
      </c>
      <c r="D676" t="inlineStr">
        <is>
          <t>Delivery governance</t>
        </is>
      </c>
      <c r="E676" t="inlineStr">
        <is>
          <t>DELI-006</t>
        </is>
      </c>
      <c r="F676" t="inlineStr">
        <is>
          <t>Delivery, service continuity and operational execution</t>
        </is>
      </c>
      <c r="G676">
        <f>IF($H676="","",IFERROR(INDEX('_ENGINE_Risk'!$H$41:$M$920,MATCH($E676,'_ENGINE_Risk'!$A$41:$A$920,0),$H676+1),""))</f>
        <v/>
      </c>
      <c r="H676">
        <f>IFERROR(VALUE(INDEX(_DATA_Assessment_Model!$H$5:$H$884,MATCH($E676,_DATA_Assessment_Model!$A$5:$A$884,0))),"")</f>
        <v/>
      </c>
      <c r="I676">
        <f>IF($H676="","",IFERROR(INDEX(_DATA_Assessment_Model!$L$5:$L$884,MATCH($E676,_DATA_Assessment_Model!$A$5:$A$884,0)),IF($H676&lt;=1,"Critical",IF($H676=2,"High",IF($H676=3,"Medium",IF($H676=4,"Low","Resilient"))))))</f>
        <v/>
      </c>
      <c r="J676">
        <f>IF($H676="","",MIN(5,MAX(1,6-$H676)))</f>
        <v/>
      </c>
      <c r="K676">
        <f>IF($H676="","",MAX(1,MIN(5,ROUNDUP(($U676*0.45)+($W676*0.35)+($X676*0.2),0))))</f>
        <v/>
      </c>
      <c r="L676">
        <f>IF($H676="","",$J676*$K676)</f>
        <v/>
      </c>
      <c r="M676">
        <f>IF($H676="","",MAX(1,MIN(5,ROUNDUP($L676/5,0))))</f>
        <v/>
      </c>
      <c r="N676">
        <f>IF($H676="","",IFERROR(INDEX('_ENGINE_Risk'!$T$41:$Y$920,MATCH($E676,'_ENGINE_Risk'!$A$41:$A$920,0),$H676+1),""))</f>
        <v/>
      </c>
      <c r="O676">
        <f>IF($H676="","",MAX(1,MIN(5,($U676+$V676+$X676)/3)))</f>
        <v/>
      </c>
      <c r="P676">
        <f>IF($H676="","",IF($I676="Critical",5,IF($I676="High",4,IF($I676="Medium",3,IF($I676="Low",2,1)))))</f>
        <v/>
      </c>
      <c r="Q676">
        <f>IF($H676="","",MAX(1,MIN(5,((5-$H676)*0.65)+($W676*0.35))))</f>
        <v/>
      </c>
      <c r="R676">
        <f>IF($H676="","",MAX(1,MIN(5,($V676+$X676)/2)))</f>
        <v/>
      </c>
      <c r="S676">
        <f>IF(OR($H676="",$N676=""),"",ROUND(($O676+$P676+$Q676+$R676)/$N676,2))</f>
        <v/>
      </c>
      <c r="T676">
        <f>IF($H676="","",IFERROR(INDEX('_ENGINE_Risk'!$N$41:$S$920,MATCH($E676,'_ENGINE_Risk'!$A$41:$A$920,0),$H676+1),""))</f>
        <v/>
      </c>
      <c r="U676">
        <f>IFERROR(INDEX(_DATA_Assessment_Model!$G$5:$G$884,MATCH($E676,_DATA_Assessment_Model!$A$5:$A$884,0)),"")</f>
        <v/>
      </c>
      <c r="V676">
        <f>IFERROR(INDEX(_DATA_Assessment_Model!$W$5:$W$884,MATCH($E676,_DATA_Assessment_Model!$A$5:$A$884,0)),"")</f>
        <v/>
      </c>
      <c r="W676">
        <f>IFERROR(INDEX(_DATA_Assessment_Model!$X$5:$X$884,MATCH($E676,_DATA_Assessment_Model!$A$5:$A$884,0)),"")</f>
        <v/>
      </c>
      <c r="X676">
        <f>IFERROR(INDEX(_DATA_Assessment_Model!$Y$5:$Y$884,MATCH($E676,_DATA_Assessment_Model!$A$5:$A$884,0)),"")</f>
        <v/>
      </c>
      <c r="Y676" t="inlineStr">
        <is>
          <t>Delivery disruption; Customer impact; Workforce disruption</t>
        </is>
      </c>
      <c r="Z676" t="inlineStr">
        <is>
          <t>COO / Delivery</t>
        </is>
      </c>
      <c r="AA676" t="inlineStr">
        <is>
          <t>Policy/SOP; owner/RACI; system report; dashboard; contracts; test records; incident history; interview evidence related to delivery transparency to customers during delays, incidents or disruption.</t>
        </is>
      </c>
      <c r="AB676">
        <f>IFERROR(INDEX(_DATA_Assessment_Model!$U$5:$U$884,MATCH($E676,_DATA_Assessment_Model!$A$5:$A$884,0)),"")</f>
        <v/>
      </c>
      <c r="AF676" t="inlineStr">
        <is>
          <t>How mature is the organization in managing delivery transparency to customers during delays, incidents or disruption, including ownership, evidence, metrics, fallback procedures and crisis stress testing?</t>
        </is>
      </c>
      <c r="AO676">
        <f>IF($B676="Yes",IFERROR(INDEX(_ENGINE_Crisis!$F$501:$F$517,MATCH($C676,_ENGINE_Crisis!$A$501:$A$517,0)),1),"")</f>
        <v/>
      </c>
      <c r="AP676">
        <f>IF(AO676="","",ROUND($L676*AO676,1))</f>
        <v/>
      </c>
      <c r="AQ676">
        <f>IF(OR(AO676="",$S676=""),"",ROUND($S676*(0.7+0.3*AO676),2))</f>
        <v/>
      </c>
      <c r="AR676">
        <f>IFERROR(INDEX(_ENGINE_Crisis!$E$41:$E$700,MATCH('Resilience &amp; Risk Scenario'!$B$60&amp;"|"&amp;$C676,_ENGINE_Crisis!$I$41:$I$700,0)),"")</f>
        <v/>
      </c>
      <c r="AS676">
        <f>IFERROR(INDEX(_ENGINE_Crisis!$G$41:$G$700,MATCH('Resilience &amp; Risk Scenario'!$B$60&amp;"|"&amp;$C676,_ENGINE_Crisis!$I$41:$I$700,0)),"")</f>
        <v/>
      </c>
      <c r="AT676">
        <f>IFERROR(INDEX(_ENGINE_Initiatives!$A$5:$A$532,MATCH(1,INDEX((_ENGINE_Initiatives!$B$5:$B$532=$C676)*(_ENGINE_Initiatives!$C$5:$C$532=$D676),0),0)),"")</f>
        <v/>
      </c>
      <c r="AU676">
        <f>IFERROR(INDEX(_ENGINE_Initiatives!$F$5:$F$532,MATCH(1,INDEX((_ENGINE_Initiatives!$B$5:$B$532=$C676)*(_ENGINE_Initiatives!$C$5:$C$532=$D676),0),0)),"")</f>
        <v/>
      </c>
      <c r="AV676">
        <f>IFERROR(INDEX(_ENGINE_Initiatives!$AC$5:$AC$532,MATCH(1,INDEX((_ENGINE_Initiatives!$B$5:$B$532=$C676)*(_ENGINE_Initiatives!$C$5:$C$532=$D676),0),0)),"")</f>
        <v/>
      </c>
      <c r="AW676">
        <f>IFERROR(INDEX(_ENGINE_Initiatives!$AE$5:$AE$532,MATCH(1,INDEX((_ENGINE_Initiatives!$B$5:$B$532=$C676)*(_ENGINE_Initiatives!$C$5:$C$532=$D676),0),0)),"")</f>
        <v/>
      </c>
      <c r="AX676">
        <f>IF($B676="Yes",IFERROR(IF(SUMIFS(_REF_Model_Content!$E$1:$E$613,_REF_Model_Content!$A$1:$A$613,'Company Profile'!$B$9,_REF_Model_Content!$B$1:$B$613,$C676)=0,1,SUMIFS(_REF_Model_Content!$E$1:$E$613,_REF_Model_Content!$A$1:$A$613,'Company Profile'!$B$9,_REF_Model_Content!$B$1:$B$613,$C676)),1),"")</f>
        <v/>
      </c>
      <c r="AY676">
        <f>IF($L676="","",ROUND(IF($AP676="",$L676,$AP676)*IF($AX676="",1,$AX676),2))</f>
        <v/>
      </c>
      <c r="AZ676">
        <f>IF($S676="","",ROUND(IF($AQ676="",$S676,$AQ676)*IF($AX676="",1,$AX676),2))</f>
        <v/>
      </c>
      <c r="BB676">
        <f>IF($H676="","",IFERROR(INDEX('_ENGINE_Risk'!$AE$41:$AE$920,MATCH($E676,'_ENGINE_Risk'!$A$41:$A$920,0)),"Medium"))</f>
        <v/>
      </c>
      <c r="BC676">
        <f>IF($BB676="","",IF($BB676="Fast",1.25,IF($BB676="Slow",0.85,1)))</f>
        <v/>
      </c>
      <c r="BD676">
        <f>IF(OR($AZ676="",$BC676=""),"",ROUND($AZ676*$BC676,2))</f>
        <v/>
      </c>
      <c r="BF676">
        <f>IF(OR($H676="",$J676=""),"",_xlfn.IFNA(VLOOKUP($J676,_CONFIG_Model_Settings!$D$610:$E$614,2,0),""))</f>
        <v/>
      </c>
      <c r="BG676">
        <f>IF(OR($H676="",$K676=""),"",ROUND('Company Profile'!$B$569*INDEX(_CONFIG_Model_Settings!$H$610:$H$614,MATCH($K676,_CONFIG_Model_Settings!$G$610:$G$614,0)),0))</f>
        <v/>
      </c>
      <c r="BH676">
        <f>IF(OR($BF676="",$BG676=""),"",ROUND($BF676*$BG676,1))</f>
        <v/>
      </c>
      <c r="BI676">
        <f>IF($BH676="","",IF($AO676="",$BH676,ROUND($BH676*$AO676,1)))</f>
        <v/>
      </c>
      <c r="BJ676">
        <f>IF($E676="","",IFERROR(VLOOKUP($C676,'_CONFIG_Risk_Calibration'!$A$5:$H$21,2,FALSE),3))</f>
        <v/>
      </c>
      <c r="BK676">
        <f>IF($E676="","",IFERROR(VLOOKUP($C676,'_CONFIG_Risk_Calibration'!$A$5:$H$21,3,FALSE),0))</f>
        <v/>
      </c>
      <c r="BL676">
        <f>IF($E676="","",IFERROR(VLOOKUP($C676,'_CONFIG_Risk_Calibration'!$A$5:$H$21,4,FALSE),3))</f>
        <v/>
      </c>
      <c r="BM676">
        <f>IF($E676="","",IFERROR(VLOOKUP($C676,'_CONFIG_Risk_Calibration'!$A$5:$H$21,5,FALSE),3))</f>
        <v/>
      </c>
      <c r="BN676">
        <f>IF($E676="","",IFERROR(VLOOKUP($C676,'_CONFIG_Risk_Calibration'!$A$5:$H$21,6,FALSE),"No"))</f>
        <v/>
      </c>
      <c r="BO676">
        <f>IF($E676="","",IFERROR(VLOOKUP($C676,'_CONFIG_Risk_Calibration'!$A$5:$H$21,7,FALSE),1))</f>
        <v/>
      </c>
      <c r="BP676">
        <f>IF($H676="","",MAX(1,MIN(5,((6-$H676)*0.45)+($BJ676*0.20)+('Resilience &amp; Risk Scenario'!$B$7*0.15)+($BK676*0.10)+($BL676*0.05)+(IF($BB676="Fast",5,IF($BB676="Slow",1,3))*0.05))))</f>
        <v/>
      </c>
      <c r="BQ676">
        <f>IF($H676="","",MAX(IF($BN676="Yes",$BO676,1),MIN(5,($U676*0.20)+($V676*0.15)+($W676*0.25)+($X676*0.15)+($BJ676*0.10)+($BM676*0.15))))</f>
        <v/>
      </c>
      <c r="BR676">
        <f>IF(OR($BP676="",$BQ676=""),"",ROUND($BP676*$BQ676,2))</f>
        <v/>
      </c>
      <c r="BS676">
        <f>IF($BR676="","",ROUND($BR676*IF($AO676="",1,$AO676)*IF($AX676="",1,$AX676)*(1+(($BM676-3)*0.10))*IF($BC676="",1,$BC676),2))</f>
        <v/>
      </c>
    </row>
    <row r="677" ht="69.90000000000001" customHeight="1" s="209">
      <c r="A677">
        <f>IF($BD677="","",SUMPRODUCT(ISNUMBER($BD$500:$BD$923)*($BD$500:$BD$923&gt;$BD677))+COUNTIF($BD$500:$BD677,$BD677))</f>
        <v/>
      </c>
      <c r="B677">
        <f>IF($H677="","",IF($H677&lt;5,"Yes","Maintain"))</f>
        <v/>
      </c>
      <c r="C677" t="inlineStr">
        <is>
          <t>Delivery Ops</t>
        </is>
      </c>
      <c r="D677" t="inlineStr">
        <is>
          <t>Capacity and continuity</t>
        </is>
      </c>
      <c r="E677" t="inlineStr">
        <is>
          <t>DELI-007</t>
        </is>
      </c>
      <c r="F677" t="inlineStr">
        <is>
          <t>Delivery, service continuity and operational execution</t>
        </is>
      </c>
      <c r="G677">
        <f>IF($H677="","",IFERROR(INDEX('_ENGINE_Risk'!$H$41:$M$920,MATCH($E677,'_ENGINE_Risk'!$A$41:$A$920,0),$H677+1),""))</f>
        <v/>
      </c>
      <c r="H677">
        <f>IFERROR(VALUE(INDEX(_DATA_Assessment_Model!$H$5:$H$884,MATCH($E677,_DATA_Assessment_Model!$A$5:$A$884,0))),"")</f>
        <v/>
      </c>
      <c r="I677">
        <f>IF($H677="","",IFERROR(INDEX(_DATA_Assessment_Model!$L$5:$L$884,MATCH($E677,_DATA_Assessment_Model!$A$5:$A$884,0)),IF($H677&lt;=1,"Critical",IF($H677=2,"High",IF($H677=3,"Medium",IF($H677=4,"Low","Resilient"))))))</f>
        <v/>
      </c>
      <c r="J677">
        <f>IF($H677="","",MIN(5,MAX(1,6-$H677)))</f>
        <v/>
      </c>
      <c r="K677">
        <f>IF($H677="","",MAX(1,MIN(5,ROUNDUP(($U677*0.45)+($W677*0.35)+($X677*0.2),0))))</f>
        <v/>
      </c>
      <c r="L677">
        <f>IF($H677="","",$J677*$K677)</f>
        <v/>
      </c>
      <c r="M677">
        <f>IF($H677="","",MAX(1,MIN(5,ROUNDUP($L677/5,0))))</f>
        <v/>
      </c>
      <c r="N677">
        <f>IF($H677="","",IFERROR(INDEX('_ENGINE_Risk'!$T$41:$Y$920,MATCH($E677,'_ENGINE_Risk'!$A$41:$A$920,0),$H677+1),""))</f>
        <v/>
      </c>
      <c r="O677">
        <f>IF($H677="","",MAX(1,MIN(5,($U677+$V677+$X677)/3)))</f>
        <v/>
      </c>
      <c r="P677">
        <f>IF($H677="","",IF($I677="Critical",5,IF($I677="High",4,IF($I677="Medium",3,IF($I677="Low",2,1)))))</f>
        <v/>
      </c>
      <c r="Q677">
        <f>IF($H677="","",MAX(1,MIN(5,((5-$H677)*0.65)+($W677*0.35))))</f>
        <v/>
      </c>
      <c r="R677">
        <f>IF($H677="","",MAX(1,MIN(5,($V677+$X677)/2)))</f>
        <v/>
      </c>
      <c r="S677">
        <f>IF(OR($H677="",$N677=""),"",ROUND(($O677+$P677+$Q677+$R677)/$N677,2))</f>
        <v/>
      </c>
      <c r="T677">
        <f>IF($H677="","",IFERROR(INDEX('_ENGINE_Risk'!$N$41:$S$920,MATCH($E677,'_ENGINE_Risk'!$A$41:$A$920,0),$H677+1),""))</f>
        <v/>
      </c>
      <c r="U677">
        <f>IFERROR(INDEX(_DATA_Assessment_Model!$G$5:$G$884,MATCH($E677,_DATA_Assessment_Model!$A$5:$A$884,0)),"")</f>
        <v/>
      </c>
      <c r="V677">
        <f>IFERROR(INDEX(_DATA_Assessment_Model!$W$5:$W$884,MATCH($E677,_DATA_Assessment_Model!$A$5:$A$884,0)),"")</f>
        <v/>
      </c>
      <c r="W677">
        <f>IFERROR(INDEX(_DATA_Assessment_Model!$X$5:$X$884,MATCH($E677,_DATA_Assessment_Model!$A$5:$A$884,0)),"")</f>
        <v/>
      </c>
      <c r="X677">
        <f>IFERROR(INDEX(_DATA_Assessment_Model!$Y$5:$Y$884,MATCH($E677,_DATA_Assessment_Model!$A$5:$A$884,0)),"")</f>
        <v/>
      </c>
      <c r="Y677" t="inlineStr">
        <is>
          <t>Delivery disruption; Customer impact; Workforce disruption</t>
        </is>
      </c>
      <c r="Z677" t="inlineStr">
        <is>
          <t>COO / Delivery</t>
        </is>
      </c>
      <c r="AA677" t="inlineStr">
        <is>
          <t>Policy/SOP; owner/RACI; system report; dashboard; contracts; test records; incident history; interview evidence related to capacity planning for people, equipment, production lines, cloud resources, warehouses and suppliers.</t>
        </is>
      </c>
      <c r="AB677">
        <f>IFERROR(INDEX(_DATA_Assessment_Model!$U$5:$U$884,MATCH($E677,_DATA_Assessment_Model!$A$5:$A$884,0)),"")</f>
        <v/>
      </c>
      <c r="AF677" t="inlineStr">
        <is>
          <t>How mature is the organization in managing capacity planning for people, equipment, production lines, cloud resources, warehouses and suppliers, including ownership, evidence, metrics, fallback procedures and crisis stress testing?</t>
        </is>
      </c>
      <c r="AO677">
        <f>IF($B677="Yes",IFERROR(INDEX(_ENGINE_Crisis!$F$501:$F$517,MATCH($C677,_ENGINE_Crisis!$A$501:$A$517,0)),1),"")</f>
        <v/>
      </c>
      <c r="AP677">
        <f>IF(AO677="","",ROUND($L677*AO677,1))</f>
        <v/>
      </c>
      <c r="AQ677">
        <f>IF(OR(AO677="",$S677=""),"",ROUND($S677*(0.7+0.3*AO677),2))</f>
        <v/>
      </c>
      <c r="AR677">
        <f>IFERROR(INDEX(_ENGINE_Crisis!$E$41:$E$700,MATCH('Resilience &amp; Risk Scenario'!$B$60&amp;"|"&amp;$C677,_ENGINE_Crisis!$I$41:$I$700,0)),"")</f>
        <v/>
      </c>
      <c r="AS677">
        <f>IFERROR(INDEX(_ENGINE_Crisis!$G$41:$G$700,MATCH('Resilience &amp; Risk Scenario'!$B$60&amp;"|"&amp;$C677,_ENGINE_Crisis!$I$41:$I$700,0)),"")</f>
        <v/>
      </c>
      <c r="AT677">
        <f>IFERROR(INDEX(_ENGINE_Initiatives!$A$5:$A$532,MATCH(1,INDEX((_ENGINE_Initiatives!$B$5:$B$532=$C677)*(_ENGINE_Initiatives!$C$5:$C$532=$D677),0),0)),"")</f>
        <v/>
      </c>
      <c r="AU677">
        <f>IFERROR(INDEX(_ENGINE_Initiatives!$F$5:$F$532,MATCH(1,INDEX((_ENGINE_Initiatives!$B$5:$B$532=$C677)*(_ENGINE_Initiatives!$C$5:$C$532=$D677),0),0)),"")</f>
        <v/>
      </c>
      <c r="AV677">
        <f>IFERROR(INDEX(_ENGINE_Initiatives!$AC$5:$AC$532,MATCH(1,INDEX((_ENGINE_Initiatives!$B$5:$B$532=$C677)*(_ENGINE_Initiatives!$C$5:$C$532=$D677),0),0)),"")</f>
        <v/>
      </c>
      <c r="AW677">
        <f>IFERROR(INDEX(_ENGINE_Initiatives!$AE$5:$AE$532,MATCH(1,INDEX((_ENGINE_Initiatives!$B$5:$B$532=$C677)*(_ENGINE_Initiatives!$C$5:$C$532=$D677),0),0)),"")</f>
        <v/>
      </c>
      <c r="AX677">
        <f>IF($B677="Yes",IFERROR(IF(SUMIFS(_REF_Model_Content!$E$1:$E$613,_REF_Model_Content!$A$1:$A$613,'Company Profile'!$B$9,_REF_Model_Content!$B$1:$B$613,$C677)=0,1,SUMIFS(_REF_Model_Content!$E$1:$E$613,_REF_Model_Content!$A$1:$A$613,'Company Profile'!$B$9,_REF_Model_Content!$B$1:$B$613,$C677)),1),"")</f>
        <v/>
      </c>
      <c r="AY677">
        <f>IF($L677="","",ROUND(IF($AP677="",$L677,$AP677)*IF($AX677="",1,$AX677),2))</f>
        <v/>
      </c>
      <c r="AZ677">
        <f>IF($S677="","",ROUND(IF($AQ677="",$S677,$AQ677)*IF($AX677="",1,$AX677),2))</f>
        <v/>
      </c>
      <c r="BB677">
        <f>IF($H677="","",IFERROR(INDEX('_ENGINE_Risk'!$AE$41:$AE$920,MATCH($E677,'_ENGINE_Risk'!$A$41:$A$920,0)),"Medium"))</f>
        <v/>
      </c>
      <c r="BC677">
        <f>IF($BB677="","",IF($BB677="Fast",1.25,IF($BB677="Slow",0.85,1)))</f>
        <v/>
      </c>
      <c r="BD677">
        <f>IF(OR($AZ677="",$BC677=""),"",ROUND($AZ677*$BC677,2))</f>
        <v/>
      </c>
      <c r="BF677">
        <f>IF(OR($H677="",$J677=""),"",_xlfn.IFNA(VLOOKUP($J677,_CONFIG_Model_Settings!$D$610:$E$614,2,0),""))</f>
        <v/>
      </c>
      <c r="BG677">
        <f>IF(OR($H677="",$K677=""),"",ROUND('Company Profile'!$B$569*INDEX(_CONFIG_Model_Settings!$H$610:$H$614,MATCH($K677,_CONFIG_Model_Settings!$G$610:$G$614,0)),0))</f>
        <v/>
      </c>
      <c r="BH677">
        <f>IF(OR($BF677="",$BG677=""),"",ROUND($BF677*$BG677,1))</f>
        <v/>
      </c>
      <c r="BI677">
        <f>IF($BH677="","",IF($AO677="",$BH677,ROUND($BH677*$AO677,1)))</f>
        <v/>
      </c>
      <c r="BJ677">
        <f>IF($E677="","",IFERROR(VLOOKUP($C677,'_CONFIG_Risk_Calibration'!$A$5:$H$21,2,FALSE),3))</f>
        <v/>
      </c>
      <c r="BK677">
        <f>IF($E677="","",IFERROR(VLOOKUP($C677,'_CONFIG_Risk_Calibration'!$A$5:$H$21,3,FALSE),0))</f>
        <v/>
      </c>
      <c r="BL677">
        <f>IF($E677="","",IFERROR(VLOOKUP($C677,'_CONFIG_Risk_Calibration'!$A$5:$H$21,4,FALSE),3))</f>
        <v/>
      </c>
      <c r="BM677">
        <f>IF($E677="","",IFERROR(VLOOKUP($C677,'_CONFIG_Risk_Calibration'!$A$5:$H$21,5,FALSE),3))</f>
        <v/>
      </c>
      <c r="BN677">
        <f>IF($E677="","",IFERROR(VLOOKUP($C677,'_CONFIG_Risk_Calibration'!$A$5:$H$21,6,FALSE),"No"))</f>
        <v/>
      </c>
      <c r="BO677">
        <f>IF($E677="","",IFERROR(VLOOKUP($C677,'_CONFIG_Risk_Calibration'!$A$5:$H$21,7,FALSE),1))</f>
        <v/>
      </c>
      <c r="BP677">
        <f>IF($H677="","",MAX(1,MIN(5,((6-$H677)*0.45)+($BJ677*0.20)+('Resilience &amp; Risk Scenario'!$B$7*0.15)+($BK677*0.10)+($BL677*0.05)+(IF($BB677="Fast",5,IF($BB677="Slow",1,3))*0.05))))</f>
        <v/>
      </c>
      <c r="BQ677">
        <f>IF($H677="","",MAX(IF($BN677="Yes",$BO677,1),MIN(5,($U677*0.20)+($V677*0.15)+($W677*0.25)+($X677*0.15)+($BJ677*0.10)+($BM677*0.15))))</f>
        <v/>
      </c>
      <c r="BR677">
        <f>IF(OR($BP677="",$BQ677=""),"",ROUND($BP677*$BQ677,2))</f>
        <v/>
      </c>
      <c r="BS677">
        <f>IF($BR677="","",ROUND($BR677*IF($AO677="",1,$AO677)*IF($AX677="",1,$AX677)*(1+(($BM677-3)*0.10))*IF($BC677="",1,$BC677),2))</f>
        <v/>
      </c>
    </row>
    <row r="678" ht="69.90000000000001" customHeight="1" s="209">
      <c r="A678">
        <f>IF($BD678="","",SUMPRODUCT(ISNUMBER($BD$500:$BD$923)*($BD$500:$BD$923&gt;$BD678))+COUNTIF($BD$500:$BD678,$BD678))</f>
        <v/>
      </c>
      <c r="B678">
        <f>IF($H678="","",IF($H678&lt;5,"Yes","Maintain"))</f>
        <v/>
      </c>
      <c r="C678" t="inlineStr">
        <is>
          <t>Delivery Ops</t>
        </is>
      </c>
      <c r="D678" t="inlineStr">
        <is>
          <t>Capacity and continuity</t>
        </is>
      </c>
      <c r="E678" t="inlineStr">
        <is>
          <t>DELI-008</t>
        </is>
      </c>
      <c r="F678" t="inlineStr">
        <is>
          <t>Delivery, service continuity and operational execution</t>
        </is>
      </c>
      <c r="G678">
        <f>IF($H678="","",IFERROR(INDEX('_ENGINE_Risk'!$H$41:$M$920,MATCH($E678,'_ENGINE_Risk'!$A$41:$A$920,0),$H678+1),""))</f>
        <v/>
      </c>
      <c r="H678">
        <f>IFERROR(VALUE(INDEX(_DATA_Assessment_Model!$H$5:$H$884,MATCH($E678,_DATA_Assessment_Model!$A$5:$A$884,0))),"")</f>
        <v/>
      </c>
      <c r="I678">
        <f>IF($H678="","",IFERROR(INDEX(_DATA_Assessment_Model!$L$5:$L$884,MATCH($E678,_DATA_Assessment_Model!$A$5:$A$884,0)),IF($H678&lt;=1,"Critical",IF($H678=2,"High",IF($H678=3,"Medium",IF($H678=4,"Low","Resilient"))))))</f>
        <v/>
      </c>
      <c r="J678">
        <f>IF($H678="","",MIN(5,MAX(1,6-$H678)))</f>
        <v/>
      </c>
      <c r="K678">
        <f>IF($H678="","",MAX(1,MIN(5,ROUNDUP(($U678*0.45)+($W678*0.35)+($X678*0.2),0))))</f>
        <v/>
      </c>
      <c r="L678">
        <f>IF($H678="","",$J678*$K678)</f>
        <v/>
      </c>
      <c r="M678">
        <f>IF($H678="","",MAX(1,MIN(5,ROUNDUP($L678/5,0))))</f>
        <v/>
      </c>
      <c r="N678">
        <f>IF($H678="","",IFERROR(INDEX('_ENGINE_Risk'!$T$41:$Y$920,MATCH($E678,'_ENGINE_Risk'!$A$41:$A$920,0),$H678+1),""))</f>
        <v/>
      </c>
      <c r="O678">
        <f>IF($H678="","",MAX(1,MIN(5,($U678+$V678+$X678)/3)))</f>
        <v/>
      </c>
      <c r="P678">
        <f>IF($H678="","",IF($I678="Critical",5,IF($I678="High",4,IF($I678="Medium",3,IF($I678="Low",2,1)))))</f>
        <v/>
      </c>
      <c r="Q678">
        <f>IF($H678="","",MAX(1,MIN(5,((5-$H678)*0.65)+($W678*0.35))))</f>
        <v/>
      </c>
      <c r="R678">
        <f>IF($H678="","",MAX(1,MIN(5,($V678+$X678)/2)))</f>
        <v/>
      </c>
      <c r="S678">
        <f>IF(OR($H678="",$N678=""),"",ROUND(($O678+$P678+$Q678+$R678)/$N678,2))</f>
        <v/>
      </c>
      <c r="T678">
        <f>IF($H678="","",IFERROR(INDEX('_ENGINE_Risk'!$N$41:$S$920,MATCH($E678,'_ENGINE_Risk'!$A$41:$A$920,0),$H678+1),""))</f>
        <v/>
      </c>
      <c r="U678">
        <f>IFERROR(INDEX(_DATA_Assessment_Model!$G$5:$G$884,MATCH($E678,_DATA_Assessment_Model!$A$5:$A$884,0)),"")</f>
        <v/>
      </c>
      <c r="V678">
        <f>IFERROR(INDEX(_DATA_Assessment_Model!$W$5:$W$884,MATCH($E678,_DATA_Assessment_Model!$A$5:$A$884,0)),"")</f>
        <v/>
      </c>
      <c r="W678">
        <f>IFERROR(INDEX(_DATA_Assessment_Model!$X$5:$X$884,MATCH($E678,_DATA_Assessment_Model!$A$5:$A$884,0)),"")</f>
        <v/>
      </c>
      <c r="X678">
        <f>IFERROR(INDEX(_DATA_Assessment_Model!$Y$5:$Y$884,MATCH($E678,_DATA_Assessment_Model!$A$5:$A$884,0)),"")</f>
        <v/>
      </c>
      <c r="Y678" t="inlineStr">
        <is>
          <t>Delivery disruption; Customer impact; Workforce disruption</t>
        </is>
      </c>
      <c r="Z678" t="inlineStr">
        <is>
          <t>COO / Delivery</t>
        </is>
      </c>
      <c r="AA678" t="inlineStr">
        <is>
          <t>Policy/SOP; owner/RACI; system report; dashboard; contracts; test records; incident history; interview evidence related to surge capacity for demand spikes, backlog recovery and emergency orders.</t>
        </is>
      </c>
      <c r="AB678">
        <f>IFERROR(INDEX(_DATA_Assessment_Model!$U$5:$U$884,MATCH($E678,_DATA_Assessment_Model!$A$5:$A$884,0)),"")</f>
        <v/>
      </c>
      <c r="AF678" t="inlineStr">
        <is>
          <t>How mature is the organization in managing surge capacity for demand spikes, backlog recovery and emergency orders, including ownership, evidence, metrics, fallback procedures and crisis stress testing?</t>
        </is>
      </c>
      <c r="AO678">
        <f>IF($B678="Yes",IFERROR(INDEX(_ENGINE_Crisis!$F$501:$F$517,MATCH($C678,_ENGINE_Crisis!$A$501:$A$517,0)),1),"")</f>
        <v/>
      </c>
      <c r="AP678">
        <f>IF(AO678="","",ROUND($L678*AO678,1))</f>
        <v/>
      </c>
      <c r="AQ678">
        <f>IF(OR(AO678="",$S678=""),"",ROUND($S678*(0.7+0.3*AO678),2))</f>
        <v/>
      </c>
      <c r="AR678">
        <f>IFERROR(INDEX(_ENGINE_Crisis!$E$41:$E$700,MATCH('Resilience &amp; Risk Scenario'!$B$60&amp;"|"&amp;$C678,_ENGINE_Crisis!$I$41:$I$700,0)),"")</f>
        <v/>
      </c>
      <c r="AS678">
        <f>IFERROR(INDEX(_ENGINE_Crisis!$G$41:$G$700,MATCH('Resilience &amp; Risk Scenario'!$B$60&amp;"|"&amp;$C678,_ENGINE_Crisis!$I$41:$I$700,0)),"")</f>
        <v/>
      </c>
      <c r="AT678">
        <f>IFERROR(INDEX(_ENGINE_Initiatives!$A$5:$A$532,MATCH(1,INDEX((_ENGINE_Initiatives!$B$5:$B$532=$C678)*(_ENGINE_Initiatives!$C$5:$C$532=$D678),0),0)),"")</f>
        <v/>
      </c>
      <c r="AU678">
        <f>IFERROR(INDEX(_ENGINE_Initiatives!$F$5:$F$532,MATCH(1,INDEX((_ENGINE_Initiatives!$B$5:$B$532=$C678)*(_ENGINE_Initiatives!$C$5:$C$532=$D678),0),0)),"")</f>
        <v/>
      </c>
      <c r="AV678">
        <f>IFERROR(INDEX(_ENGINE_Initiatives!$AC$5:$AC$532,MATCH(1,INDEX((_ENGINE_Initiatives!$B$5:$B$532=$C678)*(_ENGINE_Initiatives!$C$5:$C$532=$D678),0),0)),"")</f>
        <v/>
      </c>
      <c r="AW678">
        <f>IFERROR(INDEX(_ENGINE_Initiatives!$AE$5:$AE$532,MATCH(1,INDEX((_ENGINE_Initiatives!$B$5:$B$532=$C678)*(_ENGINE_Initiatives!$C$5:$C$532=$D678),0),0)),"")</f>
        <v/>
      </c>
      <c r="AX678">
        <f>IF($B678="Yes",IFERROR(IF(SUMIFS(_REF_Model_Content!$E$1:$E$613,_REF_Model_Content!$A$1:$A$613,'Company Profile'!$B$9,_REF_Model_Content!$B$1:$B$613,$C678)=0,1,SUMIFS(_REF_Model_Content!$E$1:$E$613,_REF_Model_Content!$A$1:$A$613,'Company Profile'!$B$9,_REF_Model_Content!$B$1:$B$613,$C678)),1),"")</f>
        <v/>
      </c>
      <c r="AY678">
        <f>IF($L678="","",ROUND(IF($AP678="",$L678,$AP678)*IF($AX678="",1,$AX678),2))</f>
        <v/>
      </c>
      <c r="AZ678">
        <f>IF($S678="","",ROUND(IF($AQ678="",$S678,$AQ678)*IF($AX678="",1,$AX678),2))</f>
        <v/>
      </c>
      <c r="BB678">
        <f>IF($H678="","",IFERROR(INDEX('_ENGINE_Risk'!$AE$41:$AE$920,MATCH($E678,'_ENGINE_Risk'!$A$41:$A$920,0)),"Medium"))</f>
        <v/>
      </c>
      <c r="BC678">
        <f>IF($BB678="","",IF($BB678="Fast",1.25,IF($BB678="Slow",0.85,1)))</f>
        <v/>
      </c>
      <c r="BD678">
        <f>IF(OR($AZ678="",$BC678=""),"",ROUND($AZ678*$BC678,2))</f>
        <v/>
      </c>
      <c r="BF678">
        <f>IF(OR($H678="",$J678=""),"",_xlfn.IFNA(VLOOKUP($J678,_CONFIG_Model_Settings!$D$610:$E$614,2,0),""))</f>
        <v/>
      </c>
      <c r="BG678">
        <f>IF(OR($H678="",$K678=""),"",ROUND('Company Profile'!$B$569*INDEX(_CONFIG_Model_Settings!$H$610:$H$614,MATCH($K678,_CONFIG_Model_Settings!$G$610:$G$614,0)),0))</f>
        <v/>
      </c>
      <c r="BH678">
        <f>IF(OR($BF678="",$BG678=""),"",ROUND($BF678*$BG678,1))</f>
        <v/>
      </c>
      <c r="BI678">
        <f>IF($BH678="","",IF($AO678="",$BH678,ROUND($BH678*$AO678,1)))</f>
        <v/>
      </c>
      <c r="BJ678">
        <f>IF($E678="","",IFERROR(VLOOKUP($C678,'_CONFIG_Risk_Calibration'!$A$5:$H$21,2,FALSE),3))</f>
        <v/>
      </c>
      <c r="BK678">
        <f>IF($E678="","",IFERROR(VLOOKUP($C678,'_CONFIG_Risk_Calibration'!$A$5:$H$21,3,FALSE),0))</f>
        <v/>
      </c>
      <c r="BL678">
        <f>IF($E678="","",IFERROR(VLOOKUP($C678,'_CONFIG_Risk_Calibration'!$A$5:$H$21,4,FALSE),3))</f>
        <v/>
      </c>
      <c r="BM678">
        <f>IF($E678="","",IFERROR(VLOOKUP($C678,'_CONFIG_Risk_Calibration'!$A$5:$H$21,5,FALSE),3))</f>
        <v/>
      </c>
      <c r="BN678">
        <f>IF($E678="","",IFERROR(VLOOKUP($C678,'_CONFIG_Risk_Calibration'!$A$5:$H$21,6,FALSE),"No"))</f>
        <v/>
      </c>
      <c r="BO678">
        <f>IF($E678="","",IFERROR(VLOOKUP($C678,'_CONFIG_Risk_Calibration'!$A$5:$H$21,7,FALSE),1))</f>
        <v/>
      </c>
      <c r="BP678">
        <f>IF($H678="","",MAX(1,MIN(5,((6-$H678)*0.45)+($BJ678*0.20)+('Resilience &amp; Risk Scenario'!$B$7*0.15)+($BK678*0.10)+($BL678*0.05)+(IF($BB678="Fast",5,IF($BB678="Slow",1,3))*0.05))))</f>
        <v/>
      </c>
      <c r="BQ678">
        <f>IF($H678="","",MAX(IF($BN678="Yes",$BO678,1),MIN(5,($U678*0.20)+($V678*0.15)+($W678*0.25)+($X678*0.15)+($BJ678*0.10)+($BM678*0.15))))</f>
        <v/>
      </c>
      <c r="BR678">
        <f>IF(OR($BP678="",$BQ678=""),"",ROUND($BP678*$BQ678,2))</f>
        <v/>
      </c>
      <c r="BS678">
        <f>IF($BR678="","",ROUND($BR678*IF($AO678="",1,$AO678)*IF($AX678="",1,$AX678)*(1+(($BM678-3)*0.10))*IF($BC678="",1,$BC678),2))</f>
        <v/>
      </c>
    </row>
    <row r="679" ht="69.90000000000001" customHeight="1" s="209">
      <c r="A679">
        <f>IF($BD679="","",SUMPRODUCT(ISNUMBER($BD$500:$BD$923)*($BD$500:$BD$923&gt;$BD679))+COUNTIF($BD$500:$BD679,$BD679))</f>
        <v/>
      </c>
      <c r="B679">
        <f>IF($H679="","",IF($H679&lt;5,"Yes","Maintain"))</f>
        <v/>
      </c>
      <c r="C679" t="inlineStr">
        <is>
          <t>Delivery Ops</t>
        </is>
      </c>
      <c r="D679" t="inlineStr">
        <is>
          <t>Capacity and continuity</t>
        </is>
      </c>
      <c r="E679" t="inlineStr">
        <is>
          <t>DELI-009</t>
        </is>
      </c>
      <c r="F679" t="inlineStr">
        <is>
          <t>Delivery, service continuity and operational execution</t>
        </is>
      </c>
      <c r="G679">
        <f>IF($H679="","",IFERROR(INDEX('_ENGINE_Risk'!$H$41:$M$920,MATCH($E679,'_ENGINE_Risk'!$A$41:$A$920,0),$H679+1),""))</f>
        <v/>
      </c>
      <c r="H679">
        <f>IFERROR(VALUE(INDEX(_DATA_Assessment_Model!$H$5:$H$884,MATCH($E679,_DATA_Assessment_Model!$A$5:$A$884,0))),"")</f>
        <v/>
      </c>
      <c r="I679">
        <f>IF($H679="","",IFERROR(INDEX(_DATA_Assessment_Model!$L$5:$L$884,MATCH($E679,_DATA_Assessment_Model!$A$5:$A$884,0)),IF($H679&lt;=1,"Critical",IF($H679=2,"High",IF($H679=3,"Medium",IF($H679=4,"Low","Resilient"))))))</f>
        <v/>
      </c>
      <c r="J679">
        <f>IF($H679="","",MIN(5,MAX(1,6-$H679)))</f>
        <v/>
      </c>
      <c r="K679">
        <f>IF($H679="","",MAX(1,MIN(5,ROUNDUP(($U679*0.45)+($W679*0.35)+($X679*0.2),0))))</f>
        <v/>
      </c>
      <c r="L679">
        <f>IF($H679="","",$J679*$K679)</f>
        <v/>
      </c>
      <c r="M679">
        <f>IF($H679="","",MAX(1,MIN(5,ROUNDUP($L679/5,0))))</f>
        <v/>
      </c>
      <c r="N679">
        <f>IF($H679="","",IFERROR(INDEX('_ENGINE_Risk'!$T$41:$Y$920,MATCH($E679,'_ENGINE_Risk'!$A$41:$A$920,0),$H679+1),""))</f>
        <v/>
      </c>
      <c r="O679">
        <f>IF($H679="","",MAX(1,MIN(5,($U679+$V679+$X679)/3)))</f>
        <v/>
      </c>
      <c r="P679">
        <f>IF($H679="","",IF($I679="Critical",5,IF($I679="High",4,IF($I679="Medium",3,IF($I679="Low",2,1)))))</f>
        <v/>
      </c>
      <c r="Q679">
        <f>IF($H679="","",MAX(1,MIN(5,((5-$H679)*0.65)+($W679*0.35))))</f>
        <v/>
      </c>
      <c r="R679">
        <f>IF($H679="","",MAX(1,MIN(5,($V679+$X679)/2)))</f>
        <v/>
      </c>
      <c r="S679">
        <f>IF(OR($H679="",$N679=""),"",ROUND(($O679+$P679+$Q679+$R679)/$N679,2))</f>
        <v/>
      </c>
      <c r="T679">
        <f>IF($H679="","",IFERROR(INDEX('_ENGINE_Risk'!$N$41:$S$920,MATCH($E679,'_ENGINE_Risk'!$A$41:$A$920,0),$H679+1),""))</f>
        <v/>
      </c>
      <c r="U679">
        <f>IFERROR(INDEX(_DATA_Assessment_Model!$G$5:$G$884,MATCH($E679,_DATA_Assessment_Model!$A$5:$A$884,0)),"")</f>
        <v/>
      </c>
      <c r="V679">
        <f>IFERROR(INDEX(_DATA_Assessment_Model!$W$5:$W$884,MATCH($E679,_DATA_Assessment_Model!$A$5:$A$884,0)),"")</f>
        <v/>
      </c>
      <c r="W679">
        <f>IFERROR(INDEX(_DATA_Assessment_Model!$X$5:$X$884,MATCH($E679,_DATA_Assessment_Model!$A$5:$A$884,0)),"")</f>
        <v/>
      </c>
      <c r="X679">
        <f>IFERROR(INDEX(_DATA_Assessment_Model!$Y$5:$Y$884,MATCH($E679,_DATA_Assessment_Model!$A$5:$A$884,0)),"")</f>
        <v/>
      </c>
      <c r="Y679" t="inlineStr">
        <is>
          <t>Delivery disruption; Customer impact; Workforce disruption</t>
        </is>
      </c>
      <c r="Z679" t="inlineStr">
        <is>
          <t>COO / Delivery</t>
        </is>
      </c>
      <c r="AA679" t="inlineStr">
        <is>
          <t>Policy/SOP; owner/RACI; system report; dashboard; contracts; test records; incident history; interview evidence related to minimum viable operating model for severe constraints.</t>
        </is>
      </c>
      <c r="AB679">
        <f>IFERROR(INDEX(_DATA_Assessment_Model!$U$5:$U$884,MATCH($E679,_DATA_Assessment_Model!$A$5:$A$884,0)),"")</f>
        <v/>
      </c>
      <c r="AF679" t="inlineStr">
        <is>
          <t>How mature is the organization in managing minimum viable operating model for severe constraints, including ownership, evidence, metrics, fallback procedures and crisis stress testing?</t>
        </is>
      </c>
      <c r="AO679">
        <f>IF($B679="Yes",IFERROR(INDEX(_ENGINE_Crisis!$F$501:$F$517,MATCH($C679,_ENGINE_Crisis!$A$501:$A$517,0)),1),"")</f>
        <v/>
      </c>
      <c r="AP679">
        <f>IF(AO679="","",ROUND($L679*AO679,1))</f>
        <v/>
      </c>
      <c r="AQ679">
        <f>IF(OR(AO679="",$S679=""),"",ROUND($S679*(0.7+0.3*AO679),2))</f>
        <v/>
      </c>
      <c r="AR679">
        <f>IFERROR(INDEX(_ENGINE_Crisis!$E$41:$E$700,MATCH('Resilience &amp; Risk Scenario'!$B$60&amp;"|"&amp;$C679,_ENGINE_Crisis!$I$41:$I$700,0)),"")</f>
        <v/>
      </c>
      <c r="AS679">
        <f>IFERROR(INDEX(_ENGINE_Crisis!$G$41:$G$700,MATCH('Resilience &amp; Risk Scenario'!$B$60&amp;"|"&amp;$C679,_ENGINE_Crisis!$I$41:$I$700,0)),"")</f>
        <v/>
      </c>
      <c r="AT679">
        <f>IFERROR(INDEX(_ENGINE_Initiatives!$A$5:$A$532,MATCH(1,INDEX((_ENGINE_Initiatives!$B$5:$B$532=$C679)*(_ENGINE_Initiatives!$C$5:$C$532=$D679),0),0)),"")</f>
        <v/>
      </c>
      <c r="AU679">
        <f>IFERROR(INDEX(_ENGINE_Initiatives!$F$5:$F$532,MATCH(1,INDEX((_ENGINE_Initiatives!$B$5:$B$532=$C679)*(_ENGINE_Initiatives!$C$5:$C$532=$D679),0),0)),"")</f>
        <v/>
      </c>
      <c r="AV679">
        <f>IFERROR(INDEX(_ENGINE_Initiatives!$AC$5:$AC$532,MATCH(1,INDEX((_ENGINE_Initiatives!$B$5:$B$532=$C679)*(_ENGINE_Initiatives!$C$5:$C$532=$D679),0),0)),"")</f>
        <v/>
      </c>
      <c r="AW679">
        <f>IFERROR(INDEX(_ENGINE_Initiatives!$AE$5:$AE$532,MATCH(1,INDEX((_ENGINE_Initiatives!$B$5:$B$532=$C679)*(_ENGINE_Initiatives!$C$5:$C$532=$D679),0),0)),"")</f>
        <v/>
      </c>
      <c r="AX679">
        <f>IF($B679="Yes",IFERROR(IF(SUMIFS(_REF_Model_Content!$E$1:$E$613,_REF_Model_Content!$A$1:$A$613,'Company Profile'!$B$9,_REF_Model_Content!$B$1:$B$613,$C679)=0,1,SUMIFS(_REF_Model_Content!$E$1:$E$613,_REF_Model_Content!$A$1:$A$613,'Company Profile'!$B$9,_REF_Model_Content!$B$1:$B$613,$C679)),1),"")</f>
        <v/>
      </c>
      <c r="AY679">
        <f>IF($L679="","",ROUND(IF($AP679="",$L679,$AP679)*IF($AX679="",1,$AX679),2))</f>
        <v/>
      </c>
      <c r="AZ679">
        <f>IF($S679="","",ROUND(IF($AQ679="",$S679,$AQ679)*IF($AX679="",1,$AX679),2))</f>
        <v/>
      </c>
      <c r="BB679">
        <f>IF($H679="","",IFERROR(INDEX('_ENGINE_Risk'!$AE$41:$AE$920,MATCH($E679,'_ENGINE_Risk'!$A$41:$A$920,0)),"Medium"))</f>
        <v/>
      </c>
      <c r="BC679">
        <f>IF($BB679="","",IF($BB679="Fast",1.25,IF($BB679="Slow",0.85,1)))</f>
        <v/>
      </c>
      <c r="BD679">
        <f>IF(OR($AZ679="",$BC679=""),"",ROUND($AZ679*$BC679,2))</f>
        <v/>
      </c>
      <c r="BF679">
        <f>IF(OR($H679="",$J679=""),"",_xlfn.IFNA(VLOOKUP($J679,_CONFIG_Model_Settings!$D$610:$E$614,2,0),""))</f>
        <v/>
      </c>
      <c r="BG679">
        <f>IF(OR($H679="",$K679=""),"",ROUND('Company Profile'!$B$569*INDEX(_CONFIG_Model_Settings!$H$610:$H$614,MATCH($K679,_CONFIG_Model_Settings!$G$610:$G$614,0)),0))</f>
        <v/>
      </c>
      <c r="BH679">
        <f>IF(OR($BF679="",$BG679=""),"",ROUND($BF679*$BG679,1))</f>
        <v/>
      </c>
      <c r="BI679">
        <f>IF($BH679="","",IF($AO679="",$BH679,ROUND($BH679*$AO679,1)))</f>
        <v/>
      </c>
      <c r="BJ679">
        <f>IF($E679="","",IFERROR(VLOOKUP($C679,'_CONFIG_Risk_Calibration'!$A$5:$H$21,2,FALSE),3))</f>
        <v/>
      </c>
      <c r="BK679">
        <f>IF($E679="","",IFERROR(VLOOKUP($C679,'_CONFIG_Risk_Calibration'!$A$5:$H$21,3,FALSE),0))</f>
        <v/>
      </c>
      <c r="BL679">
        <f>IF($E679="","",IFERROR(VLOOKUP($C679,'_CONFIG_Risk_Calibration'!$A$5:$H$21,4,FALSE),3))</f>
        <v/>
      </c>
      <c r="BM679">
        <f>IF($E679="","",IFERROR(VLOOKUP($C679,'_CONFIG_Risk_Calibration'!$A$5:$H$21,5,FALSE),3))</f>
        <v/>
      </c>
      <c r="BN679">
        <f>IF($E679="","",IFERROR(VLOOKUP($C679,'_CONFIG_Risk_Calibration'!$A$5:$H$21,6,FALSE),"No"))</f>
        <v/>
      </c>
      <c r="BO679">
        <f>IF($E679="","",IFERROR(VLOOKUP($C679,'_CONFIG_Risk_Calibration'!$A$5:$H$21,7,FALSE),1))</f>
        <v/>
      </c>
      <c r="BP679">
        <f>IF($H679="","",MAX(1,MIN(5,((6-$H679)*0.45)+($BJ679*0.20)+('Resilience &amp; Risk Scenario'!$B$7*0.15)+($BK679*0.10)+($BL679*0.05)+(IF($BB679="Fast",5,IF($BB679="Slow",1,3))*0.05))))</f>
        <v/>
      </c>
      <c r="BQ679">
        <f>IF($H679="","",MAX(IF($BN679="Yes",$BO679,1),MIN(5,($U679*0.20)+($V679*0.15)+($W679*0.25)+($X679*0.15)+($BJ679*0.10)+($BM679*0.15))))</f>
        <v/>
      </c>
      <c r="BR679">
        <f>IF(OR($BP679="",$BQ679=""),"",ROUND($BP679*$BQ679,2))</f>
        <v/>
      </c>
      <c r="BS679">
        <f>IF($BR679="","",ROUND($BR679*IF($AO679="",1,$AO679)*IF($AX679="",1,$AX679)*(1+(($BM679-3)*0.10))*IF($BC679="",1,$BC679),2))</f>
        <v/>
      </c>
    </row>
    <row r="680" ht="69.90000000000001" customHeight="1" s="209">
      <c r="A680">
        <f>IF($BD680="","",SUMPRODUCT(ISNUMBER($BD$500:$BD$923)*($BD$500:$BD$923&gt;$BD680))+COUNTIF($BD$500:$BD680,$BD680))</f>
        <v/>
      </c>
      <c r="B680">
        <f>IF($H680="","",IF($H680&lt;5,"Yes","Maintain"))</f>
        <v/>
      </c>
      <c r="C680" t="inlineStr">
        <is>
          <t>Delivery Ops</t>
        </is>
      </c>
      <c r="D680" t="inlineStr">
        <is>
          <t>Capacity and continuity</t>
        </is>
      </c>
      <c r="E680" t="inlineStr">
        <is>
          <t>DELI-010</t>
        </is>
      </c>
      <c r="F680" t="inlineStr">
        <is>
          <t>Delivery, service continuity and operational execution</t>
        </is>
      </c>
      <c r="G680">
        <f>IF($H680="","",IFERROR(INDEX('_ENGINE_Risk'!$H$41:$M$920,MATCH($E680,'_ENGINE_Risk'!$A$41:$A$920,0),$H680+1),""))</f>
        <v/>
      </c>
      <c r="H680">
        <f>IFERROR(VALUE(INDEX(_DATA_Assessment_Model!$H$5:$H$884,MATCH($E680,_DATA_Assessment_Model!$A$5:$A$884,0))),"")</f>
        <v/>
      </c>
      <c r="I680">
        <f>IF($H680="","",IFERROR(INDEX(_DATA_Assessment_Model!$L$5:$L$884,MATCH($E680,_DATA_Assessment_Model!$A$5:$A$884,0)),IF($H680&lt;=1,"Critical",IF($H680=2,"High",IF($H680=3,"Medium",IF($H680=4,"Low","Resilient"))))))</f>
        <v/>
      </c>
      <c r="J680">
        <f>IF($H680="","",MIN(5,MAX(1,6-$H680)))</f>
        <v/>
      </c>
      <c r="K680">
        <f>IF($H680="","",MAX(1,MIN(5,ROUNDUP(($U680*0.45)+($W680*0.35)+($X680*0.2),0))))</f>
        <v/>
      </c>
      <c r="L680">
        <f>IF($H680="","",$J680*$K680)</f>
        <v/>
      </c>
      <c r="M680">
        <f>IF($H680="","",MAX(1,MIN(5,ROUNDUP($L680/5,0))))</f>
        <v/>
      </c>
      <c r="N680">
        <f>IF($H680="","",IFERROR(INDEX('_ENGINE_Risk'!$T$41:$Y$920,MATCH($E680,'_ENGINE_Risk'!$A$41:$A$920,0),$H680+1),""))</f>
        <v/>
      </c>
      <c r="O680">
        <f>IF($H680="","",MAX(1,MIN(5,($U680+$V680+$X680)/3)))</f>
        <v/>
      </c>
      <c r="P680">
        <f>IF($H680="","",IF($I680="Critical",5,IF($I680="High",4,IF($I680="Medium",3,IF($I680="Low",2,1)))))</f>
        <v/>
      </c>
      <c r="Q680">
        <f>IF($H680="","",MAX(1,MIN(5,((5-$H680)*0.65)+($W680*0.35))))</f>
        <v/>
      </c>
      <c r="R680">
        <f>IF($H680="","",MAX(1,MIN(5,($V680+$X680)/2)))</f>
        <v/>
      </c>
      <c r="S680">
        <f>IF(OR($H680="",$N680=""),"",ROUND(($O680+$P680+$Q680+$R680)/$N680,2))</f>
        <v/>
      </c>
      <c r="T680">
        <f>IF($H680="","",IFERROR(INDEX('_ENGINE_Risk'!$N$41:$S$920,MATCH($E680,'_ENGINE_Risk'!$A$41:$A$920,0),$H680+1),""))</f>
        <v/>
      </c>
      <c r="U680">
        <f>IFERROR(INDEX(_DATA_Assessment_Model!$G$5:$G$884,MATCH($E680,_DATA_Assessment_Model!$A$5:$A$884,0)),"")</f>
        <v/>
      </c>
      <c r="V680">
        <f>IFERROR(INDEX(_DATA_Assessment_Model!$W$5:$W$884,MATCH($E680,_DATA_Assessment_Model!$A$5:$A$884,0)),"")</f>
        <v/>
      </c>
      <c r="W680">
        <f>IFERROR(INDEX(_DATA_Assessment_Model!$X$5:$X$884,MATCH($E680,_DATA_Assessment_Model!$A$5:$A$884,0)),"")</f>
        <v/>
      </c>
      <c r="X680">
        <f>IFERROR(INDEX(_DATA_Assessment_Model!$Y$5:$Y$884,MATCH($E680,_DATA_Assessment_Model!$A$5:$A$884,0)),"")</f>
        <v/>
      </c>
      <c r="Y680" t="inlineStr">
        <is>
          <t>Delivery disruption; Customer impact; Workforce disruption</t>
        </is>
      </c>
      <c r="Z680" t="inlineStr">
        <is>
          <t>COO / Delivery</t>
        </is>
      </c>
      <c r="AA680" t="inlineStr">
        <is>
          <t>Policy/SOP; owner/RACI; system report; dashboard; contracts; test records; incident history; interview evidence related to cross-site or cross-team work transfer if one location or team fails.</t>
        </is>
      </c>
      <c r="AB680">
        <f>IFERROR(INDEX(_DATA_Assessment_Model!$U$5:$U$884,MATCH($E680,_DATA_Assessment_Model!$A$5:$A$884,0)),"")</f>
        <v/>
      </c>
      <c r="AF680" t="inlineStr">
        <is>
          <t>How mature is the organization in managing cross-site or cross-team work transfer if one location or team fails, including ownership, evidence, metrics, fallback procedures and crisis stress testing?</t>
        </is>
      </c>
      <c r="AO680">
        <f>IF($B680="Yes",IFERROR(INDEX(_ENGINE_Crisis!$F$501:$F$517,MATCH($C680,_ENGINE_Crisis!$A$501:$A$517,0)),1),"")</f>
        <v/>
      </c>
      <c r="AP680">
        <f>IF(AO680="","",ROUND($L680*AO680,1))</f>
        <v/>
      </c>
      <c r="AQ680">
        <f>IF(OR(AO680="",$S680=""),"",ROUND($S680*(0.7+0.3*AO680),2))</f>
        <v/>
      </c>
      <c r="AR680">
        <f>IFERROR(INDEX(_ENGINE_Crisis!$E$41:$E$700,MATCH('Resilience &amp; Risk Scenario'!$B$60&amp;"|"&amp;$C680,_ENGINE_Crisis!$I$41:$I$700,0)),"")</f>
        <v/>
      </c>
      <c r="AS680">
        <f>IFERROR(INDEX(_ENGINE_Crisis!$G$41:$G$700,MATCH('Resilience &amp; Risk Scenario'!$B$60&amp;"|"&amp;$C680,_ENGINE_Crisis!$I$41:$I$700,0)),"")</f>
        <v/>
      </c>
      <c r="AT680">
        <f>IFERROR(INDEX(_ENGINE_Initiatives!$A$5:$A$532,MATCH(1,INDEX((_ENGINE_Initiatives!$B$5:$B$532=$C680)*(_ENGINE_Initiatives!$C$5:$C$532=$D680),0),0)),"")</f>
        <v/>
      </c>
      <c r="AU680">
        <f>IFERROR(INDEX(_ENGINE_Initiatives!$F$5:$F$532,MATCH(1,INDEX((_ENGINE_Initiatives!$B$5:$B$532=$C680)*(_ENGINE_Initiatives!$C$5:$C$532=$D680),0),0)),"")</f>
        <v/>
      </c>
      <c r="AV680">
        <f>IFERROR(INDEX(_ENGINE_Initiatives!$AC$5:$AC$532,MATCH(1,INDEX((_ENGINE_Initiatives!$B$5:$B$532=$C680)*(_ENGINE_Initiatives!$C$5:$C$532=$D680),0),0)),"")</f>
        <v/>
      </c>
      <c r="AW680">
        <f>IFERROR(INDEX(_ENGINE_Initiatives!$AE$5:$AE$532,MATCH(1,INDEX((_ENGINE_Initiatives!$B$5:$B$532=$C680)*(_ENGINE_Initiatives!$C$5:$C$532=$D680),0),0)),"")</f>
        <v/>
      </c>
      <c r="AX680">
        <f>IF($B680="Yes",IFERROR(IF(SUMIFS(_REF_Model_Content!$E$1:$E$613,_REF_Model_Content!$A$1:$A$613,'Company Profile'!$B$9,_REF_Model_Content!$B$1:$B$613,$C680)=0,1,SUMIFS(_REF_Model_Content!$E$1:$E$613,_REF_Model_Content!$A$1:$A$613,'Company Profile'!$B$9,_REF_Model_Content!$B$1:$B$613,$C680)),1),"")</f>
        <v/>
      </c>
      <c r="AY680">
        <f>IF($L680="","",ROUND(IF($AP680="",$L680,$AP680)*IF($AX680="",1,$AX680),2))</f>
        <v/>
      </c>
      <c r="AZ680">
        <f>IF($S680="","",ROUND(IF($AQ680="",$S680,$AQ680)*IF($AX680="",1,$AX680),2))</f>
        <v/>
      </c>
      <c r="BB680">
        <f>IF($H680="","",IFERROR(INDEX('_ENGINE_Risk'!$AE$41:$AE$920,MATCH($E680,'_ENGINE_Risk'!$A$41:$A$920,0)),"Medium"))</f>
        <v/>
      </c>
      <c r="BC680">
        <f>IF($BB680="","",IF($BB680="Fast",1.25,IF($BB680="Slow",0.85,1)))</f>
        <v/>
      </c>
      <c r="BD680">
        <f>IF(OR($AZ680="",$BC680=""),"",ROUND($AZ680*$BC680,2))</f>
        <v/>
      </c>
      <c r="BF680">
        <f>IF(OR($H680="",$J680=""),"",_xlfn.IFNA(VLOOKUP($J680,_CONFIG_Model_Settings!$D$610:$E$614,2,0),""))</f>
        <v/>
      </c>
      <c r="BG680">
        <f>IF(OR($H680="",$K680=""),"",ROUND('Company Profile'!$B$569*INDEX(_CONFIG_Model_Settings!$H$610:$H$614,MATCH($K680,_CONFIG_Model_Settings!$G$610:$G$614,0)),0))</f>
        <v/>
      </c>
      <c r="BH680">
        <f>IF(OR($BF680="",$BG680=""),"",ROUND($BF680*$BG680,1))</f>
        <v/>
      </c>
      <c r="BI680">
        <f>IF($BH680="","",IF($AO680="",$BH680,ROUND($BH680*$AO680,1)))</f>
        <v/>
      </c>
      <c r="BJ680">
        <f>IF($E680="","",IFERROR(VLOOKUP($C680,'_CONFIG_Risk_Calibration'!$A$5:$H$21,2,FALSE),3))</f>
        <v/>
      </c>
      <c r="BK680">
        <f>IF($E680="","",IFERROR(VLOOKUP($C680,'_CONFIG_Risk_Calibration'!$A$5:$H$21,3,FALSE),0))</f>
        <v/>
      </c>
      <c r="BL680">
        <f>IF($E680="","",IFERROR(VLOOKUP($C680,'_CONFIG_Risk_Calibration'!$A$5:$H$21,4,FALSE),3))</f>
        <v/>
      </c>
      <c r="BM680">
        <f>IF($E680="","",IFERROR(VLOOKUP($C680,'_CONFIG_Risk_Calibration'!$A$5:$H$21,5,FALSE),3))</f>
        <v/>
      </c>
      <c r="BN680">
        <f>IF($E680="","",IFERROR(VLOOKUP($C680,'_CONFIG_Risk_Calibration'!$A$5:$H$21,6,FALSE),"No"))</f>
        <v/>
      </c>
      <c r="BO680">
        <f>IF($E680="","",IFERROR(VLOOKUP($C680,'_CONFIG_Risk_Calibration'!$A$5:$H$21,7,FALSE),1))</f>
        <v/>
      </c>
      <c r="BP680">
        <f>IF($H680="","",MAX(1,MIN(5,((6-$H680)*0.45)+($BJ680*0.20)+('Resilience &amp; Risk Scenario'!$B$7*0.15)+($BK680*0.10)+($BL680*0.05)+(IF($BB680="Fast",5,IF($BB680="Slow",1,3))*0.05))))</f>
        <v/>
      </c>
      <c r="BQ680">
        <f>IF($H680="","",MAX(IF($BN680="Yes",$BO680,1),MIN(5,($U680*0.20)+($V680*0.15)+($W680*0.25)+($X680*0.15)+($BJ680*0.10)+($BM680*0.15))))</f>
        <v/>
      </c>
      <c r="BR680">
        <f>IF(OR($BP680="",$BQ680=""),"",ROUND($BP680*$BQ680,2))</f>
        <v/>
      </c>
      <c r="BS680">
        <f>IF($BR680="","",ROUND($BR680*IF($AO680="",1,$AO680)*IF($AX680="",1,$AX680)*(1+(($BM680-3)*0.10))*IF($BC680="",1,$BC680),2))</f>
        <v/>
      </c>
    </row>
    <row r="681" ht="69.90000000000001" customHeight="1" s="209">
      <c r="A681">
        <f>IF($BD681="","",SUMPRODUCT(ISNUMBER($BD$500:$BD$923)*($BD$500:$BD$923&gt;$BD681))+COUNTIF($BD$500:$BD681,$BD681))</f>
        <v/>
      </c>
      <c r="B681">
        <f>IF($H681="","",IF($H681&lt;5,"Yes","Maintain"))</f>
        <v/>
      </c>
      <c r="C681" t="inlineStr">
        <is>
          <t>Delivery Ops</t>
        </is>
      </c>
      <c r="D681" t="inlineStr">
        <is>
          <t>Capacity and continuity</t>
        </is>
      </c>
      <c r="E681" t="inlineStr">
        <is>
          <t>DELI-011</t>
        </is>
      </c>
      <c r="F681" t="inlineStr">
        <is>
          <t>Delivery, service continuity and operational execution</t>
        </is>
      </c>
      <c r="G681">
        <f>IF($H681="","",IFERROR(INDEX('_ENGINE_Risk'!$H$41:$M$920,MATCH($E681,'_ENGINE_Risk'!$A$41:$A$920,0),$H681+1),""))</f>
        <v/>
      </c>
      <c r="H681">
        <f>IFERROR(VALUE(INDEX(_DATA_Assessment_Model!$H$5:$H$884,MATCH($E681,_DATA_Assessment_Model!$A$5:$A$884,0))),"")</f>
        <v/>
      </c>
      <c r="I681">
        <f>IF($H681="","",IFERROR(INDEX(_DATA_Assessment_Model!$L$5:$L$884,MATCH($E681,_DATA_Assessment_Model!$A$5:$A$884,0)),IF($H681&lt;=1,"Critical",IF($H681=2,"High",IF($H681=3,"Medium",IF($H681=4,"Low","Resilient"))))))</f>
        <v/>
      </c>
      <c r="J681">
        <f>IF($H681="","",MIN(5,MAX(1,6-$H681)))</f>
        <v/>
      </c>
      <c r="K681">
        <f>IF($H681="","",MAX(1,MIN(5,ROUNDUP(($U681*0.45)+($W681*0.35)+($X681*0.2),0))))</f>
        <v/>
      </c>
      <c r="L681">
        <f>IF($H681="","",$J681*$K681)</f>
        <v/>
      </c>
      <c r="M681">
        <f>IF($H681="","",MAX(1,MIN(5,ROUNDUP($L681/5,0))))</f>
        <v/>
      </c>
      <c r="N681">
        <f>IF($H681="","",IFERROR(INDEX('_ENGINE_Risk'!$T$41:$Y$920,MATCH($E681,'_ENGINE_Risk'!$A$41:$A$920,0),$H681+1),""))</f>
        <v/>
      </c>
      <c r="O681">
        <f>IF($H681="","",MAX(1,MIN(5,($U681+$V681+$X681)/3)))</f>
        <v/>
      </c>
      <c r="P681">
        <f>IF($H681="","",IF($I681="Critical",5,IF($I681="High",4,IF($I681="Medium",3,IF($I681="Low",2,1)))))</f>
        <v/>
      </c>
      <c r="Q681">
        <f>IF($H681="","",MAX(1,MIN(5,((5-$H681)*0.65)+($W681*0.35))))</f>
        <v/>
      </c>
      <c r="R681">
        <f>IF($H681="","",MAX(1,MIN(5,($V681+$X681)/2)))</f>
        <v/>
      </c>
      <c r="S681">
        <f>IF(OR($H681="",$N681=""),"",ROUND(($O681+$P681+$Q681+$R681)/$N681,2))</f>
        <v/>
      </c>
      <c r="T681">
        <f>IF($H681="","",IFERROR(INDEX('_ENGINE_Risk'!$N$41:$S$920,MATCH($E681,'_ENGINE_Risk'!$A$41:$A$920,0),$H681+1),""))</f>
        <v/>
      </c>
      <c r="U681">
        <f>IFERROR(INDEX(_DATA_Assessment_Model!$G$5:$G$884,MATCH($E681,_DATA_Assessment_Model!$A$5:$A$884,0)),"")</f>
        <v/>
      </c>
      <c r="V681">
        <f>IFERROR(INDEX(_DATA_Assessment_Model!$W$5:$W$884,MATCH($E681,_DATA_Assessment_Model!$A$5:$A$884,0)),"")</f>
        <v/>
      </c>
      <c r="W681">
        <f>IFERROR(INDEX(_DATA_Assessment_Model!$X$5:$X$884,MATCH($E681,_DATA_Assessment_Model!$A$5:$A$884,0)),"")</f>
        <v/>
      </c>
      <c r="X681">
        <f>IFERROR(INDEX(_DATA_Assessment_Model!$Y$5:$Y$884,MATCH($E681,_DATA_Assessment_Model!$A$5:$A$884,0)),"")</f>
        <v/>
      </c>
      <c r="Y681" t="inlineStr">
        <is>
          <t>Delivery disruption; Customer impact; Workforce disruption</t>
        </is>
      </c>
      <c r="Z681" t="inlineStr">
        <is>
          <t>COO / Delivery</t>
        </is>
      </c>
      <c r="AA681" t="inlineStr">
        <is>
          <t>Policy/SOP; owner/RACI; system report; dashboard; contracts; test records; incident history; interview evidence related to recovery sequencing for processes, systems, teams, sites and customers.</t>
        </is>
      </c>
      <c r="AB681">
        <f>IFERROR(INDEX(_DATA_Assessment_Model!$U$5:$U$884,MATCH($E681,_DATA_Assessment_Model!$A$5:$A$884,0)),"")</f>
        <v/>
      </c>
      <c r="AF681" t="inlineStr">
        <is>
          <t>How mature is the organization in managing recovery sequencing for processes, systems, teams, sites and customers, including ownership, evidence, metrics, fallback procedures and crisis stress testing?</t>
        </is>
      </c>
      <c r="AO681">
        <f>IF($B681="Yes",IFERROR(INDEX(_ENGINE_Crisis!$F$501:$F$517,MATCH($C681,_ENGINE_Crisis!$A$501:$A$517,0)),1),"")</f>
        <v/>
      </c>
      <c r="AP681">
        <f>IF(AO681="","",ROUND($L681*AO681,1))</f>
        <v/>
      </c>
      <c r="AQ681">
        <f>IF(OR(AO681="",$S681=""),"",ROUND($S681*(0.7+0.3*AO681),2))</f>
        <v/>
      </c>
      <c r="AR681">
        <f>IFERROR(INDEX(_ENGINE_Crisis!$E$41:$E$700,MATCH('Resilience &amp; Risk Scenario'!$B$60&amp;"|"&amp;$C681,_ENGINE_Crisis!$I$41:$I$700,0)),"")</f>
        <v/>
      </c>
      <c r="AS681">
        <f>IFERROR(INDEX(_ENGINE_Crisis!$G$41:$G$700,MATCH('Resilience &amp; Risk Scenario'!$B$60&amp;"|"&amp;$C681,_ENGINE_Crisis!$I$41:$I$700,0)),"")</f>
        <v/>
      </c>
      <c r="AT681">
        <f>IFERROR(INDEX(_ENGINE_Initiatives!$A$5:$A$532,MATCH(1,INDEX((_ENGINE_Initiatives!$B$5:$B$532=$C681)*(_ENGINE_Initiatives!$C$5:$C$532=$D681),0),0)),"")</f>
        <v/>
      </c>
      <c r="AU681">
        <f>IFERROR(INDEX(_ENGINE_Initiatives!$F$5:$F$532,MATCH(1,INDEX((_ENGINE_Initiatives!$B$5:$B$532=$C681)*(_ENGINE_Initiatives!$C$5:$C$532=$D681),0),0)),"")</f>
        <v/>
      </c>
      <c r="AV681">
        <f>IFERROR(INDEX(_ENGINE_Initiatives!$AC$5:$AC$532,MATCH(1,INDEX((_ENGINE_Initiatives!$B$5:$B$532=$C681)*(_ENGINE_Initiatives!$C$5:$C$532=$D681),0),0)),"")</f>
        <v/>
      </c>
      <c r="AW681">
        <f>IFERROR(INDEX(_ENGINE_Initiatives!$AE$5:$AE$532,MATCH(1,INDEX((_ENGINE_Initiatives!$B$5:$B$532=$C681)*(_ENGINE_Initiatives!$C$5:$C$532=$D681),0),0)),"")</f>
        <v/>
      </c>
      <c r="AX681">
        <f>IF($B681="Yes",IFERROR(IF(SUMIFS(_REF_Model_Content!$E$1:$E$613,_REF_Model_Content!$A$1:$A$613,'Company Profile'!$B$9,_REF_Model_Content!$B$1:$B$613,$C681)=0,1,SUMIFS(_REF_Model_Content!$E$1:$E$613,_REF_Model_Content!$A$1:$A$613,'Company Profile'!$B$9,_REF_Model_Content!$B$1:$B$613,$C681)),1),"")</f>
        <v/>
      </c>
      <c r="AY681">
        <f>IF($L681="","",ROUND(IF($AP681="",$L681,$AP681)*IF($AX681="",1,$AX681),2))</f>
        <v/>
      </c>
      <c r="AZ681">
        <f>IF($S681="","",ROUND(IF($AQ681="",$S681,$AQ681)*IF($AX681="",1,$AX681),2))</f>
        <v/>
      </c>
      <c r="BB681">
        <f>IF($H681="","",IFERROR(INDEX('_ENGINE_Risk'!$AE$41:$AE$920,MATCH($E681,'_ENGINE_Risk'!$A$41:$A$920,0)),"Medium"))</f>
        <v/>
      </c>
      <c r="BC681">
        <f>IF($BB681="","",IF($BB681="Fast",1.25,IF($BB681="Slow",0.85,1)))</f>
        <v/>
      </c>
      <c r="BD681">
        <f>IF(OR($AZ681="",$BC681=""),"",ROUND($AZ681*$BC681,2))</f>
        <v/>
      </c>
      <c r="BF681">
        <f>IF(OR($H681="",$J681=""),"",_xlfn.IFNA(VLOOKUP($J681,_CONFIG_Model_Settings!$D$610:$E$614,2,0),""))</f>
        <v/>
      </c>
      <c r="BG681">
        <f>IF(OR($H681="",$K681=""),"",ROUND('Company Profile'!$B$569*INDEX(_CONFIG_Model_Settings!$H$610:$H$614,MATCH($K681,_CONFIG_Model_Settings!$G$610:$G$614,0)),0))</f>
        <v/>
      </c>
      <c r="BH681">
        <f>IF(OR($BF681="",$BG681=""),"",ROUND($BF681*$BG681,1))</f>
        <v/>
      </c>
      <c r="BI681">
        <f>IF($BH681="","",IF($AO681="",$BH681,ROUND($BH681*$AO681,1)))</f>
        <v/>
      </c>
      <c r="BJ681">
        <f>IF($E681="","",IFERROR(VLOOKUP($C681,'_CONFIG_Risk_Calibration'!$A$5:$H$21,2,FALSE),3))</f>
        <v/>
      </c>
      <c r="BK681">
        <f>IF($E681="","",IFERROR(VLOOKUP($C681,'_CONFIG_Risk_Calibration'!$A$5:$H$21,3,FALSE),0))</f>
        <v/>
      </c>
      <c r="BL681">
        <f>IF($E681="","",IFERROR(VLOOKUP($C681,'_CONFIG_Risk_Calibration'!$A$5:$H$21,4,FALSE),3))</f>
        <v/>
      </c>
      <c r="BM681">
        <f>IF($E681="","",IFERROR(VLOOKUP($C681,'_CONFIG_Risk_Calibration'!$A$5:$H$21,5,FALSE),3))</f>
        <v/>
      </c>
      <c r="BN681">
        <f>IF($E681="","",IFERROR(VLOOKUP($C681,'_CONFIG_Risk_Calibration'!$A$5:$H$21,6,FALSE),"No"))</f>
        <v/>
      </c>
      <c r="BO681">
        <f>IF($E681="","",IFERROR(VLOOKUP($C681,'_CONFIG_Risk_Calibration'!$A$5:$H$21,7,FALSE),1))</f>
        <v/>
      </c>
      <c r="BP681">
        <f>IF($H681="","",MAX(1,MIN(5,((6-$H681)*0.45)+($BJ681*0.20)+('Resilience &amp; Risk Scenario'!$B$7*0.15)+($BK681*0.10)+($BL681*0.05)+(IF($BB681="Fast",5,IF($BB681="Slow",1,3))*0.05))))</f>
        <v/>
      </c>
      <c r="BQ681">
        <f>IF($H681="","",MAX(IF($BN681="Yes",$BO681,1),MIN(5,($U681*0.20)+($V681*0.15)+($W681*0.25)+($X681*0.15)+($BJ681*0.10)+($BM681*0.15))))</f>
        <v/>
      </c>
      <c r="BR681">
        <f>IF(OR($BP681="",$BQ681=""),"",ROUND($BP681*$BQ681,2))</f>
        <v/>
      </c>
      <c r="BS681">
        <f>IF($BR681="","",ROUND($BR681*IF($AO681="",1,$AO681)*IF($AX681="",1,$AX681)*(1+(($BM681-3)*0.10))*IF($BC681="",1,$BC681),2))</f>
        <v/>
      </c>
    </row>
    <row r="682" ht="69.90000000000001" customHeight="1" s="209">
      <c r="A682">
        <f>IF($BD682="","",SUMPRODUCT(ISNUMBER($BD$500:$BD$923)*($BD$500:$BD$923&gt;$BD682))+COUNTIF($BD$500:$BD682,$BD682))</f>
        <v/>
      </c>
      <c r="B682">
        <f>IF($H682="","",IF($H682&lt;5,"Yes","Maintain"))</f>
        <v/>
      </c>
      <c r="C682" t="inlineStr">
        <is>
          <t>Delivery Ops</t>
        </is>
      </c>
      <c r="D682" t="inlineStr">
        <is>
          <t>Capacity and continuity</t>
        </is>
      </c>
      <c r="E682" t="inlineStr">
        <is>
          <t>DELI-012</t>
        </is>
      </c>
      <c r="F682" t="inlineStr">
        <is>
          <t>Delivery, service continuity and operational execution</t>
        </is>
      </c>
      <c r="G682">
        <f>IF($H682="","",IFERROR(INDEX('_ENGINE_Risk'!$H$41:$M$920,MATCH($E682,'_ENGINE_Risk'!$A$41:$A$920,0),$H682+1),""))</f>
        <v/>
      </c>
      <c r="H682">
        <f>IFERROR(VALUE(INDEX(_DATA_Assessment_Model!$H$5:$H$884,MATCH($E682,_DATA_Assessment_Model!$A$5:$A$884,0))),"")</f>
        <v/>
      </c>
      <c r="I682">
        <f>IF($H682="","",IFERROR(INDEX(_DATA_Assessment_Model!$L$5:$L$884,MATCH($E682,_DATA_Assessment_Model!$A$5:$A$884,0)),IF($H682&lt;=1,"Critical",IF($H682=2,"High",IF($H682=3,"Medium",IF($H682=4,"Low","Resilient"))))))</f>
        <v/>
      </c>
      <c r="J682">
        <f>IF($H682="","",MIN(5,MAX(1,6-$H682)))</f>
        <v/>
      </c>
      <c r="K682">
        <f>IF($H682="","",MAX(1,MIN(5,ROUNDUP(($U682*0.45)+($W682*0.35)+($X682*0.2),0))))</f>
        <v/>
      </c>
      <c r="L682">
        <f>IF($H682="","",$J682*$K682)</f>
        <v/>
      </c>
      <c r="M682">
        <f>IF($H682="","",MAX(1,MIN(5,ROUNDUP($L682/5,0))))</f>
        <v/>
      </c>
      <c r="N682">
        <f>IF($H682="","",IFERROR(INDEX('_ENGINE_Risk'!$T$41:$Y$920,MATCH($E682,'_ENGINE_Risk'!$A$41:$A$920,0),$H682+1),""))</f>
        <v/>
      </c>
      <c r="O682">
        <f>IF($H682="","",MAX(1,MIN(5,($U682+$V682+$X682)/3)))</f>
        <v/>
      </c>
      <c r="P682">
        <f>IF($H682="","",IF($I682="Critical",5,IF($I682="High",4,IF($I682="Medium",3,IF($I682="Low",2,1)))))</f>
        <v/>
      </c>
      <c r="Q682">
        <f>IF($H682="","",MAX(1,MIN(5,((5-$H682)*0.65)+($W682*0.35))))</f>
        <v/>
      </c>
      <c r="R682">
        <f>IF($H682="","",MAX(1,MIN(5,($V682+$X682)/2)))</f>
        <v/>
      </c>
      <c r="S682">
        <f>IF(OR($H682="",$N682=""),"",ROUND(($O682+$P682+$Q682+$R682)/$N682,2))</f>
        <v/>
      </c>
      <c r="T682">
        <f>IF($H682="","",IFERROR(INDEX('_ENGINE_Risk'!$N$41:$S$920,MATCH($E682,'_ENGINE_Risk'!$A$41:$A$920,0),$H682+1),""))</f>
        <v/>
      </c>
      <c r="U682">
        <f>IFERROR(INDEX(_DATA_Assessment_Model!$G$5:$G$884,MATCH($E682,_DATA_Assessment_Model!$A$5:$A$884,0)),"")</f>
        <v/>
      </c>
      <c r="V682">
        <f>IFERROR(INDEX(_DATA_Assessment_Model!$W$5:$W$884,MATCH($E682,_DATA_Assessment_Model!$A$5:$A$884,0)),"")</f>
        <v/>
      </c>
      <c r="W682">
        <f>IFERROR(INDEX(_DATA_Assessment_Model!$X$5:$X$884,MATCH($E682,_DATA_Assessment_Model!$A$5:$A$884,0)),"")</f>
        <v/>
      </c>
      <c r="X682">
        <f>IFERROR(INDEX(_DATA_Assessment_Model!$Y$5:$Y$884,MATCH($E682,_DATA_Assessment_Model!$A$5:$A$884,0)),"")</f>
        <v/>
      </c>
      <c r="Y682" t="inlineStr">
        <is>
          <t>Delivery disruption; Customer impact; Workforce disruption</t>
        </is>
      </c>
      <c r="Z682" t="inlineStr">
        <is>
          <t>COO / Delivery</t>
        </is>
      </c>
      <c r="AA682" t="inlineStr">
        <is>
          <t>Policy/SOP; owner/RACI; system report; dashboard; contracts; test records; incident history; interview evidence related to delivery tabletop exercises with absent people, unavailable systems or supplier failure.</t>
        </is>
      </c>
      <c r="AB682">
        <f>IFERROR(INDEX(_DATA_Assessment_Model!$U$5:$U$884,MATCH($E682,_DATA_Assessment_Model!$A$5:$A$884,0)),"")</f>
        <v/>
      </c>
      <c r="AF682" t="inlineStr">
        <is>
          <t>How mature is the organization in managing delivery tabletop exercises with absent people, unavailable systems or supplier failure, including ownership, evidence, metrics, fallback procedures and crisis stress testing?</t>
        </is>
      </c>
      <c r="AO682">
        <f>IF($B682="Yes",IFERROR(INDEX(_ENGINE_Crisis!$F$501:$F$517,MATCH($C682,_ENGINE_Crisis!$A$501:$A$517,0)),1),"")</f>
        <v/>
      </c>
      <c r="AP682">
        <f>IF(AO682="","",ROUND($L682*AO682,1))</f>
        <v/>
      </c>
      <c r="AQ682">
        <f>IF(OR(AO682="",$S682=""),"",ROUND($S682*(0.7+0.3*AO682),2))</f>
        <v/>
      </c>
      <c r="AR682">
        <f>IFERROR(INDEX(_ENGINE_Crisis!$E$41:$E$700,MATCH('Resilience &amp; Risk Scenario'!$B$60&amp;"|"&amp;$C682,_ENGINE_Crisis!$I$41:$I$700,0)),"")</f>
        <v/>
      </c>
      <c r="AS682">
        <f>IFERROR(INDEX(_ENGINE_Crisis!$G$41:$G$700,MATCH('Resilience &amp; Risk Scenario'!$B$60&amp;"|"&amp;$C682,_ENGINE_Crisis!$I$41:$I$700,0)),"")</f>
        <v/>
      </c>
      <c r="AT682">
        <f>IFERROR(INDEX(_ENGINE_Initiatives!$A$5:$A$532,MATCH(1,INDEX((_ENGINE_Initiatives!$B$5:$B$532=$C682)*(_ENGINE_Initiatives!$C$5:$C$532=$D682),0),0)),"")</f>
        <v/>
      </c>
      <c r="AU682">
        <f>IFERROR(INDEX(_ENGINE_Initiatives!$F$5:$F$532,MATCH(1,INDEX((_ENGINE_Initiatives!$B$5:$B$532=$C682)*(_ENGINE_Initiatives!$C$5:$C$532=$D682),0),0)),"")</f>
        <v/>
      </c>
      <c r="AV682">
        <f>IFERROR(INDEX(_ENGINE_Initiatives!$AC$5:$AC$532,MATCH(1,INDEX((_ENGINE_Initiatives!$B$5:$B$532=$C682)*(_ENGINE_Initiatives!$C$5:$C$532=$D682),0),0)),"")</f>
        <v/>
      </c>
      <c r="AW682">
        <f>IFERROR(INDEX(_ENGINE_Initiatives!$AE$5:$AE$532,MATCH(1,INDEX((_ENGINE_Initiatives!$B$5:$B$532=$C682)*(_ENGINE_Initiatives!$C$5:$C$532=$D682),0),0)),"")</f>
        <v/>
      </c>
      <c r="AX682">
        <f>IF($B682="Yes",IFERROR(IF(SUMIFS(_REF_Model_Content!$E$1:$E$613,_REF_Model_Content!$A$1:$A$613,'Company Profile'!$B$9,_REF_Model_Content!$B$1:$B$613,$C682)=0,1,SUMIFS(_REF_Model_Content!$E$1:$E$613,_REF_Model_Content!$A$1:$A$613,'Company Profile'!$B$9,_REF_Model_Content!$B$1:$B$613,$C682)),1),"")</f>
        <v/>
      </c>
      <c r="AY682">
        <f>IF($L682="","",ROUND(IF($AP682="",$L682,$AP682)*IF($AX682="",1,$AX682),2))</f>
        <v/>
      </c>
      <c r="AZ682">
        <f>IF($S682="","",ROUND(IF($AQ682="",$S682,$AQ682)*IF($AX682="",1,$AX682),2))</f>
        <v/>
      </c>
      <c r="BB682">
        <f>IF($H682="","",IFERROR(INDEX('_ENGINE_Risk'!$AE$41:$AE$920,MATCH($E682,'_ENGINE_Risk'!$A$41:$A$920,0)),"Medium"))</f>
        <v/>
      </c>
      <c r="BC682">
        <f>IF($BB682="","",IF($BB682="Fast",1.25,IF($BB682="Slow",0.85,1)))</f>
        <v/>
      </c>
      <c r="BD682">
        <f>IF(OR($AZ682="",$BC682=""),"",ROUND($AZ682*$BC682,2))</f>
        <v/>
      </c>
      <c r="BF682">
        <f>IF(OR($H682="",$J682=""),"",_xlfn.IFNA(VLOOKUP($J682,_CONFIG_Model_Settings!$D$610:$E$614,2,0),""))</f>
        <v/>
      </c>
      <c r="BG682">
        <f>IF(OR($H682="",$K682=""),"",ROUND('Company Profile'!$B$569*INDEX(_CONFIG_Model_Settings!$H$610:$H$614,MATCH($K682,_CONFIG_Model_Settings!$G$610:$G$614,0)),0))</f>
        <v/>
      </c>
      <c r="BH682">
        <f>IF(OR($BF682="",$BG682=""),"",ROUND($BF682*$BG682,1))</f>
        <v/>
      </c>
      <c r="BI682">
        <f>IF($BH682="","",IF($AO682="",$BH682,ROUND($BH682*$AO682,1)))</f>
        <v/>
      </c>
      <c r="BJ682">
        <f>IF($E682="","",IFERROR(VLOOKUP($C682,'_CONFIG_Risk_Calibration'!$A$5:$H$21,2,FALSE),3))</f>
        <v/>
      </c>
      <c r="BK682">
        <f>IF($E682="","",IFERROR(VLOOKUP($C682,'_CONFIG_Risk_Calibration'!$A$5:$H$21,3,FALSE),0))</f>
        <v/>
      </c>
      <c r="BL682">
        <f>IF($E682="","",IFERROR(VLOOKUP($C682,'_CONFIG_Risk_Calibration'!$A$5:$H$21,4,FALSE),3))</f>
        <v/>
      </c>
      <c r="BM682">
        <f>IF($E682="","",IFERROR(VLOOKUP($C682,'_CONFIG_Risk_Calibration'!$A$5:$H$21,5,FALSE),3))</f>
        <v/>
      </c>
      <c r="BN682">
        <f>IF($E682="","",IFERROR(VLOOKUP($C682,'_CONFIG_Risk_Calibration'!$A$5:$H$21,6,FALSE),"No"))</f>
        <v/>
      </c>
      <c r="BO682">
        <f>IF($E682="","",IFERROR(VLOOKUP($C682,'_CONFIG_Risk_Calibration'!$A$5:$H$21,7,FALSE),1))</f>
        <v/>
      </c>
      <c r="BP682">
        <f>IF($H682="","",MAX(1,MIN(5,((6-$H682)*0.45)+($BJ682*0.20)+('Resilience &amp; Risk Scenario'!$B$7*0.15)+($BK682*0.10)+($BL682*0.05)+(IF($BB682="Fast",5,IF($BB682="Slow",1,3))*0.05))))</f>
        <v/>
      </c>
      <c r="BQ682">
        <f>IF($H682="","",MAX(IF($BN682="Yes",$BO682,1),MIN(5,($U682*0.20)+($V682*0.15)+($W682*0.25)+($X682*0.15)+($BJ682*0.10)+($BM682*0.15))))</f>
        <v/>
      </c>
      <c r="BR682">
        <f>IF(OR($BP682="",$BQ682=""),"",ROUND($BP682*$BQ682,2))</f>
        <v/>
      </c>
      <c r="BS682">
        <f>IF($BR682="","",ROUND($BR682*IF($AO682="",1,$AO682)*IF($AX682="",1,$AX682)*(1+(($BM682-3)*0.10))*IF($BC682="",1,$BC682),2))</f>
        <v/>
      </c>
    </row>
    <row r="683" ht="69.90000000000001" customHeight="1" s="209">
      <c r="A683">
        <f>IF($BD683="","",SUMPRODUCT(ISNUMBER($BD$500:$BD$923)*($BD$500:$BD$923&gt;$BD683))+COUNTIF($BD$500:$BD683,$BD683))</f>
        <v/>
      </c>
      <c r="B683">
        <f>IF($H683="","",IF($H683&lt;5,"Yes","Maintain"))</f>
        <v/>
      </c>
      <c r="C683" t="inlineStr">
        <is>
          <t>Delivery Ops</t>
        </is>
      </c>
      <c r="D683" t="inlineStr">
        <is>
          <t>Process control</t>
        </is>
      </c>
      <c r="E683" t="inlineStr">
        <is>
          <t>DELI-013</t>
        </is>
      </c>
      <c r="F683" t="inlineStr">
        <is>
          <t>Delivery, service continuity and operational execution</t>
        </is>
      </c>
      <c r="G683">
        <f>IF($H683="","",IFERROR(INDEX('_ENGINE_Risk'!$H$41:$M$920,MATCH($E683,'_ENGINE_Risk'!$A$41:$A$920,0),$H683+1),""))</f>
        <v/>
      </c>
      <c r="H683">
        <f>IFERROR(VALUE(INDEX(_DATA_Assessment_Model!$H$5:$H$884,MATCH($E683,_DATA_Assessment_Model!$A$5:$A$884,0))),"")</f>
        <v/>
      </c>
      <c r="I683">
        <f>IF($H683="","",IFERROR(INDEX(_DATA_Assessment_Model!$L$5:$L$884,MATCH($E683,_DATA_Assessment_Model!$A$5:$A$884,0)),IF($H683&lt;=1,"Critical",IF($H683=2,"High",IF($H683=3,"Medium",IF($H683=4,"Low","Resilient"))))))</f>
        <v/>
      </c>
      <c r="J683">
        <f>IF($H683="","",MIN(5,MAX(1,6-$H683)))</f>
        <v/>
      </c>
      <c r="K683">
        <f>IF($H683="","",MAX(1,MIN(5,ROUNDUP(($U683*0.45)+($W683*0.35)+($X683*0.2),0))))</f>
        <v/>
      </c>
      <c r="L683">
        <f>IF($H683="","",$J683*$K683)</f>
        <v/>
      </c>
      <c r="M683">
        <f>IF($H683="","",MAX(1,MIN(5,ROUNDUP($L683/5,0))))</f>
        <v/>
      </c>
      <c r="N683">
        <f>IF($H683="","",IFERROR(INDEX('_ENGINE_Risk'!$T$41:$Y$920,MATCH($E683,'_ENGINE_Risk'!$A$41:$A$920,0),$H683+1),""))</f>
        <v/>
      </c>
      <c r="O683">
        <f>IF($H683="","",MAX(1,MIN(5,($U683+$V683+$X683)/3)))</f>
        <v/>
      </c>
      <c r="P683">
        <f>IF($H683="","",IF($I683="Critical",5,IF($I683="High",4,IF($I683="Medium",3,IF($I683="Low",2,1)))))</f>
        <v/>
      </c>
      <c r="Q683">
        <f>IF($H683="","",MAX(1,MIN(5,((5-$H683)*0.65)+($W683*0.35))))</f>
        <v/>
      </c>
      <c r="R683">
        <f>IF($H683="","",MAX(1,MIN(5,($V683+$X683)/2)))</f>
        <v/>
      </c>
      <c r="S683">
        <f>IF(OR($H683="",$N683=""),"",ROUND(($O683+$P683+$Q683+$R683)/$N683,2))</f>
        <v/>
      </c>
      <c r="T683">
        <f>IF($H683="","",IFERROR(INDEX('_ENGINE_Risk'!$N$41:$S$920,MATCH($E683,'_ENGINE_Risk'!$A$41:$A$920,0),$H683+1),""))</f>
        <v/>
      </c>
      <c r="U683">
        <f>IFERROR(INDEX(_DATA_Assessment_Model!$G$5:$G$884,MATCH($E683,_DATA_Assessment_Model!$A$5:$A$884,0)),"")</f>
        <v/>
      </c>
      <c r="V683">
        <f>IFERROR(INDEX(_DATA_Assessment_Model!$W$5:$W$884,MATCH($E683,_DATA_Assessment_Model!$A$5:$A$884,0)),"")</f>
        <v/>
      </c>
      <c r="W683">
        <f>IFERROR(INDEX(_DATA_Assessment_Model!$X$5:$X$884,MATCH($E683,_DATA_Assessment_Model!$A$5:$A$884,0)),"")</f>
        <v/>
      </c>
      <c r="X683">
        <f>IFERROR(INDEX(_DATA_Assessment_Model!$Y$5:$Y$884,MATCH($E683,_DATA_Assessment_Model!$A$5:$A$884,0)),"")</f>
        <v/>
      </c>
      <c r="Y683" t="inlineStr">
        <is>
          <t>Delivery disruption; Customer impact; Workforce disruption</t>
        </is>
      </c>
      <c r="Z683" t="inlineStr">
        <is>
          <t>COO / Delivery</t>
        </is>
      </c>
      <c r="AA683" t="inlineStr">
        <is>
          <t>Policy/SOP; owner/RACI; system report; dashboard; contracts; test records; incident history; interview evidence related to SOP documentation for critical delivery activities.</t>
        </is>
      </c>
      <c r="AB683">
        <f>IFERROR(INDEX(_DATA_Assessment_Model!$U$5:$U$884,MATCH($E683,_DATA_Assessment_Model!$A$5:$A$884,0)),"")</f>
        <v/>
      </c>
      <c r="AF683" t="inlineStr">
        <is>
          <t>How mature is the organization in managing SOP documentation for critical delivery activities, including ownership, evidence, metrics, fallback procedures and crisis stress testing?</t>
        </is>
      </c>
      <c r="AO683">
        <f>IF($B683="Yes",IFERROR(INDEX(_ENGINE_Crisis!$F$501:$F$517,MATCH($C683,_ENGINE_Crisis!$A$501:$A$517,0)),1),"")</f>
        <v/>
      </c>
      <c r="AP683">
        <f>IF(AO683="","",ROUND($L683*AO683,1))</f>
        <v/>
      </c>
      <c r="AQ683">
        <f>IF(OR(AO683="",$S683=""),"",ROUND($S683*(0.7+0.3*AO683),2))</f>
        <v/>
      </c>
      <c r="AR683">
        <f>IFERROR(INDEX(_ENGINE_Crisis!$E$41:$E$700,MATCH('Resilience &amp; Risk Scenario'!$B$60&amp;"|"&amp;$C683,_ENGINE_Crisis!$I$41:$I$700,0)),"")</f>
        <v/>
      </c>
      <c r="AS683">
        <f>IFERROR(INDEX(_ENGINE_Crisis!$G$41:$G$700,MATCH('Resilience &amp; Risk Scenario'!$B$60&amp;"|"&amp;$C683,_ENGINE_Crisis!$I$41:$I$700,0)),"")</f>
        <v/>
      </c>
      <c r="AT683">
        <f>IFERROR(INDEX(_ENGINE_Initiatives!$A$5:$A$532,MATCH(1,INDEX((_ENGINE_Initiatives!$B$5:$B$532=$C683)*(_ENGINE_Initiatives!$C$5:$C$532=$D683),0),0)),"")</f>
        <v/>
      </c>
      <c r="AU683">
        <f>IFERROR(INDEX(_ENGINE_Initiatives!$F$5:$F$532,MATCH(1,INDEX((_ENGINE_Initiatives!$B$5:$B$532=$C683)*(_ENGINE_Initiatives!$C$5:$C$532=$D683),0),0)),"")</f>
        <v/>
      </c>
      <c r="AV683">
        <f>IFERROR(INDEX(_ENGINE_Initiatives!$AC$5:$AC$532,MATCH(1,INDEX((_ENGINE_Initiatives!$B$5:$B$532=$C683)*(_ENGINE_Initiatives!$C$5:$C$532=$D683),0),0)),"")</f>
        <v/>
      </c>
      <c r="AW683">
        <f>IFERROR(INDEX(_ENGINE_Initiatives!$AE$5:$AE$532,MATCH(1,INDEX((_ENGINE_Initiatives!$B$5:$B$532=$C683)*(_ENGINE_Initiatives!$C$5:$C$532=$D683),0),0)),"")</f>
        <v/>
      </c>
      <c r="AX683">
        <f>IF($B683="Yes",IFERROR(IF(SUMIFS(_REF_Model_Content!$E$1:$E$613,_REF_Model_Content!$A$1:$A$613,'Company Profile'!$B$9,_REF_Model_Content!$B$1:$B$613,$C683)=0,1,SUMIFS(_REF_Model_Content!$E$1:$E$613,_REF_Model_Content!$A$1:$A$613,'Company Profile'!$B$9,_REF_Model_Content!$B$1:$B$613,$C683)),1),"")</f>
        <v/>
      </c>
      <c r="AY683">
        <f>IF($L683="","",ROUND(IF($AP683="",$L683,$AP683)*IF($AX683="",1,$AX683),2))</f>
        <v/>
      </c>
      <c r="AZ683">
        <f>IF($S683="","",ROUND(IF($AQ683="",$S683,$AQ683)*IF($AX683="",1,$AX683),2))</f>
        <v/>
      </c>
      <c r="BB683">
        <f>IF($H683="","",IFERROR(INDEX('_ENGINE_Risk'!$AE$41:$AE$920,MATCH($E683,'_ENGINE_Risk'!$A$41:$A$920,0)),"Medium"))</f>
        <v/>
      </c>
      <c r="BC683">
        <f>IF($BB683="","",IF($BB683="Fast",1.25,IF($BB683="Slow",0.85,1)))</f>
        <v/>
      </c>
      <c r="BD683">
        <f>IF(OR($AZ683="",$BC683=""),"",ROUND($AZ683*$BC683,2))</f>
        <v/>
      </c>
      <c r="BF683">
        <f>IF(OR($H683="",$J683=""),"",_xlfn.IFNA(VLOOKUP($J683,_CONFIG_Model_Settings!$D$610:$E$614,2,0),""))</f>
        <v/>
      </c>
      <c r="BG683">
        <f>IF(OR($H683="",$K683=""),"",ROUND('Company Profile'!$B$569*INDEX(_CONFIG_Model_Settings!$H$610:$H$614,MATCH($K683,_CONFIG_Model_Settings!$G$610:$G$614,0)),0))</f>
        <v/>
      </c>
      <c r="BH683">
        <f>IF(OR($BF683="",$BG683=""),"",ROUND($BF683*$BG683,1))</f>
        <v/>
      </c>
      <c r="BI683">
        <f>IF($BH683="","",IF($AO683="",$BH683,ROUND($BH683*$AO683,1)))</f>
        <v/>
      </c>
      <c r="BJ683">
        <f>IF($E683="","",IFERROR(VLOOKUP($C683,'_CONFIG_Risk_Calibration'!$A$5:$H$21,2,FALSE),3))</f>
        <v/>
      </c>
      <c r="BK683">
        <f>IF($E683="","",IFERROR(VLOOKUP($C683,'_CONFIG_Risk_Calibration'!$A$5:$H$21,3,FALSE),0))</f>
        <v/>
      </c>
      <c r="BL683">
        <f>IF($E683="","",IFERROR(VLOOKUP($C683,'_CONFIG_Risk_Calibration'!$A$5:$H$21,4,FALSE),3))</f>
        <v/>
      </c>
      <c r="BM683">
        <f>IF($E683="","",IFERROR(VLOOKUP($C683,'_CONFIG_Risk_Calibration'!$A$5:$H$21,5,FALSE),3))</f>
        <v/>
      </c>
      <c r="BN683">
        <f>IF($E683="","",IFERROR(VLOOKUP($C683,'_CONFIG_Risk_Calibration'!$A$5:$H$21,6,FALSE),"No"))</f>
        <v/>
      </c>
      <c r="BO683">
        <f>IF($E683="","",IFERROR(VLOOKUP($C683,'_CONFIG_Risk_Calibration'!$A$5:$H$21,7,FALSE),1))</f>
        <v/>
      </c>
      <c r="BP683">
        <f>IF($H683="","",MAX(1,MIN(5,((6-$H683)*0.45)+($BJ683*0.20)+('Resilience &amp; Risk Scenario'!$B$7*0.15)+($BK683*0.10)+($BL683*0.05)+(IF($BB683="Fast",5,IF($BB683="Slow",1,3))*0.05))))</f>
        <v/>
      </c>
      <c r="BQ683">
        <f>IF($H683="","",MAX(IF($BN683="Yes",$BO683,1),MIN(5,($U683*0.20)+($V683*0.15)+($W683*0.25)+($X683*0.15)+($BJ683*0.10)+($BM683*0.15))))</f>
        <v/>
      </c>
      <c r="BR683">
        <f>IF(OR($BP683="",$BQ683=""),"",ROUND($BP683*$BQ683,2))</f>
        <v/>
      </c>
      <c r="BS683">
        <f>IF($BR683="","",ROUND($BR683*IF($AO683="",1,$AO683)*IF($AX683="",1,$AX683)*(1+(($BM683-3)*0.10))*IF($BC683="",1,$BC683),2))</f>
        <v/>
      </c>
    </row>
    <row r="684" ht="69.90000000000001" customHeight="1" s="209">
      <c r="A684">
        <f>IF($BD684="","",SUMPRODUCT(ISNUMBER($BD$500:$BD$923)*($BD$500:$BD$923&gt;$BD684))+COUNTIF($BD$500:$BD684,$BD684))</f>
        <v/>
      </c>
      <c r="B684">
        <f>IF($H684="","",IF($H684&lt;5,"Yes","Maintain"))</f>
        <v/>
      </c>
      <c r="C684" t="inlineStr">
        <is>
          <t>Delivery Ops</t>
        </is>
      </c>
      <c r="D684" t="inlineStr">
        <is>
          <t>Process control</t>
        </is>
      </c>
      <c r="E684" t="inlineStr">
        <is>
          <t>DELI-014</t>
        </is>
      </c>
      <c r="F684" t="inlineStr">
        <is>
          <t>Delivery, service continuity and operational execution</t>
        </is>
      </c>
      <c r="G684">
        <f>IF($H684="","",IFERROR(INDEX('_ENGINE_Risk'!$H$41:$M$920,MATCH($E684,'_ENGINE_Risk'!$A$41:$A$920,0),$H684+1),""))</f>
        <v/>
      </c>
      <c r="H684">
        <f>IFERROR(VALUE(INDEX(_DATA_Assessment_Model!$H$5:$H$884,MATCH($E684,_DATA_Assessment_Model!$A$5:$A$884,0))),"")</f>
        <v/>
      </c>
      <c r="I684">
        <f>IF($H684="","",IFERROR(INDEX(_DATA_Assessment_Model!$L$5:$L$884,MATCH($E684,_DATA_Assessment_Model!$A$5:$A$884,0)),IF($H684&lt;=1,"Critical",IF($H684=2,"High",IF($H684=3,"Medium",IF($H684=4,"Low","Resilient"))))))</f>
        <v/>
      </c>
      <c r="J684">
        <f>IF($H684="","",MIN(5,MAX(1,6-$H684)))</f>
        <v/>
      </c>
      <c r="K684">
        <f>IF($H684="","",MAX(1,MIN(5,ROUNDUP(($U684*0.45)+($W684*0.35)+($X684*0.2),0))))</f>
        <v/>
      </c>
      <c r="L684">
        <f>IF($H684="","",$J684*$K684)</f>
        <v/>
      </c>
      <c r="M684">
        <f>IF($H684="","",MAX(1,MIN(5,ROUNDUP($L684/5,0))))</f>
        <v/>
      </c>
      <c r="N684">
        <f>IF($H684="","",IFERROR(INDEX('_ENGINE_Risk'!$T$41:$Y$920,MATCH($E684,'_ENGINE_Risk'!$A$41:$A$920,0),$H684+1),""))</f>
        <v/>
      </c>
      <c r="O684">
        <f>IF($H684="","",MAX(1,MIN(5,($U684+$V684+$X684)/3)))</f>
        <v/>
      </c>
      <c r="P684">
        <f>IF($H684="","",IF($I684="Critical",5,IF($I684="High",4,IF($I684="Medium",3,IF($I684="Low",2,1)))))</f>
        <v/>
      </c>
      <c r="Q684">
        <f>IF($H684="","",MAX(1,MIN(5,((5-$H684)*0.65)+($W684*0.35))))</f>
        <v/>
      </c>
      <c r="R684">
        <f>IF($H684="","",MAX(1,MIN(5,($V684+$X684)/2)))</f>
        <v/>
      </c>
      <c r="S684">
        <f>IF(OR($H684="",$N684=""),"",ROUND(($O684+$P684+$Q684+$R684)/$N684,2))</f>
        <v/>
      </c>
      <c r="T684">
        <f>IF($H684="","",IFERROR(INDEX('_ENGINE_Risk'!$N$41:$S$920,MATCH($E684,'_ENGINE_Risk'!$A$41:$A$920,0),$H684+1),""))</f>
        <v/>
      </c>
      <c r="U684">
        <f>IFERROR(INDEX(_DATA_Assessment_Model!$G$5:$G$884,MATCH($E684,_DATA_Assessment_Model!$A$5:$A$884,0)),"")</f>
        <v/>
      </c>
      <c r="V684">
        <f>IFERROR(INDEX(_DATA_Assessment_Model!$W$5:$W$884,MATCH($E684,_DATA_Assessment_Model!$A$5:$A$884,0)),"")</f>
        <v/>
      </c>
      <c r="W684">
        <f>IFERROR(INDEX(_DATA_Assessment_Model!$X$5:$X$884,MATCH($E684,_DATA_Assessment_Model!$A$5:$A$884,0)),"")</f>
        <v/>
      </c>
      <c r="X684">
        <f>IFERROR(INDEX(_DATA_Assessment_Model!$Y$5:$Y$884,MATCH($E684,_DATA_Assessment_Model!$A$5:$A$884,0)),"")</f>
        <v/>
      </c>
      <c r="Y684" t="inlineStr">
        <is>
          <t>Delivery disruption; Customer impact; Workforce disruption</t>
        </is>
      </c>
      <c r="Z684" t="inlineStr">
        <is>
          <t>COO / Delivery</t>
        </is>
      </c>
      <c r="AA684" t="inlineStr">
        <is>
          <t>Policy/SOP; owner/RACI; system report; dashboard; contracts; test records; incident history; interview evidence related to handover procedures between shifts, teams, vendors and customers.</t>
        </is>
      </c>
      <c r="AB684">
        <f>IFERROR(INDEX(_DATA_Assessment_Model!$U$5:$U$884,MATCH($E684,_DATA_Assessment_Model!$A$5:$A$884,0)),"")</f>
        <v/>
      </c>
      <c r="AF684" t="inlineStr">
        <is>
          <t>How mature is the organization in managing handover procedures between shifts, teams, vendors and customers, including ownership, evidence, metrics, fallback procedures and crisis stress testing?</t>
        </is>
      </c>
      <c r="AO684">
        <f>IF($B684="Yes",IFERROR(INDEX(_ENGINE_Crisis!$F$501:$F$517,MATCH($C684,_ENGINE_Crisis!$A$501:$A$517,0)),1),"")</f>
        <v/>
      </c>
      <c r="AP684">
        <f>IF(AO684="","",ROUND($L684*AO684,1))</f>
        <v/>
      </c>
      <c r="AQ684">
        <f>IF(OR(AO684="",$S684=""),"",ROUND($S684*(0.7+0.3*AO684),2))</f>
        <v/>
      </c>
      <c r="AR684">
        <f>IFERROR(INDEX(_ENGINE_Crisis!$E$41:$E$700,MATCH('Resilience &amp; Risk Scenario'!$B$60&amp;"|"&amp;$C684,_ENGINE_Crisis!$I$41:$I$700,0)),"")</f>
        <v/>
      </c>
      <c r="AS684">
        <f>IFERROR(INDEX(_ENGINE_Crisis!$G$41:$G$700,MATCH('Resilience &amp; Risk Scenario'!$B$60&amp;"|"&amp;$C684,_ENGINE_Crisis!$I$41:$I$700,0)),"")</f>
        <v/>
      </c>
      <c r="AT684">
        <f>IFERROR(INDEX(_ENGINE_Initiatives!$A$5:$A$532,MATCH(1,INDEX((_ENGINE_Initiatives!$B$5:$B$532=$C684)*(_ENGINE_Initiatives!$C$5:$C$532=$D684),0),0)),"")</f>
        <v/>
      </c>
      <c r="AU684">
        <f>IFERROR(INDEX(_ENGINE_Initiatives!$F$5:$F$532,MATCH(1,INDEX((_ENGINE_Initiatives!$B$5:$B$532=$C684)*(_ENGINE_Initiatives!$C$5:$C$532=$D684),0),0)),"")</f>
        <v/>
      </c>
      <c r="AV684">
        <f>IFERROR(INDEX(_ENGINE_Initiatives!$AC$5:$AC$532,MATCH(1,INDEX((_ENGINE_Initiatives!$B$5:$B$532=$C684)*(_ENGINE_Initiatives!$C$5:$C$532=$D684),0),0)),"")</f>
        <v/>
      </c>
      <c r="AW684">
        <f>IFERROR(INDEX(_ENGINE_Initiatives!$AE$5:$AE$532,MATCH(1,INDEX((_ENGINE_Initiatives!$B$5:$B$532=$C684)*(_ENGINE_Initiatives!$C$5:$C$532=$D684),0),0)),"")</f>
        <v/>
      </c>
      <c r="AX684">
        <f>IF($B684="Yes",IFERROR(IF(SUMIFS(_REF_Model_Content!$E$1:$E$613,_REF_Model_Content!$A$1:$A$613,'Company Profile'!$B$9,_REF_Model_Content!$B$1:$B$613,$C684)=0,1,SUMIFS(_REF_Model_Content!$E$1:$E$613,_REF_Model_Content!$A$1:$A$613,'Company Profile'!$B$9,_REF_Model_Content!$B$1:$B$613,$C684)),1),"")</f>
        <v/>
      </c>
      <c r="AY684">
        <f>IF($L684="","",ROUND(IF($AP684="",$L684,$AP684)*IF($AX684="",1,$AX684),2))</f>
        <v/>
      </c>
      <c r="AZ684">
        <f>IF($S684="","",ROUND(IF($AQ684="",$S684,$AQ684)*IF($AX684="",1,$AX684),2))</f>
        <v/>
      </c>
      <c r="BB684">
        <f>IF($H684="","",IFERROR(INDEX('_ENGINE_Risk'!$AE$41:$AE$920,MATCH($E684,'_ENGINE_Risk'!$A$41:$A$920,0)),"Medium"))</f>
        <v/>
      </c>
      <c r="BC684">
        <f>IF($BB684="","",IF($BB684="Fast",1.25,IF($BB684="Slow",0.85,1)))</f>
        <v/>
      </c>
      <c r="BD684">
        <f>IF(OR($AZ684="",$BC684=""),"",ROUND($AZ684*$BC684,2))</f>
        <v/>
      </c>
      <c r="BF684">
        <f>IF(OR($H684="",$J684=""),"",_xlfn.IFNA(VLOOKUP($J684,_CONFIG_Model_Settings!$D$610:$E$614,2,0),""))</f>
        <v/>
      </c>
      <c r="BG684">
        <f>IF(OR($H684="",$K684=""),"",ROUND('Company Profile'!$B$569*INDEX(_CONFIG_Model_Settings!$H$610:$H$614,MATCH($K684,_CONFIG_Model_Settings!$G$610:$G$614,0)),0))</f>
        <v/>
      </c>
      <c r="BH684">
        <f>IF(OR($BF684="",$BG684=""),"",ROUND($BF684*$BG684,1))</f>
        <v/>
      </c>
      <c r="BI684">
        <f>IF($BH684="","",IF($AO684="",$BH684,ROUND($BH684*$AO684,1)))</f>
        <v/>
      </c>
      <c r="BJ684">
        <f>IF($E684="","",IFERROR(VLOOKUP($C684,'_CONFIG_Risk_Calibration'!$A$5:$H$21,2,FALSE),3))</f>
        <v/>
      </c>
      <c r="BK684">
        <f>IF($E684="","",IFERROR(VLOOKUP($C684,'_CONFIG_Risk_Calibration'!$A$5:$H$21,3,FALSE),0))</f>
        <v/>
      </c>
      <c r="BL684">
        <f>IF($E684="","",IFERROR(VLOOKUP($C684,'_CONFIG_Risk_Calibration'!$A$5:$H$21,4,FALSE),3))</f>
        <v/>
      </c>
      <c r="BM684">
        <f>IF($E684="","",IFERROR(VLOOKUP($C684,'_CONFIG_Risk_Calibration'!$A$5:$H$21,5,FALSE),3))</f>
        <v/>
      </c>
      <c r="BN684">
        <f>IF($E684="","",IFERROR(VLOOKUP($C684,'_CONFIG_Risk_Calibration'!$A$5:$H$21,6,FALSE),"No"))</f>
        <v/>
      </c>
      <c r="BO684">
        <f>IF($E684="","",IFERROR(VLOOKUP($C684,'_CONFIG_Risk_Calibration'!$A$5:$H$21,7,FALSE),1))</f>
        <v/>
      </c>
      <c r="BP684">
        <f>IF($H684="","",MAX(1,MIN(5,((6-$H684)*0.45)+($BJ684*0.20)+('Resilience &amp; Risk Scenario'!$B$7*0.15)+($BK684*0.10)+($BL684*0.05)+(IF($BB684="Fast",5,IF($BB684="Slow",1,3))*0.05))))</f>
        <v/>
      </c>
      <c r="BQ684">
        <f>IF($H684="","",MAX(IF($BN684="Yes",$BO684,1),MIN(5,($U684*0.20)+($V684*0.15)+($W684*0.25)+($X684*0.15)+($BJ684*0.10)+($BM684*0.15))))</f>
        <v/>
      </c>
      <c r="BR684">
        <f>IF(OR($BP684="",$BQ684=""),"",ROUND($BP684*$BQ684,2))</f>
        <v/>
      </c>
      <c r="BS684">
        <f>IF($BR684="","",ROUND($BR684*IF($AO684="",1,$AO684)*IF($AX684="",1,$AX684)*(1+(($BM684-3)*0.10))*IF($BC684="",1,$BC684),2))</f>
        <v/>
      </c>
    </row>
    <row r="685" ht="69.90000000000001" customHeight="1" s="209">
      <c r="A685">
        <f>IF($BD685="","",SUMPRODUCT(ISNUMBER($BD$500:$BD$923)*($BD$500:$BD$923&gt;$BD685))+COUNTIF($BD$500:$BD685,$BD685))</f>
        <v/>
      </c>
      <c r="B685">
        <f>IF($H685="","",IF($H685&lt;5,"Yes","Maintain"))</f>
        <v/>
      </c>
      <c r="C685" t="inlineStr">
        <is>
          <t>Delivery Ops</t>
        </is>
      </c>
      <c r="D685" t="inlineStr">
        <is>
          <t>Process control</t>
        </is>
      </c>
      <c r="E685" t="inlineStr">
        <is>
          <t>DELI-015</t>
        </is>
      </c>
      <c r="F685" t="inlineStr">
        <is>
          <t>Delivery, service continuity and operational execution</t>
        </is>
      </c>
      <c r="G685">
        <f>IF($H685="","",IFERROR(INDEX('_ENGINE_Risk'!$H$41:$M$920,MATCH($E685,'_ENGINE_Risk'!$A$41:$A$920,0),$H685+1),""))</f>
        <v/>
      </c>
      <c r="H685">
        <f>IFERROR(VALUE(INDEX(_DATA_Assessment_Model!$H$5:$H$884,MATCH($E685,_DATA_Assessment_Model!$A$5:$A$884,0))),"")</f>
        <v/>
      </c>
      <c r="I685">
        <f>IF($H685="","",IFERROR(INDEX(_DATA_Assessment_Model!$L$5:$L$884,MATCH($E685,_DATA_Assessment_Model!$A$5:$A$884,0)),IF($H685&lt;=1,"Critical",IF($H685=2,"High",IF($H685=3,"Medium",IF($H685=4,"Low","Resilient"))))))</f>
        <v/>
      </c>
      <c r="J685">
        <f>IF($H685="","",MIN(5,MAX(1,6-$H685)))</f>
        <v/>
      </c>
      <c r="K685">
        <f>IF($H685="","",MAX(1,MIN(5,ROUNDUP(($U685*0.45)+($W685*0.35)+($X685*0.2),0))))</f>
        <v/>
      </c>
      <c r="L685">
        <f>IF($H685="","",$J685*$K685)</f>
        <v/>
      </c>
      <c r="M685">
        <f>IF($H685="","",MAX(1,MIN(5,ROUNDUP($L685/5,0))))</f>
        <v/>
      </c>
      <c r="N685">
        <f>IF($H685="","",IFERROR(INDEX('_ENGINE_Risk'!$T$41:$Y$920,MATCH($E685,'_ENGINE_Risk'!$A$41:$A$920,0),$H685+1),""))</f>
        <v/>
      </c>
      <c r="O685">
        <f>IF($H685="","",MAX(1,MIN(5,($U685+$V685+$X685)/3)))</f>
        <v/>
      </c>
      <c r="P685">
        <f>IF($H685="","",IF($I685="Critical",5,IF($I685="High",4,IF($I685="Medium",3,IF($I685="Low",2,1)))))</f>
        <v/>
      </c>
      <c r="Q685">
        <f>IF($H685="","",MAX(1,MIN(5,((5-$H685)*0.65)+($W685*0.35))))</f>
        <v/>
      </c>
      <c r="R685">
        <f>IF($H685="","",MAX(1,MIN(5,($V685+$X685)/2)))</f>
        <v/>
      </c>
      <c r="S685">
        <f>IF(OR($H685="",$N685=""),"",ROUND(($O685+$P685+$Q685+$R685)/$N685,2))</f>
        <v/>
      </c>
      <c r="T685">
        <f>IF($H685="","",IFERROR(INDEX('_ENGINE_Risk'!$N$41:$S$920,MATCH($E685,'_ENGINE_Risk'!$A$41:$A$920,0),$H685+1),""))</f>
        <v/>
      </c>
      <c r="U685">
        <f>IFERROR(INDEX(_DATA_Assessment_Model!$G$5:$G$884,MATCH($E685,_DATA_Assessment_Model!$A$5:$A$884,0)),"")</f>
        <v/>
      </c>
      <c r="V685">
        <f>IFERROR(INDEX(_DATA_Assessment_Model!$W$5:$W$884,MATCH($E685,_DATA_Assessment_Model!$A$5:$A$884,0)),"")</f>
        <v/>
      </c>
      <c r="W685">
        <f>IFERROR(INDEX(_DATA_Assessment_Model!$X$5:$X$884,MATCH($E685,_DATA_Assessment_Model!$A$5:$A$884,0)),"")</f>
        <v/>
      </c>
      <c r="X685">
        <f>IFERROR(INDEX(_DATA_Assessment_Model!$Y$5:$Y$884,MATCH($E685,_DATA_Assessment_Model!$A$5:$A$884,0)),"")</f>
        <v/>
      </c>
      <c r="Y685" t="inlineStr">
        <is>
          <t>Delivery disruption; Customer impact; Workforce disruption</t>
        </is>
      </c>
      <c r="Z685" t="inlineStr">
        <is>
          <t>COO / Delivery</t>
        </is>
      </c>
      <c r="AA685" t="inlineStr">
        <is>
          <t>Policy/SOP; owner/RACI; system report; dashboard; contracts; test records; incident history; interview evidence related to quality gates across delivery, production, release or service lifecycle.</t>
        </is>
      </c>
      <c r="AB685">
        <f>IFERROR(INDEX(_DATA_Assessment_Model!$U$5:$U$884,MATCH($E685,_DATA_Assessment_Model!$A$5:$A$884,0)),"")</f>
        <v/>
      </c>
      <c r="AF685" t="inlineStr">
        <is>
          <t>How mature is the organization in managing quality gates across delivery, production, release or service lifecycle, including ownership, evidence, metrics, fallback procedures and crisis stress testing?</t>
        </is>
      </c>
      <c r="AO685">
        <f>IF($B685="Yes",IFERROR(INDEX(_ENGINE_Crisis!$F$501:$F$517,MATCH($C685,_ENGINE_Crisis!$A$501:$A$517,0)),1),"")</f>
        <v/>
      </c>
      <c r="AP685">
        <f>IF(AO685="","",ROUND($L685*AO685,1))</f>
        <v/>
      </c>
      <c r="AQ685">
        <f>IF(OR(AO685="",$S685=""),"",ROUND($S685*(0.7+0.3*AO685),2))</f>
        <v/>
      </c>
      <c r="AR685">
        <f>IFERROR(INDEX(_ENGINE_Crisis!$E$41:$E$700,MATCH('Resilience &amp; Risk Scenario'!$B$60&amp;"|"&amp;$C685,_ENGINE_Crisis!$I$41:$I$700,0)),"")</f>
        <v/>
      </c>
      <c r="AS685">
        <f>IFERROR(INDEX(_ENGINE_Crisis!$G$41:$G$700,MATCH('Resilience &amp; Risk Scenario'!$B$60&amp;"|"&amp;$C685,_ENGINE_Crisis!$I$41:$I$700,0)),"")</f>
        <v/>
      </c>
      <c r="AT685">
        <f>IFERROR(INDEX(_ENGINE_Initiatives!$A$5:$A$532,MATCH(1,INDEX((_ENGINE_Initiatives!$B$5:$B$532=$C685)*(_ENGINE_Initiatives!$C$5:$C$532=$D685),0),0)),"")</f>
        <v/>
      </c>
      <c r="AU685">
        <f>IFERROR(INDEX(_ENGINE_Initiatives!$F$5:$F$532,MATCH(1,INDEX((_ENGINE_Initiatives!$B$5:$B$532=$C685)*(_ENGINE_Initiatives!$C$5:$C$532=$D685),0),0)),"")</f>
        <v/>
      </c>
      <c r="AV685">
        <f>IFERROR(INDEX(_ENGINE_Initiatives!$AC$5:$AC$532,MATCH(1,INDEX((_ENGINE_Initiatives!$B$5:$B$532=$C685)*(_ENGINE_Initiatives!$C$5:$C$532=$D685),0),0)),"")</f>
        <v/>
      </c>
      <c r="AW685">
        <f>IFERROR(INDEX(_ENGINE_Initiatives!$AE$5:$AE$532,MATCH(1,INDEX((_ENGINE_Initiatives!$B$5:$B$532=$C685)*(_ENGINE_Initiatives!$C$5:$C$532=$D685),0),0)),"")</f>
        <v/>
      </c>
      <c r="AX685">
        <f>IF($B685="Yes",IFERROR(IF(SUMIFS(_REF_Model_Content!$E$1:$E$613,_REF_Model_Content!$A$1:$A$613,'Company Profile'!$B$9,_REF_Model_Content!$B$1:$B$613,$C685)=0,1,SUMIFS(_REF_Model_Content!$E$1:$E$613,_REF_Model_Content!$A$1:$A$613,'Company Profile'!$B$9,_REF_Model_Content!$B$1:$B$613,$C685)),1),"")</f>
        <v/>
      </c>
      <c r="AY685">
        <f>IF($L685="","",ROUND(IF($AP685="",$L685,$AP685)*IF($AX685="",1,$AX685),2))</f>
        <v/>
      </c>
      <c r="AZ685">
        <f>IF($S685="","",ROUND(IF($AQ685="",$S685,$AQ685)*IF($AX685="",1,$AX685),2))</f>
        <v/>
      </c>
      <c r="BB685">
        <f>IF($H685="","",IFERROR(INDEX('_ENGINE_Risk'!$AE$41:$AE$920,MATCH($E685,'_ENGINE_Risk'!$A$41:$A$920,0)),"Medium"))</f>
        <v/>
      </c>
      <c r="BC685">
        <f>IF($BB685="","",IF($BB685="Fast",1.25,IF($BB685="Slow",0.85,1)))</f>
        <v/>
      </c>
      <c r="BD685">
        <f>IF(OR($AZ685="",$BC685=""),"",ROUND($AZ685*$BC685,2))</f>
        <v/>
      </c>
      <c r="BF685">
        <f>IF(OR($H685="",$J685=""),"",_xlfn.IFNA(VLOOKUP($J685,_CONFIG_Model_Settings!$D$610:$E$614,2,0),""))</f>
        <v/>
      </c>
      <c r="BG685">
        <f>IF(OR($H685="",$K685=""),"",ROUND('Company Profile'!$B$569*INDEX(_CONFIG_Model_Settings!$H$610:$H$614,MATCH($K685,_CONFIG_Model_Settings!$G$610:$G$614,0)),0))</f>
        <v/>
      </c>
      <c r="BH685">
        <f>IF(OR($BF685="",$BG685=""),"",ROUND($BF685*$BG685,1))</f>
        <v/>
      </c>
      <c r="BI685">
        <f>IF($BH685="","",IF($AO685="",$BH685,ROUND($BH685*$AO685,1)))</f>
        <v/>
      </c>
      <c r="BJ685">
        <f>IF($E685="","",IFERROR(VLOOKUP($C685,'_CONFIG_Risk_Calibration'!$A$5:$H$21,2,FALSE),3))</f>
        <v/>
      </c>
      <c r="BK685">
        <f>IF($E685="","",IFERROR(VLOOKUP($C685,'_CONFIG_Risk_Calibration'!$A$5:$H$21,3,FALSE),0))</f>
        <v/>
      </c>
      <c r="BL685">
        <f>IF($E685="","",IFERROR(VLOOKUP($C685,'_CONFIG_Risk_Calibration'!$A$5:$H$21,4,FALSE),3))</f>
        <v/>
      </c>
      <c r="BM685">
        <f>IF($E685="","",IFERROR(VLOOKUP($C685,'_CONFIG_Risk_Calibration'!$A$5:$H$21,5,FALSE),3))</f>
        <v/>
      </c>
      <c r="BN685">
        <f>IF($E685="","",IFERROR(VLOOKUP($C685,'_CONFIG_Risk_Calibration'!$A$5:$H$21,6,FALSE),"No"))</f>
        <v/>
      </c>
      <c r="BO685">
        <f>IF($E685="","",IFERROR(VLOOKUP($C685,'_CONFIG_Risk_Calibration'!$A$5:$H$21,7,FALSE),1))</f>
        <v/>
      </c>
      <c r="BP685">
        <f>IF($H685="","",MAX(1,MIN(5,((6-$H685)*0.45)+($BJ685*0.20)+('Resilience &amp; Risk Scenario'!$B$7*0.15)+($BK685*0.10)+($BL685*0.05)+(IF($BB685="Fast",5,IF($BB685="Slow",1,3))*0.05))))</f>
        <v/>
      </c>
      <c r="BQ685">
        <f>IF($H685="","",MAX(IF($BN685="Yes",$BO685,1),MIN(5,($U685*0.20)+($V685*0.15)+($W685*0.25)+($X685*0.15)+($BJ685*0.10)+($BM685*0.15))))</f>
        <v/>
      </c>
      <c r="BR685">
        <f>IF(OR($BP685="",$BQ685=""),"",ROUND($BP685*$BQ685,2))</f>
        <v/>
      </c>
      <c r="BS685">
        <f>IF($BR685="","",ROUND($BR685*IF($AO685="",1,$AO685)*IF($AX685="",1,$AX685)*(1+(($BM685-3)*0.10))*IF($BC685="",1,$BC685),2))</f>
        <v/>
      </c>
    </row>
    <row r="686" ht="69.90000000000001" customHeight="1" s="209">
      <c r="A686">
        <f>IF($BD686="","",SUMPRODUCT(ISNUMBER($BD$500:$BD$923)*($BD$500:$BD$923&gt;$BD686))+COUNTIF($BD$500:$BD686,$BD686))</f>
        <v/>
      </c>
      <c r="B686">
        <f>IF($H686="","",IF($H686&lt;5,"Yes","Maintain"))</f>
        <v/>
      </c>
      <c r="C686" t="inlineStr">
        <is>
          <t>Delivery Ops</t>
        </is>
      </c>
      <c r="D686" t="inlineStr">
        <is>
          <t>Process control</t>
        </is>
      </c>
      <c r="E686" t="inlineStr">
        <is>
          <t>DELI-016</t>
        </is>
      </c>
      <c r="F686" t="inlineStr">
        <is>
          <t>Delivery, service continuity and operational execution</t>
        </is>
      </c>
      <c r="G686">
        <f>IF($H686="","",IFERROR(INDEX('_ENGINE_Risk'!$H$41:$M$920,MATCH($E686,'_ENGINE_Risk'!$A$41:$A$920,0),$H686+1),""))</f>
        <v/>
      </c>
      <c r="H686">
        <f>IFERROR(VALUE(INDEX(_DATA_Assessment_Model!$H$5:$H$884,MATCH($E686,_DATA_Assessment_Model!$A$5:$A$884,0))),"")</f>
        <v/>
      </c>
      <c r="I686">
        <f>IF($H686="","",IFERROR(INDEX(_DATA_Assessment_Model!$L$5:$L$884,MATCH($E686,_DATA_Assessment_Model!$A$5:$A$884,0)),IF($H686&lt;=1,"Critical",IF($H686=2,"High",IF($H686=3,"Medium",IF($H686=4,"Low","Resilient"))))))</f>
        <v/>
      </c>
      <c r="J686">
        <f>IF($H686="","",MIN(5,MAX(1,6-$H686)))</f>
        <v/>
      </c>
      <c r="K686">
        <f>IF($H686="","",MAX(1,MIN(5,ROUNDUP(($U686*0.45)+($W686*0.35)+($X686*0.2),0))))</f>
        <v/>
      </c>
      <c r="L686">
        <f>IF($H686="","",$J686*$K686)</f>
        <v/>
      </c>
      <c r="M686">
        <f>IF($H686="","",MAX(1,MIN(5,ROUNDUP($L686/5,0))))</f>
        <v/>
      </c>
      <c r="N686">
        <f>IF($H686="","",IFERROR(INDEX('_ENGINE_Risk'!$T$41:$Y$920,MATCH($E686,'_ENGINE_Risk'!$A$41:$A$920,0),$H686+1),""))</f>
        <v/>
      </c>
      <c r="O686">
        <f>IF($H686="","",MAX(1,MIN(5,($U686+$V686+$X686)/3)))</f>
        <v/>
      </c>
      <c r="P686">
        <f>IF($H686="","",IF($I686="Critical",5,IF($I686="High",4,IF($I686="Medium",3,IF($I686="Low",2,1)))))</f>
        <v/>
      </c>
      <c r="Q686">
        <f>IF($H686="","",MAX(1,MIN(5,((5-$H686)*0.65)+($W686*0.35))))</f>
        <v/>
      </c>
      <c r="R686">
        <f>IF($H686="","",MAX(1,MIN(5,($V686+$X686)/2)))</f>
        <v/>
      </c>
      <c r="S686">
        <f>IF(OR($H686="",$N686=""),"",ROUND(($O686+$P686+$Q686+$R686)/$N686,2))</f>
        <v/>
      </c>
      <c r="T686">
        <f>IF($H686="","",IFERROR(INDEX('_ENGINE_Risk'!$N$41:$S$920,MATCH($E686,'_ENGINE_Risk'!$A$41:$A$920,0),$H686+1),""))</f>
        <v/>
      </c>
      <c r="U686">
        <f>IFERROR(INDEX(_DATA_Assessment_Model!$G$5:$G$884,MATCH($E686,_DATA_Assessment_Model!$A$5:$A$884,0)),"")</f>
        <v/>
      </c>
      <c r="V686">
        <f>IFERROR(INDEX(_DATA_Assessment_Model!$W$5:$W$884,MATCH($E686,_DATA_Assessment_Model!$A$5:$A$884,0)),"")</f>
        <v/>
      </c>
      <c r="W686">
        <f>IFERROR(INDEX(_DATA_Assessment_Model!$X$5:$X$884,MATCH($E686,_DATA_Assessment_Model!$A$5:$A$884,0)),"")</f>
        <v/>
      </c>
      <c r="X686">
        <f>IFERROR(INDEX(_DATA_Assessment_Model!$Y$5:$Y$884,MATCH($E686,_DATA_Assessment_Model!$A$5:$A$884,0)),"")</f>
        <v/>
      </c>
      <c r="Y686" t="inlineStr">
        <is>
          <t>Delivery disruption; Customer impact; Workforce disruption</t>
        </is>
      </c>
      <c r="Z686" t="inlineStr">
        <is>
          <t>COO / Delivery</t>
        </is>
      </c>
      <c r="AA686" t="inlineStr">
        <is>
          <t>Policy/SOP; owner/RACI; system report; dashboard; contracts; test records; incident history; interview evidence related to change control with risk, customer impact, rollback and communication.</t>
        </is>
      </c>
      <c r="AB686">
        <f>IFERROR(INDEX(_DATA_Assessment_Model!$U$5:$U$884,MATCH($E686,_DATA_Assessment_Model!$A$5:$A$884,0)),"")</f>
        <v/>
      </c>
      <c r="AF686" t="inlineStr">
        <is>
          <t>How mature is the organization in managing change control with risk, customer impact, rollback and communication, including ownership, evidence, metrics, fallback procedures and crisis stress testing?</t>
        </is>
      </c>
      <c r="AO686">
        <f>IF($B686="Yes",IFERROR(INDEX(_ENGINE_Crisis!$F$501:$F$517,MATCH($C686,_ENGINE_Crisis!$A$501:$A$517,0)),1),"")</f>
        <v/>
      </c>
      <c r="AP686">
        <f>IF(AO686="","",ROUND($L686*AO686,1))</f>
        <v/>
      </c>
      <c r="AQ686">
        <f>IF(OR(AO686="",$S686=""),"",ROUND($S686*(0.7+0.3*AO686),2))</f>
        <v/>
      </c>
      <c r="AR686">
        <f>IFERROR(INDEX(_ENGINE_Crisis!$E$41:$E$700,MATCH('Resilience &amp; Risk Scenario'!$B$60&amp;"|"&amp;$C686,_ENGINE_Crisis!$I$41:$I$700,0)),"")</f>
        <v/>
      </c>
      <c r="AS686">
        <f>IFERROR(INDEX(_ENGINE_Crisis!$G$41:$G$700,MATCH('Resilience &amp; Risk Scenario'!$B$60&amp;"|"&amp;$C686,_ENGINE_Crisis!$I$41:$I$700,0)),"")</f>
        <v/>
      </c>
      <c r="AT686">
        <f>IFERROR(INDEX(_ENGINE_Initiatives!$A$5:$A$532,MATCH(1,INDEX((_ENGINE_Initiatives!$B$5:$B$532=$C686)*(_ENGINE_Initiatives!$C$5:$C$532=$D686),0),0)),"")</f>
        <v/>
      </c>
      <c r="AU686">
        <f>IFERROR(INDEX(_ENGINE_Initiatives!$F$5:$F$532,MATCH(1,INDEX((_ENGINE_Initiatives!$B$5:$B$532=$C686)*(_ENGINE_Initiatives!$C$5:$C$532=$D686),0),0)),"")</f>
        <v/>
      </c>
      <c r="AV686">
        <f>IFERROR(INDEX(_ENGINE_Initiatives!$AC$5:$AC$532,MATCH(1,INDEX((_ENGINE_Initiatives!$B$5:$B$532=$C686)*(_ENGINE_Initiatives!$C$5:$C$532=$D686),0),0)),"")</f>
        <v/>
      </c>
      <c r="AW686">
        <f>IFERROR(INDEX(_ENGINE_Initiatives!$AE$5:$AE$532,MATCH(1,INDEX((_ENGINE_Initiatives!$B$5:$B$532=$C686)*(_ENGINE_Initiatives!$C$5:$C$532=$D686),0),0)),"")</f>
        <v/>
      </c>
      <c r="AX686">
        <f>IF($B686="Yes",IFERROR(IF(SUMIFS(_REF_Model_Content!$E$1:$E$613,_REF_Model_Content!$A$1:$A$613,'Company Profile'!$B$9,_REF_Model_Content!$B$1:$B$613,$C686)=0,1,SUMIFS(_REF_Model_Content!$E$1:$E$613,_REF_Model_Content!$A$1:$A$613,'Company Profile'!$B$9,_REF_Model_Content!$B$1:$B$613,$C686)),1),"")</f>
        <v/>
      </c>
      <c r="AY686">
        <f>IF($L686="","",ROUND(IF($AP686="",$L686,$AP686)*IF($AX686="",1,$AX686),2))</f>
        <v/>
      </c>
      <c r="AZ686">
        <f>IF($S686="","",ROUND(IF($AQ686="",$S686,$AQ686)*IF($AX686="",1,$AX686),2))</f>
        <v/>
      </c>
      <c r="BB686">
        <f>IF($H686="","",IFERROR(INDEX('_ENGINE_Risk'!$AE$41:$AE$920,MATCH($E686,'_ENGINE_Risk'!$A$41:$A$920,0)),"Medium"))</f>
        <v/>
      </c>
      <c r="BC686">
        <f>IF($BB686="","",IF($BB686="Fast",1.25,IF($BB686="Slow",0.85,1)))</f>
        <v/>
      </c>
      <c r="BD686">
        <f>IF(OR($AZ686="",$BC686=""),"",ROUND($AZ686*$BC686,2))</f>
        <v/>
      </c>
      <c r="BF686">
        <f>IF(OR($H686="",$J686=""),"",_xlfn.IFNA(VLOOKUP($J686,_CONFIG_Model_Settings!$D$610:$E$614,2,0),""))</f>
        <v/>
      </c>
      <c r="BG686">
        <f>IF(OR($H686="",$K686=""),"",ROUND('Company Profile'!$B$569*INDEX(_CONFIG_Model_Settings!$H$610:$H$614,MATCH($K686,_CONFIG_Model_Settings!$G$610:$G$614,0)),0))</f>
        <v/>
      </c>
      <c r="BH686">
        <f>IF(OR($BF686="",$BG686=""),"",ROUND($BF686*$BG686,1))</f>
        <v/>
      </c>
      <c r="BI686">
        <f>IF($BH686="","",IF($AO686="",$BH686,ROUND($BH686*$AO686,1)))</f>
        <v/>
      </c>
      <c r="BJ686">
        <f>IF($E686="","",IFERROR(VLOOKUP($C686,'_CONFIG_Risk_Calibration'!$A$5:$H$21,2,FALSE),3))</f>
        <v/>
      </c>
      <c r="BK686">
        <f>IF($E686="","",IFERROR(VLOOKUP($C686,'_CONFIG_Risk_Calibration'!$A$5:$H$21,3,FALSE),0))</f>
        <v/>
      </c>
      <c r="BL686">
        <f>IF($E686="","",IFERROR(VLOOKUP($C686,'_CONFIG_Risk_Calibration'!$A$5:$H$21,4,FALSE),3))</f>
        <v/>
      </c>
      <c r="BM686">
        <f>IF($E686="","",IFERROR(VLOOKUP($C686,'_CONFIG_Risk_Calibration'!$A$5:$H$21,5,FALSE),3))</f>
        <v/>
      </c>
      <c r="BN686">
        <f>IF($E686="","",IFERROR(VLOOKUP($C686,'_CONFIG_Risk_Calibration'!$A$5:$H$21,6,FALSE),"No"))</f>
        <v/>
      </c>
      <c r="BO686">
        <f>IF($E686="","",IFERROR(VLOOKUP($C686,'_CONFIG_Risk_Calibration'!$A$5:$H$21,7,FALSE),1))</f>
        <v/>
      </c>
      <c r="BP686">
        <f>IF($H686="","",MAX(1,MIN(5,((6-$H686)*0.45)+($BJ686*0.20)+('Resilience &amp; Risk Scenario'!$B$7*0.15)+($BK686*0.10)+($BL686*0.05)+(IF($BB686="Fast",5,IF($BB686="Slow",1,3))*0.05))))</f>
        <v/>
      </c>
      <c r="BQ686">
        <f>IF($H686="","",MAX(IF($BN686="Yes",$BO686,1),MIN(5,($U686*0.20)+($V686*0.15)+($W686*0.25)+($X686*0.15)+($BJ686*0.10)+($BM686*0.15))))</f>
        <v/>
      </c>
      <c r="BR686">
        <f>IF(OR($BP686="",$BQ686=""),"",ROUND($BP686*$BQ686,2))</f>
        <v/>
      </c>
      <c r="BS686">
        <f>IF($BR686="","",ROUND($BR686*IF($AO686="",1,$AO686)*IF($AX686="",1,$AX686)*(1+(($BM686-3)*0.10))*IF($BC686="",1,$BC686),2))</f>
        <v/>
      </c>
    </row>
    <row r="687" ht="69.90000000000001" customHeight="1" s="209">
      <c r="A687">
        <f>IF($BD687="","",SUMPRODUCT(ISNUMBER($BD$500:$BD$923)*($BD$500:$BD$923&gt;$BD687))+COUNTIF($BD$500:$BD687,$BD687))</f>
        <v/>
      </c>
      <c r="B687">
        <f>IF($H687="","",IF($H687&lt;5,"Yes","Maintain"))</f>
        <v/>
      </c>
      <c r="C687" t="inlineStr">
        <is>
          <t>Delivery Ops</t>
        </is>
      </c>
      <c r="D687" t="inlineStr">
        <is>
          <t>Process control</t>
        </is>
      </c>
      <c r="E687" t="inlineStr">
        <is>
          <t>DELI-017</t>
        </is>
      </c>
      <c r="F687" t="inlineStr">
        <is>
          <t>Delivery, service continuity and operational execution</t>
        </is>
      </c>
      <c r="G687">
        <f>IF($H687="","",IFERROR(INDEX('_ENGINE_Risk'!$H$41:$M$920,MATCH($E687,'_ENGINE_Risk'!$A$41:$A$920,0),$H687+1),""))</f>
        <v/>
      </c>
      <c r="H687">
        <f>IFERROR(VALUE(INDEX(_DATA_Assessment_Model!$H$5:$H$884,MATCH($E687,_DATA_Assessment_Model!$A$5:$A$884,0))),"")</f>
        <v/>
      </c>
      <c r="I687">
        <f>IF($H687="","",IFERROR(INDEX(_DATA_Assessment_Model!$L$5:$L$884,MATCH($E687,_DATA_Assessment_Model!$A$5:$A$884,0)),IF($H687&lt;=1,"Critical",IF($H687=2,"High",IF($H687=3,"Medium",IF($H687=4,"Low","Resilient"))))))</f>
        <v/>
      </c>
      <c r="J687">
        <f>IF($H687="","",MIN(5,MAX(1,6-$H687)))</f>
        <v/>
      </c>
      <c r="K687">
        <f>IF($H687="","",MAX(1,MIN(5,ROUNDUP(($U687*0.45)+($W687*0.35)+($X687*0.2),0))))</f>
        <v/>
      </c>
      <c r="L687">
        <f>IF($H687="","",$J687*$K687)</f>
        <v/>
      </c>
      <c r="M687">
        <f>IF($H687="","",MAX(1,MIN(5,ROUNDUP($L687/5,0))))</f>
        <v/>
      </c>
      <c r="N687">
        <f>IF($H687="","",IFERROR(INDEX('_ENGINE_Risk'!$T$41:$Y$920,MATCH($E687,'_ENGINE_Risk'!$A$41:$A$920,0),$H687+1),""))</f>
        <v/>
      </c>
      <c r="O687">
        <f>IF($H687="","",MAX(1,MIN(5,($U687+$V687+$X687)/3)))</f>
        <v/>
      </c>
      <c r="P687">
        <f>IF($H687="","",IF($I687="Critical",5,IF($I687="High",4,IF($I687="Medium",3,IF($I687="Low",2,1)))))</f>
        <v/>
      </c>
      <c r="Q687">
        <f>IF($H687="","",MAX(1,MIN(5,((5-$H687)*0.65)+($W687*0.35))))</f>
        <v/>
      </c>
      <c r="R687">
        <f>IF($H687="","",MAX(1,MIN(5,($V687+$X687)/2)))</f>
        <v/>
      </c>
      <c r="S687">
        <f>IF(OR($H687="",$N687=""),"",ROUND(($O687+$P687+$Q687+$R687)/$N687,2))</f>
        <v/>
      </c>
      <c r="T687">
        <f>IF($H687="","",IFERROR(INDEX('_ENGINE_Risk'!$N$41:$S$920,MATCH($E687,'_ENGINE_Risk'!$A$41:$A$920,0),$H687+1),""))</f>
        <v/>
      </c>
      <c r="U687">
        <f>IFERROR(INDEX(_DATA_Assessment_Model!$G$5:$G$884,MATCH($E687,_DATA_Assessment_Model!$A$5:$A$884,0)),"")</f>
        <v/>
      </c>
      <c r="V687">
        <f>IFERROR(INDEX(_DATA_Assessment_Model!$W$5:$W$884,MATCH($E687,_DATA_Assessment_Model!$A$5:$A$884,0)),"")</f>
        <v/>
      </c>
      <c r="W687">
        <f>IFERROR(INDEX(_DATA_Assessment_Model!$X$5:$X$884,MATCH($E687,_DATA_Assessment_Model!$A$5:$A$884,0)),"")</f>
        <v/>
      </c>
      <c r="X687">
        <f>IFERROR(INDEX(_DATA_Assessment_Model!$Y$5:$Y$884,MATCH($E687,_DATA_Assessment_Model!$A$5:$A$884,0)),"")</f>
        <v/>
      </c>
      <c r="Y687" t="inlineStr">
        <is>
          <t>Delivery disruption; Customer impact; Workforce disruption</t>
        </is>
      </c>
      <c r="Z687" t="inlineStr">
        <is>
          <t>COO / Delivery</t>
        </is>
      </c>
      <c r="AA687" t="inlineStr">
        <is>
          <t>Policy/SOP; owner/RACI; system report; dashboard; contracts; test records; incident history; interview evidence related to manual workarounds if delivery systems are unavailable.</t>
        </is>
      </c>
      <c r="AB687">
        <f>IFERROR(INDEX(_DATA_Assessment_Model!$U$5:$U$884,MATCH($E687,_DATA_Assessment_Model!$A$5:$A$884,0)),"")</f>
        <v/>
      </c>
      <c r="AF687" t="inlineStr">
        <is>
          <t>How mature is the organization in managing manual workarounds if delivery systems are unavailable, including ownership, evidence, metrics, fallback procedures and crisis stress testing?</t>
        </is>
      </c>
      <c r="AO687">
        <f>IF($B687="Yes",IFERROR(INDEX(_ENGINE_Crisis!$F$501:$F$517,MATCH($C687,_ENGINE_Crisis!$A$501:$A$517,0)),1),"")</f>
        <v/>
      </c>
      <c r="AP687">
        <f>IF(AO687="","",ROUND($L687*AO687,1))</f>
        <v/>
      </c>
      <c r="AQ687">
        <f>IF(OR(AO687="",$S687=""),"",ROUND($S687*(0.7+0.3*AO687),2))</f>
        <v/>
      </c>
      <c r="AR687">
        <f>IFERROR(INDEX(_ENGINE_Crisis!$E$41:$E$700,MATCH('Resilience &amp; Risk Scenario'!$B$60&amp;"|"&amp;$C687,_ENGINE_Crisis!$I$41:$I$700,0)),"")</f>
        <v/>
      </c>
      <c r="AS687">
        <f>IFERROR(INDEX(_ENGINE_Crisis!$G$41:$G$700,MATCH('Resilience &amp; Risk Scenario'!$B$60&amp;"|"&amp;$C687,_ENGINE_Crisis!$I$41:$I$700,0)),"")</f>
        <v/>
      </c>
      <c r="AT687">
        <f>IFERROR(INDEX(_ENGINE_Initiatives!$A$5:$A$532,MATCH(1,INDEX((_ENGINE_Initiatives!$B$5:$B$532=$C687)*(_ENGINE_Initiatives!$C$5:$C$532=$D687),0),0)),"")</f>
        <v/>
      </c>
      <c r="AU687">
        <f>IFERROR(INDEX(_ENGINE_Initiatives!$F$5:$F$532,MATCH(1,INDEX((_ENGINE_Initiatives!$B$5:$B$532=$C687)*(_ENGINE_Initiatives!$C$5:$C$532=$D687),0),0)),"")</f>
        <v/>
      </c>
      <c r="AV687">
        <f>IFERROR(INDEX(_ENGINE_Initiatives!$AC$5:$AC$532,MATCH(1,INDEX((_ENGINE_Initiatives!$B$5:$B$532=$C687)*(_ENGINE_Initiatives!$C$5:$C$532=$D687),0),0)),"")</f>
        <v/>
      </c>
      <c r="AW687">
        <f>IFERROR(INDEX(_ENGINE_Initiatives!$AE$5:$AE$532,MATCH(1,INDEX((_ENGINE_Initiatives!$B$5:$B$532=$C687)*(_ENGINE_Initiatives!$C$5:$C$532=$D687),0),0)),"")</f>
        <v/>
      </c>
      <c r="AX687">
        <f>IF($B687="Yes",IFERROR(IF(SUMIFS(_REF_Model_Content!$E$1:$E$613,_REF_Model_Content!$A$1:$A$613,'Company Profile'!$B$9,_REF_Model_Content!$B$1:$B$613,$C687)=0,1,SUMIFS(_REF_Model_Content!$E$1:$E$613,_REF_Model_Content!$A$1:$A$613,'Company Profile'!$B$9,_REF_Model_Content!$B$1:$B$613,$C687)),1),"")</f>
        <v/>
      </c>
      <c r="AY687">
        <f>IF($L687="","",ROUND(IF($AP687="",$L687,$AP687)*IF($AX687="",1,$AX687),2))</f>
        <v/>
      </c>
      <c r="AZ687">
        <f>IF($S687="","",ROUND(IF($AQ687="",$S687,$AQ687)*IF($AX687="",1,$AX687),2))</f>
        <v/>
      </c>
      <c r="BB687">
        <f>IF($H687="","",IFERROR(INDEX('_ENGINE_Risk'!$AE$41:$AE$920,MATCH($E687,'_ENGINE_Risk'!$A$41:$A$920,0)),"Medium"))</f>
        <v/>
      </c>
      <c r="BC687">
        <f>IF($BB687="","",IF($BB687="Fast",1.25,IF($BB687="Slow",0.85,1)))</f>
        <v/>
      </c>
      <c r="BD687">
        <f>IF(OR($AZ687="",$BC687=""),"",ROUND($AZ687*$BC687,2))</f>
        <v/>
      </c>
      <c r="BF687">
        <f>IF(OR($H687="",$J687=""),"",_xlfn.IFNA(VLOOKUP($J687,_CONFIG_Model_Settings!$D$610:$E$614,2,0),""))</f>
        <v/>
      </c>
      <c r="BG687">
        <f>IF(OR($H687="",$K687=""),"",ROUND('Company Profile'!$B$569*INDEX(_CONFIG_Model_Settings!$H$610:$H$614,MATCH($K687,_CONFIG_Model_Settings!$G$610:$G$614,0)),0))</f>
        <v/>
      </c>
      <c r="BH687">
        <f>IF(OR($BF687="",$BG687=""),"",ROUND($BF687*$BG687,1))</f>
        <v/>
      </c>
      <c r="BI687">
        <f>IF($BH687="","",IF($AO687="",$BH687,ROUND($BH687*$AO687,1)))</f>
        <v/>
      </c>
      <c r="BJ687">
        <f>IF($E687="","",IFERROR(VLOOKUP($C687,'_CONFIG_Risk_Calibration'!$A$5:$H$21,2,FALSE),3))</f>
        <v/>
      </c>
      <c r="BK687">
        <f>IF($E687="","",IFERROR(VLOOKUP($C687,'_CONFIG_Risk_Calibration'!$A$5:$H$21,3,FALSE),0))</f>
        <v/>
      </c>
      <c r="BL687">
        <f>IF($E687="","",IFERROR(VLOOKUP($C687,'_CONFIG_Risk_Calibration'!$A$5:$H$21,4,FALSE),3))</f>
        <v/>
      </c>
      <c r="BM687">
        <f>IF($E687="","",IFERROR(VLOOKUP($C687,'_CONFIG_Risk_Calibration'!$A$5:$H$21,5,FALSE),3))</f>
        <v/>
      </c>
      <c r="BN687">
        <f>IF($E687="","",IFERROR(VLOOKUP($C687,'_CONFIG_Risk_Calibration'!$A$5:$H$21,6,FALSE),"No"))</f>
        <v/>
      </c>
      <c r="BO687">
        <f>IF($E687="","",IFERROR(VLOOKUP($C687,'_CONFIG_Risk_Calibration'!$A$5:$H$21,7,FALSE),1))</f>
        <v/>
      </c>
      <c r="BP687">
        <f>IF($H687="","",MAX(1,MIN(5,((6-$H687)*0.45)+($BJ687*0.20)+('Resilience &amp; Risk Scenario'!$B$7*0.15)+($BK687*0.10)+($BL687*0.05)+(IF($BB687="Fast",5,IF($BB687="Slow",1,3))*0.05))))</f>
        <v/>
      </c>
      <c r="BQ687">
        <f>IF($H687="","",MAX(IF($BN687="Yes",$BO687,1),MIN(5,($U687*0.20)+($V687*0.15)+($W687*0.25)+($X687*0.15)+($BJ687*0.10)+($BM687*0.15))))</f>
        <v/>
      </c>
      <c r="BR687">
        <f>IF(OR($BP687="",$BQ687=""),"",ROUND($BP687*$BQ687,2))</f>
        <v/>
      </c>
      <c r="BS687">
        <f>IF($BR687="","",ROUND($BR687*IF($AO687="",1,$AO687)*IF($AX687="",1,$AX687)*(1+(($BM687-3)*0.10))*IF($BC687="",1,$BC687),2))</f>
        <v/>
      </c>
    </row>
    <row r="688" ht="69.90000000000001" customHeight="1" s="209">
      <c r="A688">
        <f>IF($BD688="","",SUMPRODUCT(ISNUMBER($BD$500:$BD$923)*($BD$500:$BD$923&gt;$BD688))+COUNTIF($BD$500:$BD688,$BD688))</f>
        <v/>
      </c>
      <c r="B688">
        <f>IF($H688="","",IF($H688&lt;5,"Yes","Maintain"))</f>
        <v/>
      </c>
      <c r="C688" t="inlineStr">
        <is>
          <t>Delivery Ops</t>
        </is>
      </c>
      <c r="D688" t="inlineStr">
        <is>
          <t>Process control</t>
        </is>
      </c>
      <c r="E688" t="inlineStr">
        <is>
          <t>DELI-018</t>
        </is>
      </c>
      <c r="F688" t="inlineStr">
        <is>
          <t>Delivery, service continuity and operational execution</t>
        </is>
      </c>
      <c r="G688">
        <f>IF($H688="","",IFERROR(INDEX('_ENGINE_Risk'!$H$41:$M$920,MATCH($E688,'_ENGINE_Risk'!$A$41:$A$920,0),$H688+1),""))</f>
        <v/>
      </c>
      <c r="H688">
        <f>IFERROR(VALUE(INDEX(_DATA_Assessment_Model!$H$5:$H$884,MATCH($E688,_DATA_Assessment_Model!$A$5:$A$884,0))),"")</f>
        <v/>
      </c>
      <c r="I688">
        <f>IF($H688="","",IFERROR(INDEX(_DATA_Assessment_Model!$L$5:$L$884,MATCH($E688,_DATA_Assessment_Model!$A$5:$A$884,0)),IF($H688&lt;=1,"Critical",IF($H688=2,"High",IF($H688=3,"Medium",IF($H688=4,"Low","Resilient"))))))</f>
        <v/>
      </c>
      <c r="J688">
        <f>IF($H688="","",MIN(5,MAX(1,6-$H688)))</f>
        <v/>
      </c>
      <c r="K688">
        <f>IF($H688="","",MAX(1,MIN(5,ROUNDUP(($U688*0.45)+($W688*0.35)+($X688*0.2),0))))</f>
        <v/>
      </c>
      <c r="L688">
        <f>IF($H688="","",$J688*$K688)</f>
        <v/>
      </c>
      <c r="M688">
        <f>IF($H688="","",MAX(1,MIN(5,ROUNDUP($L688/5,0))))</f>
        <v/>
      </c>
      <c r="N688">
        <f>IF($H688="","",IFERROR(INDEX('_ENGINE_Risk'!$T$41:$Y$920,MATCH($E688,'_ENGINE_Risk'!$A$41:$A$920,0),$H688+1),""))</f>
        <v/>
      </c>
      <c r="O688">
        <f>IF($H688="","",MAX(1,MIN(5,($U688+$V688+$X688)/3)))</f>
        <v/>
      </c>
      <c r="P688">
        <f>IF($H688="","",IF($I688="Critical",5,IF($I688="High",4,IF($I688="Medium",3,IF($I688="Low",2,1)))))</f>
        <v/>
      </c>
      <c r="Q688">
        <f>IF($H688="","",MAX(1,MIN(5,((5-$H688)*0.65)+($W688*0.35))))</f>
        <v/>
      </c>
      <c r="R688">
        <f>IF($H688="","",MAX(1,MIN(5,($V688+$X688)/2)))</f>
        <v/>
      </c>
      <c r="S688">
        <f>IF(OR($H688="",$N688=""),"",ROUND(($O688+$P688+$Q688+$R688)/$N688,2))</f>
        <v/>
      </c>
      <c r="T688">
        <f>IF($H688="","",IFERROR(INDEX('_ENGINE_Risk'!$N$41:$S$920,MATCH($E688,'_ENGINE_Risk'!$A$41:$A$920,0),$H688+1),""))</f>
        <v/>
      </c>
      <c r="U688">
        <f>IFERROR(INDEX(_DATA_Assessment_Model!$G$5:$G$884,MATCH($E688,_DATA_Assessment_Model!$A$5:$A$884,0)),"")</f>
        <v/>
      </c>
      <c r="V688">
        <f>IFERROR(INDEX(_DATA_Assessment_Model!$W$5:$W$884,MATCH($E688,_DATA_Assessment_Model!$A$5:$A$884,0)),"")</f>
        <v/>
      </c>
      <c r="W688">
        <f>IFERROR(INDEX(_DATA_Assessment_Model!$X$5:$X$884,MATCH($E688,_DATA_Assessment_Model!$A$5:$A$884,0)),"")</f>
        <v/>
      </c>
      <c r="X688">
        <f>IFERROR(INDEX(_DATA_Assessment_Model!$Y$5:$Y$884,MATCH($E688,_DATA_Assessment_Model!$A$5:$A$884,0)),"")</f>
        <v/>
      </c>
      <c r="Y688" t="inlineStr">
        <is>
          <t>Delivery disruption; Customer impact; Workforce disruption</t>
        </is>
      </c>
      <c r="Z688" t="inlineStr">
        <is>
          <t>COO / Delivery</t>
        </is>
      </c>
      <c r="AA688" t="inlineStr">
        <is>
          <t>Policy/SOP; owner/RACI; system report; dashboard; contracts; test records; incident history; interview evidence related to root cause analysis for recurring delivery failures.</t>
        </is>
      </c>
      <c r="AB688">
        <f>IFERROR(INDEX(_DATA_Assessment_Model!$U$5:$U$884,MATCH($E688,_DATA_Assessment_Model!$A$5:$A$884,0)),"")</f>
        <v/>
      </c>
      <c r="AF688" t="inlineStr">
        <is>
          <t>How mature is the organization in managing root cause analysis for recurring delivery failures, including ownership, evidence, metrics, fallback procedures and crisis stress testing?</t>
        </is>
      </c>
      <c r="AO688">
        <f>IF($B688="Yes",IFERROR(INDEX(_ENGINE_Crisis!$F$501:$F$517,MATCH($C688,_ENGINE_Crisis!$A$501:$A$517,0)),1),"")</f>
        <v/>
      </c>
      <c r="AP688">
        <f>IF(AO688="","",ROUND($L688*AO688,1))</f>
        <v/>
      </c>
      <c r="AQ688">
        <f>IF(OR(AO688="",$S688=""),"",ROUND($S688*(0.7+0.3*AO688),2))</f>
        <v/>
      </c>
      <c r="AR688">
        <f>IFERROR(INDEX(_ENGINE_Crisis!$E$41:$E$700,MATCH('Resilience &amp; Risk Scenario'!$B$60&amp;"|"&amp;$C688,_ENGINE_Crisis!$I$41:$I$700,0)),"")</f>
        <v/>
      </c>
      <c r="AS688">
        <f>IFERROR(INDEX(_ENGINE_Crisis!$G$41:$G$700,MATCH('Resilience &amp; Risk Scenario'!$B$60&amp;"|"&amp;$C688,_ENGINE_Crisis!$I$41:$I$700,0)),"")</f>
        <v/>
      </c>
      <c r="AT688">
        <f>IFERROR(INDEX(_ENGINE_Initiatives!$A$5:$A$532,MATCH(1,INDEX((_ENGINE_Initiatives!$B$5:$B$532=$C688)*(_ENGINE_Initiatives!$C$5:$C$532=$D688),0),0)),"")</f>
        <v/>
      </c>
      <c r="AU688">
        <f>IFERROR(INDEX(_ENGINE_Initiatives!$F$5:$F$532,MATCH(1,INDEX((_ENGINE_Initiatives!$B$5:$B$532=$C688)*(_ENGINE_Initiatives!$C$5:$C$532=$D688),0),0)),"")</f>
        <v/>
      </c>
      <c r="AV688">
        <f>IFERROR(INDEX(_ENGINE_Initiatives!$AC$5:$AC$532,MATCH(1,INDEX((_ENGINE_Initiatives!$B$5:$B$532=$C688)*(_ENGINE_Initiatives!$C$5:$C$532=$D688),0),0)),"")</f>
        <v/>
      </c>
      <c r="AW688">
        <f>IFERROR(INDEX(_ENGINE_Initiatives!$AE$5:$AE$532,MATCH(1,INDEX((_ENGINE_Initiatives!$B$5:$B$532=$C688)*(_ENGINE_Initiatives!$C$5:$C$532=$D688),0),0)),"")</f>
        <v/>
      </c>
      <c r="AX688">
        <f>IF($B688="Yes",IFERROR(IF(SUMIFS(_REF_Model_Content!$E$1:$E$613,_REF_Model_Content!$A$1:$A$613,'Company Profile'!$B$9,_REF_Model_Content!$B$1:$B$613,$C688)=0,1,SUMIFS(_REF_Model_Content!$E$1:$E$613,_REF_Model_Content!$A$1:$A$613,'Company Profile'!$B$9,_REF_Model_Content!$B$1:$B$613,$C688)),1),"")</f>
        <v/>
      </c>
      <c r="AY688">
        <f>IF($L688="","",ROUND(IF($AP688="",$L688,$AP688)*IF($AX688="",1,$AX688),2))</f>
        <v/>
      </c>
      <c r="AZ688">
        <f>IF($S688="","",ROUND(IF($AQ688="",$S688,$AQ688)*IF($AX688="",1,$AX688),2))</f>
        <v/>
      </c>
      <c r="BB688">
        <f>IF($H688="","",IFERROR(INDEX('_ENGINE_Risk'!$AE$41:$AE$920,MATCH($E688,'_ENGINE_Risk'!$A$41:$A$920,0)),"Medium"))</f>
        <v/>
      </c>
      <c r="BC688">
        <f>IF($BB688="","",IF($BB688="Fast",1.25,IF($BB688="Slow",0.85,1)))</f>
        <v/>
      </c>
      <c r="BD688">
        <f>IF(OR($AZ688="",$BC688=""),"",ROUND($AZ688*$BC688,2))</f>
        <v/>
      </c>
      <c r="BF688">
        <f>IF(OR($H688="",$J688=""),"",_xlfn.IFNA(VLOOKUP($J688,_CONFIG_Model_Settings!$D$610:$E$614,2,0),""))</f>
        <v/>
      </c>
      <c r="BG688">
        <f>IF(OR($H688="",$K688=""),"",ROUND('Company Profile'!$B$569*INDEX(_CONFIG_Model_Settings!$H$610:$H$614,MATCH($K688,_CONFIG_Model_Settings!$G$610:$G$614,0)),0))</f>
        <v/>
      </c>
      <c r="BH688">
        <f>IF(OR($BF688="",$BG688=""),"",ROUND($BF688*$BG688,1))</f>
        <v/>
      </c>
      <c r="BI688">
        <f>IF($BH688="","",IF($AO688="",$BH688,ROUND($BH688*$AO688,1)))</f>
        <v/>
      </c>
      <c r="BJ688">
        <f>IF($E688="","",IFERROR(VLOOKUP($C688,'_CONFIG_Risk_Calibration'!$A$5:$H$21,2,FALSE),3))</f>
        <v/>
      </c>
      <c r="BK688">
        <f>IF($E688="","",IFERROR(VLOOKUP($C688,'_CONFIG_Risk_Calibration'!$A$5:$H$21,3,FALSE),0))</f>
        <v/>
      </c>
      <c r="BL688">
        <f>IF($E688="","",IFERROR(VLOOKUP($C688,'_CONFIG_Risk_Calibration'!$A$5:$H$21,4,FALSE),3))</f>
        <v/>
      </c>
      <c r="BM688">
        <f>IF($E688="","",IFERROR(VLOOKUP($C688,'_CONFIG_Risk_Calibration'!$A$5:$H$21,5,FALSE),3))</f>
        <v/>
      </c>
      <c r="BN688">
        <f>IF($E688="","",IFERROR(VLOOKUP($C688,'_CONFIG_Risk_Calibration'!$A$5:$H$21,6,FALSE),"No"))</f>
        <v/>
      </c>
      <c r="BO688">
        <f>IF($E688="","",IFERROR(VLOOKUP($C688,'_CONFIG_Risk_Calibration'!$A$5:$H$21,7,FALSE),1))</f>
        <v/>
      </c>
      <c r="BP688">
        <f>IF($H688="","",MAX(1,MIN(5,((6-$H688)*0.45)+($BJ688*0.20)+('Resilience &amp; Risk Scenario'!$B$7*0.15)+($BK688*0.10)+($BL688*0.05)+(IF($BB688="Fast",5,IF($BB688="Slow",1,3))*0.05))))</f>
        <v/>
      </c>
      <c r="BQ688">
        <f>IF($H688="","",MAX(IF($BN688="Yes",$BO688,1),MIN(5,($U688*0.20)+($V688*0.15)+($W688*0.25)+($X688*0.15)+($BJ688*0.10)+($BM688*0.15))))</f>
        <v/>
      </c>
      <c r="BR688">
        <f>IF(OR($BP688="",$BQ688=""),"",ROUND($BP688*$BQ688,2))</f>
        <v/>
      </c>
      <c r="BS688">
        <f>IF($BR688="","",ROUND($BR688*IF($AO688="",1,$AO688)*IF($AX688="",1,$AX688)*(1+(($BM688-3)*0.10))*IF($BC688="",1,$BC688),2))</f>
        <v/>
      </c>
    </row>
    <row r="689" ht="69.90000000000001" customHeight="1" s="209">
      <c r="A689">
        <f>IF($BD689="","",SUMPRODUCT(ISNUMBER($BD$500:$BD$923)*($BD$500:$BD$923&gt;$BD689))+COUNTIF($BD$500:$BD689,$BD689))</f>
        <v/>
      </c>
      <c r="B689">
        <f>IF($H689="","",IF($H689&lt;5,"Yes","Maintain"))</f>
        <v/>
      </c>
      <c r="C689" t="inlineStr">
        <is>
          <t>Delivery Ops</t>
        </is>
      </c>
      <c r="D689" t="inlineStr">
        <is>
          <t>Operational visibility</t>
        </is>
      </c>
      <c r="E689" t="inlineStr">
        <is>
          <t>DELI-019</t>
        </is>
      </c>
      <c r="F689" t="inlineStr">
        <is>
          <t>Delivery, service continuity and operational execution</t>
        </is>
      </c>
      <c r="G689">
        <f>IF($H689="","",IFERROR(INDEX('_ENGINE_Risk'!$H$41:$M$920,MATCH($E689,'_ENGINE_Risk'!$A$41:$A$920,0),$H689+1),""))</f>
        <v/>
      </c>
      <c r="H689">
        <f>IFERROR(VALUE(INDEX(_DATA_Assessment_Model!$H$5:$H$884,MATCH($E689,_DATA_Assessment_Model!$A$5:$A$884,0))),"")</f>
        <v/>
      </c>
      <c r="I689">
        <f>IF($H689="","",IFERROR(INDEX(_DATA_Assessment_Model!$L$5:$L$884,MATCH($E689,_DATA_Assessment_Model!$A$5:$A$884,0)),IF($H689&lt;=1,"Critical",IF($H689=2,"High",IF($H689=3,"Medium",IF($H689=4,"Low","Resilient"))))))</f>
        <v/>
      </c>
      <c r="J689">
        <f>IF($H689="","",MIN(5,MAX(1,6-$H689)))</f>
        <v/>
      </c>
      <c r="K689">
        <f>IF($H689="","",MAX(1,MIN(5,ROUNDUP(($U689*0.45)+($W689*0.35)+($X689*0.2),0))))</f>
        <v/>
      </c>
      <c r="L689">
        <f>IF($H689="","",$J689*$K689)</f>
        <v/>
      </c>
      <c r="M689">
        <f>IF($H689="","",MAX(1,MIN(5,ROUNDUP($L689/5,0))))</f>
        <v/>
      </c>
      <c r="N689">
        <f>IF($H689="","",IFERROR(INDEX('_ENGINE_Risk'!$T$41:$Y$920,MATCH($E689,'_ENGINE_Risk'!$A$41:$A$920,0),$H689+1),""))</f>
        <v/>
      </c>
      <c r="O689">
        <f>IF($H689="","",MAX(1,MIN(5,($U689+$V689+$X689)/3)))</f>
        <v/>
      </c>
      <c r="P689">
        <f>IF($H689="","",IF($I689="Critical",5,IF($I689="High",4,IF($I689="Medium",3,IF($I689="Low",2,1)))))</f>
        <v/>
      </c>
      <c r="Q689">
        <f>IF($H689="","",MAX(1,MIN(5,((5-$H689)*0.65)+($W689*0.35))))</f>
        <v/>
      </c>
      <c r="R689">
        <f>IF($H689="","",MAX(1,MIN(5,($V689+$X689)/2)))</f>
        <v/>
      </c>
      <c r="S689">
        <f>IF(OR($H689="",$N689=""),"",ROUND(($O689+$P689+$Q689+$R689)/$N689,2))</f>
        <v/>
      </c>
      <c r="T689">
        <f>IF($H689="","",IFERROR(INDEX('_ENGINE_Risk'!$N$41:$S$920,MATCH($E689,'_ENGINE_Risk'!$A$41:$A$920,0),$H689+1),""))</f>
        <v/>
      </c>
      <c r="U689">
        <f>IFERROR(INDEX(_DATA_Assessment_Model!$G$5:$G$884,MATCH($E689,_DATA_Assessment_Model!$A$5:$A$884,0)),"")</f>
        <v/>
      </c>
      <c r="V689">
        <f>IFERROR(INDEX(_DATA_Assessment_Model!$W$5:$W$884,MATCH($E689,_DATA_Assessment_Model!$A$5:$A$884,0)),"")</f>
        <v/>
      </c>
      <c r="W689">
        <f>IFERROR(INDEX(_DATA_Assessment_Model!$X$5:$X$884,MATCH($E689,_DATA_Assessment_Model!$A$5:$A$884,0)),"")</f>
        <v/>
      </c>
      <c r="X689">
        <f>IFERROR(INDEX(_DATA_Assessment_Model!$Y$5:$Y$884,MATCH($E689,_DATA_Assessment_Model!$A$5:$A$884,0)),"")</f>
        <v/>
      </c>
      <c r="Y689" t="inlineStr">
        <is>
          <t>Delivery disruption; Customer impact; Workforce disruption</t>
        </is>
      </c>
      <c r="Z689" t="inlineStr">
        <is>
          <t>COO / Delivery</t>
        </is>
      </c>
      <c r="AA689" t="inlineStr">
        <is>
          <t>Policy/SOP; owner/RACI; system report; dashboard; contracts; test records; incident history; interview evidence related to real-time visibility into orders, backlog, incidents, production, logistics and service performance.</t>
        </is>
      </c>
      <c r="AB689">
        <f>IFERROR(INDEX(_DATA_Assessment_Model!$U$5:$U$884,MATCH($E689,_DATA_Assessment_Model!$A$5:$A$884,0)),"")</f>
        <v/>
      </c>
      <c r="AF689" t="inlineStr">
        <is>
          <t>How mature is the organization in managing real-time visibility into orders, backlog, incidents, production, logistics and service performance, including ownership, evidence, metrics, fallback procedures and crisis stress testing?</t>
        </is>
      </c>
      <c r="AO689">
        <f>IF($B689="Yes",IFERROR(INDEX(_ENGINE_Crisis!$F$501:$F$517,MATCH($C689,_ENGINE_Crisis!$A$501:$A$517,0)),1),"")</f>
        <v/>
      </c>
      <c r="AP689">
        <f>IF(AO689="","",ROUND($L689*AO689,1))</f>
        <v/>
      </c>
      <c r="AQ689">
        <f>IF(OR(AO689="",$S689=""),"",ROUND($S689*(0.7+0.3*AO689),2))</f>
        <v/>
      </c>
      <c r="AR689">
        <f>IFERROR(INDEX(_ENGINE_Crisis!$E$41:$E$700,MATCH('Resilience &amp; Risk Scenario'!$B$60&amp;"|"&amp;$C689,_ENGINE_Crisis!$I$41:$I$700,0)),"")</f>
        <v/>
      </c>
      <c r="AS689">
        <f>IFERROR(INDEX(_ENGINE_Crisis!$G$41:$G$700,MATCH('Resilience &amp; Risk Scenario'!$B$60&amp;"|"&amp;$C689,_ENGINE_Crisis!$I$41:$I$700,0)),"")</f>
        <v/>
      </c>
      <c r="AT689">
        <f>IFERROR(INDEX(_ENGINE_Initiatives!$A$5:$A$532,MATCH(1,INDEX((_ENGINE_Initiatives!$B$5:$B$532=$C689)*(_ENGINE_Initiatives!$C$5:$C$532=$D689),0),0)),"")</f>
        <v/>
      </c>
      <c r="AU689">
        <f>IFERROR(INDEX(_ENGINE_Initiatives!$F$5:$F$532,MATCH(1,INDEX((_ENGINE_Initiatives!$B$5:$B$532=$C689)*(_ENGINE_Initiatives!$C$5:$C$532=$D689),0),0)),"")</f>
        <v/>
      </c>
      <c r="AV689">
        <f>IFERROR(INDEX(_ENGINE_Initiatives!$AC$5:$AC$532,MATCH(1,INDEX((_ENGINE_Initiatives!$B$5:$B$532=$C689)*(_ENGINE_Initiatives!$C$5:$C$532=$D689),0),0)),"")</f>
        <v/>
      </c>
      <c r="AW689">
        <f>IFERROR(INDEX(_ENGINE_Initiatives!$AE$5:$AE$532,MATCH(1,INDEX((_ENGINE_Initiatives!$B$5:$B$532=$C689)*(_ENGINE_Initiatives!$C$5:$C$532=$D689),0),0)),"")</f>
        <v/>
      </c>
      <c r="AX689">
        <f>IF($B689="Yes",IFERROR(IF(SUMIFS(_REF_Model_Content!$E$1:$E$613,_REF_Model_Content!$A$1:$A$613,'Company Profile'!$B$9,_REF_Model_Content!$B$1:$B$613,$C689)=0,1,SUMIFS(_REF_Model_Content!$E$1:$E$613,_REF_Model_Content!$A$1:$A$613,'Company Profile'!$B$9,_REF_Model_Content!$B$1:$B$613,$C689)),1),"")</f>
        <v/>
      </c>
      <c r="AY689">
        <f>IF($L689="","",ROUND(IF($AP689="",$L689,$AP689)*IF($AX689="",1,$AX689),2))</f>
        <v/>
      </c>
      <c r="AZ689">
        <f>IF($S689="","",ROUND(IF($AQ689="",$S689,$AQ689)*IF($AX689="",1,$AX689),2))</f>
        <v/>
      </c>
      <c r="BB689">
        <f>IF($H689="","",IFERROR(INDEX('_ENGINE_Risk'!$AE$41:$AE$920,MATCH($E689,'_ENGINE_Risk'!$A$41:$A$920,0)),"Medium"))</f>
        <v/>
      </c>
      <c r="BC689">
        <f>IF($BB689="","",IF($BB689="Fast",1.25,IF($BB689="Slow",0.85,1)))</f>
        <v/>
      </c>
      <c r="BD689">
        <f>IF(OR($AZ689="",$BC689=""),"",ROUND($AZ689*$BC689,2))</f>
        <v/>
      </c>
      <c r="BF689">
        <f>IF(OR($H689="",$J689=""),"",_xlfn.IFNA(VLOOKUP($J689,_CONFIG_Model_Settings!$D$610:$E$614,2,0),""))</f>
        <v/>
      </c>
      <c r="BG689">
        <f>IF(OR($H689="",$K689=""),"",ROUND('Company Profile'!$B$569*INDEX(_CONFIG_Model_Settings!$H$610:$H$614,MATCH($K689,_CONFIG_Model_Settings!$G$610:$G$614,0)),0))</f>
        <v/>
      </c>
      <c r="BH689">
        <f>IF(OR($BF689="",$BG689=""),"",ROUND($BF689*$BG689,1))</f>
        <v/>
      </c>
      <c r="BI689">
        <f>IF($BH689="","",IF($AO689="",$BH689,ROUND($BH689*$AO689,1)))</f>
        <v/>
      </c>
      <c r="BJ689">
        <f>IF($E689="","",IFERROR(VLOOKUP($C689,'_CONFIG_Risk_Calibration'!$A$5:$H$21,2,FALSE),3))</f>
        <v/>
      </c>
      <c r="BK689">
        <f>IF($E689="","",IFERROR(VLOOKUP($C689,'_CONFIG_Risk_Calibration'!$A$5:$H$21,3,FALSE),0))</f>
        <v/>
      </c>
      <c r="BL689">
        <f>IF($E689="","",IFERROR(VLOOKUP($C689,'_CONFIG_Risk_Calibration'!$A$5:$H$21,4,FALSE),3))</f>
        <v/>
      </c>
      <c r="BM689">
        <f>IF($E689="","",IFERROR(VLOOKUP($C689,'_CONFIG_Risk_Calibration'!$A$5:$H$21,5,FALSE),3))</f>
        <v/>
      </c>
      <c r="BN689">
        <f>IF($E689="","",IFERROR(VLOOKUP($C689,'_CONFIG_Risk_Calibration'!$A$5:$H$21,6,FALSE),"No"))</f>
        <v/>
      </c>
      <c r="BO689">
        <f>IF($E689="","",IFERROR(VLOOKUP($C689,'_CONFIG_Risk_Calibration'!$A$5:$H$21,7,FALSE),1))</f>
        <v/>
      </c>
      <c r="BP689">
        <f>IF($H689="","",MAX(1,MIN(5,((6-$H689)*0.45)+($BJ689*0.20)+('Resilience &amp; Risk Scenario'!$B$7*0.15)+($BK689*0.10)+($BL689*0.05)+(IF($BB689="Fast",5,IF($BB689="Slow",1,3))*0.05))))</f>
        <v/>
      </c>
      <c r="BQ689">
        <f>IF($H689="","",MAX(IF($BN689="Yes",$BO689,1),MIN(5,($U689*0.20)+($V689*0.15)+($W689*0.25)+($X689*0.15)+($BJ689*0.10)+($BM689*0.15))))</f>
        <v/>
      </c>
      <c r="BR689">
        <f>IF(OR($BP689="",$BQ689=""),"",ROUND($BP689*$BQ689,2))</f>
        <v/>
      </c>
      <c r="BS689">
        <f>IF($BR689="","",ROUND($BR689*IF($AO689="",1,$AO689)*IF($AX689="",1,$AX689)*(1+(($BM689-3)*0.10))*IF($BC689="",1,$BC689),2))</f>
        <v/>
      </c>
    </row>
    <row r="690" ht="69.90000000000001" customHeight="1" s="209">
      <c r="A690">
        <f>IF($BD690="","",SUMPRODUCT(ISNUMBER($BD$500:$BD$923)*($BD$500:$BD$923&gt;$BD690))+COUNTIF($BD$500:$BD690,$BD690))</f>
        <v/>
      </c>
      <c r="B690">
        <f>IF($H690="","",IF($H690&lt;5,"Yes","Maintain"))</f>
        <v/>
      </c>
      <c r="C690" t="inlineStr">
        <is>
          <t>Delivery Ops</t>
        </is>
      </c>
      <c r="D690" t="inlineStr">
        <is>
          <t>Operational visibility</t>
        </is>
      </c>
      <c r="E690" t="inlineStr">
        <is>
          <t>DELI-020</t>
        </is>
      </c>
      <c r="F690" t="inlineStr">
        <is>
          <t>Delivery, service continuity and operational execution</t>
        </is>
      </c>
      <c r="G690">
        <f>IF($H690="","",IFERROR(INDEX('_ENGINE_Risk'!$H$41:$M$920,MATCH($E690,'_ENGINE_Risk'!$A$41:$A$920,0),$H690+1),""))</f>
        <v/>
      </c>
      <c r="H690">
        <f>IFERROR(VALUE(INDEX(_DATA_Assessment_Model!$H$5:$H$884,MATCH($E690,_DATA_Assessment_Model!$A$5:$A$884,0))),"")</f>
        <v/>
      </c>
      <c r="I690">
        <f>IF($H690="","",IFERROR(INDEX(_DATA_Assessment_Model!$L$5:$L$884,MATCH($E690,_DATA_Assessment_Model!$A$5:$A$884,0)),IF($H690&lt;=1,"Critical",IF($H690=2,"High",IF($H690=3,"Medium",IF($H690=4,"Low","Resilient"))))))</f>
        <v/>
      </c>
      <c r="J690">
        <f>IF($H690="","",MIN(5,MAX(1,6-$H690)))</f>
        <v/>
      </c>
      <c r="K690">
        <f>IF($H690="","",MAX(1,MIN(5,ROUNDUP(($U690*0.45)+($W690*0.35)+($X690*0.2),0))))</f>
        <v/>
      </c>
      <c r="L690">
        <f>IF($H690="","",$J690*$K690)</f>
        <v/>
      </c>
      <c r="M690">
        <f>IF($H690="","",MAX(1,MIN(5,ROUNDUP($L690/5,0))))</f>
        <v/>
      </c>
      <c r="N690">
        <f>IF($H690="","",IFERROR(INDEX('_ENGINE_Risk'!$T$41:$Y$920,MATCH($E690,'_ENGINE_Risk'!$A$41:$A$920,0),$H690+1),""))</f>
        <v/>
      </c>
      <c r="O690">
        <f>IF($H690="","",MAX(1,MIN(5,($U690+$V690+$X690)/3)))</f>
        <v/>
      </c>
      <c r="P690">
        <f>IF($H690="","",IF($I690="Critical",5,IF($I690="High",4,IF($I690="Medium",3,IF($I690="Low",2,1)))))</f>
        <v/>
      </c>
      <c r="Q690">
        <f>IF($H690="","",MAX(1,MIN(5,((5-$H690)*0.65)+($W690*0.35))))</f>
        <v/>
      </c>
      <c r="R690">
        <f>IF($H690="","",MAX(1,MIN(5,($V690+$X690)/2)))</f>
        <v/>
      </c>
      <c r="S690">
        <f>IF(OR($H690="",$N690=""),"",ROUND(($O690+$P690+$Q690+$R690)/$N690,2))</f>
        <v/>
      </c>
      <c r="T690">
        <f>IF($H690="","",IFERROR(INDEX('_ENGINE_Risk'!$N$41:$S$920,MATCH($E690,'_ENGINE_Risk'!$A$41:$A$920,0),$H690+1),""))</f>
        <v/>
      </c>
      <c r="U690">
        <f>IFERROR(INDEX(_DATA_Assessment_Model!$G$5:$G$884,MATCH($E690,_DATA_Assessment_Model!$A$5:$A$884,0)),"")</f>
        <v/>
      </c>
      <c r="V690">
        <f>IFERROR(INDEX(_DATA_Assessment_Model!$W$5:$W$884,MATCH($E690,_DATA_Assessment_Model!$A$5:$A$884,0)),"")</f>
        <v/>
      </c>
      <c r="W690">
        <f>IFERROR(INDEX(_DATA_Assessment_Model!$X$5:$X$884,MATCH($E690,_DATA_Assessment_Model!$A$5:$A$884,0)),"")</f>
        <v/>
      </c>
      <c r="X690">
        <f>IFERROR(INDEX(_DATA_Assessment_Model!$Y$5:$Y$884,MATCH($E690,_DATA_Assessment_Model!$A$5:$A$884,0)),"")</f>
        <v/>
      </c>
      <c r="Y690" t="inlineStr">
        <is>
          <t>Delivery disruption; Customer impact; Workforce disruption</t>
        </is>
      </c>
      <c r="Z690" t="inlineStr">
        <is>
          <t>COO / Delivery</t>
        </is>
      </c>
      <c r="AA690" t="inlineStr">
        <is>
          <t>Policy/SOP; owner/RACI; system report; dashboard; contracts; test records; incident history; interview evidence related to operational KPIs for delivery quality, timeliness, throughput, cost, incidents and customer impact.</t>
        </is>
      </c>
      <c r="AB690">
        <f>IFERROR(INDEX(_DATA_Assessment_Model!$U$5:$U$884,MATCH($E690,_DATA_Assessment_Model!$A$5:$A$884,0)),"")</f>
        <v/>
      </c>
      <c r="AF690" t="inlineStr">
        <is>
          <t>How mature is the organization in managing operational KPIs for delivery quality, timeliness, throughput, cost, incidents and customer impact, including ownership, evidence, metrics, fallback procedures and crisis stress testing?</t>
        </is>
      </c>
      <c r="AO690">
        <f>IF($B690="Yes",IFERROR(INDEX(_ENGINE_Crisis!$F$501:$F$517,MATCH($C690,_ENGINE_Crisis!$A$501:$A$517,0)),1),"")</f>
        <v/>
      </c>
      <c r="AP690">
        <f>IF(AO690="","",ROUND($L690*AO690,1))</f>
        <v/>
      </c>
      <c r="AQ690">
        <f>IF(OR(AO690="",$S690=""),"",ROUND($S690*(0.7+0.3*AO690),2))</f>
        <v/>
      </c>
      <c r="AR690">
        <f>IFERROR(INDEX(_ENGINE_Crisis!$E$41:$E$700,MATCH('Resilience &amp; Risk Scenario'!$B$60&amp;"|"&amp;$C690,_ENGINE_Crisis!$I$41:$I$700,0)),"")</f>
        <v/>
      </c>
      <c r="AS690">
        <f>IFERROR(INDEX(_ENGINE_Crisis!$G$41:$G$700,MATCH('Resilience &amp; Risk Scenario'!$B$60&amp;"|"&amp;$C690,_ENGINE_Crisis!$I$41:$I$700,0)),"")</f>
        <v/>
      </c>
      <c r="AT690">
        <f>IFERROR(INDEX(_ENGINE_Initiatives!$A$5:$A$532,MATCH(1,INDEX((_ENGINE_Initiatives!$B$5:$B$532=$C690)*(_ENGINE_Initiatives!$C$5:$C$532=$D690),0),0)),"")</f>
        <v/>
      </c>
      <c r="AU690">
        <f>IFERROR(INDEX(_ENGINE_Initiatives!$F$5:$F$532,MATCH(1,INDEX((_ENGINE_Initiatives!$B$5:$B$532=$C690)*(_ENGINE_Initiatives!$C$5:$C$532=$D690),0),0)),"")</f>
        <v/>
      </c>
      <c r="AV690">
        <f>IFERROR(INDEX(_ENGINE_Initiatives!$AC$5:$AC$532,MATCH(1,INDEX((_ENGINE_Initiatives!$B$5:$B$532=$C690)*(_ENGINE_Initiatives!$C$5:$C$532=$D690),0),0)),"")</f>
        <v/>
      </c>
      <c r="AW690">
        <f>IFERROR(INDEX(_ENGINE_Initiatives!$AE$5:$AE$532,MATCH(1,INDEX((_ENGINE_Initiatives!$B$5:$B$532=$C690)*(_ENGINE_Initiatives!$C$5:$C$532=$D690),0),0)),"")</f>
        <v/>
      </c>
      <c r="AX690">
        <f>IF($B690="Yes",IFERROR(IF(SUMIFS(_REF_Model_Content!$E$1:$E$613,_REF_Model_Content!$A$1:$A$613,'Company Profile'!$B$9,_REF_Model_Content!$B$1:$B$613,$C690)=0,1,SUMIFS(_REF_Model_Content!$E$1:$E$613,_REF_Model_Content!$A$1:$A$613,'Company Profile'!$B$9,_REF_Model_Content!$B$1:$B$613,$C690)),1),"")</f>
        <v/>
      </c>
      <c r="AY690">
        <f>IF($L690="","",ROUND(IF($AP690="",$L690,$AP690)*IF($AX690="",1,$AX690),2))</f>
        <v/>
      </c>
      <c r="AZ690">
        <f>IF($S690="","",ROUND(IF($AQ690="",$S690,$AQ690)*IF($AX690="",1,$AX690),2))</f>
        <v/>
      </c>
      <c r="BB690">
        <f>IF($H690="","",IFERROR(INDEX('_ENGINE_Risk'!$AE$41:$AE$920,MATCH($E690,'_ENGINE_Risk'!$A$41:$A$920,0)),"Medium"))</f>
        <v/>
      </c>
      <c r="BC690">
        <f>IF($BB690="","",IF($BB690="Fast",1.25,IF($BB690="Slow",0.85,1)))</f>
        <v/>
      </c>
      <c r="BD690">
        <f>IF(OR($AZ690="",$BC690=""),"",ROUND($AZ690*$BC690,2))</f>
        <v/>
      </c>
      <c r="BF690">
        <f>IF(OR($H690="",$J690=""),"",_xlfn.IFNA(VLOOKUP($J690,_CONFIG_Model_Settings!$D$610:$E$614,2,0),""))</f>
        <v/>
      </c>
      <c r="BG690">
        <f>IF(OR($H690="",$K690=""),"",ROUND('Company Profile'!$B$569*INDEX(_CONFIG_Model_Settings!$H$610:$H$614,MATCH($K690,_CONFIG_Model_Settings!$G$610:$G$614,0)),0))</f>
        <v/>
      </c>
      <c r="BH690">
        <f>IF(OR($BF690="",$BG690=""),"",ROUND($BF690*$BG690,1))</f>
        <v/>
      </c>
      <c r="BI690">
        <f>IF($BH690="","",IF($AO690="",$BH690,ROUND($BH690*$AO690,1)))</f>
        <v/>
      </c>
      <c r="BJ690">
        <f>IF($E690="","",IFERROR(VLOOKUP($C690,'_CONFIG_Risk_Calibration'!$A$5:$H$21,2,FALSE),3))</f>
        <v/>
      </c>
      <c r="BK690">
        <f>IF($E690="","",IFERROR(VLOOKUP($C690,'_CONFIG_Risk_Calibration'!$A$5:$H$21,3,FALSE),0))</f>
        <v/>
      </c>
      <c r="BL690">
        <f>IF($E690="","",IFERROR(VLOOKUP($C690,'_CONFIG_Risk_Calibration'!$A$5:$H$21,4,FALSE),3))</f>
        <v/>
      </c>
      <c r="BM690">
        <f>IF($E690="","",IFERROR(VLOOKUP($C690,'_CONFIG_Risk_Calibration'!$A$5:$H$21,5,FALSE),3))</f>
        <v/>
      </c>
      <c r="BN690">
        <f>IF($E690="","",IFERROR(VLOOKUP($C690,'_CONFIG_Risk_Calibration'!$A$5:$H$21,6,FALSE),"No"))</f>
        <v/>
      </c>
      <c r="BO690">
        <f>IF($E690="","",IFERROR(VLOOKUP($C690,'_CONFIG_Risk_Calibration'!$A$5:$H$21,7,FALSE),1))</f>
        <v/>
      </c>
      <c r="BP690">
        <f>IF($H690="","",MAX(1,MIN(5,((6-$H690)*0.45)+($BJ690*0.20)+('Resilience &amp; Risk Scenario'!$B$7*0.15)+($BK690*0.10)+($BL690*0.05)+(IF($BB690="Fast",5,IF($BB690="Slow",1,3))*0.05))))</f>
        <v/>
      </c>
      <c r="BQ690">
        <f>IF($H690="","",MAX(IF($BN690="Yes",$BO690,1),MIN(5,($U690*0.20)+($V690*0.15)+($W690*0.25)+($X690*0.15)+($BJ690*0.10)+($BM690*0.15))))</f>
        <v/>
      </c>
      <c r="BR690">
        <f>IF(OR($BP690="",$BQ690=""),"",ROUND($BP690*$BQ690,2))</f>
        <v/>
      </c>
      <c r="BS690">
        <f>IF($BR690="","",ROUND($BR690*IF($AO690="",1,$AO690)*IF($AX690="",1,$AX690)*(1+(($BM690-3)*0.10))*IF($BC690="",1,$BC690),2))</f>
        <v/>
      </c>
    </row>
    <row r="691" ht="69.90000000000001" customHeight="1" s="209">
      <c r="A691">
        <f>IF($BD691="","",SUMPRODUCT(ISNUMBER($BD$500:$BD$923)*($BD$500:$BD$923&gt;$BD691))+COUNTIF($BD$500:$BD691,$BD691))</f>
        <v/>
      </c>
      <c r="B691">
        <f>IF($H691="","",IF($H691&lt;5,"Yes","Maintain"))</f>
        <v/>
      </c>
      <c r="C691" t="inlineStr">
        <is>
          <t>Delivery Ops</t>
        </is>
      </c>
      <c r="D691" t="inlineStr">
        <is>
          <t>Operational visibility</t>
        </is>
      </c>
      <c r="E691" t="inlineStr">
        <is>
          <t>DELI-021</t>
        </is>
      </c>
      <c r="F691" t="inlineStr">
        <is>
          <t>Delivery, service continuity and operational execution</t>
        </is>
      </c>
      <c r="G691">
        <f>IF($H691="","",IFERROR(INDEX('_ENGINE_Risk'!$H$41:$M$920,MATCH($E691,'_ENGINE_Risk'!$A$41:$A$920,0),$H691+1),""))</f>
        <v/>
      </c>
      <c r="H691">
        <f>IFERROR(VALUE(INDEX(_DATA_Assessment_Model!$H$5:$H$884,MATCH($E691,_DATA_Assessment_Model!$A$5:$A$884,0))),"")</f>
        <v/>
      </c>
      <c r="I691">
        <f>IF($H691="","",IFERROR(INDEX(_DATA_Assessment_Model!$L$5:$L$884,MATCH($E691,_DATA_Assessment_Model!$A$5:$A$884,0)),IF($H691&lt;=1,"Critical",IF($H691=2,"High",IF($H691=3,"Medium",IF($H691=4,"Low","Resilient"))))))</f>
        <v/>
      </c>
      <c r="J691">
        <f>IF($H691="","",MIN(5,MAX(1,6-$H691)))</f>
        <v/>
      </c>
      <c r="K691">
        <f>IF($H691="","",MAX(1,MIN(5,ROUNDUP(($U691*0.45)+($W691*0.35)+($X691*0.2),0))))</f>
        <v/>
      </c>
      <c r="L691">
        <f>IF($H691="","",$J691*$K691)</f>
        <v/>
      </c>
      <c r="M691">
        <f>IF($H691="","",MAX(1,MIN(5,ROUNDUP($L691/5,0))))</f>
        <v/>
      </c>
      <c r="N691">
        <f>IF($H691="","",IFERROR(INDEX('_ENGINE_Risk'!$T$41:$Y$920,MATCH($E691,'_ENGINE_Risk'!$A$41:$A$920,0),$H691+1),""))</f>
        <v/>
      </c>
      <c r="O691">
        <f>IF($H691="","",MAX(1,MIN(5,($U691+$V691+$X691)/3)))</f>
        <v/>
      </c>
      <c r="P691">
        <f>IF($H691="","",IF($I691="Critical",5,IF($I691="High",4,IF($I691="Medium",3,IF($I691="Low",2,1)))))</f>
        <v/>
      </c>
      <c r="Q691">
        <f>IF($H691="","",MAX(1,MIN(5,((5-$H691)*0.65)+($W691*0.35))))</f>
        <v/>
      </c>
      <c r="R691">
        <f>IF($H691="","",MAX(1,MIN(5,($V691+$X691)/2)))</f>
        <v/>
      </c>
      <c r="S691">
        <f>IF(OR($H691="",$N691=""),"",ROUND(($O691+$P691+$Q691+$R691)/$N691,2))</f>
        <v/>
      </c>
      <c r="T691">
        <f>IF($H691="","",IFERROR(INDEX('_ENGINE_Risk'!$N$41:$S$920,MATCH($E691,'_ENGINE_Risk'!$A$41:$A$920,0),$H691+1),""))</f>
        <v/>
      </c>
      <c r="U691">
        <f>IFERROR(INDEX(_DATA_Assessment_Model!$G$5:$G$884,MATCH($E691,_DATA_Assessment_Model!$A$5:$A$884,0)),"")</f>
        <v/>
      </c>
      <c r="V691">
        <f>IFERROR(INDEX(_DATA_Assessment_Model!$W$5:$W$884,MATCH($E691,_DATA_Assessment_Model!$A$5:$A$884,0)),"")</f>
        <v/>
      </c>
      <c r="W691">
        <f>IFERROR(INDEX(_DATA_Assessment_Model!$X$5:$X$884,MATCH($E691,_DATA_Assessment_Model!$A$5:$A$884,0)),"")</f>
        <v/>
      </c>
      <c r="X691">
        <f>IFERROR(INDEX(_DATA_Assessment_Model!$Y$5:$Y$884,MATCH($E691,_DATA_Assessment_Model!$A$5:$A$884,0)),"")</f>
        <v/>
      </c>
      <c r="Y691" t="inlineStr">
        <is>
          <t>Delivery disruption; Customer impact; Workforce disruption</t>
        </is>
      </c>
      <c r="Z691" t="inlineStr">
        <is>
          <t>COO / Delivery</t>
        </is>
      </c>
      <c r="AA691" t="inlineStr">
        <is>
          <t>Policy/SOP; owner/RACI; system report; dashboard; contracts; test records; incident history; interview evidence related to backlog aging analysis linked to customer risk, revenue risk and operational constraints.</t>
        </is>
      </c>
      <c r="AB691">
        <f>IFERROR(INDEX(_DATA_Assessment_Model!$U$5:$U$884,MATCH($E691,_DATA_Assessment_Model!$A$5:$A$884,0)),"")</f>
        <v/>
      </c>
      <c r="AF691" t="inlineStr">
        <is>
          <t>How mature is the organization in managing backlog aging analysis linked to customer risk, revenue risk and operational constraints, including ownership, evidence, metrics, fallback procedures and crisis stress testing?</t>
        </is>
      </c>
      <c r="AO691">
        <f>IF($B691="Yes",IFERROR(INDEX(_ENGINE_Crisis!$F$501:$F$517,MATCH($C691,_ENGINE_Crisis!$A$501:$A$517,0)),1),"")</f>
        <v/>
      </c>
      <c r="AP691">
        <f>IF(AO691="","",ROUND($L691*AO691,1))</f>
        <v/>
      </c>
      <c r="AQ691">
        <f>IF(OR(AO691="",$S691=""),"",ROUND($S691*(0.7+0.3*AO691),2))</f>
        <v/>
      </c>
      <c r="AR691">
        <f>IFERROR(INDEX(_ENGINE_Crisis!$E$41:$E$700,MATCH('Resilience &amp; Risk Scenario'!$B$60&amp;"|"&amp;$C691,_ENGINE_Crisis!$I$41:$I$700,0)),"")</f>
        <v/>
      </c>
      <c r="AS691">
        <f>IFERROR(INDEX(_ENGINE_Crisis!$G$41:$G$700,MATCH('Resilience &amp; Risk Scenario'!$B$60&amp;"|"&amp;$C691,_ENGINE_Crisis!$I$41:$I$700,0)),"")</f>
        <v/>
      </c>
      <c r="AT691">
        <f>IFERROR(INDEX(_ENGINE_Initiatives!$A$5:$A$532,MATCH(1,INDEX((_ENGINE_Initiatives!$B$5:$B$532=$C691)*(_ENGINE_Initiatives!$C$5:$C$532=$D691),0),0)),"")</f>
        <v/>
      </c>
      <c r="AU691">
        <f>IFERROR(INDEX(_ENGINE_Initiatives!$F$5:$F$532,MATCH(1,INDEX((_ENGINE_Initiatives!$B$5:$B$532=$C691)*(_ENGINE_Initiatives!$C$5:$C$532=$D691),0),0)),"")</f>
        <v/>
      </c>
      <c r="AV691">
        <f>IFERROR(INDEX(_ENGINE_Initiatives!$AC$5:$AC$532,MATCH(1,INDEX((_ENGINE_Initiatives!$B$5:$B$532=$C691)*(_ENGINE_Initiatives!$C$5:$C$532=$D691),0),0)),"")</f>
        <v/>
      </c>
      <c r="AW691">
        <f>IFERROR(INDEX(_ENGINE_Initiatives!$AE$5:$AE$532,MATCH(1,INDEX((_ENGINE_Initiatives!$B$5:$B$532=$C691)*(_ENGINE_Initiatives!$C$5:$C$532=$D691),0),0)),"")</f>
        <v/>
      </c>
      <c r="AX691">
        <f>IF($B691="Yes",IFERROR(IF(SUMIFS(_REF_Model_Content!$E$1:$E$613,_REF_Model_Content!$A$1:$A$613,'Company Profile'!$B$9,_REF_Model_Content!$B$1:$B$613,$C691)=0,1,SUMIFS(_REF_Model_Content!$E$1:$E$613,_REF_Model_Content!$A$1:$A$613,'Company Profile'!$B$9,_REF_Model_Content!$B$1:$B$613,$C691)),1),"")</f>
        <v/>
      </c>
      <c r="AY691">
        <f>IF($L691="","",ROUND(IF($AP691="",$L691,$AP691)*IF($AX691="",1,$AX691),2))</f>
        <v/>
      </c>
      <c r="AZ691">
        <f>IF($S691="","",ROUND(IF($AQ691="",$S691,$AQ691)*IF($AX691="",1,$AX691),2))</f>
        <v/>
      </c>
      <c r="BB691">
        <f>IF($H691="","",IFERROR(INDEX('_ENGINE_Risk'!$AE$41:$AE$920,MATCH($E691,'_ENGINE_Risk'!$A$41:$A$920,0)),"Medium"))</f>
        <v/>
      </c>
      <c r="BC691">
        <f>IF($BB691="","",IF($BB691="Fast",1.25,IF($BB691="Slow",0.85,1)))</f>
        <v/>
      </c>
      <c r="BD691">
        <f>IF(OR($AZ691="",$BC691=""),"",ROUND($AZ691*$BC691,2))</f>
        <v/>
      </c>
      <c r="BF691">
        <f>IF(OR($H691="",$J691=""),"",_xlfn.IFNA(VLOOKUP($J691,_CONFIG_Model_Settings!$D$610:$E$614,2,0),""))</f>
        <v/>
      </c>
      <c r="BG691">
        <f>IF(OR($H691="",$K691=""),"",ROUND('Company Profile'!$B$569*INDEX(_CONFIG_Model_Settings!$H$610:$H$614,MATCH($K691,_CONFIG_Model_Settings!$G$610:$G$614,0)),0))</f>
        <v/>
      </c>
      <c r="BH691">
        <f>IF(OR($BF691="",$BG691=""),"",ROUND($BF691*$BG691,1))</f>
        <v/>
      </c>
      <c r="BI691">
        <f>IF($BH691="","",IF($AO691="",$BH691,ROUND($BH691*$AO691,1)))</f>
        <v/>
      </c>
      <c r="BJ691">
        <f>IF($E691="","",IFERROR(VLOOKUP($C691,'_CONFIG_Risk_Calibration'!$A$5:$H$21,2,FALSE),3))</f>
        <v/>
      </c>
      <c r="BK691">
        <f>IF($E691="","",IFERROR(VLOOKUP($C691,'_CONFIG_Risk_Calibration'!$A$5:$H$21,3,FALSE),0))</f>
        <v/>
      </c>
      <c r="BL691">
        <f>IF($E691="","",IFERROR(VLOOKUP($C691,'_CONFIG_Risk_Calibration'!$A$5:$H$21,4,FALSE),3))</f>
        <v/>
      </c>
      <c r="BM691">
        <f>IF($E691="","",IFERROR(VLOOKUP($C691,'_CONFIG_Risk_Calibration'!$A$5:$H$21,5,FALSE),3))</f>
        <v/>
      </c>
      <c r="BN691">
        <f>IF($E691="","",IFERROR(VLOOKUP($C691,'_CONFIG_Risk_Calibration'!$A$5:$H$21,6,FALSE),"No"))</f>
        <v/>
      </c>
      <c r="BO691">
        <f>IF($E691="","",IFERROR(VLOOKUP($C691,'_CONFIG_Risk_Calibration'!$A$5:$H$21,7,FALSE),1))</f>
        <v/>
      </c>
      <c r="BP691">
        <f>IF($H691="","",MAX(1,MIN(5,((6-$H691)*0.45)+($BJ691*0.20)+('Resilience &amp; Risk Scenario'!$B$7*0.15)+($BK691*0.10)+($BL691*0.05)+(IF($BB691="Fast",5,IF($BB691="Slow",1,3))*0.05))))</f>
        <v/>
      </c>
      <c r="BQ691">
        <f>IF($H691="","",MAX(IF($BN691="Yes",$BO691,1),MIN(5,($U691*0.20)+($V691*0.15)+($W691*0.25)+($X691*0.15)+($BJ691*0.10)+($BM691*0.15))))</f>
        <v/>
      </c>
      <c r="BR691">
        <f>IF(OR($BP691="",$BQ691=""),"",ROUND($BP691*$BQ691,2))</f>
        <v/>
      </c>
      <c r="BS691">
        <f>IF($BR691="","",ROUND($BR691*IF($AO691="",1,$AO691)*IF($AX691="",1,$AX691)*(1+(($BM691-3)*0.10))*IF($BC691="",1,$BC691),2))</f>
        <v/>
      </c>
    </row>
    <row r="692" ht="69.90000000000001" customHeight="1" s="209">
      <c r="A692">
        <f>IF($BD692="","",SUMPRODUCT(ISNUMBER($BD$500:$BD$923)*($BD$500:$BD$923&gt;$BD692))+COUNTIF($BD$500:$BD692,$BD692))</f>
        <v/>
      </c>
      <c r="B692">
        <f>IF($H692="","",IF($H692&lt;5,"Yes","Maintain"))</f>
        <v/>
      </c>
      <c r="C692" t="inlineStr">
        <is>
          <t>Delivery Ops</t>
        </is>
      </c>
      <c r="D692" t="inlineStr">
        <is>
          <t>Operational visibility</t>
        </is>
      </c>
      <c r="E692" t="inlineStr">
        <is>
          <t>DELI-022</t>
        </is>
      </c>
      <c r="F692" t="inlineStr">
        <is>
          <t>Delivery, service continuity and operational execution</t>
        </is>
      </c>
      <c r="G692">
        <f>IF($H692="","",IFERROR(INDEX('_ENGINE_Risk'!$H$41:$M$920,MATCH($E692,'_ENGINE_Risk'!$A$41:$A$920,0),$H692+1),""))</f>
        <v/>
      </c>
      <c r="H692">
        <f>IFERROR(VALUE(INDEX(_DATA_Assessment_Model!$H$5:$H$884,MATCH($E692,_DATA_Assessment_Model!$A$5:$A$884,0))),"")</f>
        <v/>
      </c>
      <c r="I692">
        <f>IF($H692="","",IFERROR(INDEX(_DATA_Assessment_Model!$L$5:$L$884,MATCH($E692,_DATA_Assessment_Model!$A$5:$A$884,0)),IF($H692&lt;=1,"Critical",IF($H692=2,"High",IF($H692=3,"Medium",IF($H692=4,"Low","Resilient"))))))</f>
        <v/>
      </c>
      <c r="J692">
        <f>IF($H692="","",MIN(5,MAX(1,6-$H692)))</f>
        <v/>
      </c>
      <c r="K692">
        <f>IF($H692="","",MAX(1,MIN(5,ROUNDUP(($U692*0.45)+($W692*0.35)+($X692*0.2),0))))</f>
        <v/>
      </c>
      <c r="L692">
        <f>IF($H692="","",$J692*$K692)</f>
        <v/>
      </c>
      <c r="M692">
        <f>IF($H692="","",MAX(1,MIN(5,ROUNDUP($L692/5,0))))</f>
        <v/>
      </c>
      <c r="N692">
        <f>IF($H692="","",IFERROR(INDEX('_ENGINE_Risk'!$T$41:$Y$920,MATCH($E692,'_ENGINE_Risk'!$A$41:$A$920,0),$H692+1),""))</f>
        <v/>
      </c>
      <c r="O692">
        <f>IF($H692="","",MAX(1,MIN(5,($U692+$V692+$X692)/3)))</f>
        <v/>
      </c>
      <c r="P692">
        <f>IF($H692="","",IF($I692="Critical",5,IF($I692="High",4,IF($I692="Medium",3,IF($I692="Low",2,1)))))</f>
        <v/>
      </c>
      <c r="Q692">
        <f>IF($H692="","",MAX(1,MIN(5,((5-$H692)*0.65)+($W692*0.35))))</f>
        <v/>
      </c>
      <c r="R692">
        <f>IF($H692="","",MAX(1,MIN(5,($V692+$X692)/2)))</f>
        <v/>
      </c>
      <c r="S692">
        <f>IF(OR($H692="",$N692=""),"",ROUND(($O692+$P692+$Q692+$R692)/$N692,2))</f>
        <v/>
      </c>
      <c r="T692">
        <f>IF($H692="","",IFERROR(INDEX('_ENGINE_Risk'!$N$41:$S$920,MATCH($E692,'_ENGINE_Risk'!$A$41:$A$920,0),$H692+1),""))</f>
        <v/>
      </c>
      <c r="U692">
        <f>IFERROR(INDEX(_DATA_Assessment_Model!$G$5:$G$884,MATCH($E692,_DATA_Assessment_Model!$A$5:$A$884,0)),"")</f>
        <v/>
      </c>
      <c r="V692">
        <f>IFERROR(INDEX(_DATA_Assessment_Model!$W$5:$W$884,MATCH($E692,_DATA_Assessment_Model!$A$5:$A$884,0)),"")</f>
        <v/>
      </c>
      <c r="W692">
        <f>IFERROR(INDEX(_DATA_Assessment_Model!$X$5:$X$884,MATCH($E692,_DATA_Assessment_Model!$A$5:$A$884,0)),"")</f>
        <v/>
      </c>
      <c r="X692">
        <f>IFERROR(INDEX(_DATA_Assessment_Model!$Y$5:$Y$884,MATCH($E692,_DATA_Assessment_Model!$A$5:$A$884,0)),"")</f>
        <v/>
      </c>
      <c r="Y692" t="inlineStr">
        <is>
          <t>Delivery disruption; Customer impact; Workforce disruption</t>
        </is>
      </c>
      <c r="Z692" t="inlineStr">
        <is>
          <t>COO / Delivery</t>
        </is>
      </c>
      <c r="AA692" t="inlineStr">
        <is>
          <t>Policy/SOP; owner/RACI; system report; dashboard; contracts; test records; incident history; interview evidence related to customer-specific runbooks for critical accounts.</t>
        </is>
      </c>
      <c r="AB692">
        <f>IFERROR(INDEX(_DATA_Assessment_Model!$U$5:$U$884,MATCH($E692,_DATA_Assessment_Model!$A$5:$A$884,0)),"")</f>
        <v/>
      </c>
      <c r="AF692" t="inlineStr">
        <is>
          <t>How mature is the organization in managing customer-specific runbooks for critical accounts, including ownership, evidence, metrics, fallback procedures and crisis stress testing?</t>
        </is>
      </c>
      <c r="AO692">
        <f>IF($B692="Yes",IFERROR(INDEX(_ENGINE_Crisis!$F$501:$F$517,MATCH($C692,_ENGINE_Crisis!$A$501:$A$517,0)),1),"")</f>
        <v/>
      </c>
      <c r="AP692">
        <f>IF(AO692="","",ROUND($L692*AO692,1))</f>
        <v/>
      </c>
      <c r="AQ692">
        <f>IF(OR(AO692="",$S692=""),"",ROUND($S692*(0.7+0.3*AO692),2))</f>
        <v/>
      </c>
      <c r="AR692">
        <f>IFERROR(INDEX(_ENGINE_Crisis!$E$41:$E$700,MATCH('Resilience &amp; Risk Scenario'!$B$60&amp;"|"&amp;$C692,_ENGINE_Crisis!$I$41:$I$700,0)),"")</f>
        <v/>
      </c>
      <c r="AS692">
        <f>IFERROR(INDEX(_ENGINE_Crisis!$G$41:$G$700,MATCH('Resilience &amp; Risk Scenario'!$B$60&amp;"|"&amp;$C692,_ENGINE_Crisis!$I$41:$I$700,0)),"")</f>
        <v/>
      </c>
      <c r="AT692">
        <f>IFERROR(INDEX(_ENGINE_Initiatives!$A$5:$A$532,MATCH(1,INDEX((_ENGINE_Initiatives!$B$5:$B$532=$C692)*(_ENGINE_Initiatives!$C$5:$C$532=$D692),0),0)),"")</f>
        <v/>
      </c>
      <c r="AU692">
        <f>IFERROR(INDEX(_ENGINE_Initiatives!$F$5:$F$532,MATCH(1,INDEX((_ENGINE_Initiatives!$B$5:$B$532=$C692)*(_ENGINE_Initiatives!$C$5:$C$532=$D692),0),0)),"")</f>
        <v/>
      </c>
      <c r="AV692">
        <f>IFERROR(INDEX(_ENGINE_Initiatives!$AC$5:$AC$532,MATCH(1,INDEX((_ENGINE_Initiatives!$B$5:$B$532=$C692)*(_ENGINE_Initiatives!$C$5:$C$532=$D692),0),0)),"")</f>
        <v/>
      </c>
      <c r="AW692">
        <f>IFERROR(INDEX(_ENGINE_Initiatives!$AE$5:$AE$532,MATCH(1,INDEX((_ENGINE_Initiatives!$B$5:$B$532=$C692)*(_ENGINE_Initiatives!$C$5:$C$532=$D692),0),0)),"")</f>
        <v/>
      </c>
      <c r="AX692">
        <f>IF($B692="Yes",IFERROR(IF(SUMIFS(_REF_Model_Content!$E$1:$E$613,_REF_Model_Content!$A$1:$A$613,'Company Profile'!$B$9,_REF_Model_Content!$B$1:$B$613,$C692)=0,1,SUMIFS(_REF_Model_Content!$E$1:$E$613,_REF_Model_Content!$A$1:$A$613,'Company Profile'!$B$9,_REF_Model_Content!$B$1:$B$613,$C692)),1),"")</f>
        <v/>
      </c>
      <c r="AY692">
        <f>IF($L692="","",ROUND(IF($AP692="",$L692,$AP692)*IF($AX692="",1,$AX692),2))</f>
        <v/>
      </c>
      <c r="AZ692">
        <f>IF($S692="","",ROUND(IF($AQ692="",$S692,$AQ692)*IF($AX692="",1,$AX692),2))</f>
        <v/>
      </c>
      <c r="BB692">
        <f>IF($H692="","",IFERROR(INDEX('_ENGINE_Risk'!$AE$41:$AE$920,MATCH($E692,'_ENGINE_Risk'!$A$41:$A$920,0)),"Medium"))</f>
        <v/>
      </c>
      <c r="BC692">
        <f>IF($BB692="","",IF($BB692="Fast",1.25,IF($BB692="Slow",0.85,1)))</f>
        <v/>
      </c>
      <c r="BD692">
        <f>IF(OR($AZ692="",$BC692=""),"",ROUND($AZ692*$BC692,2))</f>
        <v/>
      </c>
      <c r="BF692">
        <f>IF(OR($H692="",$J692=""),"",_xlfn.IFNA(VLOOKUP($J692,_CONFIG_Model_Settings!$D$610:$E$614,2,0),""))</f>
        <v/>
      </c>
      <c r="BG692">
        <f>IF(OR($H692="",$K692=""),"",ROUND('Company Profile'!$B$569*INDEX(_CONFIG_Model_Settings!$H$610:$H$614,MATCH($K692,_CONFIG_Model_Settings!$G$610:$G$614,0)),0))</f>
        <v/>
      </c>
      <c r="BH692">
        <f>IF(OR($BF692="",$BG692=""),"",ROUND($BF692*$BG692,1))</f>
        <v/>
      </c>
      <c r="BI692">
        <f>IF($BH692="","",IF($AO692="",$BH692,ROUND($BH692*$AO692,1)))</f>
        <v/>
      </c>
      <c r="BJ692">
        <f>IF($E692="","",IFERROR(VLOOKUP($C692,'_CONFIG_Risk_Calibration'!$A$5:$H$21,2,FALSE),3))</f>
        <v/>
      </c>
      <c r="BK692">
        <f>IF($E692="","",IFERROR(VLOOKUP($C692,'_CONFIG_Risk_Calibration'!$A$5:$H$21,3,FALSE),0))</f>
        <v/>
      </c>
      <c r="BL692">
        <f>IF($E692="","",IFERROR(VLOOKUP($C692,'_CONFIG_Risk_Calibration'!$A$5:$H$21,4,FALSE),3))</f>
        <v/>
      </c>
      <c r="BM692">
        <f>IF($E692="","",IFERROR(VLOOKUP($C692,'_CONFIG_Risk_Calibration'!$A$5:$H$21,5,FALSE),3))</f>
        <v/>
      </c>
      <c r="BN692">
        <f>IF($E692="","",IFERROR(VLOOKUP($C692,'_CONFIG_Risk_Calibration'!$A$5:$H$21,6,FALSE),"No"))</f>
        <v/>
      </c>
      <c r="BO692">
        <f>IF($E692="","",IFERROR(VLOOKUP($C692,'_CONFIG_Risk_Calibration'!$A$5:$H$21,7,FALSE),1))</f>
        <v/>
      </c>
      <c r="BP692">
        <f>IF($H692="","",MAX(1,MIN(5,((6-$H692)*0.45)+($BJ692*0.20)+('Resilience &amp; Risk Scenario'!$B$7*0.15)+($BK692*0.10)+($BL692*0.05)+(IF($BB692="Fast",5,IF($BB692="Slow",1,3))*0.05))))</f>
        <v/>
      </c>
      <c r="BQ692">
        <f>IF($H692="","",MAX(IF($BN692="Yes",$BO692,1),MIN(5,($U692*0.20)+($V692*0.15)+($W692*0.25)+($X692*0.15)+($BJ692*0.10)+($BM692*0.15))))</f>
        <v/>
      </c>
      <c r="BR692">
        <f>IF(OR($BP692="",$BQ692=""),"",ROUND($BP692*$BQ692,2))</f>
        <v/>
      </c>
      <c r="BS692">
        <f>IF($BR692="","",ROUND($BR692*IF($AO692="",1,$AO692)*IF($AX692="",1,$AX692)*(1+(($BM692-3)*0.10))*IF($BC692="",1,$BC692),2))</f>
        <v/>
      </c>
    </row>
    <row r="693" ht="69.90000000000001" customHeight="1" s="209">
      <c r="A693">
        <f>IF($BD693="","",SUMPRODUCT(ISNUMBER($BD$500:$BD$923)*($BD$500:$BD$923&gt;$BD693))+COUNTIF($BD$500:$BD693,$BD693))</f>
        <v/>
      </c>
      <c r="B693">
        <f>IF($H693="","",IF($H693&lt;5,"Yes","Maintain"))</f>
        <v/>
      </c>
      <c r="C693" t="inlineStr">
        <is>
          <t>Delivery Ops</t>
        </is>
      </c>
      <c r="D693" t="inlineStr">
        <is>
          <t>Operational visibility</t>
        </is>
      </c>
      <c r="E693" t="inlineStr">
        <is>
          <t>DELI-023</t>
        </is>
      </c>
      <c r="F693" t="inlineStr">
        <is>
          <t>Delivery, service continuity and operational execution</t>
        </is>
      </c>
      <c r="G693">
        <f>IF($H693="","",IFERROR(INDEX('_ENGINE_Risk'!$H$41:$M$920,MATCH($E693,'_ENGINE_Risk'!$A$41:$A$920,0),$H693+1),""))</f>
        <v/>
      </c>
      <c r="H693">
        <f>IFERROR(VALUE(INDEX(_DATA_Assessment_Model!$H$5:$H$884,MATCH($E693,_DATA_Assessment_Model!$A$5:$A$884,0))),"")</f>
        <v/>
      </c>
      <c r="I693">
        <f>IF($H693="","",IFERROR(INDEX(_DATA_Assessment_Model!$L$5:$L$884,MATCH($E693,_DATA_Assessment_Model!$A$5:$A$884,0)),IF($H693&lt;=1,"Critical",IF($H693=2,"High",IF($H693=3,"Medium",IF($H693=4,"Low","Resilient"))))))</f>
        <v/>
      </c>
      <c r="J693">
        <f>IF($H693="","",MIN(5,MAX(1,6-$H693)))</f>
        <v/>
      </c>
      <c r="K693">
        <f>IF($H693="","",MAX(1,MIN(5,ROUNDUP(($U693*0.45)+($W693*0.35)+($X693*0.2),0))))</f>
        <v/>
      </c>
      <c r="L693">
        <f>IF($H693="","",$J693*$K693)</f>
        <v/>
      </c>
      <c r="M693">
        <f>IF($H693="","",MAX(1,MIN(5,ROUNDUP($L693/5,0))))</f>
        <v/>
      </c>
      <c r="N693">
        <f>IF($H693="","",IFERROR(INDEX('_ENGINE_Risk'!$T$41:$Y$920,MATCH($E693,'_ENGINE_Risk'!$A$41:$A$920,0),$H693+1),""))</f>
        <v/>
      </c>
      <c r="O693">
        <f>IF($H693="","",MAX(1,MIN(5,($U693+$V693+$X693)/3)))</f>
        <v/>
      </c>
      <c r="P693">
        <f>IF($H693="","",IF($I693="Critical",5,IF($I693="High",4,IF($I693="Medium",3,IF($I693="Low",2,1)))))</f>
        <v/>
      </c>
      <c r="Q693">
        <f>IF($H693="","",MAX(1,MIN(5,((5-$H693)*0.65)+($W693*0.35))))</f>
        <v/>
      </c>
      <c r="R693">
        <f>IF($H693="","",MAX(1,MIN(5,($V693+$X693)/2)))</f>
        <v/>
      </c>
      <c r="S693">
        <f>IF(OR($H693="",$N693=""),"",ROUND(($O693+$P693+$Q693+$R693)/$N693,2))</f>
        <v/>
      </c>
      <c r="T693">
        <f>IF($H693="","",IFERROR(INDEX('_ENGINE_Risk'!$N$41:$S$920,MATCH($E693,'_ENGINE_Risk'!$A$41:$A$920,0),$H693+1),""))</f>
        <v/>
      </c>
      <c r="U693">
        <f>IFERROR(INDEX(_DATA_Assessment_Model!$G$5:$G$884,MATCH($E693,_DATA_Assessment_Model!$A$5:$A$884,0)),"")</f>
        <v/>
      </c>
      <c r="V693">
        <f>IFERROR(INDEX(_DATA_Assessment_Model!$W$5:$W$884,MATCH($E693,_DATA_Assessment_Model!$A$5:$A$884,0)),"")</f>
        <v/>
      </c>
      <c r="W693">
        <f>IFERROR(INDEX(_DATA_Assessment_Model!$X$5:$X$884,MATCH($E693,_DATA_Assessment_Model!$A$5:$A$884,0)),"")</f>
        <v/>
      </c>
      <c r="X693">
        <f>IFERROR(INDEX(_DATA_Assessment_Model!$Y$5:$Y$884,MATCH($E693,_DATA_Assessment_Model!$A$5:$A$884,0)),"")</f>
        <v/>
      </c>
      <c r="Y693" t="inlineStr">
        <is>
          <t>Delivery disruption; Customer impact; Workforce disruption</t>
        </is>
      </c>
      <c r="Z693" t="inlineStr">
        <is>
          <t>COO / Delivery</t>
        </is>
      </c>
      <c r="AA693" t="inlineStr">
        <is>
          <t>Policy/SOP; owner/RACI; system report; dashboard; contracts; test records; incident history; interview evidence related to critical tools, equipment and licenses required for delivery.</t>
        </is>
      </c>
      <c r="AB693">
        <f>IFERROR(INDEX(_DATA_Assessment_Model!$U$5:$U$884,MATCH($E693,_DATA_Assessment_Model!$A$5:$A$884,0)),"")</f>
        <v/>
      </c>
      <c r="AF693" t="inlineStr">
        <is>
          <t>How mature is the organization in managing critical tools, equipment and licenses required for delivery, including ownership, evidence, metrics, fallback procedures and crisis stress testing?</t>
        </is>
      </c>
      <c r="AO693">
        <f>IF($B693="Yes",IFERROR(INDEX(_ENGINE_Crisis!$F$501:$F$517,MATCH($C693,_ENGINE_Crisis!$A$501:$A$517,0)),1),"")</f>
        <v/>
      </c>
      <c r="AP693">
        <f>IF(AO693="","",ROUND($L693*AO693,1))</f>
        <v/>
      </c>
      <c r="AQ693">
        <f>IF(OR(AO693="",$S693=""),"",ROUND($S693*(0.7+0.3*AO693),2))</f>
        <v/>
      </c>
      <c r="AR693">
        <f>IFERROR(INDEX(_ENGINE_Crisis!$E$41:$E$700,MATCH('Resilience &amp; Risk Scenario'!$B$60&amp;"|"&amp;$C693,_ENGINE_Crisis!$I$41:$I$700,0)),"")</f>
        <v/>
      </c>
      <c r="AS693">
        <f>IFERROR(INDEX(_ENGINE_Crisis!$G$41:$G$700,MATCH('Resilience &amp; Risk Scenario'!$B$60&amp;"|"&amp;$C693,_ENGINE_Crisis!$I$41:$I$700,0)),"")</f>
        <v/>
      </c>
      <c r="AT693">
        <f>IFERROR(INDEX(_ENGINE_Initiatives!$A$5:$A$532,MATCH(1,INDEX((_ENGINE_Initiatives!$B$5:$B$532=$C693)*(_ENGINE_Initiatives!$C$5:$C$532=$D693),0),0)),"")</f>
        <v/>
      </c>
      <c r="AU693">
        <f>IFERROR(INDEX(_ENGINE_Initiatives!$F$5:$F$532,MATCH(1,INDEX((_ENGINE_Initiatives!$B$5:$B$532=$C693)*(_ENGINE_Initiatives!$C$5:$C$532=$D693),0),0)),"")</f>
        <v/>
      </c>
      <c r="AV693">
        <f>IFERROR(INDEX(_ENGINE_Initiatives!$AC$5:$AC$532,MATCH(1,INDEX((_ENGINE_Initiatives!$B$5:$B$532=$C693)*(_ENGINE_Initiatives!$C$5:$C$532=$D693),0),0)),"")</f>
        <v/>
      </c>
      <c r="AW693">
        <f>IFERROR(INDEX(_ENGINE_Initiatives!$AE$5:$AE$532,MATCH(1,INDEX((_ENGINE_Initiatives!$B$5:$B$532=$C693)*(_ENGINE_Initiatives!$C$5:$C$532=$D693),0),0)),"")</f>
        <v/>
      </c>
      <c r="AX693">
        <f>IF($B693="Yes",IFERROR(IF(SUMIFS(_REF_Model_Content!$E$1:$E$613,_REF_Model_Content!$A$1:$A$613,'Company Profile'!$B$9,_REF_Model_Content!$B$1:$B$613,$C693)=0,1,SUMIFS(_REF_Model_Content!$E$1:$E$613,_REF_Model_Content!$A$1:$A$613,'Company Profile'!$B$9,_REF_Model_Content!$B$1:$B$613,$C693)),1),"")</f>
        <v/>
      </c>
      <c r="AY693">
        <f>IF($L693="","",ROUND(IF($AP693="",$L693,$AP693)*IF($AX693="",1,$AX693),2))</f>
        <v/>
      </c>
      <c r="AZ693">
        <f>IF($S693="","",ROUND(IF($AQ693="",$S693,$AQ693)*IF($AX693="",1,$AX693),2))</f>
        <v/>
      </c>
      <c r="BB693">
        <f>IF($H693="","",IFERROR(INDEX('_ENGINE_Risk'!$AE$41:$AE$920,MATCH($E693,'_ENGINE_Risk'!$A$41:$A$920,0)),"Medium"))</f>
        <v/>
      </c>
      <c r="BC693">
        <f>IF($BB693="","",IF($BB693="Fast",1.25,IF($BB693="Slow",0.85,1)))</f>
        <v/>
      </c>
      <c r="BD693">
        <f>IF(OR($AZ693="",$BC693=""),"",ROUND($AZ693*$BC693,2))</f>
        <v/>
      </c>
      <c r="BF693">
        <f>IF(OR($H693="",$J693=""),"",_xlfn.IFNA(VLOOKUP($J693,_CONFIG_Model_Settings!$D$610:$E$614,2,0),""))</f>
        <v/>
      </c>
      <c r="BG693">
        <f>IF(OR($H693="",$K693=""),"",ROUND('Company Profile'!$B$569*INDEX(_CONFIG_Model_Settings!$H$610:$H$614,MATCH($K693,_CONFIG_Model_Settings!$G$610:$G$614,0)),0))</f>
        <v/>
      </c>
      <c r="BH693">
        <f>IF(OR($BF693="",$BG693=""),"",ROUND($BF693*$BG693,1))</f>
        <v/>
      </c>
      <c r="BI693">
        <f>IF($BH693="","",IF($AO693="",$BH693,ROUND($BH693*$AO693,1)))</f>
        <v/>
      </c>
      <c r="BJ693">
        <f>IF($E693="","",IFERROR(VLOOKUP($C693,'_CONFIG_Risk_Calibration'!$A$5:$H$21,2,FALSE),3))</f>
        <v/>
      </c>
      <c r="BK693">
        <f>IF($E693="","",IFERROR(VLOOKUP($C693,'_CONFIG_Risk_Calibration'!$A$5:$H$21,3,FALSE),0))</f>
        <v/>
      </c>
      <c r="BL693">
        <f>IF($E693="","",IFERROR(VLOOKUP($C693,'_CONFIG_Risk_Calibration'!$A$5:$H$21,4,FALSE),3))</f>
        <v/>
      </c>
      <c r="BM693">
        <f>IF($E693="","",IFERROR(VLOOKUP($C693,'_CONFIG_Risk_Calibration'!$A$5:$H$21,5,FALSE),3))</f>
        <v/>
      </c>
      <c r="BN693">
        <f>IF($E693="","",IFERROR(VLOOKUP($C693,'_CONFIG_Risk_Calibration'!$A$5:$H$21,6,FALSE),"No"))</f>
        <v/>
      </c>
      <c r="BO693">
        <f>IF($E693="","",IFERROR(VLOOKUP($C693,'_CONFIG_Risk_Calibration'!$A$5:$H$21,7,FALSE),1))</f>
        <v/>
      </c>
      <c r="BP693">
        <f>IF($H693="","",MAX(1,MIN(5,((6-$H693)*0.45)+($BJ693*0.20)+('Resilience &amp; Risk Scenario'!$B$7*0.15)+($BK693*0.10)+($BL693*0.05)+(IF($BB693="Fast",5,IF($BB693="Slow",1,3))*0.05))))</f>
        <v/>
      </c>
      <c r="BQ693">
        <f>IF($H693="","",MAX(IF($BN693="Yes",$BO693,1),MIN(5,($U693*0.20)+($V693*0.15)+($W693*0.25)+($X693*0.15)+($BJ693*0.10)+($BM693*0.15))))</f>
        <v/>
      </c>
      <c r="BR693">
        <f>IF(OR($BP693="",$BQ693=""),"",ROUND($BP693*$BQ693,2))</f>
        <v/>
      </c>
      <c r="BS693">
        <f>IF($BR693="","",ROUND($BR693*IF($AO693="",1,$AO693)*IF($AX693="",1,$AX693)*(1+(($BM693-3)*0.10))*IF($BC693="",1,$BC693),2))</f>
        <v/>
      </c>
    </row>
    <row r="694" ht="69.90000000000001" customHeight="1" s="209">
      <c r="A694">
        <f>IF($BD694="","",SUMPRODUCT(ISNUMBER($BD$500:$BD$923)*($BD$500:$BD$923&gt;$BD694))+COUNTIF($BD$500:$BD694,$BD694))</f>
        <v/>
      </c>
      <c r="B694">
        <f>IF($H694="","",IF($H694&lt;5,"Yes","Maintain"))</f>
        <v/>
      </c>
      <c r="C694" t="inlineStr">
        <is>
          <t>Delivery Ops</t>
        </is>
      </c>
      <c r="D694" t="inlineStr">
        <is>
          <t>Operational visibility</t>
        </is>
      </c>
      <c r="E694" t="inlineStr">
        <is>
          <t>DELI-024</t>
        </is>
      </c>
      <c r="F694" t="inlineStr">
        <is>
          <t>Delivery, service continuity and operational execution</t>
        </is>
      </c>
      <c r="G694">
        <f>IF($H694="","",IFERROR(INDEX('_ENGINE_Risk'!$H$41:$M$920,MATCH($E694,'_ENGINE_Risk'!$A$41:$A$920,0),$H694+1),""))</f>
        <v/>
      </c>
      <c r="H694">
        <f>IFERROR(VALUE(INDEX(_DATA_Assessment_Model!$H$5:$H$884,MATCH($E694,_DATA_Assessment_Model!$A$5:$A$884,0))),"")</f>
        <v/>
      </c>
      <c r="I694">
        <f>IF($H694="","",IFERROR(INDEX(_DATA_Assessment_Model!$L$5:$L$884,MATCH($E694,_DATA_Assessment_Model!$A$5:$A$884,0)),IF($H694&lt;=1,"Critical",IF($H694=2,"High",IF($H694=3,"Medium",IF($H694=4,"Low","Resilient"))))))</f>
        <v/>
      </c>
      <c r="J694">
        <f>IF($H694="","",MIN(5,MAX(1,6-$H694)))</f>
        <v/>
      </c>
      <c r="K694">
        <f>IF($H694="","",MAX(1,MIN(5,ROUNDUP(($U694*0.45)+($W694*0.35)+($X694*0.2),0))))</f>
        <v/>
      </c>
      <c r="L694">
        <f>IF($H694="","",$J694*$K694)</f>
        <v/>
      </c>
      <c r="M694">
        <f>IF($H694="","",MAX(1,MIN(5,ROUNDUP($L694/5,0))))</f>
        <v/>
      </c>
      <c r="N694">
        <f>IF($H694="","",IFERROR(INDEX('_ENGINE_Risk'!$T$41:$Y$920,MATCH($E694,'_ENGINE_Risk'!$A$41:$A$920,0),$H694+1),""))</f>
        <v/>
      </c>
      <c r="O694">
        <f>IF($H694="","",MAX(1,MIN(5,($U694+$V694+$X694)/3)))</f>
        <v/>
      </c>
      <c r="P694">
        <f>IF($H694="","",IF($I694="Critical",5,IF($I694="High",4,IF($I694="Medium",3,IF($I694="Low",2,1)))))</f>
        <v/>
      </c>
      <c r="Q694">
        <f>IF($H694="","",MAX(1,MIN(5,((5-$H694)*0.65)+($W694*0.35))))</f>
        <v/>
      </c>
      <c r="R694">
        <f>IF($H694="","",MAX(1,MIN(5,($V694+$X694)/2)))</f>
        <v/>
      </c>
      <c r="S694">
        <f>IF(OR($H694="",$N694=""),"",ROUND(($O694+$P694+$Q694+$R694)/$N694,2))</f>
        <v/>
      </c>
      <c r="T694">
        <f>IF($H694="","",IFERROR(INDEX('_ENGINE_Risk'!$N$41:$S$920,MATCH($E694,'_ENGINE_Risk'!$A$41:$A$920,0),$H694+1),""))</f>
        <v/>
      </c>
      <c r="U694">
        <f>IFERROR(INDEX(_DATA_Assessment_Model!$G$5:$G$884,MATCH($E694,_DATA_Assessment_Model!$A$5:$A$884,0)),"")</f>
        <v/>
      </c>
      <c r="V694">
        <f>IFERROR(INDEX(_DATA_Assessment_Model!$W$5:$W$884,MATCH($E694,_DATA_Assessment_Model!$A$5:$A$884,0)),"")</f>
        <v/>
      </c>
      <c r="W694">
        <f>IFERROR(INDEX(_DATA_Assessment_Model!$X$5:$X$884,MATCH($E694,_DATA_Assessment_Model!$A$5:$A$884,0)),"")</f>
        <v/>
      </c>
      <c r="X694">
        <f>IFERROR(INDEX(_DATA_Assessment_Model!$Y$5:$Y$884,MATCH($E694,_DATA_Assessment_Model!$A$5:$A$884,0)),"")</f>
        <v/>
      </c>
      <c r="Y694" t="inlineStr">
        <is>
          <t>Delivery disruption; Customer impact; Workforce disruption</t>
        </is>
      </c>
      <c r="Z694" t="inlineStr">
        <is>
          <t>COO / Delivery</t>
        </is>
      </c>
      <c r="AA694" t="inlineStr">
        <is>
          <t>Policy/SOP; owner/RACI; system report; dashboard; contracts; test records; incident history; interview evidence related to geographic delivery exposure by customer, supplier, team and site location.</t>
        </is>
      </c>
      <c r="AB694">
        <f>IFERROR(INDEX(_DATA_Assessment_Model!$U$5:$U$884,MATCH($E694,_DATA_Assessment_Model!$A$5:$A$884,0)),"")</f>
        <v/>
      </c>
      <c r="AF694" t="inlineStr">
        <is>
          <t>How mature is the organization in managing geographic delivery exposure by customer, supplier, team and site location, including ownership, evidence, metrics, fallback procedures and crisis stress testing?</t>
        </is>
      </c>
      <c r="AO694">
        <f>IF($B694="Yes",IFERROR(INDEX(_ENGINE_Crisis!$F$501:$F$517,MATCH($C694,_ENGINE_Crisis!$A$501:$A$517,0)),1),"")</f>
        <v/>
      </c>
      <c r="AP694">
        <f>IF(AO694="","",ROUND($L694*AO694,1))</f>
        <v/>
      </c>
      <c r="AQ694">
        <f>IF(OR(AO694="",$S694=""),"",ROUND($S694*(0.7+0.3*AO694),2))</f>
        <v/>
      </c>
      <c r="AR694">
        <f>IFERROR(INDEX(_ENGINE_Crisis!$E$41:$E$700,MATCH('Resilience &amp; Risk Scenario'!$B$60&amp;"|"&amp;$C694,_ENGINE_Crisis!$I$41:$I$700,0)),"")</f>
        <v/>
      </c>
      <c r="AS694">
        <f>IFERROR(INDEX(_ENGINE_Crisis!$G$41:$G$700,MATCH('Resilience &amp; Risk Scenario'!$B$60&amp;"|"&amp;$C694,_ENGINE_Crisis!$I$41:$I$700,0)),"")</f>
        <v/>
      </c>
      <c r="AT694">
        <f>IFERROR(INDEX(_ENGINE_Initiatives!$A$5:$A$532,MATCH(1,INDEX((_ENGINE_Initiatives!$B$5:$B$532=$C694)*(_ENGINE_Initiatives!$C$5:$C$532=$D694),0),0)),"")</f>
        <v/>
      </c>
      <c r="AU694">
        <f>IFERROR(INDEX(_ENGINE_Initiatives!$F$5:$F$532,MATCH(1,INDEX((_ENGINE_Initiatives!$B$5:$B$532=$C694)*(_ENGINE_Initiatives!$C$5:$C$532=$D694),0),0)),"")</f>
        <v/>
      </c>
      <c r="AV694">
        <f>IFERROR(INDEX(_ENGINE_Initiatives!$AC$5:$AC$532,MATCH(1,INDEX((_ENGINE_Initiatives!$B$5:$B$532=$C694)*(_ENGINE_Initiatives!$C$5:$C$532=$D694),0),0)),"")</f>
        <v/>
      </c>
      <c r="AW694">
        <f>IFERROR(INDEX(_ENGINE_Initiatives!$AE$5:$AE$532,MATCH(1,INDEX((_ENGINE_Initiatives!$B$5:$B$532=$C694)*(_ENGINE_Initiatives!$C$5:$C$532=$D694),0),0)),"")</f>
        <v/>
      </c>
      <c r="AX694">
        <f>IF($B694="Yes",IFERROR(IF(SUMIFS(_REF_Model_Content!$E$1:$E$613,_REF_Model_Content!$A$1:$A$613,'Company Profile'!$B$9,_REF_Model_Content!$B$1:$B$613,$C694)=0,1,SUMIFS(_REF_Model_Content!$E$1:$E$613,_REF_Model_Content!$A$1:$A$613,'Company Profile'!$B$9,_REF_Model_Content!$B$1:$B$613,$C694)),1),"")</f>
        <v/>
      </c>
      <c r="AY694">
        <f>IF($L694="","",ROUND(IF($AP694="",$L694,$AP694)*IF($AX694="",1,$AX694),2))</f>
        <v/>
      </c>
      <c r="AZ694">
        <f>IF($S694="","",ROUND(IF($AQ694="",$S694,$AQ694)*IF($AX694="",1,$AX694),2))</f>
        <v/>
      </c>
      <c r="BB694">
        <f>IF($H694="","",IFERROR(INDEX('_ENGINE_Risk'!$AE$41:$AE$920,MATCH($E694,'_ENGINE_Risk'!$A$41:$A$920,0)),"Medium"))</f>
        <v/>
      </c>
      <c r="BC694">
        <f>IF($BB694="","",IF($BB694="Fast",1.25,IF($BB694="Slow",0.85,1)))</f>
        <v/>
      </c>
      <c r="BD694">
        <f>IF(OR($AZ694="",$BC694=""),"",ROUND($AZ694*$BC694,2))</f>
        <v/>
      </c>
      <c r="BF694">
        <f>IF(OR($H694="",$J694=""),"",_xlfn.IFNA(VLOOKUP($J694,_CONFIG_Model_Settings!$D$610:$E$614,2,0),""))</f>
        <v/>
      </c>
      <c r="BG694">
        <f>IF(OR($H694="",$K694=""),"",ROUND('Company Profile'!$B$569*INDEX(_CONFIG_Model_Settings!$H$610:$H$614,MATCH($K694,_CONFIG_Model_Settings!$G$610:$G$614,0)),0))</f>
        <v/>
      </c>
      <c r="BH694">
        <f>IF(OR($BF694="",$BG694=""),"",ROUND($BF694*$BG694,1))</f>
        <v/>
      </c>
      <c r="BI694">
        <f>IF($BH694="","",IF($AO694="",$BH694,ROUND($BH694*$AO694,1)))</f>
        <v/>
      </c>
      <c r="BJ694">
        <f>IF($E694="","",IFERROR(VLOOKUP($C694,'_CONFIG_Risk_Calibration'!$A$5:$H$21,2,FALSE),3))</f>
        <v/>
      </c>
      <c r="BK694">
        <f>IF($E694="","",IFERROR(VLOOKUP($C694,'_CONFIG_Risk_Calibration'!$A$5:$H$21,3,FALSE),0))</f>
        <v/>
      </c>
      <c r="BL694">
        <f>IF($E694="","",IFERROR(VLOOKUP($C694,'_CONFIG_Risk_Calibration'!$A$5:$H$21,4,FALSE),3))</f>
        <v/>
      </c>
      <c r="BM694">
        <f>IF($E694="","",IFERROR(VLOOKUP($C694,'_CONFIG_Risk_Calibration'!$A$5:$H$21,5,FALSE),3))</f>
        <v/>
      </c>
      <c r="BN694">
        <f>IF($E694="","",IFERROR(VLOOKUP($C694,'_CONFIG_Risk_Calibration'!$A$5:$H$21,6,FALSE),"No"))</f>
        <v/>
      </c>
      <c r="BO694">
        <f>IF($E694="","",IFERROR(VLOOKUP($C694,'_CONFIG_Risk_Calibration'!$A$5:$H$21,7,FALSE),1))</f>
        <v/>
      </c>
      <c r="BP694">
        <f>IF($H694="","",MAX(1,MIN(5,((6-$H694)*0.45)+($BJ694*0.20)+('Resilience &amp; Risk Scenario'!$B$7*0.15)+($BK694*0.10)+($BL694*0.05)+(IF($BB694="Fast",5,IF($BB694="Slow",1,3))*0.05))))</f>
        <v/>
      </c>
      <c r="BQ694">
        <f>IF($H694="","",MAX(IF($BN694="Yes",$BO694,1),MIN(5,($U694*0.20)+($V694*0.15)+($W694*0.25)+($X694*0.15)+($BJ694*0.10)+($BM694*0.15))))</f>
        <v/>
      </c>
      <c r="BR694">
        <f>IF(OR($BP694="",$BQ694=""),"",ROUND($BP694*$BQ694,2))</f>
        <v/>
      </c>
      <c r="BS694">
        <f>IF($BR694="","",ROUND($BR694*IF($AO694="",1,$AO694)*IF($AX694="",1,$AX694)*(1+(($BM694-3)*0.10))*IF($BC694="",1,$BC694),2))</f>
        <v/>
      </c>
    </row>
    <row r="695" ht="69.90000000000001" customHeight="1" s="209">
      <c r="A695">
        <f>IF($BD695="","",SUMPRODUCT(ISNUMBER($BD$500:$BD$923)*($BD$500:$BD$923&gt;$BD695))+COUNTIF($BD$500:$BD695,$BD695))</f>
        <v/>
      </c>
      <c r="B695">
        <f>IF($H695="","",IF($H695&lt;5,"Yes","Maintain"))</f>
        <v/>
      </c>
      <c r="C695" t="inlineStr">
        <is>
          <t>Supply Chain</t>
        </is>
      </c>
      <c r="D695" t="inlineStr">
        <is>
          <t>Supply chain design</t>
        </is>
      </c>
      <c r="E695" t="inlineStr">
        <is>
          <t>SUPP-001</t>
        </is>
      </c>
      <c r="F695" t="inlineStr">
        <is>
          <t>Supply chain, logistics and supplier continuity</t>
        </is>
      </c>
      <c r="G695">
        <f>IF($H695="","",IFERROR(INDEX('_ENGINE_Risk'!$H$41:$M$920,MATCH($E695,'_ENGINE_Risk'!$A$41:$A$920,0),$H695+1),""))</f>
        <v/>
      </c>
      <c r="H695">
        <f>IFERROR(VALUE(INDEX(_DATA_Assessment_Model!$H$5:$H$884,MATCH($E695,_DATA_Assessment_Model!$A$5:$A$884,0))),"")</f>
        <v/>
      </c>
      <c r="I695">
        <f>IF($H695="","",IFERROR(INDEX(_DATA_Assessment_Model!$L$5:$L$884,MATCH($E695,_DATA_Assessment_Model!$A$5:$A$884,0)),IF($H695&lt;=1,"Critical",IF($H695=2,"High",IF($H695=3,"Medium",IF($H695=4,"Low","Resilient"))))))</f>
        <v/>
      </c>
      <c r="J695">
        <f>IF($H695="","",MIN(5,MAX(1,6-$H695)))</f>
        <v/>
      </c>
      <c r="K695">
        <f>IF($H695="","",MAX(1,MIN(5,ROUNDUP(($U695*0.45)+($W695*0.35)+($X695*0.2),0))))</f>
        <v/>
      </c>
      <c r="L695">
        <f>IF($H695="","",$J695*$K695)</f>
        <v/>
      </c>
      <c r="M695">
        <f>IF($H695="","",MAX(1,MIN(5,ROUNDUP($L695/5,0))))</f>
        <v/>
      </c>
      <c r="N695">
        <f>IF($H695="","",IFERROR(INDEX('_ENGINE_Risk'!$T$41:$Y$920,MATCH($E695,'_ENGINE_Risk'!$A$41:$A$920,0),$H695+1),""))</f>
        <v/>
      </c>
      <c r="O695">
        <f>IF($H695="","",MAX(1,MIN(5,($U695+$V695+$X695)/3)))</f>
        <v/>
      </c>
      <c r="P695">
        <f>IF($H695="","",IF($I695="Critical",5,IF($I695="High",4,IF($I695="Medium",3,IF($I695="Low",2,1)))))</f>
        <v/>
      </c>
      <c r="Q695">
        <f>IF($H695="","",MAX(1,MIN(5,((5-$H695)*0.65)+($W695*0.35))))</f>
        <v/>
      </c>
      <c r="R695">
        <f>IF($H695="","",MAX(1,MIN(5,($V695+$X695)/2)))</f>
        <v/>
      </c>
      <c r="S695">
        <f>IF(OR($H695="",$N695=""),"",ROUND(($O695+$P695+$Q695+$R695)/$N695,2))</f>
        <v/>
      </c>
      <c r="T695">
        <f>IF($H695="","",IFERROR(INDEX('_ENGINE_Risk'!$N$41:$S$920,MATCH($E695,'_ENGINE_Risk'!$A$41:$A$920,0),$H695+1),""))</f>
        <v/>
      </c>
      <c r="U695">
        <f>IFERROR(INDEX(_DATA_Assessment_Model!$G$5:$G$884,MATCH($E695,_DATA_Assessment_Model!$A$5:$A$884,0)),"")</f>
        <v/>
      </c>
      <c r="V695">
        <f>IFERROR(INDEX(_DATA_Assessment_Model!$W$5:$W$884,MATCH($E695,_DATA_Assessment_Model!$A$5:$A$884,0)),"")</f>
        <v/>
      </c>
      <c r="W695">
        <f>IFERROR(INDEX(_DATA_Assessment_Model!$X$5:$X$884,MATCH($E695,_DATA_Assessment_Model!$A$5:$A$884,0)),"")</f>
        <v/>
      </c>
      <c r="X695">
        <f>IFERROR(INDEX(_DATA_Assessment_Model!$Y$5:$Y$884,MATCH($E695,_DATA_Assessment_Model!$A$5:$A$884,0)),"")</f>
        <v/>
      </c>
      <c r="Y695" t="inlineStr">
        <is>
          <t>Supplier/logistics disruption; Manufacturing disruption; Demand shock</t>
        </is>
      </c>
      <c r="Z695" t="inlineStr">
        <is>
          <t>Supply Chain / Procurement</t>
        </is>
      </c>
      <c r="AA695" t="inlineStr">
        <is>
          <t>Policy/SOP; owner/RACI; system report; dashboard; contracts; test records; incident history; interview evidence related to end-to-end supply chain map from raw materials and suppliers to production, logistics, delivery and customers.</t>
        </is>
      </c>
      <c r="AB695">
        <f>IFERROR(INDEX(_DATA_Assessment_Model!$U$5:$U$884,MATCH($E695,_DATA_Assessment_Model!$A$5:$A$884,0)),"")</f>
        <v/>
      </c>
      <c r="AF695" t="inlineStr">
        <is>
          <t>How mature is the organization in managing end-to-end supply chain map from raw materials and suppliers to production, logistics, delivery and customers, including ownership, evidence, metrics, fallback procedures and crisis stress testing?</t>
        </is>
      </c>
      <c r="AO695">
        <f>IF($B695="Yes",IFERROR(INDEX(_ENGINE_Crisis!$F$501:$F$517,MATCH($C695,_ENGINE_Crisis!$A$501:$A$517,0)),1),"")</f>
        <v/>
      </c>
      <c r="AP695">
        <f>IF(AO695="","",ROUND($L695*AO695,1))</f>
        <v/>
      </c>
      <c r="AQ695">
        <f>IF(OR(AO695="",$S695=""),"",ROUND($S695*(0.7+0.3*AO695),2))</f>
        <v/>
      </c>
      <c r="AR695">
        <f>IFERROR(INDEX(_ENGINE_Crisis!$E$41:$E$700,MATCH('Resilience &amp; Risk Scenario'!$B$60&amp;"|"&amp;$C695,_ENGINE_Crisis!$I$41:$I$700,0)),"")</f>
        <v/>
      </c>
      <c r="AS695">
        <f>IFERROR(INDEX(_ENGINE_Crisis!$G$41:$G$700,MATCH('Resilience &amp; Risk Scenario'!$B$60&amp;"|"&amp;$C695,_ENGINE_Crisis!$I$41:$I$700,0)),"")</f>
        <v/>
      </c>
      <c r="AT695">
        <f>IFERROR(INDEX(_ENGINE_Initiatives!$A$5:$A$532,MATCH(1,INDEX((_ENGINE_Initiatives!$B$5:$B$532=$C695)*(_ENGINE_Initiatives!$C$5:$C$532=$D695),0),0)),"")</f>
        <v/>
      </c>
      <c r="AU695">
        <f>IFERROR(INDEX(_ENGINE_Initiatives!$F$5:$F$532,MATCH(1,INDEX((_ENGINE_Initiatives!$B$5:$B$532=$C695)*(_ENGINE_Initiatives!$C$5:$C$532=$D695),0),0)),"")</f>
        <v/>
      </c>
      <c r="AV695">
        <f>IFERROR(INDEX(_ENGINE_Initiatives!$AC$5:$AC$532,MATCH(1,INDEX((_ENGINE_Initiatives!$B$5:$B$532=$C695)*(_ENGINE_Initiatives!$C$5:$C$532=$D695),0),0)),"")</f>
        <v/>
      </c>
      <c r="AW695">
        <f>IFERROR(INDEX(_ENGINE_Initiatives!$AE$5:$AE$532,MATCH(1,INDEX((_ENGINE_Initiatives!$B$5:$B$532=$C695)*(_ENGINE_Initiatives!$C$5:$C$532=$D695),0),0)),"")</f>
        <v/>
      </c>
      <c r="AX695">
        <f>IF($B695="Yes",IFERROR(IF(SUMIFS(_REF_Model_Content!$E$1:$E$613,_REF_Model_Content!$A$1:$A$613,'Company Profile'!$B$9,_REF_Model_Content!$B$1:$B$613,$C695)=0,1,SUMIFS(_REF_Model_Content!$E$1:$E$613,_REF_Model_Content!$A$1:$A$613,'Company Profile'!$B$9,_REF_Model_Content!$B$1:$B$613,$C695)),1),"")</f>
        <v/>
      </c>
      <c r="AY695">
        <f>IF($L695="","",ROUND(IF($AP695="",$L695,$AP695)*IF($AX695="",1,$AX695),2))</f>
        <v/>
      </c>
      <c r="AZ695">
        <f>IF($S695="","",ROUND(IF($AQ695="",$S695,$AQ695)*IF($AX695="",1,$AX695),2))</f>
        <v/>
      </c>
      <c r="BB695">
        <f>IF($H695="","",IFERROR(INDEX('_ENGINE_Risk'!$AE$41:$AE$920,MATCH($E695,'_ENGINE_Risk'!$A$41:$A$920,0)),"Medium"))</f>
        <v/>
      </c>
      <c r="BC695">
        <f>IF($BB695="","",IF($BB695="Fast",1.25,IF($BB695="Slow",0.85,1)))</f>
        <v/>
      </c>
      <c r="BD695">
        <f>IF(OR($AZ695="",$BC695=""),"",ROUND($AZ695*$BC695,2))</f>
        <v/>
      </c>
      <c r="BF695">
        <f>IF(OR($H695="",$J695=""),"",_xlfn.IFNA(VLOOKUP($J695,_CONFIG_Model_Settings!$D$610:$E$614,2,0),""))</f>
        <v/>
      </c>
      <c r="BG695">
        <f>IF(OR($H695="",$K695=""),"",ROUND('Company Profile'!$B$569*INDEX(_CONFIG_Model_Settings!$H$610:$H$614,MATCH($K695,_CONFIG_Model_Settings!$G$610:$G$614,0)),0))</f>
        <v/>
      </c>
      <c r="BH695">
        <f>IF(OR($BF695="",$BG695=""),"",ROUND($BF695*$BG695,1))</f>
        <v/>
      </c>
      <c r="BI695">
        <f>IF($BH695="","",IF($AO695="",$BH695,ROUND($BH695*$AO695,1)))</f>
        <v/>
      </c>
      <c r="BJ695">
        <f>IF($E695="","",IFERROR(VLOOKUP($C695,'_CONFIG_Risk_Calibration'!$A$5:$H$21,2,FALSE),3))</f>
        <v/>
      </c>
      <c r="BK695">
        <f>IF($E695="","",IFERROR(VLOOKUP($C695,'_CONFIG_Risk_Calibration'!$A$5:$H$21,3,FALSE),0))</f>
        <v/>
      </c>
      <c r="BL695">
        <f>IF($E695="","",IFERROR(VLOOKUP($C695,'_CONFIG_Risk_Calibration'!$A$5:$H$21,4,FALSE),3))</f>
        <v/>
      </c>
      <c r="BM695">
        <f>IF($E695="","",IFERROR(VLOOKUP($C695,'_CONFIG_Risk_Calibration'!$A$5:$H$21,5,FALSE),3))</f>
        <v/>
      </c>
      <c r="BN695">
        <f>IF($E695="","",IFERROR(VLOOKUP($C695,'_CONFIG_Risk_Calibration'!$A$5:$H$21,6,FALSE),"No"))</f>
        <v/>
      </c>
      <c r="BO695">
        <f>IF($E695="","",IFERROR(VLOOKUP($C695,'_CONFIG_Risk_Calibration'!$A$5:$H$21,7,FALSE),1))</f>
        <v/>
      </c>
      <c r="BP695">
        <f>IF($H695="","",MAX(1,MIN(5,((6-$H695)*0.45)+($BJ695*0.20)+('Resilience &amp; Risk Scenario'!$B$7*0.15)+($BK695*0.10)+($BL695*0.05)+(IF($BB695="Fast",5,IF($BB695="Slow",1,3))*0.05))))</f>
        <v/>
      </c>
      <c r="BQ695">
        <f>IF($H695="","",MAX(IF($BN695="Yes",$BO695,1),MIN(5,($U695*0.20)+($V695*0.15)+($W695*0.25)+($X695*0.15)+($BJ695*0.10)+($BM695*0.15))))</f>
        <v/>
      </c>
      <c r="BR695">
        <f>IF(OR($BP695="",$BQ695=""),"",ROUND($BP695*$BQ695,2))</f>
        <v/>
      </c>
      <c r="BS695">
        <f>IF($BR695="","",ROUND($BR695*IF($AO695="",1,$AO695)*IF($AX695="",1,$AX695)*(1+(($BM695-3)*0.10))*IF($BC695="",1,$BC695),2))</f>
        <v/>
      </c>
    </row>
    <row r="696" ht="69.90000000000001" customHeight="1" s="209">
      <c r="A696">
        <f>IF($BD696="","",SUMPRODUCT(ISNUMBER($BD$500:$BD$923)*($BD$500:$BD$923&gt;$BD696))+COUNTIF($BD$500:$BD696,$BD696))</f>
        <v/>
      </c>
      <c r="B696">
        <f>IF($H696="","",IF($H696&lt;5,"Yes","Maintain"))</f>
        <v/>
      </c>
      <c r="C696" t="inlineStr">
        <is>
          <t>Supply Chain</t>
        </is>
      </c>
      <c r="D696" t="inlineStr">
        <is>
          <t>Supply chain design</t>
        </is>
      </c>
      <c r="E696" t="inlineStr">
        <is>
          <t>SUPP-002</t>
        </is>
      </c>
      <c r="F696" t="inlineStr">
        <is>
          <t>Supply chain, logistics and supplier continuity</t>
        </is>
      </c>
      <c r="G696">
        <f>IF($H696="","",IFERROR(INDEX('_ENGINE_Risk'!$H$41:$M$920,MATCH($E696,'_ENGINE_Risk'!$A$41:$A$920,0),$H696+1),""))</f>
        <v/>
      </c>
      <c r="H696">
        <f>IFERROR(VALUE(INDEX(_DATA_Assessment_Model!$H$5:$H$884,MATCH($E696,_DATA_Assessment_Model!$A$5:$A$884,0))),"")</f>
        <v/>
      </c>
      <c r="I696">
        <f>IF($H696="","",IFERROR(INDEX(_DATA_Assessment_Model!$L$5:$L$884,MATCH($E696,_DATA_Assessment_Model!$A$5:$A$884,0)),IF($H696&lt;=1,"Critical",IF($H696=2,"High",IF($H696=3,"Medium",IF($H696=4,"Low","Resilient"))))))</f>
        <v/>
      </c>
      <c r="J696">
        <f>IF($H696="","",MIN(5,MAX(1,6-$H696)))</f>
        <v/>
      </c>
      <c r="K696">
        <f>IF($H696="","",MAX(1,MIN(5,ROUNDUP(($U696*0.45)+($W696*0.35)+($X696*0.2),0))))</f>
        <v/>
      </c>
      <c r="L696">
        <f>IF($H696="","",$J696*$K696)</f>
        <v/>
      </c>
      <c r="M696">
        <f>IF($H696="","",MAX(1,MIN(5,ROUNDUP($L696/5,0))))</f>
        <v/>
      </c>
      <c r="N696">
        <f>IF($H696="","",IFERROR(INDEX('_ENGINE_Risk'!$T$41:$Y$920,MATCH($E696,'_ENGINE_Risk'!$A$41:$A$920,0),$H696+1),""))</f>
        <v/>
      </c>
      <c r="O696">
        <f>IF($H696="","",MAX(1,MIN(5,($U696+$V696+$X696)/3)))</f>
        <v/>
      </c>
      <c r="P696">
        <f>IF($H696="","",IF($I696="Critical",5,IF($I696="High",4,IF($I696="Medium",3,IF($I696="Low",2,1)))))</f>
        <v/>
      </c>
      <c r="Q696">
        <f>IF($H696="","",MAX(1,MIN(5,((5-$H696)*0.65)+($W696*0.35))))</f>
        <v/>
      </c>
      <c r="R696">
        <f>IF($H696="","",MAX(1,MIN(5,($V696+$X696)/2)))</f>
        <v/>
      </c>
      <c r="S696">
        <f>IF(OR($H696="",$N696=""),"",ROUND(($O696+$P696+$Q696+$R696)/$N696,2))</f>
        <v/>
      </c>
      <c r="T696">
        <f>IF($H696="","",IFERROR(INDEX('_ENGINE_Risk'!$N$41:$S$920,MATCH($E696,'_ENGINE_Risk'!$A$41:$A$920,0),$H696+1),""))</f>
        <v/>
      </c>
      <c r="U696">
        <f>IFERROR(INDEX(_DATA_Assessment_Model!$G$5:$G$884,MATCH($E696,_DATA_Assessment_Model!$A$5:$A$884,0)),"")</f>
        <v/>
      </c>
      <c r="V696">
        <f>IFERROR(INDEX(_DATA_Assessment_Model!$W$5:$W$884,MATCH($E696,_DATA_Assessment_Model!$A$5:$A$884,0)),"")</f>
        <v/>
      </c>
      <c r="W696">
        <f>IFERROR(INDEX(_DATA_Assessment_Model!$X$5:$X$884,MATCH($E696,_DATA_Assessment_Model!$A$5:$A$884,0)),"")</f>
        <v/>
      </c>
      <c r="X696">
        <f>IFERROR(INDEX(_DATA_Assessment_Model!$Y$5:$Y$884,MATCH($E696,_DATA_Assessment_Model!$A$5:$A$884,0)),"")</f>
        <v/>
      </c>
      <c r="Y696" t="inlineStr">
        <is>
          <t>Supplier/logistics disruption; Manufacturing disruption; Demand shock</t>
        </is>
      </c>
      <c r="Z696" t="inlineStr">
        <is>
          <t>Supply Chain / Procurement</t>
        </is>
      </c>
      <c r="AA696" t="inlineStr">
        <is>
          <t>Policy/SOP; owner/RACI; system report; dashboard; contracts; test records; incident history; interview evidence related to visibility beyond tier-1 suppliers for critical materials, components and services.</t>
        </is>
      </c>
      <c r="AB696">
        <f>IFERROR(INDEX(_DATA_Assessment_Model!$U$5:$U$884,MATCH($E696,_DATA_Assessment_Model!$A$5:$A$884,0)),"")</f>
        <v/>
      </c>
      <c r="AF696" t="inlineStr">
        <is>
          <t>How mature is the organization in managing visibility beyond tier-1 suppliers for critical materials, components and services, including ownership, evidence, metrics, fallback procedures and crisis stress testing?</t>
        </is>
      </c>
      <c r="AO696">
        <f>IF($B696="Yes",IFERROR(INDEX(_ENGINE_Crisis!$F$501:$F$517,MATCH($C696,_ENGINE_Crisis!$A$501:$A$517,0)),1),"")</f>
        <v/>
      </c>
      <c r="AP696">
        <f>IF(AO696="","",ROUND($L696*AO696,1))</f>
        <v/>
      </c>
      <c r="AQ696">
        <f>IF(OR(AO696="",$S696=""),"",ROUND($S696*(0.7+0.3*AO696),2))</f>
        <v/>
      </c>
      <c r="AR696">
        <f>IFERROR(INDEX(_ENGINE_Crisis!$E$41:$E$700,MATCH('Resilience &amp; Risk Scenario'!$B$60&amp;"|"&amp;$C696,_ENGINE_Crisis!$I$41:$I$700,0)),"")</f>
        <v/>
      </c>
      <c r="AS696">
        <f>IFERROR(INDEX(_ENGINE_Crisis!$G$41:$G$700,MATCH('Resilience &amp; Risk Scenario'!$B$60&amp;"|"&amp;$C696,_ENGINE_Crisis!$I$41:$I$700,0)),"")</f>
        <v/>
      </c>
      <c r="AT696">
        <f>IFERROR(INDEX(_ENGINE_Initiatives!$A$5:$A$532,MATCH(1,INDEX((_ENGINE_Initiatives!$B$5:$B$532=$C696)*(_ENGINE_Initiatives!$C$5:$C$532=$D696),0),0)),"")</f>
        <v/>
      </c>
      <c r="AU696">
        <f>IFERROR(INDEX(_ENGINE_Initiatives!$F$5:$F$532,MATCH(1,INDEX((_ENGINE_Initiatives!$B$5:$B$532=$C696)*(_ENGINE_Initiatives!$C$5:$C$532=$D696),0),0)),"")</f>
        <v/>
      </c>
      <c r="AV696">
        <f>IFERROR(INDEX(_ENGINE_Initiatives!$AC$5:$AC$532,MATCH(1,INDEX((_ENGINE_Initiatives!$B$5:$B$532=$C696)*(_ENGINE_Initiatives!$C$5:$C$532=$D696),0),0)),"")</f>
        <v/>
      </c>
      <c r="AW696">
        <f>IFERROR(INDEX(_ENGINE_Initiatives!$AE$5:$AE$532,MATCH(1,INDEX((_ENGINE_Initiatives!$B$5:$B$532=$C696)*(_ENGINE_Initiatives!$C$5:$C$532=$D696),0),0)),"")</f>
        <v/>
      </c>
      <c r="AX696">
        <f>IF($B696="Yes",IFERROR(IF(SUMIFS(_REF_Model_Content!$E$1:$E$613,_REF_Model_Content!$A$1:$A$613,'Company Profile'!$B$9,_REF_Model_Content!$B$1:$B$613,$C696)=0,1,SUMIFS(_REF_Model_Content!$E$1:$E$613,_REF_Model_Content!$A$1:$A$613,'Company Profile'!$B$9,_REF_Model_Content!$B$1:$B$613,$C696)),1),"")</f>
        <v/>
      </c>
      <c r="AY696">
        <f>IF($L696="","",ROUND(IF($AP696="",$L696,$AP696)*IF($AX696="",1,$AX696),2))</f>
        <v/>
      </c>
      <c r="AZ696">
        <f>IF($S696="","",ROUND(IF($AQ696="",$S696,$AQ696)*IF($AX696="",1,$AX696),2))</f>
        <v/>
      </c>
      <c r="BB696">
        <f>IF($H696="","",IFERROR(INDEX('_ENGINE_Risk'!$AE$41:$AE$920,MATCH($E696,'_ENGINE_Risk'!$A$41:$A$920,0)),"Medium"))</f>
        <v/>
      </c>
      <c r="BC696">
        <f>IF($BB696="","",IF($BB696="Fast",1.25,IF($BB696="Slow",0.85,1)))</f>
        <v/>
      </c>
      <c r="BD696">
        <f>IF(OR($AZ696="",$BC696=""),"",ROUND($AZ696*$BC696,2))</f>
        <v/>
      </c>
      <c r="BF696">
        <f>IF(OR($H696="",$J696=""),"",_xlfn.IFNA(VLOOKUP($J696,_CONFIG_Model_Settings!$D$610:$E$614,2,0),""))</f>
        <v/>
      </c>
      <c r="BG696">
        <f>IF(OR($H696="",$K696=""),"",ROUND('Company Profile'!$B$569*INDEX(_CONFIG_Model_Settings!$H$610:$H$614,MATCH($K696,_CONFIG_Model_Settings!$G$610:$G$614,0)),0))</f>
        <v/>
      </c>
      <c r="BH696">
        <f>IF(OR($BF696="",$BG696=""),"",ROUND($BF696*$BG696,1))</f>
        <v/>
      </c>
      <c r="BI696">
        <f>IF($BH696="","",IF($AO696="",$BH696,ROUND($BH696*$AO696,1)))</f>
        <v/>
      </c>
      <c r="BJ696">
        <f>IF($E696="","",IFERROR(VLOOKUP($C696,'_CONFIG_Risk_Calibration'!$A$5:$H$21,2,FALSE),3))</f>
        <v/>
      </c>
      <c r="BK696">
        <f>IF($E696="","",IFERROR(VLOOKUP($C696,'_CONFIG_Risk_Calibration'!$A$5:$H$21,3,FALSE),0))</f>
        <v/>
      </c>
      <c r="BL696">
        <f>IF($E696="","",IFERROR(VLOOKUP($C696,'_CONFIG_Risk_Calibration'!$A$5:$H$21,4,FALSE),3))</f>
        <v/>
      </c>
      <c r="BM696">
        <f>IF($E696="","",IFERROR(VLOOKUP($C696,'_CONFIG_Risk_Calibration'!$A$5:$H$21,5,FALSE),3))</f>
        <v/>
      </c>
      <c r="BN696">
        <f>IF($E696="","",IFERROR(VLOOKUP($C696,'_CONFIG_Risk_Calibration'!$A$5:$H$21,6,FALSE),"No"))</f>
        <v/>
      </c>
      <c r="BO696">
        <f>IF($E696="","",IFERROR(VLOOKUP($C696,'_CONFIG_Risk_Calibration'!$A$5:$H$21,7,FALSE),1))</f>
        <v/>
      </c>
      <c r="BP696">
        <f>IF($H696="","",MAX(1,MIN(5,((6-$H696)*0.45)+($BJ696*0.20)+('Resilience &amp; Risk Scenario'!$B$7*0.15)+($BK696*0.10)+($BL696*0.05)+(IF($BB696="Fast",5,IF($BB696="Slow",1,3))*0.05))))</f>
        <v/>
      </c>
      <c r="BQ696">
        <f>IF($H696="","",MAX(IF($BN696="Yes",$BO696,1),MIN(5,($U696*0.20)+($V696*0.15)+($W696*0.25)+($X696*0.15)+($BJ696*0.10)+($BM696*0.15))))</f>
        <v/>
      </c>
      <c r="BR696">
        <f>IF(OR($BP696="",$BQ696=""),"",ROUND($BP696*$BQ696,2))</f>
        <v/>
      </c>
      <c r="BS696">
        <f>IF($BR696="","",ROUND($BR696*IF($AO696="",1,$AO696)*IF($AX696="",1,$AX696)*(1+(($BM696-3)*0.10))*IF($BC696="",1,$BC696),2))</f>
        <v/>
      </c>
    </row>
    <row r="697" ht="69.90000000000001" customHeight="1" s="209">
      <c r="A697">
        <f>IF($BD697="","",SUMPRODUCT(ISNUMBER($BD$500:$BD$923)*($BD$500:$BD$923&gt;$BD697))+COUNTIF($BD$500:$BD697,$BD697))</f>
        <v/>
      </c>
      <c r="B697">
        <f>IF($H697="","",IF($H697&lt;5,"Yes","Maintain"))</f>
        <v/>
      </c>
      <c r="C697" t="inlineStr">
        <is>
          <t>Supply Chain</t>
        </is>
      </c>
      <c r="D697" t="inlineStr">
        <is>
          <t>Supply chain design</t>
        </is>
      </c>
      <c r="E697" t="inlineStr">
        <is>
          <t>SUPP-003</t>
        </is>
      </c>
      <c r="F697" t="inlineStr">
        <is>
          <t>Supply chain, logistics and supplier continuity</t>
        </is>
      </c>
      <c r="G697">
        <f>IF($H697="","",IFERROR(INDEX('_ENGINE_Risk'!$H$41:$M$920,MATCH($E697,'_ENGINE_Risk'!$A$41:$A$920,0),$H697+1),""))</f>
        <v/>
      </c>
      <c r="H697">
        <f>IFERROR(VALUE(INDEX(_DATA_Assessment_Model!$H$5:$H$884,MATCH($E697,_DATA_Assessment_Model!$A$5:$A$884,0))),"")</f>
        <v/>
      </c>
      <c r="I697">
        <f>IF($H697="","",IFERROR(INDEX(_DATA_Assessment_Model!$L$5:$L$884,MATCH($E697,_DATA_Assessment_Model!$A$5:$A$884,0)),IF($H697&lt;=1,"Critical",IF($H697=2,"High",IF($H697=3,"Medium",IF($H697=4,"Low","Resilient"))))))</f>
        <v/>
      </c>
      <c r="J697">
        <f>IF($H697="","",MIN(5,MAX(1,6-$H697)))</f>
        <v/>
      </c>
      <c r="K697">
        <f>IF($H697="","",MAX(1,MIN(5,ROUNDUP(($U697*0.45)+($W697*0.35)+($X697*0.2),0))))</f>
        <v/>
      </c>
      <c r="L697">
        <f>IF($H697="","",$J697*$K697)</f>
        <v/>
      </c>
      <c r="M697">
        <f>IF($H697="","",MAX(1,MIN(5,ROUNDUP($L697/5,0))))</f>
        <v/>
      </c>
      <c r="N697">
        <f>IF($H697="","",IFERROR(INDEX('_ENGINE_Risk'!$T$41:$Y$920,MATCH($E697,'_ENGINE_Risk'!$A$41:$A$920,0),$H697+1),""))</f>
        <v/>
      </c>
      <c r="O697">
        <f>IF($H697="","",MAX(1,MIN(5,($U697+$V697+$X697)/3)))</f>
        <v/>
      </c>
      <c r="P697">
        <f>IF($H697="","",IF($I697="Critical",5,IF($I697="High",4,IF($I697="Medium",3,IF($I697="Low",2,1)))))</f>
        <v/>
      </c>
      <c r="Q697">
        <f>IF($H697="","",MAX(1,MIN(5,((5-$H697)*0.65)+($W697*0.35))))</f>
        <v/>
      </c>
      <c r="R697">
        <f>IF($H697="","",MAX(1,MIN(5,($V697+$X697)/2)))</f>
        <v/>
      </c>
      <c r="S697">
        <f>IF(OR($H697="",$N697=""),"",ROUND(($O697+$P697+$Q697+$R697)/$N697,2))</f>
        <v/>
      </c>
      <c r="T697">
        <f>IF($H697="","",IFERROR(INDEX('_ENGINE_Risk'!$N$41:$S$920,MATCH($E697,'_ENGINE_Risk'!$A$41:$A$920,0),$H697+1),""))</f>
        <v/>
      </c>
      <c r="U697">
        <f>IFERROR(INDEX(_DATA_Assessment_Model!$G$5:$G$884,MATCH($E697,_DATA_Assessment_Model!$A$5:$A$884,0)),"")</f>
        <v/>
      </c>
      <c r="V697">
        <f>IFERROR(INDEX(_DATA_Assessment_Model!$W$5:$W$884,MATCH($E697,_DATA_Assessment_Model!$A$5:$A$884,0)),"")</f>
        <v/>
      </c>
      <c r="W697">
        <f>IFERROR(INDEX(_DATA_Assessment_Model!$X$5:$X$884,MATCH($E697,_DATA_Assessment_Model!$A$5:$A$884,0)),"")</f>
        <v/>
      </c>
      <c r="X697">
        <f>IFERROR(INDEX(_DATA_Assessment_Model!$Y$5:$Y$884,MATCH($E697,_DATA_Assessment_Model!$A$5:$A$884,0)),"")</f>
        <v/>
      </c>
      <c r="Y697" t="inlineStr">
        <is>
          <t>Supplier/logistics disruption; Manufacturing disruption; Demand shock</t>
        </is>
      </c>
      <c r="Z697" t="inlineStr">
        <is>
          <t>Supply Chain / Procurement</t>
        </is>
      </c>
      <c r="AA697" t="inlineStr">
        <is>
          <t>Policy/SOP; owner/RACI; system report; dashboard; contracts; test records; incident history; interview evidence related to supplier criticality scoring by business impact, availability, substitution, lead time and geography.</t>
        </is>
      </c>
      <c r="AB697">
        <f>IFERROR(INDEX(_DATA_Assessment_Model!$U$5:$U$884,MATCH($E697,_DATA_Assessment_Model!$A$5:$A$884,0)),"")</f>
        <v/>
      </c>
      <c r="AF697" t="inlineStr">
        <is>
          <t>How mature is the organization in managing supplier criticality scoring by business impact, availability, substitution, lead time and geography, including ownership, evidence, metrics, fallback procedures and crisis stress testing?</t>
        </is>
      </c>
      <c r="AO697">
        <f>IF($B697="Yes",IFERROR(INDEX(_ENGINE_Crisis!$F$501:$F$517,MATCH($C697,_ENGINE_Crisis!$A$501:$A$517,0)),1),"")</f>
        <v/>
      </c>
      <c r="AP697">
        <f>IF(AO697="","",ROUND($L697*AO697,1))</f>
        <v/>
      </c>
      <c r="AQ697">
        <f>IF(OR(AO697="",$S697=""),"",ROUND($S697*(0.7+0.3*AO697),2))</f>
        <v/>
      </c>
      <c r="AR697">
        <f>IFERROR(INDEX(_ENGINE_Crisis!$E$41:$E$700,MATCH('Resilience &amp; Risk Scenario'!$B$60&amp;"|"&amp;$C697,_ENGINE_Crisis!$I$41:$I$700,0)),"")</f>
        <v/>
      </c>
      <c r="AS697">
        <f>IFERROR(INDEX(_ENGINE_Crisis!$G$41:$G$700,MATCH('Resilience &amp; Risk Scenario'!$B$60&amp;"|"&amp;$C697,_ENGINE_Crisis!$I$41:$I$700,0)),"")</f>
        <v/>
      </c>
      <c r="AT697">
        <f>IFERROR(INDEX(_ENGINE_Initiatives!$A$5:$A$532,MATCH(1,INDEX((_ENGINE_Initiatives!$B$5:$B$532=$C697)*(_ENGINE_Initiatives!$C$5:$C$532=$D697),0),0)),"")</f>
        <v/>
      </c>
      <c r="AU697">
        <f>IFERROR(INDEX(_ENGINE_Initiatives!$F$5:$F$532,MATCH(1,INDEX((_ENGINE_Initiatives!$B$5:$B$532=$C697)*(_ENGINE_Initiatives!$C$5:$C$532=$D697),0),0)),"")</f>
        <v/>
      </c>
      <c r="AV697">
        <f>IFERROR(INDEX(_ENGINE_Initiatives!$AC$5:$AC$532,MATCH(1,INDEX((_ENGINE_Initiatives!$B$5:$B$532=$C697)*(_ENGINE_Initiatives!$C$5:$C$532=$D697),0),0)),"")</f>
        <v/>
      </c>
      <c r="AW697">
        <f>IFERROR(INDEX(_ENGINE_Initiatives!$AE$5:$AE$532,MATCH(1,INDEX((_ENGINE_Initiatives!$B$5:$B$532=$C697)*(_ENGINE_Initiatives!$C$5:$C$532=$D697),0),0)),"")</f>
        <v/>
      </c>
      <c r="AX697">
        <f>IF($B697="Yes",IFERROR(IF(SUMIFS(_REF_Model_Content!$E$1:$E$613,_REF_Model_Content!$A$1:$A$613,'Company Profile'!$B$9,_REF_Model_Content!$B$1:$B$613,$C697)=0,1,SUMIFS(_REF_Model_Content!$E$1:$E$613,_REF_Model_Content!$A$1:$A$613,'Company Profile'!$B$9,_REF_Model_Content!$B$1:$B$613,$C697)),1),"")</f>
        <v/>
      </c>
      <c r="AY697">
        <f>IF($L697="","",ROUND(IF($AP697="",$L697,$AP697)*IF($AX697="",1,$AX697),2))</f>
        <v/>
      </c>
      <c r="AZ697">
        <f>IF($S697="","",ROUND(IF($AQ697="",$S697,$AQ697)*IF($AX697="",1,$AX697),2))</f>
        <v/>
      </c>
      <c r="BB697">
        <f>IF($H697="","",IFERROR(INDEX('_ENGINE_Risk'!$AE$41:$AE$920,MATCH($E697,'_ENGINE_Risk'!$A$41:$A$920,0)),"Medium"))</f>
        <v/>
      </c>
      <c r="BC697">
        <f>IF($BB697="","",IF($BB697="Fast",1.25,IF($BB697="Slow",0.85,1)))</f>
        <v/>
      </c>
      <c r="BD697">
        <f>IF(OR($AZ697="",$BC697=""),"",ROUND($AZ697*$BC697,2))</f>
        <v/>
      </c>
      <c r="BF697">
        <f>IF(OR($H697="",$J697=""),"",_xlfn.IFNA(VLOOKUP($J697,_CONFIG_Model_Settings!$D$610:$E$614,2,0),""))</f>
        <v/>
      </c>
      <c r="BG697">
        <f>IF(OR($H697="",$K697=""),"",ROUND('Company Profile'!$B$569*INDEX(_CONFIG_Model_Settings!$H$610:$H$614,MATCH($K697,_CONFIG_Model_Settings!$G$610:$G$614,0)),0))</f>
        <v/>
      </c>
      <c r="BH697">
        <f>IF(OR($BF697="",$BG697=""),"",ROUND($BF697*$BG697,1))</f>
        <v/>
      </c>
      <c r="BI697">
        <f>IF($BH697="","",IF($AO697="",$BH697,ROUND($BH697*$AO697,1)))</f>
        <v/>
      </c>
      <c r="BJ697">
        <f>IF($E697="","",IFERROR(VLOOKUP($C697,'_CONFIG_Risk_Calibration'!$A$5:$H$21,2,FALSE),3))</f>
        <v/>
      </c>
      <c r="BK697">
        <f>IF($E697="","",IFERROR(VLOOKUP($C697,'_CONFIG_Risk_Calibration'!$A$5:$H$21,3,FALSE),0))</f>
        <v/>
      </c>
      <c r="BL697">
        <f>IF($E697="","",IFERROR(VLOOKUP($C697,'_CONFIG_Risk_Calibration'!$A$5:$H$21,4,FALSE),3))</f>
        <v/>
      </c>
      <c r="BM697">
        <f>IF($E697="","",IFERROR(VLOOKUP($C697,'_CONFIG_Risk_Calibration'!$A$5:$H$21,5,FALSE),3))</f>
        <v/>
      </c>
      <c r="BN697">
        <f>IF($E697="","",IFERROR(VLOOKUP($C697,'_CONFIG_Risk_Calibration'!$A$5:$H$21,6,FALSE),"No"))</f>
        <v/>
      </c>
      <c r="BO697">
        <f>IF($E697="","",IFERROR(VLOOKUP($C697,'_CONFIG_Risk_Calibration'!$A$5:$H$21,7,FALSE),1))</f>
        <v/>
      </c>
      <c r="BP697">
        <f>IF($H697="","",MAX(1,MIN(5,((6-$H697)*0.45)+($BJ697*0.20)+('Resilience &amp; Risk Scenario'!$B$7*0.15)+($BK697*0.10)+($BL697*0.05)+(IF($BB697="Fast",5,IF($BB697="Slow",1,3))*0.05))))</f>
        <v/>
      </c>
      <c r="BQ697">
        <f>IF($H697="","",MAX(IF($BN697="Yes",$BO697,1),MIN(5,($U697*0.20)+($V697*0.15)+($W697*0.25)+($X697*0.15)+($BJ697*0.10)+($BM697*0.15))))</f>
        <v/>
      </c>
      <c r="BR697">
        <f>IF(OR($BP697="",$BQ697=""),"",ROUND($BP697*$BQ697,2))</f>
        <v/>
      </c>
      <c r="BS697">
        <f>IF($BR697="","",ROUND($BR697*IF($AO697="",1,$AO697)*IF($AX697="",1,$AX697)*(1+(($BM697-3)*0.10))*IF($BC697="",1,$BC697),2))</f>
        <v/>
      </c>
    </row>
    <row r="698" ht="69.90000000000001" customHeight="1" s="209">
      <c r="A698">
        <f>IF($BD698="","",SUMPRODUCT(ISNUMBER($BD$500:$BD$923)*($BD$500:$BD$923&gt;$BD698))+COUNTIF($BD$500:$BD698,$BD698))</f>
        <v/>
      </c>
      <c r="B698">
        <f>IF($H698="","",IF($H698&lt;5,"Yes","Maintain"))</f>
        <v/>
      </c>
      <c r="C698" t="inlineStr">
        <is>
          <t>Supply Chain</t>
        </is>
      </c>
      <c r="D698" t="inlineStr">
        <is>
          <t>Supply chain design</t>
        </is>
      </c>
      <c r="E698" t="inlineStr">
        <is>
          <t>SUPP-004</t>
        </is>
      </c>
      <c r="F698" t="inlineStr">
        <is>
          <t>Supply chain, logistics and supplier continuity</t>
        </is>
      </c>
      <c r="G698">
        <f>IF($H698="","",IFERROR(INDEX('_ENGINE_Risk'!$H$41:$M$920,MATCH($E698,'_ENGINE_Risk'!$A$41:$A$920,0),$H698+1),""))</f>
        <v/>
      </c>
      <c r="H698">
        <f>IFERROR(VALUE(INDEX(_DATA_Assessment_Model!$H$5:$H$884,MATCH($E698,_DATA_Assessment_Model!$A$5:$A$884,0))),"")</f>
        <v/>
      </c>
      <c r="I698">
        <f>IF($H698="","",IFERROR(INDEX(_DATA_Assessment_Model!$L$5:$L$884,MATCH($E698,_DATA_Assessment_Model!$A$5:$A$884,0)),IF($H698&lt;=1,"Critical",IF($H698=2,"High",IF($H698=3,"Medium",IF($H698=4,"Low","Resilient"))))))</f>
        <v/>
      </c>
      <c r="J698">
        <f>IF($H698="","",MIN(5,MAX(1,6-$H698)))</f>
        <v/>
      </c>
      <c r="K698">
        <f>IF($H698="","",MAX(1,MIN(5,ROUNDUP(($U698*0.45)+($W698*0.35)+($X698*0.2),0))))</f>
        <v/>
      </c>
      <c r="L698">
        <f>IF($H698="","",$J698*$K698)</f>
        <v/>
      </c>
      <c r="M698">
        <f>IF($H698="","",MAX(1,MIN(5,ROUNDUP($L698/5,0))))</f>
        <v/>
      </c>
      <c r="N698">
        <f>IF($H698="","",IFERROR(INDEX('_ENGINE_Risk'!$T$41:$Y$920,MATCH($E698,'_ENGINE_Risk'!$A$41:$A$920,0),$H698+1),""))</f>
        <v/>
      </c>
      <c r="O698">
        <f>IF($H698="","",MAX(1,MIN(5,($U698+$V698+$X698)/3)))</f>
        <v/>
      </c>
      <c r="P698">
        <f>IF($H698="","",IF($I698="Critical",5,IF($I698="High",4,IF($I698="Medium",3,IF($I698="Low",2,1)))))</f>
        <v/>
      </c>
      <c r="Q698">
        <f>IF($H698="","",MAX(1,MIN(5,((5-$H698)*0.65)+($W698*0.35))))</f>
        <v/>
      </c>
      <c r="R698">
        <f>IF($H698="","",MAX(1,MIN(5,($V698+$X698)/2)))</f>
        <v/>
      </c>
      <c r="S698">
        <f>IF(OR($H698="",$N698=""),"",ROUND(($O698+$P698+$Q698+$R698)/$N698,2))</f>
        <v/>
      </c>
      <c r="T698">
        <f>IF($H698="","",IFERROR(INDEX('_ENGINE_Risk'!$N$41:$S$920,MATCH($E698,'_ENGINE_Risk'!$A$41:$A$920,0),$H698+1),""))</f>
        <v/>
      </c>
      <c r="U698">
        <f>IFERROR(INDEX(_DATA_Assessment_Model!$G$5:$G$884,MATCH($E698,_DATA_Assessment_Model!$A$5:$A$884,0)),"")</f>
        <v/>
      </c>
      <c r="V698">
        <f>IFERROR(INDEX(_DATA_Assessment_Model!$W$5:$W$884,MATCH($E698,_DATA_Assessment_Model!$A$5:$A$884,0)),"")</f>
        <v/>
      </c>
      <c r="W698">
        <f>IFERROR(INDEX(_DATA_Assessment_Model!$X$5:$X$884,MATCH($E698,_DATA_Assessment_Model!$A$5:$A$884,0)),"")</f>
        <v/>
      </c>
      <c r="X698">
        <f>IFERROR(INDEX(_DATA_Assessment_Model!$Y$5:$Y$884,MATCH($E698,_DATA_Assessment_Model!$A$5:$A$884,0)),"")</f>
        <v/>
      </c>
      <c r="Y698" t="inlineStr">
        <is>
          <t>Supplier/logistics disruption; Manufacturing disruption; Demand shock</t>
        </is>
      </c>
      <c r="Z698" t="inlineStr">
        <is>
          <t>Supply Chain / Procurement</t>
        </is>
      </c>
      <c r="AA698" t="inlineStr">
        <is>
          <t>Policy/SOP; owner/RACI; system report; dashboard; contracts; test records; incident history; interview evidence related to supplier concentration by spend, dependency, category, geography and product line.</t>
        </is>
      </c>
      <c r="AB698">
        <f>IFERROR(INDEX(_DATA_Assessment_Model!$U$5:$U$884,MATCH($E698,_DATA_Assessment_Model!$A$5:$A$884,0)),"")</f>
        <v/>
      </c>
      <c r="AF698" t="inlineStr">
        <is>
          <t>How mature is the organization in managing supplier concentration by spend, dependency, category, geography and product line, including ownership, evidence, metrics, fallback procedures and crisis stress testing?</t>
        </is>
      </c>
      <c r="AO698">
        <f>IF($B698="Yes",IFERROR(INDEX(_ENGINE_Crisis!$F$501:$F$517,MATCH($C698,_ENGINE_Crisis!$A$501:$A$517,0)),1),"")</f>
        <v/>
      </c>
      <c r="AP698">
        <f>IF(AO698="","",ROUND($L698*AO698,1))</f>
        <v/>
      </c>
      <c r="AQ698">
        <f>IF(OR(AO698="",$S698=""),"",ROUND($S698*(0.7+0.3*AO698),2))</f>
        <v/>
      </c>
      <c r="AR698">
        <f>IFERROR(INDEX(_ENGINE_Crisis!$E$41:$E$700,MATCH('Resilience &amp; Risk Scenario'!$B$60&amp;"|"&amp;$C698,_ENGINE_Crisis!$I$41:$I$700,0)),"")</f>
        <v/>
      </c>
      <c r="AS698">
        <f>IFERROR(INDEX(_ENGINE_Crisis!$G$41:$G$700,MATCH('Resilience &amp; Risk Scenario'!$B$60&amp;"|"&amp;$C698,_ENGINE_Crisis!$I$41:$I$700,0)),"")</f>
        <v/>
      </c>
      <c r="AT698">
        <f>IFERROR(INDEX(_ENGINE_Initiatives!$A$5:$A$532,MATCH(1,INDEX((_ENGINE_Initiatives!$B$5:$B$532=$C698)*(_ENGINE_Initiatives!$C$5:$C$532=$D698),0),0)),"")</f>
        <v/>
      </c>
      <c r="AU698">
        <f>IFERROR(INDEX(_ENGINE_Initiatives!$F$5:$F$532,MATCH(1,INDEX((_ENGINE_Initiatives!$B$5:$B$532=$C698)*(_ENGINE_Initiatives!$C$5:$C$532=$D698),0),0)),"")</f>
        <v/>
      </c>
      <c r="AV698">
        <f>IFERROR(INDEX(_ENGINE_Initiatives!$AC$5:$AC$532,MATCH(1,INDEX((_ENGINE_Initiatives!$B$5:$B$532=$C698)*(_ENGINE_Initiatives!$C$5:$C$532=$D698),0),0)),"")</f>
        <v/>
      </c>
      <c r="AW698">
        <f>IFERROR(INDEX(_ENGINE_Initiatives!$AE$5:$AE$532,MATCH(1,INDEX((_ENGINE_Initiatives!$B$5:$B$532=$C698)*(_ENGINE_Initiatives!$C$5:$C$532=$D698),0),0)),"")</f>
        <v/>
      </c>
      <c r="AX698">
        <f>IF($B698="Yes",IFERROR(IF(SUMIFS(_REF_Model_Content!$E$1:$E$613,_REF_Model_Content!$A$1:$A$613,'Company Profile'!$B$9,_REF_Model_Content!$B$1:$B$613,$C698)=0,1,SUMIFS(_REF_Model_Content!$E$1:$E$613,_REF_Model_Content!$A$1:$A$613,'Company Profile'!$B$9,_REF_Model_Content!$B$1:$B$613,$C698)),1),"")</f>
        <v/>
      </c>
      <c r="AY698">
        <f>IF($L698="","",ROUND(IF($AP698="",$L698,$AP698)*IF($AX698="",1,$AX698),2))</f>
        <v/>
      </c>
      <c r="AZ698">
        <f>IF($S698="","",ROUND(IF($AQ698="",$S698,$AQ698)*IF($AX698="",1,$AX698),2))</f>
        <v/>
      </c>
      <c r="BB698">
        <f>IF($H698="","",IFERROR(INDEX('_ENGINE_Risk'!$AE$41:$AE$920,MATCH($E698,'_ENGINE_Risk'!$A$41:$A$920,0)),"Medium"))</f>
        <v/>
      </c>
      <c r="BC698">
        <f>IF($BB698="","",IF($BB698="Fast",1.25,IF($BB698="Slow",0.85,1)))</f>
        <v/>
      </c>
      <c r="BD698">
        <f>IF(OR($AZ698="",$BC698=""),"",ROUND($AZ698*$BC698,2))</f>
        <v/>
      </c>
      <c r="BF698">
        <f>IF(OR($H698="",$J698=""),"",_xlfn.IFNA(VLOOKUP($J698,_CONFIG_Model_Settings!$D$610:$E$614,2,0),""))</f>
        <v/>
      </c>
      <c r="BG698">
        <f>IF(OR($H698="",$K698=""),"",ROUND('Company Profile'!$B$569*INDEX(_CONFIG_Model_Settings!$H$610:$H$614,MATCH($K698,_CONFIG_Model_Settings!$G$610:$G$614,0)),0))</f>
        <v/>
      </c>
      <c r="BH698">
        <f>IF(OR($BF698="",$BG698=""),"",ROUND($BF698*$BG698,1))</f>
        <v/>
      </c>
      <c r="BI698">
        <f>IF($BH698="","",IF($AO698="",$BH698,ROUND($BH698*$AO698,1)))</f>
        <v/>
      </c>
      <c r="BJ698">
        <f>IF($E698="","",IFERROR(VLOOKUP($C698,'_CONFIG_Risk_Calibration'!$A$5:$H$21,2,FALSE),3))</f>
        <v/>
      </c>
      <c r="BK698">
        <f>IF($E698="","",IFERROR(VLOOKUP($C698,'_CONFIG_Risk_Calibration'!$A$5:$H$21,3,FALSE),0))</f>
        <v/>
      </c>
      <c r="BL698">
        <f>IF($E698="","",IFERROR(VLOOKUP($C698,'_CONFIG_Risk_Calibration'!$A$5:$H$21,4,FALSE),3))</f>
        <v/>
      </c>
      <c r="BM698">
        <f>IF($E698="","",IFERROR(VLOOKUP($C698,'_CONFIG_Risk_Calibration'!$A$5:$H$21,5,FALSE),3))</f>
        <v/>
      </c>
      <c r="BN698">
        <f>IF($E698="","",IFERROR(VLOOKUP($C698,'_CONFIG_Risk_Calibration'!$A$5:$H$21,6,FALSE),"No"))</f>
        <v/>
      </c>
      <c r="BO698">
        <f>IF($E698="","",IFERROR(VLOOKUP($C698,'_CONFIG_Risk_Calibration'!$A$5:$H$21,7,FALSE),1))</f>
        <v/>
      </c>
      <c r="BP698">
        <f>IF($H698="","",MAX(1,MIN(5,((6-$H698)*0.45)+($BJ698*0.20)+('Resilience &amp; Risk Scenario'!$B$7*0.15)+($BK698*0.10)+($BL698*0.05)+(IF($BB698="Fast",5,IF($BB698="Slow",1,3))*0.05))))</f>
        <v/>
      </c>
      <c r="BQ698">
        <f>IF($H698="","",MAX(IF($BN698="Yes",$BO698,1),MIN(5,($U698*0.20)+($V698*0.15)+($W698*0.25)+($X698*0.15)+($BJ698*0.10)+($BM698*0.15))))</f>
        <v/>
      </c>
      <c r="BR698">
        <f>IF(OR($BP698="",$BQ698=""),"",ROUND($BP698*$BQ698,2))</f>
        <v/>
      </c>
      <c r="BS698">
        <f>IF($BR698="","",ROUND($BR698*IF($AO698="",1,$AO698)*IF($AX698="",1,$AX698)*(1+(($BM698-3)*0.10))*IF($BC698="",1,$BC698),2))</f>
        <v/>
      </c>
    </row>
    <row r="699" ht="69.90000000000001" customHeight="1" s="209">
      <c r="A699">
        <f>IF($BD699="","",SUMPRODUCT(ISNUMBER($BD$500:$BD$923)*($BD$500:$BD$923&gt;$BD699))+COUNTIF($BD$500:$BD699,$BD699))</f>
        <v/>
      </c>
      <c r="B699">
        <f>IF($H699="","",IF($H699&lt;5,"Yes","Maintain"))</f>
        <v/>
      </c>
      <c r="C699" t="inlineStr">
        <is>
          <t>Supply Chain</t>
        </is>
      </c>
      <c r="D699" t="inlineStr">
        <is>
          <t>Supply chain design</t>
        </is>
      </c>
      <c r="E699" t="inlineStr">
        <is>
          <t>SUPP-005</t>
        </is>
      </c>
      <c r="F699" t="inlineStr">
        <is>
          <t>Supply chain, logistics and supplier continuity</t>
        </is>
      </c>
      <c r="G699">
        <f>IF($H699="","",IFERROR(INDEX('_ENGINE_Risk'!$H$41:$M$920,MATCH($E699,'_ENGINE_Risk'!$A$41:$A$920,0),$H699+1),""))</f>
        <v/>
      </c>
      <c r="H699">
        <f>IFERROR(VALUE(INDEX(_DATA_Assessment_Model!$H$5:$H$884,MATCH($E699,_DATA_Assessment_Model!$A$5:$A$884,0))),"")</f>
        <v/>
      </c>
      <c r="I699">
        <f>IF($H699="","",IFERROR(INDEX(_DATA_Assessment_Model!$L$5:$L$884,MATCH($E699,_DATA_Assessment_Model!$A$5:$A$884,0)),IF($H699&lt;=1,"Critical",IF($H699=2,"High",IF($H699=3,"Medium",IF($H699=4,"Low","Resilient"))))))</f>
        <v/>
      </c>
      <c r="J699">
        <f>IF($H699="","",MIN(5,MAX(1,6-$H699)))</f>
        <v/>
      </c>
      <c r="K699">
        <f>IF($H699="","",MAX(1,MIN(5,ROUNDUP(($U699*0.45)+($W699*0.35)+($X699*0.2),0))))</f>
        <v/>
      </c>
      <c r="L699">
        <f>IF($H699="","",$J699*$K699)</f>
        <v/>
      </c>
      <c r="M699">
        <f>IF($H699="","",MAX(1,MIN(5,ROUNDUP($L699/5,0))))</f>
        <v/>
      </c>
      <c r="N699">
        <f>IF($H699="","",IFERROR(INDEX('_ENGINE_Risk'!$T$41:$Y$920,MATCH($E699,'_ENGINE_Risk'!$A$41:$A$920,0),$H699+1),""))</f>
        <v/>
      </c>
      <c r="O699">
        <f>IF($H699="","",MAX(1,MIN(5,($U699+$V699+$X699)/3)))</f>
        <v/>
      </c>
      <c r="P699">
        <f>IF($H699="","",IF($I699="Critical",5,IF($I699="High",4,IF($I699="Medium",3,IF($I699="Low",2,1)))))</f>
        <v/>
      </c>
      <c r="Q699">
        <f>IF($H699="","",MAX(1,MIN(5,((5-$H699)*0.65)+($W699*0.35))))</f>
        <v/>
      </c>
      <c r="R699">
        <f>IF($H699="","",MAX(1,MIN(5,($V699+$X699)/2)))</f>
        <v/>
      </c>
      <c r="S699">
        <f>IF(OR($H699="",$N699=""),"",ROUND(($O699+$P699+$Q699+$R699)/$N699,2))</f>
        <v/>
      </c>
      <c r="T699">
        <f>IF($H699="","",IFERROR(INDEX('_ENGINE_Risk'!$N$41:$S$920,MATCH($E699,'_ENGINE_Risk'!$A$41:$A$920,0),$H699+1),""))</f>
        <v/>
      </c>
      <c r="U699">
        <f>IFERROR(INDEX(_DATA_Assessment_Model!$G$5:$G$884,MATCH($E699,_DATA_Assessment_Model!$A$5:$A$884,0)),"")</f>
        <v/>
      </c>
      <c r="V699">
        <f>IFERROR(INDEX(_DATA_Assessment_Model!$W$5:$W$884,MATCH($E699,_DATA_Assessment_Model!$A$5:$A$884,0)),"")</f>
        <v/>
      </c>
      <c r="W699">
        <f>IFERROR(INDEX(_DATA_Assessment_Model!$X$5:$X$884,MATCH($E699,_DATA_Assessment_Model!$A$5:$A$884,0)),"")</f>
        <v/>
      </c>
      <c r="X699">
        <f>IFERROR(INDEX(_DATA_Assessment_Model!$Y$5:$Y$884,MATCH($E699,_DATA_Assessment_Model!$A$5:$A$884,0)),"")</f>
        <v/>
      </c>
      <c r="Y699" t="inlineStr">
        <is>
          <t>Supplier/logistics disruption; Manufacturing disruption; Demand shock</t>
        </is>
      </c>
      <c r="Z699" t="inlineStr">
        <is>
          <t>Supply Chain / Procurement</t>
        </is>
      </c>
      <c r="AA699" t="inlineStr">
        <is>
          <t>Policy/SOP; owner/RACI; system report; dashboard; contracts; test records; incident history; interview evidence related to critical supplier continuity plans, recovery times and incident notification commitments.</t>
        </is>
      </c>
      <c r="AB699">
        <f>IFERROR(INDEX(_DATA_Assessment_Model!$U$5:$U$884,MATCH($E699,_DATA_Assessment_Model!$A$5:$A$884,0)),"")</f>
        <v/>
      </c>
      <c r="AF699" t="inlineStr">
        <is>
          <t>How mature is the organization in managing critical supplier continuity plans, recovery times and incident notification commitments, including ownership, evidence, metrics, fallback procedures and crisis stress testing?</t>
        </is>
      </c>
      <c r="AO699">
        <f>IF($B699="Yes",IFERROR(INDEX(_ENGINE_Crisis!$F$501:$F$517,MATCH($C699,_ENGINE_Crisis!$A$501:$A$517,0)),1),"")</f>
        <v/>
      </c>
      <c r="AP699">
        <f>IF(AO699="","",ROUND($L699*AO699,1))</f>
        <v/>
      </c>
      <c r="AQ699">
        <f>IF(OR(AO699="",$S699=""),"",ROUND($S699*(0.7+0.3*AO699),2))</f>
        <v/>
      </c>
      <c r="AR699">
        <f>IFERROR(INDEX(_ENGINE_Crisis!$E$41:$E$700,MATCH('Resilience &amp; Risk Scenario'!$B$60&amp;"|"&amp;$C699,_ENGINE_Crisis!$I$41:$I$700,0)),"")</f>
        <v/>
      </c>
      <c r="AS699">
        <f>IFERROR(INDEX(_ENGINE_Crisis!$G$41:$G$700,MATCH('Resilience &amp; Risk Scenario'!$B$60&amp;"|"&amp;$C699,_ENGINE_Crisis!$I$41:$I$700,0)),"")</f>
        <v/>
      </c>
      <c r="AT699">
        <f>IFERROR(INDEX(_ENGINE_Initiatives!$A$5:$A$532,MATCH(1,INDEX((_ENGINE_Initiatives!$B$5:$B$532=$C699)*(_ENGINE_Initiatives!$C$5:$C$532=$D699),0),0)),"")</f>
        <v/>
      </c>
      <c r="AU699">
        <f>IFERROR(INDEX(_ENGINE_Initiatives!$F$5:$F$532,MATCH(1,INDEX((_ENGINE_Initiatives!$B$5:$B$532=$C699)*(_ENGINE_Initiatives!$C$5:$C$532=$D699),0),0)),"")</f>
        <v/>
      </c>
      <c r="AV699">
        <f>IFERROR(INDEX(_ENGINE_Initiatives!$AC$5:$AC$532,MATCH(1,INDEX((_ENGINE_Initiatives!$B$5:$B$532=$C699)*(_ENGINE_Initiatives!$C$5:$C$532=$D699),0),0)),"")</f>
        <v/>
      </c>
      <c r="AW699">
        <f>IFERROR(INDEX(_ENGINE_Initiatives!$AE$5:$AE$532,MATCH(1,INDEX((_ENGINE_Initiatives!$B$5:$B$532=$C699)*(_ENGINE_Initiatives!$C$5:$C$532=$D699),0),0)),"")</f>
        <v/>
      </c>
      <c r="AX699">
        <f>IF($B699="Yes",IFERROR(IF(SUMIFS(_REF_Model_Content!$E$1:$E$613,_REF_Model_Content!$A$1:$A$613,'Company Profile'!$B$9,_REF_Model_Content!$B$1:$B$613,$C699)=0,1,SUMIFS(_REF_Model_Content!$E$1:$E$613,_REF_Model_Content!$A$1:$A$613,'Company Profile'!$B$9,_REF_Model_Content!$B$1:$B$613,$C699)),1),"")</f>
        <v/>
      </c>
      <c r="AY699">
        <f>IF($L699="","",ROUND(IF($AP699="",$L699,$AP699)*IF($AX699="",1,$AX699),2))</f>
        <v/>
      </c>
      <c r="AZ699">
        <f>IF($S699="","",ROUND(IF($AQ699="",$S699,$AQ699)*IF($AX699="",1,$AX699),2))</f>
        <v/>
      </c>
      <c r="BB699">
        <f>IF($H699="","",IFERROR(INDEX('_ENGINE_Risk'!$AE$41:$AE$920,MATCH($E699,'_ENGINE_Risk'!$A$41:$A$920,0)),"Medium"))</f>
        <v/>
      </c>
      <c r="BC699">
        <f>IF($BB699="","",IF($BB699="Fast",1.25,IF($BB699="Slow",0.85,1)))</f>
        <v/>
      </c>
      <c r="BD699">
        <f>IF(OR($AZ699="",$BC699=""),"",ROUND($AZ699*$BC699,2))</f>
        <v/>
      </c>
      <c r="BF699">
        <f>IF(OR($H699="",$J699=""),"",_xlfn.IFNA(VLOOKUP($J699,_CONFIG_Model_Settings!$D$610:$E$614,2,0),""))</f>
        <v/>
      </c>
      <c r="BG699">
        <f>IF(OR($H699="",$K699=""),"",ROUND('Company Profile'!$B$569*INDEX(_CONFIG_Model_Settings!$H$610:$H$614,MATCH($K699,_CONFIG_Model_Settings!$G$610:$G$614,0)),0))</f>
        <v/>
      </c>
      <c r="BH699">
        <f>IF(OR($BF699="",$BG699=""),"",ROUND($BF699*$BG699,1))</f>
        <v/>
      </c>
      <c r="BI699">
        <f>IF($BH699="","",IF($AO699="",$BH699,ROUND($BH699*$AO699,1)))</f>
        <v/>
      </c>
      <c r="BJ699">
        <f>IF($E699="","",IFERROR(VLOOKUP($C699,'_CONFIG_Risk_Calibration'!$A$5:$H$21,2,FALSE),3))</f>
        <v/>
      </c>
      <c r="BK699">
        <f>IF($E699="","",IFERROR(VLOOKUP($C699,'_CONFIG_Risk_Calibration'!$A$5:$H$21,3,FALSE),0))</f>
        <v/>
      </c>
      <c r="BL699">
        <f>IF($E699="","",IFERROR(VLOOKUP($C699,'_CONFIG_Risk_Calibration'!$A$5:$H$21,4,FALSE),3))</f>
        <v/>
      </c>
      <c r="BM699">
        <f>IF($E699="","",IFERROR(VLOOKUP($C699,'_CONFIG_Risk_Calibration'!$A$5:$H$21,5,FALSE),3))</f>
        <v/>
      </c>
      <c r="BN699">
        <f>IF($E699="","",IFERROR(VLOOKUP($C699,'_CONFIG_Risk_Calibration'!$A$5:$H$21,6,FALSE),"No"))</f>
        <v/>
      </c>
      <c r="BO699">
        <f>IF($E699="","",IFERROR(VLOOKUP($C699,'_CONFIG_Risk_Calibration'!$A$5:$H$21,7,FALSE),1))</f>
        <v/>
      </c>
      <c r="BP699">
        <f>IF($H699="","",MAX(1,MIN(5,((6-$H699)*0.45)+($BJ699*0.20)+('Resilience &amp; Risk Scenario'!$B$7*0.15)+($BK699*0.10)+($BL699*0.05)+(IF($BB699="Fast",5,IF($BB699="Slow",1,3))*0.05))))</f>
        <v/>
      </c>
      <c r="BQ699">
        <f>IF($H699="","",MAX(IF($BN699="Yes",$BO699,1),MIN(5,($U699*0.20)+($V699*0.15)+($W699*0.25)+($X699*0.15)+($BJ699*0.10)+($BM699*0.15))))</f>
        <v/>
      </c>
      <c r="BR699">
        <f>IF(OR($BP699="",$BQ699=""),"",ROUND($BP699*$BQ699,2))</f>
        <v/>
      </c>
      <c r="BS699">
        <f>IF($BR699="","",ROUND($BR699*IF($AO699="",1,$AO699)*IF($AX699="",1,$AX699)*(1+(($BM699-3)*0.10))*IF($BC699="",1,$BC699),2))</f>
        <v/>
      </c>
    </row>
    <row r="700" ht="69.90000000000001" customHeight="1" s="209">
      <c r="A700">
        <f>IF($BD700="","",SUMPRODUCT(ISNUMBER($BD$500:$BD$923)*($BD$500:$BD$923&gt;$BD700))+COUNTIF($BD$500:$BD700,$BD700))</f>
        <v/>
      </c>
      <c r="B700">
        <f>IF($H700="","",IF($H700&lt;5,"Yes","Maintain"))</f>
        <v/>
      </c>
      <c r="C700" t="inlineStr">
        <is>
          <t>Supply Chain</t>
        </is>
      </c>
      <c r="D700" t="inlineStr">
        <is>
          <t>Supply chain design</t>
        </is>
      </c>
      <c r="E700" t="inlineStr">
        <is>
          <t>SUPP-006</t>
        </is>
      </c>
      <c r="F700" t="inlineStr">
        <is>
          <t>Supply chain, logistics and supplier continuity</t>
        </is>
      </c>
      <c r="G700">
        <f>IF($H700="","",IFERROR(INDEX('_ENGINE_Risk'!$H$41:$M$920,MATCH($E700,'_ENGINE_Risk'!$A$41:$A$920,0),$H700+1),""))</f>
        <v/>
      </c>
      <c r="H700">
        <f>IFERROR(VALUE(INDEX(_DATA_Assessment_Model!$H$5:$H$884,MATCH($E700,_DATA_Assessment_Model!$A$5:$A$884,0))),"")</f>
        <v/>
      </c>
      <c r="I700">
        <f>IF($H700="","",IFERROR(INDEX(_DATA_Assessment_Model!$L$5:$L$884,MATCH($E700,_DATA_Assessment_Model!$A$5:$A$884,0)),IF($H700&lt;=1,"Critical",IF($H700=2,"High",IF($H700=3,"Medium",IF($H700=4,"Low","Resilient"))))))</f>
        <v/>
      </c>
      <c r="J700">
        <f>IF($H700="","",MIN(5,MAX(1,6-$H700)))</f>
        <v/>
      </c>
      <c r="K700">
        <f>IF($H700="","",MAX(1,MIN(5,ROUNDUP(($U700*0.45)+($W700*0.35)+($X700*0.2),0))))</f>
        <v/>
      </c>
      <c r="L700">
        <f>IF($H700="","",$J700*$K700)</f>
        <v/>
      </c>
      <c r="M700">
        <f>IF($H700="","",MAX(1,MIN(5,ROUNDUP($L700/5,0))))</f>
        <v/>
      </c>
      <c r="N700">
        <f>IF($H700="","",IFERROR(INDEX('_ENGINE_Risk'!$T$41:$Y$920,MATCH($E700,'_ENGINE_Risk'!$A$41:$A$920,0),$H700+1),""))</f>
        <v/>
      </c>
      <c r="O700">
        <f>IF($H700="","",MAX(1,MIN(5,($U700+$V700+$X700)/3)))</f>
        <v/>
      </c>
      <c r="P700">
        <f>IF($H700="","",IF($I700="Critical",5,IF($I700="High",4,IF($I700="Medium",3,IF($I700="Low",2,1)))))</f>
        <v/>
      </c>
      <c r="Q700">
        <f>IF($H700="","",MAX(1,MIN(5,((5-$H700)*0.65)+($W700*0.35))))</f>
        <v/>
      </c>
      <c r="R700">
        <f>IF($H700="","",MAX(1,MIN(5,($V700+$X700)/2)))</f>
        <v/>
      </c>
      <c r="S700">
        <f>IF(OR($H700="",$N700=""),"",ROUND(($O700+$P700+$Q700+$R700)/$N700,2))</f>
        <v/>
      </c>
      <c r="T700">
        <f>IF($H700="","",IFERROR(INDEX('_ENGINE_Risk'!$N$41:$S$920,MATCH($E700,'_ENGINE_Risk'!$A$41:$A$920,0),$H700+1),""))</f>
        <v/>
      </c>
      <c r="U700">
        <f>IFERROR(INDEX(_DATA_Assessment_Model!$G$5:$G$884,MATCH($E700,_DATA_Assessment_Model!$A$5:$A$884,0)),"")</f>
        <v/>
      </c>
      <c r="V700">
        <f>IFERROR(INDEX(_DATA_Assessment_Model!$W$5:$W$884,MATCH($E700,_DATA_Assessment_Model!$A$5:$A$884,0)),"")</f>
        <v/>
      </c>
      <c r="W700">
        <f>IFERROR(INDEX(_DATA_Assessment_Model!$X$5:$X$884,MATCH($E700,_DATA_Assessment_Model!$A$5:$A$884,0)),"")</f>
        <v/>
      </c>
      <c r="X700">
        <f>IFERROR(INDEX(_DATA_Assessment_Model!$Y$5:$Y$884,MATCH($E700,_DATA_Assessment_Model!$A$5:$A$884,0)),"")</f>
        <v/>
      </c>
      <c r="Y700" t="inlineStr">
        <is>
          <t>Supplier/logistics disruption; Manufacturing disruption; Demand shock</t>
        </is>
      </c>
      <c r="Z700" t="inlineStr">
        <is>
          <t>Supply Chain / Procurement</t>
        </is>
      </c>
      <c r="AA700" t="inlineStr">
        <is>
          <t>Policy/SOP; owner/RACI; system report; dashboard; contracts; test records; incident history; interview evidence related to pre-qualified alternative suppliers for critical categories.</t>
        </is>
      </c>
      <c r="AB700">
        <f>IFERROR(INDEX(_DATA_Assessment_Model!$U$5:$U$884,MATCH($E700,_DATA_Assessment_Model!$A$5:$A$884,0)),"")</f>
        <v/>
      </c>
      <c r="AF700" t="inlineStr">
        <is>
          <t>How mature is the organization in managing pre-qualified alternative suppliers for critical categories, including ownership, evidence, metrics, fallback procedures and crisis stress testing?</t>
        </is>
      </c>
      <c r="AO700">
        <f>IF($B700="Yes",IFERROR(INDEX(_ENGINE_Crisis!$F$501:$F$517,MATCH($C700,_ENGINE_Crisis!$A$501:$A$517,0)),1),"")</f>
        <v/>
      </c>
      <c r="AP700">
        <f>IF(AO700="","",ROUND($L700*AO700,1))</f>
        <v/>
      </c>
      <c r="AQ700">
        <f>IF(OR(AO700="",$S700=""),"",ROUND($S700*(0.7+0.3*AO700),2))</f>
        <v/>
      </c>
      <c r="AR700">
        <f>IFERROR(INDEX(_ENGINE_Crisis!$E$41:$E$700,MATCH('Resilience &amp; Risk Scenario'!$B$60&amp;"|"&amp;$C700,_ENGINE_Crisis!$I$41:$I$700,0)),"")</f>
        <v/>
      </c>
      <c r="AS700">
        <f>IFERROR(INDEX(_ENGINE_Crisis!$G$41:$G$700,MATCH('Resilience &amp; Risk Scenario'!$B$60&amp;"|"&amp;$C700,_ENGINE_Crisis!$I$41:$I$700,0)),"")</f>
        <v/>
      </c>
      <c r="AT700">
        <f>IFERROR(INDEX(_ENGINE_Initiatives!$A$5:$A$532,MATCH(1,INDEX((_ENGINE_Initiatives!$B$5:$B$532=$C700)*(_ENGINE_Initiatives!$C$5:$C$532=$D700),0),0)),"")</f>
        <v/>
      </c>
      <c r="AU700">
        <f>IFERROR(INDEX(_ENGINE_Initiatives!$F$5:$F$532,MATCH(1,INDEX((_ENGINE_Initiatives!$B$5:$B$532=$C700)*(_ENGINE_Initiatives!$C$5:$C$532=$D700),0),0)),"")</f>
        <v/>
      </c>
      <c r="AV700">
        <f>IFERROR(INDEX(_ENGINE_Initiatives!$AC$5:$AC$532,MATCH(1,INDEX((_ENGINE_Initiatives!$B$5:$B$532=$C700)*(_ENGINE_Initiatives!$C$5:$C$532=$D700),0),0)),"")</f>
        <v/>
      </c>
      <c r="AW700">
        <f>IFERROR(INDEX(_ENGINE_Initiatives!$AE$5:$AE$532,MATCH(1,INDEX((_ENGINE_Initiatives!$B$5:$B$532=$C700)*(_ENGINE_Initiatives!$C$5:$C$532=$D700),0),0)),"")</f>
        <v/>
      </c>
      <c r="AX700">
        <f>IF($B700="Yes",IFERROR(IF(SUMIFS(_REF_Model_Content!$E$1:$E$613,_REF_Model_Content!$A$1:$A$613,'Company Profile'!$B$9,_REF_Model_Content!$B$1:$B$613,$C700)=0,1,SUMIFS(_REF_Model_Content!$E$1:$E$613,_REF_Model_Content!$A$1:$A$613,'Company Profile'!$B$9,_REF_Model_Content!$B$1:$B$613,$C700)),1),"")</f>
        <v/>
      </c>
      <c r="AY700">
        <f>IF($L700="","",ROUND(IF($AP700="",$L700,$AP700)*IF($AX700="",1,$AX700),2))</f>
        <v/>
      </c>
      <c r="AZ700">
        <f>IF($S700="","",ROUND(IF($AQ700="",$S700,$AQ700)*IF($AX700="",1,$AX700),2))</f>
        <v/>
      </c>
      <c r="BB700">
        <f>IF($H700="","",IFERROR(INDEX('_ENGINE_Risk'!$AE$41:$AE$920,MATCH($E700,'_ENGINE_Risk'!$A$41:$A$920,0)),"Medium"))</f>
        <v/>
      </c>
      <c r="BC700">
        <f>IF($BB700="","",IF($BB700="Fast",1.25,IF($BB700="Slow",0.85,1)))</f>
        <v/>
      </c>
      <c r="BD700">
        <f>IF(OR($AZ700="",$BC700=""),"",ROUND($AZ700*$BC700,2))</f>
        <v/>
      </c>
      <c r="BF700">
        <f>IF(OR($H700="",$J700=""),"",_xlfn.IFNA(VLOOKUP($J700,_CONFIG_Model_Settings!$D$610:$E$614,2,0),""))</f>
        <v/>
      </c>
      <c r="BG700">
        <f>IF(OR($H700="",$K700=""),"",ROUND('Company Profile'!$B$569*INDEX(_CONFIG_Model_Settings!$H$610:$H$614,MATCH($K700,_CONFIG_Model_Settings!$G$610:$G$614,0)),0))</f>
        <v/>
      </c>
      <c r="BH700">
        <f>IF(OR($BF700="",$BG700=""),"",ROUND($BF700*$BG700,1))</f>
        <v/>
      </c>
      <c r="BI700">
        <f>IF($BH700="","",IF($AO700="",$BH700,ROUND($BH700*$AO700,1)))</f>
        <v/>
      </c>
      <c r="BJ700">
        <f>IF($E700="","",IFERROR(VLOOKUP($C700,'_CONFIG_Risk_Calibration'!$A$5:$H$21,2,FALSE),3))</f>
        <v/>
      </c>
      <c r="BK700">
        <f>IF($E700="","",IFERROR(VLOOKUP($C700,'_CONFIG_Risk_Calibration'!$A$5:$H$21,3,FALSE),0))</f>
        <v/>
      </c>
      <c r="BL700">
        <f>IF($E700="","",IFERROR(VLOOKUP($C700,'_CONFIG_Risk_Calibration'!$A$5:$H$21,4,FALSE),3))</f>
        <v/>
      </c>
      <c r="BM700">
        <f>IF($E700="","",IFERROR(VLOOKUP($C700,'_CONFIG_Risk_Calibration'!$A$5:$H$21,5,FALSE),3))</f>
        <v/>
      </c>
      <c r="BN700">
        <f>IF($E700="","",IFERROR(VLOOKUP($C700,'_CONFIG_Risk_Calibration'!$A$5:$H$21,6,FALSE),"No"))</f>
        <v/>
      </c>
      <c r="BO700">
        <f>IF($E700="","",IFERROR(VLOOKUP($C700,'_CONFIG_Risk_Calibration'!$A$5:$H$21,7,FALSE),1))</f>
        <v/>
      </c>
      <c r="BP700">
        <f>IF($H700="","",MAX(1,MIN(5,((6-$H700)*0.45)+($BJ700*0.20)+('Resilience &amp; Risk Scenario'!$B$7*0.15)+($BK700*0.10)+($BL700*0.05)+(IF($BB700="Fast",5,IF($BB700="Slow",1,3))*0.05))))</f>
        <v/>
      </c>
      <c r="BQ700">
        <f>IF($H700="","",MAX(IF($BN700="Yes",$BO700,1),MIN(5,($U700*0.20)+($V700*0.15)+($W700*0.25)+($X700*0.15)+($BJ700*0.10)+($BM700*0.15))))</f>
        <v/>
      </c>
      <c r="BR700">
        <f>IF(OR($BP700="",$BQ700=""),"",ROUND($BP700*$BQ700,2))</f>
        <v/>
      </c>
      <c r="BS700">
        <f>IF($BR700="","",ROUND($BR700*IF($AO700="",1,$AO700)*IF($AX700="",1,$AX700)*(1+(($BM700-3)*0.10))*IF($BC700="",1,$BC700),2))</f>
        <v/>
      </c>
    </row>
    <row r="701" ht="69.90000000000001" customHeight="1" s="209">
      <c r="A701">
        <f>IF($BD701="","",SUMPRODUCT(ISNUMBER($BD$500:$BD$923)*($BD$500:$BD$923&gt;$BD701))+COUNTIF($BD$500:$BD701,$BD701))</f>
        <v/>
      </c>
      <c r="B701">
        <f>IF($H701="","",IF($H701&lt;5,"Yes","Maintain"))</f>
        <v/>
      </c>
      <c r="C701" t="inlineStr">
        <is>
          <t>Supply Chain</t>
        </is>
      </c>
      <c r="D701" t="inlineStr">
        <is>
          <t>Logistics</t>
        </is>
      </c>
      <c r="E701" t="inlineStr">
        <is>
          <t>SUPP-007</t>
        </is>
      </c>
      <c r="F701" t="inlineStr">
        <is>
          <t>Supply chain, logistics and supplier continuity</t>
        </is>
      </c>
      <c r="G701">
        <f>IF($H701="","",IFERROR(INDEX('_ENGINE_Risk'!$H$41:$M$920,MATCH($E701,'_ENGINE_Risk'!$A$41:$A$920,0),$H701+1),""))</f>
        <v/>
      </c>
      <c r="H701">
        <f>IFERROR(VALUE(INDEX(_DATA_Assessment_Model!$H$5:$H$884,MATCH($E701,_DATA_Assessment_Model!$A$5:$A$884,0))),"")</f>
        <v/>
      </c>
      <c r="I701">
        <f>IF($H701="","",IFERROR(INDEX(_DATA_Assessment_Model!$L$5:$L$884,MATCH($E701,_DATA_Assessment_Model!$A$5:$A$884,0)),IF($H701&lt;=1,"Critical",IF($H701=2,"High",IF($H701=3,"Medium",IF($H701=4,"Low","Resilient"))))))</f>
        <v/>
      </c>
      <c r="J701">
        <f>IF($H701="","",MIN(5,MAX(1,6-$H701)))</f>
        <v/>
      </c>
      <c r="K701">
        <f>IF($H701="","",MAX(1,MIN(5,ROUNDUP(($U701*0.45)+($W701*0.35)+($X701*0.2),0))))</f>
        <v/>
      </c>
      <c r="L701">
        <f>IF($H701="","",$J701*$K701)</f>
        <v/>
      </c>
      <c r="M701">
        <f>IF($H701="","",MAX(1,MIN(5,ROUNDUP($L701/5,0))))</f>
        <v/>
      </c>
      <c r="N701">
        <f>IF($H701="","",IFERROR(INDEX('_ENGINE_Risk'!$T$41:$Y$920,MATCH($E701,'_ENGINE_Risk'!$A$41:$A$920,0),$H701+1),""))</f>
        <v/>
      </c>
      <c r="O701">
        <f>IF($H701="","",MAX(1,MIN(5,($U701+$V701+$X701)/3)))</f>
        <v/>
      </c>
      <c r="P701">
        <f>IF($H701="","",IF($I701="Critical",5,IF($I701="High",4,IF($I701="Medium",3,IF($I701="Low",2,1)))))</f>
        <v/>
      </c>
      <c r="Q701">
        <f>IF($H701="","",MAX(1,MIN(5,((5-$H701)*0.65)+($W701*0.35))))</f>
        <v/>
      </c>
      <c r="R701">
        <f>IF($H701="","",MAX(1,MIN(5,($V701+$X701)/2)))</f>
        <v/>
      </c>
      <c r="S701">
        <f>IF(OR($H701="",$N701=""),"",ROUND(($O701+$P701+$Q701+$R701)/$N701,2))</f>
        <v/>
      </c>
      <c r="T701">
        <f>IF($H701="","",IFERROR(INDEX('_ENGINE_Risk'!$N$41:$S$920,MATCH($E701,'_ENGINE_Risk'!$A$41:$A$920,0),$H701+1),""))</f>
        <v/>
      </c>
      <c r="U701">
        <f>IFERROR(INDEX(_DATA_Assessment_Model!$G$5:$G$884,MATCH($E701,_DATA_Assessment_Model!$A$5:$A$884,0)),"")</f>
        <v/>
      </c>
      <c r="V701">
        <f>IFERROR(INDEX(_DATA_Assessment_Model!$W$5:$W$884,MATCH($E701,_DATA_Assessment_Model!$A$5:$A$884,0)),"")</f>
        <v/>
      </c>
      <c r="W701">
        <f>IFERROR(INDEX(_DATA_Assessment_Model!$X$5:$X$884,MATCH($E701,_DATA_Assessment_Model!$A$5:$A$884,0)),"")</f>
        <v/>
      </c>
      <c r="X701">
        <f>IFERROR(INDEX(_DATA_Assessment_Model!$Y$5:$Y$884,MATCH($E701,_DATA_Assessment_Model!$A$5:$A$884,0)),"")</f>
        <v/>
      </c>
      <c r="Y701" t="inlineStr">
        <is>
          <t>Supplier/logistics disruption; Manufacturing disruption; Demand shock</t>
        </is>
      </c>
      <c r="Z701" t="inlineStr">
        <is>
          <t>Supply Chain / Procurement</t>
        </is>
      </c>
      <c r="AA701" t="inlineStr">
        <is>
          <t>Policy/SOP; owner/RACI; system report; dashboard; contracts; test records; incident history; interview evidence related to critical logistics routes, carriers, ports, borders, warehouses and transit risks.</t>
        </is>
      </c>
      <c r="AB701">
        <f>IFERROR(INDEX(_DATA_Assessment_Model!$U$5:$U$884,MATCH($E701,_DATA_Assessment_Model!$A$5:$A$884,0)),"")</f>
        <v/>
      </c>
      <c r="AF701" t="inlineStr">
        <is>
          <t>How mature is the organization in managing critical logistics routes, carriers, ports, borders, warehouses and transit risks, including ownership, evidence, metrics, fallback procedures and crisis stress testing?</t>
        </is>
      </c>
      <c r="AO701">
        <f>IF($B701="Yes",IFERROR(INDEX(_ENGINE_Crisis!$F$501:$F$517,MATCH($C701,_ENGINE_Crisis!$A$501:$A$517,0)),1),"")</f>
        <v/>
      </c>
      <c r="AP701">
        <f>IF(AO701="","",ROUND($L701*AO701,1))</f>
        <v/>
      </c>
      <c r="AQ701">
        <f>IF(OR(AO701="",$S701=""),"",ROUND($S701*(0.7+0.3*AO701),2))</f>
        <v/>
      </c>
      <c r="AR701">
        <f>IFERROR(INDEX(_ENGINE_Crisis!$E$41:$E$700,MATCH('Resilience &amp; Risk Scenario'!$B$60&amp;"|"&amp;$C701,_ENGINE_Crisis!$I$41:$I$700,0)),"")</f>
        <v/>
      </c>
      <c r="AS701">
        <f>IFERROR(INDEX(_ENGINE_Crisis!$G$41:$G$700,MATCH('Resilience &amp; Risk Scenario'!$B$60&amp;"|"&amp;$C701,_ENGINE_Crisis!$I$41:$I$700,0)),"")</f>
        <v/>
      </c>
      <c r="AT701">
        <f>IFERROR(INDEX(_ENGINE_Initiatives!$A$5:$A$532,MATCH(1,INDEX((_ENGINE_Initiatives!$B$5:$B$532=$C701)*(_ENGINE_Initiatives!$C$5:$C$532=$D701),0),0)),"")</f>
        <v/>
      </c>
      <c r="AU701">
        <f>IFERROR(INDEX(_ENGINE_Initiatives!$F$5:$F$532,MATCH(1,INDEX((_ENGINE_Initiatives!$B$5:$B$532=$C701)*(_ENGINE_Initiatives!$C$5:$C$532=$D701),0),0)),"")</f>
        <v/>
      </c>
      <c r="AV701">
        <f>IFERROR(INDEX(_ENGINE_Initiatives!$AC$5:$AC$532,MATCH(1,INDEX((_ENGINE_Initiatives!$B$5:$B$532=$C701)*(_ENGINE_Initiatives!$C$5:$C$532=$D701),0),0)),"")</f>
        <v/>
      </c>
      <c r="AW701">
        <f>IFERROR(INDEX(_ENGINE_Initiatives!$AE$5:$AE$532,MATCH(1,INDEX((_ENGINE_Initiatives!$B$5:$B$532=$C701)*(_ENGINE_Initiatives!$C$5:$C$532=$D701),0),0)),"")</f>
        <v/>
      </c>
      <c r="AX701">
        <f>IF($B701="Yes",IFERROR(IF(SUMIFS(_REF_Model_Content!$E$1:$E$613,_REF_Model_Content!$A$1:$A$613,'Company Profile'!$B$9,_REF_Model_Content!$B$1:$B$613,$C701)=0,1,SUMIFS(_REF_Model_Content!$E$1:$E$613,_REF_Model_Content!$A$1:$A$613,'Company Profile'!$B$9,_REF_Model_Content!$B$1:$B$613,$C701)),1),"")</f>
        <v/>
      </c>
      <c r="AY701">
        <f>IF($L701="","",ROUND(IF($AP701="",$L701,$AP701)*IF($AX701="",1,$AX701),2))</f>
        <v/>
      </c>
      <c r="AZ701">
        <f>IF($S701="","",ROUND(IF($AQ701="",$S701,$AQ701)*IF($AX701="",1,$AX701),2))</f>
        <v/>
      </c>
      <c r="BB701">
        <f>IF($H701="","",IFERROR(INDEX('_ENGINE_Risk'!$AE$41:$AE$920,MATCH($E701,'_ENGINE_Risk'!$A$41:$A$920,0)),"Medium"))</f>
        <v/>
      </c>
      <c r="BC701">
        <f>IF($BB701="","",IF($BB701="Fast",1.25,IF($BB701="Slow",0.85,1)))</f>
        <v/>
      </c>
      <c r="BD701">
        <f>IF(OR($AZ701="",$BC701=""),"",ROUND($AZ701*$BC701,2))</f>
        <v/>
      </c>
      <c r="BF701">
        <f>IF(OR($H701="",$J701=""),"",_xlfn.IFNA(VLOOKUP($J701,_CONFIG_Model_Settings!$D$610:$E$614,2,0),""))</f>
        <v/>
      </c>
      <c r="BG701">
        <f>IF(OR($H701="",$K701=""),"",ROUND('Company Profile'!$B$569*INDEX(_CONFIG_Model_Settings!$H$610:$H$614,MATCH($K701,_CONFIG_Model_Settings!$G$610:$G$614,0)),0))</f>
        <v/>
      </c>
      <c r="BH701">
        <f>IF(OR($BF701="",$BG701=""),"",ROUND($BF701*$BG701,1))</f>
        <v/>
      </c>
      <c r="BI701">
        <f>IF($BH701="","",IF($AO701="",$BH701,ROUND($BH701*$AO701,1)))</f>
        <v/>
      </c>
      <c r="BJ701">
        <f>IF($E701="","",IFERROR(VLOOKUP($C701,'_CONFIG_Risk_Calibration'!$A$5:$H$21,2,FALSE),3))</f>
        <v/>
      </c>
      <c r="BK701">
        <f>IF($E701="","",IFERROR(VLOOKUP($C701,'_CONFIG_Risk_Calibration'!$A$5:$H$21,3,FALSE),0))</f>
        <v/>
      </c>
      <c r="BL701">
        <f>IF($E701="","",IFERROR(VLOOKUP($C701,'_CONFIG_Risk_Calibration'!$A$5:$H$21,4,FALSE),3))</f>
        <v/>
      </c>
      <c r="BM701">
        <f>IF($E701="","",IFERROR(VLOOKUP($C701,'_CONFIG_Risk_Calibration'!$A$5:$H$21,5,FALSE),3))</f>
        <v/>
      </c>
      <c r="BN701">
        <f>IF($E701="","",IFERROR(VLOOKUP($C701,'_CONFIG_Risk_Calibration'!$A$5:$H$21,6,FALSE),"No"))</f>
        <v/>
      </c>
      <c r="BO701">
        <f>IF($E701="","",IFERROR(VLOOKUP($C701,'_CONFIG_Risk_Calibration'!$A$5:$H$21,7,FALSE),1))</f>
        <v/>
      </c>
      <c r="BP701">
        <f>IF($H701="","",MAX(1,MIN(5,((6-$H701)*0.45)+($BJ701*0.20)+('Resilience &amp; Risk Scenario'!$B$7*0.15)+($BK701*0.10)+($BL701*0.05)+(IF($BB701="Fast",5,IF($BB701="Slow",1,3))*0.05))))</f>
        <v/>
      </c>
      <c r="BQ701">
        <f>IF($H701="","",MAX(IF($BN701="Yes",$BO701,1),MIN(5,($U701*0.20)+($V701*0.15)+($W701*0.25)+($X701*0.15)+($BJ701*0.10)+($BM701*0.15))))</f>
        <v/>
      </c>
      <c r="BR701">
        <f>IF(OR($BP701="",$BQ701=""),"",ROUND($BP701*$BQ701,2))</f>
        <v/>
      </c>
      <c r="BS701">
        <f>IF($BR701="","",ROUND($BR701*IF($AO701="",1,$AO701)*IF($AX701="",1,$AX701)*(1+(($BM701-3)*0.10))*IF($BC701="",1,$BC701),2))</f>
        <v/>
      </c>
    </row>
    <row r="702" ht="69.90000000000001" customHeight="1" s="209">
      <c r="A702">
        <f>IF($BD702="","",SUMPRODUCT(ISNUMBER($BD$500:$BD$923)*($BD$500:$BD$923&gt;$BD702))+COUNTIF($BD$500:$BD702,$BD702))</f>
        <v/>
      </c>
      <c r="B702">
        <f>IF($H702="","",IF($H702&lt;5,"Yes","Maintain"))</f>
        <v/>
      </c>
      <c r="C702" t="inlineStr">
        <is>
          <t>Supply Chain</t>
        </is>
      </c>
      <c r="D702" t="inlineStr">
        <is>
          <t>Logistics</t>
        </is>
      </c>
      <c r="E702" t="inlineStr">
        <is>
          <t>SUPP-008</t>
        </is>
      </c>
      <c r="F702" t="inlineStr">
        <is>
          <t>Supply chain, logistics and supplier continuity</t>
        </is>
      </c>
      <c r="G702">
        <f>IF($H702="","",IFERROR(INDEX('_ENGINE_Risk'!$H$41:$M$920,MATCH($E702,'_ENGINE_Risk'!$A$41:$A$920,0),$H702+1),""))</f>
        <v/>
      </c>
      <c r="H702">
        <f>IFERROR(VALUE(INDEX(_DATA_Assessment_Model!$H$5:$H$884,MATCH($E702,_DATA_Assessment_Model!$A$5:$A$884,0))),"")</f>
        <v/>
      </c>
      <c r="I702">
        <f>IF($H702="","",IFERROR(INDEX(_DATA_Assessment_Model!$L$5:$L$884,MATCH($E702,_DATA_Assessment_Model!$A$5:$A$884,0)),IF($H702&lt;=1,"Critical",IF($H702=2,"High",IF($H702=3,"Medium",IF($H702=4,"Low","Resilient"))))))</f>
        <v/>
      </c>
      <c r="J702">
        <f>IF($H702="","",MIN(5,MAX(1,6-$H702)))</f>
        <v/>
      </c>
      <c r="K702">
        <f>IF($H702="","",MAX(1,MIN(5,ROUNDUP(($U702*0.45)+($W702*0.35)+($X702*0.2),0))))</f>
        <v/>
      </c>
      <c r="L702">
        <f>IF($H702="","",$J702*$K702)</f>
        <v/>
      </c>
      <c r="M702">
        <f>IF($H702="","",MAX(1,MIN(5,ROUNDUP($L702/5,0))))</f>
        <v/>
      </c>
      <c r="N702">
        <f>IF($H702="","",IFERROR(INDEX('_ENGINE_Risk'!$T$41:$Y$920,MATCH($E702,'_ENGINE_Risk'!$A$41:$A$920,0),$H702+1),""))</f>
        <v/>
      </c>
      <c r="O702">
        <f>IF($H702="","",MAX(1,MIN(5,($U702+$V702+$X702)/3)))</f>
        <v/>
      </c>
      <c r="P702">
        <f>IF($H702="","",IF($I702="Critical",5,IF($I702="High",4,IF($I702="Medium",3,IF($I702="Low",2,1)))))</f>
        <v/>
      </c>
      <c r="Q702">
        <f>IF($H702="","",MAX(1,MIN(5,((5-$H702)*0.65)+($W702*0.35))))</f>
        <v/>
      </c>
      <c r="R702">
        <f>IF($H702="","",MAX(1,MIN(5,($V702+$X702)/2)))</f>
        <v/>
      </c>
      <c r="S702">
        <f>IF(OR($H702="",$N702=""),"",ROUND(($O702+$P702+$Q702+$R702)/$N702,2))</f>
        <v/>
      </c>
      <c r="T702">
        <f>IF($H702="","",IFERROR(INDEX('_ENGINE_Risk'!$N$41:$S$920,MATCH($E702,'_ENGINE_Risk'!$A$41:$A$920,0),$H702+1),""))</f>
        <v/>
      </c>
      <c r="U702">
        <f>IFERROR(INDEX(_DATA_Assessment_Model!$G$5:$G$884,MATCH($E702,_DATA_Assessment_Model!$A$5:$A$884,0)),"")</f>
        <v/>
      </c>
      <c r="V702">
        <f>IFERROR(INDEX(_DATA_Assessment_Model!$W$5:$W$884,MATCH($E702,_DATA_Assessment_Model!$A$5:$A$884,0)),"")</f>
        <v/>
      </c>
      <c r="W702">
        <f>IFERROR(INDEX(_DATA_Assessment_Model!$X$5:$X$884,MATCH($E702,_DATA_Assessment_Model!$A$5:$A$884,0)),"")</f>
        <v/>
      </c>
      <c r="X702">
        <f>IFERROR(INDEX(_DATA_Assessment_Model!$Y$5:$Y$884,MATCH($E702,_DATA_Assessment_Model!$A$5:$A$884,0)),"")</f>
        <v/>
      </c>
      <c r="Y702" t="inlineStr">
        <is>
          <t>Supplier/logistics disruption; Manufacturing disruption; Demand shock</t>
        </is>
      </c>
      <c r="Z702" t="inlineStr">
        <is>
          <t>Supply Chain / Procurement</t>
        </is>
      </c>
      <c r="AA702" t="inlineStr">
        <is>
          <t>Policy/SOP; owner/RACI; system report; dashboard; contracts; test records; incident history; interview evidence related to alternative carriers, routes and warehouses for disruption scenarios.</t>
        </is>
      </c>
      <c r="AB702">
        <f>IFERROR(INDEX(_DATA_Assessment_Model!$U$5:$U$884,MATCH($E702,_DATA_Assessment_Model!$A$5:$A$884,0)),"")</f>
        <v/>
      </c>
      <c r="AF702" t="inlineStr">
        <is>
          <t>How mature is the organization in managing alternative carriers, routes and warehouses for disruption scenarios, including ownership, evidence, metrics, fallback procedures and crisis stress testing?</t>
        </is>
      </c>
      <c r="AO702">
        <f>IF($B702="Yes",IFERROR(INDEX(_ENGINE_Crisis!$F$501:$F$517,MATCH($C702,_ENGINE_Crisis!$A$501:$A$517,0)),1),"")</f>
        <v/>
      </c>
      <c r="AP702">
        <f>IF(AO702="","",ROUND($L702*AO702,1))</f>
        <v/>
      </c>
      <c r="AQ702">
        <f>IF(OR(AO702="",$S702=""),"",ROUND($S702*(0.7+0.3*AO702),2))</f>
        <v/>
      </c>
      <c r="AR702">
        <f>IFERROR(INDEX(_ENGINE_Crisis!$E$41:$E$700,MATCH('Resilience &amp; Risk Scenario'!$B$60&amp;"|"&amp;$C702,_ENGINE_Crisis!$I$41:$I$700,0)),"")</f>
        <v/>
      </c>
      <c r="AS702">
        <f>IFERROR(INDEX(_ENGINE_Crisis!$G$41:$G$700,MATCH('Resilience &amp; Risk Scenario'!$B$60&amp;"|"&amp;$C702,_ENGINE_Crisis!$I$41:$I$700,0)),"")</f>
        <v/>
      </c>
      <c r="AT702">
        <f>IFERROR(INDEX(_ENGINE_Initiatives!$A$5:$A$532,MATCH(1,INDEX((_ENGINE_Initiatives!$B$5:$B$532=$C702)*(_ENGINE_Initiatives!$C$5:$C$532=$D702),0),0)),"")</f>
        <v/>
      </c>
      <c r="AU702">
        <f>IFERROR(INDEX(_ENGINE_Initiatives!$F$5:$F$532,MATCH(1,INDEX((_ENGINE_Initiatives!$B$5:$B$532=$C702)*(_ENGINE_Initiatives!$C$5:$C$532=$D702),0),0)),"")</f>
        <v/>
      </c>
      <c r="AV702">
        <f>IFERROR(INDEX(_ENGINE_Initiatives!$AC$5:$AC$532,MATCH(1,INDEX((_ENGINE_Initiatives!$B$5:$B$532=$C702)*(_ENGINE_Initiatives!$C$5:$C$532=$D702),0),0)),"")</f>
        <v/>
      </c>
      <c r="AW702">
        <f>IFERROR(INDEX(_ENGINE_Initiatives!$AE$5:$AE$532,MATCH(1,INDEX((_ENGINE_Initiatives!$B$5:$B$532=$C702)*(_ENGINE_Initiatives!$C$5:$C$532=$D702),0),0)),"")</f>
        <v/>
      </c>
      <c r="AX702">
        <f>IF($B702="Yes",IFERROR(IF(SUMIFS(_REF_Model_Content!$E$1:$E$613,_REF_Model_Content!$A$1:$A$613,'Company Profile'!$B$9,_REF_Model_Content!$B$1:$B$613,$C702)=0,1,SUMIFS(_REF_Model_Content!$E$1:$E$613,_REF_Model_Content!$A$1:$A$613,'Company Profile'!$B$9,_REF_Model_Content!$B$1:$B$613,$C702)),1),"")</f>
        <v/>
      </c>
      <c r="AY702">
        <f>IF($L702="","",ROUND(IF($AP702="",$L702,$AP702)*IF($AX702="",1,$AX702),2))</f>
        <v/>
      </c>
      <c r="AZ702">
        <f>IF($S702="","",ROUND(IF($AQ702="",$S702,$AQ702)*IF($AX702="",1,$AX702),2))</f>
        <v/>
      </c>
      <c r="BB702">
        <f>IF($H702="","",IFERROR(INDEX('_ENGINE_Risk'!$AE$41:$AE$920,MATCH($E702,'_ENGINE_Risk'!$A$41:$A$920,0)),"Medium"))</f>
        <v/>
      </c>
      <c r="BC702">
        <f>IF($BB702="","",IF($BB702="Fast",1.25,IF($BB702="Slow",0.85,1)))</f>
        <v/>
      </c>
      <c r="BD702">
        <f>IF(OR($AZ702="",$BC702=""),"",ROUND($AZ702*$BC702,2))</f>
        <v/>
      </c>
      <c r="BF702">
        <f>IF(OR($H702="",$J702=""),"",_xlfn.IFNA(VLOOKUP($J702,_CONFIG_Model_Settings!$D$610:$E$614,2,0),""))</f>
        <v/>
      </c>
      <c r="BG702">
        <f>IF(OR($H702="",$K702=""),"",ROUND('Company Profile'!$B$569*INDEX(_CONFIG_Model_Settings!$H$610:$H$614,MATCH($K702,_CONFIG_Model_Settings!$G$610:$G$614,0)),0))</f>
        <v/>
      </c>
      <c r="BH702">
        <f>IF(OR($BF702="",$BG702=""),"",ROUND($BF702*$BG702,1))</f>
        <v/>
      </c>
      <c r="BI702">
        <f>IF($BH702="","",IF($AO702="",$BH702,ROUND($BH702*$AO702,1)))</f>
        <v/>
      </c>
      <c r="BJ702">
        <f>IF($E702="","",IFERROR(VLOOKUP($C702,'_CONFIG_Risk_Calibration'!$A$5:$H$21,2,FALSE),3))</f>
        <v/>
      </c>
      <c r="BK702">
        <f>IF($E702="","",IFERROR(VLOOKUP($C702,'_CONFIG_Risk_Calibration'!$A$5:$H$21,3,FALSE),0))</f>
        <v/>
      </c>
      <c r="BL702">
        <f>IF($E702="","",IFERROR(VLOOKUP($C702,'_CONFIG_Risk_Calibration'!$A$5:$H$21,4,FALSE),3))</f>
        <v/>
      </c>
      <c r="BM702">
        <f>IF($E702="","",IFERROR(VLOOKUP($C702,'_CONFIG_Risk_Calibration'!$A$5:$H$21,5,FALSE),3))</f>
        <v/>
      </c>
      <c r="BN702">
        <f>IF($E702="","",IFERROR(VLOOKUP($C702,'_CONFIG_Risk_Calibration'!$A$5:$H$21,6,FALSE),"No"))</f>
        <v/>
      </c>
      <c r="BO702">
        <f>IF($E702="","",IFERROR(VLOOKUP($C702,'_CONFIG_Risk_Calibration'!$A$5:$H$21,7,FALSE),1))</f>
        <v/>
      </c>
      <c r="BP702">
        <f>IF($H702="","",MAX(1,MIN(5,((6-$H702)*0.45)+($BJ702*0.20)+('Resilience &amp; Risk Scenario'!$B$7*0.15)+($BK702*0.10)+($BL702*0.05)+(IF($BB702="Fast",5,IF($BB702="Slow",1,3))*0.05))))</f>
        <v/>
      </c>
      <c r="BQ702">
        <f>IF($H702="","",MAX(IF($BN702="Yes",$BO702,1),MIN(5,($U702*0.20)+($V702*0.15)+($W702*0.25)+($X702*0.15)+($BJ702*0.10)+($BM702*0.15))))</f>
        <v/>
      </c>
      <c r="BR702">
        <f>IF(OR($BP702="",$BQ702=""),"",ROUND($BP702*$BQ702,2))</f>
        <v/>
      </c>
      <c r="BS702">
        <f>IF($BR702="","",ROUND($BR702*IF($AO702="",1,$AO702)*IF($AX702="",1,$AX702)*(1+(($BM702-3)*0.10))*IF($BC702="",1,$BC702),2))</f>
        <v/>
      </c>
    </row>
    <row r="703" ht="69.90000000000001" customHeight="1" s="209">
      <c r="A703">
        <f>IF($BD703="","",SUMPRODUCT(ISNUMBER($BD$500:$BD$923)*($BD$500:$BD$923&gt;$BD703))+COUNTIF($BD$500:$BD703,$BD703))</f>
        <v/>
      </c>
      <c r="B703">
        <f>IF($H703="","",IF($H703&lt;5,"Yes","Maintain"))</f>
        <v/>
      </c>
      <c r="C703" t="inlineStr">
        <is>
          <t>Supply Chain</t>
        </is>
      </c>
      <c r="D703" t="inlineStr">
        <is>
          <t>Logistics</t>
        </is>
      </c>
      <c r="E703" t="inlineStr">
        <is>
          <t>SUPP-009</t>
        </is>
      </c>
      <c r="F703" t="inlineStr">
        <is>
          <t>Supply chain, logistics and supplier continuity</t>
        </is>
      </c>
      <c r="G703">
        <f>IF($H703="","",IFERROR(INDEX('_ENGINE_Risk'!$H$41:$M$920,MATCH($E703,'_ENGINE_Risk'!$A$41:$A$920,0),$H703+1),""))</f>
        <v/>
      </c>
      <c r="H703">
        <f>IFERROR(VALUE(INDEX(_DATA_Assessment_Model!$H$5:$H$884,MATCH($E703,_DATA_Assessment_Model!$A$5:$A$884,0))),"")</f>
        <v/>
      </c>
      <c r="I703">
        <f>IF($H703="","",IFERROR(INDEX(_DATA_Assessment_Model!$L$5:$L$884,MATCH($E703,_DATA_Assessment_Model!$A$5:$A$884,0)),IF($H703&lt;=1,"Critical",IF($H703=2,"High",IF($H703=3,"Medium",IF($H703=4,"Low","Resilient"))))))</f>
        <v/>
      </c>
      <c r="J703">
        <f>IF($H703="","",MIN(5,MAX(1,6-$H703)))</f>
        <v/>
      </c>
      <c r="K703">
        <f>IF($H703="","",MAX(1,MIN(5,ROUNDUP(($U703*0.45)+($W703*0.35)+($X703*0.2),0))))</f>
        <v/>
      </c>
      <c r="L703">
        <f>IF($H703="","",$J703*$K703)</f>
        <v/>
      </c>
      <c r="M703">
        <f>IF($H703="","",MAX(1,MIN(5,ROUNDUP($L703/5,0))))</f>
        <v/>
      </c>
      <c r="N703">
        <f>IF($H703="","",IFERROR(INDEX('_ENGINE_Risk'!$T$41:$Y$920,MATCH($E703,'_ENGINE_Risk'!$A$41:$A$920,0),$H703+1),""))</f>
        <v/>
      </c>
      <c r="O703">
        <f>IF($H703="","",MAX(1,MIN(5,($U703+$V703+$X703)/3)))</f>
        <v/>
      </c>
      <c r="P703">
        <f>IF($H703="","",IF($I703="Critical",5,IF($I703="High",4,IF($I703="Medium",3,IF($I703="Low",2,1)))))</f>
        <v/>
      </c>
      <c r="Q703">
        <f>IF($H703="","",MAX(1,MIN(5,((5-$H703)*0.65)+($W703*0.35))))</f>
        <v/>
      </c>
      <c r="R703">
        <f>IF($H703="","",MAX(1,MIN(5,($V703+$X703)/2)))</f>
        <v/>
      </c>
      <c r="S703">
        <f>IF(OR($H703="",$N703=""),"",ROUND(($O703+$P703+$Q703+$R703)/$N703,2))</f>
        <v/>
      </c>
      <c r="T703">
        <f>IF($H703="","",IFERROR(INDEX('_ENGINE_Risk'!$N$41:$S$920,MATCH($E703,'_ENGINE_Risk'!$A$41:$A$920,0),$H703+1),""))</f>
        <v/>
      </c>
      <c r="U703">
        <f>IFERROR(INDEX(_DATA_Assessment_Model!$G$5:$G$884,MATCH($E703,_DATA_Assessment_Model!$A$5:$A$884,0)),"")</f>
        <v/>
      </c>
      <c r="V703">
        <f>IFERROR(INDEX(_DATA_Assessment_Model!$W$5:$W$884,MATCH($E703,_DATA_Assessment_Model!$A$5:$A$884,0)),"")</f>
        <v/>
      </c>
      <c r="W703">
        <f>IFERROR(INDEX(_DATA_Assessment_Model!$X$5:$X$884,MATCH($E703,_DATA_Assessment_Model!$A$5:$A$884,0)),"")</f>
        <v/>
      </c>
      <c r="X703">
        <f>IFERROR(INDEX(_DATA_Assessment_Model!$Y$5:$Y$884,MATCH($E703,_DATA_Assessment_Model!$A$5:$A$884,0)),"")</f>
        <v/>
      </c>
      <c r="Y703" t="inlineStr">
        <is>
          <t>Supplier/logistics disruption; Manufacturing disruption; Demand shock</t>
        </is>
      </c>
      <c r="Z703" t="inlineStr">
        <is>
          <t>Supply Chain / Procurement</t>
        </is>
      </c>
      <c r="AA703" t="inlineStr">
        <is>
          <t>Policy/SOP; owner/RACI; system report; dashboard; contracts; test records; incident history; interview evidence related to transport capacity for peak demand or disruption periods.</t>
        </is>
      </c>
      <c r="AB703">
        <f>IFERROR(INDEX(_DATA_Assessment_Model!$U$5:$U$884,MATCH($E703,_DATA_Assessment_Model!$A$5:$A$884,0)),"")</f>
        <v/>
      </c>
      <c r="AF703" t="inlineStr">
        <is>
          <t>How mature is the organization in managing transport capacity for peak demand or disruption periods, including ownership, evidence, metrics, fallback procedures and crisis stress testing?</t>
        </is>
      </c>
      <c r="AO703">
        <f>IF($B703="Yes",IFERROR(INDEX(_ENGINE_Crisis!$F$501:$F$517,MATCH($C703,_ENGINE_Crisis!$A$501:$A$517,0)),1),"")</f>
        <v/>
      </c>
      <c r="AP703">
        <f>IF(AO703="","",ROUND($L703*AO703,1))</f>
        <v/>
      </c>
      <c r="AQ703">
        <f>IF(OR(AO703="",$S703=""),"",ROUND($S703*(0.7+0.3*AO703),2))</f>
        <v/>
      </c>
      <c r="AR703">
        <f>IFERROR(INDEX(_ENGINE_Crisis!$E$41:$E$700,MATCH('Resilience &amp; Risk Scenario'!$B$60&amp;"|"&amp;$C703,_ENGINE_Crisis!$I$41:$I$700,0)),"")</f>
        <v/>
      </c>
      <c r="AS703">
        <f>IFERROR(INDEX(_ENGINE_Crisis!$G$41:$G$700,MATCH('Resilience &amp; Risk Scenario'!$B$60&amp;"|"&amp;$C703,_ENGINE_Crisis!$I$41:$I$700,0)),"")</f>
        <v/>
      </c>
      <c r="AT703">
        <f>IFERROR(INDEX(_ENGINE_Initiatives!$A$5:$A$532,MATCH(1,INDEX((_ENGINE_Initiatives!$B$5:$B$532=$C703)*(_ENGINE_Initiatives!$C$5:$C$532=$D703),0),0)),"")</f>
        <v/>
      </c>
      <c r="AU703">
        <f>IFERROR(INDEX(_ENGINE_Initiatives!$F$5:$F$532,MATCH(1,INDEX((_ENGINE_Initiatives!$B$5:$B$532=$C703)*(_ENGINE_Initiatives!$C$5:$C$532=$D703),0),0)),"")</f>
        <v/>
      </c>
      <c r="AV703">
        <f>IFERROR(INDEX(_ENGINE_Initiatives!$AC$5:$AC$532,MATCH(1,INDEX((_ENGINE_Initiatives!$B$5:$B$532=$C703)*(_ENGINE_Initiatives!$C$5:$C$532=$D703),0),0)),"")</f>
        <v/>
      </c>
      <c r="AW703">
        <f>IFERROR(INDEX(_ENGINE_Initiatives!$AE$5:$AE$532,MATCH(1,INDEX((_ENGINE_Initiatives!$B$5:$B$532=$C703)*(_ENGINE_Initiatives!$C$5:$C$532=$D703),0),0)),"")</f>
        <v/>
      </c>
      <c r="AX703">
        <f>IF($B703="Yes",IFERROR(IF(SUMIFS(_REF_Model_Content!$E$1:$E$613,_REF_Model_Content!$A$1:$A$613,'Company Profile'!$B$9,_REF_Model_Content!$B$1:$B$613,$C703)=0,1,SUMIFS(_REF_Model_Content!$E$1:$E$613,_REF_Model_Content!$A$1:$A$613,'Company Profile'!$B$9,_REF_Model_Content!$B$1:$B$613,$C703)),1),"")</f>
        <v/>
      </c>
      <c r="AY703">
        <f>IF($L703="","",ROUND(IF($AP703="",$L703,$AP703)*IF($AX703="",1,$AX703),2))</f>
        <v/>
      </c>
      <c r="AZ703">
        <f>IF($S703="","",ROUND(IF($AQ703="",$S703,$AQ703)*IF($AX703="",1,$AX703),2))</f>
        <v/>
      </c>
      <c r="BB703">
        <f>IF($H703="","",IFERROR(INDEX('_ENGINE_Risk'!$AE$41:$AE$920,MATCH($E703,'_ENGINE_Risk'!$A$41:$A$920,0)),"Medium"))</f>
        <v/>
      </c>
      <c r="BC703">
        <f>IF($BB703="","",IF($BB703="Fast",1.25,IF($BB703="Slow",0.85,1)))</f>
        <v/>
      </c>
      <c r="BD703">
        <f>IF(OR($AZ703="",$BC703=""),"",ROUND($AZ703*$BC703,2))</f>
        <v/>
      </c>
      <c r="BF703">
        <f>IF(OR($H703="",$J703=""),"",_xlfn.IFNA(VLOOKUP($J703,_CONFIG_Model_Settings!$D$610:$E$614,2,0),""))</f>
        <v/>
      </c>
      <c r="BG703">
        <f>IF(OR($H703="",$K703=""),"",ROUND('Company Profile'!$B$569*INDEX(_CONFIG_Model_Settings!$H$610:$H$614,MATCH($K703,_CONFIG_Model_Settings!$G$610:$G$614,0)),0))</f>
        <v/>
      </c>
      <c r="BH703">
        <f>IF(OR($BF703="",$BG703=""),"",ROUND($BF703*$BG703,1))</f>
        <v/>
      </c>
      <c r="BI703">
        <f>IF($BH703="","",IF($AO703="",$BH703,ROUND($BH703*$AO703,1)))</f>
        <v/>
      </c>
      <c r="BJ703">
        <f>IF($E703="","",IFERROR(VLOOKUP($C703,'_CONFIG_Risk_Calibration'!$A$5:$H$21,2,FALSE),3))</f>
        <v/>
      </c>
      <c r="BK703">
        <f>IF($E703="","",IFERROR(VLOOKUP($C703,'_CONFIG_Risk_Calibration'!$A$5:$H$21,3,FALSE),0))</f>
        <v/>
      </c>
      <c r="BL703">
        <f>IF($E703="","",IFERROR(VLOOKUP($C703,'_CONFIG_Risk_Calibration'!$A$5:$H$21,4,FALSE),3))</f>
        <v/>
      </c>
      <c r="BM703">
        <f>IF($E703="","",IFERROR(VLOOKUP($C703,'_CONFIG_Risk_Calibration'!$A$5:$H$21,5,FALSE),3))</f>
        <v/>
      </c>
      <c r="BN703">
        <f>IF($E703="","",IFERROR(VLOOKUP($C703,'_CONFIG_Risk_Calibration'!$A$5:$H$21,6,FALSE),"No"))</f>
        <v/>
      </c>
      <c r="BO703">
        <f>IF($E703="","",IFERROR(VLOOKUP($C703,'_CONFIG_Risk_Calibration'!$A$5:$H$21,7,FALSE),1))</f>
        <v/>
      </c>
      <c r="BP703">
        <f>IF($H703="","",MAX(1,MIN(5,((6-$H703)*0.45)+($BJ703*0.20)+('Resilience &amp; Risk Scenario'!$B$7*0.15)+($BK703*0.10)+($BL703*0.05)+(IF($BB703="Fast",5,IF($BB703="Slow",1,3))*0.05))))</f>
        <v/>
      </c>
      <c r="BQ703">
        <f>IF($H703="","",MAX(IF($BN703="Yes",$BO703,1),MIN(5,($U703*0.20)+($V703*0.15)+($W703*0.25)+($X703*0.15)+($BJ703*0.10)+($BM703*0.15))))</f>
        <v/>
      </c>
      <c r="BR703">
        <f>IF(OR($BP703="",$BQ703=""),"",ROUND($BP703*$BQ703,2))</f>
        <v/>
      </c>
      <c r="BS703">
        <f>IF($BR703="","",ROUND($BR703*IF($AO703="",1,$AO703)*IF($AX703="",1,$AX703)*(1+(($BM703-3)*0.10))*IF($BC703="",1,$BC703),2))</f>
        <v/>
      </c>
    </row>
    <row r="704" ht="69.90000000000001" customHeight="1" s="209">
      <c r="A704">
        <f>IF($BD704="","",SUMPRODUCT(ISNUMBER($BD$500:$BD$923)*($BD$500:$BD$923&gt;$BD704))+COUNTIF($BD$500:$BD704,$BD704))</f>
        <v/>
      </c>
      <c r="B704">
        <f>IF($H704="","",IF($H704&lt;5,"Yes","Maintain"))</f>
        <v/>
      </c>
      <c r="C704" t="inlineStr">
        <is>
          <t>Supply Chain</t>
        </is>
      </c>
      <c r="D704" t="inlineStr">
        <is>
          <t>Logistics</t>
        </is>
      </c>
      <c r="E704" t="inlineStr">
        <is>
          <t>SUPP-010</t>
        </is>
      </c>
      <c r="F704" t="inlineStr">
        <is>
          <t>Supply chain, logistics and supplier continuity</t>
        </is>
      </c>
      <c r="G704">
        <f>IF($H704="","",IFERROR(INDEX('_ENGINE_Risk'!$H$41:$M$920,MATCH($E704,'_ENGINE_Risk'!$A$41:$A$920,0),$H704+1),""))</f>
        <v/>
      </c>
      <c r="H704">
        <f>IFERROR(VALUE(INDEX(_DATA_Assessment_Model!$H$5:$H$884,MATCH($E704,_DATA_Assessment_Model!$A$5:$A$884,0))),"")</f>
        <v/>
      </c>
      <c r="I704">
        <f>IF($H704="","",IFERROR(INDEX(_DATA_Assessment_Model!$L$5:$L$884,MATCH($E704,_DATA_Assessment_Model!$A$5:$A$884,0)),IF($H704&lt;=1,"Critical",IF($H704=2,"High",IF($H704=3,"Medium",IF($H704=4,"Low","Resilient"))))))</f>
        <v/>
      </c>
      <c r="J704">
        <f>IF($H704="","",MIN(5,MAX(1,6-$H704)))</f>
        <v/>
      </c>
      <c r="K704">
        <f>IF($H704="","",MAX(1,MIN(5,ROUNDUP(($U704*0.45)+($W704*0.35)+($X704*0.2),0))))</f>
        <v/>
      </c>
      <c r="L704">
        <f>IF($H704="","",$J704*$K704)</f>
        <v/>
      </c>
      <c r="M704">
        <f>IF($H704="","",MAX(1,MIN(5,ROUNDUP($L704/5,0))))</f>
        <v/>
      </c>
      <c r="N704">
        <f>IF($H704="","",IFERROR(INDEX('_ENGINE_Risk'!$T$41:$Y$920,MATCH($E704,'_ENGINE_Risk'!$A$41:$A$920,0),$H704+1),""))</f>
        <v/>
      </c>
      <c r="O704">
        <f>IF($H704="","",MAX(1,MIN(5,($U704+$V704+$X704)/3)))</f>
        <v/>
      </c>
      <c r="P704">
        <f>IF($H704="","",IF($I704="Critical",5,IF($I704="High",4,IF($I704="Medium",3,IF($I704="Low",2,1)))))</f>
        <v/>
      </c>
      <c r="Q704">
        <f>IF($H704="","",MAX(1,MIN(5,((5-$H704)*0.65)+($W704*0.35))))</f>
        <v/>
      </c>
      <c r="R704">
        <f>IF($H704="","",MAX(1,MIN(5,($V704+$X704)/2)))</f>
        <v/>
      </c>
      <c r="S704">
        <f>IF(OR($H704="",$N704=""),"",ROUND(($O704+$P704+$Q704+$R704)/$N704,2))</f>
        <v/>
      </c>
      <c r="T704">
        <f>IF($H704="","",IFERROR(INDEX('_ENGINE_Risk'!$N$41:$S$920,MATCH($E704,'_ENGINE_Risk'!$A$41:$A$920,0),$H704+1),""))</f>
        <v/>
      </c>
      <c r="U704">
        <f>IFERROR(INDEX(_DATA_Assessment_Model!$G$5:$G$884,MATCH($E704,_DATA_Assessment_Model!$A$5:$A$884,0)),"")</f>
        <v/>
      </c>
      <c r="V704">
        <f>IFERROR(INDEX(_DATA_Assessment_Model!$W$5:$W$884,MATCH($E704,_DATA_Assessment_Model!$A$5:$A$884,0)),"")</f>
        <v/>
      </c>
      <c r="W704">
        <f>IFERROR(INDEX(_DATA_Assessment_Model!$X$5:$X$884,MATCH($E704,_DATA_Assessment_Model!$A$5:$A$884,0)),"")</f>
        <v/>
      </c>
      <c r="X704">
        <f>IFERROR(INDEX(_DATA_Assessment_Model!$Y$5:$Y$884,MATCH($E704,_DATA_Assessment_Model!$A$5:$A$884,0)),"")</f>
        <v/>
      </c>
      <c r="Y704" t="inlineStr">
        <is>
          <t>Supplier/logistics disruption; Manufacturing disruption; Demand shock</t>
        </is>
      </c>
      <c r="Z704" t="inlineStr">
        <is>
          <t>Supply Chain / Procurement</t>
        </is>
      </c>
      <c r="AA704" t="inlineStr">
        <is>
          <t>Policy/SOP; owner/RACI; system report; dashboard; contracts; test records; incident history; interview evidence related to shipment tracking and reliable ETA communication for critical shipments.</t>
        </is>
      </c>
      <c r="AB704">
        <f>IFERROR(INDEX(_DATA_Assessment_Model!$U$5:$U$884,MATCH($E704,_DATA_Assessment_Model!$A$5:$A$884,0)),"")</f>
        <v/>
      </c>
      <c r="AF704" t="inlineStr">
        <is>
          <t>How mature is the organization in managing shipment tracking and reliable ETA communication for critical shipments, including ownership, evidence, metrics, fallback procedures and crisis stress testing?</t>
        </is>
      </c>
      <c r="AO704">
        <f>IF($B704="Yes",IFERROR(INDEX(_ENGINE_Crisis!$F$501:$F$517,MATCH($C704,_ENGINE_Crisis!$A$501:$A$517,0)),1),"")</f>
        <v/>
      </c>
      <c r="AP704">
        <f>IF(AO704="","",ROUND($L704*AO704,1))</f>
        <v/>
      </c>
      <c r="AQ704">
        <f>IF(OR(AO704="",$S704=""),"",ROUND($S704*(0.7+0.3*AO704),2))</f>
        <v/>
      </c>
      <c r="AR704">
        <f>IFERROR(INDEX(_ENGINE_Crisis!$E$41:$E$700,MATCH('Resilience &amp; Risk Scenario'!$B$60&amp;"|"&amp;$C704,_ENGINE_Crisis!$I$41:$I$700,0)),"")</f>
        <v/>
      </c>
      <c r="AS704">
        <f>IFERROR(INDEX(_ENGINE_Crisis!$G$41:$G$700,MATCH('Resilience &amp; Risk Scenario'!$B$60&amp;"|"&amp;$C704,_ENGINE_Crisis!$I$41:$I$700,0)),"")</f>
        <v/>
      </c>
      <c r="AT704">
        <f>IFERROR(INDEX(_ENGINE_Initiatives!$A$5:$A$532,MATCH(1,INDEX((_ENGINE_Initiatives!$B$5:$B$532=$C704)*(_ENGINE_Initiatives!$C$5:$C$532=$D704),0),0)),"")</f>
        <v/>
      </c>
      <c r="AU704">
        <f>IFERROR(INDEX(_ENGINE_Initiatives!$F$5:$F$532,MATCH(1,INDEX((_ENGINE_Initiatives!$B$5:$B$532=$C704)*(_ENGINE_Initiatives!$C$5:$C$532=$D704),0),0)),"")</f>
        <v/>
      </c>
      <c r="AV704">
        <f>IFERROR(INDEX(_ENGINE_Initiatives!$AC$5:$AC$532,MATCH(1,INDEX((_ENGINE_Initiatives!$B$5:$B$532=$C704)*(_ENGINE_Initiatives!$C$5:$C$532=$D704),0),0)),"")</f>
        <v/>
      </c>
      <c r="AW704">
        <f>IFERROR(INDEX(_ENGINE_Initiatives!$AE$5:$AE$532,MATCH(1,INDEX((_ENGINE_Initiatives!$B$5:$B$532=$C704)*(_ENGINE_Initiatives!$C$5:$C$532=$D704),0),0)),"")</f>
        <v/>
      </c>
      <c r="AX704">
        <f>IF($B704="Yes",IFERROR(IF(SUMIFS(_REF_Model_Content!$E$1:$E$613,_REF_Model_Content!$A$1:$A$613,'Company Profile'!$B$9,_REF_Model_Content!$B$1:$B$613,$C704)=0,1,SUMIFS(_REF_Model_Content!$E$1:$E$613,_REF_Model_Content!$A$1:$A$613,'Company Profile'!$B$9,_REF_Model_Content!$B$1:$B$613,$C704)),1),"")</f>
        <v/>
      </c>
      <c r="AY704">
        <f>IF($L704="","",ROUND(IF($AP704="",$L704,$AP704)*IF($AX704="",1,$AX704),2))</f>
        <v/>
      </c>
      <c r="AZ704">
        <f>IF($S704="","",ROUND(IF($AQ704="",$S704,$AQ704)*IF($AX704="",1,$AX704),2))</f>
        <v/>
      </c>
      <c r="BB704">
        <f>IF($H704="","",IFERROR(INDEX('_ENGINE_Risk'!$AE$41:$AE$920,MATCH($E704,'_ENGINE_Risk'!$A$41:$A$920,0)),"Medium"))</f>
        <v/>
      </c>
      <c r="BC704">
        <f>IF($BB704="","",IF($BB704="Fast",1.25,IF($BB704="Slow",0.85,1)))</f>
        <v/>
      </c>
      <c r="BD704">
        <f>IF(OR($AZ704="",$BC704=""),"",ROUND($AZ704*$BC704,2))</f>
        <v/>
      </c>
      <c r="BF704">
        <f>IF(OR($H704="",$J704=""),"",_xlfn.IFNA(VLOOKUP($J704,_CONFIG_Model_Settings!$D$610:$E$614,2,0),""))</f>
        <v/>
      </c>
      <c r="BG704">
        <f>IF(OR($H704="",$K704=""),"",ROUND('Company Profile'!$B$569*INDEX(_CONFIG_Model_Settings!$H$610:$H$614,MATCH($K704,_CONFIG_Model_Settings!$G$610:$G$614,0)),0))</f>
        <v/>
      </c>
      <c r="BH704">
        <f>IF(OR($BF704="",$BG704=""),"",ROUND($BF704*$BG704,1))</f>
        <v/>
      </c>
      <c r="BI704">
        <f>IF($BH704="","",IF($AO704="",$BH704,ROUND($BH704*$AO704,1)))</f>
        <v/>
      </c>
      <c r="BJ704">
        <f>IF($E704="","",IFERROR(VLOOKUP($C704,'_CONFIG_Risk_Calibration'!$A$5:$H$21,2,FALSE),3))</f>
        <v/>
      </c>
      <c r="BK704">
        <f>IF($E704="","",IFERROR(VLOOKUP($C704,'_CONFIG_Risk_Calibration'!$A$5:$H$21,3,FALSE),0))</f>
        <v/>
      </c>
      <c r="BL704">
        <f>IF($E704="","",IFERROR(VLOOKUP($C704,'_CONFIG_Risk_Calibration'!$A$5:$H$21,4,FALSE),3))</f>
        <v/>
      </c>
      <c r="BM704">
        <f>IF($E704="","",IFERROR(VLOOKUP($C704,'_CONFIG_Risk_Calibration'!$A$5:$H$21,5,FALSE),3))</f>
        <v/>
      </c>
      <c r="BN704">
        <f>IF($E704="","",IFERROR(VLOOKUP($C704,'_CONFIG_Risk_Calibration'!$A$5:$H$21,6,FALSE),"No"))</f>
        <v/>
      </c>
      <c r="BO704">
        <f>IF($E704="","",IFERROR(VLOOKUP($C704,'_CONFIG_Risk_Calibration'!$A$5:$H$21,7,FALSE),1))</f>
        <v/>
      </c>
      <c r="BP704">
        <f>IF($H704="","",MAX(1,MIN(5,((6-$H704)*0.45)+($BJ704*0.20)+('Resilience &amp; Risk Scenario'!$B$7*0.15)+($BK704*0.10)+($BL704*0.05)+(IF($BB704="Fast",5,IF($BB704="Slow",1,3))*0.05))))</f>
        <v/>
      </c>
      <c r="BQ704">
        <f>IF($H704="","",MAX(IF($BN704="Yes",$BO704,1),MIN(5,($U704*0.20)+($V704*0.15)+($W704*0.25)+($X704*0.15)+($BJ704*0.10)+($BM704*0.15))))</f>
        <v/>
      </c>
      <c r="BR704">
        <f>IF(OR($BP704="",$BQ704=""),"",ROUND($BP704*$BQ704,2))</f>
        <v/>
      </c>
      <c r="BS704">
        <f>IF($BR704="","",ROUND($BR704*IF($AO704="",1,$AO704)*IF($AX704="",1,$AX704)*(1+(($BM704-3)*0.10))*IF($BC704="",1,$BC704),2))</f>
        <v/>
      </c>
    </row>
    <row r="705" ht="69.90000000000001" customHeight="1" s="209">
      <c r="A705">
        <f>IF($BD705="","",SUMPRODUCT(ISNUMBER($BD$500:$BD$923)*($BD$500:$BD$923&gt;$BD705))+COUNTIF($BD$500:$BD705,$BD705))</f>
        <v/>
      </c>
      <c r="B705">
        <f>IF($H705="","",IF($H705&lt;5,"Yes","Maintain"))</f>
        <v/>
      </c>
      <c r="C705" t="inlineStr">
        <is>
          <t>Supply Chain</t>
        </is>
      </c>
      <c r="D705" t="inlineStr">
        <is>
          <t>Logistics</t>
        </is>
      </c>
      <c r="E705" t="inlineStr">
        <is>
          <t>SUPP-011</t>
        </is>
      </c>
      <c r="F705" t="inlineStr">
        <is>
          <t>Supply chain, logistics and supplier continuity</t>
        </is>
      </c>
      <c r="G705">
        <f>IF($H705="","",IFERROR(INDEX('_ENGINE_Risk'!$H$41:$M$920,MATCH($E705,'_ENGINE_Risk'!$A$41:$A$920,0),$H705+1),""))</f>
        <v/>
      </c>
      <c r="H705">
        <f>IFERROR(VALUE(INDEX(_DATA_Assessment_Model!$H$5:$H$884,MATCH($E705,_DATA_Assessment_Model!$A$5:$A$884,0))),"")</f>
        <v/>
      </c>
      <c r="I705">
        <f>IF($H705="","",IFERROR(INDEX(_DATA_Assessment_Model!$L$5:$L$884,MATCH($E705,_DATA_Assessment_Model!$A$5:$A$884,0)),IF($H705&lt;=1,"Critical",IF($H705=2,"High",IF($H705=3,"Medium",IF($H705=4,"Low","Resilient"))))))</f>
        <v/>
      </c>
      <c r="J705">
        <f>IF($H705="","",MIN(5,MAX(1,6-$H705)))</f>
        <v/>
      </c>
      <c r="K705">
        <f>IF($H705="","",MAX(1,MIN(5,ROUNDUP(($U705*0.45)+($W705*0.35)+($X705*0.2),0))))</f>
        <v/>
      </c>
      <c r="L705">
        <f>IF($H705="","",$J705*$K705)</f>
        <v/>
      </c>
      <c r="M705">
        <f>IF($H705="","",MAX(1,MIN(5,ROUNDUP($L705/5,0))))</f>
        <v/>
      </c>
      <c r="N705">
        <f>IF($H705="","",IFERROR(INDEX('_ENGINE_Risk'!$T$41:$Y$920,MATCH($E705,'_ENGINE_Risk'!$A$41:$A$920,0),$H705+1),""))</f>
        <v/>
      </c>
      <c r="O705">
        <f>IF($H705="","",MAX(1,MIN(5,($U705+$V705+$X705)/3)))</f>
        <v/>
      </c>
      <c r="P705">
        <f>IF($H705="","",IF($I705="Critical",5,IF($I705="High",4,IF($I705="Medium",3,IF($I705="Low",2,1)))))</f>
        <v/>
      </c>
      <c r="Q705">
        <f>IF($H705="","",MAX(1,MIN(5,((5-$H705)*0.65)+($W705*0.35))))</f>
        <v/>
      </c>
      <c r="R705">
        <f>IF($H705="","",MAX(1,MIN(5,($V705+$X705)/2)))</f>
        <v/>
      </c>
      <c r="S705">
        <f>IF(OR($H705="",$N705=""),"",ROUND(($O705+$P705+$Q705+$R705)/$N705,2))</f>
        <v/>
      </c>
      <c r="T705">
        <f>IF($H705="","",IFERROR(INDEX('_ENGINE_Risk'!$N$41:$S$920,MATCH($E705,'_ENGINE_Risk'!$A$41:$A$920,0),$H705+1),""))</f>
        <v/>
      </c>
      <c r="U705">
        <f>IFERROR(INDEX(_DATA_Assessment_Model!$G$5:$G$884,MATCH($E705,_DATA_Assessment_Model!$A$5:$A$884,0)),"")</f>
        <v/>
      </c>
      <c r="V705">
        <f>IFERROR(INDEX(_DATA_Assessment_Model!$W$5:$W$884,MATCH($E705,_DATA_Assessment_Model!$A$5:$A$884,0)),"")</f>
        <v/>
      </c>
      <c r="W705">
        <f>IFERROR(INDEX(_DATA_Assessment_Model!$X$5:$X$884,MATCH($E705,_DATA_Assessment_Model!$A$5:$A$884,0)),"")</f>
        <v/>
      </c>
      <c r="X705">
        <f>IFERROR(INDEX(_DATA_Assessment_Model!$Y$5:$Y$884,MATCH($E705,_DATA_Assessment_Model!$A$5:$A$884,0)),"")</f>
        <v/>
      </c>
      <c r="Y705" t="inlineStr">
        <is>
          <t>Supplier/logistics disruption; Manufacturing disruption; Demand shock</t>
        </is>
      </c>
      <c r="Z705" t="inlineStr">
        <is>
          <t>Supply Chain / Procurement</t>
        </is>
      </c>
      <c r="AA705" t="inlineStr">
        <is>
          <t>Policy/SOP; owner/RACI; system report; dashboard; contracts; test records; incident history; interview evidence related to customs, import/export, sanctions and trade documentation controls.</t>
        </is>
      </c>
      <c r="AB705">
        <f>IFERROR(INDEX(_DATA_Assessment_Model!$U$5:$U$884,MATCH($E705,_DATA_Assessment_Model!$A$5:$A$884,0)),"")</f>
        <v/>
      </c>
      <c r="AF705" t="inlineStr">
        <is>
          <t>How mature is the organization in managing customs, import/export, sanctions and trade documentation controls, including ownership, evidence, metrics, fallback procedures and crisis stress testing?</t>
        </is>
      </c>
      <c r="AO705">
        <f>IF($B705="Yes",IFERROR(INDEX(_ENGINE_Crisis!$F$501:$F$517,MATCH($C705,_ENGINE_Crisis!$A$501:$A$517,0)),1),"")</f>
        <v/>
      </c>
      <c r="AP705">
        <f>IF(AO705="","",ROUND($L705*AO705,1))</f>
        <v/>
      </c>
      <c r="AQ705">
        <f>IF(OR(AO705="",$S705=""),"",ROUND($S705*(0.7+0.3*AO705),2))</f>
        <v/>
      </c>
      <c r="AR705">
        <f>IFERROR(INDEX(_ENGINE_Crisis!$E$41:$E$700,MATCH('Resilience &amp; Risk Scenario'!$B$60&amp;"|"&amp;$C705,_ENGINE_Crisis!$I$41:$I$700,0)),"")</f>
        <v/>
      </c>
      <c r="AS705">
        <f>IFERROR(INDEX(_ENGINE_Crisis!$G$41:$G$700,MATCH('Resilience &amp; Risk Scenario'!$B$60&amp;"|"&amp;$C705,_ENGINE_Crisis!$I$41:$I$700,0)),"")</f>
        <v/>
      </c>
      <c r="AT705">
        <f>IFERROR(INDEX(_ENGINE_Initiatives!$A$5:$A$532,MATCH(1,INDEX((_ENGINE_Initiatives!$B$5:$B$532=$C705)*(_ENGINE_Initiatives!$C$5:$C$532=$D705),0),0)),"")</f>
        <v/>
      </c>
      <c r="AU705">
        <f>IFERROR(INDEX(_ENGINE_Initiatives!$F$5:$F$532,MATCH(1,INDEX((_ENGINE_Initiatives!$B$5:$B$532=$C705)*(_ENGINE_Initiatives!$C$5:$C$532=$D705),0),0)),"")</f>
        <v/>
      </c>
      <c r="AV705">
        <f>IFERROR(INDEX(_ENGINE_Initiatives!$AC$5:$AC$532,MATCH(1,INDEX((_ENGINE_Initiatives!$B$5:$B$532=$C705)*(_ENGINE_Initiatives!$C$5:$C$532=$D705),0),0)),"")</f>
        <v/>
      </c>
      <c r="AW705">
        <f>IFERROR(INDEX(_ENGINE_Initiatives!$AE$5:$AE$532,MATCH(1,INDEX((_ENGINE_Initiatives!$B$5:$B$532=$C705)*(_ENGINE_Initiatives!$C$5:$C$532=$D705),0),0)),"")</f>
        <v/>
      </c>
      <c r="AX705">
        <f>IF($B705="Yes",IFERROR(IF(SUMIFS(_REF_Model_Content!$E$1:$E$613,_REF_Model_Content!$A$1:$A$613,'Company Profile'!$B$9,_REF_Model_Content!$B$1:$B$613,$C705)=0,1,SUMIFS(_REF_Model_Content!$E$1:$E$613,_REF_Model_Content!$A$1:$A$613,'Company Profile'!$B$9,_REF_Model_Content!$B$1:$B$613,$C705)),1),"")</f>
        <v/>
      </c>
      <c r="AY705">
        <f>IF($L705="","",ROUND(IF($AP705="",$L705,$AP705)*IF($AX705="",1,$AX705),2))</f>
        <v/>
      </c>
      <c r="AZ705">
        <f>IF($S705="","",ROUND(IF($AQ705="",$S705,$AQ705)*IF($AX705="",1,$AX705),2))</f>
        <v/>
      </c>
      <c r="BB705">
        <f>IF($H705="","",IFERROR(INDEX('_ENGINE_Risk'!$AE$41:$AE$920,MATCH($E705,'_ENGINE_Risk'!$A$41:$A$920,0)),"Medium"))</f>
        <v/>
      </c>
      <c r="BC705">
        <f>IF($BB705="","",IF($BB705="Fast",1.25,IF($BB705="Slow",0.85,1)))</f>
        <v/>
      </c>
      <c r="BD705">
        <f>IF(OR($AZ705="",$BC705=""),"",ROUND($AZ705*$BC705,2))</f>
        <v/>
      </c>
      <c r="BF705">
        <f>IF(OR($H705="",$J705=""),"",_xlfn.IFNA(VLOOKUP($J705,_CONFIG_Model_Settings!$D$610:$E$614,2,0),""))</f>
        <v/>
      </c>
      <c r="BG705">
        <f>IF(OR($H705="",$K705=""),"",ROUND('Company Profile'!$B$569*INDEX(_CONFIG_Model_Settings!$H$610:$H$614,MATCH($K705,_CONFIG_Model_Settings!$G$610:$G$614,0)),0))</f>
        <v/>
      </c>
      <c r="BH705">
        <f>IF(OR($BF705="",$BG705=""),"",ROUND($BF705*$BG705,1))</f>
        <v/>
      </c>
      <c r="BI705">
        <f>IF($BH705="","",IF($AO705="",$BH705,ROUND($BH705*$AO705,1)))</f>
        <v/>
      </c>
      <c r="BJ705">
        <f>IF($E705="","",IFERROR(VLOOKUP($C705,'_CONFIG_Risk_Calibration'!$A$5:$H$21,2,FALSE),3))</f>
        <v/>
      </c>
      <c r="BK705">
        <f>IF($E705="","",IFERROR(VLOOKUP($C705,'_CONFIG_Risk_Calibration'!$A$5:$H$21,3,FALSE),0))</f>
        <v/>
      </c>
      <c r="BL705">
        <f>IF($E705="","",IFERROR(VLOOKUP($C705,'_CONFIG_Risk_Calibration'!$A$5:$H$21,4,FALSE),3))</f>
        <v/>
      </c>
      <c r="BM705">
        <f>IF($E705="","",IFERROR(VLOOKUP($C705,'_CONFIG_Risk_Calibration'!$A$5:$H$21,5,FALSE),3))</f>
        <v/>
      </c>
      <c r="BN705">
        <f>IF($E705="","",IFERROR(VLOOKUP($C705,'_CONFIG_Risk_Calibration'!$A$5:$H$21,6,FALSE),"No"))</f>
        <v/>
      </c>
      <c r="BO705">
        <f>IF($E705="","",IFERROR(VLOOKUP($C705,'_CONFIG_Risk_Calibration'!$A$5:$H$21,7,FALSE),1))</f>
        <v/>
      </c>
      <c r="BP705">
        <f>IF($H705="","",MAX(1,MIN(5,((6-$H705)*0.45)+($BJ705*0.20)+('Resilience &amp; Risk Scenario'!$B$7*0.15)+($BK705*0.10)+($BL705*0.05)+(IF($BB705="Fast",5,IF($BB705="Slow",1,3))*0.05))))</f>
        <v/>
      </c>
      <c r="BQ705">
        <f>IF($H705="","",MAX(IF($BN705="Yes",$BO705,1),MIN(5,($U705*0.20)+($V705*0.15)+($W705*0.25)+($X705*0.15)+($BJ705*0.10)+($BM705*0.15))))</f>
        <v/>
      </c>
      <c r="BR705">
        <f>IF(OR($BP705="",$BQ705=""),"",ROUND($BP705*$BQ705,2))</f>
        <v/>
      </c>
      <c r="BS705">
        <f>IF($BR705="","",ROUND($BR705*IF($AO705="",1,$AO705)*IF($AX705="",1,$AX705)*(1+(($BM705-3)*0.10))*IF($BC705="",1,$BC705),2))</f>
        <v/>
      </c>
    </row>
    <row r="706" ht="69.90000000000001" customHeight="1" s="209">
      <c r="A706">
        <f>IF($BD706="","",SUMPRODUCT(ISNUMBER($BD$500:$BD$923)*($BD$500:$BD$923&gt;$BD706))+COUNTIF($BD$500:$BD706,$BD706))</f>
        <v/>
      </c>
      <c r="B706">
        <f>IF($H706="","",IF($H706&lt;5,"Yes","Maintain"))</f>
        <v/>
      </c>
      <c r="C706" t="inlineStr">
        <is>
          <t>Supply Chain</t>
        </is>
      </c>
      <c r="D706" t="inlineStr">
        <is>
          <t>Logistics</t>
        </is>
      </c>
      <c r="E706" t="inlineStr">
        <is>
          <t>SUPP-012</t>
        </is>
      </c>
      <c r="F706" t="inlineStr">
        <is>
          <t>Supply chain, logistics and supplier continuity</t>
        </is>
      </c>
      <c r="G706">
        <f>IF($H706="","",IFERROR(INDEX('_ENGINE_Risk'!$H$41:$M$920,MATCH($E706,'_ENGINE_Risk'!$A$41:$A$920,0),$H706+1),""))</f>
        <v/>
      </c>
      <c r="H706">
        <f>IFERROR(VALUE(INDEX(_DATA_Assessment_Model!$H$5:$H$884,MATCH($E706,_DATA_Assessment_Model!$A$5:$A$884,0))),"")</f>
        <v/>
      </c>
      <c r="I706">
        <f>IF($H706="","",IFERROR(INDEX(_DATA_Assessment_Model!$L$5:$L$884,MATCH($E706,_DATA_Assessment_Model!$A$5:$A$884,0)),IF($H706&lt;=1,"Critical",IF($H706=2,"High",IF($H706=3,"Medium",IF($H706=4,"Low","Resilient"))))))</f>
        <v/>
      </c>
      <c r="J706">
        <f>IF($H706="","",MIN(5,MAX(1,6-$H706)))</f>
        <v/>
      </c>
      <c r="K706">
        <f>IF($H706="","",MAX(1,MIN(5,ROUNDUP(($U706*0.45)+($W706*0.35)+($X706*0.2),0))))</f>
        <v/>
      </c>
      <c r="L706">
        <f>IF($H706="","",$J706*$K706)</f>
        <v/>
      </c>
      <c r="M706">
        <f>IF($H706="","",MAX(1,MIN(5,ROUNDUP($L706/5,0))))</f>
        <v/>
      </c>
      <c r="N706">
        <f>IF($H706="","",IFERROR(INDEX('_ENGINE_Risk'!$T$41:$Y$920,MATCH($E706,'_ENGINE_Risk'!$A$41:$A$920,0),$H706+1),""))</f>
        <v/>
      </c>
      <c r="O706">
        <f>IF($H706="","",MAX(1,MIN(5,($U706+$V706+$X706)/3)))</f>
        <v/>
      </c>
      <c r="P706">
        <f>IF($H706="","",IF($I706="Critical",5,IF($I706="High",4,IF($I706="Medium",3,IF($I706="Low",2,1)))))</f>
        <v/>
      </c>
      <c r="Q706">
        <f>IF($H706="","",MAX(1,MIN(5,((5-$H706)*0.65)+($W706*0.35))))</f>
        <v/>
      </c>
      <c r="R706">
        <f>IF($H706="","",MAX(1,MIN(5,($V706+$X706)/2)))</f>
        <v/>
      </c>
      <c r="S706">
        <f>IF(OR($H706="",$N706=""),"",ROUND(($O706+$P706+$Q706+$R706)/$N706,2))</f>
        <v/>
      </c>
      <c r="T706">
        <f>IF($H706="","",IFERROR(INDEX('_ENGINE_Risk'!$N$41:$S$920,MATCH($E706,'_ENGINE_Risk'!$A$41:$A$920,0),$H706+1),""))</f>
        <v/>
      </c>
      <c r="U706">
        <f>IFERROR(INDEX(_DATA_Assessment_Model!$G$5:$G$884,MATCH($E706,_DATA_Assessment_Model!$A$5:$A$884,0)),"")</f>
        <v/>
      </c>
      <c r="V706">
        <f>IFERROR(INDEX(_DATA_Assessment_Model!$W$5:$W$884,MATCH($E706,_DATA_Assessment_Model!$A$5:$A$884,0)),"")</f>
        <v/>
      </c>
      <c r="W706">
        <f>IFERROR(INDEX(_DATA_Assessment_Model!$X$5:$X$884,MATCH($E706,_DATA_Assessment_Model!$A$5:$A$884,0)),"")</f>
        <v/>
      </c>
      <c r="X706">
        <f>IFERROR(INDEX(_DATA_Assessment_Model!$Y$5:$Y$884,MATCH($E706,_DATA_Assessment_Model!$A$5:$A$884,0)),"")</f>
        <v/>
      </c>
      <c r="Y706" t="inlineStr">
        <is>
          <t>Supplier/logistics disruption; Manufacturing disruption; Demand shock</t>
        </is>
      </c>
      <c r="Z706" t="inlineStr">
        <is>
          <t>Supply Chain / Procurement</t>
        </is>
      </c>
      <c r="AA706" t="inlineStr">
        <is>
          <t>Policy/SOP; owner/RACI; system report; dashboard; contracts; test records; incident history; interview evidence related to Incoterms, insurance, liability and delivery obligations for critical flows.</t>
        </is>
      </c>
      <c r="AB706">
        <f>IFERROR(INDEX(_DATA_Assessment_Model!$U$5:$U$884,MATCH($E706,_DATA_Assessment_Model!$A$5:$A$884,0)),"")</f>
        <v/>
      </c>
      <c r="AF706" t="inlineStr">
        <is>
          <t>How mature is the organization in managing Incoterms, insurance, liability and delivery obligations for critical flows, including ownership, evidence, metrics, fallback procedures and crisis stress testing?</t>
        </is>
      </c>
      <c r="AO706">
        <f>IF($B706="Yes",IFERROR(INDEX(_ENGINE_Crisis!$F$501:$F$517,MATCH($C706,_ENGINE_Crisis!$A$501:$A$517,0)),1),"")</f>
        <v/>
      </c>
      <c r="AP706">
        <f>IF(AO706="","",ROUND($L706*AO706,1))</f>
        <v/>
      </c>
      <c r="AQ706">
        <f>IF(OR(AO706="",$S706=""),"",ROUND($S706*(0.7+0.3*AO706),2))</f>
        <v/>
      </c>
      <c r="AR706">
        <f>IFERROR(INDEX(_ENGINE_Crisis!$E$41:$E$700,MATCH('Resilience &amp; Risk Scenario'!$B$60&amp;"|"&amp;$C706,_ENGINE_Crisis!$I$41:$I$700,0)),"")</f>
        <v/>
      </c>
      <c r="AS706">
        <f>IFERROR(INDEX(_ENGINE_Crisis!$G$41:$G$700,MATCH('Resilience &amp; Risk Scenario'!$B$60&amp;"|"&amp;$C706,_ENGINE_Crisis!$I$41:$I$700,0)),"")</f>
        <v/>
      </c>
      <c r="AT706">
        <f>IFERROR(INDEX(_ENGINE_Initiatives!$A$5:$A$532,MATCH(1,INDEX((_ENGINE_Initiatives!$B$5:$B$532=$C706)*(_ENGINE_Initiatives!$C$5:$C$532=$D706),0),0)),"")</f>
        <v/>
      </c>
      <c r="AU706">
        <f>IFERROR(INDEX(_ENGINE_Initiatives!$F$5:$F$532,MATCH(1,INDEX((_ENGINE_Initiatives!$B$5:$B$532=$C706)*(_ENGINE_Initiatives!$C$5:$C$532=$D706),0),0)),"")</f>
        <v/>
      </c>
      <c r="AV706">
        <f>IFERROR(INDEX(_ENGINE_Initiatives!$AC$5:$AC$532,MATCH(1,INDEX((_ENGINE_Initiatives!$B$5:$B$532=$C706)*(_ENGINE_Initiatives!$C$5:$C$532=$D706),0),0)),"")</f>
        <v/>
      </c>
      <c r="AW706">
        <f>IFERROR(INDEX(_ENGINE_Initiatives!$AE$5:$AE$532,MATCH(1,INDEX((_ENGINE_Initiatives!$B$5:$B$532=$C706)*(_ENGINE_Initiatives!$C$5:$C$532=$D706),0),0)),"")</f>
        <v/>
      </c>
      <c r="AX706">
        <f>IF($B706="Yes",IFERROR(IF(SUMIFS(_REF_Model_Content!$E$1:$E$613,_REF_Model_Content!$A$1:$A$613,'Company Profile'!$B$9,_REF_Model_Content!$B$1:$B$613,$C706)=0,1,SUMIFS(_REF_Model_Content!$E$1:$E$613,_REF_Model_Content!$A$1:$A$613,'Company Profile'!$B$9,_REF_Model_Content!$B$1:$B$613,$C706)),1),"")</f>
        <v/>
      </c>
      <c r="AY706">
        <f>IF($L706="","",ROUND(IF($AP706="",$L706,$AP706)*IF($AX706="",1,$AX706),2))</f>
        <v/>
      </c>
      <c r="AZ706">
        <f>IF($S706="","",ROUND(IF($AQ706="",$S706,$AQ706)*IF($AX706="",1,$AX706),2))</f>
        <v/>
      </c>
      <c r="BB706">
        <f>IF($H706="","",IFERROR(INDEX('_ENGINE_Risk'!$AE$41:$AE$920,MATCH($E706,'_ENGINE_Risk'!$A$41:$A$920,0)),"Medium"))</f>
        <v/>
      </c>
      <c r="BC706">
        <f>IF($BB706="","",IF($BB706="Fast",1.25,IF($BB706="Slow",0.85,1)))</f>
        <v/>
      </c>
      <c r="BD706">
        <f>IF(OR($AZ706="",$BC706=""),"",ROUND($AZ706*$BC706,2))</f>
        <v/>
      </c>
      <c r="BF706">
        <f>IF(OR($H706="",$J706=""),"",_xlfn.IFNA(VLOOKUP($J706,_CONFIG_Model_Settings!$D$610:$E$614,2,0),""))</f>
        <v/>
      </c>
      <c r="BG706">
        <f>IF(OR($H706="",$K706=""),"",ROUND('Company Profile'!$B$569*INDEX(_CONFIG_Model_Settings!$H$610:$H$614,MATCH($K706,_CONFIG_Model_Settings!$G$610:$G$614,0)),0))</f>
        <v/>
      </c>
      <c r="BH706">
        <f>IF(OR($BF706="",$BG706=""),"",ROUND($BF706*$BG706,1))</f>
        <v/>
      </c>
      <c r="BI706">
        <f>IF($BH706="","",IF($AO706="",$BH706,ROUND($BH706*$AO706,1)))</f>
        <v/>
      </c>
      <c r="BJ706">
        <f>IF($E706="","",IFERROR(VLOOKUP($C706,'_CONFIG_Risk_Calibration'!$A$5:$H$21,2,FALSE),3))</f>
        <v/>
      </c>
      <c r="BK706">
        <f>IF($E706="","",IFERROR(VLOOKUP($C706,'_CONFIG_Risk_Calibration'!$A$5:$H$21,3,FALSE),0))</f>
        <v/>
      </c>
      <c r="BL706">
        <f>IF($E706="","",IFERROR(VLOOKUP($C706,'_CONFIG_Risk_Calibration'!$A$5:$H$21,4,FALSE),3))</f>
        <v/>
      </c>
      <c r="BM706">
        <f>IF($E706="","",IFERROR(VLOOKUP($C706,'_CONFIG_Risk_Calibration'!$A$5:$H$21,5,FALSE),3))</f>
        <v/>
      </c>
      <c r="BN706">
        <f>IF($E706="","",IFERROR(VLOOKUP($C706,'_CONFIG_Risk_Calibration'!$A$5:$H$21,6,FALSE),"No"))</f>
        <v/>
      </c>
      <c r="BO706">
        <f>IF($E706="","",IFERROR(VLOOKUP($C706,'_CONFIG_Risk_Calibration'!$A$5:$H$21,7,FALSE),1))</f>
        <v/>
      </c>
      <c r="BP706">
        <f>IF($H706="","",MAX(1,MIN(5,((6-$H706)*0.45)+($BJ706*0.20)+('Resilience &amp; Risk Scenario'!$B$7*0.15)+($BK706*0.10)+($BL706*0.05)+(IF($BB706="Fast",5,IF($BB706="Slow",1,3))*0.05))))</f>
        <v/>
      </c>
      <c r="BQ706">
        <f>IF($H706="","",MAX(IF($BN706="Yes",$BO706,1),MIN(5,($U706*0.20)+($V706*0.15)+($W706*0.25)+($X706*0.15)+($BJ706*0.10)+($BM706*0.15))))</f>
        <v/>
      </c>
      <c r="BR706">
        <f>IF(OR($BP706="",$BQ706=""),"",ROUND($BP706*$BQ706,2))</f>
        <v/>
      </c>
      <c r="BS706">
        <f>IF($BR706="","",ROUND($BR706*IF($AO706="",1,$AO706)*IF($AX706="",1,$AX706)*(1+(($BM706-3)*0.10))*IF($BC706="",1,$BC706),2))</f>
        <v/>
      </c>
    </row>
    <row r="707" ht="69.90000000000001" customHeight="1" s="209">
      <c r="A707">
        <f>IF($BD707="","",SUMPRODUCT(ISNUMBER($BD$500:$BD$923)*($BD$500:$BD$923&gt;$BD707))+COUNTIF($BD$500:$BD707,$BD707))</f>
        <v/>
      </c>
      <c r="B707">
        <f>IF($H707="","",IF($H707&lt;5,"Yes","Maintain"))</f>
        <v/>
      </c>
      <c r="C707" t="inlineStr">
        <is>
          <t>Supply Chain</t>
        </is>
      </c>
      <c r="D707" t="inlineStr">
        <is>
          <t>Inventory and planning</t>
        </is>
      </c>
      <c r="E707" t="inlineStr">
        <is>
          <t>SUPP-013</t>
        </is>
      </c>
      <c r="F707" t="inlineStr">
        <is>
          <t>Supply chain, logistics and supplier continuity</t>
        </is>
      </c>
      <c r="G707">
        <f>IF($H707="","",IFERROR(INDEX('_ENGINE_Risk'!$H$41:$M$920,MATCH($E707,'_ENGINE_Risk'!$A$41:$A$920,0),$H707+1),""))</f>
        <v/>
      </c>
      <c r="H707">
        <f>IFERROR(VALUE(INDEX(_DATA_Assessment_Model!$H$5:$H$884,MATCH($E707,_DATA_Assessment_Model!$A$5:$A$884,0))),"")</f>
        <v/>
      </c>
      <c r="I707">
        <f>IF($H707="","",IFERROR(INDEX(_DATA_Assessment_Model!$L$5:$L$884,MATCH($E707,_DATA_Assessment_Model!$A$5:$A$884,0)),IF($H707&lt;=1,"Critical",IF($H707=2,"High",IF($H707=3,"Medium",IF($H707=4,"Low","Resilient"))))))</f>
        <v/>
      </c>
      <c r="J707">
        <f>IF($H707="","",MIN(5,MAX(1,6-$H707)))</f>
        <v/>
      </c>
      <c r="K707">
        <f>IF($H707="","",MAX(1,MIN(5,ROUNDUP(($U707*0.45)+($W707*0.35)+($X707*0.2),0))))</f>
        <v/>
      </c>
      <c r="L707">
        <f>IF($H707="","",$J707*$K707)</f>
        <v/>
      </c>
      <c r="M707">
        <f>IF($H707="","",MAX(1,MIN(5,ROUNDUP($L707/5,0))))</f>
        <v/>
      </c>
      <c r="N707">
        <f>IF($H707="","",IFERROR(INDEX('_ENGINE_Risk'!$T$41:$Y$920,MATCH($E707,'_ENGINE_Risk'!$A$41:$A$920,0),$H707+1),""))</f>
        <v/>
      </c>
      <c r="O707">
        <f>IF($H707="","",MAX(1,MIN(5,($U707+$V707+$X707)/3)))</f>
        <v/>
      </c>
      <c r="P707">
        <f>IF($H707="","",IF($I707="Critical",5,IF($I707="High",4,IF($I707="Medium",3,IF($I707="Low",2,1)))))</f>
        <v/>
      </c>
      <c r="Q707">
        <f>IF($H707="","",MAX(1,MIN(5,((5-$H707)*0.65)+($W707*0.35))))</f>
        <v/>
      </c>
      <c r="R707">
        <f>IF($H707="","",MAX(1,MIN(5,($V707+$X707)/2)))</f>
        <v/>
      </c>
      <c r="S707">
        <f>IF(OR($H707="",$N707=""),"",ROUND(($O707+$P707+$Q707+$R707)/$N707,2))</f>
        <v/>
      </c>
      <c r="T707">
        <f>IF($H707="","",IFERROR(INDEX('_ENGINE_Risk'!$N$41:$S$920,MATCH($E707,'_ENGINE_Risk'!$A$41:$A$920,0),$H707+1),""))</f>
        <v/>
      </c>
      <c r="U707">
        <f>IFERROR(INDEX(_DATA_Assessment_Model!$G$5:$G$884,MATCH($E707,_DATA_Assessment_Model!$A$5:$A$884,0)),"")</f>
        <v/>
      </c>
      <c r="V707">
        <f>IFERROR(INDEX(_DATA_Assessment_Model!$W$5:$W$884,MATCH($E707,_DATA_Assessment_Model!$A$5:$A$884,0)),"")</f>
        <v/>
      </c>
      <c r="W707">
        <f>IFERROR(INDEX(_DATA_Assessment_Model!$X$5:$X$884,MATCH($E707,_DATA_Assessment_Model!$A$5:$A$884,0)),"")</f>
        <v/>
      </c>
      <c r="X707">
        <f>IFERROR(INDEX(_DATA_Assessment_Model!$Y$5:$Y$884,MATCH($E707,_DATA_Assessment_Model!$A$5:$A$884,0)),"")</f>
        <v/>
      </c>
      <c r="Y707" t="inlineStr">
        <is>
          <t>Supplier/logistics disruption; Manufacturing disruption; Demand shock</t>
        </is>
      </c>
      <c r="Z707" t="inlineStr">
        <is>
          <t>Supply Chain / Procurement</t>
        </is>
      </c>
      <c r="AA707" t="inlineStr">
        <is>
          <t>Policy/SOP; owner/RACI; system report; dashboard; contracts; test records; incident history; interview evidence related to safety stock, reorder points, min/max levels and buffer rules by criticality and lead time.</t>
        </is>
      </c>
      <c r="AB707">
        <f>IFERROR(INDEX(_DATA_Assessment_Model!$U$5:$U$884,MATCH($E707,_DATA_Assessment_Model!$A$5:$A$884,0)),"")</f>
        <v/>
      </c>
      <c r="AF707" t="inlineStr">
        <is>
          <t>How mature is the organization in managing safety stock, reorder points, min/max levels and buffer rules by criticality and lead time, including ownership, evidence, metrics, fallback procedures and crisis stress testing?</t>
        </is>
      </c>
      <c r="AO707">
        <f>IF($B707="Yes",IFERROR(INDEX(_ENGINE_Crisis!$F$501:$F$517,MATCH($C707,_ENGINE_Crisis!$A$501:$A$517,0)),1),"")</f>
        <v/>
      </c>
      <c r="AP707">
        <f>IF(AO707="","",ROUND($L707*AO707,1))</f>
        <v/>
      </c>
      <c r="AQ707">
        <f>IF(OR(AO707="",$S707=""),"",ROUND($S707*(0.7+0.3*AO707),2))</f>
        <v/>
      </c>
      <c r="AR707">
        <f>IFERROR(INDEX(_ENGINE_Crisis!$E$41:$E$700,MATCH('Resilience &amp; Risk Scenario'!$B$60&amp;"|"&amp;$C707,_ENGINE_Crisis!$I$41:$I$700,0)),"")</f>
        <v/>
      </c>
      <c r="AS707">
        <f>IFERROR(INDEX(_ENGINE_Crisis!$G$41:$G$700,MATCH('Resilience &amp; Risk Scenario'!$B$60&amp;"|"&amp;$C707,_ENGINE_Crisis!$I$41:$I$700,0)),"")</f>
        <v/>
      </c>
      <c r="AT707">
        <f>IFERROR(INDEX(_ENGINE_Initiatives!$A$5:$A$532,MATCH(1,INDEX((_ENGINE_Initiatives!$B$5:$B$532=$C707)*(_ENGINE_Initiatives!$C$5:$C$532=$D707),0),0)),"")</f>
        <v/>
      </c>
      <c r="AU707">
        <f>IFERROR(INDEX(_ENGINE_Initiatives!$F$5:$F$532,MATCH(1,INDEX((_ENGINE_Initiatives!$B$5:$B$532=$C707)*(_ENGINE_Initiatives!$C$5:$C$532=$D707),0),0)),"")</f>
        <v/>
      </c>
      <c r="AV707">
        <f>IFERROR(INDEX(_ENGINE_Initiatives!$AC$5:$AC$532,MATCH(1,INDEX((_ENGINE_Initiatives!$B$5:$B$532=$C707)*(_ENGINE_Initiatives!$C$5:$C$532=$D707),0),0)),"")</f>
        <v/>
      </c>
      <c r="AW707">
        <f>IFERROR(INDEX(_ENGINE_Initiatives!$AE$5:$AE$532,MATCH(1,INDEX((_ENGINE_Initiatives!$B$5:$B$532=$C707)*(_ENGINE_Initiatives!$C$5:$C$532=$D707),0),0)),"")</f>
        <v/>
      </c>
      <c r="AX707">
        <f>IF($B707="Yes",IFERROR(IF(SUMIFS(_REF_Model_Content!$E$1:$E$613,_REF_Model_Content!$A$1:$A$613,'Company Profile'!$B$9,_REF_Model_Content!$B$1:$B$613,$C707)=0,1,SUMIFS(_REF_Model_Content!$E$1:$E$613,_REF_Model_Content!$A$1:$A$613,'Company Profile'!$B$9,_REF_Model_Content!$B$1:$B$613,$C707)),1),"")</f>
        <v/>
      </c>
      <c r="AY707">
        <f>IF($L707="","",ROUND(IF($AP707="",$L707,$AP707)*IF($AX707="",1,$AX707),2))</f>
        <v/>
      </c>
      <c r="AZ707">
        <f>IF($S707="","",ROUND(IF($AQ707="",$S707,$AQ707)*IF($AX707="",1,$AX707),2))</f>
        <v/>
      </c>
      <c r="BB707">
        <f>IF($H707="","",IFERROR(INDEX('_ENGINE_Risk'!$AE$41:$AE$920,MATCH($E707,'_ENGINE_Risk'!$A$41:$A$920,0)),"Medium"))</f>
        <v/>
      </c>
      <c r="BC707">
        <f>IF($BB707="","",IF($BB707="Fast",1.25,IF($BB707="Slow",0.85,1)))</f>
        <v/>
      </c>
      <c r="BD707">
        <f>IF(OR($AZ707="",$BC707=""),"",ROUND($AZ707*$BC707,2))</f>
        <v/>
      </c>
      <c r="BF707">
        <f>IF(OR($H707="",$J707=""),"",_xlfn.IFNA(VLOOKUP($J707,_CONFIG_Model_Settings!$D$610:$E$614,2,0),""))</f>
        <v/>
      </c>
      <c r="BG707">
        <f>IF(OR($H707="",$K707=""),"",ROUND('Company Profile'!$B$569*INDEX(_CONFIG_Model_Settings!$H$610:$H$614,MATCH($K707,_CONFIG_Model_Settings!$G$610:$G$614,0)),0))</f>
        <v/>
      </c>
      <c r="BH707">
        <f>IF(OR($BF707="",$BG707=""),"",ROUND($BF707*$BG707,1))</f>
        <v/>
      </c>
      <c r="BI707">
        <f>IF($BH707="","",IF($AO707="",$BH707,ROUND($BH707*$AO707,1)))</f>
        <v/>
      </c>
      <c r="BJ707">
        <f>IF($E707="","",IFERROR(VLOOKUP($C707,'_CONFIG_Risk_Calibration'!$A$5:$H$21,2,FALSE),3))</f>
        <v/>
      </c>
      <c r="BK707">
        <f>IF($E707="","",IFERROR(VLOOKUP($C707,'_CONFIG_Risk_Calibration'!$A$5:$H$21,3,FALSE),0))</f>
        <v/>
      </c>
      <c r="BL707">
        <f>IF($E707="","",IFERROR(VLOOKUP($C707,'_CONFIG_Risk_Calibration'!$A$5:$H$21,4,FALSE),3))</f>
        <v/>
      </c>
      <c r="BM707">
        <f>IF($E707="","",IFERROR(VLOOKUP($C707,'_CONFIG_Risk_Calibration'!$A$5:$H$21,5,FALSE),3))</f>
        <v/>
      </c>
      <c r="BN707">
        <f>IF($E707="","",IFERROR(VLOOKUP($C707,'_CONFIG_Risk_Calibration'!$A$5:$H$21,6,FALSE),"No"))</f>
        <v/>
      </c>
      <c r="BO707">
        <f>IF($E707="","",IFERROR(VLOOKUP($C707,'_CONFIG_Risk_Calibration'!$A$5:$H$21,7,FALSE),1))</f>
        <v/>
      </c>
      <c r="BP707">
        <f>IF($H707="","",MAX(1,MIN(5,((6-$H707)*0.45)+($BJ707*0.20)+('Resilience &amp; Risk Scenario'!$B$7*0.15)+($BK707*0.10)+($BL707*0.05)+(IF($BB707="Fast",5,IF($BB707="Slow",1,3))*0.05))))</f>
        <v/>
      </c>
      <c r="BQ707">
        <f>IF($H707="","",MAX(IF($BN707="Yes",$BO707,1),MIN(5,($U707*0.20)+($V707*0.15)+($W707*0.25)+($X707*0.15)+($BJ707*0.10)+($BM707*0.15))))</f>
        <v/>
      </c>
      <c r="BR707">
        <f>IF(OR($BP707="",$BQ707=""),"",ROUND($BP707*$BQ707,2))</f>
        <v/>
      </c>
      <c r="BS707">
        <f>IF($BR707="","",ROUND($BR707*IF($AO707="",1,$AO707)*IF($AX707="",1,$AX707)*(1+(($BM707-3)*0.10))*IF($BC707="",1,$BC707),2))</f>
        <v/>
      </c>
    </row>
    <row r="708" ht="69.90000000000001" customHeight="1" s="209">
      <c r="A708">
        <f>IF($BD708="","",SUMPRODUCT(ISNUMBER($BD$500:$BD$923)*($BD$500:$BD$923&gt;$BD708))+COUNTIF($BD$500:$BD708,$BD708))</f>
        <v/>
      </c>
      <c r="B708">
        <f>IF($H708="","",IF($H708&lt;5,"Yes","Maintain"))</f>
        <v/>
      </c>
      <c r="C708" t="inlineStr">
        <is>
          <t>Supply Chain</t>
        </is>
      </c>
      <c r="D708" t="inlineStr">
        <is>
          <t>Inventory and planning</t>
        </is>
      </c>
      <c r="E708" t="inlineStr">
        <is>
          <t>SUPP-014</t>
        </is>
      </c>
      <c r="F708" t="inlineStr">
        <is>
          <t>Supply chain, logistics and supplier continuity</t>
        </is>
      </c>
      <c r="G708">
        <f>IF($H708="","",IFERROR(INDEX('_ENGINE_Risk'!$H$41:$M$920,MATCH($E708,'_ENGINE_Risk'!$A$41:$A$920,0),$H708+1),""))</f>
        <v/>
      </c>
      <c r="H708">
        <f>IFERROR(VALUE(INDEX(_DATA_Assessment_Model!$H$5:$H$884,MATCH($E708,_DATA_Assessment_Model!$A$5:$A$884,0))),"")</f>
        <v/>
      </c>
      <c r="I708">
        <f>IF($H708="","",IFERROR(INDEX(_DATA_Assessment_Model!$L$5:$L$884,MATCH($E708,_DATA_Assessment_Model!$A$5:$A$884,0)),IF($H708&lt;=1,"Critical",IF($H708=2,"High",IF($H708=3,"Medium",IF($H708=4,"Low","Resilient"))))))</f>
        <v/>
      </c>
      <c r="J708">
        <f>IF($H708="","",MIN(5,MAX(1,6-$H708)))</f>
        <v/>
      </c>
      <c r="K708">
        <f>IF($H708="","",MAX(1,MIN(5,ROUNDUP(($U708*0.45)+($W708*0.35)+($X708*0.2),0))))</f>
        <v/>
      </c>
      <c r="L708">
        <f>IF($H708="","",$J708*$K708)</f>
        <v/>
      </c>
      <c r="M708">
        <f>IF($H708="","",MAX(1,MIN(5,ROUNDUP($L708/5,0))))</f>
        <v/>
      </c>
      <c r="N708">
        <f>IF($H708="","",IFERROR(INDEX('_ENGINE_Risk'!$T$41:$Y$920,MATCH($E708,'_ENGINE_Risk'!$A$41:$A$920,0),$H708+1),""))</f>
        <v/>
      </c>
      <c r="O708">
        <f>IF($H708="","",MAX(1,MIN(5,($U708+$V708+$X708)/3)))</f>
        <v/>
      </c>
      <c r="P708">
        <f>IF($H708="","",IF($I708="Critical",5,IF($I708="High",4,IF($I708="Medium",3,IF($I708="Low",2,1)))))</f>
        <v/>
      </c>
      <c r="Q708">
        <f>IF($H708="","",MAX(1,MIN(5,((5-$H708)*0.65)+($W708*0.35))))</f>
        <v/>
      </c>
      <c r="R708">
        <f>IF($H708="","",MAX(1,MIN(5,($V708+$X708)/2)))</f>
        <v/>
      </c>
      <c r="S708">
        <f>IF(OR($H708="",$N708=""),"",ROUND(($O708+$P708+$Q708+$R708)/$N708,2))</f>
        <v/>
      </c>
      <c r="T708">
        <f>IF($H708="","",IFERROR(INDEX('_ENGINE_Risk'!$N$41:$S$920,MATCH($E708,'_ENGINE_Risk'!$A$41:$A$920,0),$H708+1),""))</f>
        <v/>
      </c>
      <c r="U708">
        <f>IFERROR(INDEX(_DATA_Assessment_Model!$G$5:$G$884,MATCH($E708,_DATA_Assessment_Model!$A$5:$A$884,0)),"")</f>
        <v/>
      </c>
      <c r="V708">
        <f>IFERROR(INDEX(_DATA_Assessment_Model!$W$5:$W$884,MATCH($E708,_DATA_Assessment_Model!$A$5:$A$884,0)),"")</f>
        <v/>
      </c>
      <c r="W708">
        <f>IFERROR(INDEX(_DATA_Assessment_Model!$X$5:$X$884,MATCH($E708,_DATA_Assessment_Model!$A$5:$A$884,0)),"")</f>
        <v/>
      </c>
      <c r="X708">
        <f>IFERROR(INDEX(_DATA_Assessment_Model!$Y$5:$Y$884,MATCH($E708,_DATA_Assessment_Model!$A$5:$A$884,0)),"")</f>
        <v/>
      </c>
      <c r="Y708" t="inlineStr">
        <is>
          <t>Supplier/logistics disruption; Manufacturing disruption; Demand shock</t>
        </is>
      </c>
      <c r="Z708" t="inlineStr">
        <is>
          <t>Supply Chain / Procurement</t>
        </is>
      </c>
      <c r="AA708" t="inlineStr">
        <is>
          <t>Policy/SOP; owner/RACI; system report; dashboard; contracts; test records; incident history; interview evidence related to inventory visibility by SKU, location, status, shelf life, batch and ownership.</t>
        </is>
      </c>
      <c r="AB708">
        <f>IFERROR(INDEX(_DATA_Assessment_Model!$U$5:$U$884,MATCH($E708,_DATA_Assessment_Model!$A$5:$A$884,0)),"")</f>
        <v/>
      </c>
      <c r="AF708" t="inlineStr">
        <is>
          <t>How mature is the organization in managing inventory visibility by SKU, location, status, shelf life, batch and ownership, including ownership, evidence, metrics, fallback procedures and crisis stress testing?</t>
        </is>
      </c>
      <c r="AO708">
        <f>IF($B708="Yes",IFERROR(INDEX(_ENGINE_Crisis!$F$501:$F$517,MATCH($C708,_ENGINE_Crisis!$A$501:$A$517,0)),1),"")</f>
        <v/>
      </c>
      <c r="AP708">
        <f>IF(AO708="","",ROUND($L708*AO708,1))</f>
        <v/>
      </c>
      <c r="AQ708">
        <f>IF(OR(AO708="",$S708=""),"",ROUND($S708*(0.7+0.3*AO708),2))</f>
        <v/>
      </c>
      <c r="AR708">
        <f>IFERROR(INDEX(_ENGINE_Crisis!$E$41:$E$700,MATCH('Resilience &amp; Risk Scenario'!$B$60&amp;"|"&amp;$C708,_ENGINE_Crisis!$I$41:$I$700,0)),"")</f>
        <v/>
      </c>
      <c r="AS708">
        <f>IFERROR(INDEX(_ENGINE_Crisis!$G$41:$G$700,MATCH('Resilience &amp; Risk Scenario'!$B$60&amp;"|"&amp;$C708,_ENGINE_Crisis!$I$41:$I$700,0)),"")</f>
        <v/>
      </c>
      <c r="AT708">
        <f>IFERROR(INDEX(_ENGINE_Initiatives!$A$5:$A$532,MATCH(1,INDEX((_ENGINE_Initiatives!$B$5:$B$532=$C708)*(_ENGINE_Initiatives!$C$5:$C$532=$D708),0),0)),"")</f>
        <v/>
      </c>
      <c r="AU708">
        <f>IFERROR(INDEX(_ENGINE_Initiatives!$F$5:$F$532,MATCH(1,INDEX((_ENGINE_Initiatives!$B$5:$B$532=$C708)*(_ENGINE_Initiatives!$C$5:$C$532=$D708),0),0)),"")</f>
        <v/>
      </c>
      <c r="AV708">
        <f>IFERROR(INDEX(_ENGINE_Initiatives!$AC$5:$AC$532,MATCH(1,INDEX((_ENGINE_Initiatives!$B$5:$B$532=$C708)*(_ENGINE_Initiatives!$C$5:$C$532=$D708),0),0)),"")</f>
        <v/>
      </c>
      <c r="AW708">
        <f>IFERROR(INDEX(_ENGINE_Initiatives!$AE$5:$AE$532,MATCH(1,INDEX((_ENGINE_Initiatives!$B$5:$B$532=$C708)*(_ENGINE_Initiatives!$C$5:$C$532=$D708),0),0)),"")</f>
        <v/>
      </c>
      <c r="AX708">
        <f>IF($B708="Yes",IFERROR(IF(SUMIFS(_REF_Model_Content!$E$1:$E$613,_REF_Model_Content!$A$1:$A$613,'Company Profile'!$B$9,_REF_Model_Content!$B$1:$B$613,$C708)=0,1,SUMIFS(_REF_Model_Content!$E$1:$E$613,_REF_Model_Content!$A$1:$A$613,'Company Profile'!$B$9,_REF_Model_Content!$B$1:$B$613,$C708)),1),"")</f>
        <v/>
      </c>
      <c r="AY708">
        <f>IF($L708="","",ROUND(IF($AP708="",$L708,$AP708)*IF($AX708="",1,$AX708),2))</f>
        <v/>
      </c>
      <c r="AZ708">
        <f>IF($S708="","",ROUND(IF($AQ708="",$S708,$AQ708)*IF($AX708="",1,$AX708),2))</f>
        <v/>
      </c>
      <c r="BB708">
        <f>IF($H708="","",IFERROR(INDEX('_ENGINE_Risk'!$AE$41:$AE$920,MATCH($E708,'_ENGINE_Risk'!$A$41:$A$920,0)),"Medium"))</f>
        <v/>
      </c>
      <c r="BC708">
        <f>IF($BB708="","",IF($BB708="Fast",1.25,IF($BB708="Slow",0.85,1)))</f>
        <v/>
      </c>
      <c r="BD708">
        <f>IF(OR($AZ708="",$BC708=""),"",ROUND($AZ708*$BC708,2))</f>
        <v/>
      </c>
      <c r="BF708">
        <f>IF(OR($H708="",$J708=""),"",_xlfn.IFNA(VLOOKUP($J708,_CONFIG_Model_Settings!$D$610:$E$614,2,0),""))</f>
        <v/>
      </c>
      <c r="BG708">
        <f>IF(OR($H708="",$K708=""),"",ROUND('Company Profile'!$B$569*INDEX(_CONFIG_Model_Settings!$H$610:$H$614,MATCH($K708,_CONFIG_Model_Settings!$G$610:$G$614,0)),0))</f>
        <v/>
      </c>
      <c r="BH708">
        <f>IF(OR($BF708="",$BG708=""),"",ROUND($BF708*$BG708,1))</f>
        <v/>
      </c>
      <c r="BI708">
        <f>IF($BH708="","",IF($AO708="",$BH708,ROUND($BH708*$AO708,1)))</f>
        <v/>
      </c>
      <c r="BJ708">
        <f>IF($E708="","",IFERROR(VLOOKUP($C708,'_CONFIG_Risk_Calibration'!$A$5:$H$21,2,FALSE),3))</f>
        <v/>
      </c>
      <c r="BK708">
        <f>IF($E708="","",IFERROR(VLOOKUP($C708,'_CONFIG_Risk_Calibration'!$A$5:$H$21,3,FALSE),0))</f>
        <v/>
      </c>
      <c r="BL708">
        <f>IF($E708="","",IFERROR(VLOOKUP($C708,'_CONFIG_Risk_Calibration'!$A$5:$H$21,4,FALSE),3))</f>
        <v/>
      </c>
      <c r="BM708">
        <f>IF($E708="","",IFERROR(VLOOKUP($C708,'_CONFIG_Risk_Calibration'!$A$5:$H$21,5,FALSE),3))</f>
        <v/>
      </c>
      <c r="BN708">
        <f>IF($E708="","",IFERROR(VLOOKUP($C708,'_CONFIG_Risk_Calibration'!$A$5:$H$21,6,FALSE),"No"))</f>
        <v/>
      </c>
      <c r="BO708">
        <f>IF($E708="","",IFERROR(VLOOKUP($C708,'_CONFIG_Risk_Calibration'!$A$5:$H$21,7,FALSE),1))</f>
        <v/>
      </c>
      <c r="BP708">
        <f>IF($H708="","",MAX(1,MIN(5,((6-$H708)*0.45)+($BJ708*0.20)+('Resilience &amp; Risk Scenario'!$B$7*0.15)+($BK708*0.10)+($BL708*0.05)+(IF($BB708="Fast",5,IF($BB708="Slow",1,3))*0.05))))</f>
        <v/>
      </c>
      <c r="BQ708">
        <f>IF($H708="","",MAX(IF($BN708="Yes",$BO708,1),MIN(5,($U708*0.20)+($V708*0.15)+($W708*0.25)+($X708*0.15)+($BJ708*0.10)+($BM708*0.15))))</f>
        <v/>
      </c>
      <c r="BR708">
        <f>IF(OR($BP708="",$BQ708=""),"",ROUND($BP708*$BQ708,2))</f>
        <v/>
      </c>
      <c r="BS708">
        <f>IF($BR708="","",ROUND($BR708*IF($AO708="",1,$AO708)*IF($AX708="",1,$AX708)*(1+(($BM708-3)*0.10))*IF($BC708="",1,$BC708),2))</f>
        <v/>
      </c>
    </row>
    <row r="709" ht="69.90000000000001" customHeight="1" s="209">
      <c r="A709">
        <f>IF($BD709="","",SUMPRODUCT(ISNUMBER($BD$500:$BD$923)*($BD$500:$BD$923&gt;$BD709))+COUNTIF($BD$500:$BD709,$BD709))</f>
        <v/>
      </c>
      <c r="B709">
        <f>IF($H709="","",IF($H709&lt;5,"Yes","Maintain"))</f>
        <v/>
      </c>
      <c r="C709" t="inlineStr">
        <is>
          <t>Supply Chain</t>
        </is>
      </c>
      <c r="D709" t="inlineStr">
        <is>
          <t>Inventory and planning</t>
        </is>
      </c>
      <c r="E709" t="inlineStr">
        <is>
          <t>SUPP-015</t>
        </is>
      </c>
      <c r="F709" t="inlineStr">
        <is>
          <t>Supply chain, logistics and supplier continuity</t>
        </is>
      </c>
      <c r="G709">
        <f>IF($H709="","",IFERROR(INDEX('_ENGINE_Risk'!$H$41:$M$920,MATCH($E709,'_ENGINE_Risk'!$A$41:$A$920,0),$H709+1),""))</f>
        <v/>
      </c>
      <c r="H709">
        <f>IFERROR(VALUE(INDEX(_DATA_Assessment_Model!$H$5:$H$884,MATCH($E709,_DATA_Assessment_Model!$A$5:$A$884,0))),"")</f>
        <v/>
      </c>
      <c r="I709">
        <f>IF($H709="","",IFERROR(INDEX(_DATA_Assessment_Model!$L$5:$L$884,MATCH($E709,_DATA_Assessment_Model!$A$5:$A$884,0)),IF($H709&lt;=1,"Critical",IF($H709=2,"High",IF($H709=3,"Medium",IF($H709=4,"Low","Resilient"))))))</f>
        <v/>
      </c>
      <c r="J709">
        <f>IF($H709="","",MIN(5,MAX(1,6-$H709)))</f>
        <v/>
      </c>
      <c r="K709">
        <f>IF($H709="","",MAX(1,MIN(5,ROUNDUP(($U709*0.45)+($W709*0.35)+($X709*0.2),0))))</f>
        <v/>
      </c>
      <c r="L709">
        <f>IF($H709="","",$J709*$K709)</f>
        <v/>
      </c>
      <c r="M709">
        <f>IF($H709="","",MAX(1,MIN(5,ROUNDUP($L709/5,0))))</f>
        <v/>
      </c>
      <c r="N709">
        <f>IF($H709="","",IFERROR(INDEX('_ENGINE_Risk'!$T$41:$Y$920,MATCH($E709,'_ENGINE_Risk'!$A$41:$A$920,0),$H709+1),""))</f>
        <v/>
      </c>
      <c r="O709">
        <f>IF($H709="","",MAX(1,MIN(5,($U709+$V709+$X709)/3)))</f>
        <v/>
      </c>
      <c r="P709">
        <f>IF($H709="","",IF($I709="Critical",5,IF($I709="High",4,IF($I709="Medium",3,IF($I709="Low",2,1)))))</f>
        <v/>
      </c>
      <c r="Q709">
        <f>IF($H709="","",MAX(1,MIN(5,((5-$H709)*0.65)+($W709*0.35))))</f>
        <v/>
      </c>
      <c r="R709">
        <f>IF($H709="","",MAX(1,MIN(5,($V709+$X709)/2)))</f>
        <v/>
      </c>
      <c r="S709">
        <f>IF(OR($H709="",$N709=""),"",ROUND(($O709+$P709+$Q709+$R709)/$N709,2))</f>
        <v/>
      </c>
      <c r="T709">
        <f>IF($H709="","",IFERROR(INDEX('_ENGINE_Risk'!$N$41:$S$920,MATCH($E709,'_ENGINE_Risk'!$A$41:$A$920,0),$H709+1),""))</f>
        <v/>
      </c>
      <c r="U709">
        <f>IFERROR(INDEX(_DATA_Assessment_Model!$G$5:$G$884,MATCH($E709,_DATA_Assessment_Model!$A$5:$A$884,0)),"")</f>
        <v/>
      </c>
      <c r="V709">
        <f>IFERROR(INDEX(_DATA_Assessment_Model!$W$5:$W$884,MATCH($E709,_DATA_Assessment_Model!$A$5:$A$884,0)),"")</f>
        <v/>
      </c>
      <c r="W709">
        <f>IFERROR(INDEX(_DATA_Assessment_Model!$X$5:$X$884,MATCH($E709,_DATA_Assessment_Model!$A$5:$A$884,0)),"")</f>
        <v/>
      </c>
      <c r="X709">
        <f>IFERROR(INDEX(_DATA_Assessment_Model!$Y$5:$Y$884,MATCH($E709,_DATA_Assessment_Model!$A$5:$A$884,0)),"")</f>
        <v/>
      </c>
      <c r="Y709" t="inlineStr">
        <is>
          <t>Supplier/logistics disruption; Manufacturing disruption; Demand shock</t>
        </is>
      </c>
      <c r="Z709" t="inlineStr">
        <is>
          <t>Supply Chain / Procurement</t>
        </is>
      </c>
      <c r="AA709" t="inlineStr">
        <is>
          <t>Policy/SOP; owner/RACI; system report; dashboard; contracts; test records; incident history; interview evidence related to slow-moving, obsolete or stagnant inventory analysis linked to sales and procurement decisions.</t>
        </is>
      </c>
      <c r="AB709">
        <f>IFERROR(INDEX(_DATA_Assessment_Model!$U$5:$U$884,MATCH($E709,_DATA_Assessment_Model!$A$5:$A$884,0)),"")</f>
        <v/>
      </c>
      <c r="AF709" t="inlineStr">
        <is>
          <t>How mature is the organization in managing slow-moving, obsolete or stagnant inventory analysis linked to sales and procurement decisions, including ownership, evidence, metrics, fallback procedures and crisis stress testing?</t>
        </is>
      </c>
      <c r="AO709">
        <f>IF($B709="Yes",IFERROR(INDEX(_ENGINE_Crisis!$F$501:$F$517,MATCH($C709,_ENGINE_Crisis!$A$501:$A$517,0)),1),"")</f>
        <v/>
      </c>
      <c r="AP709">
        <f>IF(AO709="","",ROUND($L709*AO709,1))</f>
        <v/>
      </c>
      <c r="AQ709">
        <f>IF(OR(AO709="",$S709=""),"",ROUND($S709*(0.7+0.3*AO709),2))</f>
        <v/>
      </c>
      <c r="AR709">
        <f>IFERROR(INDEX(_ENGINE_Crisis!$E$41:$E$700,MATCH('Resilience &amp; Risk Scenario'!$B$60&amp;"|"&amp;$C709,_ENGINE_Crisis!$I$41:$I$700,0)),"")</f>
        <v/>
      </c>
      <c r="AS709">
        <f>IFERROR(INDEX(_ENGINE_Crisis!$G$41:$G$700,MATCH('Resilience &amp; Risk Scenario'!$B$60&amp;"|"&amp;$C709,_ENGINE_Crisis!$I$41:$I$700,0)),"")</f>
        <v/>
      </c>
      <c r="AT709">
        <f>IFERROR(INDEX(_ENGINE_Initiatives!$A$5:$A$532,MATCH(1,INDEX((_ENGINE_Initiatives!$B$5:$B$532=$C709)*(_ENGINE_Initiatives!$C$5:$C$532=$D709),0),0)),"")</f>
        <v/>
      </c>
      <c r="AU709">
        <f>IFERROR(INDEX(_ENGINE_Initiatives!$F$5:$F$532,MATCH(1,INDEX((_ENGINE_Initiatives!$B$5:$B$532=$C709)*(_ENGINE_Initiatives!$C$5:$C$532=$D709),0),0)),"")</f>
        <v/>
      </c>
      <c r="AV709">
        <f>IFERROR(INDEX(_ENGINE_Initiatives!$AC$5:$AC$532,MATCH(1,INDEX((_ENGINE_Initiatives!$B$5:$B$532=$C709)*(_ENGINE_Initiatives!$C$5:$C$532=$D709),0),0)),"")</f>
        <v/>
      </c>
      <c r="AW709">
        <f>IFERROR(INDEX(_ENGINE_Initiatives!$AE$5:$AE$532,MATCH(1,INDEX((_ENGINE_Initiatives!$B$5:$B$532=$C709)*(_ENGINE_Initiatives!$C$5:$C$532=$D709),0),0)),"")</f>
        <v/>
      </c>
      <c r="AX709">
        <f>IF($B709="Yes",IFERROR(IF(SUMIFS(_REF_Model_Content!$E$1:$E$613,_REF_Model_Content!$A$1:$A$613,'Company Profile'!$B$9,_REF_Model_Content!$B$1:$B$613,$C709)=0,1,SUMIFS(_REF_Model_Content!$E$1:$E$613,_REF_Model_Content!$A$1:$A$613,'Company Profile'!$B$9,_REF_Model_Content!$B$1:$B$613,$C709)),1),"")</f>
        <v/>
      </c>
      <c r="AY709">
        <f>IF($L709="","",ROUND(IF($AP709="",$L709,$AP709)*IF($AX709="",1,$AX709),2))</f>
        <v/>
      </c>
      <c r="AZ709">
        <f>IF($S709="","",ROUND(IF($AQ709="",$S709,$AQ709)*IF($AX709="",1,$AX709),2))</f>
        <v/>
      </c>
      <c r="BB709">
        <f>IF($H709="","",IFERROR(INDEX('_ENGINE_Risk'!$AE$41:$AE$920,MATCH($E709,'_ENGINE_Risk'!$A$41:$A$920,0)),"Medium"))</f>
        <v/>
      </c>
      <c r="BC709">
        <f>IF($BB709="","",IF($BB709="Fast",1.25,IF($BB709="Slow",0.85,1)))</f>
        <v/>
      </c>
      <c r="BD709">
        <f>IF(OR($AZ709="",$BC709=""),"",ROUND($AZ709*$BC709,2))</f>
        <v/>
      </c>
      <c r="BF709">
        <f>IF(OR($H709="",$J709=""),"",_xlfn.IFNA(VLOOKUP($J709,_CONFIG_Model_Settings!$D$610:$E$614,2,0),""))</f>
        <v/>
      </c>
      <c r="BG709">
        <f>IF(OR($H709="",$K709=""),"",ROUND('Company Profile'!$B$569*INDEX(_CONFIG_Model_Settings!$H$610:$H$614,MATCH($K709,_CONFIG_Model_Settings!$G$610:$G$614,0)),0))</f>
        <v/>
      </c>
      <c r="BH709">
        <f>IF(OR($BF709="",$BG709=""),"",ROUND($BF709*$BG709,1))</f>
        <v/>
      </c>
      <c r="BI709">
        <f>IF($BH709="","",IF($AO709="",$BH709,ROUND($BH709*$AO709,1)))</f>
        <v/>
      </c>
      <c r="BJ709">
        <f>IF($E709="","",IFERROR(VLOOKUP($C709,'_CONFIG_Risk_Calibration'!$A$5:$H$21,2,FALSE),3))</f>
        <v/>
      </c>
      <c r="BK709">
        <f>IF($E709="","",IFERROR(VLOOKUP($C709,'_CONFIG_Risk_Calibration'!$A$5:$H$21,3,FALSE),0))</f>
        <v/>
      </c>
      <c r="BL709">
        <f>IF($E709="","",IFERROR(VLOOKUP($C709,'_CONFIG_Risk_Calibration'!$A$5:$H$21,4,FALSE),3))</f>
        <v/>
      </c>
      <c r="BM709">
        <f>IF($E709="","",IFERROR(VLOOKUP($C709,'_CONFIG_Risk_Calibration'!$A$5:$H$21,5,FALSE),3))</f>
        <v/>
      </c>
      <c r="BN709">
        <f>IF($E709="","",IFERROR(VLOOKUP($C709,'_CONFIG_Risk_Calibration'!$A$5:$H$21,6,FALSE),"No"))</f>
        <v/>
      </c>
      <c r="BO709">
        <f>IF($E709="","",IFERROR(VLOOKUP($C709,'_CONFIG_Risk_Calibration'!$A$5:$H$21,7,FALSE),1))</f>
        <v/>
      </c>
      <c r="BP709">
        <f>IF($H709="","",MAX(1,MIN(5,((6-$H709)*0.45)+($BJ709*0.20)+('Resilience &amp; Risk Scenario'!$B$7*0.15)+($BK709*0.10)+($BL709*0.05)+(IF($BB709="Fast",5,IF($BB709="Slow",1,3))*0.05))))</f>
        <v/>
      </c>
      <c r="BQ709">
        <f>IF($H709="","",MAX(IF($BN709="Yes",$BO709,1),MIN(5,($U709*0.20)+($V709*0.15)+($W709*0.25)+($X709*0.15)+($BJ709*0.10)+($BM709*0.15))))</f>
        <v/>
      </c>
      <c r="BR709">
        <f>IF(OR($BP709="",$BQ709=""),"",ROUND($BP709*$BQ709,2))</f>
        <v/>
      </c>
      <c r="BS709">
        <f>IF($BR709="","",ROUND($BR709*IF($AO709="",1,$AO709)*IF($AX709="",1,$AX709)*(1+(($BM709-3)*0.10))*IF($BC709="",1,$BC709),2))</f>
        <v/>
      </c>
    </row>
    <row r="710" ht="69.90000000000001" customHeight="1" s="209">
      <c r="A710">
        <f>IF($BD710="","",SUMPRODUCT(ISNUMBER($BD$500:$BD$923)*($BD$500:$BD$923&gt;$BD710))+COUNTIF($BD$500:$BD710,$BD710))</f>
        <v/>
      </c>
      <c r="B710">
        <f>IF($H710="","",IF($H710&lt;5,"Yes","Maintain"))</f>
        <v/>
      </c>
      <c r="C710" t="inlineStr">
        <is>
          <t>Supply Chain</t>
        </is>
      </c>
      <c r="D710" t="inlineStr">
        <is>
          <t>Inventory and planning</t>
        </is>
      </c>
      <c r="E710" t="inlineStr">
        <is>
          <t>SUPP-016</t>
        </is>
      </c>
      <c r="F710" t="inlineStr">
        <is>
          <t>Supply chain, logistics and supplier continuity</t>
        </is>
      </c>
      <c r="G710">
        <f>IF($H710="","",IFERROR(INDEX('_ENGINE_Risk'!$H$41:$M$920,MATCH($E710,'_ENGINE_Risk'!$A$41:$A$920,0),$H710+1),""))</f>
        <v/>
      </c>
      <c r="H710">
        <f>IFERROR(VALUE(INDEX(_DATA_Assessment_Model!$H$5:$H$884,MATCH($E710,_DATA_Assessment_Model!$A$5:$A$884,0))),"")</f>
        <v/>
      </c>
      <c r="I710">
        <f>IF($H710="","",IFERROR(INDEX(_DATA_Assessment_Model!$L$5:$L$884,MATCH($E710,_DATA_Assessment_Model!$A$5:$A$884,0)),IF($H710&lt;=1,"Critical",IF($H710=2,"High",IF($H710=3,"Medium",IF($H710=4,"Low","Resilient"))))))</f>
        <v/>
      </c>
      <c r="J710">
        <f>IF($H710="","",MIN(5,MAX(1,6-$H710)))</f>
        <v/>
      </c>
      <c r="K710">
        <f>IF($H710="","",MAX(1,MIN(5,ROUNDUP(($U710*0.45)+($W710*0.35)+($X710*0.2),0))))</f>
        <v/>
      </c>
      <c r="L710">
        <f>IF($H710="","",$J710*$K710)</f>
        <v/>
      </c>
      <c r="M710">
        <f>IF($H710="","",MAX(1,MIN(5,ROUNDUP($L710/5,0))))</f>
        <v/>
      </c>
      <c r="N710">
        <f>IF($H710="","",IFERROR(INDEX('_ENGINE_Risk'!$T$41:$Y$920,MATCH($E710,'_ENGINE_Risk'!$A$41:$A$920,0),$H710+1),""))</f>
        <v/>
      </c>
      <c r="O710">
        <f>IF($H710="","",MAX(1,MIN(5,($U710+$V710+$X710)/3)))</f>
        <v/>
      </c>
      <c r="P710">
        <f>IF($H710="","",IF($I710="Critical",5,IF($I710="High",4,IF($I710="Medium",3,IF($I710="Low",2,1)))))</f>
        <v/>
      </c>
      <c r="Q710">
        <f>IF($H710="","",MAX(1,MIN(5,((5-$H710)*0.65)+($W710*0.35))))</f>
        <v/>
      </c>
      <c r="R710">
        <f>IF($H710="","",MAX(1,MIN(5,($V710+$X710)/2)))</f>
        <v/>
      </c>
      <c r="S710">
        <f>IF(OR($H710="",$N710=""),"",ROUND(($O710+$P710+$Q710+$R710)/$N710,2))</f>
        <v/>
      </c>
      <c r="T710">
        <f>IF($H710="","",IFERROR(INDEX('_ENGINE_Risk'!$N$41:$S$920,MATCH($E710,'_ENGINE_Risk'!$A$41:$A$920,0),$H710+1),""))</f>
        <v/>
      </c>
      <c r="U710">
        <f>IFERROR(INDEX(_DATA_Assessment_Model!$G$5:$G$884,MATCH($E710,_DATA_Assessment_Model!$A$5:$A$884,0)),"")</f>
        <v/>
      </c>
      <c r="V710">
        <f>IFERROR(INDEX(_DATA_Assessment_Model!$W$5:$W$884,MATCH($E710,_DATA_Assessment_Model!$A$5:$A$884,0)),"")</f>
        <v/>
      </c>
      <c r="W710">
        <f>IFERROR(INDEX(_DATA_Assessment_Model!$X$5:$X$884,MATCH($E710,_DATA_Assessment_Model!$A$5:$A$884,0)),"")</f>
        <v/>
      </c>
      <c r="X710">
        <f>IFERROR(INDEX(_DATA_Assessment_Model!$Y$5:$Y$884,MATCH($E710,_DATA_Assessment_Model!$A$5:$A$884,0)),"")</f>
        <v/>
      </c>
      <c r="Y710" t="inlineStr">
        <is>
          <t>Supplier/logistics disruption; Manufacturing disruption; Demand shock</t>
        </is>
      </c>
      <c r="Z710" t="inlineStr">
        <is>
          <t>Supply Chain / Procurement</t>
        </is>
      </c>
      <c r="AA710" t="inlineStr">
        <is>
          <t>Policy/SOP; owner/RACI; system report; dashboard; contracts; test records; incident history; interview evidence related to critical materials and spare parts buffers sized using risk, demand variability and supplier lead time.</t>
        </is>
      </c>
      <c r="AB710">
        <f>IFERROR(INDEX(_DATA_Assessment_Model!$U$5:$U$884,MATCH($E710,_DATA_Assessment_Model!$A$5:$A$884,0)),"")</f>
        <v/>
      </c>
      <c r="AF710" t="inlineStr">
        <is>
          <t>How mature is the organization in managing critical materials and spare parts buffers sized using risk, demand variability and supplier lead time, including ownership, evidence, metrics, fallback procedures and crisis stress testing?</t>
        </is>
      </c>
      <c r="AO710">
        <f>IF($B710="Yes",IFERROR(INDEX(_ENGINE_Crisis!$F$501:$F$517,MATCH($C710,_ENGINE_Crisis!$A$501:$A$517,0)),1),"")</f>
        <v/>
      </c>
      <c r="AP710">
        <f>IF(AO710="","",ROUND($L710*AO710,1))</f>
        <v/>
      </c>
      <c r="AQ710">
        <f>IF(OR(AO710="",$S710=""),"",ROUND($S710*(0.7+0.3*AO710),2))</f>
        <v/>
      </c>
      <c r="AR710">
        <f>IFERROR(INDEX(_ENGINE_Crisis!$E$41:$E$700,MATCH('Resilience &amp; Risk Scenario'!$B$60&amp;"|"&amp;$C710,_ENGINE_Crisis!$I$41:$I$700,0)),"")</f>
        <v/>
      </c>
      <c r="AS710">
        <f>IFERROR(INDEX(_ENGINE_Crisis!$G$41:$G$700,MATCH('Resilience &amp; Risk Scenario'!$B$60&amp;"|"&amp;$C710,_ENGINE_Crisis!$I$41:$I$700,0)),"")</f>
        <v/>
      </c>
      <c r="AT710">
        <f>IFERROR(INDEX(_ENGINE_Initiatives!$A$5:$A$532,MATCH(1,INDEX((_ENGINE_Initiatives!$B$5:$B$532=$C710)*(_ENGINE_Initiatives!$C$5:$C$532=$D710),0),0)),"")</f>
        <v/>
      </c>
      <c r="AU710">
        <f>IFERROR(INDEX(_ENGINE_Initiatives!$F$5:$F$532,MATCH(1,INDEX((_ENGINE_Initiatives!$B$5:$B$532=$C710)*(_ENGINE_Initiatives!$C$5:$C$532=$D710),0),0)),"")</f>
        <v/>
      </c>
      <c r="AV710">
        <f>IFERROR(INDEX(_ENGINE_Initiatives!$AC$5:$AC$532,MATCH(1,INDEX((_ENGINE_Initiatives!$B$5:$B$532=$C710)*(_ENGINE_Initiatives!$C$5:$C$532=$D710),0),0)),"")</f>
        <v/>
      </c>
      <c r="AW710">
        <f>IFERROR(INDEX(_ENGINE_Initiatives!$AE$5:$AE$532,MATCH(1,INDEX((_ENGINE_Initiatives!$B$5:$B$532=$C710)*(_ENGINE_Initiatives!$C$5:$C$532=$D710),0),0)),"")</f>
        <v/>
      </c>
      <c r="AX710">
        <f>IF($B710="Yes",IFERROR(IF(SUMIFS(_REF_Model_Content!$E$1:$E$613,_REF_Model_Content!$A$1:$A$613,'Company Profile'!$B$9,_REF_Model_Content!$B$1:$B$613,$C710)=0,1,SUMIFS(_REF_Model_Content!$E$1:$E$613,_REF_Model_Content!$A$1:$A$613,'Company Profile'!$B$9,_REF_Model_Content!$B$1:$B$613,$C710)),1),"")</f>
        <v/>
      </c>
      <c r="AY710">
        <f>IF($L710="","",ROUND(IF($AP710="",$L710,$AP710)*IF($AX710="",1,$AX710),2))</f>
        <v/>
      </c>
      <c r="AZ710">
        <f>IF($S710="","",ROUND(IF($AQ710="",$S710,$AQ710)*IF($AX710="",1,$AX710),2))</f>
        <v/>
      </c>
      <c r="BB710">
        <f>IF($H710="","",IFERROR(INDEX('_ENGINE_Risk'!$AE$41:$AE$920,MATCH($E710,'_ENGINE_Risk'!$A$41:$A$920,0)),"Medium"))</f>
        <v/>
      </c>
      <c r="BC710">
        <f>IF($BB710="","",IF($BB710="Fast",1.25,IF($BB710="Slow",0.85,1)))</f>
        <v/>
      </c>
      <c r="BD710">
        <f>IF(OR($AZ710="",$BC710=""),"",ROUND($AZ710*$BC710,2))</f>
        <v/>
      </c>
      <c r="BF710">
        <f>IF(OR($H710="",$J710=""),"",_xlfn.IFNA(VLOOKUP($J710,_CONFIG_Model_Settings!$D$610:$E$614,2,0),""))</f>
        <v/>
      </c>
      <c r="BG710">
        <f>IF(OR($H710="",$K710=""),"",ROUND('Company Profile'!$B$569*INDEX(_CONFIG_Model_Settings!$H$610:$H$614,MATCH($K710,_CONFIG_Model_Settings!$G$610:$G$614,0)),0))</f>
        <v/>
      </c>
      <c r="BH710">
        <f>IF(OR($BF710="",$BG710=""),"",ROUND($BF710*$BG710,1))</f>
        <v/>
      </c>
      <c r="BI710">
        <f>IF($BH710="","",IF($AO710="",$BH710,ROUND($BH710*$AO710,1)))</f>
        <v/>
      </c>
      <c r="BJ710">
        <f>IF($E710="","",IFERROR(VLOOKUP($C710,'_CONFIG_Risk_Calibration'!$A$5:$H$21,2,FALSE),3))</f>
        <v/>
      </c>
      <c r="BK710">
        <f>IF($E710="","",IFERROR(VLOOKUP($C710,'_CONFIG_Risk_Calibration'!$A$5:$H$21,3,FALSE),0))</f>
        <v/>
      </c>
      <c r="BL710">
        <f>IF($E710="","",IFERROR(VLOOKUP($C710,'_CONFIG_Risk_Calibration'!$A$5:$H$21,4,FALSE),3))</f>
        <v/>
      </c>
      <c r="BM710">
        <f>IF($E710="","",IFERROR(VLOOKUP($C710,'_CONFIG_Risk_Calibration'!$A$5:$H$21,5,FALSE),3))</f>
        <v/>
      </c>
      <c r="BN710">
        <f>IF($E710="","",IFERROR(VLOOKUP($C710,'_CONFIG_Risk_Calibration'!$A$5:$H$21,6,FALSE),"No"))</f>
        <v/>
      </c>
      <c r="BO710">
        <f>IF($E710="","",IFERROR(VLOOKUP($C710,'_CONFIG_Risk_Calibration'!$A$5:$H$21,7,FALSE),1))</f>
        <v/>
      </c>
      <c r="BP710">
        <f>IF($H710="","",MAX(1,MIN(5,((6-$H710)*0.45)+($BJ710*0.20)+('Resilience &amp; Risk Scenario'!$B$7*0.15)+($BK710*0.10)+($BL710*0.05)+(IF($BB710="Fast",5,IF($BB710="Slow",1,3))*0.05))))</f>
        <v/>
      </c>
      <c r="BQ710">
        <f>IF($H710="","",MAX(IF($BN710="Yes",$BO710,1),MIN(5,($U710*0.20)+($V710*0.15)+($W710*0.25)+($X710*0.15)+($BJ710*0.10)+($BM710*0.15))))</f>
        <v/>
      </c>
      <c r="BR710">
        <f>IF(OR($BP710="",$BQ710=""),"",ROUND($BP710*$BQ710,2))</f>
        <v/>
      </c>
      <c r="BS710">
        <f>IF($BR710="","",ROUND($BR710*IF($AO710="",1,$AO710)*IF($AX710="",1,$AX710)*(1+(($BM710-3)*0.10))*IF($BC710="",1,$BC710),2))</f>
        <v/>
      </c>
    </row>
    <row r="711" ht="69.90000000000001" customHeight="1" s="209">
      <c r="A711">
        <f>IF($BD711="","",SUMPRODUCT(ISNUMBER($BD$500:$BD$923)*($BD$500:$BD$923&gt;$BD711))+COUNTIF($BD$500:$BD711,$BD711))</f>
        <v/>
      </c>
      <c r="B711">
        <f>IF($H711="","",IF($H711&lt;5,"Yes","Maintain"))</f>
        <v/>
      </c>
      <c r="C711" t="inlineStr">
        <is>
          <t>Supply Chain</t>
        </is>
      </c>
      <c r="D711" t="inlineStr">
        <is>
          <t>Inventory and planning</t>
        </is>
      </c>
      <c r="E711" t="inlineStr">
        <is>
          <t>SUPP-017</t>
        </is>
      </c>
      <c r="F711" t="inlineStr">
        <is>
          <t>Supply chain, logistics and supplier continuity</t>
        </is>
      </c>
      <c r="G711">
        <f>IF($H711="","",IFERROR(INDEX('_ENGINE_Risk'!$H$41:$M$920,MATCH($E711,'_ENGINE_Risk'!$A$41:$A$920,0),$H711+1),""))</f>
        <v/>
      </c>
      <c r="H711">
        <f>IFERROR(VALUE(INDEX(_DATA_Assessment_Model!$H$5:$H$884,MATCH($E711,_DATA_Assessment_Model!$A$5:$A$884,0))),"")</f>
        <v/>
      </c>
      <c r="I711">
        <f>IF($H711="","",IFERROR(INDEX(_DATA_Assessment_Model!$L$5:$L$884,MATCH($E711,_DATA_Assessment_Model!$A$5:$A$884,0)),IF($H711&lt;=1,"Critical",IF($H711=2,"High",IF($H711=3,"Medium",IF($H711=4,"Low","Resilient"))))))</f>
        <v/>
      </c>
      <c r="J711">
        <f>IF($H711="","",MIN(5,MAX(1,6-$H711)))</f>
        <v/>
      </c>
      <c r="K711">
        <f>IF($H711="","",MAX(1,MIN(5,ROUNDUP(($U711*0.45)+($W711*0.35)+($X711*0.2),0))))</f>
        <v/>
      </c>
      <c r="L711">
        <f>IF($H711="","",$J711*$K711)</f>
        <v/>
      </c>
      <c r="M711">
        <f>IF($H711="","",MAX(1,MIN(5,ROUNDUP($L711/5,0))))</f>
        <v/>
      </c>
      <c r="N711">
        <f>IF($H711="","",IFERROR(INDEX('_ENGINE_Risk'!$T$41:$Y$920,MATCH($E711,'_ENGINE_Risk'!$A$41:$A$920,0),$H711+1),""))</f>
        <v/>
      </c>
      <c r="O711">
        <f>IF($H711="","",MAX(1,MIN(5,($U711+$V711+$X711)/3)))</f>
        <v/>
      </c>
      <c r="P711">
        <f>IF($H711="","",IF($I711="Critical",5,IF($I711="High",4,IF($I711="Medium",3,IF($I711="Low",2,1)))))</f>
        <v/>
      </c>
      <c r="Q711">
        <f>IF($H711="","",MAX(1,MIN(5,((5-$H711)*0.65)+($W711*0.35))))</f>
        <v/>
      </c>
      <c r="R711">
        <f>IF($H711="","",MAX(1,MIN(5,($V711+$X711)/2)))</f>
        <v/>
      </c>
      <c r="S711">
        <f>IF(OR($H711="",$N711=""),"",ROUND(($O711+$P711+$Q711+$R711)/$N711,2))</f>
        <v/>
      </c>
      <c r="T711">
        <f>IF($H711="","",IFERROR(INDEX('_ENGINE_Risk'!$N$41:$S$920,MATCH($E711,'_ENGINE_Risk'!$A$41:$A$920,0),$H711+1),""))</f>
        <v/>
      </c>
      <c r="U711">
        <f>IFERROR(INDEX(_DATA_Assessment_Model!$G$5:$G$884,MATCH($E711,_DATA_Assessment_Model!$A$5:$A$884,0)),"")</f>
        <v/>
      </c>
      <c r="V711">
        <f>IFERROR(INDEX(_DATA_Assessment_Model!$W$5:$W$884,MATCH($E711,_DATA_Assessment_Model!$A$5:$A$884,0)),"")</f>
        <v/>
      </c>
      <c r="W711">
        <f>IFERROR(INDEX(_DATA_Assessment_Model!$X$5:$X$884,MATCH($E711,_DATA_Assessment_Model!$A$5:$A$884,0)),"")</f>
        <v/>
      </c>
      <c r="X711">
        <f>IFERROR(INDEX(_DATA_Assessment_Model!$Y$5:$Y$884,MATCH($E711,_DATA_Assessment_Model!$A$5:$A$884,0)),"")</f>
        <v/>
      </c>
      <c r="Y711" t="inlineStr">
        <is>
          <t>Supplier/logistics disruption; Manufacturing disruption; Demand shock</t>
        </is>
      </c>
      <c r="Z711" t="inlineStr">
        <is>
          <t>Supply Chain / Procurement</t>
        </is>
      </c>
      <c r="AA711" t="inlineStr">
        <is>
          <t>Policy/SOP; owner/RACI; system report; dashboard; contracts; test records; incident history; interview evidence related to demand forecast integrated with sales pipeline, history, seasonality and crisis scenarios.</t>
        </is>
      </c>
      <c r="AB711">
        <f>IFERROR(INDEX(_DATA_Assessment_Model!$U$5:$U$884,MATCH($E711,_DATA_Assessment_Model!$A$5:$A$884,0)),"")</f>
        <v/>
      </c>
      <c r="AF711" t="inlineStr">
        <is>
          <t>How mature is the organization in managing demand forecast integrated with sales pipeline, history, seasonality and crisis scenarios, including ownership, evidence, metrics, fallback procedures and crisis stress testing?</t>
        </is>
      </c>
      <c r="AO711">
        <f>IF($B711="Yes",IFERROR(INDEX(_ENGINE_Crisis!$F$501:$F$517,MATCH($C711,_ENGINE_Crisis!$A$501:$A$517,0)),1),"")</f>
        <v/>
      </c>
      <c r="AP711">
        <f>IF(AO711="","",ROUND($L711*AO711,1))</f>
        <v/>
      </c>
      <c r="AQ711">
        <f>IF(OR(AO711="",$S711=""),"",ROUND($S711*(0.7+0.3*AO711),2))</f>
        <v/>
      </c>
      <c r="AR711">
        <f>IFERROR(INDEX(_ENGINE_Crisis!$E$41:$E$700,MATCH('Resilience &amp; Risk Scenario'!$B$60&amp;"|"&amp;$C711,_ENGINE_Crisis!$I$41:$I$700,0)),"")</f>
        <v/>
      </c>
      <c r="AS711">
        <f>IFERROR(INDEX(_ENGINE_Crisis!$G$41:$G$700,MATCH('Resilience &amp; Risk Scenario'!$B$60&amp;"|"&amp;$C711,_ENGINE_Crisis!$I$41:$I$700,0)),"")</f>
        <v/>
      </c>
      <c r="AT711">
        <f>IFERROR(INDEX(_ENGINE_Initiatives!$A$5:$A$532,MATCH(1,INDEX((_ENGINE_Initiatives!$B$5:$B$532=$C711)*(_ENGINE_Initiatives!$C$5:$C$532=$D711),0),0)),"")</f>
        <v/>
      </c>
      <c r="AU711">
        <f>IFERROR(INDEX(_ENGINE_Initiatives!$F$5:$F$532,MATCH(1,INDEX((_ENGINE_Initiatives!$B$5:$B$532=$C711)*(_ENGINE_Initiatives!$C$5:$C$532=$D711),0),0)),"")</f>
        <v/>
      </c>
      <c r="AV711">
        <f>IFERROR(INDEX(_ENGINE_Initiatives!$AC$5:$AC$532,MATCH(1,INDEX((_ENGINE_Initiatives!$B$5:$B$532=$C711)*(_ENGINE_Initiatives!$C$5:$C$532=$D711),0),0)),"")</f>
        <v/>
      </c>
      <c r="AW711">
        <f>IFERROR(INDEX(_ENGINE_Initiatives!$AE$5:$AE$532,MATCH(1,INDEX((_ENGINE_Initiatives!$B$5:$B$532=$C711)*(_ENGINE_Initiatives!$C$5:$C$532=$D711),0),0)),"")</f>
        <v/>
      </c>
      <c r="AX711">
        <f>IF($B711="Yes",IFERROR(IF(SUMIFS(_REF_Model_Content!$E$1:$E$613,_REF_Model_Content!$A$1:$A$613,'Company Profile'!$B$9,_REF_Model_Content!$B$1:$B$613,$C711)=0,1,SUMIFS(_REF_Model_Content!$E$1:$E$613,_REF_Model_Content!$A$1:$A$613,'Company Profile'!$B$9,_REF_Model_Content!$B$1:$B$613,$C711)),1),"")</f>
        <v/>
      </c>
      <c r="AY711">
        <f>IF($L711="","",ROUND(IF($AP711="",$L711,$AP711)*IF($AX711="",1,$AX711),2))</f>
        <v/>
      </c>
      <c r="AZ711">
        <f>IF($S711="","",ROUND(IF($AQ711="",$S711,$AQ711)*IF($AX711="",1,$AX711),2))</f>
        <v/>
      </c>
      <c r="BB711">
        <f>IF($H711="","",IFERROR(INDEX('_ENGINE_Risk'!$AE$41:$AE$920,MATCH($E711,'_ENGINE_Risk'!$A$41:$A$920,0)),"Medium"))</f>
        <v/>
      </c>
      <c r="BC711">
        <f>IF($BB711="","",IF($BB711="Fast",1.25,IF($BB711="Slow",0.85,1)))</f>
        <v/>
      </c>
      <c r="BD711">
        <f>IF(OR($AZ711="",$BC711=""),"",ROUND($AZ711*$BC711,2))</f>
        <v/>
      </c>
      <c r="BF711">
        <f>IF(OR($H711="",$J711=""),"",_xlfn.IFNA(VLOOKUP($J711,_CONFIG_Model_Settings!$D$610:$E$614,2,0),""))</f>
        <v/>
      </c>
      <c r="BG711">
        <f>IF(OR($H711="",$K711=""),"",ROUND('Company Profile'!$B$569*INDEX(_CONFIG_Model_Settings!$H$610:$H$614,MATCH($K711,_CONFIG_Model_Settings!$G$610:$G$614,0)),0))</f>
        <v/>
      </c>
      <c r="BH711">
        <f>IF(OR($BF711="",$BG711=""),"",ROUND($BF711*$BG711,1))</f>
        <v/>
      </c>
      <c r="BI711">
        <f>IF($BH711="","",IF($AO711="",$BH711,ROUND($BH711*$AO711,1)))</f>
        <v/>
      </c>
      <c r="BJ711">
        <f>IF($E711="","",IFERROR(VLOOKUP($C711,'_CONFIG_Risk_Calibration'!$A$5:$H$21,2,FALSE),3))</f>
        <v/>
      </c>
      <c r="BK711">
        <f>IF($E711="","",IFERROR(VLOOKUP($C711,'_CONFIG_Risk_Calibration'!$A$5:$H$21,3,FALSE),0))</f>
        <v/>
      </c>
      <c r="BL711">
        <f>IF($E711="","",IFERROR(VLOOKUP($C711,'_CONFIG_Risk_Calibration'!$A$5:$H$21,4,FALSE),3))</f>
        <v/>
      </c>
      <c r="BM711">
        <f>IF($E711="","",IFERROR(VLOOKUP($C711,'_CONFIG_Risk_Calibration'!$A$5:$H$21,5,FALSE),3))</f>
        <v/>
      </c>
      <c r="BN711">
        <f>IF($E711="","",IFERROR(VLOOKUP($C711,'_CONFIG_Risk_Calibration'!$A$5:$H$21,6,FALSE),"No"))</f>
        <v/>
      </c>
      <c r="BO711">
        <f>IF($E711="","",IFERROR(VLOOKUP($C711,'_CONFIG_Risk_Calibration'!$A$5:$H$21,7,FALSE),1))</f>
        <v/>
      </c>
      <c r="BP711">
        <f>IF($H711="","",MAX(1,MIN(5,((6-$H711)*0.45)+($BJ711*0.20)+('Resilience &amp; Risk Scenario'!$B$7*0.15)+($BK711*0.10)+($BL711*0.05)+(IF($BB711="Fast",5,IF($BB711="Slow",1,3))*0.05))))</f>
        <v/>
      </c>
      <c r="BQ711">
        <f>IF($H711="","",MAX(IF($BN711="Yes",$BO711,1),MIN(5,($U711*0.20)+($V711*0.15)+($W711*0.25)+($X711*0.15)+($BJ711*0.10)+($BM711*0.15))))</f>
        <v/>
      </c>
      <c r="BR711">
        <f>IF(OR($BP711="",$BQ711=""),"",ROUND($BP711*$BQ711,2))</f>
        <v/>
      </c>
      <c r="BS711">
        <f>IF($BR711="","",ROUND($BR711*IF($AO711="",1,$AO711)*IF($AX711="",1,$AX711)*(1+(($BM711-3)*0.10))*IF($BC711="",1,$BC711),2))</f>
        <v/>
      </c>
    </row>
    <row r="712" ht="69.90000000000001" customHeight="1" s="209">
      <c r="A712">
        <f>IF($BD712="","",SUMPRODUCT(ISNUMBER($BD$500:$BD$923)*($BD$500:$BD$923&gt;$BD712))+COUNTIF($BD$500:$BD712,$BD712))</f>
        <v/>
      </c>
      <c r="B712">
        <f>IF($H712="","",IF($H712&lt;5,"Yes","Maintain"))</f>
        <v/>
      </c>
      <c r="C712" t="inlineStr">
        <is>
          <t>Supply Chain</t>
        </is>
      </c>
      <c r="D712" t="inlineStr">
        <is>
          <t>Inventory and planning</t>
        </is>
      </c>
      <c r="E712" t="inlineStr">
        <is>
          <t>SUPP-018</t>
        </is>
      </c>
      <c r="F712" t="inlineStr">
        <is>
          <t>Supply chain, logistics and supplier continuity</t>
        </is>
      </c>
      <c r="G712">
        <f>IF($H712="","",IFERROR(INDEX('_ENGINE_Risk'!$H$41:$M$920,MATCH($E712,'_ENGINE_Risk'!$A$41:$A$920,0),$H712+1),""))</f>
        <v/>
      </c>
      <c r="H712">
        <f>IFERROR(VALUE(INDEX(_DATA_Assessment_Model!$H$5:$H$884,MATCH($E712,_DATA_Assessment_Model!$A$5:$A$884,0))),"")</f>
        <v/>
      </c>
      <c r="I712">
        <f>IF($H712="","",IFERROR(INDEX(_DATA_Assessment_Model!$L$5:$L$884,MATCH($E712,_DATA_Assessment_Model!$A$5:$A$884,0)),IF($H712&lt;=1,"Critical",IF($H712=2,"High",IF($H712=3,"Medium",IF($H712=4,"Low","Resilient"))))))</f>
        <v/>
      </c>
      <c r="J712">
        <f>IF($H712="","",MIN(5,MAX(1,6-$H712)))</f>
        <v/>
      </c>
      <c r="K712">
        <f>IF($H712="","",MAX(1,MIN(5,ROUNDUP(($U712*0.45)+($W712*0.35)+($X712*0.2),0))))</f>
        <v/>
      </c>
      <c r="L712">
        <f>IF($H712="","",$J712*$K712)</f>
        <v/>
      </c>
      <c r="M712">
        <f>IF($H712="","",MAX(1,MIN(5,ROUNDUP($L712/5,0))))</f>
        <v/>
      </c>
      <c r="N712">
        <f>IF($H712="","",IFERROR(INDEX('_ENGINE_Risk'!$T$41:$Y$920,MATCH($E712,'_ENGINE_Risk'!$A$41:$A$920,0),$H712+1),""))</f>
        <v/>
      </c>
      <c r="O712">
        <f>IF($H712="","",MAX(1,MIN(5,($U712+$V712+$X712)/3)))</f>
        <v/>
      </c>
      <c r="P712">
        <f>IF($H712="","",IF($I712="Critical",5,IF($I712="High",4,IF($I712="Medium",3,IF($I712="Low",2,1)))))</f>
        <v/>
      </c>
      <c r="Q712">
        <f>IF($H712="","",MAX(1,MIN(5,((5-$H712)*0.65)+($W712*0.35))))</f>
        <v/>
      </c>
      <c r="R712">
        <f>IF($H712="","",MAX(1,MIN(5,($V712+$X712)/2)))</f>
        <v/>
      </c>
      <c r="S712">
        <f>IF(OR($H712="",$N712=""),"",ROUND(($O712+$P712+$Q712+$R712)/$N712,2))</f>
        <v/>
      </c>
      <c r="T712">
        <f>IF($H712="","",IFERROR(INDEX('_ENGINE_Risk'!$N$41:$S$920,MATCH($E712,'_ENGINE_Risk'!$A$41:$A$920,0),$H712+1),""))</f>
        <v/>
      </c>
      <c r="U712">
        <f>IFERROR(INDEX(_DATA_Assessment_Model!$G$5:$G$884,MATCH($E712,_DATA_Assessment_Model!$A$5:$A$884,0)),"")</f>
        <v/>
      </c>
      <c r="V712">
        <f>IFERROR(INDEX(_DATA_Assessment_Model!$W$5:$W$884,MATCH($E712,_DATA_Assessment_Model!$A$5:$A$884,0)),"")</f>
        <v/>
      </c>
      <c r="W712">
        <f>IFERROR(INDEX(_DATA_Assessment_Model!$X$5:$X$884,MATCH($E712,_DATA_Assessment_Model!$A$5:$A$884,0)),"")</f>
        <v/>
      </c>
      <c r="X712">
        <f>IFERROR(INDEX(_DATA_Assessment_Model!$Y$5:$Y$884,MATCH($E712,_DATA_Assessment_Model!$A$5:$A$884,0)),"")</f>
        <v/>
      </c>
      <c r="Y712" t="inlineStr">
        <is>
          <t>Supplier/logistics disruption; Manufacturing disruption; Demand shock</t>
        </is>
      </c>
      <c r="Z712" t="inlineStr">
        <is>
          <t>Supply Chain / Procurement</t>
        </is>
      </c>
      <c r="AA712" t="inlineStr">
        <is>
          <t>Policy/SOP; owner/RACI; system report; dashboard; contracts; test records; incident history; interview evidence related to S&amp;OP or IBP process connecting sales, finance, production, procurement and logistics.</t>
        </is>
      </c>
      <c r="AB712">
        <f>IFERROR(INDEX(_DATA_Assessment_Model!$U$5:$U$884,MATCH($E712,_DATA_Assessment_Model!$A$5:$A$884,0)),"")</f>
        <v/>
      </c>
      <c r="AF712" t="inlineStr">
        <is>
          <t>How mature is the organization in managing S&amp;OP or IBP process connecting sales, finance, production, procurement and logistics, including ownership, evidence, metrics, fallback procedures and crisis stress testing?</t>
        </is>
      </c>
      <c r="AO712">
        <f>IF($B712="Yes",IFERROR(INDEX(_ENGINE_Crisis!$F$501:$F$517,MATCH($C712,_ENGINE_Crisis!$A$501:$A$517,0)),1),"")</f>
        <v/>
      </c>
      <c r="AP712">
        <f>IF(AO712="","",ROUND($L712*AO712,1))</f>
        <v/>
      </c>
      <c r="AQ712">
        <f>IF(OR(AO712="",$S712=""),"",ROUND($S712*(0.7+0.3*AO712),2))</f>
        <v/>
      </c>
      <c r="AR712">
        <f>IFERROR(INDEX(_ENGINE_Crisis!$E$41:$E$700,MATCH('Resilience &amp; Risk Scenario'!$B$60&amp;"|"&amp;$C712,_ENGINE_Crisis!$I$41:$I$700,0)),"")</f>
        <v/>
      </c>
      <c r="AS712">
        <f>IFERROR(INDEX(_ENGINE_Crisis!$G$41:$G$700,MATCH('Resilience &amp; Risk Scenario'!$B$60&amp;"|"&amp;$C712,_ENGINE_Crisis!$I$41:$I$700,0)),"")</f>
        <v/>
      </c>
      <c r="AT712">
        <f>IFERROR(INDEX(_ENGINE_Initiatives!$A$5:$A$532,MATCH(1,INDEX((_ENGINE_Initiatives!$B$5:$B$532=$C712)*(_ENGINE_Initiatives!$C$5:$C$532=$D712),0),0)),"")</f>
        <v/>
      </c>
      <c r="AU712">
        <f>IFERROR(INDEX(_ENGINE_Initiatives!$F$5:$F$532,MATCH(1,INDEX((_ENGINE_Initiatives!$B$5:$B$532=$C712)*(_ENGINE_Initiatives!$C$5:$C$532=$D712),0),0)),"")</f>
        <v/>
      </c>
      <c r="AV712">
        <f>IFERROR(INDEX(_ENGINE_Initiatives!$AC$5:$AC$532,MATCH(1,INDEX((_ENGINE_Initiatives!$B$5:$B$532=$C712)*(_ENGINE_Initiatives!$C$5:$C$532=$D712),0),0)),"")</f>
        <v/>
      </c>
      <c r="AW712">
        <f>IFERROR(INDEX(_ENGINE_Initiatives!$AE$5:$AE$532,MATCH(1,INDEX((_ENGINE_Initiatives!$B$5:$B$532=$C712)*(_ENGINE_Initiatives!$C$5:$C$532=$D712),0),0)),"")</f>
        <v/>
      </c>
      <c r="AX712">
        <f>IF($B712="Yes",IFERROR(IF(SUMIFS(_REF_Model_Content!$E$1:$E$613,_REF_Model_Content!$A$1:$A$613,'Company Profile'!$B$9,_REF_Model_Content!$B$1:$B$613,$C712)=0,1,SUMIFS(_REF_Model_Content!$E$1:$E$613,_REF_Model_Content!$A$1:$A$613,'Company Profile'!$B$9,_REF_Model_Content!$B$1:$B$613,$C712)),1),"")</f>
        <v/>
      </c>
      <c r="AY712">
        <f>IF($L712="","",ROUND(IF($AP712="",$L712,$AP712)*IF($AX712="",1,$AX712),2))</f>
        <v/>
      </c>
      <c r="AZ712">
        <f>IF($S712="","",ROUND(IF($AQ712="",$S712,$AQ712)*IF($AX712="",1,$AX712),2))</f>
        <v/>
      </c>
      <c r="BB712">
        <f>IF($H712="","",IFERROR(INDEX('_ENGINE_Risk'!$AE$41:$AE$920,MATCH($E712,'_ENGINE_Risk'!$A$41:$A$920,0)),"Medium"))</f>
        <v/>
      </c>
      <c r="BC712">
        <f>IF($BB712="","",IF($BB712="Fast",1.25,IF($BB712="Slow",0.85,1)))</f>
        <v/>
      </c>
      <c r="BD712">
        <f>IF(OR($AZ712="",$BC712=""),"",ROUND($AZ712*$BC712,2))</f>
        <v/>
      </c>
      <c r="BF712">
        <f>IF(OR($H712="",$J712=""),"",_xlfn.IFNA(VLOOKUP($J712,_CONFIG_Model_Settings!$D$610:$E$614,2,0),""))</f>
        <v/>
      </c>
      <c r="BG712">
        <f>IF(OR($H712="",$K712=""),"",ROUND('Company Profile'!$B$569*INDEX(_CONFIG_Model_Settings!$H$610:$H$614,MATCH($K712,_CONFIG_Model_Settings!$G$610:$G$614,0)),0))</f>
        <v/>
      </c>
      <c r="BH712">
        <f>IF(OR($BF712="",$BG712=""),"",ROUND($BF712*$BG712,1))</f>
        <v/>
      </c>
      <c r="BI712">
        <f>IF($BH712="","",IF($AO712="",$BH712,ROUND($BH712*$AO712,1)))</f>
        <v/>
      </c>
      <c r="BJ712">
        <f>IF($E712="","",IFERROR(VLOOKUP($C712,'_CONFIG_Risk_Calibration'!$A$5:$H$21,2,FALSE),3))</f>
        <v/>
      </c>
      <c r="BK712">
        <f>IF($E712="","",IFERROR(VLOOKUP($C712,'_CONFIG_Risk_Calibration'!$A$5:$H$21,3,FALSE),0))</f>
        <v/>
      </c>
      <c r="BL712">
        <f>IF($E712="","",IFERROR(VLOOKUP($C712,'_CONFIG_Risk_Calibration'!$A$5:$H$21,4,FALSE),3))</f>
        <v/>
      </c>
      <c r="BM712">
        <f>IF($E712="","",IFERROR(VLOOKUP($C712,'_CONFIG_Risk_Calibration'!$A$5:$H$21,5,FALSE),3))</f>
        <v/>
      </c>
      <c r="BN712">
        <f>IF($E712="","",IFERROR(VLOOKUP($C712,'_CONFIG_Risk_Calibration'!$A$5:$H$21,6,FALSE),"No"))</f>
        <v/>
      </c>
      <c r="BO712">
        <f>IF($E712="","",IFERROR(VLOOKUP($C712,'_CONFIG_Risk_Calibration'!$A$5:$H$21,7,FALSE),1))</f>
        <v/>
      </c>
      <c r="BP712">
        <f>IF($H712="","",MAX(1,MIN(5,((6-$H712)*0.45)+($BJ712*0.20)+('Resilience &amp; Risk Scenario'!$B$7*0.15)+($BK712*0.10)+($BL712*0.05)+(IF($BB712="Fast",5,IF($BB712="Slow",1,3))*0.05))))</f>
        <v/>
      </c>
      <c r="BQ712">
        <f>IF($H712="","",MAX(IF($BN712="Yes",$BO712,1),MIN(5,($U712*0.20)+($V712*0.15)+($W712*0.25)+($X712*0.15)+($BJ712*0.10)+($BM712*0.15))))</f>
        <v/>
      </c>
      <c r="BR712">
        <f>IF(OR($BP712="",$BQ712=""),"",ROUND($BP712*$BQ712,2))</f>
        <v/>
      </c>
      <c r="BS712">
        <f>IF($BR712="","",ROUND($BR712*IF($AO712="",1,$AO712)*IF($AX712="",1,$AX712)*(1+(($BM712-3)*0.10))*IF($BC712="",1,$BC712),2))</f>
        <v/>
      </c>
    </row>
    <row r="713" ht="69.90000000000001" customHeight="1" s="209">
      <c r="A713">
        <f>IF($BD713="","",SUMPRODUCT(ISNUMBER($BD$500:$BD$923)*($BD$500:$BD$923&gt;$BD713))+COUNTIF($BD$500:$BD713,$BD713))</f>
        <v/>
      </c>
      <c r="B713">
        <f>IF($H713="","",IF($H713&lt;5,"Yes","Maintain"))</f>
        <v/>
      </c>
      <c r="C713" t="inlineStr">
        <is>
          <t>Supply Chain</t>
        </is>
      </c>
      <c r="D713" t="inlineStr">
        <is>
          <t>Inventory and planning</t>
        </is>
      </c>
      <c r="E713" t="inlineStr">
        <is>
          <t>SUPP-019</t>
        </is>
      </c>
      <c r="F713" t="inlineStr">
        <is>
          <t>Supply chain, logistics and supplier continuity</t>
        </is>
      </c>
      <c r="G713">
        <f>IF($H713="","",IFERROR(INDEX('_ENGINE_Risk'!$H$41:$M$920,MATCH($E713,'_ENGINE_Risk'!$A$41:$A$920,0),$H713+1),""))</f>
        <v/>
      </c>
      <c r="H713">
        <f>IFERROR(VALUE(INDEX(_DATA_Assessment_Model!$H$5:$H$884,MATCH($E713,_DATA_Assessment_Model!$A$5:$A$884,0))),"")</f>
        <v/>
      </c>
      <c r="I713">
        <f>IF($H713="","",IFERROR(INDEX(_DATA_Assessment_Model!$L$5:$L$884,MATCH($E713,_DATA_Assessment_Model!$A$5:$A$884,0)),IF($H713&lt;=1,"Critical",IF($H713=2,"High",IF($H713=3,"Medium",IF($H713=4,"Low","Resilient"))))))</f>
        <v/>
      </c>
      <c r="J713">
        <f>IF($H713="","",MIN(5,MAX(1,6-$H713)))</f>
        <v/>
      </c>
      <c r="K713">
        <f>IF($H713="","",MAX(1,MIN(5,ROUNDUP(($U713*0.45)+($W713*0.35)+($X713*0.2),0))))</f>
        <v/>
      </c>
      <c r="L713">
        <f>IF($H713="","",$J713*$K713)</f>
        <v/>
      </c>
      <c r="M713">
        <f>IF($H713="","",MAX(1,MIN(5,ROUNDUP($L713/5,0))))</f>
        <v/>
      </c>
      <c r="N713">
        <f>IF($H713="","",IFERROR(INDEX('_ENGINE_Risk'!$T$41:$Y$920,MATCH($E713,'_ENGINE_Risk'!$A$41:$A$920,0),$H713+1),""))</f>
        <v/>
      </c>
      <c r="O713">
        <f>IF($H713="","",MAX(1,MIN(5,($U713+$V713+$X713)/3)))</f>
        <v/>
      </c>
      <c r="P713">
        <f>IF($H713="","",IF($I713="Critical",5,IF($I713="High",4,IF($I713="Medium",3,IF($I713="Low",2,1)))))</f>
        <v/>
      </c>
      <c r="Q713">
        <f>IF($H713="","",MAX(1,MIN(5,((5-$H713)*0.65)+($W713*0.35))))</f>
        <v/>
      </c>
      <c r="R713">
        <f>IF($H713="","",MAX(1,MIN(5,($V713+$X713)/2)))</f>
        <v/>
      </c>
      <c r="S713">
        <f>IF(OR($H713="",$N713=""),"",ROUND(($O713+$P713+$Q713+$R713)/$N713,2))</f>
        <v/>
      </c>
      <c r="T713">
        <f>IF($H713="","",IFERROR(INDEX('_ENGINE_Risk'!$N$41:$S$920,MATCH($E713,'_ENGINE_Risk'!$A$41:$A$920,0),$H713+1),""))</f>
        <v/>
      </c>
      <c r="U713">
        <f>IFERROR(INDEX(_DATA_Assessment_Model!$G$5:$G$884,MATCH($E713,_DATA_Assessment_Model!$A$5:$A$884,0)),"")</f>
        <v/>
      </c>
      <c r="V713">
        <f>IFERROR(INDEX(_DATA_Assessment_Model!$W$5:$W$884,MATCH($E713,_DATA_Assessment_Model!$A$5:$A$884,0)),"")</f>
        <v/>
      </c>
      <c r="W713">
        <f>IFERROR(INDEX(_DATA_Assessment_Model!$X$5:$X$884,MATCH($E713,_DATA_Assessment_Model!$A$5:$A$884,0)),"")</f>
        <v/>
      </c>
      <c r="X713">
        <f>IFERROR(INDEX(_DATA_Assessment_Model!$Y$5:$Y$884,MATCH($E713,_DATA_Assessment_Model!$A$5:$A$884,0)),"")</f>
        <v/>
      </c>
      <c r="Y713" t="inlineStr">
        <is>
          <t>Supplier/logistics disruption; Manufacturing disruption; Demand shock</t>
        </is>
      </c>
      <c r="Z713" t="inlineStr">
        <is>
          <t>Supply Chain / Procurement</t>
        </is>
      </c>
      <c r="AA713" t="inlineStr">
        <is>
          <t>Policy/SOP; owner/RACI; system report; dashboard; contracts; test records; incident history; interview evidence related to planning cycle acceleration during crisis without losing data quality.</t>
        </is>
      </c>
      <c r="AB713">
        <f>IFERROR(INDEX(_DATA_Assessment_Model!$U$5:$U$884,MATCH($E713,_DATA_Assessment_Model!$A$5:$A$884,0)),"")</f>
        <v/>
      </c>
      <c r="AF713" t="inlineStr">
        <is>
          <t>How mature is the organization in managing planning cycle acceleration during crisis without losing data quality, including ownership, evidence, metrics, fallback procedures and crisis stress testing?</t>
        </is>
      </c>
      <c r="AO713">
        <f>IF($B713="Yes",IFERROR(INDEX(_ENGINE_Crisis!$F$501:$F$517,MATCH($C713,_ENGINE_Crisis!$A$501:$A$517,0)),1),"")</f>
        <v/>
      </c>
      <c r="AP713">
        <f>IF(AO713="","",ROUND($L713*AO713,1))</f>
        <v/>
      </c>
      <c r="AQ713">
        <f>IF(OR(AO713="",$S713=""),"",ROUND($S713*(0.7+0.3*AO713),2))</f>
        <v/>
      </c>
      <c r="AR713">
        <f>IFERROR(INDEX(_ENGINE_Crisis!$E$41:$E$700,MATCH('Resilience &amp; Risk Scenario'!$B$60&amp;"|"&amp;$C713,_ENGINE_Crisis!$I$41:$I$700,0)),"")</f>
        <v/>
      </c>
      <c r="AS713">
        <f>IFERROR(INDEX(_ENGINE_Crisis!$G$41:$G$700,MATCH('Resilience &amp; Risk Scenario'!$B$60&amp;"|"&amp;$C713,_ENGINE_Crisis!$I$41:$I$700,0)),"")</f>
        <v/>
      </c>
      <c r="AT713">
        <f>IFERROR(INDEX(_ENGINE_Initiatives!$A$5:$A$532,MATCH(1,INDEX((_ENGINE_Initiatives!$B$5:$B$532=$C713)*(_ENGINE_Initiatives!$C$5:$C$532=$D713),0),0)),"")</f>
        <v/>
      </c>
      <c r="AU713">
        <f>IFERROR(INDEX(_ENGINE_Initiatives!$F$5:$F$532,MATCH(1,INDEX((_ENGINE_Initiatives!$B$5:$B$532=$C713)*(_ENGINE_Initiatives!$C$5:$C$532=$D713),0),0)),"")</f>
        <v/>
      </c>
      <c r="AV713">
        <f>IFERROR(INDEX(_ENGINE_Initiatives!$AC$5:$AC$532,MATCH(1,INDEX((_ENGINE_Initiatives!$B$5:$B$532=$C713)*(_ENGINE_Initiatives!$C$5:$C$532=$D713),0),0)),"")</f>
        <v/>
      </c>
      <c r="AW713">
        <f>IFERROR(INDEX(_ENGINE_Initiatives!$AE$5:$AE$532,MATCH(1,INDEX((_ENGINE_Initiatives!$B$5:$B$532=$C713)*(_ENGINE_Initiatives!$C$5:$C$532=$D713),0),0)),"")</f>
        <v/>
      </c>
      <c r="AX713">
        <f>IF($B713="Yes",IFERROR(IF(SUMIFS(_REF_Model_Content!$E$1:$E$613,_REF_Model_Content!$A$1:$A$613,'Company Profile'!$B$9,_REF_Model_Content!$B$1:$B$613,$C713)=0,1,SUMIFS(_REF_Model_Content!$E$1:$E$613,_REF_Model_Content!$A$1:$A$613,'Company Profile'!$B$9,_REF_Model_Content!$B$1:$B$613,$C713)),1),"")</f>
        <v/>
      </c>
      <c r="AY713">
        <f>IF($L713="","",ROUND(IF($AP713="",$L713,$AP713)*IF($AX713="",1,$AX713),2))</f>
        <v/>
      </c>
      <c r="AZ713">
        <f>IF($S713="","",ROUND(IF($AQ713="",$S713,$AQ713)*IF($AX713="",1,$AX713),2))</f>
        <v/>
      </c>
      <c r="BB713">
        <f>IF($H713="","",IFERROR(INDEX('_ENGINE_Risk'!$AE$41:$AE$920,MATCH($E713,'_ENGINE_Risk'!$A$41:$A$920,0)),"Medium"))</f>
        <v/>
      </c>
      <c r="BC713">
        <f>IF($BB713="","",IF($BB713="Fast",1.25,IF($BB713="Slow",0.85,1)))</f>
        <v/>
      </c>
      <c r="BD713">
        <f>IF(OR($AZ713="",$BC713=""),"",ROUND($AZ713*$BC713,2))</f>
        <v/>
      </c>
      <c r="BF713">
        <f>IF(OR($H713="",$J713=""),"",_xlfn.IFNA(VLOOKUP($J713,_CONFIG_Model_Settings!$D$610:$E$614,2,0),""))</f>
        <v/>
      </c>
      <c r="BG713">
        <f>IF(OR($H713="",$K713=""),"",ROUND('Company Profile'!$B$569*INDEX(_CONFIG_Model_Settings!$H$610:$H$614,MATCH($K713,_CONFIG_Model_Settings!$G$610:$G$614,0)),0))</f>
        <v/>
      </c>
      <c r="BH713">
        <f>IF(OR($BF713="",$BG713=""),"",ROUND($BF713*$BG713,1))</f>
        <v/>
      </c>
      <c r="BI713">
        <f>IF($BH713="","",IF($AO713="",$BH713,ROUND($BH713*$AO713,1)))</f>
        <v/>
      </c>
      <c r="BJ713">
        <f>IF($E713="","",IFERROR(VLOOKUP($C713,'_CONFIG_Risk_Calibration'!$A$5:$H$21,2,FALSE),3))</f>
        <v/>
      </c>
      <c r="BK713">
        <f>IF($E713="","",IFERROR(VLOOKUP($C713,'_CONFIG_Risk_Calibration'!$A$5:$H$21,3,FALSE),0))</f>
        <v/>
      </c>
      <c r="BL713">
        <f>IF($E713="","",IFERROR(VLOOKUP($C713,'_CONFIG_Risk_Calibration'!$A$5:$H$21,4,FALSE),3))</f>
        <v/>
      </c>
      <c r="BM713">
        <f>IF($E713="","",IFERROR(VLOOKUP($C713,'_CONFIG_Risk_Calibration'!$A$5:$H$21,5,FALSE),3))</f>
        <v/>
      </c>
      <c r="BN713">
        <f>IF($E713="","",IFERROR(VLOOKUP($C713,'_CONFIG_Risk_Calibration'!$A$5:$H$21,6,FALSE),"No"))</f>
        <v/>
      </c>
      <c r="BO713">
        <f>IF($E713="","",IFERROR(VLOOKUP($C713,'_CONFIG_Risk_Calibration'!$A$5:$H$21,7,FALSE),1))</f>
        <v/>
      </c>
      <c r="BP713">
        <f>IF($H713="","",MAX(1,MIN(5,((6-$H713)*0.45)+($BJ713*0.20)+('Resilience &amp; Risk Scenario'!$B$7*0.15)+($BK713*0.10)+($BL713*0.05)+(IF($BB713="Fast",5,IF($BB713="Slow",1,3))*0.05))))</f>
        <v/>
      </c>
      <c r="BQ713">
        <f>IF($H713="","",MAX(IF($BN713="Yes",$BO713,1),MIN(5,($U713*0.20)+($V713*0.15)+($W713*0.25)+($X713*0.15)+($BJ713*0.10)+($BM713*0.15))))</f>
        <v/>
      </c>
      <c r="BR713">
        <f>IF(OR($BP713="",$BQ713=""),"",ROUND($BP713*$BQ713,2))</f>
        <v/>
      </c>
      <c r="BS713">
        <f>IF($BR713="","",ROUND($BR713*IF($AO713="",1,$AO713)*IF($AX713="",1,$AX713)*(1+(($BM713-3)*0.10))*IF($BC713="",1,$BC713),2))</f>
        <v/>
      </c>
    </row>
    <row r="714" ht="69.90000000000001" customHeight="1" s="209">
      <c r="A714">
        <f>IF($BD714="","",SUMPRODUCT(ISNUMBER($BD$500:$BD$923)*($BD$500:$BD$923&gt;$BD714))+COUNTIF($BD$500:$BD714,$BD714))</f>
        <v/>
      </c>
      <c r="B714">
        <f>IF($H714="","",IF($H714&lt;5,"Yes","Maintain"))</f>
        <v/>
      </c>
      <c r="C714" t="inlineStr">
        <is>
          <t>Supply Chain</t>
        </is>
      </c>
      <c r="D714" t="inlineStr">
        <is>
          <t>Technology and risk</t>
        </is>
      </c>
      <c r="E714" t="inlineStr">
        <is>
          <t>SUPP-020</t>
        </is>
      </c>
      <c r="F714" t="inlineStr">
        <is>
          <t>Supply chain, logistics and supplier continuity</t>
        </is>
      </c>
      <c r="G714">
        <f>IF($H714="","",IFERROR(INDEX('_ENGINE_Risk'!$H$41:$M$920,MATCH($E714,'_ENGINE_Risk'!$A$41:$A$920,0),$H714+1),""))</f>
        <v/>
      </c>
      <c r="H714">
        <f>IFERROR(VALUE(INDEX(_DATA_Assessment_Model!$H$5:$H$884,MATCH($E714,_DATA_Assessment_Model!$A$5:$A$884,0))),"")</f>
        <v/>
      </c>
      <c r="I714">
        <f>IF($H714="","",IFERROR(INDEX(_DATA_Assessment_Model!$L$5:$L$884,MATCH($E714,_DATA_Assessment_Model!$A$5:$A$884,0)),IF($H714&lt;=1,"Critical",IF($H714=2,"High",IF($H714=3,"Medium",IF($H714=4,"Low","Resilient"))))))</f>
        <v/>
      </c>
      <c r="J714">
        <f>IF($H714="","",MIN(5,MAX(1,6-$H714)))</f>
        <v/>
      </c>
      <c r="K714">
        <f>IF($H714="","",MAX(1,MIN(5,ROUNDUP(($U714*0.45)+($W714*0.35)+($X714*0.2),0))))</f>
        <v/>
      </c>
      <c r="L714">
        <f>IF($H714="","",$J714*$K714)</f>
        <v/>
      </c>
      <c r="M714">
        <f>IF($H714="","",MAX(1,MIN(5,ROUNDUP($L714/5,0))))</f>
        <v/>
      </c>
      <c r="N714">
        <f>IF($H714="","",IFERROR(INDEX('_ENGINE_Risk'!$T$41:$Y$920,MATCH($E714,'_ENGINE_Risk'!$A$41:$A$920,0),$H714+1),""))</f>
        <v/>
      </c>
      <c r="O714">
        <f>IF($H714="","",MAX(1,MIN(5,($U714+$V714+$X714)/3)))</f>
        <v/>
      </c>
      <c r="P714">
        <f>IF($H714="","",IF($I714="Critical",5,IF($I714="High",4,IF($I714="Medium",3,IF($I714="Low",2,1)))))</f>
        <v/>
      </c>
      <c r="Q714">
        <f>IF($H714="","",MAX(1,MIN(5,((5-$H714)*0.65)+($W714*0.35))))</f>
        <v/>
      </c>
      <c r="R714">
        <f>IF($H714="","",MAX(1,MIN(5,($V714+$X714)/2)))</f>
        <v/>
      </c>
      <c r="S714">
        <f>IF(OR($H714="",$N714=""),"",ROUND(($O714+$P714+$Q714+$R714)/$N714,2))</f>
        <v/>
      </c>
      <c r="T714">
        <f>IF($H714="","",IFERROR(INDEX('_ENGINE_Risk'!$N$41:$S$920,MATCH($E714,'_ENGINE_Risk'!$A$41:$A$920,0),$H714+1),""))</f>
        <v/>
      </c>
      <c r="U714">
        <f>IFERROR(INDEX(_DATA_Assessment_Model!$G$5:$G$884,MATCH($E714,_DATA_Assessment_Model!$A$5:$A$884,0)),"")</f>
        <v/>
      </c>
      <c r="V714">
        <f>IFERROR(INDEX(_DATA_Assessment_Model!$W$5:$W$884,MATCH($E714,_DATA_Assessment_Model!$A$5:$A$884,0)),"")</f>
        <v/>
      </c>
      <c r="W714">
        <f>IFERROR(INDEX(_DATA_Assessment_Model!$X$5:$X$884,MATCH($E714,_DATA_Assessment_Model!$A$5:$A$884,0)),"")</f>
        <v/>
      </c>
      <c r="X714">
        <f>IFERROR(INDEX(_DATA_Assessment_Model!$Y$5:$Y$884,MATCH($E714,_DATA_Assessment_Model!$A$5:$A$884,0)),"")</f>
        <v/>
      </c>
      <c r="Y714" t="inlineStr">
        <is>
          <t>Supplier/logistics disruption; Manufacturing disruption; Demand shock</t>
        </is>
      </c>
      <c r="Z714" t="inlineStr">
        <is>
          <t>Supply Chain / Procurement</t>
        </is>
      </c>
      <c r="AA714" t="inlineStr">
        <is>
          <t>Policy/SOP; owner/RACI; system report; dashboard; contracts; test records; incident history; interview evidence related to ERP, MRP, WMS, TMS and supplier portal integration and resilience.</t>
        </is>
      </c>
      <c r="AB714">
        <f>IFERROR(INDEX(_DATA_Assessment_Model!$U$5:$U$884,MATCH($E714,_DATA_Assessment_Model!$A$5:$A$884,0)),"")</f>
        <v/>
      </c>
      <c r="AF714" t="inlineStr">
        <is>
          <t>How mature is the organization in managing ERP, MRP, WMS, TMS and supplier portal integration and resilience, including ownership, evidence, metrics, fallback procedures and crisis stress testing?</t>
        </is>
      </c>
      <c r="AO714">
        <f>IF($B714="Yes",IFERROR(INDEX(_ENGINE_Crisis!$F$501:$F$517,MATCH($C714,_ENGINE_Crisis!$A$501:$A$517,0)),1),"")</f>
        <v/>
      </c>
      <c r="AP714">
        <f>IF(AO714="","",ROUND($L714*AO714,1))</f>
        <v/>
      </c>
      <c r="AQ714">
        <f>IF(OR(AO714="",$S714=""),"",ROUND($S714*(0.7+0.3*AO714),2))</f>
        <v/>
      </c>
      <c r="AR714">
        <f>IFERROR(INDEX(_ENGINE_Crisis!$E$41:$E$700,MATCH('Resilience &amp; Risk Scenario'!$B$60&amp;"|"&amp;$C714,_ENGINE_Crisis!$I$41:$I$700,0)),"")</f>
        <v/>
      </c>
      <c r="AS714">
        <f>IFERROR(INDEX(_ENGINE_Crisis!$G$41:$G$700,MATCH('Resilience &amp; Risk Scenario'!$B$60&amp;"|"&amp;$C714,_ENGINE_Crisis!$I$41:$I$700,0)),"")</f>
        <v/>
      </c>
      <c r="AT714">
        <f>IFERROR(INDEX(_ENGINE_Initiatives!$A$5:$A$532,MATCH(1,INDEX((_ENGINE_Initiatives!$B$5:$B$532=$C714)*(_ENGINE_Initiatives!$C$5:$C$532=$D714),0),0)),"")</f>
        <v/>
      </c>
      <c r="AU714">
        <f>IFERROR(INDEX(_ENGINE_Initiatives!$F$5:$F$532,MATCH(1,INDEX((_ENGINE_Initiatives!$B$5:$B$532=$C714)*(_ENGINE_Initiatives!$C$5:$C$532=$D714),0),0)),"")</f>
        <v/>
      </c>
      <c r="AV714">
        <f>IFERROR(INDEX(_ENGINE_Initiatives!$AC$5:$AC$532,MATCH(1,INDEX((_ENGINE_Initiatives!$B$5:$B$532=$C714)*(_ENGINE_Initiatives!$C$5:$C$532=$D714),0),0)),"")</f>
        <v/>
      </c>
      <c r="AW714">
        <f>IFERROR(INDEX(_ENGINE_Initiatives!$AE$5:$AE$532,MATCH(1,INDEX((_ENGINE_Initiatives!$B$5:$B$532=$C714)*(_ENGINE_Initiatives!$C$5:$C$532=$D714),0),0)),"")</f>
        <v/>
      </c>
      <c r="AX714">
        <f>IF($B714="Yes",IFERROR(IF(SUMIFS(_REF_Model_Content!$E$1:$E$613,_REF_Model_Content!$A$1:$A$613,'Company Profile'!$B$9,_REF_Model_Content!$B$1:$B$613,$C714)=0,1,SUMIFS(_REF_Model_Content!$E$1:$E$613,_REF_Model_Content!$A$1:$A$613,'Company Profile'!$B$9,_REF_Model_Content!$B$1:$B$613,$C714)),1),"")</f>
        <v/>
      </c>
      <c r="AY714">
        <f>IF($L714="","",ROUND(IF($AP714="",$L714,$AP714)*IF($AX714="",1,$AX714),2))</f>
        <v/>
      </c>
      <c r="AZ714">
        <f>IF($S714="","",ROUND(IF($AQ714="",$S714,$AQ714)*IF($AX714="",1,$AX714),2))</f>
        <v/>
      </c>
      <c r="BB714">
        <f>IF($H714="","",IFERROR(INDEX('_ENGINE_Risk'!$AE$41:$AE$920,MATCH($E714,'_ENGINE_Risk'!$A$41:$A$920,0)),"Medium"))</f>
        <v/>
      </c>
      <c r="BC714">
        <f>IF($BB714="","",IF($BB714="Fast",1.25,IF($BB714="Slow",0.85,1)))</f>
        <v/>
      </c>
      <c r="BD714">
        <f>IF(OR($AZ714="",$BC714=""),"",ROUND($AZ714*$BC714,2))</f>
        <v/>
      </c>
      <c r="BF714">
        <f>IF(OR($H714="",$J714=""),"",_xlfn.IFNA(VLOOKUP($J714,_CONFIG_Model_Settings!$D$610:$E$614,2,0),""))</f>
        <v/>
      </c>
      <c r="BG714">
        <f>IF(OR($H714="",$K714=""),"",ROUND('Company Profile'!$B$569*INDEX(_CONFIG_Model_Settings!$H$610:$H$614,MATCH($K714,_CONFIG_Model_Settings!$G$610:$G$614,0)),0))</f>
        <v/>
      </c>
      <c r="BH714">
        <f>IF(OR($BF714="",$BG714=""),"",ROUND($BF714*$BG714,1))</f>
        <v/>
      </c>
      <c r="BI714">
        <f>IF($BH714="","",IF($AO714="",$BH714,ROUND($BH714*$AO714,1)))</f>
        <v/>
      </c>
      <c r="BJ714">
        <f>IF($E714="","",IFERROR(VLOOKUP($C714,'_CONFIG_Risk_Calibration'!$A$5:$H$21,2,FALSE),3))</f>
        <v/>
      </c>
      <c r="BK714">
        <f>IF($E714="","",IFERROR(VLOOKUP($C714,'_CONFIG_Risk_Calibration'!$A$5:$H$21,3,FALSE),0))</f>
        <v/>
      </c>
      <c r="BL714">
        <f>IF($E714="","",IFERROR(VLOOKUP($C714,'_CONFIG_Risk_Calibration'!$A$5:$H$21,4,FALSE),3))</f>
        <v/>
      </c>
      <c r="BM714">
        <f>IF($E714="","",IFERROR(VLOOKUP($C714,'_CONFIG_Risk_Calibration'!$A$5:$H$21,5,FALSE),3))</f>
        <v/>
      </c>
      <c r="BN714">
        <f>IF($E714="","",IFERROR(VLOOKUP($C714,'_CONFIG_Risk_Calibration'!$A$5:$H$21,6,FALSE),"No"))</f>
        <v/>
      </c>
      <c r="BO714">
        <f>IF($E714="","",IFERROR(VLOOKUP($C714,'_CONFIG_Risk_Calibration'!$A$5:$H$21,7,FALSE),1))</f>
        <v/>
      </c>
      <c r="BP714">
        <f>IF($H714="","",MAX(1,MIN(5,((6-$H714)*0.45)+($BJ714*0.20)+('Resilience &amp; Risk Scenario'!$B$7*0.15)+($BK714*0.10)+($BL714*0.05)+(IF($BB714="Fast",5,IF($BB714="Slow",1,3))*0.05))))</f>
        <v/>
      </c>
      <c r="BQ714">
        <f>IF($H714="","",MAX(IF($BN714="Yes",$BO714,1),MIN(5,($U714*0.20)+($V714*0.15)+($W714*0.25)+($X714*0.15)+($BJ714*0.10)+($BM714*0.15))))</f>
        <v/>
      </c>
      <c r="BR714">
        <f>IF(OR($BP714="",$BQ714=""),"",ROUND($BP714*$BQ714,2))</f>
        <v/>
      </c>
      <c r="BS714">
        <f>IF($BR714="","",ROUND($BR714*IF($AO714="",1,$AO714)*IF($AX714="",1,$AX714)*(1+(($BM714-3)*0.10))*IF($BC714="",1,$BC714),2))</f>
        <v/>
      </c>
    </row>
    <row r="715" ht="69.90000000000001" customHeight="1" s="209">
      <c r="A715">
        <f>IF($BD715="","",SUMPRODUCT(ISNUMBER($BD$500:$BD$923)*($BD$500:$BD$923&gt;$BD715))+COUNTIF($BD$500:$BD715,$BD715))</f>
        <v/>
      </c>
      <c r="B715">
        <f>IF($H715="","",IF($H715&lt;5,"Yes","Maintain"))</f>
        <v/>
      </c>
      <c r="C715" t="inlineStr">
        <is>
          <t>Supply Chain</t>
        </is>
      </c>
      <c r="D715" t="inlineStr">
        <is>
          <t>Technology and risk</t>
        </is>
      </c>
      <c r="E715" t="inlineStr">
        <is>
          <t>SUPP-021</t>
        </is>
      </c>
      <c r="F715" t="inlineStr">
        <is>
          <t>Supply chain, logistics and supplier continuity</t>
        </is>
      </c>
      <c r="G715">
        <f>IF($H715="","",IFERROR(INDEX('_ENGINE_Risk'!$H$41:$M$920,MATCH($E715,'_ENGINE_Risk'!$A$41:$A$920,0),$H715+1),""))</f>
        <v/>
      </c>
      <c r="H715">
        <f>IFERROR(VALUE(INDEX(_DATA_Assessment_Model!$H$5:$H$884,MATCH($E715,_DATA_Assessment_Model!$A$5:$A$884,0))),"")</f>
        <v/>
      </c>
      <c r="I715">
        <f>IF($H715="","",IFERROR(INDEX(_DATA_Assessment_Model!$L$5:$L$884,MATCH($E715,_DATA_Assessment_Model!$A$5:$A$884,0)),IF($H715&lt;=1,"Critical",IF($H715=2,"High",IF($H715=3,"Medium",IF($H715=4,"Low","Resilient"))))))</f>
        <v/>
      </c>
      <c r="J715">
        <f>IF($H715="","",MIN(5,MAX(1,6-$H715)))</f>
        <v/>
      </c>
      <c r="K715">
        <f>IF($H715="","",MAX(1,MIN(5,ROUNDUP(($U715*0.45)+($W715*0.35)+($X715*0.2),0))))</f>
        <v/>
      </c>
      <c r="L715">
        <f>IF($H715="","",$J715*$K715)</f>
        <v/>
      </c>
      <c r="M715">
        <f>IF($H715="","",MAX(1,MIN(5,ROUNDUP($L715/5,0))))</f>
        <v/>
      </c>
      <c r="N715">
        <f>IF($H715="","",IFERROR(INDEX('_ENGINE_Risk'!$T$41:$Y$920,MATCH($E715,'_ENGINE_Risk'!$A$41:$A$920,0),$H715+1),""))</f>
        <v/>
      </c>
      <c r="O715">
        <f>IF($H715="","",MAX(1,MIN(5,($U715+$V715+$X715)/3)))</f>
        <v/>
      </c>
      <c r="P715">
        <f>IF($H715="","",IF($I715="Critical",5,IF($I715="High",4,IF($I715="Medium",3,IF($I715="Low",2,1)))))</f>
        <v/>
      </c>
      <c r="Q715">
        <f>IF($H715="","",MAX(1,MIN(5,((5-$H715)*0.65)+($W715*0.35))))</f>
        <v/>
      </c>
      <c r="R715">
        <f>IF($H715="","",MAX(1,MIN(5,($V715+$X715)/2)))</f>
        <v/>
      </c>
      <c r="S715">
        <f>IF(OR($H715="",$N715=""),"",ROUND(($O715+$P715+$Q715+$R715)/$N715,2))</f>
        <v/>
      </c>
      <c r="T715">
        <f>IF($H715="","",IFERROR(INDEX('_ENGINE_Risk'!$N$41:$S$920,MATCH($E715,'_ENGINE_Risk'!$A$41:$A$920,0),$H715+1),""))</f>
        <v/>
      </c>
      <c r="U715">
        <f>IFERROR(INDEX(_DATA_Assessment_Model!$G$5:$G$884,MATCH($E715,_DATA_Assessment_Model!$A$5:$A$884,0)),"")</f>
        <v/>
      </c>
      <c r="V715">
        <f>IFERROR(INDEX(_DATA_Assessment_Model!$W$5:$W$884,MATCH($E715,_DATA_Assessment_Model!$A$5:$A$884,0)),"")</f>
        <v/>
      </c>
      <c r="W715">
        <f>IFERROR(INDEX(_DATA_Assessment_Model!$X$5:$X$884,MATCH($E715,_DATA_Assessment_Model!$A$5:$A$884,0)),"")</f>
        <v/>
      </c>
      <c r="X715">
        <f>IFERROR(INDEX(_DATA_Assessment_Model!$Y$5:$Y$884,MATCH($E715,_DATA_Assessment_Model!$A$5:$A$884,0)),"")</f>
        <v/>
      </c>
      <c r="Y715" t="inlineStr">
        <is>
          <t>Supplier/logistics disruption; Manufacturing disruption; Demand shock</t>
        </is>
      </c>
      <c r="Z715" t="inlineStr">
        <is>
          <t>Supply Chain / Procurement</t>
        </is>
      </c>
      <c r="AA715" t="inlineStr">
        <is>
          <t>Policy/SOP; owner/RACI; system report; dashboard; contracts; test records; incident history; interview evidence related to supply chain early warning monitoring for supplier, geopolitical, weather, port, customs and price risks.</t>
        </is>
      </c>
      <c r="AB715">
        <f>IFERROR(INDEX(_DATA_Assessment_Model!$U$5:$U$884,MATCH($E715,_DATA_Assessment_Model!$A$5:$A$884,0)),"")</f>
        <v/>
      </c>
      <c r="AF715" t="inlineStr">
        <is>
          <t>How mature is the organization in managing supply chain early warning monitoring for supplier, geopolitical, weather, port, customs and price risks, including ownership, evidence, metrics, fallback procedures and crisis stress testing?</t>
        </is>
      </c>
      <c r="AO715">
        <f>IF($B715="Yes",IFERROR(INDEX(_ENGINE_Crisis!$F$501:$F$517,MATCH($C715,_ENGINE_Crisis!$A$501:$A$517,0)),1),"")</f>
        <v/>
      </c>
      <c r="AP715">
        <f>IF(AO715="","",ROUND($L715*AO715,1))</f>
        <v/>
      </c>
      <c r="AQ715">
        <f>IF(OR(AO715="",$S715=""),"",ROUND($S715*(0.7+0.3*AO715),2))</f>
        <v/>
      </c>
      <c r="AR715">
        <f>IFERROR(INDEX(_ENGINE_Crisis!$E$41:$E$700,MATCH('Resilience &amp; Risk Scenario'!$B$60&amp;"|"&amp;$C715,_ENGINE_Crisis!$I$41:$I$700,0)),"")</f>
        <v/>
      </c>
      <c r="AS715">
        <f>IFERROR(INDEX(_ENGINE_Crisis!$G$41:$G$700,MATCH('Resilience &amp; Risk Scenario'!$B$60&amp;"|"&amp;$C715,_ENGINE_Crisis!$I$41:$I$700,0)),"")</f>
        <v/>
      </c>
      <c r="AT715">
        <f>IFERROR(INDEX(_ENGINE_Initiatives!$A$5:$A$532,MATCH(1,INDEX((_ENGINE_Initiatives!$B$5:$B$532=$C715)*(_ENGINE_Initiatives!$C$5:$C$532=$D715),0),0)),"")</f>
        <v/>
      </c>
      <c r="AU715">
        <f>IFERROR(INDEX(_ENGINE_Initiatives!$F$5:$F$532,MATCH(1,INDEX((_ENGINE_Initiatives!$B$5:$B$532=$C715)*(_ENGINE_Initiatives!$C$5:$C$532=$D715),0),0)),"")</f>
        <v/>
      </c>
      <c r="AV715">
        <f>IFERROR(INDEX(_ENGINE_Initiatives!$AC$5:$AC$532,MATCH(1,INDEX((_ENGINE_Initiatives!$B$5:$B$532=$C715)*(_ENGINE_Initiatives!$C$5:$C$532=$D715),0),0)),"")</f>
        <v/>
      </c>
      <c r="AW715">
        <f>IFERROR(INDEX(_ENGINE_Initiatives!$AE$5:$AE$532,MATCH(1,INDEX((_ENGINE_Initiatives!$B$5:$B$532=$C715)*(_ENGINE_Initiatives!$C$5:$C$532=$D715),0),0)),"")</f>
        <v/>
      </c>
      <c r="AX715">
        <f>IF($B715="Yes",IFERROR(IF(SUMIFS(_REF_Model_Content!$E$1:$E$613,_REF_Model_Content!$A$1:$A$613,'Company Profile'!$B$9,_REF_Model_Content!$B$1:$B$613,$C715)=0,1,SUMIFS(_REF_Model_Content!$E$1:$E$613,_REF_Model_Content!$A$1:$A$613,'Company Profile'!$B$9,_REF_Model_Content!$B$1:$B$613,$C715)),1),"")</f>
        <v/>
      </c>
      <c r="AY715">
        <f>IF($L715="","",ROUND(IF($AP715="",$L715,$AP715)*IF($AX715="",1,$AX715),2))</f>
        <v/>
      </c>
      <c r="AZ715">
        <f>IF($S715="","",ROUND(IF($AQ715="",$S715,$AQ715)*IF($AX715="",1,$AX715),2))</f>
        <v/>
      </c>
      <c r="BB715">
        <f>IF($H715="","",IFERROR(INDEX('_ENGINE_Risk'!$AE$41:$AE$920,MATCH($E715,'_ENGINE_Risk'!$A$41:$A$920,0)),"Medium"))</f>
        <v/>
      </c>
      <c r="BC715">
        <f>IF($BB715="","",IF($BB715="Fast",1.25,IF($BB715="Slow",0.85,1)))</f>
        <v/>
      </c>
      <c r="BD715">
        <f>IF(OR($AZ715="",$BC715=""),"",ROUND($AZ715*$BC715,2))</f>
        <v/>
      </c>
      <c r="BF715">
        <f>IF(OR($H715="",$J715=""),"",_xlfn.IFNA(VLOOKUP($J715,_CONFIG_Model_Settings!$D$610:$E$614,2,0),""))</f>
        <v/>
      </c>
      <c r="BG715">
        <f>IF(OR($H715="",$K715=""),"",ROUND('Company Profile'!$B$569*INDEX(_CONFIG_Model_Settings!$H$610:$H$614,MATCH($K715,_CONFIG_Model_Settings!$G$610:$G$614,0)),0))</f>
        <v/>
      </c>
      <c r="BH715">
        <f>IF(OR($BF715="",$BG715=""),"",ROUND($BF715*$BG715,1))</f>
        <v/>
      </c>
      <c r="BI715">
        <f>IF($BH715="","",IF($AO715="",$BH715,ROUND($BH715*$AO715,1)))</f>
        <v/>
      </c>
      <c r="BJ715">
        <f>IF($E715="","",IFERROR(VLOOKUP($C715,'_CONFIG_Risk_Calibration'!$A$5:$H$21,2,FALSE),3))</f>
        <v/>
      </c>
      <c r="BK715">
        <f>IF($E715="","",IFERROR(VLOOKUP($C715,'_CONFIG_Risk_Calibration'!$A$5:$H$21,3,FALSE),0))</f>
        <v/>
      </c>
      <c r="BL715">
        <f>IF($E715="","",IFERROR(VLOOKUP($C715,'_CONFIG_Risk_Calibration'!$A$5:$H$21,4,FALSE),3))</f>
        <v/>
      </c>
      <c r="BM715">
        <f>IF($E715="","",IFERROR(VLOOKUP($C715,'_CONFIG_Risk_Calibration'!$A$5:$H$21,5,FALSE),3))</f>
        <v/>
      </c>
      <c r="BN715">
        <f>IF($E715="","",IFERROR(VLOOKUP($C715,'_CONFIG_Risk_Calibration'!$A$5:$H$21,6,FALSE),"No"))</f>
        <v/>
      </c>
      <c r="BO715">
        <f>IF($E715="","",IFERROR(VLOOKUP($C715,'_CONFIG_Risk_Calibration'!$A$5:$H$21,7,FALSE),1))</f>
        <v/>
      </c>
      <c r="BP715">
        <f>IF($H715="","",MAX(1,MIN(5,((6-$H715)*0.45)+($BJ715*0.20)+('Resilience &amp; Risk Scenario'!$B$7*0.15)+($BK715*0.10)+($BL715*0.05)+(IF($BB715="Fast",5,IF($BB715="Slow",1,3))*0.05))))</f>
        <v/>
      </c>
      <c r="BQ715">
        <f>IF($H715="","",MAX(IF($BN715="Yes",$BO715,1),MIN(5,($U715*0.20)+($V715*0.15)+($W715*0.25)+($X715*0.15)+($BJ715*0.10)+($BM715*0.15))))</f>
        <v/>
      </c>
      <c r="BR715">
        <f>IF(OR($BP715="",$BQ715=""),"",ROUND($BP715*$BQ715,2))</f>
        <v/>
      </c>
      <c r="BS715">
        <f>IF($BR715="","",ROUND($BR715*IF($AO715="",1,$AO715)*IF($AX715="",1,$AX715)*(1+(($BM715-3)*0.10))*IF($BC715="",1,$BC715),2))</f>
        <v/>
      </c>
    </row>
    <row r="716" ht="69.90000000000001" customHeight="1" s="209">
      <c r="A716">
        <f>IF($BD716="","",SUMPRODUCT(ISNUMBER($BD$500:$BD$923)*($BD$500:$BD$923&gt;$BD716))+COUNTIF($BD$500:$BD716,$BD716))</f>
        <v/>
      </c>
      <c r="B716">
        <f>IF($H716="","",IF($H716&lt;5,"Yes","Maintain"))</f>
        <v/>
      </c>
      <c r="C716" t="inlineStr">
        <is>
          <t>Supply Chain</t>
        </is>
      </c>
      <c r="D716" t="inlineStr">
        <is>
          <t>Technology and risk</t>
        </is>
      </c>
      <c r="E716" t="inlineStr">
        <is>
          <t>SUPP-022</t>
        </is>
      </c>
      <c r="F716" t="inlineStr">
        <is>
          <t>Supply chain, logistics and supplier continuity</t>
        </is>
      </c>
      <c r="G716">
        <f>IF($H716="","",IFERROR(INDEX('_ENGINE_Risk'!$H$41:$M$920,MATCH($E716,'_ENGINE_Risk'!$A$41:$A$920,0),$H716+1),""))</f>
        <v/>
      </c>
      <c r="H716">
        <f>IFERROR(VALUE(INDEX(_DATA_Assessment_Model!$H$5:$H$884,MATCH($E716,_DATA_Assessment_Model!$A$5:$A$884,0))),"")</f>
        <v/>
      </c>
      <c r="I716">
        <f>IF($H716="","",IFERROR(INDEX(_DATA_Assessment_Model!$L$5:$L$884,MATCH($E716,_DATA_Assessment_Model!$A$5:$A$884,0)),IF($H716&lt;=1,"Critical",IF($H716=2,"High",IF($H716=3,"Medium",IF($H716=4,"Low","Resilient"))))))</f>
        <v/>
      </c>
      <c r="J716">
        <f>IF($H716="","",MIN(5,MAX(1,6-$H716)))</f>
        <v/>
      </c>
      <c r="K716">
        <f>IF($H716="","",MAX(1,MIN(5,ROUNDUP(($U716*0.45)+($W716*0.35)+($X716*0.2),0))))</f>
        <v/>
      </c>
      <c r="L716">
        <f>IF($H716="","",$J716*$K716)</f>
        <v/>
      </c>
      <c r="M716">
        <f>IF($H716="","",MAX(1,MIN(5,ROUNDUP($L716/5,0))))</f>
        <v/>
      </c>
      <c r="N716">
        <f>IF($H716="","",IFERROR(INDEX('_ENGINE_Risk'!$T$41:$Y$920,MATCH($E716,'_ENGINE_Risk'!$A$41:$A$920,0),$H716+1),""))</f>
        <v/>
      </c>
      <c r="O716">
        <f>IF($H716="","",MAX(1,MIN(5,($U716+$V716+$X716)/3)))</f>
        <v/>
      </c>
      <c r="P716">
        <f>IF($H716="","",IF($I716="Critical",5,IF($I716="High",4,IF($I716="Medium",3,IF($I716="Low",2,1)))))</f>
        <v/>
      </c>
      <c r="Q716">
        <f>IF($H716="","",MAX(1,MIN(5,((5-$H716)*0.65)+($W716*0.35))))</f>
        <v/>
      </c>
      <c r="R716">
        <f>IF($H716="","",MAX(1,MIN(5,($V716+$X716)/2)))</f>
        <v/>
      </c>
      <c r="S716">
        <f>IF(OR($H716="",$N716=""),"",ROUND(($O716+$P716+$Q716+$R716)/$N716,2))</f>
        <v/>
      </c>
      <c r="T716">
        <f>IF($H716="","",IFERROR(INDEX('_ENGINE_Risk'!$N$41:$S$920,MATCH($E716,'_ENGINE_Risk'!$A$41:$A$920,0),$H716+1),""))</f>
        <v/>
      </c>
      <c r="U716">
        <f>IFERROR(INDEX(_DATA_Assessment_Model!$G$5:$G$884,MATCH($E716,_DATA_Assessment_Model!$A$5:$A$884,0)),"")</f>
        <v/>
      </c>
      <c r="V716">
        <f>IFERROR(INDEX(_DATA_Assessment_Model!$W$5:$W$884,MATCH($E716,_DATA_Assessment_Model!$A$5:$A$884,0)),"")</f>
        <v/>
      </c>
      <c r="W716">
        <f>IFERROR(INDEX(_DATA_Assessment_Model!$X$5:$X$884,MATCH($E716,_DATA_Assessment_Model!$A$5:$A$884,0)),"")</f>
        <v/>
      </c>
      <c r="X716">
        <f>IFERROR(INDEX(_DATA_Assessment_Model!$Y$5:$Y$884,MATCH($E716,_DATA_Assessment_Model!$A$5:$A$884,0)),"")</f>
        <v/>
      </c>
      <c r="Y716" t="inlineStr">
        <is>
          <t>Supplier/logistics disruption; Manufacturing disruption; Demand shock</t>
        </is>
      </c>
      <c r="Z716" t="inlineStr">
        <is>
          <t>Supply Chain / Procurement</t>
        </is>
      </c>
      <c r="AA716" t="inlineStr">
        <is>
          <t>Policy/SOP; owner/RACI; system report; dashboard; contracts; test records; incident history; interview evidence related to supply cost volatility monitoring for freight, energy, commodities and currency.</t>
        </is>
      </c>
      <c r="AB716">
        <f>IFERROR(INDEX(_DATA_Assessment_Model!$U$5:$U$884,MATCH($E716,_DATA_Assessment_Model!$A$5:$A$884,0)),"")</f>
        <v/>
      </c>
      <c r="AF716" t="inlineStr">
        <is>
          <t>How mature is the organization in managing supply cost volatility monitoring for freight, energy, commodities and currency, including ownership, evidence, metrics, fallback procedures and crisis stress testing?</t>
        </is>
      </c>
      <c r="AO716">
        <f>IF($B716="Yes",IFERROR(INDEX(_ENGINE_Crisis!$F$501:$F$517,MATCH($C716,_ENGINE_Crisis!$A$501:$A$517,0)),1),"")</f>
        <v/>
      </c>
      <c r="AP716">
        <f>IF(AO716="","",ROUND($L716*AO716,1))</f>
        <v/>
      </c>
      <c r="AQ716">
        <f>IF(OR(AO716="",$S716=""),"",ROUND($S716*(0.7+0.3*AO716),2))</f>
        <v/>
      </c>
      <c r="AR716">
        <f>IFERROR(INDEX(_ENGINE_Crisis!$E$41:$E$700,MATCH('Resilience &amp; Risk Scenario'!$B$60&amp;"|"&amp;$C716,_ENGINE_Crisis!$I$41:$I$700,0)),"")</f>
        <v/>
      </c>
      <c r="AS716">
        <f>IFERROR(INDEX(_ENGINE_Crisis!$G$41:$G$700,MATCH('Resilience &amp; Risk Scenario'!$B$60&amp;"|"&amp;$C716,_ENGINE_Crisis!$I$41:$I$700,0)),"")</f>
        <v/>
      </c>
      <c r="AT716">
        <f>IFERROR(INDEX(_ENGINE_Initiatives!$A$5:$A$532,MATCH(1,INDEX((_ENGINE_Initiatives!$B$5:$B$532=$C716)*(_ENGINE_Initiatives!$C$5:$C$532=$D716),0),0)),"")</f>
        <v/>
      </c>
      <c r="AU716">
        <f>IFERROR(INDEX(_ENGINE_Initiatives!$F$5:$F$532,MATCH(1,INDEX((_ENGINE_Initiatives!$B$5:$B$532=$C716)*(_ENGINE_Initiatives!$C$5:$C$532=$D716),0),0)),"")</f>
        <v/>
      </c>
      <c r="AV716">
        <f>IFERROR(INDEX(_ENGINE_Initiatives!$AC$5:$AC$532,MATCH(1,INDEX((_ENGINE_Initiatives!$B$5:$B$532=$C716)*(_ENGINE_Initiatives!$C$5:$C$532=$D716),0),0)),"")</f>
        <v/>
      </c>
      <c r="AW716">
        <f>IFERROR(INDEX(_ENGINE_Initiatives!$AE$5:$AE$532,MATCH(1,INDEX((_ENGINE_Initiatives!$B$5:$B$532=$C716)*(_ENGINE_Initiatives!$C$5:$C$532=$D716),0),0)),"")</f>
        <v/>
      </c>
      <c r="AX716">
        <f>IF($B716="Yes",IFERROR(IF(SUMIFS(_REF_Model_Content!$E$1:$E$613,_REF_Model_Content!$A$1:$A$613,'Company Profile'!$B$9,_REF_Model_Content!$B$1:$B$613,$C716)=0,1,SUMIFS(_REF_Model_Content!$E$1:$E$613,_REF_Model_Content!$A$1:$A$613,'Company Profile'!$B$9,_REF_Model_Content!$B$1:$B$613,$C716)),1),"")</f>
        <v/>
      </c>
      <c r="AY716">
        <f>IF($L716="","",ROUND(IF($AP716="",$L716,$AP716)*IF($AX716="",1,$AX716),2))</f>
        <v/>
      </c>
      <c r="AZ716">
        <f>IF($S716="","",ROUND(IF($AQ716="",$S716,$AQ716)*IF($AX716="",1,$AX716),2))</f>
        <v/>
      </c>
      <c r="BB716">
        <f>IF($H716="","",IFERROR(INDEX('_ENGINE_Risk'!$AE$41:$AE$920,MATCH($E716,'_ENGINE_Risk'!$A$41:$A$920,0)),"Medium"))</f>
        <v/>
      </c>
      <c r="BC716">
        <f>IF($BB716="","",IF($BB716="Fast",1.25,IF($BB716="Slow",0.85,1)))</f>
        <v/>
      </c>
      <c r="BD716">
        <f>IF(OR($AZ716="",$BC716=""),"",ROUND($AZ716*$BC716,2))</f>
        <v/>
      </c>
      <c r="BF716">
        <f>IF(OR($H716="",$J716=""),"",_xlfn.IFNA(VLOOKUP($J716,_CONFIG_Model_Settings!$D$610:$E$614,2,0),""))</f>
        <v/>
      </c>
      <c r="BG716">
        <f>IF(OR($H716="",$K716=""),"",ROUND('Company Profile'!$B$569*INDEX(_CONFIG_Model_Settings!$H$610:$H$614,MATCH($K716,_CONFIG_Model_Settings!$G$610:$G$614,0)),0))</f>
        <v/>
      </c>
      <c r="BH716">
        <f>IF(OR($BF716="",$BG716=""),"",ROUND($BF716*$BG716,1))</f>
        <v/>
      </c>
      <c r="BI716">
        <f>IF($BH716="","",IF($AO716="",$BH716,ROUND($BH716*$AO716,1)))</f>
        <v/>
      </c>
      <c r="BJ716">
        <f>IF($E716="","",IFERROR(VLOOKUP($C716,'_CONFIG_Risk_Calibration'!$A$5:$H$21,2,FALSE),3))</f>
        <v/>
      </c>
      <c r="BK716">
        <f>IF($E716="","",IFERROR(VLOOKUP($C716,'_CONFIG_Risk_Calibration'!$A$5:$H$21,3,FALSE),0))</f>
        <v/>
      </c>
      <c r="BL716">
        <f>IF($E716="","",IFERROR(VLOOKUP($C716,'_CONFIG_Risk_Calibration'!$A$5:$H$21,4,FALSE),3))</f>
        <v/>
      </c>
      <c r="BM716">
        <f>IF($E716="","",IFERROR(VLOOKUP($C716,'_CONFIG_Risk_Calibration'!$A$5:$H$21,5,FALSE),3))</f>
        <v/>
      </c>
      <c r="BN716">
        <f>IF($E716="","",IFERROR(VLOOKUP($C716,'_CONFIG_Risk_Calibration'!$A$5:$H$21,6,FALSE),"No"))</f>
        <v/>
      </c>
      <c r="BO716">
        <f>IF($E716="","",IFERROR(VLOOKUP($C716,'_CONFIG_Risk_Calibration'!$A$5:$H$21,7,FALSE),1))</f>
        <v/>
      </c>
      <c r="BP716">
        <f>IF($H716="","",MAX(1,MIN(5,((6-$H716)*0.45)+($BJ716*0.20)+('Resilience &amp; Risk Scenario'!$B$7*0.15)+($BK716*0.10)+($BL716*0.05)+(IF($BB716="Fast",5,IF($BB716="Slow",1,3))*0.05))))</f>
        <v/>
      </c>
      <c r="BQ716">
        <f>IF($H716="","",MAX(IF($BN716="Yes",$BO716,1),MIN(5,($U716*0.20)+($V716*0.15)+($W716*0.25)+($X716*0.15)+($BJ716*0.10)+($BM716*0.15))))</f>
        <v/>
      </c>
      <c r="BR716">
        <f>IF(OR($BP716="",$BQ716=""),"",ROUND($BP716*$BQ716,2))</f>
        <v/>
      </c>
      <c r="BS716">
        <f>IF($BR716="","",ROUND($BR716*IF($AO716="",1,$AO716)*IF($AX716="",1,$AX716)*(1+(($BM716-3)*0.10))*IF($BC716="",1,$BC716),2))</f>
        <v/>
      </c>
    </row>
    <row r="717" ht="69.90000000000001" customHeight="1" s="209">
      <c r="A717">
        <f>IF($BD717="","",SUMPRODUCT(ISNUMBER($BD$500:$BD$923)*($BD$500:$BD$923&gt;$BD717))+COUNTIF($BD$500:$BD717,$BD717))</f>
        <v/>
      </c>
      <c r="B717">
        <f>IF($H717="","",IF($H717&lt;5,"Yes","Maintain"))</f>
        <v/>
      </c>
      <c r="C717" t="inlineStr">
        <is>
          <t>Supply Chain</t>
        </is>
      </c>
      <c r="D717" t="inlineStr">
        <is>
          <t>Technology and risk</t>
        </is>
      </c>
      <c r="E717" t="inlineStr">
        <is>
          <t>SUPP-023</t>
        </is>
      </c>
      <c r="F717" t="inlineStr">
        <is>
          <t>Supply chain, logistics and supplier continuity</t>
        </is>
      </c>
      <c r="G717">
        <f>IF($H717="","",IFERROR(INDEX('_ENGINE_Risk'!$H$41:$M$920,MATCH($E717,'_ENGINE_Risk'!$A$41:$A$920,0),$H717+1),""))</f>
        <v/>
      </c>
      <c r="H717">
        <f>IFERROR(VALUE(INDEX(_DATA_Assessment_Model!$H$5:$H$884,MATCH($E717,_DATA_Assessment_Model!$A$5:$A$884,0))),"")</f>
        <v/>
      </c>
      <c r="I717">
        <f>IF($H717="","",IFERROR(INDEX(_DATA_Assessment_Model!$L$5:$L$884,MATCH($E717,_DATA_Assessment_Model!$A$5:$A$884,0)),IF($H717&lt;=1,"Critical",IF($H717=2,"High",IF($H717=3,"Medium",IF($H717=4,"Low","Resilient"))))))</f>
        <v/>
      </c>
      <c r="J717">
        <f>IF($H717="","",MIN(5,MAX(1,6-$H717)))</f>
        <v/>
      </c>
      <c r="K717">
        <f>IF($H717="","",MAX(1,MIN(5,ROUNDUP(($U717*0.45)+($W717*0.35)+($X717*0.2),0))))</f>
        <v/>
      </c>
      <c r="L717">
        <f>IF($H717="","",$J717*$K717)</f>
        <v/>
      </c>
      <c r="M717">
        <f>IF($H717="","",MAX(1,MIN(5,ROUNDUP($L717/5,0))))</f>
        <v/>
      </c>
      <c r="N717">
        <f>IF($H717="","",IFERROR(INDEX('_ENGINE_Risk'!$T$41:$Y$920,MATCH($E717,'_ENGINE_Risk'!$A$41:$A$920,0),$H717+1),""))</f>
        <v/>
      </c>
      <c r="O717">
        <f>IF($H717="","",MAX(1,MIN(5,($U717+$V717+$X717)/3)))</f>
        <v/>
      </c>
      <c r="P717">
        <f>IF($H717="","",IF($I717="Critical",5,IF($I717="High",4,IF($I717="Medium",3,IF($I717="Low",2,1)))))</f>
        <v/>
      </c>
      <c r="Q717">
        <f>IF($H717="","",MAX(1,MIN(5,((5-$H717)*0.65)+($W717*0.35))))</f>
        <v/>
      </c>
      <c r="R717">
        <f>IF($H717="","",MAX(1,MIN(5,($V717+$X717)/2)))</f>
        <v/>
      </c>
      <c r="S717">
        <f>IF(OR($H717="",$N717=""),"",ROUND(($O717+$P717+$Q717+$R717)/$N717,2))</f>
        <v/>
      </c>
      <c r="T717">
        <f>IF($H717="","",IFERROR(INDEX('_ENGINE_Risk'!$N$41:$S$920,MATCH($E717,'_ENGINE_Risk'!$A$41:$A$920,0),$H717+1),""))</f>
        <v/>
      </c>
      <c r="U717">
        <f>IFERROR(INDEX(_DATA_Assessment_Model!$G$5:$G$884,MATCH($E717,_DATA_Assessment_Model!$A$5:$A$884,0)),"")</f>
        <v/>
      </c>
      <c r="V717">
        <f>IFERROR(INDEX(_DATA_Assessment_Model!$W$5:$W$884,MATCH($E717,_DATA_Assessment_Model!$A$5:$A$884,0)),"")</f>
        <v/>
      </c>
      <c r="W717">
        <f>IFERROR(INDEX(_DATA_Assessment_Model!$X$5:$X$884,MATCH($E717,_DATA_Assessment_Model!$A$5:$A$884,0)),"")</f>
        <v/>
      </c>
      <c r="X717">
        <f>IFERROR(INDEX(_DATA_Assessment_Model!$Y$5:$Y$884,MATCH($E717,_DATA_Assessment_Model!$A$5:$A$884,0)),"")</f>
        <v/>
      </c>
      <c r="Y717" t="inlineStr">
        <is>
          <t>Supplier/logistics disruption; Manufacturing disruption; Demand shock</t>
        </is>
      </c>
      <c r="Z717" t="inlineStr">
        <is>
          <t>Supply Chain / Procurement</t>
        </is>
      </c>
      <c r="AA717" t="inlineStr">
        <is>
          <t>Policy/SOP; owner/RACI; system report; dashboard; contracts; test records; incident history; interview evidence related to allocation rules when supply is insufficient to serve all customers.</t>
        </is>
      </c>
      <c r="AB717">
        <f>IFERROR(INDEX(_DATA_Assessment_Model!$U$5:$U$884,MATCH($E717,_DATA_Assessment_Model!$A$5:$A$884,0)),"")</f>
        <v/>
      </c>
      <c r="AF717" t="inlineStr">
        <is>
          <t>How mature is the organization in managing allocation rules when supply is insufficient to serve all customers, including ownership, evidence, metrics, fallback procedures and crisis stress testing?</t>
        </is>
      </c>
      <c r="AO717">
        <f>IF($B717="Yes",IFERROR(INDEX(_ENGINE_Crisis!$F$501:$F$517,MATCH($C717,_ENGINE_Crisis!$A$501:$A$517,0)),1),"")</f>
        <v/>
      </c>
      <c r="AP717">
        <f>IF(AO717="","",ROUND($L717*AO717,1))</f>
        <v/>
      </c>
      <c r="AQ717">
        <f>IF(OR(AO717="",$S717=""),"",ROUND($S717*(0.7+0.3*AO717),2))</f>
        <v/>
      </c>
      <c r="AR717">
        <f>IFERROR(INDEX(_ENGINE_Crisis!$E$41:$E$700,MATCH('Resilience &amp; Risk Scenario'!$B$60&amp;"|"&amp;$C717,_ENGINE_Crisis!$I$41:$I$700,0)),"")</f>
        <v/>
      </c>
      <c r="AS717">
        <f>IFERROR(INDEX(_ENGINE_Crisis!$G$41:$G$700,MATCH('Resilience &amp; Risk Scenario'!$B$60&amp;"|"&amp;$C717,_ENGINE_Crisis!$I$41:$I$700,0)),"")</f>
        <v/>
      </c>
      <c r="AT717">
        <f>IFERROR(INDEX(_ENGINE_Initiatives!$A$5:$A$532,MATCH(1,INDEX((_ENGINE_Initiatives!$B$5:$B$532=$C717)*(_ENGINE_Initiatives!$C$5:$C$532=$D717),0),0)),"")</f>
        <v/>
      </c>
      <c r="AU717">
        <f>IFERROR(INDEX(_ENGINE_Initiatives!$F$5:$F$532,MATCH(1,INDEX((_ENGINE_Initiatives!$B$5:$B$532=$C717)*(_ENGINE_Initiatives!$C$5:$C$532=$D717),0),0)),"")</f>
        <v/>
      </c>
      <c r="AV717">
        <f>IFERROR(INDEX(_ENGINE_Initiatives!$AC$5:$AC$532,MATCH(1,INDEX((_ENGINE_Initiatives!$B$5:$B$532=$C717)*(_ENGINE_Initiatives!$C$5:$C$532=$D717),0),0)),"")</f>
        <v/>
      </c>
      <c r="AW717">
        <f>IFERROR(INDEX(_ENGINE_Initiatives!$AE$5:$AE$532,MATCH(1,INDEX((_ENGINE_Initiatives!$B$5:$B$532=$C717)*(_ENGINE_Initiatives!$C$5:$C$532=$D717),0),0)),"")</f>
        <v/>
      </c>
      <c r="AX717">
        <f>IF($B717="Yes",IFERROR(IF(SUMIFS(_REF_Model_Content!$E$1:$E$613,_REF_Model_Content!$A$1:$A$613,'Company Profile'!$B$9,_REF_Model_Content!$B$1:$B$613,$C717)=0,1,SUMIFS(_REF_Model_Content!$E$1:$E$613,_REF_Model_Content!$A$1:$A$613,'Company Profile'!$B$9,_REF_Model_Content!$B$1:$B$613,$C717)),1),"")</f>
        <v/>
      </c>
      <c r="AY717">
        <f>IF($L717="","",ROUND(IF($AP717="",$L717,$AP717)*IF($AX717="",1,$AX717),2))</f>
        <v/>
      </c>
      <c r="AZ717">
        <f>IF($S717="","",ROUND(IF($AQ717="",$S717,$AQ717)*IF($AX717="",1,$AX717),2))</f>
        <v/>
      </c>
      <c r="BB717">
        <f>IF($H717="","",IFERROR(INDEX('_ENGINE_Risk'!$AE$41:$AE$920,MATCH($E717,'_ENGINE_Risk'!$A$41:$A$920,0)),"Medium"))</f>
        <v/>
      </c>
      <c r="BC717">
        <f>IF($BB717="","",IF($BB717="Fast",1.25,IF($BB717="Slow",0.85,1)))</f>
        <v/>
      </c>
      <c r="BD717">
        <f>IF(OR($AZ717="",$BC717=""),"",ROUND($AZ717*$BC717,2))</f>
        <v/>
      </c>
      <c r="BF717">
        <f>IF(OR($H717="",$J717=""),"",_xlfn.IFNA(VLOOKUP($J717,_CONFIG_Model_Settings!$D$610:$E$614,2,0),""))</f>
        <v/>
      </c>
      <c r="BG717">
        <f>IF(OR($H717="",$K717=""),"",ROUND('Company Profile'!$B$569*INDEX(_CONFIG_Model_Settings!$H$610:$H$614,MATCH($K717,_CONFIG_Model_Settings!$G$610:$G$614,0)),0))</f>
        <v/>
      </c>
      <c r="BH717">
        <f>IF(OR($BF717="",$BG717=""),"",ROUND($BF717*$BG717,1))</f>
        <v/>
      </c>
      <c r="BI717">
        <f>IF($BH717="","",IF($AO717="",$BH717,ROUND($BH717*$AO717,1)))</f>
        <v/>
      </c>
      <c r="BJ717">
        <f>IF($E717="","",IFERROR(VLOOKUP($C717,'_CONFIG_Risk_Calibration'!$A$5:$H$21,2,FALSE),3))</f>
        <v/>
      </c>
      <c r="BK717">
        <f>IF($E717="","",IFERROR(VLOOKUP($C717,'_CONFIG_Risk_Calibration'!$A$5:$H$21,3,FALSE),0))</f>
        <v/>
      </c>
      <c r="BL717">
        <f>IF($E717="","",IFERROR(VLOOKUP($C717,'_CONFIG_Risk_Calibration'!$A$5:$H$21,4,FALSE),3))</f>
        <v/>
      </c>
      <c r="BM717">
        <f>IF($E717="","",IFERROR(VLOOKUP($C717,'_CONFIG_Risk_Calibration'!$A$5:$H$21,5,FALSE),3))</f>
        <v/>
      </c>
      <c r="BN717">
        <f>IF($E717="","",IFERROR(VLOOKUP($C717,'_CONFIG_Risk_Calibration'!$A$5:$H$21,6,FALSE),"No"))</f>
        <v/>
      </c>
      <c r="BO717">
        <f>IF($E717="","",IFERROR(VLOOKUP($C717,'_CONFIG_Risk_Calibration'!$A$5:$H$21,7,FALSE),1))</f>
        <v/>
      </c>
      <c r="BP717">
        <f>IF($H717="","",MAX(1,MIN(5,((6-$H717)*0.45)+($BJ717*0.20)+('Resilience &amp; Risk Scenario'!$B$7*0.15)+($BK717*0.10)+($BL717*0.05)+(IF($BB717="Fast",5,IF($BB717="Slow",1,3))*0.05))))</f>
        <v/>
      </c>
      <c r="BQ717">
        <f>IF($H717="","",MAX(IF($BN717="Yes",$BO717,1),MIN(5,($U717*0.20)+($V717*0.15)+($W717*0.25)+($X717*0.15)+($BJ717*0.10)+($BM717*0.15))))</f>
        <v/>
      </c>
      <c r="BR717">
        <f>IF(OR($BP717="",$BQ717=""),"",ROUND($BP717*$BQ717,2))</f>
        <v/>
      </c>
      <c r="BS717">
        <f>IF($BR717="","",ROUND($BR717*IF($AO717="",1,$AO717)*IF($AX717="",1,$AX717)*(1+(($BM717-3)*0.10))*IF($BC717="",1,$BC717),2))</f>
        <v/>
      </c>
    </row>
    <row r="718" ht="69.90000000000001" customHeight="1" s="209">
      <c r="A718">
        <f>IF($BD718="","",SUMPRODUCT(ISNUMBER($BD$500:$BD$923)*($BD$500:$BD$923&gt;$BD718))+COUNTIF($BD$500:$BD718,$BD718))</f>
        <v/>
      </c>
      <c r="B718">
        <f>IF($H718="","",IF($H718&lt;5,"Yes","Maintain"))</f>
        <v/>
      </c>
      <c r="C718" t="inlineStr">
        <is>
          <t>Supply Chain</t>
        </is>
      </c>
      <c r="D718" t="inlineStr">
        <is>
          <t>Technology and risk</t>
        </is>
      </c>
      <c r="E718" t="inlineStr">
        <is>
          <t>SUPP-024</t>
        </is>
      </c>
      <c r="F718" t="inlineStr">
        <is>
          <t>Supply chain, logistics and supplier continuity</t>
        </is>
      </c>
      <c r="G718">
        <f>IF($H718="","",IFERROR(INDEX('_ENGINE_Risk'!$H$41:$M$920,MATCH($E718,'_ENGINE_Risk'!$A$41:$A$920,0),$H718+1),""))</f>
        <v/>
      </c>
      <c r="H718">
        <f>IFERROR(VALUE(INDEX(_DATA_Assessment_Model!$H$5:$H$884,MATCH($E718,_DATA_Assessment_Model!$A$5:$A$884,0))),"")</f>
        <v/>
      </c>
      <c r="I718">
        <f>IF($H718="","",IFERROR(INDEX(_DATA_Assessment_Model!$L$5:$L$884,MATCH($E718,_DATA_Assessment_Model!$A$5:$A$884,0)),IF($H718&lt;=1,"Critical",IF($H718=2,"High",IF($H718=3,"Medium",IF($H718=4,"Low","Resilient"))))))</f>
        <v/>
      </c>
      <c r="J718">
        <f>IF($H718="","",MIN(5,MAX(1,6-$H718)))</f>
        <v/>
      </c>
      <c r="K718">
        <f>IF($H718="","",MAX(1,MIN(5,ROUNDUP(($U718*0.45)+($W718*0.35)+($X718*0.2),0))))</f>
        <v/>
      </c>
      <c r="L718">
        <f>IF($H718="","",$J718*$K718)</f>
        <v/>
      </c>
      <c r="M718">
        <f>IF($H718="","",MAX(1,MIN(5,ROUNDUP($L718/5,0))))</f>
        <v/>
      </c>
      <c r="N718">
        <f>IF($H718="","",IFERROR(INDEX('_ENGINE_Risk'!$T$41:$Y$920,MATCH($E718,'_ENGINE_Risk'!$A$41:$A$920,0),$H718+1),""))</f>
        <v/>
      </c>
      <c r="O718">
        <f>IF($H718="","",MAX(1,MIN(5,($U718+$V718+$X718)/3)))</f>
        <v/>
      </c>
      <c r="P718">
        <f>IF($H718="","",IF($I718="Critical",5,IF($I718="High",4,IF($I718="Medium",3,IF($I718="Low",2,1)))))</f>
        <v/>
      </c>
      <c r="Q718">
        <f>IF($H718="","",MAX(1,MIN(5,((5-$H718)*0.65)+($W718*0.35))))</f>
        <v/>
      </c>
      <c r="R718">
        <f>IF($H718="","",MAX(1,MIN(5,($V718+$X718)/2)))</f>
        <v/>
      </c>
      <c r="S718">
        <f>IF(OR($H718="",$N718=""),"",ROUND(($O718+$P718+$Q718+$R718)/$N718,2))</f>
        <v/>
      </c>
      <c r="T718">
        <f>IF($H718="","",IFERROR(INDEX('_ENGINE_Risk'!$N$41:$S$920,MATCH($E718,'_ENGINE_Risk'!$A$41:$A$920,0),$H718+1),""))</f>
        <v/>
      </c>
      <c r="U718">
        <f>IFERROR(INDEX(_DATA_Assessment_Model!$G$5:$G$884,MATCH($E718,_DATA_Assessment_Model!$A$5:$A$884,0)),"")</f>
        <v/>
      </c>
      <c r="V718">
        <f>IFERROR(INDEX(_DATA_Assessment_Model!$W$5:$W$884,MATCH($E718,_DATA_Assessment_Model!$A$5:$A$884,0)),"")</f>
        <v/>
      </c>
      <c r="W718">
        <f>IFERROR(INDEX(_DATA_Assessment_Model!$X$5:$X$884,MATCH($E718,_DATA_Assessment_Model!$A$5:$A$884,0)),"")</f>
        <v/>
      </c>
      <c r="X718">
        <f>IFERROR(INDEX(_DATA_Assessment_Model!$Y$5:$Y$884,MATCH($E718,_DATA_Assessment_Model!$A$5:$A$884,0)),"")</f>
        <v/>
      </c>
      <c r="Y718" t="inlineStr">
        <is>
          <t>Supplier/logistics disruption; Manufacturing disruption; Demand shock</t>
        </is>
      </c>
      <c r="Z718" t="inlineStr">
        <is>
          <t>Supply Chain / Procurement</t>
        </is>
      </c>
      <c r="AA718" t="inlineStr">
        <is>
          <t>Policy/SOP; owner/RACI; system report; dashboard; contracts; test records; incident history; interview evidence related to SKU, supplier, BOM, lead-time and replenishment master data quality.</t>
        </is>
      </c>
      <c r="AB718">
        <f>IFERROR(INDEX(_DATA_Assessment_Model!$U$5:$U$884,MATCH($E718,_DATA_Assessment_Model!$A$5:$A$884,0)),"")</f>
        <v/>
      </c>
      <c r="AF718" t="inlineStr">
        <is>
          <t>How mature is the organization in managing SKU, supplier, BOM, lead-time and replenishment master data quality, including ownership, evidence, metrics, fallback procedures and crisis stress testing?</t>
        </is>
      </c>
      <c r="AO718">
        <f>IF($B718="Yes",IFERROR(INDEX(_ENGINE_Crisis!$F$501:$F$517,MATCH($C718,_ENGINE_Crisis!$A$501:$A$517,0)),1),"")</f>
        <v/>
      </c>
      <c r="AP718">
        <f>IF(AO718="","",ROUND($L718*AO718,1))</f>
        <v/>
      </c>
      <c r="AQ718">
        <f>IF(OR(AO718="",$S718=""),"",ROUND($S718*(0.7+0.3*AO718),2))</f>
        <v/>
      </c>
      <c r="AR718">
        <f>IFERROR(INDEX(_ENGINE_Crisis!$E$41:$E$700,MATCH('Resilience &amp; Risk Scenario'!$B$60&amp;"|"&amp;$C718,_ENGINE_Crisis!$I$41:$I$700,0)),"")</f>
        <v/>
      </c>
      <c r="AS718">
        <f>IFERROR(INDEX(_ENGINE_Crisis!$G$41:$G$700,MATCH('Resilience &amp; Risk Scenario'!$B$60&amp;"|"&amp;$C718,_ENGINE_Crisis!$I$41:$I$700,0)),"")</f>
        <v/>
      </c>
      <c r="AT718">
        <f>IFERROR(INDEX(_ENGINE_Initiatives!$A$5:$A$532,MATCH(1,INDEX((_ENGINE_Initiatives!$B$5:$B$532=$C718)*(_ENGINE_Initiatives!$C$5:$C$532=$D718),0),0)),"")</f>
        <v/>
      </c>
      <c r="AU718">
        <f>IFERROR(INDEX(_ENGINE_Initiatives!$F$5:$F$532,MATCH(1,INDEX((_ENGINE_Initiatives!$B$5:$B$532=$C718)*(_ENGINE_Initiatives!$C$5:$C$532=$D718),0),0)),"")</f>
        <v/>
      </c>
      <c r="AV718">
        <f>IFERROR(INDEX(_ENGINE_Initiatives!$AC$5:$AC$532,MATCH(1,INDEX((_ENGINE_Initiatives!$B$5:$B$532=$C718)*(_ENGINE_Initiatives!$C$5:$C$532=$D718),0),0)),"")</f>
        <v/>
      </c>
      <c r="AW718">
        <f>IFERROR(INDEX(_ENGINE_Initiatives!$AE$5:$AE$532,MATCH(1,INDEX((_ENGINE_Initiatives!$B$5:$B$532=$C718)*(_ENGINE_Initiatives!$C$5:$C$532=$D718),0),0)),"")</f>
        <v/>
      </c>
      <c r="AX718">
        <f>IF($B718="Yes",IFERROR(IF(SUMIFS(_REF_Model_Content!$E$1:$E$613,_REF_Model_Content!$A$1:$A$613,'Company Profile'!$B$9,_REF_Model_Content!$B$1:$B$613,$C718)=0,1,SUMIFS(_REF_Model_Content!$E$1:$E$613,_REF_Model_Content!$A$1:$A$613,'Company Profile'!$B$9,_REF_Model_Content!$B$1:$B$613,$C718)),1),"")</f>
        <v/>
      </c>
      <c r="AY718">
        <f>IF($L718="","",ROUND(IF($AP718="",$L718,$AP718)*IF($AX718="",1,$AX718),2))</f>
        <v/>
      </c>
      <c r="AZ718">
        <f>IF($S718="","",ROUND(IF($AQ718="",$S718,$AQ718)*IF($AX718="",1,$AX718),2))</f>
        <v/>
      </c>
      <c r="BB718">
        <f>IF($H718="","",IFERROR(INDEX('_ENGINE_Risk'!$AE$41:$AE$920,MATCH($E718,'_ENGINE_Risk'!$A$41:$A$920,0)),"Medium"))</f>
        <v/>
      </c>
      <c r="BC718">
        <f>IF($BB718="","",IF($BB718="Fast",1.25,IF($BB718="Slow",0.85,1)))</f>
        <v/>
      </c>
      <c r="BD718">
        <f>IF(OR($AZ718="",$BC718=""),"",ROUND($AZ718*$BC718,2))</f>
        <v/>
      </c>
      <c r="BF718">
        <f>IF(OR($H718="",$J718=""),"",_xlfn.IFNA(VLOOKUP($J718,_CONFIG_Model_Settings!$D$610:$E$614,2,0),""))</f>
        <v/>
      </c>
      <c r="BG718">
        <f>IF(OR($H718="",$K718=""),"",ROUND('Company Profile'!$B$569*INDEX(_CONFIG_Model_Settings!$H$610:$H$614,MATCH($K718,_CONFIG_Model_Settings!$G$610:$G$614,0)),0))</f>
        <v/>
      </c>
      <c r="BH718">
        <f>IF(OR($BF718="",$BG718=""),"",ROUND($BF718*$BG718,1))</f>
        <v/>
      </c>
      <c r="BI718">
        <f>IF($BH718="","",IF($AO718="",$BH718,ROUND($BH718*$AO718,1)))</f>
        <v/>
      </c>
      <c r="BJ718">
        <f>IF($E718="","",IFERROR(VLOOKUP($C718,'_CONFIG_Risk_Calibration'!$A$5:$H$21,2,FALSE),3))</f>
        <v/>
      </c>
      <c r="BK718">
        <f>IF($E718="","",IFERROR(VLOOKUP($C718,'_CONFIG_Risk_Calibration'!$A$5:$H$21,3,FALSE),0))</f>
        <v/>
      </c>
      <c r="BL718">
        <f>IF($E718="","",IFERROR(VLOOKUP($C718,'_CONFIG_Risk_Calibration'!$A$5:$H$21,4,FALSE),3))</f>
        <v/>
      </c>
      <c r="BM718">
        <f>IF($E718="","",IFERROR(VLOOKUP($C718,'_CONFIG_Risk_Calibration'!$A$5:$H$21,5,FALSE),3))</f>
        <v/>
      </c>
      <c r="BN718">
        <f>IF($E718="","",IFERROR(VLOOKUP($C718,'_CONFIG_Risk_Calibration'!$A$5:$H$21,6,FALSE),"No"))</f>
        <v/>
      </c>
      <c r="BO718">
        <f>IF($E718="","",IFERROR(VLOOKUP($C718,'_CONFIG_Risk_Calibration'!$A$5:$H$21,7,FALSE),1))</f>
        <v/>
      </c>
      <c r="BP718">
        <f>IF($H718="","",MAX(1,MIN(5,((6-$H718)*0.45)+($BJ718*0.20)+('Resilience &amp; Risk Scenario'!$B$7*0.15)+($BK718*0.10)+($BL718*0.05)+(IF($BB718="Fast",5,IF($BB718="Slow",1,3))*0.05))))</f>
        <v/>
      </c>
      <c r="BQ718">
        <f>IF($H718="","",MAX(IF($BN718="Yes",$BO718,1),MIN(5,($U718*0.20)+($V718*0.15)+($W718*0.25)+($X718*0.15)+($BJ718*0.10)+($BM718*0.15))))</f>
        <v/>
      </c>
      <c r="BR718">
        <f>IF(OR($BP718="",$BQ718=""),"",ROUND($BP718*$BQ718,2))</f>
        <v/>
      </c>
      <c r="BS718">
        <f>IF($BR718="","",ROUND($BR718*IF($AO718="",1,$AO718)*IF($AX718="",1,$AX718)*(1+(($BM718-3)*0.10))*IF($BC718="",1,$BC718),2))</f>
        <v/>
      </c>
    </row>
    <row r="719" ht="69.90000000000001" customHeight="1" s="209">
      <c r="A719">
        <f>IF($BD719="","",SUMPRODUCT(ISNUMBER($BD$500:$BD$923)*($BD$500:$BD$923&gt;$BD719))+COUNTIF($BD$500:$BD719,$BD719))</f>
        <v/>
      </c>
      <c r="B719">
        <f>IF($H719="","",IF($H719&lt;5,"Yes","Maintain"))</f>
        <v/>
      </c>
      <c r="C719" t="inlineStr">
        <is>
          <t>Supply Chain</t>
        </is>
      </c>
      <c r="D719" t="inlineStr">
        <is>
          <t>Technology and risk</t>
        </is>
      </c>
      <c r="E719" t="inlineStr">
        <is>
          <t>SUPP-025</t>
        </is>
      </c>
      <c r="F719" t="inlineStr">
        <is>
          <t>Supply chain, logistics and supplier continuity</t>
        </is>
      </c>
      <c r="G719">
        <f>IF($H719="","",IFERROR(INDEX('_ENGINE_Risk'!$H$41:$M$920,MATCH($E719,'_ENGINE_Risk'!$A$41:$A$920,0),$H719+1),""))</f>
        <v/>
      </c>
      <c r="H719">
        <f>IFERROR(VALUE(INDEX(_DATA_Assessment_Model!$H$5:$H$884,MATCH($E719,_DATA_Assessment_Model!$A$5:$A$884,0))),"")</f>
        <v/>
      </c>
      <c r="I719">
        <f>IF($H719="","",IFERROR(INDEX(_DATA_Assessment_Model!$L$5:$L$884,MATCH($E719,_DATA_Assessment_Model!$A$5:$A$884,0)),IF($H719&lt;=1,"Critical",IF($H719=2,"High",IF($H719=3,"Medium",IF($H719=4,"Low","Resilient"))))))</f>
        <v/>
      </c>
      <c r="J719">
        <f>IF($H719="","",MIN(5,MAX(1,6-$H719)))</f>
        <v/>
      </c>
      <c r="K719">
        <f>IF($H719="","",MAX(1,MIN(5,ROUNDUP(($U719*0.45)+($W719*0.35)+($X719*0.2),0))))</f>
        <v/>
      </c>
      <c r="L719">
        <f>IF($H719="","",$J719*$K719)</f>
        <v/>
      </c>
      <c r="M719">
        <f>IF($H719="","",MAX(1,MIN(5,ROUNDUP($L719/5,0))))</f>
        <v/>
      </c>
      <c r="N719">
        <f>IF($H719="","",IFERROR(INDEX('_ENGINE_Risk'!$T$41:$Y$920,MATCH($E719,'_ENGINE_Risk'!$A$41:$A$920,0),$H719+1),""))</f>
        <v/>
      </c>
      <c r="O719">
        <f>IF($H719="","",MAX(1,MIN(5,($U719+$V719+$X719)/3)))</f>
        <v/>
      </c>
      <c r="P719">
        <f>IF($H719="","",IF($I719="Critical",5,IF($I719="High",4,IF($I719="Medium",3,IF($I719="Low",2,1)))))</f>
        <v/>
      </c>
      <c r="Q719">
        <f>IF($H719="","",MAX(1,MIN(5,((5-$H719)*0.65)+($W719*0.35))))</f>
        <v/>
      </c>
      <c r="R719">
        <f>IF($H719="","",MAX(1,MIN(5,($V719+$X719)/2)))</f>
        <v/>
      </c>
      <c r="S719">
        <f>IF(OR($H719="",$N719=""),"",ROUND(($O719+$P719+$Q719+$R719)/$N719,2))</f>
        <v/>
      </c>
      <c r="T719">
        <f>IF($H719="","",IFERROR(INDEX('_ENGINE_Risk'!$N$41:$S$920,MATCH($E719,'_ENGINE_Risk'!$A$41:$A$920,0),$H719+1),""))</f>
        <v/>
      </c>
      <c r="U719">
        <f>IFERROR(INDEX(_DATA_Assessment_Model!$G$5:$G$884,MATCH($E719,_DATA_Assessment_Model!$A$5:$A$884,0)),"")</f>
        <v/>
      </c>
      <c r="V719">
        <f>IFERROR(INDEX(_DATA_Assessment_Model!$W$5:$W$884,MATCH($E719,_DATA_Assessment_Model!$A$5:$A$884,0)),"")</f>
        <v/>
      </c>
      <c r="W719">
        <f>IFERROR(INDEX(_DATA_Assessment_Model!$X$5:$X$884,MATCH($E719,_DATA_Assessment_Model!$A$5:$A$884,0)),"")</f>
        <v/>
      </c>
      <c r="X719">
        <f>IFERROR(INDEX(_DATA_Assessment_Model!$Y$5:$Y$884,MATCH($E719,_DATA_Assessment_Model!$A$5:$A$884,0)),"")</f>
        <v/>
      </c>
      <c r="Y719" t="inlineStr">
        <is>
          <t>Supplier/logistics disruption; Manufacturing disruption; Demand shock</t>
        </is>
      </c>
      <c r="Z719" t="inlineStr">
        <is>
          <t>Supply Chain / Procurement</t>
        </is>
      </c>
      <c r="AA719" t="inlineStr">
        <is>
          <t>Policy/SOP; owner/RACI; system report; dashboard; contracts; test records; incident history; interview evidence related to approved substitution rules for materials, components and suppliers.</t>
        </is>
      </c>
      <c r="AB719">
        <f>IFERROR(INDEX(_DATA_Assessment_Model!$U$5:$U$884,MATCH($E719,_DATA_Assessment_Model!$A$5:$A$884,0)),"")</f>
        <v/>
      </c>
      <c r="AF719" t="inlineStr">
        <is>
          <t>How mature is the organization in managing approved substitution rules for materials, components and suppliers, including ownership, evidence, metrics, fallback procedures and crisis stress testing?</t>
        </is>
      </c>
      <c r="AO719">
        <f>IF($B719="Yes",IFERROR(INDEX(_ENGINE_Crisis!$F$501:$F$517,MATCH($C719,_ENGINE_Crisis!$A$501:$A$517,0)),1),"")</f>
        <v/>
      </c>
      <c r="AP719">
        <f>IF(AO719="","",ROUND($L719*AO719,1))</f>
        <v/>
      </c>
      <c r="AQ719">
        <f>IF(OR(AO719="",$S719=""),"",ROUND($S719*(0.7+0.3*AO719),2))</f>
        <v/>
      </c>
      <c r="AR719">
        <f>IFERROR(INDEX(_ENGINE_Crisis!$E$41:$E$700,MATCH('Resilience &amp; Risk Scenario'!$B$60&amp;"|"&amp;$C719,_ENGINE_Crisis!$I$41:$I$700,0)),"")</f>
        <v/>
      </c>
      <c r="AS719">
        <f>IFERROR(INDEX(_ENGINE_Crisis!$G$41:$G$700,MATCH('Resilience &amp; Risk Scenario'!$B$60&amp;"|"&amp;$C719,_ENGINE_Crisis!$I$41:$I$700,0)),"")</f>
        <v/>
      </c>
      <c r="AT719">
        <f>IFERROR(INDEX(_ENGINE_Initiatives!$A$5:$A$532,MATCH(1,INDEX((_ENGINE_Initiatives!$B$5:$B$532=$C719)*(_ENGINE_Initiatives!$C$5:$C$532=$D719),0),0)),"")</f>
        <v/>
      </c>
      <c r="AU719">
        <f>IFERROR(INDEX(_ENGINE_Initiatives!$F$5:$F$532,MATCH(1,INDEX((_ENGINE_Initiatives!$B$5:$B$532=$C719)*(_ENGINE_Initiatives!$C$5:$C$532=$D719),0),0)),"")</f>
        <v/>
      </c>
      <c r="AV719">
        <f>IFERROR(INDEX(_ENGINE_Initiatives!$AC$5:$AC$532,MATCH(1,INDEX((_ENGINE_Initiatives!$B$5:$B$532=$C719)*(_ENGINE_Initiatives!$C$5:$C$532=$D719),0),0)),"")</f>
        <v/>
      </c>
      <c r="AW719">
        <f>IFERROR(INDEX(_ENGINE_Initiatives!$AE$5:$AE$532,MATCH(1,INDEX((_ENGINE_Initiatives!$B$5:$B$532=$C719)*(_ENGINE_Initiatives!$C$5:$C$532=$D719),0),0)),"")</f>
        <v/>
      </c>
      <c r="AX719">
        <f>IF($B719="Yes",IFERROR(IF(SUMIFS(_REF_Model_Content!$E$1:$E$613,_REF_Model_Content!$A$1:$A$613,'Company Profile'!$B$9,_REF_Model_Content!$B$1:$B$613,$C719)=0,1,SUMIFS(_REF_Model_Content!$E$1:$E$613,_REF_Model_Content!$A$1:$A$613,'Company Profile'!$B$9,_REF_Model_Content!$B$1:$B$613,$C719)),1),"")</f>
        <v/>
      </c>
      <c r="AY719">
        <f>IF($L719="","",ROUND(IF($AP719="",$L719,$AP719)*IF($AX719="",1,$AX719),2))</f>
        <v/>
      </c>
      <c r="AZ719">
        <f>IF($S719="","",ROUND(IF($AQ719="",$S719,$AQ719)*IF($AX719="",1,$AX719),2))</f>
        <v/>
      </c>
      <c r="BB719">
        <f>IF($H719="","",IFERROR(INDEX('_ENGINE_Risk'!$AE$41:$AE$920,MATCH($E719,'_ENGINE_Risk'!$A$41:$A$920,0)),"Medium"))</f>
        <v/>
      </c>
      <c r="BC719">
        <f>IF($BB719="","",IF($BB719="Fast",1.25,IF($BB719="Slow",0.85,1)))</f>
        <v/>
      </c>
      <c r="BD719">
        <f>IF(OR($AZ719="",$BC719=""),"",ROUND($AZ719*$BC719,2))</f>
        <v/>
      </c>
      <c r="BF719">
        <f>IF(OR($H719="",$J719=""),"",_xlfn.IFNA(VLOOKUP($J719,_CONFIG_Model_Settings!$D$610:$E$614,2,0),""))</f>
        <v/>
      </c>
      <c r="BG719">
        <f>IF(OR($H719="",$K719=""),"",ROUND('Company Profile'!$B$569*INDEX(_CONFIG_Model_Settings!$H$610:$H$614,MATCH($K719,_CONFIG_Model_Settings!$G$610:$G$614,0)),0))</f>
        <v/>
      </c>
      <c r="BH719">
        <f>IF(OR($BF719="",$BG719=""),"",ROUND($BF719*$BG719,1))</f>
        <v/>
      </c>
      <c r="BI719">
        <f>IF($BH719="","",IF($AO719="",$BH719,ROUND($BH719*$AO719,1)))</f>
        <v/>
      </c>
      <c r="BJ719">
        <f>IF($E719="","",IFERROR(VLOOKUP($C719,'_CONFIG_Risk_Calibration'!$A$5:$H$21,2,FALSE),3))</f>
        <v/>
      </c>
      <c r="BK719">
        <f>IF($E719="","",IFERROR(VLOOKUP($C719,'_CONFIG_Risk_Calibration'!$A$5:$H$21,3,FALSE),0))</f>
        <v/>
      </c>
      <c r="BL719">
        <f>IF($E719="","",IFERROR(VLOOKUP($C719,'_CONFIG_Risk_Calibration'!$A$5:$H$21,4,FALSE),3))</f>
        <v/>
      </c>
      <c r="BM719">
        <f>IF($E719="","",IFERROR(VLOOKUP($C719,'_CONFIG_Risk_Calibration'!$A$5:$H$21,5,FALSE),3))</f>
        <v/>
      </c>
      <c r="BN719">
        <f>IF($E719="","",IFERROR(VLOOKUP($C719,'_CONFIG_Risk_Calibration'!$A$5:$H$21,6,FALSE),"No"))</f>
        <v/>
      </c>
      <c r="BO719">
        <f>IF($E719="","",IFERROR(VLOOKUP($C719,'_CONFIG_Risk_Calibration'!$A$5:$H$21,7,FALSE),1))</f>
        <v/>
      </c>
      <c r="BP719">
        <f>IF($H719="","",MAX(1,MIN(5,((6-$H719)*0.45)+($BJ719*0.20)+('Resilience &amp; Risk Scenario'!$B$7*0.15)+($BK719*0.10)+($BL719*0.05)+(IF($BB719="Fast",5,IF($BB719="Slow",1,3))*0.05))))</f>
        <v/>
      </c>
      <c r="BQ719">
        <f>IF($H719="","",MAX(IF($BN719="Yes",$BO719,1),MIN(5,($U719*0.20)+($V719*0.15)+($W719*0.25)+($X719*0.15)+($BJ719*0.10)+($BM719*0.15))))</f>
        <v/>
      </c>
      <c r="BR719">
        <f>IF(OR($BP719="",$BQ719=""),"",ROUND($BP719*$BQ719,2))</f>
        <v/>
      </c>
      <c r="BS719">
        <f>IF($BR719="","",ROUND($BR719*IF($AO719="",1,$AO719)*IF($AX719="",1,$AX719)*(1+(($BM719-3)*0.10))*IF($BC719="",1,$BC719),2))</f>
        <v/>
      </c>
    </row>
    <row r="720" ht="69.90000000000001" customHeight="1" s="209">
      <c r="A720">
        <f>IF($BD720="","",SUMPRODUCT(ISNUMBER($BD$500:$BD$923)*($BD$500:$BD$923&gt;$BD720))+COUNTIF($BD$500:$BD720,$BD720))</f>
        <v/>
      </c>
      <c r="B720">
        <f>IF($H720="","",IF($H720&lt;5,"Yes","Maintain"))</f>
        <v/>
      </c>
      <c r="C720" t="inlineStr">
        <is>
          <t>Supply Chain</t>
        </is>
      </c>
      <c r="D720" t="inlineStr">
        <is>
          <t>Orchestration and resilience</t>
        </is>
      </c>
      <c r="E720" t="inlineStr">
        <is>
          <t>SUPP-026</t>
        </is>
      </c>
      <c r="F720" t="inlineStr">
        <is>
          <t>Supply chain orchestration and resilience</t>
        </is>
      </c>
      <c r="G720">
        <f>IF($H720="","",IFERROR(INDEX('_ENGINE_Risk'!$H$41:$M$920,MATCH($E720,'_ENGINE_Risk'!$A$41:$A$920,0),$H720+1),""))</f>
        <v/>
      </c>
      <c r="H720">
        <f>IFERROR(VALUE(INDEX(_DATA_Assessment_Model!$H$5:$H$884,MATCH($E720,_DATA_Assessment_Model!$A$5:$A$884,0))),"")</f>
        <v/>
      </c>
      <c r="I720">
        <f>IF($H720="","",IFERROR(INDEX(_DATA_Assessment_Model!$L$5:$L$884,MATCH($E720,_DATA_Assessment_Model!$A$5:$A$884,0)),IF($H720&lt;=1,"Critical",IF($H720=2,"High",IF($H720=3,"Medium",IF($H720=4,"Low","Resilient"))))))</f>
        <v/>
      </c>
      <c r="J720">
        <f>IF($H720="","",MIN(5,MAX(1,6-$H720)))</f>
        <v/>
      </c>
      <c r="K720">
        <f>IF($H720="","",MAX(1,MIN(5,ROUNDUP(($U720*0.45)+($W720*0.35)+($X720*0.2),0))))</f>
        <v/>
      </c>
      <c r="L720">
        <f>IF($H720="","",$J720*$K720)</f>
        <v/>
      </c>
      <c r="M720">
        <f>IF($H720="","",MAX(1,MIN(5,ROUNDUP($L720/5,0))))</f>
        <v/>
      </c>
      <c r="N720">
        <f>IF($H720="","",IFERROR(INDEX('_ENGINE_Risk'!$T$41:$Y$920,MATCH($E720,'_ENGINE_Risk'!$A$41:$A$920,0),$H720+1),""))</f>
        <v/>
      </c>
      <c r="O720">
        <f>IF($H720="","",MAX(1,MIN(5,($U720+$V720+$X720)/3)))</f>
        <v/>
      </c>
      <c r="P720">
        <f>IF($H720="","",IF($I720="Critical",5,IF($I720="High",4,IF($I720="Medium",3,IF($I720="Low",2,1)))))</f>
        <v/>
      </c>
      <c r="Q720">
        <f>IF($H720="","",MAX(1,MIN(5,((5-$H720)*0.65)+($W720*0.35))))</f>
        <v/>
      </c>
      <c r="R720">
        <f>IF($H720="","",MAX(1,MIN(5,($V720+$X720)/2)))</f>
        <v/>
      </c>
      <c r="S720">
        <f>IF(OR($H720="",$N720=""),"",ROUND(($O720+$P720+$Q720+$R720)/$N720,2))</f>
        <v/>
      </c>
      <c r="T720">
        <f>IF($H720="","",IFERROR(INDEX('_ENGINE_Risk'!$N$41:$S$920,MATCH($E720,'_ENGINE_Risk'!$A$41:$A$920,0),$H720+1),""))</f>
        <v/>
      </c>
      <c r="U720">
        <f>IFERROR(INDEX(_DATA_Assessment_Model!$G$5:$G$884,MATCH($E720,_DATA_Assessment_Model!$A$5:$A$884,0)),"")</f>
        <v/>
      </c>
      <c r="V720">
        <f>IFERROR(INDEX(_DATA_Assessment_Model!$W$5:$W$884,MATCH($E720,_DATA_Assessment_Model!$A$5:$A$884,0)),"")</f>
        <v/>
      </c>
      <c r="W720">
        <f>IFERROR(INDEX(_DATA_Assessment_Model!$X$5:$X$884,MATCH($E720,_DATA_Assessment_Model!$A$5:$A$884,0)),"")</f>
        <v/>
      </c>
      <c r="X720">
        <f>IFERROR(INDEX(_DATA_Assessment_Model!$Y$5:$Y$884,MATCH($E720,_DATA_Assessment_Model!$A$5:$A$884,0)),"")</f>
        <v/>
      </c>
      <c r="Y720" t="inlineStr">
        <is>
          <t>Supplier/logistics disruption; Demand shock; Geopolitical risk</t>
        </is>
      </c>
      <c r="Z720" t="inlineStr">
        <is>
          <t>COO / Head of Supply Chain</t>
        </is>
      </c>
      <c r="AA720" t="inlineStr">
        <is>
          <t>Policy/SOP; owner/RACI; system report; dashboard; contracts; test records; incident history; interview evidence related to supply chain strategy aligned with business strategy and reviewed against scenarios and market shifts</t>
        </is>
      </c>
      <c r="AB720">
        <f>IFERROR(INDEX(_DATA_Assessment_Model!$U$5:$U$884,MATCH($E720,_DATA_Assessment_Model!$A$5:$A$884,0)),"")</f>
        <v/>
      </c>
      <c r="AF720" t="inlineStr">
        <is>
          <t>How mature is the organization in managing supply chain strategy aligned with business strategy and reviewed against scenarios and market shifts, including ownership, evidence, metrics, fallback procedures and crisis stress testing?</t>
        </is>
      </c>
      <c r="AO720">
        <f>IF($B720="Yes",IFERROR(INDEX(_ENGINE_Crisis!$F$501:$F$517,MATCH($C720,_ENGINE_Crisis!$A$501:$A$517,0)),1),"")</f>
        <v/>
      </c>
      <c r="AP720">
        <f>IF(AO720="","",ROUND($L720*AO720,1))</f>
        <v/>
      </c>
      <c r="AQ720">
        <f>IF(OR(AO720="",$S720=""),"",ROUND($S720*(0.7+0.3*AO720),2))</f>
        <v/>
      </c>
      <c r="AR720">
        <f>IFERROR(INDEX(_ENGINE_Crisis!$E$41:$E$700,MATCH('Resilience &amp; Risk Scenario'!$B$60&amp;"|"&amp;$C720,_ENGINE_Crisis!$I$41:$I$700,0)),"")</f>
        <v/>
      </c>
      <c r="AS720">
        <f>IFERROR(INDEX(_ENGINE_Crisis!$G$41:$G$700,MATCH('Resilience &amp; Risk Scenario'!$B$60&amp;"|"&amp;$C720,_ENGINE_Crisis!$I$41:$I$700,0)),"")</f>
        <v/>
      </c>
      <c r="AT720">
        <f>IFERROR(INDEX(_ENGINE_Initiatives!$A$5:$A$532,MATCH(1,INDEX((_ENGINE_Initiatives!$B$5:$B$532=$C720)*(_ENGINE_Initiatives!$C$5:$C$532=$D720),0),0)),"")</f>
        <v/>
      </c>
      <c r="AU720">
        <f>IFERROR(INDEX(_ENGINE_Initiatives!$F$5:$F$532,MATCH(1,INDEX((_ENGINE_Initiatives!$B$5:$B$532=$C720)*(_ENGINE_Initiatives!$C$5:$C$532=$D720),0),0)),"")</f>
        <v/>
      </c>
      <c r="AV720">
        <f>IFERROR(INDEX(_ENGINE_Initiatives!$AC$5:$AC$532,MATCH(1,INDEX((_ENGINE_Initiatives!$B$5:$B$532=$C720)*(_ENGINE_Initiatives!$C$5:$C$532=$D720),0),0)),"")</f>
        <v/>
      </c>
      <c r="AW720">
        <f>IFERROR(INDEX(_ENGINE_Initiatives!$AE$5:$AE$532,MATCH(1,INDEX((_ENGINE_Initiatives!$B$5:$B$532=$C720)*(_ENGINE_Initiatives!$C$5:$C$532=$D720),0),0)),"")</f>
        <v/>
      </c>
      <c r="AX720">
        <f>IF($B720="Yes",IFERROR(IF(SUMIFS(_REF_Model_Content!$E$1:$E$613,_REF_Model_Content!$A$1:$A$613,'Company Profile'!$B$9,_REF_Model_Content!$B$1:$B$613,$C720)=0,1,SUMIFS(_REF_Model_Content!$E$1:$E$613,_REF_Model_Content!$A$1:$A$613,'Company Profile'!$B$9,_REF_Model_Content!$B$1:$B$613,$C720)),1),"")</f>
        <v/>
      </c>
      <c r="AY720">
        <f>IF($L720="","",ROUND(IF($AP720="",$L720,$AP720)*IF($AX720="",1,$AX720),2))</f>
        <v/>
      </c>
      <c r="AZ720">
        <f>IF($S720="","",ROUND(IF($AQ720="",$S720,$AQ720)*IF($AX720="",1,$AX720),2))</f>
        <v/>
      </c>
      <c r="BB720">
        <f>IF($H720="","",IFERROR(INDEX('_ENGINE_Risk'!$AE$41:$AE$920,MATCH($E720,'_ENGINE_Risk'!$A$41:$A$920,0)),"Medium"))</f>
        <v/>
      </c>
      <c r="BC720">
        <f>IF($BB720="","",IF($BB720="Fast",1.25,IF($BB720="Slow",0.85,1)))</f>
        <v/>
      </c>
      <c r="BD720">
        <f>IF(OR($AZ720="",$BC720=""),"",ROUND($AZ720*$BC720,2))</f>
        <v/>
      </c>
      <c r="BF720">
        <f>IF(OR($H720="",$J720=""),"",_xlfn.IFNA(VLOOKUP($J720,_CONFIG_Model_Settings!$D$610:$E$614,2,0),""))</f>
        <v/>
      </c>
      <c r="BG720">
        <f>IF(OR($H720="",$K720=""),"",ROUND('Company Profile'!$B$569*INDEX(_CONFIG_Model_Settings!$H$610:$H$614,MATCH($K720,_CONFIG_Model_Settings!$G$610:$G$614,0)),0))</f>
        <v/>
      </c>
      <c r="BH720">
        <f>IF(OR($BF720="",$BG720=""),"",ROUND($BF720*$BG720,1))</f>
        <v/>
      </c>
      <c r="BI720">
        <f>IF($BH720="","",IF($AO720="",$BH720,ROUND($BH720*$AO720,1)))</f>
        <v/>
      </c>
      <c r="BJ720">
        <f>IF($E720="","",IFERROR(VLOOKUP($C720,'_CONFIG_Risk_Calibration'!$A$5:$H$21,2,FALSE),3))</f>
        <v/>
      </c>
      <c r="BK720">
        <f>IF($E720="","",IFERROR(VLOOKUP($C720,'_CONFIG_Risk_Calibration'!$A$5:$H$21,3,FALSE),0))</f>
        <v/>
      </c>
      <c r="BL720">
        <f>IF($E720="","",IFERROR(VLOOKUP($C720,'_CONFIG_Risk_Calibration'!$A$5:$H$21,4,FALSE),3))</f>
        <v/>
      </c>
      <c r="BM720">
        <f>IF($E720="","",IFERROR(VLOOKUP($C720,'_CONFIG_Risk_Calibration'!$A$5:$H$21,5,FALSE),3))</f>
        <v/>
      </c>
      <c r="BN720">
        <f>IF($E720="","",IFERROR(VLOOKUP($C720,'_CONFIG_Risk_Calibration'!$A$5:$H$21,6,FALSE),"No"))</f>
        <v/>
      </c>
      <c r="BO720">
        <f>IF($E720="","",IFERROR(VLOOKUP($C720,'_CONFIG_Risk_Calibration'!$A$5:$H$21,7,FALSE),1))</f>
        <v/>
      </c>
      <c r="BP720">
        <f>IF($H720="","",MAX(1,MIN(5,((6-$H720)*0.45)+($BJ720*0.20)+('Resilience &amp; Risk Scenario'!$B$7*0.15)+($BK720*0.10)+($BL720*0.05)+(IF($BB720="Fast",5,IF($BB720="Slow",1,3))*0.05))))</f>
        <v/>
      </c>
      <c r="BQ720">
        <f>IF($H720="","",MAX(IF($BN720="Yes",$BO720,1),MIN(5,($U720*0.20)+($V720*0.15)+($W720*0.25)+($X720*0.15)+($BJ720*0.10)+($BM720*0.15))))</f>
        <v/>
      </c>
      <c r="BR720">
        <f>IF(OR($BP720="",$BQ720=""),"",ROUND($BP720*$BQ720,2))</f>
        <v/>
      </c>
      <c r="BS720">
        <f>IF($BR720="","",ROUND($BR720*IF($AO720="",1,$AO720)*IF($AX720="",1,$AX720)*(1+(($BM720-3)*0.10))*IF($BC720="",1,$BC720),2))</f>
        <v/>
      </c>
    </row>
    <row r="721" ht="69.90000000000001" customHeight="1" s="209">
      <c r="A721">
        <f>IF($BD721="","",SUMPRODUCT(ISNUMBER($BD$500:$BD$923)*($BD$500:$BD$923&gt;$BD721))+COUNTIF($BD$500:$BD721,$BD721))</f>
        <v/>
      </c>
      <c r="B721">
        <f>IF($H721="","",IF($H721&lt;5,"Yes","Maintain"))</f>
        <v/>
      </c>
      <c r="C721" t="inlineStr">
        <is>
          <t>Supply Chain</t>
        </is>
      </c>
      <c r="D721" t="inlineStr">
        <is>
          <t>Orchestration and resilience</t>
        </is>
      </c>
      <c r="E721" t="inlineStr">
        <is>
          <t>SUPP-027</t>
        </is>
      </c>
      <c r="F721" t="inlineStr">
        <is>
          <t>Supply chain orchestration and resilience</t>
        </is>
      </c>
      <c r="G721">
        <f>IF($H721="","",IFERROR(INDEX('_ENGINE_Risk'!$H$41:$M$920,MATCH($E721,'_ENGINE_Risk'!$A$41:$A$920,0),$H721+1),""))</f>
        <v/>
      </c>
      <c r="H721">
        <f>IFERROR(VALUE(INDEX(_DATA_Assessment_Model!$H$5:$H$884,MATCH($E721,_DATA_Assessment_Model!$A$5:$A$884,0))),"")</f>
        <v/>
      </c>
      <c r="I721">
        <f>IF($H721="","",IFERROR(INDEX(_DATA_Assessment_Model!$L$5:$L$884,MATCH($E721,_DATA_Assessment_Model!$A$5:$A$884,0)),IF($H721&lt;=1,"Critical",IF($H721=2,"High",IF($H721=3,"Medium",IF($H721=4,"Low","Resilient"))))))</f>
        <v/>
      </c>
      <c r="J721">
        <f>IF($H721="","",MIN(5,MAX(1,6-$H721)))</f>
        <v/>
      </c>
      <c r="K721">
        <f>IF($H721="","",MAX(1,MIN(5,ROUNDUP(($U721*0.45)+($W721*0.35)+($X721*0.2),0))))</f>
        <v/>
      </c>
      <c r="L721">
        <f>IF($H721="","",$J721*$K721)</f>
        <v/>
      </c>
      <c r="M721">
        <f>IF($H721="","",MAX(1,MIN(5,ROUNDUP($L721/5,0))))</f>
        <v/>
      </c>
      <c r="N721">
        <f>IF($H721="","",IFERROR(INDEX('_ENGINE_Risk'!$T$41:$Y$920,MATCH($E721,'_ENGINE_Risk'!$A$41:$A$920,0),$H721+1),""))</f>
        <v/>
      </c>
      <c r="O721">
        <f>IF($H721="","",MAX(1,MIN(5,($U721+$V721+$X721)/3)))</f>
        <v/>
      </c>
      <c r="P721">
        <f>IF($H721="","",IF($I721="Critical",5,IF($I721="High",4,IF($I721="Medium",3,IF($I721="Low",2,1)))))</f>
        <v/>
      </c>
      <c r="Q721">
        <f>IF($H721="","",MAX(1,MIN(5,((5-$H721)*0.65)+($W721*0.35))))</f>
        <v/>
      </c>
      <c r="R721">
        <f>IF($H721="","",MAX(1,MIN(5,($V721+$X721)/2)))</f>
        <v/>
      </c>
      <c r="S721">
        <f>IF(OR($H721="",$N721=""),"",ROUND(($O721+$P721+$Q721+$R721)/$N721,2))</f>
        <v/>
      </c>
      <c r="T721">
        <f>IF($H721="","",IFERROR(INDEX('_ENGINE_Risk'!$N$41:$S$920,MATCH($E721,'_ENGINE_Risk'!$A$41:$A$920,0),$H721+1),""))</f>
        <v/>
      </c>
      <c r="U721">
        <f>IFERROR(INDEX(_DATA_Assessment_Model!$G$5:$G$884,MATCH($E721,_DATA_Assessment_Model!$A$5:$A$884,0)),"")</f>
        <v/>
      </c>
      <c r="V721">
        <f>IFERROR(INDEX(_DATA_Assessment_Model!$W$5:$W$884,MATCH($E721,_DATA_Assessment_Model!$A$5:$A$884,0)),"")</f>
        <v/>
      </c>
      <c r="W721">
        <f>IFERROR(INDEX(_DATA_Assessment_Model!$X$5:$X$884,MATCH($E721,_DATA_Assessment_Model!$A$5:$A$884,0)),"")</f>
        <v/>
      </c>
      <c r="X721">
        <f>IFERROR(INDEX(_DATA_Assessment_Model!$Y$5:$Y$884,MATCH($E721,_DATA_Assessment_Model!$A$5:$A$884,0)),"")</f>
        <v/>
      </c>
      <c r="Y721" t="inlineStr">
        <is>
          <t>Supplier/logistics disruption; War/security crisis; Natural disaster</t>
        </is>
      </c>
      <c r="Z721" t="inlineStr">
        <is>
          <t>Head of Supply Chain / Risk</t>
        </is>
      </c>
      <c r="AA721" t="inlineStr">
        <is>
          <t>Policy/SOP; owner/RACI; system report; dashboard; contracts; test records; incident history; interview evidence related to supply chain risk and resilience management with time-to-recovery and time-to-survive analysis for critical nodes</t>
        </is>
      </c>
      <c r="AB721">
        <f>IFERROR(INDEX(_DATA_Assessment_Model!$U$5:$U$884,MATCH($E721,_DATA_Assessment_Model!$A$5:$A$884,0)),"")</f>
        <v/>
      </c>
      <c r="AF721" t="inlineStr">
        <is>
          <t>How mature is the organization in managing supply chain risk and resilience management with time-to-recovery and time-to-survive analysis for critical nodes, including ownership, evidence, metrics, fallback procedures and crisis stress testing?</t>
        </is>
      </c>
      <c r="AO721">
        <f>IF($B721="Yes",IFERROR(INDEX(_ENGINE_Crisis!$F$501:$F$517,MATCH($C721,_ENGINE_Crisis!$A$501:$A$517,0)),1),"")</f>
        <v/>
      </c>
      <c r="AP721">
        <f>IF(AO721="","",ROUND($L721*AO721,1))</f>
        <v/>
      </c>
      <c r="AQ721">
        <f>IF(OR(AO721="",$S721=""),"",ROUND($S721*(0.7+0.3*AO721),2))</f>
        <v/>
      </c>
      <c r="AR721">
        <f>IFERROR(INDEX(_ENGINE_Crisis!$E$41:$E$700,MATCH('Resilience &amp; Risk Scenario'!$B$60&amp;"|"&amp;$C721,_ENGINE_Crisis!$I$41:$I$700,0)),"")</f>
        <v/>
      </c>
      <c r="AS721">
        <f>IFERROR(INDEX(_ENGINE_Crisis!$G$41:$G$700,MATCH('Resilience &amp; Risk Scenario'!$B$60&amp;"|"&amp;$C721,_ENGINE_Crisis!$I$41:$I$700,0)),"")</f>
        <v/>
      </c>
      <c r="AT721">
        <f>IFERROR(INDEX(_ENGINE_Initiatives!$A$5:$A$532,MATCH(1,INDEX((_ENGINE_Initiatives!$B$5:$B$532=$C721)*(_ENGINE_Initiatives!$C$5:$C$532=$D721),0),0)),"")</f>
        <v/>
      </c>
      <c r="AU721">
        <f>IFERROR(INDEX(_ENGINE_Initiatives!$F$5:$F$532,MATCH(1,INDEX((_ENGINE_Initiatives!$B$5:$B$532=$C721)*(_ENGINE_Initiatives!$C$5:$C$532=$D721),0),0)),"")</f>
        <v/>
      </c>
      <c r="AV721">
        <f>IFERROR(INDEX(_ENGINE_Initiatives!$AC$5:$AC$532,MATCH(1,INDEX((_ENGINE_Initiatives!$B$5:$B$532=$C721)*(_ENGINE_Initiatives!$C$5:$C$532=$D721),0),0)),"")</f>
        <v/>
      </c>
      <c r="AW721">
        <f>IFERROR(INDEX(_ENGINE_Initiatives!$AE$5:$AE$532,MATCH(1,INDEX((_ENGINE_Initiatives!$B$5:$B$532=$C721)*(_ENGINE_Initiatives!$C$5:$C$532=$D721),0),0)),"")</f>
        <v/>
      </c>
      <c r="AX721">
        <f>IF($B721="Yes",IFERROR(IF(SUMIFS(_REF_Model_Content!$E$1:$E$613,_REF_Model_Content!$A$1:$A$613,'Company Profile'!$B$9,_REF_Model_Content!$B$1:$B$613,$C721)=0,1,SUMIFS(_REF_Model_Content!$E$1:$E$613,_REF_Model_Content!$A$1:$A$613,'Company Profile'!$B$9,_REF_Model_Content!$B$1:$B$613,$C721)),1),"")</f>
        <v/>
      </c>
      <c r="AY721">
        <f>IF($L721="","",ROUND(IF($AP721="",$L721,$AP721)*IF($AX721="",1,$AX721),2))</f>
        <v/>
      </c>
      <c r="AZ721">
        <f>IF($S721="","",ROUND(IF($AQ721="",$S721,$AQ721)*IF($AX721="",1,$AX721),2))</f>
        <v/>
      </c>
      <c r="BB721">
        <f>IF($H721="","",IFERROR(INDEX('_ENGINE_Risk'!$AE$41:$AE$920,MATCH($E721,'_ENGINE_Risk'!$A$41:$A$920,0)),"Medium"))</f>
        <v/>
      </c>
      <c r="BC721">
        <f>IF($BB721="","",IF($BB721="Fast",1.25,IF($BB721="Slow",0.85,1)))</f>
        <v/>
      </c>
      <c r="BD721">
        <f>IF(OR($AZ721="",$BC721=""),"",ROUND($AZ721*$BC721,2))</f>
        <v/>
      </c>
      <c r="BF721">
        <f>IF(OR($H721="",$J721=""),"",_xlfn.IFNA(VLOOKUP($J721,_CONFIG_Model_Settings!$D$610:$E$614,2,0),""))</f>
        <v/>
      </c>
      <c r="BG721">
        <f>IF(OR($H721="",$K721=""),"",ROUND('Company Profile'!$B$569*INDEX(_CONFIG_Model_Settings!$H$610:$H$614,MATCH($K721,_CONFIG_Model_Settings!$G$610:$G$614,0)),0))</f>
        <v/>
      </c>
      <c r="BH721">
        <f>IF(OR($BF721="",$BG721=""),"",ROUND($BF721*$BG721,1))</f>
        <v/>
      </c>
      <c r="BI721">
        <f>IF($BH721="","",IF($AO721="",$BH721,ROUND($BH721*$AO721,1)))</f>
        <v/>
      </c>
      <c r="BJ721">
        <f>IF($E721="","",IFERROR(VLOOKUP($C721,'_CONFIG_Risk_Calibration'!$A$5:$H$21,2,FALSE),3))</f>
        <v/>
      </c>
      <c r="BK721">
        <f>IF($E721="","",IFERROR(VLOOKUP($C721,'_CONFIG_Risk_Calibration'!$A$5:$H$21,3,FALSE),0))</f>
        <v/>
      </c>
      <c r="BL721">
        <f>IF($E721="","",IFERROR(VLOOKUP($C721,'_CONFIG_Risk_Calibration'!$A$5:$H$21,4,FALSE),3))</f>
        <v/>
      </c>
      <c r="BM721">
        <f>IF($E721="","",IFERROR(VLOOKUP($C721,'_CONFIG_Risk_Calibration'!$A$5:$H$21,5,FALSE),3))</f>
        <v/>
      </c>
      <c r="BN721">
        <f>IF($E721="","",IFERROR(VLOOKUP($C721,'_CONFIG_Risk_Calibration'!$A$5:$H$21,6,FALSE),"No"))</f>
        <v/>
      </c>
      <c r="BO721">
        <f>IF($E721="","",IFERROR(VLOOKUP($C721,'_CONFIG_Risk_Calibration'!$A$5:$H$21,7,FALSE),1))</f>
        <v/>
      </c>
      <c r="BP721">
        <f>IF($H721="","",MAX(1,MIN(5,((6-$H721)*0.45)+($BJ721*0.20)+('Resilience &amp; Risk Scenario'!$B$7*0.15)+($BK721*0.10)+($BL721*0.05)+(IF($BB721="Fast",5,IF($BB721="Slow",1,3))*0.05))))</f>
        <v/>
      </c>
      <c r="BQ721">
        <f>IF($H721="","",MAX(IF($BN721="Yes",$BO721,1),MIN(5,($U721*0.20)+($V721*0.15)+($W721*0.25)+($X721*0.15)+($BJ721*0.10)+($BM721*0.15))))</f>
        <v/>
      </c>
      <c r="BR721">
        <f>IF(OR($BP721="",$BQ721=""),"",ROUND($BP721*$BQ721,2))</f>
        <v/>
      </c>
      <c r="BS721">
        <f>IF($BR721="","",ROUND($BR721*IF($AO721="",1,$AO721)*IF($AX721="",1,$AX721)*(1+(($BM721-3)*0.10))*IF($BC721="",1,$BC721),2))</f>
        <v/>
      </c>
    </row>
    <row r="722" ht="69.90000000000001" customHeight="1" s="209">
      <c r="A722">
        <f>IF($BD722="","",SUMPRODUCT(ISNUMBER($BD$500:$BD$923)*($BD$500:$BD$923&gt;$BD722))+COUNTIF($BD$500:$BD722,$BD722))</f>
        <v/>
      </c>
      <c r="B722">
        <f>IF($H722="","",IF($H722&lt;5,"Yes","Maintain"))</f>
        <v/>
      </c>
      <c r="C722" t="inlineStr">
        <is>
          <t>Supply Chain</t>
        </is>
      </c>
      <c r="D722" t="inlineStr">
        <is>
          <t>Orchestration and resilience</t>
        </is>
      </c>
      <c r="E722" t="inlineStr">
        <is>
          <t>SUPP-028</t>
        </is>
      </c>
      <c r="F722" t="inlineStr">
        <is>
          <t>Supply chain orchestration and resilience</t>
        </is>
      </c>
      <c r="G722">
        <f>IF($H722="","",IFERROR(INDEX('_ENGINE_Risk'!$H$41:$M$920,MATCH($E722,'_ENGINE_Risk'!$A$41:$A$920,0),$H722+1),""))</f>
        <v/>
      </c>
      <c r="H722">
        <f>IFERROR(VALUE(INDEX(_DATA_Assessment_Model!$H$5:$H$884,MATCH($E722,_DATA_Assessment_Model!$A$5:$A$884,0))),"")</f>
        <v/>
      </c>
      <c r="I722">
        <f>IF($H722="","",IFERROR(INDEX(_DATA_Assessment_Model!$L$5:$L$884,MATCH($E722,_DATA_Assessment_Model!$A$5:$A$884,0)),IF($H722&lt;=1,"Critical",IF($H722=2,"High",IF($H722=3,"Medium",IF($H722=4,"Low","Resilient"))))))</f>
        <v/>
      </c>
      <c r="J722">
        <f>IF($H722="","",MIN(5,MAX(1,6-$H722)))</f>
        <v/>
      </c>
      <c r="K722">
        <f>IF($H722="","",MAX(1,MIN(5,ROUNDUP(($U722*0.45)+($W722*0.35)+($X722*0.2),0))))</f>
        <v/>
      </c>
      <c r="L722">
        <f>IF($H722="","",$J722*$K722)</f>
        <v/>
      </c>
      <c r="M722">
        <f>IF($H722="","",MAX(1,MIN(5,ROUNDUP($L722/5,0))))</f>
        <v/>
      </c>
      <c r="N722">
        <f>IF($H722="","",IFERROR(INDEX('_ENGINE_Risk'!$T$41:$Y$920,MATCH($E722,'_ENGINE_Risk'!$A$41:$A$920,0),$H722+1),""))</f>
        <v/>
      </c>
      <c r="O722">
        <f>IF($H722="","",MAX(1,MIN(5,($U722+$V722+$X722)/3)))</f>
        <v/>
      </c>
      <c r="P722">
        <f>IF($H722="","",IF($I722="Critical",5,IF($I722="High",4,IF($I722="Medium",3,IF($I722="Low",2,1)))))</f>
        <v/>
      </c>
      <c r="Q722">
        <f>IF($H722="","",MAX(1,MIN(5,((5-$H722)*0.65)+($W722*0.35))))</f>
        <v/>
      </c>
      <c r="R722">
        <f>IF($H722="","",MAX(1,MIN(5,($V722+$X722)/2)))</f>
        <v/>
      </c>
      <c r="S722">
        <f>IF(OR($H722="",$N722=""),"",ROUND(($O722+$P722+$Q722+$R722)/$N722,2))</f>
        <v/>
      </c>
      <c r="T722">
        <f>IF($H722="","",IFERROR(INDEX('_ENGINE_Risk'!$N$41:$S$920,MATCH($E722,'_ENGINE_Risk'!$A$41:$A$920,0),$H722+1),""))</f>
        <v/>
      </c>
      <c r="U722">
        <f>IFERROR(INDEX(_DATA_Assessment_Model!$G$5:$G$884,MATCH($E722,_DATA_Assessment_Model!$A$5:$A$884,0)),"")</f>
        <v/>
      </c>
      <c r="V722">
        <f>IFERROR(INDEX(_DATA_Assessment_Model!$W$5:$W$884,MATCH($E722,_DATA_Assessment_Model!$A$5:$A$884,0)),"")</f>
        <v/>
      </c>
      <c r="W722">
        <f>IFERROR(INDEX(_DATA_Assessment_Model!$X$5:$X$884,MATCH($E722,_DATA_Assessment_Model!$A$5:$A$884,0)),"")</f>
        <v/>
      </c>
      <c r="X722">
        <f>IFERROR(INDEX(_DATA_Assessment_Model!$Y$5:$Y$884,MATCH($E722,_DATA_Assessment_Model!$A$5:$A$884,0)),"")</f>
        <v/>
      </c>
      <c r="Y722" t="inlineStr">
        <is>
          <t>Demand shock; Supplier/logistics disruption</t>
        </is>
      </c>
      <c r="Z722" t="inlineStr">
        <is>
          <t>Head of Supply Chain</t>
        </is>
      </c>
      <c r="AA722" t="inlineStr">
        <is>
          <t>Policy/SOP; owner/RACI; system report; dashboard; contracts; test records; incident history; interview evidence related to supply chain agility measurement covering upside and downside flexibility and adaptability metrics</t>
        </is>
      </c>
      <c r="AB722">
        <f>IFERROR(INDEX(_DATA_Assessment_Model!$U$5:$U$884,MATCH($E722,_DATA_Assessment_Model!$A$5:$A$884,0)),"")</f>
        <v/>
      </c>
      <c r="AF722" t="inlineStr">
        <is>
          <t>How mature is the organization in managing supply chain agility measurement covering upside and downside flexibility and adaptability metrics, including ownership, evidence, metrics, fallback procedures and crisis stress testing?</t>
        </is>
      </c>
      <c r="AO722">
        <f>IF($B722="Yes",IFERROR(INDEX(_ENGINE_Crisis!$F$501:$F$517,MATCH($C722,_ENGINE_Crisis!$A$501:$A$517,0)),1),"")</f>
        <v/>
      </c>
      <c r="AP722">
        <f>IF(AO722="","",ROUND($L722*AO722,1))</f>
        <v/>
      </c>
      <c r="AQ722">
        <f>IF(OR(AO722="",$S722=""),"",ROUND($S722*(0.7+0.3*AO722),2))</f>
        <v/>
      </c>
      <c r="AR722">
        <f>IFERROR(INDEX(_ENGINE_Crisis!$E$41:$E$700,MATCH('Resilience &amp; Risk Scenario'!$B$60&amp;"|"&amp;$C722,_ENGINE_Crisis!$I$41:$I$700,0)),"")</f>
        <v/>
      </c>
      <c r="AS722">
        <f>IFERROR(INDEX(_ENGINE_Crisis!$G$41:$G$700,MATCH('Resilience &amp; Risk Scenario'!$B$60&amp;"|"&amp;$C722,_ENGINE_Crisis!$I$41:$I$700,0)),"")</f>
        <v/>
      </c>
      <c r="AT722">
        <f>IFERROR(INDEX(_ENGINE_Initiatives!$A$5:$A$532,MATCH(1,INDEX((_ENGINE_Initiatives!$B$5:$B$532=$C722)*(_ENGINE_Initiatives!$C$5:$C$532=$D722),0),0)),"")</f>
        <v/>
      </c>
      <c r="AU722">
        <f>IFERROR(INDEX(_ENGINE_Initiatives!$F$5:$F$532,MATCH(1,INDEX((_ENGINE_Initiatives!$B$5:$B$532=$C722)*(_ENGINE_Initiatives!$C$5:$C$532=$D722),0),0)),"")</f>
        <v/>
      </c>
      <c r="AV722">
        <f>IFERROR(INDEX(_ENGINE_Initiatives!$AC$5:$AC$532,MATCH(1,INDEX((_ENGINE_Initiatives!$B$5:$B$532=$C722)*(_ENGINE_Initiatives!$C$5:$C$532=$D722),0),0)),"")</f>
        <v/>
      </c>
      <c r="AW722">
        <f>IFERROR(INDEX(_ENGINE_Initiatives!$AE$5:$AE$532,MATCH(1,INDEX((_ENGINE_Initiatives!$B$5:$B$532=$C722)*(_ENGINE_Initiatives!$C$5:$C$532=$D722),0),0)),"")</f>
        <v/>
      </c>
      <c r="AX722">
        <f>IF($B722="Yes",IFERROR(IF(SUMIFS(_REF_Model_Content!$E$1:$E$613,_REF_Model_Content!$A$1:$A$613,'Company Profile'!$B$9,_REF_Model_Content!$B$1:$B$613,$C722)=0,1,SUMIFS(_REF_Model_Content!$E$1:$E$613,_REF_Model_Content!$A$1:$A$613,'Company Profile'!$B$9,_REF_Model_Content!$B$1:$B$613,$C722)),1),"")</f>
        <v/>
      </c>
      <c r="AY722">
        <f>IF($L722="","",ROUND(IF($AP722="",$L722,$AP722)*IF($AX722="",1,$AX722),2))</f>
        <v/>
      </c>
      <c r="AZ722">
        <f>IF($S722="","",ROUND(IF($AQ722="",$S722,$AQ722)*IF($AX722="",1,$AX722),2))</f>
        <v/>
      </c>
      <c r="BB722">
        <f>IF($H722="","",IFERROR(INDEX('_ENGINE_Risk'!$AE$41:$AE$920,MATCH($E722,'_ENGINE_Risk'!$A$41:$A$920,0)),"Medium"))</f>
        <v/>
      </c>
      <c r="BC722">
        <f>IF($BB722="","",IF($BB722="Fast",1.25,IF($BB722="Slow",0.85,1)))</f>
        <v/>
      </c>
      <c r="BD722">
        <f>IF(OR($AZ722="",$BC722=""),"",ROUND($AZ722*$BC722,2))</f>
        <v/>
      </c>
      <c r="BF722">
        <f>IF(OR($H722="",$J722=""),"",_xlfn.IFNA(VLOOKUP($J722,_CONFIG_Model_Settings!$D$610:$E$614,2,0),""))</f>
        <v/>
      </c>
      <c r="BG722">
        <f>IF(OR($H722="",$K722=""),"",ROUND('Company Profile'!$B$569*INDEX(_CONFIG_Model_Settings!$H$610:$H$614,MATCH($K722,_CONFIG_Model_Settings!$G$610:$G$614,0)),0))</f>
        <v/>
      </c>
      <c r="BH722">
        <f>IF(OR($BF722="",$BG722=""),"",ROUND($BF722*$BG722,1))</f>
        <v/>
      </c>
      <c r="BI722">
        <f>IF($BH722="","",IF($AO722="",$BH722,ROUND($BH722*$AO722,1)))</f>
        <v/>
      </c>
      <c r="BJ722">
        <f>IF($E722="","",IFERROR(VLOOKUP($C722,'_CONFIG_Risk_Calibration'!$A$5:$H$21,2,FALSE),3))</f>
        <v/>
      </c>
      <c r="BK722">
        <f>IF($E722="","",IFERROR(VLOOKUP($C722,'_CONFIG_Risk_Calibration'!$A$5:$H$21,3,FALSE),0))</f>
        <v/>
      </c>
      <c r="BL722">
        <f>IF($E722="","",IFERROR(VLOOKUP($C722,'_CONFIG_Risk_Calibration'!$A$5:$H$21,4,FALSE),3))</f>
        <v/>
      </c>
      <c r="BM722">
        <f>IF($E722="","",IFERROR(VLOOKUP($C722,'_CONFIG_Risk_Calibration'!$A$5:$H$21,5,FALSE),3))</f>
        <v/>
      </c>
      <c r="BN722">
        <f>IF($E722="","",IFERROR(VLOOKUP($C722,'_CONFIG_Risk_Calibration'!$A$5:$H$21,6,FALSE),"No"))</f>
        <v/>
      </c>
      <c r="BO722">
        <f>IF($E722="","",IFERROR(VLOOKUP($C722,'_CONFIG_Risk_Calibration'!$A$5:$H$21,7,FALSE),1))</f>
        <v/>
      </c>
      <c r="BP722">
        <f>IF($H722="","",MAX(1,MIN(5,((6-$H722)*0.45)+($BJ722*0.20)+('Resilience &amp; Risk Scenario'!$B$7*0.15)+($BK722*0.10)+($BL722*0.05)+(IF($BB722="Fast",5,IF($BB722="Slow",1,3))*0.05))))</f>
        <v/>
      </c>
      <c r="BQ722">
        <f>IF($H722="","",MAX(IF($BN722="Yes",$BO722,1),MIN(5,($U722*0.20)+($V722*0.15)+($W722*0.25)+($X722*0.15)+($BJ722*0.10)+($BM722*0.15))))</f>
        <v/>
      </c>
      <c r="BR722">
        <f>IF(OR($BP722="",$BQ722=""),"",ROUND($BP722*$BQ722,2))</f>
        <v/>
      </c>
      <c r="BS722">
        <f>IF($BR722="","",ROUND($BR722*IF($AO722="",1,$AO722)*IF($AX722="",1,$AX722)*(1+(($BM722-3)*0.10))*IF($BC722="",1,$BC722),2))</f>
        <v/>
      </c>
    </row>
    <row r="723" ht="69.90000000000001" customHeight="1" s="209">
      <c r="A723">
        <f>IF($BD723="","",SUMPRODUCT(ISNUMBER($BD$500:$BD$923)*($BD$500:$BD$923&gt;$BD723))+COUNTIF($BD$500:$BD723,$BD723))</f>
        <v/>
      </c>
      <c r="B723">
        <f>IF($H723="","",IF($H723&lt;5,"Yes","Maintain"))</f>
        <v/>
      </c>
      <c r="C723" t="inlineStr">
        <is>
          <t>Supply Chain</t>
        </is>
      </c>
      <c r="D723" t="inlineStr">
        <is>
          <t>Orchestration and resilience</t>
        </is>
      </c>
      <c r="E723" t="inlineStr">
        <is>
          <t>SUPP-029</t>
        </is>
      </c>
      <c r="F723" t="inlineStr">
        <is>
          <t>Supply chain orchestration and resilience</t>
        </is>
      </c>
      <c r="G723">
        <f>IF($H723="","",IFERROR(INDEX('_ENGINE_Risk'!$H$41:$M$920,MATCH($E723,'_ENGINE_Risk'!$A$41:$A$920,0),$H723+1),""))</f>
        <v/>
      </c>
      <c r="H723">
        <f>IFERROR(VALUE(INDEX(_DATA_Assessment_Model!$H$5:$H$884,MATCH($E723,_DATA_Assessment_Model!$A$5:$A$884,0))),"")</f>
        <v/>
      </c>
      <c r="I723">
        <f>IF($H723="","",IFERROR(INDEX(_DATA_Assessment_Model!$L$5:$L$884,MATCH($E723,_DATA_Assessment_Model!$A$5:$A$884,0)),IF($H723&lt;=1,"Critical",IF($H723=2,"High",IF($H723=3,"Medium",IF($H723=4,"Low","Resilient"))))))</f>
        <v/>
      </c>
      <c r="J723">
        <f>IF($H723="","",MIN(5,MAX(1,6-$H723)))</f>
        <v/>
      </c>
      <c r="K723">
        <f>IF($H723="","",MAX(1,MIN(5,ROUNDUP(($U723*0.45)+($W723*0.35)+($X723*0.2),0))))</f>
        <v/>
      </c>
      <c r="L723">
        <f>IF($H723="","",$J723*$K723)</f>
        <v/>
      </c>
      <c r="M723">
        <f>IF($H723="","",MAX(1,MIN(5,ROUNDUP($L723/5,0))))</f>
        <v/>
      </c>
      <c r="N723">
        <f>IF($H723="","",IFERROR(INDEX('_ENGINE_Risk'!$T$41:$Y$920,MATCH($E723,'_ENGINE_Risk'!$A$41:$A$920,0),$H723+1),""))</f>
        <v/>
      </c>
      <c r="O723">
        <f>IF($H723="","",MAX(1,MIN(5,($U723+$V723+$X723)/3)))</f>
        <v/>
      </c>
      <c r="P723">
        <f>IF($H723="","",IF($I723="Critical",5,IF($I723="High",4,IF($I723="Medium",3,IF($I723="Low",2,1)))))</f>
        <v/>
      </c>
      <c r="Q723">
        <f>IF($H723="","",MAX(1,MIN(5,((5-$H723)*0.65)+($W723*0.35))))</f>
        <v/>
      </c>
      <c r="R723">
        <f>IF($H723="","",MAX(1,MIN(5,($V723+$X723)/2)))</f>
        <v/>
      </c>
      <c r="S723">
        <f>IF(OR($H723="",$N723=""),"",ROUND(($O723+$P723+$Q723+$R723)/$N723,2))</f>
        <v/>
      </c>
      <c r="T723">
        <f>IF($H723="","",IFERROR(INDEX('_ENGINE_Risk'!$N$41:$S$920,MATCH($E723,'_ENGINE_Risk'!$A$41:$A$920,0),$H723+1),""))</f>
        <v/>
      </c>
      <c r="U723">
        <f>IFERROR(INDEX(_DATA_Assessment_Model!$G$5:$G$884,MATCH($E723,_DATA_Assessment_Model!$A$5:$A$884,0)),"")</f>
        <v/>
      </c>
      <c r="V723">
        <f>IFERROR(INDEX(_DATA_Assessment_Model!$W$5:$W$884,MATCH($E723,_DATA_Assessment_Model!$A$5:$A$884,0)),"")</f>
        <v/>
      </c>
      <c r="W723">
        <f>IFERROR(INDEX(_DATA_Assessment_Model!$X$5:$X$884,MATCH($E723,_DATA_Assessment_Model!$A$5:$A$884,0)),"")</f>
        <v/>
      </c>
      <c r="X723">
        <f>IFERROR(INDEX(_DATA_Assessment_Model!$Y$5:$Y$884,MATCH($E723,_DATA_Assessment_Model!$A$5:$A$884,0)),"")</f>
        <v/>
      </c>
      <c r="Y723" t="inlineStr">
        <is>
          <t>Supplier/logistics disruption; Geopolitical risk; Natural disaster</t>
        </is>
      </c>
      <c r="Z723" t="inlineStr">
        <is>
          <t>COO / Head of Supply Chain</t>
        </is>
      </c>
      <c r="AA723" t="inlineStr">
        <is>
          <t>Policy/SOP; owner/RACI; system report; dashboard; contracts; test records; incident history; interview evidence related to periodic supply network design review stress-testing nodes, routes and capacity against crisis scenarios</t>
        </is>
      </c>
      <c r="AB723">
        <f>IFERROR(INDEX(_DATA_Assessment_Model!$U$5:$U$884,MATCH($E723,_DATA_Assessment_Model!$A$5:$A$884,0)),"")</f>
        <v/>
      </c>
      <c r="AF723" t="inlineStr">
        <is>
          <t>How mature is the organization in managing periodic supply network design review stress-testing nodes, routes and capacity against crisis scenarios, including ownership, evidence, metrics, fallback procedures and crisis stress testing?</t>
        </is>
      </c>
      <c r="AO723">
        <f>IF($B723="Yes",IFERROR(INDEX(_ENGINE_Crisis!$F$501:$F$517,MATCH($C723,_ENGINE_Crisis!$A$501:$A$517,0)),1),"")</f>
        <v/>
      </c>
      <c r="AP723">
        <f>IF(AO723="","",ROUND($L723*AO723,1))</f>
        <v/>
      </c>
      <c r="AQ723">
        <f>IF(OR(AO723="",$S723=""),"",ROUND($S723*(0.7+0.3*AO723),2))</f>
        <v/>
      </c>
      <c r="AR723">
        <f>IFERROR(INDEX(_ENGINE_Crisis!$E$41:$E$700,MATCH('Resilience &amp; Risk Scenario'!$B$60&amp;"|"&amp;$C723,_ENGINE_Crisis!$I$41:$I$700,0)),"")</f>
        <v/>
      </c>
      <c r="AS723">
        <f>IFERROR(INDEX(_ENGINE_Crisis!$G$41:$G$700,MATCH('Resilience &amp; Risk Scenario'!$B$60&amp;"|"&amp;$C723,_ENGINE_Crisis!$I$41:$I$700,0)),"")</f>
        <v/>
      </c>
      <c r="AT723">
        <f>IFERROR(INDEX(_ENGINE_Initiatives!$A$5:$A$532,MATCH(1,INDEX((_ENGINE_Initiatives!$B$5:$B$532=$C723)*(_ENGINE_Initiatives!$C$5:$C$532=$D723),0),0)),"")</f>
        <v/>
      </c>
      <c r="AU723">
        <f>IFERROR(INDEX(_ENGINE_Initiatives!$F$5:$F$532,MATCH(1,INDEX((_ENGINE_Initiatives!$B$5:$B$532=$C723)*(_ENGINE_Initiatives!$C$5:$C$532=$D723),0),0)),"")</f>
        <v/>
      </c>
      <c r="AV723">
        <f>IFERROR(INDEX(_ENGINE_Initiatives!$AC$5:$AC$532,MATCH(1,INDEX((_ENGINE_Initiatives!$B$5:$B$532=$C723)*(_ENGINE_Initiatives!$C$5:$C$532=$D723),0),0)),"")</f>
        <v/>
      </c>
      <c r="AW723">
        <f>IFERROR(INDEX(_ENGINE_Initiatives!$AE$5:$AE$532,MATCH(1,INDEX((_ENGINE_Initiatives!$B$5:$B$532=$C723)*(_ENGINE_Initiatives!$C$5:$C$532=$D723),0),0)),"")</f>
        <v/>
      </c>
      <c r="AX723">
        <f>IF($B723="Yes",IFERROR(IF(SUMIFS(_REF_Model_Content!$E$1:$E$613,_REF_Model_Content!$A$1:$A$613,'Company Profile'!$B$9,_REF_Model_Content!$B$1:$B$613,$C723)=0,1,SUMIFS(_REF_Model_Content!$E$1:$E$613,_REF_Model_Content!$A$1:$A$613,'Company Profile'!$B$9,_REF_Model_Content!$B$1:$B$613,$C723)),1),"")</f>
        <v/>
      </c>
      <c r="AY723">
        <f>IF($L723="","",ROUND(IF($AP723="",$L723,$AP723)*IF($AX723="",1,$AX723),2))</f>
        <v/>
      </c>
      <c r="AZ723">
        <f>IF($S723="","",ROUND(IF($AQ723="",$S723,$AQ723)*IF($AX723="",1,$AX723),2))</f>
        <v/>
      </c>
      <c r="BB723">
        <f>IF($H723="","",IFERROR(INDEX('_ENGINE_Risk'!$AE$41:$AE$920,MATCH($E723,'_ENGINE_Risk'!$A$41:$A$920,0)),"Medium"))</f>
        <v/>
      </c>
      <c r="BC723">
        <f>IF($BB723="","",IF($BB723="Fast",1.25,IF($BB723="Slow",0.85,1)))</f>
        <v/>
      </c>
      <c r="BD723">
        <f>IF(OR($AZ723="",$BC723=""),"",ROUND($AZ723*$BC723,2))</f>
        <v/>
      </c>
      <c r="BF723">
        <f>IF(OR($H723="",$J723=""),"",_xlfn.IFNA(VLOOKUP($J723,_CONFIG_Model_Settings!$D$610:$E$614,2,0),""))</f>
        <v/>
      </c>
      <c r="BG723">
        <f>IF(OR($H723="",$K723=""),"",ROUND('Company Profile'!$B$569*INDEX(_CONFIG_Model_Settings!$H$610:$H$614,MATCH($K723,_CONFIG_Model_Settings!$G$610:$G$614,0)),0))</f>
        <v/>
      </c>
      <c r="BH723">
        <f>IF(OR($BF723="",$BG723=""),"",ROUND($BF723*$BG723,1))</f>
        <v/>
      </c>
      <c r="BI723">
        <f>IF($BH723="","",IF($AO723="",$BH723,ROUND($BH723*$AO723,1)))</f>
        <v/>
      </c>
      <c r="BJ723">
        <f>IF($E723="","",IFERROR(VLOOKUP($C723,'_CONFIG_Risk_Calibration'!$A$5:$H$21,2,FALSE),3))</f>
        <v/>
      </c>
      <c r="BK723">
        <f>IF($E723="","",IFERROR(VLOOKUP($C723,'_CONFIG_Risk_Calibration'!$A$5:$H$21,3,FALSE),0))</f>
        <v/>
      </c>
      <c r="BL723">
        <f>IF($E723="","",IFERROR(VLOOKUP($C723,'_CONFIG_Risk_Calibration'!$A$5:$H$21,4,FALSE),3))</f>
        <v/>
      </c>
      <c r="BM723">
        <f>IF($E723="","",IFERROR(VLOOKUP($C723,'_CONFIG_Risk_Calibration'!$A$5:$H$21,5,FALSE),3))</f>
        <v/>
      </c>
      <c r="BN723">
        <f>IF($E723="","",IFERROR(VLOOKUP($C723,'_CONFIG_Risk_Calibration'!$A$5:$H$21,6,FALSE),"No"))</f>
        <v/>
      </c>
      <c r="BO723">
        <f>IF($E723="","",IFERROR(VLOOKUP($C723,'_CONFIG_Risk_Calibration'!$A$5:$H$21,7,FALSE),1))</f>
        <v/>
      </c>
      <c r="BP723">
        <f>IF($H723="","",MAX(1,MIN(5,((6-$H723)*0.45)+($BJ723*0.20)+('Resilience &amp; Risk Scenario'!$B$7*0.15)+($BK723*0.10)+($BL723*0.05)+(IF($BB723="Fast",5,IF($BB723="Slow",1,3))*0.05))))</f>
        <v/>
      </c>
      <c r="BQ723">
        <f>IF($H723="","",MAX(IF($BN723="Yes",$BO723,1),MIN(5,($U723*0.20)+($V723*0.15)+($W723*0.25)+($X723*0.15)+($BJ723*0.10)+($BM723*0.15))))</f>
        <v/>
      </c>
      <c r="BR723">
        <f>IF(OR($BP723="",$BQ723=""),"",ROUND($BP723*$BQ723,2))</f>
        <v/>
      </c>
      <c r="BS723">
        <f>IF($BR723="","",ROUND($BR723*IF($AO723="",1,$AO723)*IF($AX723="",1,$AX723)*(1+(($BM723-3)*0.10))*IF($BC723="",1,$BC723),2))</f>
        <v/>
      </c>
    </row>
    <row r="724" ht="69.90000000000001" customHeight="1" s="209">
      <c r="A724">
        <f>IF($BD724="","",SUMPRODUCT(ISNUMBER($BD$500:$BD$923)*($BD$500:$BD$923&gt;$BD724))+COUNTIF($BD$500:$BD724,$BD724))</f>
        <v/>
      </c>
      <c r="B724">
        <f>IF($H724="","",IF($H724&lt;5,"Yes","Maintain"))</f>
        <v/>
      </c>
      <c r="C724" t="inlineStr">
        <is>
          <t>Manufacturing MES</t>
        </is>
      </c>
      <c r="D724" t="inlineStr">
        <is>
          <t>Production footprint</t>
        </is>
      </c>
      <c r="E724" t="inlineStr">
        <is>
          <t>MANU-001</t>
        </is>
      </c>
      <c r="F724" t="inlineStr">
        <is>
          <t>Manufacturing, MES and production continuity</t>
        </is>
      </c>
      <c r="G724">
        <f>IF($H724="","",IFERROR(INDEX('_ENGINE_Risk'!$H$41:$M$920,MATCH($E724,'_ENGINE_Risk'!$A$41:$A$920,0),$H724+1),""))</f>
        <v/>
      </c>
      <c r="H724">
        <f>IFERROR(VALUE(INDEX(_DATA_Assessment_Model!$H$5:$H$884,MATCH($E724,_DATA_Assessment_Model!$A$5:$A$884,0))),"")</f>
        <v/>
      </c>
      <c r="I724">
        <f>IF($H724="","",IFERROR(INDEX(_DATA_Assessment_Model!$L$5:$L$884,MATCH($E724,_DATA_Assessment_Model!$A$5:$A$884,0)),IF($H724&lt;=1,"Critical",IF($H724=2,"High",IF($H724=3,"Medium",IF($H724=4,"Low","Resilient"))))))</f>
        <v/>
      </c>
      <c r="J724">
        <f>IF($H724="","",MIN(5,MAX(1,6-$H724)))</f>
        <v/>
      </c>
      <c r="K724">
        <f>IF($H724="","",MAX(1,MIN(5,ROUNDUP(($U724*0.45)+($W724*0.35)+($X724*0.2),0))))</f>
        <v/>
      </c>
      <c r="L724">
        <f>IF($H724="","",$J724*$K724)</f>
        <v/>
      </c>
      <c r="M724">
        <f>IF($H724="","",MAX(1,MIN(5,ROUNDUP($L724/5,0))))</f>
        <v/>
      </c>
      <c r="N724">
        <f>IF($H724="","",IFERROR(INDEX('_ENGINE_Risk'!$T$41:$Y$920,MATCH($E724,'_ENGINE_Risk'!$A$41:$A$920,0),$H724+1),""))</f>
        <v/>
      </c>
      <c r="O724">
        <f>IF($H724="","",MAX(1,MIN(5,($U724+$V724+$X724)/3)))</f>
        <v/>
      </c>
      <c r="P724">
        <f>IF($H724="","",IF($I724="Critical",5,IF($I724="High",4,IF($I724="Medium",3,IF($I724="Low",2,1)))))</f>
        <v/>
      </c>
      <c r="Q724">
        <f>IF($H724="","",MAX(1,MIN(5,((5-$H724)*0.65)+($W724*0.35))))</f>
        <v/>
      </c>
      <c r="R724">
        <f>IF($H724="","",MAX(1,MIN(5,($V724+$X724)/2)))</f>
        <v/>
      </c>
      <c r="S724">
        <f>IF(OR($H724="",$N724=""),"",ROUND(($O724+$P724+$Q724+$R724)/$N724,2))</f>
        <v/>
      </c>
      <c r="T724">
        <f>IF($H724="","",IFERROR(INDEX('_ENGINE_Risk'!$N$41:$S$920,MATCH($E724,'_ENGINE_Risk'!$A$41:$A$920,0),$H724+1),""))</f>
        <v/>
      </c>
      <c r="U724">
        <f>IFERROR(INDEX(_DATA_Assessment_Model!$G$5:$G$884,MATCH($E724,_DATA_Assessment_Model!$A$5:$A$884,0)),"")</f>
        <v/>
      </c>
      <c r="V724">
        <f>IFERROR(INDEX(_DATA_Assessment_Model!$W$5:$W$884,MATCH($E724,_DATA_Assessment_Model!$A$5:$A$884,0)),"")</f>
        <v/>
      </c>
      <c r="W724">
        <f>IFERROR(INDEX(_DATA_Assessment_Model!$X$5:$X$884,MATCH($E724,_DATA_Assessment_Model!$A$5:$A$884,0)),"")</f>
        <v/>
      </c>
      <c r="X724">
        <f>IFERROR(INDEX(_DATA_Assessment_Model!$Y$5:$Y$884,MATCH($E724,_DATA_Assessment_Model!$A$5:$A$884,0)),"")</f>
        <v/>
      </c>
      <c r="Y724" t="inlineStr">
        <is>
          <t>Manufacturing disruption; Safety incident; Energy outage; Cyberattack</t>
        </is>
      </c>
      <c r="Z724" t="inlineStr">
        <is>
          <t>COO / Plant / Manufacturing</t>
        </is>
      </c>
      <c r="AA724" t="inlineStr">
        <is>
          <t>Policy/SOP; owner/RACI; system report; dashboard; contracts; test records; incident history; interview evidence related to production footprint by plant, line, product family, capacity, workforce and crisis exposure.</t>
        </is>
      </c>
      <c r="AB724">
        <f>IFERROR(INDEX(_DATA_Assessment_Model!$U$5:$U$884,MATCH($E724,_DATA_Assessment_Model!$A$5:$A$884,0)),"")</f>
        <v/>
      </c>
      <c r="AF724" t="inlineStr">
        <is>
          <t>How mature is the organization in managing production footprint by plant, line, product family, capacity, workforce and crisis exposure, including ownership, evidence, metrics, fallback procedures and crisis stress testing?</t>
        </is>
      </c>
      <c r="AO724">
        <f>IF($B724="Yes",IFERROR(INDEX(_ENGINE_Crisis!$F$501:$F$517,MATCH($C724,_ENGINE_Crisis!$A$501:$A$517,0)),1),"")</f>
        <v/>
      </c>
      <c r="AP724">
        <f>IF(AO724="","",ROUND($L724*AO724,1))</f>
        <v/>
      </c>
      <c r="AQ724">
        <f>IF(OR(AO724="",$S724=""),"",ROUND($S724*(0.7+0.3*AO724),2))</f>
        <v/>
      </c>
      <c r="AR724">
        <f>IFERROR(INDEX(_ENGINE_Crisis!$E$41:$E$700,MATCH('Resilience &amp; Risk Scenario'!$B$60&amp;"|"&amp;$C724,_ENGINE_Crisis!$I$41:$I$700,0)),"")</f>
        <v/>
      </c>
      <c r="AS724">
        <f>IFERROR(INDEX(_ENGINE_Crisis!$G$41:$G$700,MATCH('Resilience &amp; Risk Scenario'!$B$60&amp;"|"&amp;$C724,_ENGINE_Crisis!$I$41:$I$700,0)),"")</f>
        <v/>
      </c>
      <c r="AT724">
        <f>IFERROR(INDEX(_ENGINE_Initiatives!$A$5:$A$532,MATCH(1,INDEX((_ENGINE_Initiatives!$B$5:$B$532=$C724)*(_ENGINE_Initiatives!$C$5:$C$532=$D724),0),0)),"")</f>
        <v/>
      </c>
      <c r="AU724">
        <f>IFERROR(INDEX(_ENGINE_Initiatives!$F$5:$F$532,MATCH(1,INDEX((_ENGINE_Initiatives!$B$5:$B$532=$C724)*(_ENGINE_Initiatives!$C$5:$C$532=$D724),0),0)),"")</f>
        <v/>
      </c>
      <c r="AV724">
        <f>IFERROR(INDEX(_ENGINE_Initiatives!$AC$5:$AC$532,MATCH(1,INDEX((_ENGINE_Initiatives!$B$5:$B$532=$C724)*(_ENGINE_Initiatives!$C$5:$C$532=$D724),0),0)),"")</f>
        <v/>
      </c>
      <c r="AW724">
        <f>IFERROR(INDEX(_ENGINE_Initiatives!$AE$5:$AE$532,MATCH(1,INDEX((_ENGINE_Initiatives!$B$5:$B$532=$C724)*(_ENGINE_Initiatives!$C$5:$C$532=$D724),0),0)),"")</f>
        <v/>
      </c>
      <c r="AX724">
        <f>IF($B724="Yes",IFERROR(IF(SUMIFS(_REF_Model_Content!$E$1:$E$613,_REF_Model_Content!$A$1:$A$613,'Company Profile'!$B$9,_REF_Model_Content!$B$1:$B$613,$C724)=0,1,SUMIFS(_REF_Model_Content!$E$1:$E$613,_REF_Model_Content!$A$1:$A$613,'Company Profile'!$B$9,_REF_Model_Content!$B$1:$B$613,$C724)),1),"")</f>
        <v/>
      </c>
      <c r="AY724">
        <f>IF($L724="","",ROUND(IF($AP724="",$L724,$AP724)*IF($AX724="",1,$AX724),2))</f>
        <v/>
      </c>
      <c r="AZ724">
        <f>IF($S724="","",ROUND(IF($AQ724="",$S724,$AQ724)*IF($AX724="",1,$AX724),2))</f>
        <v/>
      </c>
      <c r="BB724">
        <f>IF($H724="","",IFERROR(INDEX('_ENGINE_Risk'!$AE$41:$AE$920,MATCH($E724,'_ENGINE_Risk'!$A$41:$A$920,0)),"Medium"))</f>
        <v/>
      </c>
      <c r="BC724">
        <f>IF($BB724="","",IF($BB724="Fast",1.25,IF($BB724="Slow",0.85,1)))</f>
        <v/>
      </c>
      <c r="BD724">
        <f>IF(OR($AZ724="",$BC724=""),"",ROUND($AZ724*$BC724,2))</f>
        <v/>
      </c>
      <c r="BF724">
        <f>IF(OR($H724="",$J724=""),"",_xlfn.IFNA(VLOOKUP($J724,_CONFIG_Model_Settings!$D$610:$E$614,2,0),""))</f>
        <v/>
      </c>
      <c r="BG724">
        <f>IF(OR($H724="",$K724=""),"",ROUND('Company Profile'!$B$569*INDEX(_CONFIG_Model_Settings!$H$610:$H$614,MATCH($K724,_CONFIG_Model_Settings!$G$610:$G$614,0)),0))</f>
        <v/>
      </c>
      <c r="BH724">
        <f>IF(OR($BF724="",$BG724=""),"",ROUND($BF724*$BG724,1))</f>
        <v/>
      </c>
      <c r="BI724">
        <f>IF($BH724="","",IF($AO724="",$BH724,ROUND($BH724*$AO724,1)))</f>
        <v/>
      </c>
      <c r="BJ724">
        <f>IF($E724="","",IFERROR(VLOOKUP($C724,'_CONFIG_Risk_Calibration'!$A$5:$H$21,2,FALSE),3))</f>
        <v/>
      </c>
      <c r="BK724">
        <f>IF($E724="","",IFERROR(VLOOKUP($C724,'_CONFIG_Risk_Calibration'!$A$5:$H$21,3,FALSE),0))</f>
        <v/>
      </c>
      <c r="BL724">
        <f>IF($E724="","",IFERROR(VLOOKUP($C724,'_CONFIG_Risk_Calibration'!$A$5:$H$21,4,FALSE),3))</f>
        <v/>
      </c>
      <c r="BM724">
        <f>IF($E724="","",IFERROR(VLOOKUP($C724,'_CONFIG_Risk_Calibration'!$A$5:$H$21,5,FALSE),3))</f>
        <v/>
      </c>
      <c r="BN724">
        <f>IF($E724="","",IFERROR(VLOOKUP($C724,'_CONFIG_Risk_Calibration'!$A$5:$H$21,6,FALSE),"No"))</f>
        <v/>
      </c>
      <c r="BO724">
        <f>IF($E724="","",IFERROR(VLOOKUP($C724,'_CONFIG_Risk_Calibration'!$A$5:$H$21,7,FALSE),1))</f>
        <v/>
      </c>
      <c r="BP724">
        <f>IF($H724="","",MAX(1,MIN(5,((6-$H724)*0.45)+($BJ724*0.20)+('Resilience &amp; Risk Scenario'!$B$7*0.15)+($BK724*0.10)+($BL724*0.05)+(IF($BB724="Fast",5,IF($BB724="Slow",1,3))*0.05))))</f>
        <v/>
      </c>
      <c r="BQ724">
        <f>IF($H724="","",MAX(IF($BN724="Yes",$BO724,1),MIN(5,($U724*0.20)+($V724*0.15)+($W724*0.25)+($X724*0.15)+($BJ724*0.10)+($BM724*0.15))))</f>
        <v/>
      </c>
      <c r="BR724">
        <f>IF(OR($BP724="",$BQ724=""),"",ROUND($BP724*$BQ724,2))</f>
        <v/>
      </c>
      <c r="BS724">
        <f>IF($BR724="","",ROUND($BR724*IF($AO724="",1,$AO724)*IF($AX724="",1,$AX724)*(1+(($BM724-3)*0.10))*IF($BC724="",1,$BC724),2))</f>
        <v/>
      </c>
    </row>
    <row r="725" ht="69.90000000000001" customHeight="1" s="209">
      <c r="A725">
        <f>IF($BD725="","",SUMPRODUCT(ISNUMBER($BD$500:$BD$923)*($BD$500:$BD$923&gt;$BD725))+COUNTIF($BD$500:$BD725,$BD725))</f>
        <v/>
      </c>
      <c r="B725">
        <f>IF($H725="","",IF($H725&lt;5,"Yes","Maintain"))</f>
        <v/>
      </c>
      <c r="C725" t="inlineStr">
        <is>
          <t>Manufacturing MES</t>
        </is>
      </c>
      <c r="D725" t="inlineStr">
        <is>
          <t>Production footprint</t>
        </is>
      </c>
      <c r="E725" t="inlineStr">
        <is>
          <t>MANU-002</t>
        </is>
      </c>
      <c r="F725" t="inlineStr">
        <is>
          <t>Manufacturing, MES and production continuity</t>
        </is>
      </c>
      <c r="G725">
        <f>IF($H725="","",IFERROR(INDEX('_ENGINE_Risk'!$H$41:$M$920,MATCH($E725,'_ENGINE_Risk'!$A$41:$A$920,0),$H725+1),""))</f>
        <v/>
      </c>
      <c r="H725">
        <f>IFERROR(VALUE(INDEX(_DATA_Assessment_Model!$H$5:$H$884,MATCH($E725,_DATA_Assessment_Model!$A$5:$A$884,0))),"")</f>
        <v/>
      </c>
      <c r="I725">
        <f>IF($H725="","",IFERROR(INDEX(_DATA_Assessment_Model!$L$5:$L$884,MATCH($E725,_DATA_Assessment_Model!$A$5:$A$884,0)),IF($H725&lt;=1,"Critical",IF($H725=2,"High",IF($H725=3,"Medium",IF($H725=4,"Low","Resilient"))))))</f>
        <v/>
      </c>
      <c r="J725">
        <f>IF($H725="","",MIN(5,MAX(1,6-$H725)))</f>
        <v/>
      </c>
      <c r="K725">
        <f>IF($H725="","",MAX(1,MIN(5,ROUNDUP(($U725*0.45)+($W725*0.35)+($X725*0.2),0))))</f>
        <v/>
      </c>
      <c r="L725">
        <f>IF($H725="","",$J725*$K725)</f>
        <v/>
      </c>
      <c r="M725">
        <f>IF($H725="","",MAX(1,MIN(5,ROUNDUP($L725/5,0))))</f>
        <v/>
      </c>
      <c r="N725">
        <f>IF($H725="","",IFERROR(INDEX('_ENGINE_Risk'!$T$41:$Y$920,MATCH($E725,'_ENGINE_Risk'!$A$41:$A$920,0),$H725+1),""))</f>
        <v/>
      </c>
      <c r="O725">
        <f>IF($H725="","",MAX(1,MIN(5,($U725+$V725+$X725)/3)))</f>
        <v/>
      </c>
      <c r="P725">
        <f>IF($H725="","",IF($I725="Critical",5,IF($I725="High",4,IF($I725="Medium",3,IF($I725="Low",2,1)))))</f>
        <v/>
      </c>
      <c r="Q725">
        <f>IF($H725="","",MAX(1,MIN(5,((5-$H725)*0.65)+($W725*0.35))))</f>
        <v/>
      </c>
      <c r="R725">
        <f>IF($H725="","",MAX(1,MIN(5,($V725+$X725)/2)))</f>
        <v/>
      </c>
      <c r="S725">
        <f>IF(OR($H725="",$N725=""),"",ROUND(($O725+$P725+$Q725+$R725)/$N725,2))</f>
        <v/>
      </c>
      <c r="T725">
        <f>IF($H725="","",IFERROR(INDEX('_ENGINE_Risk'!$N$41:$S$920,MATCH($E725,'_ENGINE_Risk'!$A$41:$A$920,0),$H725+1),""))</f>
        <v/>
      </c>
      <c r="U725">
        <f>IFERROR(INDEX(_DATA_Assessment_Model!$G$5:$G$884,MATCH($E725,_DATA_Assessment_Model!$A$5:$A$884,0)),"")</f>
        <v/>
      </c>
      <c r="V725">
        <f>IFERROR(INDEX(_DATA_Assessment_Model!$W$5:$W$884,MATCH($E725,_DATA_Assessment_Model!$A$5:$A$884,0)),"")</f>
        <v/>
      </c>
      <c r="W725">
        <f>IFERROR(INDEX(_DATA_Assessment_Model!$X$5:$X$884,MATCH($E725,_DATA_Assessment_Model!$A$5:$A$884,0)),"")</f>
        <v/>
      </c>
      <c r="X725">
        <f>IFERROR(INDEX(_DATA_Assessment_Model!$Y$5:$Y$884,MATCH($E725,_DATA_Assessment_Model!$A$5:$A$884,0)),"")</f>
        <v/>
      </c>
      <c r="Y725" t="inlineStr">
        <is>
          <t>Manufacturing disruption; Safety incident; Energy outage; Cyberattack</t>
        </is>
      </c>
      <c r="Z725" t="inlineStr">
        <is>
          <t>COO / Plant / Manufacturing</t>
        </is>
      </c>
      <c r="AA725" t="inlineStr">
        <is>
          <t>Policy/SOP; owner/RACI; system report; dashboard; contracts; test records; incident history; interview evidence related to production planning integrated with demand, supply, inventory, workforce and maintenance constraints.</t>
        </is>
      </c>
      <c r="AB725">
        <f>IFERROR(INDEX(_DATA_Assessment_Model!$U$5:$U$884,MATCH($E725,_DATA_Assessment_Model!$A$5:$A$884,0)),"")</f>
        <v/>
      </c>
      <c r="AF725" t="inlineStr">
        <is>
          <t>How mature is the organization in managing production planning integrated with demand, supply, inventory, workforce and maintenance constraints, including ownership, evidence, metrics, fallback procedures and crisis stress testing?</t>
        </is>
      </c>
      <c r="AO725">
        <f>IF($B725="Yes",IFERROR(INDEX(_ENGINE_Crisis!$F$501:$F$517,MATCH($C725,_ENGINE_Crisis!$A$501:$A$517,0)),1),"")</f>
        <v/>
      </c>
      <c r="AP725">
        <f>IF(AO725="","",ROUND($L725*AO725,1))</f>
        <v/>
      </c>
      <c r="AQ725">
        <f>IF(OR(AO725="",$S725=""),"",ROUND($S725*(0.7+0.3*AO725),2))</f>
        <v/>
      </c>
      <c r="AR725">
        <f>IFERROR(INDEX(_ENGINE_Crisis!$E$41:$E$700,MATCH('Resilience &amp; Risk Scenario'!$B$60&amp;"|"&amp;$C725,_ENGINE_Crisis!$I$41:$I$700,0)),"")</f>
        <v/>
      </c>
      <c r="AS725">
        <f>IFERROR(INDEX(_ENGINE_Crisis!$G$41:$G$700,MATCH('Resilience &amp; Risk Scenario'!$B$60&amp;"|"&amp;$C725,_ENGINE_Crisis!$I$41:$I$700,0)),"")</f>
        <v/>
      </c>
      <c r="AT725">
        <f>IFERROR(INDEX(_ENGINE_Initiatives!$A$5:$A$532,MATCH(1,INDEX((_ENGINE_Initiatives!$B$5:$B$532=$C725)*(_ENGINE_Initiatives!$C$5:$C$532=$D725),0),0)),"")</f>
        <v/>
      </c>
      <c r="AU725">
        <f>IFERROR(INDEX(_ENGINE_Initiatives!$F$5:$F$532,MATCH(1,INDEX((_ENGINE_Initiatives!$B$5:$B$532=$C725)*(_ENGINE_Initiatives!$C$5:$C$532=$D725),0),0)),"")</f>
        <v/>
      </c>
      <c r="AV725">
        <f>IFERROR(INDEX(_ENGINE_Initiatives!$AC$5:$AC$532,MATCH(1,INDEX((_ENGINE_Initiatives!$B$5:$B$532=$C725)*(_ENGINE_Initiatives!$C$5:$C$532=$D725),0),0)),"")</f>
        <v/>
      </c>
      <c r="AW725">
        <f>IFERROR(INDEX(_ENGINE_Initiatives!$AE$5:$AE$532,MATCH(1,INDEX((_ENGINE_Initiatives!$B$5:$B$532=$C725)*(_ENGINE_Initiatives!$C$5:$C$532=$D725),0),0)),"")</f>
        <v/>
      </c>
      <c r="AX725">
        <f>IF($B725="Yes",IFERROR(IF(SUMIFS(_REF_Model_Content!$E$1:$E$613,_REF_Model_Content!$A$1:$A$613,'Company Profile'!$B$9,_REF_Model_Content!$B$1:$B$613,$C725)=0,1,SUMIFS(_REF_Model_Content!$E$1:$E$613,_REF_Model_Content!$A$1:$A$613,'Company Profile'!$B$9,_REF_Model_Content!$B$1:$B$613,$C725)),1),"")</f>
        <v/>
      </c>
      <c r="AY725">
        <f>IF($L725="","",ROUND(IF($AP725="",$L725,$AP725)*IF($AX725="",1,$AX725),2))</f>
        <v/>
      </c>
      <c r="AZ725">
        <f>IF($S725="","",ROUND(IF($AQ725="",$S725,$AQ725)*IF($AX725="",1,$AX725),2))</f>
        <v/>
      </c>
      <c r="BB725">
        <f>IF($H725="","",IFERROR(INDEX('_ENGINE_Risk'!$AE$41:$AE$920,MATCH($E725,'_ENGINE_Risk'!$A$41:$A$920,0)),"Medium"))</f>
        <v/>
      </c>
      <c r="BC725">
        <f>IF($BB725="","",IF($BB725="Fast",1.25,IF($BB725="Slow",0.85,1)))</f>
        <v/>
      </c>
      <c r="BD725">
        <f>IF(OR($AZ725="",$BC725=""),"",ROUND($AZ725*$BC725,2))</f>
        <v/>
      </c>
      <c r="BF725">
        <f>IF(OR($H725="",$J725=""),"",_xlfn.IFNA(VLOOKUP($J725,_CONFIG_Model_Settings!$D$610:$E$614,2,0),""))</f>
        <v/>
      </c>
      <c r="BG725">
        <f>IF(OR($H725="",$K725=""),"",ROUND('Company Profile'!$B$569*INDEX(_CONFIG_Model_Settings!$H$610:$H$614,MATCH($K725,_CONFIG_Model_Settings!$G$610:$G$614,0)),0))</f>
        <v/>
      </c>
      <c r="BH725">
        <f>IF(OR($BF725="",$BG725=""),"",ROUND($BF725*$BG725,1))</f>
        <v/>
      </c>
      <c r="BI725">
        <f>IF($BH725="","",IF($AO725="",$BH725,ROUND($BH725*$AO725,1)))</f>
        <v/>
      </c>
      <c r="BJ725">
        <f>IF($E725="","",IFERROR(VLOOKUP($C725,'_CONFIG_Risk_Calibration'!$A$5:$H$21,2,FALSE),3))</f>
        <v/>
      </c>
      <c r="BK725">
        <f>IF($E725="","",IFERROR(VLOOKUP($C725,'_CONFIG_Risk_Calibration'!$A$5:$H$21,3,FALSE),0))</f>
        <v/>
      </c>
      <c r="BL725">
        <f>IF($E725="","",IFERROR(VLOOKUP($C725,'_CONFIG_Risk_Calibration'!$A$5:$H$21,4,FALSE),3))</f>
        <v/>
      </c>
      <c r="BM725">
        <f>IF($E725="","",IFERROR(VLOOKUP($C725,'_CONFIG_Risk_Calibration'!$A$5:$H$21,5,FALSE),3))</f>
        <v/>
      </c>
      <c r="BN725">
        <f>IF($E725="","",IFERROR(VLOOKUP($C725,'_CONFIG_Risk_Calibration'!$A$5:$H$21,6,FALSE),"No"))</f>
        <v/>
      </c>
      <c r="BO725">
        <f>IF($E725="","",IFERROR(VLOOKUP($C725,'_CONFIG_Risk_Calibration'!$A$5:$H$21,7,FALSE),1))</f>
        <v/>
      </c>
      <c r="BP725">
        <f>IF($H725="","",MAX(1,MIN(5,((6-$H725)*0.45)+($BJ725*0.20)+('Resilience &amp; Risk Scenario'!$B$7*0.15)+($BK725*0.10)+($BL725*0.05)+(IF($BB725="Fast",5,IF($BB725="Slow",1,3))*0.05))))</f>
        <v/>
      </c>
      <c r="BQ725">
        <f>IF($H725="","",MAX(IF($BN725="Yes",$BO725,1),MIN(5,($U725*0.20)+($V725*0.15)+($W725*0.25)+($X725*0.15)+($BJ725*0.10)+($BM725*0.15))))</f>
        <v/>
      </c>
      <c r="BR725">
        <f>IF(OR($BP725="",$BQ725=""),"",ROUND($BP725*$BQ725,2))</f>
        <v/>
      </c>
      <c r="BS725">
        <f>IF($BR725="","",ROUND($BR725*IF($AO725="",1,$AO725)*IF($AX725="",1,$AX725)*(1+(($BM725-3)*0.10))*IF($BC725="",1,$BC725),2))</f>
        <v/>
      </c>
    </row>
    <row r="726" ht="69.90000000000001" customHeight="1" s="209">
      <c r="A726">
        <f>IF($BD726="","",SUMPRODUCT(ISNUMBER($BD$500:$BD$923)*($BD$500:$BD$923&gt;$BD726))+COUNTIF($BD$500:$BD726,$BD726))</f>
        <v/>
      </c>
      <c r="B726">
        <f>IF($H726="","",IF($H726&lt;5,"Yes","Maintain"))</f>
        <v/>
      </c>
      <c r="C726" t="inlineStr">
        <is>
          <t>Manufacturing MES</t>
        </is>
      </c>
      <c r="D726" t="inlineStr">
        <is>
          <t>Production footprint</t>
        </is>
      </c>
      <c r="E726" t="inlineStr">
        <is>
          <t>MANU-003</t>
        </is>
      </c>
      <c r="F726" t="inlineStr">
        <is>
          <t>Manufacturing, MES and production continuity</t>
        </is>
      </c>
      <c r="G726">
        <f>IF($H726="","",IFERROR(INDEX('_ENGINE_Risk'!$H$41:$M$920,MATCH($E726,'_ENGINE_Risk'!$A$41:$A$920,0),$H726+1),""))</f>
        <v/>
      </c>
      <c r="H726">
        <f>IFERROR(VALUE(INDEX(_DATA_Assessment_Model!$H$5:$H$884,MATCH($E726,_DATA_Assessment_Model!$A$5:$A$884,0))),"")</f>
        <v/>
      </c>
      <c r="I726">
        <f>IF($H726="","",IFERROR(INDEX(_DATA_Assessment_Model!$L$5:$L$884,MATCH($E726,_DATA_Assessment_Model!$A$5:$A$884,0)),IF($H726&lt;=1,"Critical",IF($H726=2,"High",IF($H726=3,"Medium",IF($H726=4,"Low","Resilient"))))))</f>
        <v/>
      </c>
      <c r="J726">
        <f>IF($H726="","",MIN(5,MAX(1,6-$H726)))</f>
        <v/>
      </c>
      <c r="K726">
        <f>IF($H726="","",MAX(1,MIN(5,ROUNDUP(($U726*0.45)+($W726*0.35)+($X726*0.2),0))))</f>
        <v/>
      </c>
      <c r="L726">
        <f>IF($H726="","",$J726*$K726)</f>
        <v/>
      </c>
      <c r="M726">
        <f>IF($H726="","",MAX(1,MIN(5,ROUNDUP($L726/5,0))))</f>
        <v/>
      </c>
      <c r="N726">
        <f>IF($H726="","",IFERROR(INDEX('_ENGINE_Risk'!$T$41:$Y$920,MATCH($E726,'_ENGINE_Risk'!$A$41:$A$920,0),$H726+1),""))</f>
        <v/>
      </c>
      <c r="O726">
        <f>IF($H726="","",MAX(1,MIN(5,($U726+$V726+$X726)/3)))</f>
        <v/>
      </c>
      <c r="P726">
        <f>IF($H726="","",IF($I726="Critical",5,IF($I726="High",4,IF($I726="Medium",3,IF($I726="Low",2,1)))))</f>
        <v/>
      </c>
      <c r="Q726">
        <f>IF($H726="","",MAX(1,MIN(5,((5-$H726)*0.65)+($W726*0.35))))</f>
        <v/>
      </c>
      <c r="R726">
        <f>IF($H726="","",MAX(1,MIN(5,($V726+$X726)/2)))</f>
        <v/>
      </c>
      <c r="S726">
        <f>IF(OR($H726="",$N726=""),"",ROUND(($O726+$P726+$Q726+$R726)/$N726,2))</f>
        <v/>
      </c>
      <c r="T726">
        <f>IF($H726="","",IFERROR(INDEX('_ENGINE_Risk'!$N$41:$S$920,MATCH($E726,'_ENGINE_Risk'!$A$41:$A$920,0),$H726+1),""))</f>
        <v/>
      </c>
      <c r="U726">
        <f>IFERROR(INDEX(_DATA_Assessment_Model!$G$5:$G$884,MATCH($E726,_DATA_Assessment_Model!$A$5:$A$884,0)),"")</f>
        <v/>
      </c>
      <c r="V726">
        <f>IFERROR(INDEX(_DATA_Assessment_Model!$W$5:$W$884,MATCH($E726,_DATA_Assessment_Model!$A$5:$A$884,0)),"")</f>
        <v/>
      </c>
      <c r="W726">
        <f>IFERROR(INDEX(_DATA_Assessment_Model!$X$5:$X$884,MATCH($E726,_DATA_Assessment_Model!$A$5:$A$884,0)),"")</f>
        <v/>
      </c>
      <c r="X726">
        <f>IFERROR(INDEX(_DATA_Assessment_Model!$Y$5:$Y$884,MATCH($E726,_DATA_Assessment_Model!$A$5:$A$884,0)),"")</f>
        <v/>
      </c>
      <c r="Y726" t="inlineStr">
        <is>
          <t>Manufacturing disruption; Safety incident; Energy outage; Cyberattack</t>
        </is>
      </c>
      <c r="Z726" t="inlineStr">
        <is>
          <t>COO / Plant / Manufacturing</t>
        </is>
      </c>
      <c r="AA726" t="inlineStr">
        <is>
          <t>Policy/SOP; owner/RACI; system report; dashboard; contracts; test records; incident history; interview evidence related to finite capacity planning for bottlenecks, machines, shifts and labor.</t>
        </is>
      </c>
      <c r="AB726">
        <f>IFERROR(INDEX(_DATA_Assessment_Model!$U$5:$U$884,MATCH($E726,_DATA_Assessment_Model!$A$5:$A$884,0)),"")</f>
        <v/>
      </c>
      <c r="AF726" t="inlineStr">
        <is>
          <t>How mature is the organization in managing finite capacity planning for bottlenecks, machines, shifts and labor, including ownership, evidence, metrics, fallback procedures and crisis stress testing?</t>
        </is>
      </c>
      <c r="AO726">
        <f>IF($B726="Yes",IFERROR(INDEX(_ENGINE_Crisis!$F$501:$F$517,MATCH($C726,_ENGINE_Crisis!$A$501:$A$517,0)),1),"")</f>
        <v/>
      </c>
      <c r="AP726">
        <f>IF(AO726="","",ROUND($L726*AO726,1))</f>
        <v/>
      </c>
      <c r="AQ726">
        <f>IF(OR(AO726="",$S726=""),"",ROUND($S726*(0.7+0.3*AO726),2))</f>
        <v/>
      </c>
      <c r="AR726">
        <f>IFERROR(INDEX(_ENGINE_Crisis!$E$41:$E$700,MATCH('Resilience &amp; Risk Scenario'!$B$60&amp;"|"&amp;$C726,_ENGINE_Crisis!$I$41:$I$700,0)),"")</f>
        <v/>
      </c>
      <c r="AS726">
        <f>IFERROR(INDEX(_ENGINE_Crisis!$G$41:$G$700,MATCH('Resilience &amp; Risk Scenario'!$B$60&amp;"|"&amp;$C726,_ENGINE_Crisis!$I$41:$I$700,0)),"")</f>
        <v/>
      </c>
      <c r="AT726">
        <f>IFERROR(INDEX(_ENGINE_Initiatives!$A$5:$A$532,MATCH(1,INDEX((_ENGINE_Initiatives!$B$5:$B$532=$C726)*(_ENGINE_Initiatives!$C$5:$C$532=$D726),0),0)),"")</f>
        <v/>
      </c>
      <c r="AU726">
        <f>IFERROR(INDEX(_ENGINE_Initiatives!$F$5:$F$532,MATCH(1,INDEX((_ENGINE_Initiatives!$B$5:$B$532=$C726)*(_ENGINE_Initiatives!$C$5:$C$532=$D726),0),0)),"")</f>
        <v/>
      </c>
      <c r="AV726">
        <f>IFERROR(INDEX(_ENGINE_Initiatives!$AC$5:$AC$532,MATCH(1,INDEX((_ENGINE_Initiatives!$B$5:$B$532=$C726)*(_ENGINE_Initiatives!$C$5:$C$532=$D726),0),0)),"")</f>
        <v/>
      </c>
      <c r="AW726">
        <f>IFERROR(INDEX(_ENGINE_Initiatives!$AE$5:$AE$532,MATCH(1,INDEX((_ENGINE_Initiatives!$B$5:$B$532=$C726)*(_ENGINE_Initiatives!$C$5:$C$532=$D726),0),0)),"")</f>
        <v/>
      </c>
      <c r="AX726">
        <f>IF($B726="Yes",IFERROR(IF(SUMIFS(_REF_Model_Content!$E$1:$E$613,_REF_Model_Content!$A$1:$A$613,'Company Profile'!$B$9,_REF_Model_Content!$B$1:$B$613,$C726)=0,1,SUMIFS(_REF_Model_Content!$E$1:$E$613,_REF_Model_Content!$A$1:$A$613,'Company Profile'!$B$9,_REF_Model_Content!$B$1:$B$613,$C726)),1),"")</f>
        <v/>
      </c>
      <c r="AY726">
        <f>IF($L726="","",ROUND(IF($AP726="",$L726,$AP726)*IF($AX726="",1,$AX726),2))</f>
        <v/>
      </c>
      <c r="AZ726">
        <f>IF($S726="","",ROUND(IF($AQ726="",$S726,$AQ726)*IF($AX726="",1,$AX726),2))</f>
        <v/>
      </c>
      <c r="BB726">
        <f>IF($H726="","",IFERROR(INDEX('_ENGINE_Risk'!$AE$41:$AE$920,MATCH($E726,'_ENGINE_Risk'!$A$41:$A$920,0)),"Medium"))</f>
        <v/>
      </c>
      <c r="BC726">
        <f>IF($BB726="","",IF($BB726="Fast",1.25,IF($BB726="Slow",0.85,1)))</f>
        <v/>
      </c>
      <c r="BD726">
        <f>IF(OR($AZ726="",$BC726=""),"",ROUND($AZ726*$BC726,2))</f>
        <v/>
      </c>
      <c r="BF726">
        <f>IF(OR($H726="",$J726=""),"",_xlfn.IFNA(VLOOKUP($J726,_CONFIG_Model_Settings!$D$610:$E$614,2,0),""))</f>
        <v/>
      </c>
      <c r="BG726">
        <f>IF(OR($H726="",$K726=""),"",ROUND('Company Profile'!$B$569*INDEX(_CONFIG_Model_Settings!$H$610:$H$614,MATCH($K726,_CONFIG_Model_Settings!$G$610:$G$614,0)),0))</f>
        <v/>
      </c>
      <c r="BH726">
        <f>IF(OR($BF726="",$BG726=""),"",ROUND($BF726*$BG726,1))</f>
        <v/>
      </c>
      <c r="BI726">
        <f>IF($BH726="","",IF($AO726="",$BH726,ROUND($BH726*$AO726,1)))</f>
        <v/>
      </c>
      <c r="BJ726">
        <f>IF($E726="","",IFERROR(VLOOKUP($C726,'_CONFIG_Risk_Calibration'!$A$5:$H$21,2,FALSE),3))</f>
        <v/>
      </c>
      <c r="BK726">
        <f>IF($E726="","",IFERROR(VLOOKUP($C726,'_CONFIG_Risk_Calibration'!$A$5:$H$21,3,FALSE),0))</f>
        <v/>
      </c>
      <c r="BL726">
        <f>IF($E726="","",IFERROR(VLOOKUP($C726,'_CONFIG_Risk_Calibration'!$A$5:$H$21,4,FALSE),3))</f>
        <v/>
      </c>
      <c r="BM726">
        <f>IF($E726="","",IFERROR(VLOOKUP($C726,'_CONFIG_Risk_Calibration'!$A$5:$H$21,5,FALSE),3))</f>
        <v/>
      </c>
      <c r="BN726">
        <f>IF($E726="","",IFERROR(VLOOKUP($C726,'_CONFIG_Risk_Calibration'!$A$5:$H$21,6,FALSE),"No"))</f>
        <v/>
      </c>
      <c r="BO726">
        <f>IF($E726="","",IFERROR(VLOOKUP($C726,'_CONFIG_Risk_Calibration'!$A$5:$H$21,7,FALSE),1))</f>
        <v/>
      </c>
      <c r="BP726">
        <f>IF($H726="","",MAX(1,MIN(5,((6-$H726)*0.45)+($BJ726*0.20)+('Resilience &amp; Risk Scenario'!$B$7*0.15)+($BK726*0.10)+($BL726*0.05)+(IF($BB726="Fast",5,IF($BB726="Slow",1,3))*0.05))))</f>
        <v/>
      </c>
      <c r="BQ726">
        <f>IF($H726="","",MAX(IF($BN726="Yes",$BO726,1),MIN(5,($U726*0.20)+($V726*0.15)+($W726*0.25)+($X726*0.15)+($BJ726*0.10)+($BM726*0.15))))</f>
        <v/>
      </c>
      <c r="BR726">
        <f>IF(OR($BP726="",$BQ726=""),"",ROUND($BP726*$BQ726,2))</f>
        <v/>
      </c>
      <c r="BS726">
        <f>IF($BR726="","",ROUND($BR726*IF($AO726="",1,$AO726)*IF($AX726="",1,$AX726)*(1+(($BM726-3)*0.10))*IF($BC726="",1,$BC726),2))</f>
        <v/>
      </c>
    </row>
    <row r="727" ht="69.90000000000001" customHeight="1" s="209">
      <c r="A727">
        <f>IF($BD727="","",SUMPRODUCT(ISNUMBER($BD$500:$BD$923)*($BD$500:$BD$923&gt;$BD727))+COUNTIF($BD$500:$BD727,$BD727))</f>
        <v/>
      </c>
      <c r="B727">
        <f>IF($H727="","",IF($H727&lt;5,"Yes","Maintain"))</f>
        <v/>
      </c>
      <c r="C727" t="inlineStr">
        <is>
          <t>Manufacturing MES</t>
        </is>
      </c>
      <c r="D727" t="inlineStr">
        <is>
          <t>Production footprint</t>
        </is>
      </c>
      <c r="E727" t="inlineStr">
        <is>
          <t>MANU-004</t>
        </is>
      </c>
      <c r="F727" t="inlineStr">
        <is>
          <t>Manufacturing, MES and production continuity</t>
        </is>
      </c>
      <c r="G727">
        <f>IF($H727="","",IFERROR(INDEX('_ENGINE_Risk'!$H$41:$M$920,MATCH($E727,'_ENGINE_Risk'!$A$41:$A$920,0),$H727+1),""))</f>
        <v/>
      </c>
      <c r="H727">
        <f>IFERROR(VALUE(INDEX(_DATA_Assessment_Model!$H$5:$H$884,MATCH($E727,_DATA_Assessment_Model!$A$5:$A$884,0))),"")</f>
        <v/>
      </c>
      <c r="I727">
        <f>IF($H727="","",IFERROR(INDEX(_DATA_Assessment_Model!$L$5:$L$884,MATCH($E727,_DATA_Assessment_Model!$A$5:$A$884,0)),IF($H727&lt;=1,"Critical",IF($H727=2,"High",IF($H727=3,"Medium",IF($H727=4,"Low","Resilient"))))))</f>
        <v/>
      </c>
      <c r="J727">
        <f>IF($H727="","",MIN(5,MAX(1,6-$H727)))</f>
        <v/>
      </c>
      <c r="K727">
        <f>IF($H727="","",MAX(1,MIN(5,ROUNDUP(($U727*0.45)+($W727*0.35)+($X727*0.2),0))))</f>
        <v/>
      </c>
      <c r="L727">
        <f>IF($H727="","",$J727*$K727)</f>
        <v/>
      </c>
      <c r="M727">
        <f>IF($H727="","",MAX(1,MIN(5,ROUNDUP($L727/5,0))))</f>
        <v/>
      </c>
      <c r="N727">
        <f>IF($H727="","",IFERROR(INDEX('_ENGINE_Risk'!$T$41:$Y$920,MATCH($E727,'_ENGINE_Risk'!$A$41:$A$920,0),$H727+1),""))</f>
        <v/>
      </c>
      <c r="O727">
        <f>IF($H727="","",MAX(1,MIN(5,($U727+$V727+$X727)/3)))</f>
        <v/>
      </c>
      <c r="P727">
        <f>IF($H727="","",IF($I727="Critical",5,IF($I727="High",4,IF($I727="Medium",3,IF($I727="Low",2,1)))))</f>
        <v/>
      </c>
      <c r="Q727">
        <f>IF($H727="","",MAX(1,MIN(5,((5-$H727)*0.65)+($W727*0.35))))</f>
        <v/>
      </c>
      <c r="R727">
        <f>IF($H727="","",MAX(1,MIN(5,($V727+$X727)/2)))</f>
        <v/>
      </c>
      <c r="S727">
        <f>IF(OR($H727="",$N727=""),"",ROUND(($O727+$P727+$Q727+$R727)/$N727,2))</f>
        <v/>
      </c>
      <c r="T727">
        <f>IF($H727="","",IFERROR(INDEX('_ENGINE_Risk'!$N$41:$S$920,MATCH($E727,'_ENGINE_Risk'!$A$41:$A$920,0),$H727+1),""))</f>
        <v/>
      </c>
      <c r="U727">
        <f>IFERROR(INDEX(_DATA_Assessment_Model!$G$5:$G$884,MATCH($E727,_DATA_Assessment_Model!$A$5:$A$884,0)),"")</f>
        <v/>
      </c>
      <c r="V727">
        <f>IFERROR(INDEX(_DATA_Assessment_Model!$W$5:$W$884,MATCH($E727,_DATA_Assessment_Model!$A$5:$A$884,0)),"")</f>
        <v/>
      </c>
      <c r="W727">
        <f>IFERROR(INDEX(_DATA_Assessment_Model!$X$5:$X$884,MATCH($E727,_DATA_Assessment_Model!$A$5:$A$884,0)),"")</f>
        <v/>
      </c>
      <c r="X727">
        <f>IFERROR(INDEX(_DATA_Assessment_Model!$Y$5:$Y$884,MATCH($E727,_DATA_Assessment_Model!$A$5:$A$884,0)),"")</f>
        <v/>
      </c>
      <c r="Y727" t="inlineStr">
        <is>
          <t>Manufacturing disruption; Safety incident; Energy outage; Cyberattack</t>
        </is>
      </c>
      <c r="Z727" t="inlineStr">
        <is>
          <t>COO / Plant / Manufacturing</t>
        </is>
      </c>
      <c r="AA727" t="inlineStr">
        <is>
          <t>Policy/SOP; owner/RACI; system report; dashboard; contracts; test records; incident history; interview evidence related to minimum viable production under staff absence, utility outage, supplier delay or site risk.</t>
        </is>
      </c>
      <c r="AB727">
        <f>IFERROR(INDEX(_DATA_Assessment_Model!$U$5:$U$884,MATCH($E727,_DATA_Assessment_Model!$A$5:$A$884,0)),"")</f>
        <v/>
      </c>
      <c r="AF727" t="inlineStr">
        <is>
          <t>How mature is the organization in managing minimum viable production under staff absence, utility outage, supplier delay or site risk, including ownership, evidence, metrics, fallback procedures and crisis stress testing?</t>
        </is>
      </c>
      <c r="AO727">
        <f>IF($B727="Yes",IFERROR(INDEX(_ENGINE_Crisis!$F$501:$F$517,MATCH($C727,_ENGINE_Crisis!$A$501:$A$517,0)),1),"")</f>
        <v/>
      </c>
      <c r="AP727">
        <f>IF(AO727="","",ROUND($L727*AO727,1))</f>
        <v/>
      </c>
      <c r="AQ727">
        <f>IF(OR(AO727="",$S727=""),"",ROUND($S727*(0.7+0.3*AO727),2))</f>
        <v/>
      </c>
      <c r="AR727">
        <f>IFERROR(INDEX(_ENGINE_Crisis!$E$41:$E$700,MATCH('Resilience &amp; Risk Scenario'!$B$60&amp;"|"&amp;$C727,_ENGINE_Crisis!$I$41:$I$700,0)),"")</f>
        <v/>
      </c>
      <c r="AS727">
        <f>IFERROR(INDEX(_ENGINE_Crisis!$G$41:$G$700,MATCH('Resilience &amp; Risk Scenario'!$B$60&amp;"|"&amp;$C727,_ENGINE_Crisis!$I$41:$I$700,0)),"")</f>
        <v/>
      </c>
      <c r="AT727">
        <f>IFERROR(INDEX(_ENGINE_Initiatives!$A$5:$A$532,MATCH(1,INDEX((_ENGINE_Initiatives!$B$5:$B$532=$C727)*(_ENGINE_Initiatives!$C$5:$C$532=$D727),0),0)),"")</f>
        <v/>
      </c>
      <c r="AU727">
        <f>IFERROR(INDEX(_ENGINE_Initiatives!$F$5:$F$532,MATCH(1,INDEX((_ENGINE_Initiatives!$B$5:$B$532=$C727)*(_ENGINE_Initiatives!$C$5:$C$532=$D727),0),0)),"")</f>
        <v/>
      </c>
      <c r="AV727">
        <f>IFERROR(INDEX(_ENGINE_Initiatives!$AC$5:$AC$532,MATCH(1,INDEX((_ENGINE_Initiatives!$B$5:$B$532=$C727)*(_ENGINE_Initiatives!$C$5:$C$532=$D727),0),0)),"")</f>
        <v/>
      </c>
      <c r="AW727">
        <f>IFERROR(INDEX(_ENGINE_Initiatives!$AE$5:$AE$532,MATCH(1,INDEX((_ENGINE_Initiatives!$B$5:$B$532=$C727)*(_ENGINE_Initiatives!$C$5:$C$532=$D727),0),0)),"")</f>
        <v/>
      </c>
      <c r="AX727">
        <f>IF($B727="Yes",IFERROR(IF(SUMIFS(_REF_Model_Content!$E$1:$E$613,_REF_Model_Content!$A$1:$A$613,'Company Profile'!$B$9,_REF_Model_Content!$B$1:$B$613,$C727)=0,1,SUMIFS(_REF_Model_Content!$E$1:$E$613,_REF_Model_Content!$A$1:$A$613,'Company Profile'!$B$9,_REF_Model_Content!$B$1:$B$613,$C727)),1),"")</f>
        <v/>
      </c>
      <c r="AY727">
        <f>IF($L727="","",ROUND(IF($AP727="",$L727,$AP727)*IF($AX727="",1,$AX727),2))</f>
        <v/>
      </c>
      <c r="AZ727">
        <f>IF($S727="","",ROUND(IF($AQ727="",$S727,$AQ727)*IF($AX727="",1,$AX727),2))</f>
        <v/>
      </c>
      <c r="BB727">
        <f>IF($H727="","",IFERROR(INDEX('_ENGINE_Risk'!$AE$41:$AE$920,MATCH($E727,'_ENGINE_Risk'!$A$41:$A$920,0)),"Medium"))</f>
        <v/>
      </c>
      <c r="BC727">
        <f>IF($BB727="","",IF($BB727="Fast",1.25,IF($BB727="Slow",0.85,1)))</f>
        <v/>
      </c>
      <c r="BD727">
        <f>IF(OR($AZ727="",$BC727=""),"",ROUND($AZ727*$BC727,2))</f>
        <v/>
      </c>
      <c r="BF727">
        <f>IF(OR($H727="",$J727=""),"",_xlfn.IFNA(VLOOKUP($J727,_CONFIG_Model_Settings!$D$610:$E$614,2,0),""))</f>
        <v/>
      </c>
      <c r="BG727">
        <f>IF(OR($H727="",$K727=""),"",ROUND('Company Profile'!$B$569*INDEX(_CONFIG_Model_Settings!$H$610:$H$614,MATCH($K727,_CONFIG_Model_Settings!$G$610:$G$614,0)),0))</f>
        <v/>
      </c>
      <c r="BH727">
        <f>IF(OR($BF727="",$BG727=""),"",ROUND($BF727*$BG727,1))</f>
        <v/>
      </c>
      <c r="BI727">
        <f>IF($BH727="","",IF($AO727="",$BH727,ROUND($BH727*$AO727,1)))</f>
        <v/>
      </c>
      <c r="BJ727">
        <f>IF($E727="","",IFERROR(VLOOKUP($C727,'_CONFIG_Risk_Calibration'!$A$5:$H$21,2,FALSE),3))</f>
        <v/>
      </c>
      <c r="BK727">
        <f>IF($E727="","",IFERROR(VLOOKUP($C727,'_CONFIG_Risk_Calibration'!$A$5:$H$21,3,FALSE),0))</f>
        <v/>
      </c>
      <c r="BL727">
        <f>IF($E727="","",IFERROR(VLOOKUP($C727,'_CONFIG_Risk_Calibration'!$A$5:$H$21,4,FALSE),3))</f>
        <v/>
      </c>
      <c r="BM727">
        <f>IF($E727="","",IFERROR(VLOOKUP($C727,'_CONFIG_Risk_Calibration'!$A$5:$H$21,5,FALSE),3))</f>
        <v/>
      </c>
      <c r="BN727">
        <f>IF($E727="","",IFERROR(VLOOKUP($C727,'_CONFIG_Risk_Calibration'!$A$5:$H$21,6,FALSE),"No"))</f>
        <v/>
      </c>
      <c r="BO727">
        <f>IF($E727="","",IFERROR(VLOOKUP($C727,'_CONFIG_Risk_Calibration'!$A$5:$H$21,7,FALSE),1))</f>
        <v/>
      </c>
      <c r="BP727">
        <f>IF($H727="","",MAX(1,MIN(5,((6-$H727)*0.45)+($BJ727*0.20)+('Resilience &amp; Risk Scenario'!$B$7*0.15)+($BK727*0.10)+($BL727*0.05)+(IF($BB727="Fast",5,IF($BB727="Slow",1,3))*0.05))))</f>
        <v/>
      </c>
      <c r="BQ727">
        <f>IF($H727="","",MAX(IF($BN727="Yes",$BO727,1),MIN(5,($U727*0.20)+($V727*0.15)+($W727*0.25)+($X727*0.15)+($BJ727*0.10)+($BM727*0.15))))</f>
        <v/>
      </c>
      <c r="BR727">
        <f>IF(OR($BP727="",$BQ727=""),"",ROUND($BP727*$BQ727,2))</f>
        <v/>
      </c>
      <c r="BS727">
        <f>IF($BR727="","",ROUND($BR727*IF($AO727="",1,$AO727)*IF($AX727="",1,$AX727)*(1+(($BM727-3)*0.10))*IF($BC727="",1,$BC727),2))</f>
        <v/>
      </c>
    </row>
    <row r="728" ht="69.90000000000001" customHeight="1" s="209">
      <c r="A728">
        <f>IF($BD728="","",SUMPRODUCT(ISNUMBER($BD$500:$BD$923)*($BD$500:$BD$923&gt;$BD728))+COUNTIF($BD$500:$BD728,$BD728))</f>
        <v/>
      </c>
      <c r="B728">
        <f>IF($H728="","",IF($H728&lt;5,"Yes","Maintain"))</f>
        <v/>
      </c>
      <c r="C728" t="inlineStr">
        <is>
          <t>Manufacturing MES</t>
        </is>
      </c>
      <c r="D728" t="inlineStr">
        <is>
          <t>Production footprint</t>
        </is>
      </c>
      <c r="E728" t="inlineStr">
        <is>
          <t>MANU-005</t>
        </is>
      </c>
      <c r="F728" t="inlineStr">
        <is>
          <t>Manufacturing, MES and production continuity</t>
        </is>
      </c>
      <c r="G728">
        <f>IF($H728="","",IFERROR(INDEX('_ENGINE_Risk'!$H$41:$M$920,MATCH($E728,'_ENGINE_Risk'!$A$41:$A$920,0),$H728+1),""))</f>
        <v/>
      </c>
      <c r="H728">
        <f>IFERROR(VALUE(INDEX(_DATA_Assessment_Model!$H$5:$H$884,MATCH($E728,_DATA_Assessment_Model!$A$5:$A$884,0))),"")</f>
        <v/>
      </c>
      <c r="I728">
        <f>IF($H728="","",IFERROR(INDEX(_DATA_Assessment_Model!$L$5:$L$884,MATCH($E728,_DATA_Assessment_Model!$A$5:$A$884,0)),IF($H728&lt;=1,"Critical",IF($H728=2,"High",IF($H728=3,"Medium",IF($H728=4,"Low","Resilient"))))))</f>
        <v/>
      </c>
      <c r="J728">
        <f>IF($H728="","",MIN(5,MAX(1,6-$H728)))</f>
        <v/>
      </c>
      <c r="K728">
        <f>IF($H728="","",MAX(1,MIN(5,ROUNDUP(($U728*0.45)+($W728*0.35)+($X728*0.2),0))))</f>
        <v/>
      </c>
      <c r="L728">
        <f>IF($H728="","",$J728*$K728)</f>
        <v/>
      </c>
      <c r="M728">
        <f>IF($H728="","",MAX(1,MIN(5,ROUNDUP($L728/5,0))))</f>
        <v/>
      </c>
      <c r="N728">
        <f>IF($H728="","",IFERROR(INDEX('_ENGINE_Risk'!$T$41:$Y$920,MATCH($E728,'_ENGINE_Risk'!$A$41:$A$920,0),$H728+1),""))</f>
        <v/>
      </c>
      <c r="O728">
        <f>IF($H728="","",MAX(1,MIN(5,($U728+$V728+$X728)/3)))</f>
        <v/>
      </c>
      <c r="P728">
        <f>IF($H728="","",IF($I728="Critical",5,IF($I728="High",4,IF($I728="Medium",3,IF($I728="Low",2,1)))))</f>
        <v/>
      </c>
      <c r="Q728">
        <f>IF($H728="","",MAX(1,MIN(5,((5-$H728)*0.65)+($W728*0.35))))</f>
        <v/>
      </c>
      <c r="R728">
        <f>IF($H728="","",MAX(1,MIN(5,($V728+$X728)/2)))</f>
        <v/>
      </c>
      <c r="S728">
        <f>IF(OR($H728="",$N728=""),"",ROUND(($O728+$P728+$Q728+$R728)/$N728,2))</f>
        <v/>
      </c>
      <c r="T728">
        <f>IF($H728="","",IFERROR(INDEX('_ENGINE_Risk'!$N$41:$S$920,MATCH($E728,'_ENGINE_Risk'!$A$41:$A$920,0),$H728+1),""))</f>
        <v/>
      </c>
      <c r="U728">
        <f>IFERROR(INDEX(_DATA_Assessment_Model!$G$5:$G$884,MATCH($E728,_DATA_Assessment_Model!$A$5:$A$884,0)),"")</f>
        <v/>
      </c>
      <c r="V728">
        <f>IFERROR(INDEX(_DATA_Assessment_Model!$W$5:$W$884,MATCH($E728,_DATA_Assessment_Model!$A$5:$A$884,0)),"")</f>
        <v/>
      </c>
      <c r="W728">
        <f>IFERROR(INDEX(_DATA_Assessment_Model!$X$5:$X$884,MATCH($E728,_DATA_Assessment_Model!$A$5:$A$884,0)),"")</f>
        <v/>
      </c>
      <c r="X728">
        <f>IFERROR(INDEX(_DATA_Assessment_Model!$Y$5:$Y$884,MATCH($E728,_DATA_Assessment_Model!$A$5:$A$884,0)),"")</f>
        <v/>
      </c>
      <c r="Y728" t="inlineStr">
        <is>
          <t>Manufacturing disruption; Safety incident; Energy outage; Cyberattack</t>
        </is>
      </c>
      <c r="Z728" t="inlineStr">
        <is>
          <t>COO / Plant / Manufacturing</t>
        </is>
      </c>
      <c r="AA728" t="inlineStr">
        <is>
          <t>Policy/SOP; owner/RACI; system report; dashboard; contracts; test records; incident history; interview evidence related to line or site transferability if a facility fails.</t>
        </is>
      </c>
      <c r="AB728">
        <f>IFERROR(INDEX(_DATA_Assessment_Model!$U$5:$U$884,MATCH($E728,_DATA_Assessment_Model!$A$5:$A$884,0)),"")</f>
        <v/>
      </c>
      <c r="AF728" t="inlineStr">
        <is>
          <t>How mature is the organization in managing line or site transferability if a facility fails, including ownership, evidence, metrics, fallback procedures and crisis stress testing?</t>
        </is>
      </c>
      <c r="AO728">
        <f>IF($B728="Yes",IFERROR(INDEX(_ENGINE_Crisis!$F$501:$F$517,MATCH($C728,_ENGINE_Crisis!$A$501:$A$517,0)),1),"")</f>
        <v/>
      </c>
      <c r="AP728">
        <f>IF(AO728="","",ROUND($L728*AO728,1))</f>
        <v/>
      </c>
      <c r="AQ728">
        <f>IF(OR(AO728="",$S728=""),"",ROUND($S728*(0.7+0.3*AO728),2))</f>
        <v/>
      </c>
      <c r="AR728">
        <f>IFERROR(INDEX(_ENGINE_Crisis!$E$41:$E$700,MATCH('Resilience &amp; Risk Scenario'!$B$60&amp;"|"&amp;$C728,_ENGINE_Crisis!$I$41:$I$700,0)),"")</f>
        <v/>
      </c>
      <c r="AS728">
        <f>IFERROR(INDEX(_ENGINE_Crisis!$G$41:$G$700,MATCH('Resilience &amp; Risk Scenario'!$B$60&amp;"|"&amp;$C728,_ENGINE_Crisis!$I$41:$I$700,0)),"")</f>
        <v/>
      </c>
      <c r="AT728">
        <f>IFERROR(INDEX(_ENGINE_Initiatives!$A$5:$A$532,MATCH(1,INDEX((_ENGINE_Initiatives!$B$5:$B$532=$C728)*(_ENGINE_Initiatives!$C$5:$C$532=$D728),0),0)),"")</f>
        <v/>
      </c>
      <c r="AU728">
        <f>IFERROR(INDEX(_ENGINE_Initiatives!$F$5:$F$532,MATCH(1,INDEX((_ENGINE_Initiatives!$B$5:$B$532=$C728)*(_ENGINE_Initiatives!$C$5:$C$532=$D728),0),0)),"")</f>
        <v/>
      </c>
      <c r="AV728">
        <f>IFERROR(INDEX(_ENGINE_Initiatives!$AC$5:$AC$532,MATCH(1,INDEX((_ENGINE_Initiatives!$B$5:$B$532=$C728)*(_ENGINE_Initiatives!$C$5:$C$532=$D728),0),0)),"")</f>
        <v/>
      </c>
      <c r="AW728">
        <f>IFERROR(INDEX(_ENGINE_Initiatives!$AE$5:$AE$532,MATCH(1,INDEX((_ENGINE_Initiatives!$B$5:$B$532=$C728)*(_ENGINE_Initiatives!$C$5:$C$532=$D728),0),0)),"")</f>
        <v/>
      </c>
      <c r="AX728">
        <f>IF($B728="Yes",IFERROR(IF(SUMIFS(_REF_Model_Content!$E$1:$E$613,_REF_Model_Content!$A$1:$A$613,'Company Profile'!$B$9,_REF_Model_Content!$B$1:$B$613,$C728)=0,1,SUMIFS(_REF_Model_Content!$E$1:$E$613,_REF_Model_Content!$A$1:$A$613,'Company Profile'!$B$9,_REF_Model_Content!$B$1:$B$613,$C728)),1),"")</f>
        <v/>
      </c>
      <c r="AY728">
        <f>IF($L728="","",ROUND(IF($AP728="",$L728,$AP728)*IF($AX728="",1,$AX728),2))</f>
        <v/>
      </c>
      <c r="AZ728">
        <f>IF($S728="","",ROUND(IF($AQ728="",$S728,$AQ728)*IF($AX728="",1,$AX728),2))</f>
        <v/>
      </c>
      <c r="BB728">
        <f>IF($H728="","",IFERROR(INDEX('_ENGINE_Risk'!$AE$41:$AE$920,MATCH($E728,'_ENGINE_Risk'!$A$41:$A$920,0)),"Medium"))</f>
        <v/>
      </c>
      <c r="BC728">
        <f>IF($BB728="","",IF($BB728="Fast",1.25,IF($BB728="Slow",0.85,1)))</f>
        <v/>
      </c>
      <c r="BD728">
        <f>IF(OR($AZ728="",$BC728=""),"",ROUND($AZ728*$BC728,2))</f>
        <v/>
      </c>
      <c r="BF728">
        <f>IF(OR($H728="",$J728=""),"",_xlfn.IFNA(VLOOKUP($J728,_CONFIG_Model_Settings!$D$610:$E$614,2,0),""))</f>
        <v/>
      </c>
      <c r="BG728">
        <f>IF(OR($H728="",$K728=""),"",ROUND('Company Profile'!$B$569*INDEX(_CONFIG_Model_Settings!$H$610:$H$614,MATCH($K728,_CONFIG_Model_Settings!$G$610:$G$614,0)),0))</f>
        <v/>
      </c>
      <c r="BH728">
        <f>IF(OR($BF728="",$BG728=""),"",ROUND($BF728*$BG728,1))</f>
        <v/>
      </c>
      <c r="BI728">
        <f>IF($BH728="","",IF($AO728="",$BH728,ROUND($BH728*$AO728,1)))</f>
        <v/>
      </c>
      <c r="BJ728">
        <f>IF($E728="","",IFERROR(VLOOKUP($C728,'_CONFIG_Risk_Calibration'!$A$5:$H$21,2,FALSE),3))</f>
        <v/>
      </c>
      <c r="BK728">
        <f>IF($E728="","",IFERROR(VLOOKUP($C728,'_CONFIG_Risk_Calibration'!$A$5:$H$21,3,FALSE),0))</f>
        <v/>
      </c>
      <c r="BL728">
        <f>IF($E728="","",IFERROR(VLOOKUP($C728,'_CONFIG_Risk_Calibration'!$A$5:$H$21,4,FALSE),3))</f>
        <v/>
      </c>
      <c r="BM728">
        <f>IF($E728="","",IFERROR(VLOOKUP($C728,'_CONFIG_Risk_Calibration'!$A$5:$H$21,5,FALSE),3))</f>
        <v/>
      </c>
      <c r="BN728">
        <f>IF($E728="","",IFERROR(VLOOKUP($C728,'_CONFIG_Risk_Calibration'!$A$5:$H$21,6,FALSE),"No"))</f>
        <v/>
      </c>
      <c r="BO728">
        <f>IF($E728="","",IFERROR(VLOOKUP($C728,'_CONFIG_Risk_Calibration'!$A$5:$H$21,7,FALSE),1))</f>
        <v/>
      </c>
      <c r="BP728">
        <f>IF($H728="","",MAX(1,MIN(5,((6-$H728)*0.45)+($BJ728*0.20)+('Resilience &amp; Risk Scenario'!$B$7*0.15)+($BK728*0.10)+($BL728*0.05)+(IF($BB728="Fast",5,IF($BB728="Slow",1,3))*0.05))))</f>
        <v/>
      </c>
      <c r="BQ728">
        <f>IF($H728="","",MAX(IF($BN728="Yes",$BO728,1),MIN(5,($U728*0.20)+($V728*0.15)+($W728*0.25)+($X728*0.15)+($BJ728*0.10)+($BM728*0.15))))</f>
        <v/>
      </c>
      <c r="BR728">
        <f>IF(OR($BP728="",$BQ728=""),"",ROUND($BP728*$BQ728,2))</f>
        <v/>
      </c>
      <c r="BS728">
        <f>IF($BR728="","",ROUND($BR728*IF($AO728="",1,$AO728)*IF($AX728="",1,$AX728)*(1+(($BM728-3)*0.10))*IF($BC728="",1,$BC728),2))</f>
        <v/>
      </c>
    </row>
    <row r="729" ht="69.90000000000001" customHeight="1" s="209">
      <c r="A729">
        <f>IF($BD729="","",SUMPRODUCT(ISNUMBER($BD$500:$BD$923)*($BD$500:$BD$923&gt;$BD729))+COUNTIF($BD$500:$BD729,$BD729))</f>
        <v/>
      </c>
      <c r="B729">
        <f>IF($H729="","",IF($H729&lt;5,"Yes","Maintain"))</f>
        <v/>
      </c>
      <c r="C729" t="inlineStr">
        <is>
          <t>Manufacturing MES</t>
        </is>
      </c>
      <c r="D729" t="inlineStr">
        <is>
          <t>Production footprint</t>
        </is>
      </c>
      <c r="E729" t="inlineStr">
        <is>
          <t>MANU-006</t>
        </is>
      </c>
      <c r="F729" t="inlineStr">
        <is>
          <t>Manufacturing, MES and production continuity</t>
        </is>
      </c>
      <c r="G729">
        <f>IF($H729="","",IFERROR(INDEX('_ENGINE_Risk'!$H$41:$M$920,MATCH($E729,'_ENGINE_Risk'!$A$41:$A$920,0),$H729+1),""))</f>
        <v/>
      </c>
      <c r="H729">
        <f>IFERROR(VALUE(INDEX(_DATA_Assessment_Model!$H$5:$H$884,MATCH($E729,_DATA_Assessment_Model!$A$5:$A$884,0))),"")</f>
        <v/>
      </c>
      <c r="I729">
        <f>IF($H729="","",IFERROR(INDEX(_DATA_Assessment_Model!$L$5:$L$884,MATCH($E729,_DATA_Assessment_Model!$A$5:$A$884,0)),IF($H729&lt;=1,"Critical",IF($H729=2,"High",IF($H729=3,"Medium",IF($H729=4,"Low","Resilient"))))))</f>
        <v/>
      </c>
      <c r="J729">
        <f>IF($H729="","",MIN(5,MAX(1,6-$H729)))</f>
        <v/>
      </c>
      <c r="K729">
        <f>IF($H729="","",MAX(1,MIN(5,ROUNDUP(($U729*0.45)+($W729*0.35)+($X729*0.2),0))))</f>
        <v/>
      </c>
      <c r="L729">
        <f>IF($H729="","",$J729*$K729)</f>
        <v/>
      </c>
      <c r="M729">
        <f>IF($H729="","",MAX(1,MIN(5,ROUNDUP($L729/5,0))))</f>
        <v/>
      </c>
      <c r="N729">
        <f>IF($H729="","",IFERROR(INDEX('_ENGINE_Risk'!$T$41:$Y$920,MATCH($E729,'_ENGINE_Risk'!$A$41:$A$920,0),$H729+1),""))</f>
        <v/>
      </c>
      <c r="O729">
        <f>IF($H729="","",MAX(1,MIN(5,($U729+$V729+$X729)/3)))</f>
        <v/>
      </c>
      <c r="P729">
        <f>IF($H729="","",IF($I729="Critical",5,IF($I729="High",4,IF($I729="Medium",3,IF($I729="Low",2,1)))))</f>
        <v/>
      </c>
      <c r="Q729">
        <f>IF($H729="","",MAX(1,MIN(5,((5-$H729)*0.65)+($W729*0.35))))</f>
        <v/>
      </c>
      <c r="R729">
        <f>IF($H729="","",MAX(1,MIN(5,($V729+$X729)/2)))</f>
        <v/>
      </c>
      <c r="S729">
        <f>IF(OR($H729="",$N729=""),"",ROUND(($O729+$P729+$Q729+$R729)/$N729,2))</f>
        <v/>
      </c>
      <c r="T729">
        <f>IF($H729="","",IFERROR(INDEX('_ENGINE_Risk'!$N$41:$S$920,MATCH($E729,'_ENGINE_Risk'!$A$41:$A$920,0),$H729+1),""))</f>
        <v/>
      </c>
      <c r="U729">
        <f>IFERROR(INDEX(_DATA_Assessment_Model!$G$5:$G$884,MATCH($E729,_DATA_Assessment_Model!$A$5:$A$884,0)),"")</f>
        <v/>
      </c>
      <c r="V729">
        <f>IFERROR(INDEX(_DATA_Assessment_Model!$W$5:$W$884,MATCH($E729,_DATA_Assessment_Model!$A$5:$A$884,0)),"")</f>
        <v/>
      </c>
      <c r="W729">
        <f>IFERROR(INDEX(_DATA_Assessment_Model!$X$5:$X$884,MATCH($E729,_DATA_Assessment_Model!$A$5:$A$884,0)),"")</f>
        <v/>
      </c>
      <c r="X729">
        <f>IFERROR(INDEX(_DATA_Assessment_Model!$Y$5:$Y$884,MATCH($E729,_DATA_Assessment_Model!$A$5:$A$884,0)),"")</f>
        <v/>
      </c>
      <c r="Y729" t="inlineStr">
        <is>
          <t>Manufacturing disruption; Safety incident; Energy outage; Cyberattack</t>
        </is>
      </c>
      <c r="Z729" t="inlineStr">
        <is>
          <t>COO / Plant / Manufacturing</t>
        </is>
      </c>
      <c r="AA729" t="inlineStr">
        <is>
          <t>Policy/SOP; owner/RACI; system report; dashboard; contracts; test records; incident history; interview evidence related to contract manufacturing capacity, quality, continuity, security and compliance.</t>
        </is>
      </c>
      <c r="AB729">
        <f>IFERROR(INDEX(_DATA_Assessment_Model!$U$5:$U$884,MATCH($E729,_DATA_Assessment_Model!$A$5:$A$884,0)),"")</f>
        <v/>
      </c>
      <c r="AF729" t="inlineStr">
        <is>
          <t>How mature is the organization in managing contract manufacturing capacity, quality, continuity, security and compliance, including ownership, evidence, metrics, fallback procedures and crisis stress testing?</t>
        </is>
      </c>
      <c r="AO729">
        <f>IF($B729="Yes",IFERROR(INDEX(_ENGINE_Crisis!$F$501:$F$517,MATCH($C729,_ENGINE_Crisis!$A$501:$A$517,0)),1),"")</f>
        <v/>
      </c>
      <c r="AP729">
        <f>IF(AO729="","",ROUND($L729*AO729,1))</f>
        <v/>
      </c>
      <c r="AQ729">
        <f>IF(OR(AO729="",$S729=""),"",ROUND($S729*(0.7+0.3*AO729),2))</f>
        <v/>
      </c>
      <c r="AR729">
        <f>IFERROR(INDEX(_ENGINE_Crisis!$E$41:$E$700,MATCH('Resilience &amp; Risk Scenario'!$B$60&amp;"|"&amp;$C729,_ENGINE_Crisis!$I$41:$I$700,0)),"")</f>
        <v/>
      </c>
      <c r="AS729">
        <f>IFERROR(INDEX(_ENGINE_Crisis!$G$41:$G$700,MATCH('Resilience &amp; Risk Scenario'!$B$60&amp;"|"&amp;$C729,_ENGINE_Crisis!$I$41:$I$700,0)),"")</f>
        <v/>
      </c>
      <c r="AT729">
        <f>IFERROR(INDEX(_ENGINE_Initiatives!$A$5:$A$532,MATCH(1,INDEX((_ENGINE_Initiatives!$B$5:$B$532=$C729)*(_ENGINE_Initiatives!$C$5:$C$532=$D729),0),0)),"")</f>
        <v/>
      </c>
      <c r="AU729">
        <f>IFERROR(INDEX(_ENGINE_Initiatives!$F$5:$F$532,MATCH(1,INDEX((_ENGINE_Initiatives!$B$5:$B$532=$C729)*(_ENGINE_Initiatives!$C$5:$C$532=$D729),0),0)),"")</f>
        <v/>
      </c>
      <c r="AV729">
        <f>IFERROR(INDEX(_ENGINE_Initiatives!$AC$5:$AC$532,MATCH(1,INDEX((_ENGINE_Initiatives!$B$5:$B$532=$C729)*(_ENGINE_Initiatives!$C$5:$C$532=$D729),0),0)),"")</f>
        <v/>
      </c>
      <c r="AW729">
        <f>IFERROR(INDEX(_ENGINE_Initiatives!$AE$5:$AE$532,MATCH(1,INDEX((_ENGINE_Initiatives!$B$5:$B$532=$C729)*(_ENGINE_Initiatives!$C$5:$C$532=$D729),0),0)),"")</f>
        <v/>
      </c>
      <c r="AX729">
        <f>IF($B729="Yes",IFERROR(IF(SUMIFS(_REF_Model_Content!$E$1:$E$613,_REF_Model_Content!$A$1:$A$613,'Company Profile'!$B$9,_REF_Model_Content!$B$1:$B$613,$C729)=0,1,SUMIFS(_REF_Model_Content!$E$1:$E$613,_REF_Model_Content!$A$1:$A$613,'Company Profile'!$B$9,_REF_Model_Content!$B$1:$B$613,$C729)),1),"")</f>
        <v/>
      </c>
      <c r="AY729">
        <f>IF($L729="","",ROUND(IF($AP729="",$L729,$AP729)*IF($AX729="",1,$AX729),2))</f>
        <v/>
      </c>
      <c r="AZ729">
        <f>IF($S729="","",ROUND(IF($AQ729="",$S729,$AQ729)*IF($AX729="",1,$AX729),2))</f>
        <v/>
      </c>
      <c r="BB729">
        <f>IF($H729="","",IFERROR(INDEX('_ENGINE_Risk'!$AE$41:$AE$920,MATCH($E729,'_ENGINE_Risk'!$A$41:$A$920,0)),"Medium"))</f>
        <v/>
      </c>
      <c r="BC729">
        <f>IF($BB729="","",IF($BB729="Fast",1.25,IF($BB729="Slow",0.85,1)))</f>
        <v/>
      </c>
      <c r="BD729">
        <f>IF(OR($AZ729="",$BC729=""),"",ROUND($AZ729*$BC729,2))</f>
        <v/>
      </c>
      <c r="BF729">
        <f>IF(OR($H729="",$J729=""),"",_xlfn.IFNA(VLOOKUP($J729,_CONFIG_Model_Settings!$D$610:$E$614,2,0),""))</f>
        <v/>
      </c>
      <c r="BG729">
        <f>IF(OR($H729="",$K729=""),"",ROUND('Company Profile'!$B$569*INDEX(_CONFIG_Model_Settings!$H$610:$H$614,MATCH($K729,_CONFIG_Model_Settings!$G$610:$G$614,0)),0))</f>
        <v/>
      </c>
      <c r="BH729">
        <f>IF(OR($BF729="",$BG729=""),"",ROUND($BF729*$BG729,1))</f>
        <v/>
      </c>
      <c r="BI729">
        <f>IF($BH729="","",IF($AO729="",$BH729,ROUND($BH729*$AO729,1)))</f>
        <v/>
      </c>
      <c r="BJ729">
        <f>IF($E729="","",IFERROR(VLOOKUP($C729,'_CONFIG_Risk_Calibration'!$A$5:$H$21,2,FALSE),3))</f>
        <v/>
      </c>
      <c r="BK729">
        <f>IF($E729="","",IFERROR(VLOOKUP($C729,'_CONFIG_Risk_Calibration'!$A$5:$H$21,3,FALSE),0))</f>
        <v/>
      </c>
      <c r="BL729">
        <f>IF($E729="","",IFERROR(VLOOKUP($C729,'_CONFIG_Risk_Calibration'!$A$5:$H$21,4,FALSE),3))</f>
        <v/>
      </c>
      <c r="BM729">
        <f>IF($E729="","",IFERROR(VLOOKUP($C729,'_CONFIG_Risk_Calibration'!$A$5:$H$21,5,FALSE),3))</f>
        <v/>
      </c>
      <c r="BN729">
        <f>IF($E729="","",IFERROR(VLOOKUP($C729,'_CONFIG_Risk_Calibration'!$A$5:$H$21,6,FALSE),"No"))</f>
        <v/>
      </c>
      <c r="BO729">
        <f>IF($E729="","",IFERROR(VLOOKUP($C729,'_CONFIG_Risk_Calibration'!$A$5:$H$21,7,FALSE),1))</f>
        <v/>
      </c>
      <c r="BP729">
        <f>IF($H729="","",MAX(1,MIN(5,((6-$H729)*0.45)+($BJ729*0.20)+('Resilience &amp; Risk Scenario'!$B$7*0.15)+($BK729*0.10)+($BL729*0.05)+(IF($BB729="Fast",5,IF($BB729="Slow",1,3))*0.05))))</f>
        <v/>
      </c>
      <c r="BQ729">
        <f>IF($H729="","",MAX(IF($BN729="Yes",$BO729,1),MIN(5,($U729*0.20)+($V729*0.15)+($W729*0.25)+($X729*0.15)+($BJ729*0.10)+($BM729*0.15))))</f>
        <v/>
      </c>
      <c r="BR729">
        <f>IF(OR($BP729="",$BQ729=""),"",ROUND($BP729*$BQ729,2))</f>
        <v/>
      </c>
      <c r="BS729">
        <f>IF($BR729="","",ROUND($BR729*IF($AO729="",1,$AO729)*IF($AX729="",1,$AX729)*(1+(($BM729-3)*0.10))*IF($BC729="",1,$BC729),2))</f>
        <v/>
      </c>
    </row>
    <row r="730" ht="69.90000000000001" customHeight="1" s="209">
      <c r="A730">
        <f>IF($BD730="","",SUMPRODUCT(ISNUMBER($BD$500:$BD$923)*($BD$500:$BD$923&gt;$BD730))+COUNTIF($BD$500:$BD730,$BD730))</f>
        <v/>
      </c>
      <c r="B730">
        <f>IF($H730="","",IF($H730&lt;5,"Yes","Maintain"))</f>
        <v/>
      </c>
      <c r="C730" t="inlineStr">
        <is>
          <t>Manufacturing MES</t>
        </is>
      </c>
      <c r="D730" t="inlineStr">
        <is>
          <t>MES and shop floor</t>
        </is>
      </c>
      <c r="E730" t="inlineStr">
        <is>
          <t>MANU-007</t>
        </is>
      </c>
      <c r="F730" t="inlineStr">
        <is>
          <t>Manufacturing, MES and production continuity</t>
        </is>
      </c>
      <c r="G730">
        <f>IF($H730="","",IFERROR(INDEX('_ENGINE_Risk'!$H$41:$M$920,MATCH($E730,'_ENGINE_Risk'!$A$41:$A$920,0),$H730+1),""))</f>
        <v/>
      </c>
      <c r="H730">
        <f>IFERROR(VALUE(INDEX(_DATA_Assessment_Model!$H$5:$H$884,MATCH($E730,_DATA_Assessment_Model!$A$5:$A$884,0))),"")</f>
        <v/>
      </c>
      <c r="I730">
        <f>IF($H730="","",IFERROR(INDEX(_DATA_Assessment_Model!$L$5:$L$884,MATCH($E730,_DATA_Assessment_Model!$A$5:$A$884,0)),IF($H730&lt;=1,"Critical",IF($H730=2,"High",IF($H730=3,"Medium",IF($H730=4,"Low","Resilient"))))))</f>
        <v/>
      </c>
      <c r="J730">
        <f>IF($H730="","",MIN(5,MAX(1,6-$H730)))</f>
        <v/>
      </c>
      <c r="K730">
        <f>IF($H730="","",MAX(1,MIN(5,ROUNDUP(($U730*0.45)+($W730*0.35)+($X730*0.2),0))))</f>
        <v/>
      </c>
      <c r="L730">
        <f>IF($H730="","",$J730*$K730)</f>
        <v/>
      </c>
      <c r="M730">
        <f>IF($H730="","",MAX(1,MIN(5,ROUNDUP($L730/5,0))))</f>
        <v/>
      </c>
      <c r="N730">
        <f>IF($H730="","",IFERROR(INDEX('_ENGINE_Risk'!$T$41:$Y$920,MATCH($E730,'_ENGINE_Risk'!$A$41:$A$920,0),$H730+1),""))</f>
        <v/>
      </c>
      <c r="O730">
        <f>IF($H730="","",MAX(1,MIN(5,($U730+$V730+$X730)/3)))</f>
        <v/>
      </c>
      <c r="P730">
        <f>IF($H730="","",IF($I730="Critical",5,IF($I730="High",4,IF($I730="Medium",3,IF($I730="Low",2,1)))))</f>
        <v/>
      </c>
      <c r="Q730">
        <f>IF($H730="","",MAX(1,MIN(5,((5-$H730)*0.65)+($W730*0.35))))</f>
        <v/>
      </c>
      <c r="R730">
        <f>IF($H730="","",MAX(1,MIN(5,($V730+$X730)/2)))</f>
        <v/>
      </c>
      <c r="S730">
        <f>IF(OR($H730="",$N730=""),"",ROUND(($O730+$P730+$Q730+$R730)/$N730,2))</f>
        <v/>
      </c>
      <c r="T730">
        <f>IF($H730="","",IFERROR(INDEX('_ENGINE_Risk'!$N$41:$S$920,MATCH($E730,'_ENGINE_Risk'!$A$41:$A$920,0),$H730+1),""))</f>
        <v/>
      </c>
      <c r="U730">
        <f>IFERROR(INDEX(_DATA_Assessment_Model!$G$5:$G$884,MATCH($E730,_DATA_Assessment_Model!$A$5:$A$884,0)),"")</f>
        <v/>
      </c>
      <c r="V730">
        <f>IFERROR(INDEX(_DATA_Assessment_Model!$W$5:$W$884,MATCH($E730,_DATA_Assessment_Model!$A$5:$A$884,0)),"")</f>
        <v/>
      </c>
      <c r="W730">
        <f>IFERROR(INDEX(_DATA_Assessment_Model!$X$5:$X$884,MATCH($E730,_DATA_Assessment_Model!$A$5:$A$884,0)),"")</f>
        <v/>
      </c>
      <c r="X730">
        <f>IFERROR(INDEX(_DATA_Assessment_Model!$Y$5:$Y$884,MATCH($E730,_DATA_Assessment_Model!$A$5:$A$884,0)),"")</f>
        <v/>
      </c>
      <c r="Y730" t="inlineStr">
        <is>
          <t>Manufacturing disruption; Safety incident; Energy outage; Cyberattack</t>
        </is>
      </c>
      <c r="Z730" t="inlineStr">
        <is>
          <t>COO / Plant / Manufacturing</t>
        </is>
      </c>
      <c r="AA730" t="inlineStr">
        <is>
          <t>Policy/SOP; owner/RACI; system report; dashboard; contracts; test records; incident history; interview evidence related to MES or equivalent shop-floor control for orders, operations, traceability, downtime and quality.</t>
        </is>
      </c>
      <c r="AB730">
        <f>IFERROR(INDEX(_DATA_Assessment_Model!$U$5:$U$884,MATCH($E730,_DATA_Assessment_Model!$A$5:$A$884,0)),"")</f>
        <v/>
      </c>
      <c r="AF730" t="inlineStr">
        <is>
          <t>How mature is the organization in managing MES or equivalent shop-floor control for orders, operations, traceability, downtime and quality, including ownership, evidence, metrics, fallback procedures and crisis stress testing?</t>
        </is>
      </c>
      <c r="AO730">
        <f>IF($B730="Yes",IFERROR(INDEX(_ENGINE_Crisis!$F$501:$F$517,MATCH($C730,_ENGINE_Crisis!$A$501:$A$517,0)),1),"")</f>
        <v/>
      </c>
      <c r="AP730">
        <f>IF(AO730="","",ROUND($L730*AO730,1))</f>
        <v/>
      </c>
      <c r="AQ730">
        <f>IF(OR(AO730="",$S730=""),"",ROUND($S730*(0.7+0.3*AO730),2))</f>
        <v/>
      </c>
      <c r="AR730">
        <f>IFERROR(INDEX(_ENGINE_Crisis!$E$41:$E$700,MATCH('Resilience &amp; Risk Scenario'!$B$60&amp;"|"&amp;$C730,_ENGINE_Crisis!$I$41:$I$700,0)),"")</f>
        <v/>
      </c>
      <c r="AS730">
        <f>IFERROR(INDEX(_ENGINE_Crisis!$G$41:$G$700,MATCH('Resilience &amp; Risk Scenario'!$B$60&amp;"|"&amp;$C730,_ENGINE_Crisis!$I$41:$I$700,0)),"")</f>
        <v/>
      </c>
      <c r="AT730">
        <f>IFERROR(INDEX(_ENGINE_Initiatives!$A$5:$A$532,MATCH(1,INDEX((_ENGINE_Initiatives!$B$5:$B$532=$C730)*(_ENGINE_Initiatives!$C$5:$C$532=$D730),0),0)),"")</f>
        <v/>
      </c>
      <c r="AU730">
        <f>IFERROR(INDEX(_ENGINE_Initiatives!$F$5:$F$532,MATCH(1,INDEX((_ENGINE_Initiatives!$B$5:$B$532=$C730)*(_ENGINE_Initiatives!$C$5:$C$532=$D730),0),0)),"")</f>
        <v/>
      </c>
      <c r="AV730">
        <f>IFERROR(INDEX(_ENGINE_Initiatives!$AC$5:$AC$532,MATCH(1,INDEX((_ENGINE_Initiatives!$B$5:$B$532=$C730)*(_ENGINE_Initiatives!$C$5:$C$532=$D730),0),0)),"")</f>
        <v/>
      </c>
      <c r="AW730">
        <f>IFERROR(INDEX(_ENGINE_Initiatives!$AE$5:$AE$532,MATCH(1,INDEX((_ENGINE_Initiatives!$B$5:$B$532=$C730)*(_ENGINE_Initiatives!$C$5:$C$532=$D730),0),0)),"")</f>
        <v/>
      </c>
      <c r="AX730">
        <f>IF($B730="Yes",IFERROR(IF(SUMIFS(_REF_Model_Content!$E$1:$E$613,_REF_Model_Content!$A$1:$A$613,'Company Profile'!$B$9,_REF_Model_Content!$B$1:$B$613,$C730)=0,1,SUMIFS(_REF_Model_Content!$E$1:$E$613,_REF_Model_Content!$A$1:$A$613,'Company Profile'!$B$9,_REF_Model_Content!$B$1:$B$613,$C730)),1),"")</f>
        <v/>
      </c>
      <c r="AY730">
        <f>IF($L730="","",ROUND(IF($AP730="",$L730,$AP730)*IF($AX730="",1,$AX730),2))</f>
        <v/>
      </c>
      <c r="AZ730">
        <f>IF($S730="","",ROUND(IF($AQ730="",$S730,$AQ730)*IF($AX730="",1,$AX730),2))</f>
        <v/>
      </c>
      <c r="BB730">
        <f>IF($H730="","",IFERROR(INDEX('_ENGINE_Risk'!$AE$41:$AE$920,MATCH($E730,'_ENGINE_Risk'!$A$41:$A$920,0)),"Medium"))</f>
        <v/>
      </c>
      <c r="BC730">
        <f>IF($BB730="","",IF($BB730="Fast",1.25,IF($BB730="Slow",0.85,1)))</f>
        <v/>
      </c>
      <c r="BD730">
        <f>IF(OR($AZ730="",$BC730=""),"",ROUND($AZ730*$BC730,2))</f>
        <v/>
      </c>
      <c r="BF730">
        <f>IF(OR($H730="",$J730=""),"",_xlfn.IFNA(VLOOKUP($J730,_CONFIG_Model_Settings!$D$610:$E$614,2,0),""))</f>
        <v/>
      </c>
      <c r="BG730">
        <f>IF(OR($H730="",$K730=""),"",ROUND('Company Profile'!$B$569*INDEX(_CONFIG_Model_Settings!$H$610:$H$614,MATCH($K730,_CONFIG_Model_Settings!$G$610:$G$614,0)),0))</f>
        <v/>
      </c>
      <c r="BH730">
        <f>IF(OR($BF730="",$BG730=""),"",ROUND($BF730*$BG730,1))</f>
        <v/>
      </c>
      <c r="BI730">
        <f>IF($BH730="","",IF($AO730="",$BH730,ROUND($BH730*$AO730,1)))</f>
        <v/>
      </c>
      <c r="BJ730">
        <f>IF($E730="","",IFERROR(VLOOKUP($C730,'_CONFIG_Risk_Calibration'!$A$5:$H$21,2,FALSE),3))</f>
        <v/>
      </c>
      <c r="BK730">
        <f>IF($E730="","",IFERROR(VLOOKUP($C730,'_CONFIG_Risk_Calibration'!$A$5:$H$21,3,FALSE),0))</f>
        <v/>
      </c>
      <c r="BL730">
        <f>IF($E730="","",IFERROR(VLOOKUP($C730,'_CONFIG_Risk_Calibration'!$A$5:$H$21,4,FALSE),3))</f>
        <v/>
      </c>
      <c r="BM730">
        <f>IF($E730="","",IFERROR(VLOOKUP($C730,'_CONFIG_Risk_Calibration'!$A$5:$H$21,5,FALSE),3))</f>
        <v/>
      </c>
      <c r="BN730">
        <f>IF($E730="","",IFERROR(VLOOKUP($C730,'_CONFIG_Risk_Calibration'!$A$5:$H$21,6,FALSE),"No"))</f>
        <v/>
      </c>
      <c r="BO730">
        <f>IF($E730="","",IFERROR(VLOOKUP($C730,'_CONFIG_Risk_Calibration'!$A$5:$H$21,7,FALSE),1))</f>
        <v/>
      </c>
      <c r="BP730">
        <f>IF($H730="","",MAX(1,MIN(5,((6-$H730)*0.45)+($BJ730*0.20)+('Resilience &amp; Risk Scenario'!$B$7*0.15)+($BK730*0.10)+($BL730*0.05)+(IF($BB730="Fast",5,IF($BB730="Slow",1,3))*0.05))))</f>
        <v/>
      </c>
      <c r="BQ730">
        <f>IF($H730="","",MAX(IF($BN730="Yes",$BO730,1),MIN(5,($U730*0.20)+($V730*0.15)+($W730*0.25)+($X730*0.15)+($BJ730*0.10)+($BM730*0.15))))</f>
        <v/>
      </c>
      <c r="BR730">
        <f>IF(OR($BP730="",$BQ730=""),"",ROUND($BP730*$BQ730,2))</f>
        <v/>
      </c>
      <c r="BS730">
        <f>IF($BR730="","",ROUND($BR730*IF($AO730="",1,$AO730)*IF($AX730="",1,$AX730)*(1+(($BM730-3)*0.10))*IF($BC730="",1,$BC730),2))</f>
        <v/>
      </c>
    </row>
    <row r="731" ht="69.90000000000001" customHeight="1" s="209">
      <c r="A731">
        <f>IF($BD731="","",SUMPRODUCT(ISNUMBER($BD$500:$BD$923)*($BD$500:$BD$923&gt;$BD731))+COUNTIF($BD$500:$BD731,$BD731))</f>
        <v/>
      </c>
      <c r="B731">
        <f>IF($H731="","",IF($H731&lt;5,"Yes","Maintain"))</f>
        <v/>
      </c>
      <c r="C731" t="inlineStr">
        <is>
          <t>Manufacturing MES</t>
        </is>
      </c>
      <c r="D731" t="inlineStr">
        <is>
          <t>MES and shop floor</t>
        </is>
      </c>
      <c r="E731" t="inlineStr">
        <is>
          <t>MANU-008</t>
        </is>
      </c>
      <c r="F731" t="inlineStr">
        <is>
          <t>Manufacturing, MES and production continuity</t>
        </is>
      </c>
      <c r="G731">
        <f>IF($H731="","",IFERROR(INDEX('_ENGINE_Risk'!$H$41:$M$920,MATCH($E731,'_ENGINE_Risk'!$A$41:$A$920,0),$H731+1),""))</f>
        <v/>
      </c>
      <c r="H731">
        <f>IFERROR(VALUE(INDEX(_DATA_Assessment_Model!$H$5:$H$884,MATCH($E731,_DATA_Assessment_Model!$A$5:$A$884,0))),"")</f>
        <v/>
      </c>
      <c r="I731">
        <f>IF($H731="","",IFERROR(INDEX(_DATA_Assessment_Model!$L$5:$L$884,MATCH($E731,_DATA_Assessment_Model!$A$5:$A$884,0)),IF($H731&lt;=1,"Critical",IF($H731=2,"High",IF($H731=3,"Medium",IF($H731=4,"Low","Resilient"))))))</f>
        <v/>
      </c>
      <c r="J731">
        <f>IF($H731="","",MIN(5,MAX(1,6-$H731)))</f>
        <v/>
      </c>
      <c r="K731">
        <f>IF($H731="","",MAX(1,MIN(5,ROUNDUP(($U731*0.45)+($W731*0.35)+($X731*0.2),0))))</f>
        <v/>
      </c>
      <c r="L731">
        <f>IF($H731="","",$J731*$K731)</f>
        <v/>
      </c>
      <c r="M731">
        <f>IF($H731="","",MAX(1,MIN(5,ROUNDUP($L731/5,0))))</f>
        <v/>
      </c>
      <c r="N731">
        <f>IF($H731="","",IFERROR(INDEX('_ENGINE_Risk'!$T$41:$Y$920,MATCH($E731,'_ENGINE_Risk'!$A$41:$A$920,0),$H731+1),""))</f>
        <v/>
      </c>
      <c r="O731">
        <f>IF($H731="","",MAX(1,MIN(5,($U731+$V731+$X731)/3)))</f>
        <v/>
      </c>
      <c r="P731">
        <f>IF($H731="","",IF($I731="Critical",5,IF($I731="High",4,IF($I731="Medium",3,IF($I731="Low",2,1)))))</f>
        <v/>
      </c>
      <c r="Q731">
        <f>IF($H731="","",MAX(1,MIN(5,((5-$H731)*0.65)+($W731*0.35))))</f>
        <v/>
      </c>
      <c r="R731">
        <f>IF($H731="","",MAX(1,MIN(5,($V731+$X731)/2)))</f>
        <v/>
      </c>
      <c r="S731">
        <f>IF(OR($H731="",$N731=""),"",ROUND(($O731+$P731+$Q731+$R731)/$N731,2))</f>
        <v/>
      </c>
      <c r="T731">
        <f>IF($H731="","",IFERROR(INDEX('_ENGINE_Risk'!$N$41:$S$920,MATCH($E731,'_ENGINE_Risk'!$A$41:$A$920,0),$H731+1),""))</f>
        <v/>
      </c>
      <c r="U731">
        <f>IFERROR(INDEX(_DATA_Assessment_Model!$G$5:$G$884,MATCH($E731,_DATA_Assessment_Model!$A$5:$A$884,0)),"")</f>
        <v/>
      </c>
      <c r="V731">
        <f>IFERROR(INDEX(_DATA_Assessment_Model!$W$5:$W$884,MATCH($E731,_DATA_Assessment_Model!$A$5:$A$884,0)),"")</f>
        <v/>
      </c>
      <c r="W731">
        <f>IFERROR(INDEX(_DATA_Assessment_Model!$X$5:$X$884,MATCH($E731,_DATA_Assessment_Model!$A$5:$A$884,0)),"")</f>
        <v/>
      </c>
      <c r="X731">
        <f>IFERROR(INDEX(_DATA_Assessment_Model!$Y$5:$Y$884,MATCH($E731,_DATA_Assessment_Model!$A$5:$A$884,0)),"")</f>
        <v/>
      </c>
      <c r="Y731" t="inlineStr">
        <is>
          <t>Manufacturing disruption; Safety incident; Energy outage; Cyberattack</t>
        </is>
      </c>
      <c r="Z731" t="inlineStr">
        <is>
          <t>COO / Plant / Manufacturing</t>
        </is>
      </c>
      <c r="AA731" t="inlineStr">
        <is>
          <t>Policy/SOP; owner/RACI; system report; dashboard; contracts; test records; incident history; interview evidence related to MES manual or offline fallback procedures.</t>
        </is>
      </c>
      <c r="AB731">
        <f>IFERROR(INDEX(_DATA_Assessment_Model!$U$5:$U$884,MATCH($E731,_DATA_Assessment_Model!$A$5:$A$884,0)),"")</f>
        <v/>
      </c>
      <c r="AF731" t="inlineStr">
        <is>
          <t>How mature is the organization in managing MES manual or offline fallback procedures, including ownership, evidence, metrics, fallback procedures and crisis stress testing?</t>
        </is>
      </c>
      <c r="AO731">
        <f>IF($B731="Yes",IFERROR(INDEX(_ENGINE_Crisis!$F$501:$F$517,MATCH($C731,_ENGINE_Crisis!$A$501:$A$517,0)),1),"")</f>
        <v/>
      </c>
      <c r="AP731">
        <f>IF(AO731="","",ROUND($L731*AO731,1))</f>
        <v/>
      </c>
      <c r="AQ731">
        <f>IF(OR(AO731="",$S731=""),"",ROUND($S731*(0.7+0.3*AO731),2))</f>
        <v/>
      </c>
      <c r="AR731">
        <f>IFERROR(INDEX(_ENGINE_Crisis!$E$41:$E$700,MATCH('Resilience &amp; Risk Scenario'!$B$60&amp;"|"&amp;$C731,_ENGINE_Crisis!$I$41:$I$700,0)),"")</f>
        <v/>
      </c>
      <c r="AS731">
        <f>IFERROR(INDEX(_ENGINE_Crisis!$G$41:$G$700,MATCH('Resilience &amp; Risk Scenario'!$B$60&amp;"|"&amp;$C731,_ENGINE_Crisis!$I$41:$I$700,0)),"")</f>
        <v/>
      </c>
      <c r="AT731">
        <f>IFERROR(INDEX(_ENGINE_Initiatives!$A$5:$A$532,MATCH(1,INDEX((_ENGINE_Initiatives!$B$5:$B$532=$C731)*(_ENGINE_Initiatives!$C$5:$C$532=$D731),0),0)),"")</f>
        <v/>
      </c>
      <c r="AU731">
        <f>IFERROR(INDEX(_ENGINE_Initiatives!$F$5:$F$532,MATCH(1,INDEX((_ENGINE_Initiatives!$B$5:$B$532=$C731)*(_ENGINE_Initiatives!$C$5:$C$532=$D731),0),0)),"")</f>
        <v/>
      </c>
      <c r="AV731">
        <f>IFERROR(INDEX(_ENGINE_Initiatives!$AC$5:$AC$532,MATCH(1,INDEX((_ENGINE_Initiatives!$B$5:$B$532=$C731)*(_ENGINE_Initiatives!$C$5:$C$532=$D731),0),0)),"")</f>
        <v/>
      </c>
      <c r="AW731">
        <f>IFERROR(INDEX(_ENGINE_Initiatives!$AE$5:$AE$532,MATCH(1,INDEX((_ENGINE_Initiatives!$B$5:$B$532=$C731)*(_ENGINE_Initiatives!$C$5:$C$532=$D731),0),0)),"")</f>
        <v/>
      </c>
      <c r="AX731">
        <f>IF($B731="Yes",IFERROR(IF(SUMIFS(_REF_Model_Content!$E$1:$E$613,_REF_Model_Content!$A$1:$A$613,'Company Profile'!$B$9,_REF_Model_Content!$B$1:$B$613,$C731)=0,1,SUMIFS(_REF_Model_Content!$E$1:$E$613,_REF_Model_Content!$A$1:$A$613,'Company Profile'!$B$9,_REF_Model_Content!$B$1:$B$613,$C731)),1),"")</f>
        <v/>
      </c>
      <c r="AY731">
        <f>IF($L731="","",ROUND(IF($AP731="",$L731,$AP731)*IF($AX731="",1,$AX731),2))</f>
        <v/>
      </c>
      <c r="AZ731">
        <f>IF($S731="","",ROUND(IF($AQ731="",$S731,$AQ731)*IF($AX731="",1,$AX731),2))</f>
        <v/>
      </c>
      <c r="BB731">
        <f>IF($H731="","",IFERROR(INDEX('_ENGINE_Risk'!$AE$41:$AE$920,MATCH($E731,'_ENGINE_Risk'!$A$41:$A$920,0)),"Medium"))</f>
        <v/>
      </c>
      <c r="BC731">
        <f>IF($BB731="","",IF($BB731="Fast",1.25,IF($BB731="Slow",0.85,1)))</f>
        <v/>
      </c>
      <c r="BD731">
        <f>IF(OR($AZ731="",$BC731=""),"",ROUND($AZ731*$BC731,2))</f>
        <v/>
      </c>
      <c r="BF731">
        <f>IF(OR($H731="",$J731=""),"",_xlfn.IFNA(VLOOKUP($J731,_CONFIG_Model_Settings!$D$610:$E$614,2,0),""))</f>
        <v/>
      </c>
      <c r="BG731">
        <f>IF(OR($H731="",$K731=""),"",ROUND('Company Profile'!$B$569*INDEX(_CONFIG_Model_Settings!$H$610:$H$614,MATCH($K731,_CONFIG_Model_Settings!$G$610:$G$614,0)),0))</f>
        <v/>
      </c>
      <c r="BH731">
        <f>IF(OR($BF731="",$BG731=""),"",ROUND($BF731*$BG731,1))</f>
        <v/>
      </c>
      <c r="BI731">
        <f>IF($BH731="","",IF($AO731="",$BH731,ROUND($BH731*$AO731,1)))</f>
        <v/>
      </c>
      <c r="BJ731">
        <f>IF($E731="","",IFERROR(VLOOKUP($C731,'_CONFIG_Risk_Calibration'!$A$5:$H$21,2,FALSE),3))</f>
        <v/>
      </c>
      <c r="BK731">
        <f>IF($E731="","",IFERROR(VLOOKUP($C731,'_CONFIG_Risk_Calibration'!$A$5:$H$21,3,FALSE),0))</f>
        <v/>
      </c>
      <c r="BL731">
        <f>IF($E731="","",IFERROR(VLOOKUP($C731,'_CONFIG_Risk_Calibration'!$A$5:$H$21,4,FALSE),3))</f>
        <v/>
      </c>
      <c r="BM731">
        <f>IF($E731="","",IFERROR(VLOOKUP($C731,'_CONFIG_Risk_Calibration'!$A$5:$H$21,5,FALSE),3))</f>
        <v/>
      </c>
      <c r="BN731">
        <f>IF($E731="","",IFERROR(VLOOKUP($C731,'_CONFIG_Risk_Calibration'!$A$5:$H$21,6,FALSE),"No"))</f>
        <v/>
      </c>
      <c r="BO731">
        <f>IF($E731="","",IFERROR(VLOOKUP($C731,'_CONFIG_Risk_Calibration'!$A$5:$H$21,7,FALSE),1))</f>
        <v/>
      </c>
      <c r="BP731">
        <f>IF($H731="","",MAX(1,MIN(5,((6-$H731)*0.45)+($BJ731*0.20)+('Resilience &amp; Risk Scenario'!$B$7*0.15)+($BK731*0.10)+($BL731*0.05)+(IF($BB731="Fast",5,IF($BB731="Slow",1,3))*0.05))))</f>
        <v/>
      </c>
      <c r="BQ731">
        <f>IF($H731="","",MAX(IF($BN731="Yes",$BO731,1),MIN(5,($U731*0.20)+($V731*0.15)+($W731*0.25)+($X731*0.15)+($BJ731*0.10)+($BM731*0.15))))</f>
        <v/>
      </c>
      <c r="BR731">
        <f>IF(OR($BP731="",$BQ731=""),"",ROUND($BP731*$BQ731,2))</f>
        <v/>
      </c>
      <c r="BS731">
        <f>IF($BR731="","",ROUND($BR731*IF($AO731="",1,$AO731)*IF($AX731="",1,$AX731)*(1+(($BM731-3)*0.10))*IF($BC731="",1,$BC731),2))</f>
        <v/>
      </c>
    </row>
    <row r="732" ht="69.90000000000001" customHeight="1" s="209">
      <c r="A732">
        <f>IF($BD732="","",SUMPRODUCT(ISNUMBER($BD$500:$BD$923)*($BD$500:$BD$923&gt;$BD732))+COUNTIF($BD$500:$BD732,$BD732))</f>
        <v/>
      </c>
      <c r="B732">
        <f>IF($H732="","",IF($H732&lt;5,"Yes","Maintain"))</f>
        <v/>
      </c>
      <c r="C732" t="inlineStr">
        <is>
          <t>Manufacturing MES</t>
        </is>
      </c>
      <c r="D732" t="inlineStr">
        <is>
          <t>MES and shop floor</t>
        </is>
      </c>
      <c r="E732" t="inlineStr">
        <is>
          <t>MANU-009</t>
        </is>
      </c>
      <c r="F732" t="inlineStr">
        <is>
          <t>Manufacturing, MES and production continuity</t>
        </is>
      </c>
      <c r="G732">
        <f>IF($H732="","",IFERROR(INDEX('_ENGINE_Risk'!$H$41:$M$920,MATCH($E732,'_ENGINE_Risk'!$A$41:$A$920,0),$H732+1),""))</f>
        <v/>
      </c>
      <c r="H732">
        <f>IFERROR(VALUE(INDEX(_DATA_Assessment_Model!$H$5:$H$884,MATCH($E732,_DATA_Assessment_Model!$A$5:$A$884,0))),"")</f>
        <v/>
      </c>
      <c r="I732">
        <f>IF($H732="","",IFERROR(INDEX(_DATA_Assessment_Model!$L$5:$L$884,MATCH($E732,_DATA_Assessment_Model!$A$5:$A$884,0)),IF($H732&lt;=1,"Critical",IF($H732=2,"High",IF($H732=3,"Medium",IF($H732=4,"Low","Resilient"))))))</f>
        <v/>
      </c>
      <c r="J732">
        <f>IF($H732="","",MIN(5,MAX(1,6-$H732)))</f>
        <v/>
      </c>
      <c r="K732">
        <f>IF($H732="","",MAX(1,MIN(5,ROUNDUP(($U732*0.45)+($W732*0.35)+($X732*0.2),0))))</f>
        <v/>
      </c>
      <c r="L732">
        <f>IF($H732="","",$J732*$K732)</f>
        <v/>
      </c>
      <c r="M732">
        <f>IF($H732="","",MAX(1,MIN(5,ROUNDUP($L732/5,0))))</f>
        <v/>
      </c>
      <c r="N732">
        <f>IF($H732="","",IFERROR(INDEX('_ENGINE_Risk'!$T$41:$Y$920,MATCH($E732,'_ENGINE_Risk'!$A$41:$A$920,0),$H732+1),""))</f>
        <v/>
      </c>
      <c r="O732">
        <f>IF($H732="","",MAX(1,MIN(5,($U732+$V732+$X732)/3)))</f>
        <v/>
      </c>
      <c r="P732">
        <f>IF($H732="","",IF($I732="Critical",5,IF($I732="High",4,IF($I732="Medium",3,IF($I732="Low",2,1)))))</f>
        <v/>
      </c>
      <c r="Q732">
        <f>IF($H732="","",MAX(1,MIN(5,((5-$H732)*0.65)+($W732*0.35))))</f>
        <v/>
      </c>
      <c r="R732">
        <f>IF($H732="","",MAX(1,MIN(5,($V732+$X732)/2)))</f>
        <v/>
      </c>
      <c r="S732">
        <f>IF(OR($H732="",$N732=""),"",ROUND(($O732+$P732+$Q732+$R732)/$N732,2))</f>
        <v/>
      </c>
      <c r="T732">
        <f>IF($H732="","",IFERROR(INDEX('_ENGINE_Risk'!$N$41:$S$920,MATCH($E732,'_ENGINE_Risk'!$A$41:$A$920,0),$H732+1),""))</f>
        <v/>
      </c>
      <c r="U732">
        <f>IFERROR(INDEX(_DATA_Assessment_Model!$G$5:$G$884,MATCH($E732,_DATA_Assessment_Model!$A$5:$A$884,0)),"")</f>
        <v/>
      </c>
      <c r="V732">
        <f>IFERROR(INDEX(_DATA_Assessment_Model!$W$5:$W$884,MATCH($E732,_DATA_Assessment_Model!$A$5:$A$884,0)),"")</f>
        <v/>
      </c>
      <c r="W732">
        <f>IFERROR(INDEX(_DATA_Assessment_Model!$X$5:$X$884,MATCH($E732,_DATA_Assessment_Model!$A$5:$A$884,0)),"")</f>
        <v/>
      </c>
      <c r="X732">
        <f>IFERROR(INDEX(_DATA_Assessment_Model!$Y$5:$Y$884,MATCH($E732,_DATA_Assessment_Model!$A$5:$A$884,0)),"")</f>
        <v/>
      </c>
      <c r="Y732" t="inlineStr">
        <is>
          <t>Manufacturing disruption; Safety incident; Energy outage; Cyberattack</t>
        </is>
      </c>
      <c r="Z732" t="inlineStr">
        <is>
          <t>COO / Plant / Manufacturing</t>
        </is>
      </c>
      <c r="AA732" t="inlineStr">
        <is>
          <t>Policy/SOP; owner/RACI; system report; dashboard; contracts; test records; incident history; interview evidence related to ERP-MES-MRP-WMS-quality-maintenance integration and reconciliation.</t>
        </is>
      </c>
      <c r="AB732">
        <f>IFERROR(INDEX(_DATA_Assessment_Model!$U$5:$U$884,MATCH($E732,_DATA_Assessment_Model!$A$5:$A$884,0)),"")</f>
        <v/>
      </c>
      <c r="AF732" t="inlineStr">
        <is>
          <t>How mature is the organization in managing ERP-MES-MRP-WMS-quality-maintenance integration and reconciliation, including ownership, evidence, metrics, fallback procedures and crisis stress testing?</t>
        </is>
      </c>
      <c r="AO732">
        <f>IF($B732="Yes",IFERROR(INDEX(_ENGINE_Crisis!$F$501:$F$517,MATCH($C732,_ENGINE_Crisis!$A$501:$A$517,0)),1),"")</f>
        <v/>
      </c>
      <c r="AP732">
        <f>IF(AO732="","",ROUND($L732*AO732,1))</f>
        <v/>
      </c>
      <c r="AQ732">
        <f>IF(OR(AO732="",$S732=""),"",ROUND($S732*(0.7+0.3*AO732),2))</f>
        <v/>
      </c>
      <c r="AR732">
        <f>IFERROR(INDEX(_ENGINE_Crisis!$E$41:$E$700,MATCH('Resilience &amp; Risk Scenario'!$B$60&amp;"|"&amp;$C732,_ENGINE_Crisis!$I$41:$I$700,0)),"")</f>
        <v/>
      </c>
      <c r="AS732">
        <f>IFERROR(INDEX(_ENGINE_Crisis!$G$41:$G$700,MATCH('Resilience &amp; Risk Scenario'!$B$60&amp;"|"&amp;$C732,_ENGINE_Crisis!$I$41:$I$700,0)),"")</f>
        <v/>
      </c>
      <c r="AT732">
        <f>IFERROR(INDEX(_ENGINE_Initiatives!$A$5:$A$532,MATCH(1,INDEX((_ENGINE_Initiatives!$B$5:$B$532=$C732)*(_ENGINE_Initiatives!$C$5:$C$532=$D732),0),0)),"")</f>
        <v/>
      </c>
      <c r="AU732">
        <f>IFERROR(INDEX(_ENGINE_Initiatives!$F$5:$F$532,MATCH(1,INDEX((_ENGINE_Initiatives!$B$5:$B$532=$C732)*(_ENGINE_Initiatives!$C$5:$C$532=$D732),0),0)),"")</f>
        <v/>
      </c>
      <c r="AV732">
        <f>IFERROR(INDEX(_ENGINE_Initiatives!$AC$5:$AC$532,MATCH(1,INDEX((_ENGINE_Initiatives!$B$5:$B$532=$C732)*(_ENGINE_Initiatives!$C$5:$C$532=$D732),0),0)),"")</f>
        <v/>
      </c>
      <c r="AW732">
        <f>IFERROR(INDEX(_ENGINE_Initiatives!$AE$5:$AE$532,MATCH(1,INDEX((_ENGINE_Initiatives!$B$5:$B$532=$C732)*(_ENGINE_Initiatives!$C$5:$C$532=$D732),0),0)),"")</f>
        <v/>
      </c>
      <c r="AX732">
        <f>IF($B732="Yes",IFERROR(IF(SUMIFS(_REF_Model_Content!$E$1:$E$613,_REF_Model_Content!$A$1:$A$613,'Company Profile'!$B$9,_REF_Model_Content!$B$1:$B$613,$C732)=0,1,SUMIFS(_REF_Model_Content!$E$1:$E$613,_REF_Model_Content!$A$1:$A$613,'Company Profile'!$B$9,_REF_Model_Content!$B$1:$B$613,$C732)),1),"")</f>
        <v/>
      </c>
      <c r="AY732">
        <f>IF($L732="","",ROUND(IF($AP732="",$L732,$AP732)*IF($AX732="",1,$AX732),2))</f>
        <v/>
      </c>
      <c r="AZ732">
        <f>IF($S732="","",ROUND(IF($AQ732="",$S732,$AQ732)*IF($AX732="",1,$AX732),2))</f>
        <v/>
      </c>
      <c r="BB732">
        <f>IF($H732="","",IFERROR(INDEX('_ENGINE_Risk'!$AE$41:$AE$920,MATCH($E732,'_ENGINE_Risk'!$A$41:$A$920,0)),"Medium"))</f>
        <v/>
      </c>
      <c r="BC732">
        <f>IF($BB732="","",IF($BB732="Fast",1.25,IF($BB732="Slow",0.85,1)))</f>
        <v/>
      </c>
      <c r="BD732">
        <f>IF(OR($AZ732="",$BC732=""),"",ROUND($AZ732*$BC732,2))</f>
        <v/>
      </c>
      <c r="BF732">
        <f>IF(OR($H732="",$J732=""),"",_xlfn.IFNA(VLOOKUP($J732,_CONFIG_Model_Settings!$D$610:$E$614,2,0),""))</f>
        <v/>
      </c>
      <c r="BG732">
        <f>IF(OR($H732="",$K732=""),"",ROUND('Company Profile'!$B$569*INDEX(_CONFIG_Model_Settings!$H$610:$H$614,MATCH($K732,_CONFIG_Model_Settings!$G$610:$G$614,0)),0))</f>
        <v/>
      </c>
      <c r="BH732">
        <f>IF(OR($BF732="",$BG732=""),"",ROUND($BF732*$BG732,1))</f>
        <v/>
      </c>
      <c r="BI732">
        <f>IF($BH732="","",IF($AO732="",$BH732,ROUND($BH732*$AO732,1)))</f>
        <v/>
      </c>
      <c r="BJ732">
        <f>IF($E732="","",IFERROR(VLOOKUP($C732,'_CONFIG_Risk_Calibration'!$A$5:$H$21,2,FALSE),3))</f>
        <v/>
      </c>
      <c r="BK732">
        <f>IF($E732="","",IFERROR(VLOOKUP($C732,'_CONFIG_Risk_Calibration'!$A$5:$H$21,3,FALSE),0))</f>
        <v/>
      </c>
      <c r="BL732">
        <f>IF($E732="","",IFERROR(VLOOKUP($C732,'_CONFIG_Risk_Calibration'!$A$5:$H$21,4,FALSE),3))</f>
        <v/>
      </c>
      <c r="BM732">
        <f>IF($E732="","",IFERROR(VLOOKUP($C732,'_CONFIG_Risk_Calibration'!$A$5:$H$21,5,FALSE),3))</f>
        <v/>
      </c>
      <c r="BN732">
        <f>IF($E732="","",IFERROR(VLOOKUP($C732,'_CONFIG_Risk_Calibration'!$A$5:$H$21,6,FALSE),"No"))</f>
        <v/>
      </c>
      <c r="BO732">
        <f>IF($E732="","",IFERROR(VLOOKUP($C732,'_CONFIG_Risk_Calibration'!$A$5:$H$21,7,FALSE),1))</f>
        <v/>
      </c>
      <c r="BP732">
        <f>IF($H732="","",MAX(1,MIN(5,((6-$H732)*0.45)+($BJ732*0.20)+('Resilience &amp; Risk Scenario'!$B$7*0.15)+($BK732*0.10)+($BL732*0.05)+(IF($BB732="Fast",5,IF($BB732="Slow",1,3))*0.05))))</f>
        <v/>
      </c>
      <c r="BQ732">
        <f>IF($H732="","",MAX(IF($BN732="Yes",$BO732,1),MIN(5,($U732*0.20)+($V732*0.15)+($W732*0.25)+($X732*0.15)+($BJ732*0.10)+($BM732*0.15))))</f>
        <v/>
      </c>
      <c r="BR732">
        <f>IF(OR($BP732="",$BQ732=""),"",ROUND($BP732*$BQ732,2))</f>
        <v/>
      </c>
      <c r="BS732">
        <f>IF($BR732="","",ROUND($BR732*IF($AO732="",1,$AO732)*IF($AX732="",1,$AX732)*(1+(($BM732-3)*0.10))*IF($BC732="",1,$BC732),2))</f>
        <v/>
      </c>
    </row>
    <row r="733" ht="69.90000000000001" customHeight="1" s="209">
      <c r="A733">
        <f>IF($BD733="","",SUMPRODUCT(ISNUMBER($BD$500:$BD$923)*($BD$500:$BD$923&gt;$BD733))+COUNTIF($BD$500:$BD733,$BD733))</f>
        <v/>
      </c>
      <c r="B733">
        <f>IF($H733="","",IF($H733&lt;5,"Yes","Maintain"))</f>
        <v/>
      </c>
      <c r="C733" t="inlineStr">
        <is>
          <t>Manufacturing MES</t>
        </is>
      </c>
      <c r="D733" t="inlineStr">
        <is>
          <t>MES and shop floor</t>
        </is>
      </c>
      <c r="E733" t="inlineStr">
        <is>
          <t>MANU-010</t>
        </is>
      </c>
      <c r="F733" t="inlineStr">
        <is>
          <t>Manufacturing, MES and production continuity</t>
        </is>
      </c>
      <c r="G733">
        <f>IF($H733="","",IFERROR(INDEX('_ENGINE_Risk'!$H$41:$M$920,MATCH($E733,'_ENGINE_Risk'!$A$41:$A$920,0),$H733+1),""))</f>
        <v/>
      </c>
      <c r="H733">
        <f>IFERROR(VALUE(INDEX(_DATA_Assessment_Model!$H$5:$H$884,MATCH($E733,_DATA_Assessment_Model!$A$5:$A$884,0))),"")</f>
        <v/>
      </c>
      <c r="I733">
        <f>IF($H733="","",IFERROR(INDEX(_DATA_Assessment_Model!$L$5:$L$884,MATCH($E733,_DATA_Assessment_Model!$A$5:$A$884,0)),IF($H733&lt;=1,"Critical",IF($H733=2,"High",IF($H733=3,"Medium",IF($H733=4,"Low","Resilient"))))))</f>
        <v/>
      </c>
      <c r="J733">
        <f>IF($H733="","",MIN(5,MAX(1,6-$H733)))</f>
        <v/>
      </c>
      <c r="K733">
        <f>IF($H733="","",MAX(1,MIN(5,ROUNDUP(($U733*0.45)+($W733*0.35)+($X733*0.2),0))))</f>
        <v/>
      </c>
      <c r="L733">
        <f>IF($H733="","",$J733*$K733)</f>
        <v/>
      </c>
      <c r="M733">
        <f>IF($H733="","",MAX(1,MIN(5,ROUNDUP($L733/5,0))))</f>
        <v/>
      </c>
      <c r="N733">
        <f>IF($H733="","",IFERROR(INDEX('_ENGINE_Risk'!$T$41:$Y$920,MATCH($E733,'_ENGINE_Risk'!$A$41:$A$920,0),$H733+1),""))</f>
        <v/>
      </c>
      <c r="O733">
        <f>IF($H733="","",MAX(1,MIN(5,($U733+$V733+$X733)/3)))</f>
        <v/>
      </c>
      <c r="P733">
        <f>IF($H733="","",IF($I733="Critical",5,IF($I733="High",4,IF($I733="Medium",3,IF($I733="Low",2,1)))))</f>
        <v/>
      </c>
      <c r="Q733">
        <f>IF($H733="","",MAX(1,MIN(5,((5-$H733)*0.65)+($W733*0.35))))</f>
        <v/>
      </c>
      <c r="R733">
        <f>IF($H733="","",MAX(1,MIN(5,($V733+$X733)/2)))</f>
        <v/>
      </c>
      <c r="S733">
        <f>IF(OR($H733="",$N733=""),"",ROUND(($O733+$P733+$Q733+$R733)/$N733,2))</f>
        <v/>
      </c>
      <c r="T733">
        <f>IF($H733="","",IFERROR(INDEX('_ENGINE_Risk'!$N$41:$S$920,MATCH($E733,'_ENGINE_Risk'!$A$41:$A$920,0),$H733+1),""))</f>
        <v/>
      </c>
      <c r="U733">
        <f>IFERROR(INDEX(_DATA_Assessment_Model!$G$5:$G$884,MATCH($E733,_DATA_Assessment_Model!$A$5:$A$884,0)),"")</f>
        <v/>
      </c>
      <c r="V733">
        <f>IFERROR(INDEX(_DATA_Assessment_Model!$W$5:$W$884,MATCH($E733,_DATA_Assessment_Model!$A$5:$A$884,0)),"")</f>
        <v/>
      </c>
      <c r="W733">
        <f>IFERROR(INDEX(_DATA_Assessment_Model!$X$5:$X$884,MATCH($E733,_DATA_Assessment_Model!$A$5:$A$884,0)),"")</f>
        <v/>
      </c>
      <c r="X733">
        <f>IFERROR(INDEX(_DATA_Assessment_Model!$Y$5:$Y$884,MATCH($E733,_DATA_Assessment_Model!$A$5:$A$884,0)),"")</f>
        <v/>
      </c>
      <c r="Y733" t="inlineStr">
        <is>
          <t>Manufacturing disruption; Safety incident; Energy outage; Cyberattack</t>
        </is>
      </c>
      <c r="Z733" t="inlineStr">
        <is>
          <t>COO / Plant / Manufacturing</t>
        </is>
      </c>
      <c r="AA733" t="inlineStr">
        <is>
          <t>Policy/SOP; owner/RACI; system report; dashboard; contracts; test records; incident history; interview evidence related to machine data collection for states, output, downtime, cycle time, defects and energy.</t>
        </is>
      </c>
      <c r="AB733">
        <f>IFERROR(INDEX(_DATA_Assessment_Model!$U$5:$U$884,MATCH($E733,_DATA_Assessment_Model!$A$5:$A$884,0)),"")</f>
        <v/>
      </c>
      <c r="AF733" t="inlineStr">
        <is>
          <t>How mature is the organization in managing machine data collection for states, output, downtime, cycle time, defects and energy, including ownership, evidence, metrics, fallback procedures and crisis stress testing?</t>
        </is>
      </c>
      <c r="AO733">
        <f>IF($B733="Yes",IFERROR(INDEX(_ENGINE_Crisis!$F$501:$F$517,MATCH($C733,_ENGINE_Crisis!$A$501:$A$517,0)),1),"")</f>
        <v/>
      </c>
      <c r="AP733">
        <f>IF(AO733="","",ROUND($L733*AO733,1))</f>
        <v/>
      </c>
      <c r="AQ733">
        <f>IF(OR(AO733="",$S733=""),"",ROUND($S733*(0.7+0.3*AO733),2))</f>
        <v/>
      </c>
      <c r="AR733">
        <f>IFERROR(INDEX(_ENGINE_Crisis!$E$41:$E$700,MATCH('Resilience &amp; Risk Scenario'!$B$60&amp;"|"&amp;$C733,_ENGINE_Crisis!$I$41:$I$700,0)),"")</f>
        <v/>
      </c>
      <c r="AS733">
        <f>IFERROR(INDEX(_ENGINE_Crisis!$G$41:$G$700,MATCH('Resilience &amp; Risk Scenario'!$B$60&amp;"|"&amp;$C733,_ENGINE_Crisis!$I$41:$I$700,0)),"")</f>
        <v/>
      </c>
      <c r="AT733">
        <f>IFERROR(INDEX(_ENGINE_Initiatives!$A$5:$A$532,MATCH(1,INDEX((_ENGINE_Initiatives!$B$5:$B$532=$C733)*(_ENGINE_Initiatives!$C$5:$C$532=$D733),0),0)),"")</f>
        <v/>
      </c>
      <c r="AU733">
        <f>IFERROR(INDEX(_ENGINE_Initiatives!$F$5:$F$532,MATCH(1,INDEX((_ENGINE_Initiatives!$B$5:$B$532=$C733)*(_ENGINE_Initiatives!$C$5:$C$532=$D733),0),0)),"")</f>
        <v/>
      </c>
      <c r="AV733">
        <f>IFERROR(INDEX(_ENGINE_Initiatives!$AC$5:$AC$532,MATCH(1,INDEX((_ENGINE_Initiatives!$B$5:$B$532=$C733)*(_ENGINE_Initiatives!$C$5:$C$532=$D733),0),0)),"")</f>
        <v/>
      </c>
      <c r="AW733">
        <f>IFERROR(INDEX(_ENGINE_Initiatives!$AE$5:$AE$532,MATCH(1,INDEX((_ENGINE_Initiatives!$B$5:$B$532=$C733)*(_ENGINE_Initiatives!$C$5:$C$532=$D733),0),0)),"")</f>
        <v/>
      </c>
      <c r="AX733">
        <f>IF($B733="Yes",IFERROR(IF(SUMIFS(_REF_Model_Content!$E$1:$E$613,_REF_Model_Content!$A$1:$A$613,'Company Profile'!$B$9,_REF_Model_Content!$B$1:$B$613,$C733)=0,1,SUMIFS(_REF_Model_Content!$E$1:$E$613,_REF_Model_Content!$A$1:$A$613,'Company Profile'!$B$9,_REF_Model_Content!$B$1:$B$613,$C733)),1),"")</f>
        <v/>
      </c>
      <c r="AY733">
        <f>IF($L733="","",ROUND(IF($AP733="",$L733,$AP733)*IF($AX733="",1,$AX733),2))</f>
        <v/>
      </c>
      <c r="AZ733">
        <f>IF($S733="","",ROUND(IF($AQ733="",$S733,$AQ733)*IF($AX733="",1,$AX733),2))</f>
        <v/>
      </c>
      <c r="BB733">
        <f>IF($H733="","",IFERROR(INDEX('_ENGINE_Risk'!$AE$41:$AE$920,MATCH($E733,'_ENGINE_Risk'!$A$41:$A$920,0)),"Medium"))</f>
        <v/>
      </c>
      <c r="BC733">
        <f>IF($BB733="","",IF($BB733="Fast",1.25,IF($BB733="Slow",0.85,1)))</f>
        <v/>
      </c>
      <c r="BD733">
        <f>IF(OR($AZ733="",$BC733=""),"",ROUND($AZ733*$BC733,2))</f>
        <v/>
      </c>
      <c r="BF733">
        <f>IF(OR($H733="",$J733=""),"",_xlfn.IFNA(VLOOKUP($J733,_CONFIG_Model_Settings!$D$610:$E$614,2,0),""))</f>
        <v/>
      </c>
      <c r="BG733">
        <f>IF(OR($H733="",$K733=""),"",ROUND('Company Profile'!$B$569*INDEX(_CONFIG_Model_Settings!$H$610:$H$614,MATCH($K733,_CONFIG_Model_Settings!$G$610:$G$614,0)),0))</f>
        <v/>
      </c>
      <c r="BH733">
        <f>IF(OR($BF733="",$BG733=""),"",ROUND($BF733*$BG733,1))</f>
        <v/>
      </c>
      <c r="BI733">
        <f>IF($BH733="","",IF($AO733="",$BH733,ROUND($BH733*$AO733,1)))</f>
        <v/>
      </c>
      <c r="BJ733">
        <f>IF($E733="","",IFERROR(VLOOKUP($C733,'_CONFIG_Risk_Calibration'!$A$5:$H$21,2,FALSE),3))</f>
        <v/>
      </c>
      <c r="BK733">
        <f>IF($E733="","",IFERROR(VLOOKUP($C733,'_CONFIG_Risk_Calibration'!$A$5:$H$21,3,FALSE),0))</f>
        <v/>
      </c>
      <c r="BL733">
        <f>IF($E733="","",IFERROR(VLOOKUP($C733,'_CONFIG_Risk_Calibration'!$A$5:$H$21,4,FALSE),3))</f>
        <v/>
      </c>
      <c r="BM733">
        <f>IF($E733="","",IFERROR(VLOOKUP($C733,'_CONFIG_Risk_Calibration'!$A$5:$H$21,5,FALSE),3))</f>
        <v/>
      </c>
      <c r="BN733">
        <f>IF($E733="","",IFERROR(VLOOKUP($C733,'_CONFIG_Risk_Calibration'!$A$5:$H$21,6,FALSE),"No"))</f>
        <v/>
      </c>
      <c r="BO733">
        <f>IF($E733="","",IFERROR(VLOOKUP($C733,'_CONFIG_Risk_Calibration'!$A$5:$H$21,7,FALSE),1))</f>
        <v/>
      </c>
      <c r="BP733">
        <f>IF($H733="","",MAX(1,MIN(5,((6-$H733)*0.45)+($BJ733*0.20)+('Resilience &amp; Risk Scenario'!$B$7*0.15)+($BK733*0.10)+($BL733*0.05)+(IF($BB733="Fast",5,IF($BB733="Slow",1,3))*0.05))))</f>
        <v/>
      </c>
      <c r="BQ733">
        <f>IF($H733="","",MAX(IF($BN733="Yes",$BO733,1),MIN(5,($U733*0.20)+($V733*0.15)+($W733*0.25)+($X733*0.15)+($BJ733*0.10)+($BM733*0.15))))</f>
        <v/>
      </c>
      <c r="BR733">
        <f>IF(OR($BP733="",$BQ733=""),"",ROUND($BP733*$BQ733,2))</f>
        <v/>
      </c>
      <c r="BS733">
        <f>IF($BR733="","",ROUND($BR733*IF($AO733="",1,$AO733)*IF($AX733="",1,$AX733)*(1+(($BM733-3)*0.10))*IF($BC733="",1,$BC733),2))</f>
        <v/>
      </c>
    </row>
    <row r="734" ht="69.90000000000001" customHeight="1" s="209">
      <c r="A734">
        <f>IF($BD734="","",SUMPRODUCT(ISNUMBER($BD$500:$BD$923)*($BD$500:$BD$923&gt;$BD734))+COUNTIF($BD$500:$BD734,$BD734))</f>
        <v/>
      </c>
      <c r="B734">
        <f>IF($H734="","",IF($H734&lt;5,"Yes","Maintain"))</f>
        <v/>
      </c>
      <c r="C734" t="inlineStr">
        <is>
          <t>Manufacturing MES</t>
        </is>
      </c>
      <c r="D734" t="inlineStr">
        <is>
          <t>MES and shop floor</t>
        </is>
      </c>
      <c r="E734" t="inlineStr">
        <is>
          <t>MANU-011</t>
        </is>
      </c>
      <c r="F734" t="inlineStr">
        <is>
          <t>Manufacturing, MES and production continuity</t>
        </is>
      </c>
      <c r="G734">
        <f>IF($H734="","",IFERROR(INDEX('_ENGINE_Risk'!$H$41:$M$920,MATCH($E734,'_ENGINE_Risk'!$A$41:$A$920,0),$H734+1),""))</f>
        <v/>
      </c>
      <c r="H734">
        <f>IFERROR(VALUE(INDEX(_DATA_Assessment_Model!$H$5:$H$884,MATCH($E734,_DATA_Assessment_Model!$A$5:$A$884,0))),"")</f>
        <v/>
      </c>
      <c r="I734">
        <f>IF($H734="","",IFERROR(INDEX(_DATA_Assessment_Model!$L$5:$L$884,MATCH($E734,_DATA_Assessment_Model!$A$5:$A$884,0)),IF($H734&lt;=1,"Critical",IF($H734=2,"High",IF($H734=3,"Medium",IF($H734=4,"Low","Resilient"))))))</f>
        <v/>
      </c>
      <c r="J734">
        <f>IF($H734="","",MIN(5,MAX(1,6-$H734)))</f>
        <v/>
      </c>
      <c r="K734">
        <f>IF($H734="","",MAX(1,MIN(5,ROUNDUP(($U734*0.45)+($W734*0.35)+($X734*0.2),0))))</f>
        <v/>
      </c>
      <c r="L734">
        <f>IF($H734="","",$J734*$K734)</f>
        <v/>
      </c>
      <c r="M734">
        <f>IF($H734="","",MAX(1,MIN(5,ROUNDUP($L734/5,0))))</f>
        <v/>
      </c>
      <c r="N734">
        <f>IF($H734="","",IFERROR(INDEX('_ENGINE_Risk'!$T$41:$Y$920,MATCH($E734,'_ENGINE_Risk'!$A$41:$A$920,0),$H734+1),""))</f>
        <v/>
      </c>
      <c r="O734">
        <f>IF($H734="","",MAX(1,MIN(5,($U734+$V734+$X734)/3)))</f>
        <v/>
      </c>
      <c r="P734">
        <f>IF($H734="","",IF($I734="Critical",5,IF($I734="High",4,IF($I734="Medium",3,IF($I734="Low",2,1)))))</f>
        <v/>
      </c>
      <c r="Q734">
        <f>IF($H734="","",MAX(1,MIN(5,((5-$H734)*0.65)+($W734*0.35))))</f>
        <v/>
      </c>
      <c r="R734">
        <f>IF($H734="","",MAX(1,MIN(5,($V734+$X734)/2)))</f>
        <v/>
      </c>
      <c r="S734">
        <f>IF(OR($H734="",$N734=""),"",ROUND(($O734+$P734+$Q734+$R734)/$N734,2))</f>
        <v/>
      </c>
      <c r="T734">
        <f>IF($H734="","",IFERROR(INDEX('_ENGINE_Risk'!$N$41:$S$920,MATCH($E734,'_ENGINE_Risk'!$A$41:$A$920,0),$H734+1),""))</f>
        <v/>
      </c>
      <c r="U734">
        <f>IFERROR(INDEX(_DATA_Assessment_Model!$G$5:$G$884,MATCH($E734,_DATA_Assessment_Model!$A$5:$A$884,0)),"")</f>
        <v/>
      </c>
      <c r="V734">
        <f>IFERROR(INDEX(_DATA_Assessment_Model!$W$5:$W$884,MATCH($E734,_DATA_Assessment_Model!$A$5:$A$884,0)),"")</f>
        <v/>
      </c>
      <c r="W734">
        <f>IFERROR(INDEX(_DATA_Assessment_Model!$X$5:$X$884,MATCH($E734,_DATA_Assessment_Model!$A$5:$A$884,0)),"")</f>
        <v/>
      </c>
      <c r="X734">
        <f>IFERROR(INDEX(_DATA_Assessment_Model!$Y$5:$Y$884,MATCH($E734,_DATA_Assessment_Model!$A$5:$A$884,0)),"")</f>
        <v/>
      </c>
      <c r="Y734" t="inlineStr">
        <is>
          <t>Manufacturing disruption; Safety incident; Energy outage; Cyberattack</t>
        </is>
      </c>
      <c r="Z734" t="inlineStr">
        <is>
          <t>COO / Plant / Manufacturing</t>
        </is>
      </c>
      <c r="AA734" t="inlineStr">
        <is>
          <t>Policy/SOP; owner/RACI; system report; dashboard; contracts; test records; incident history; interview evidence related to OEE, downtime reasons, microstops, rejects and performance loss analysis.</t>
        </is>
      </c>
      <c r="AB734">
        <f>IFERROR(INDEX(_DATA_Assessment_Model!$U$5:$U$884,MATCH($E734,_DATA_Assessment_Model!$A$5:$A$884,0)),"")</f>
        <v/>
      </c>
      <c r="AF734" t="inlineStr">
        <is>
          <t>How mature is the organization in managing OEE, downtime reasons, microstops, rejects and performance loss analysis, including ownership, evidence, metrics, fallback procedures and crisis stress testing?</t>
        </is>
      </c>
      <c r="AO734">
        <f>IF($B734="Yes",IFERROR(INDEX(_ENGINE_Crisis!$F$501:$F$517,MATCH($C734,_ENGINE_Crisis!$A$501:$A$517,0)),1),"")</f>
        <v/>
      </c>
      <c r="AP734">
        <f>IF(AO734="","",ROUND($L734*AO734,1))</f>
        <v/>
      </c>
      <c r="AQ734">
        <f>IF(OR(AO734="",$S734=""),"",ROUND($S734*(0.7+0.3*AO734),2))</f>
        <v/>
      </c>
      <c r="AR734">
        <f>IFERROR(INDEX(_ENGINE_Crisis!$E$41:$E$700,MATCH('Resilience &amp; Risk Scenario'!$B$60&amp;"|"&amp;$C734,_ENGINE_Crisis!$I$41:$I$700,0)),"")</f>
        <v/>
      </c>
      <c r="AS734">
        <f>IFERROR(INDEX(_ENGINE_Crisis!$G$41:$G$700,MATCH('Resilience &amp; Risk Scenario'!$B$60&amp;"|"&amp;$C734,_ENGINE_Crisis!$I$41:$I$700,0)),"")</f>
        <v/>
      </c>
      <c r="AT734">
        <f>IFERROR(INDEX(_ENGINE_Initiatives!$A$5:$A$532,MATCH(1,INDEX((_ENGINE_Initiatives!$B$5:$B$532=$C734)*(_ENGINE_Initiatives!$C$5:$C$532=$D734),0),0)),"")</f>
        <v/>
      </c>
      <c r="AU734">
        <f>IFERROR(INDEX(_ENGINE_Initiatives!$F$5:$F$532,MATCH(1,INDEX((_ENGINE_Initiatives!$B$5:$B$532=$C734)*(_ENGINE_Initiatives!$C$5:$C$532=$D734),0),0)),"")</f>
        <v/>
      </c>
      <c r="AV734">
        <f>IFERROR(INDEX(_ENGINE_Initiatives!$AC$5:$AC$532,MATCH(1,INDEX((_ENGINE_Initiatives!$B$5:$B$532=$C734)*(_ENGINE_Initiatives!$C$5:$C$532=$D734),0),0)),"")</f>
        <v/>
      </c>
      <c r="AW734">
        <f>IFERROR(INDEX(_ENGINE_Initiatives!$AE$5:$AE$532,MATCH(1,INDEX((_ENGINE_Initiatives!$B$5:$B$532=$C734)*(_ENGINE_Initiatives!$C$5:$C$532=$D734),0),0)),"")</f>
        <v/>
      </c>
      <c r="AX734">
        <f>IF($B734="Yes",IFERROR(IF(SUMIFS(_REF_Model_Content!$E$1:$E$613,_REF_Model_Content!$A$1:$A$613,'Company Profile'!$B$9,_REF_Model_Content!$B$1:$B$613,$C734)=0,1,SUMIFS(_REF_Model_Content!$E$1:$E$613,_REF_Model_Content!$A$1:$A$613,'Company Profile'!$B$9,_REF_Model_Content!$B$1:$B$613,$C734)),1),"")</f>
        <v/>
      </c>
      <c r="AY734">
        <f>IF($L734="","",ROUND(IF($AP734="",$L734,$AP734)*IF($AX734="",1,$AX734),2))</f>
        <v/>
      </c>
      <c r="AZ734">
        <f>IF($S734="","",ROUND(IF($AQ734="",$S734,$AQ734)*IF($AX734="",1,$AX734),2))</f>
        <v/>
      </c>
      <c r="BB734">
        <f>IF($H734="","",IFERROR(INDEX('_ENGINE_Risk'!$AE$41:$AE$920,MATCH($E734,'_ENGINE_Risk'!$A$41:$A$920,0)),"Medium"))</f>
        <v/>
      </c>
      <c r="BC734">
        <f>IF($BB734="","",IF($BB734="Fast",1.25,IF($BB734="Slow",0.85,1)))</f>
        <v/>
      </c>
      <c r="BD734">
        <f>IF(OR($AZ734="",$BC734=""),"",ROUND($AZ734*$BC734,2))</f>
        <v/>
      </c>
      <c r="BF734">
        <f>IF(OR($H734="",$J734=""),"",_xlfn.IFNA(VLOOKUP($J734,_CONFIG_Model_Settings!$D$610:$E$614,2,0),""))</f>
        <v/>
      </c>
      <c r="BG734">
        <f>IF(OR($H734="",$K734=""),"",ROUND('Company Profile'!$B$569*INDEX(_CONFIG_Model_Settings!$H$610:$H$614,MATCH($K734,_CONFIG_Model_Settings!$G$610:$G$614,0)),0))</f>
        <v/>
      </c>
      <c r="BH734">
        <f>IF(OR($BF734="",$BG734=""),"",ROUND($BF734*$BG734,1))</f>
        <v/>
      </c>
      <c r="BI734">
        <f>IF($BH734="","",IF($AO734="",$BH734,ROUND($BH734*$AO734,1)))</f>
        <v/>
      </c>
      <c r="BJ734">
        <f>IF($E734="","",IFERROR(VLOOKUP($C734,'_CONFIG_Risk_Calibration'!$A$5:$H$21,2,FALSE),3))</f>
        <v/>
      </c>
      <c r="BK734">
        <f>IF($E734="","",IFERROR(VLOOKUP($C734,'_CONFIG_Risk_Calibration'!$A$5:$H$21,3,FALSE),0))</f>
        <v/>
      </c>
      <c r="BL734">
        <f>IF($E734="","",IFERROR(VLOOKUP($C734,'_CONFIG_Risk_Calibration'!$A$5:$H$21,4,FALSE),3))</f>
        <v/>
      </c>
      <c r="BM734">
        <f>IF($E734="","",IFERROR(VLOOKUP($C734,'_CONFIG_Risk_Calibration'!$A$5:$H$21,5,FALSE),3))</f>
        <v/>
      </c>
      <c r="BN734">
        <f>IF($E734="","",IFERROR(VLOOKUP($C734,'_CONFIG_Risk_Calibration'!$A$5:$H$21,6,FALSE),"No"))</f>
        <v/>
      </c>
      <c r="BO734">
        <f>IF($E734="","",IFERROR(VLOOKUP($C734,'_CONFIG_Risk_Calibration'!$A$5:$H$21,7,FALSE),1))</f>
        <v/>
      </c>
      <c r="BP734">
        <f>IF($H734="","",MAX(1,MIN(5,((6-$H734)*0.45)+($BJ734*0.20)+('Resilience &amp; Risk Scenario'!$B$7*0.15)+($BK734*0.10)+($BL734*0.05)+(IF($BB734="Fast",5,IF($BB734="Slow",1,3))*0.05))))</f>
        <v/>
      </c>
      <c r="BQ734">
        <f>IF($H734="","",MAX(IF($BN734="Yes",$BO734,1),MIN(5,($U734*0.20)+($V734*0.15)+($W734*0.25)+($X734*0.15)+($BJ734*0.10)+($BM734*0.15))))</f>
        <v/>
      </c>
      <c r="BR734">
        <f>IF(OR($BP734="",$BQ734=""),"",ROUND($BP734*$BQ734,2))</f>
        <v/>
      </c>
      <c r="BS734">
        <f>IF($BR734="","",ROUND($BR734*IF($AO734="",1,$AO734)*IF($AX734="",1,$AX734)*(1+(($BM734-3)*0.10))*IF($BC734="",1,$BC734),2))</f>
        <v/>
      </c>
    </row>
    <row r="735" ht="69.90000000000001" customHeight="1" s="209">
      <c r="A735">
        <f>IF($BD735="","",SUMPRODUCT(ISNUMBER($BD$500:$BD$923)*($BD$500:$BD$923&gt;$BD735))+COUNTIF($BD$500:$BD735,$BD735))</f>
        <v/>
      </c>
      <c r="B735">
        <f>IF($H735="","",IF($H735&lt;5,"Yes","Maintain"))</f>
        <v/>
      </c>
      <c r="C735" t="inlineStr">
        <is>
          <t>Manufacturing MES</t>
        </is>
      </c>
      <c r="D735" t="inlineStr">
        <is>
          <t>MES and shop floor</t>
        </is>
      </c>
      <c r="E735" t="inlineStr">
        <is>
          <t>MANU-012</t>
        </is>
      </c>
      <c r="F735" t="inlineStr">
        <is>
          <t>Manufacturing, MES and production continuity</t>
        </is>
      </c>
      <c r="G735">
        <f>IF($H735="","",IFERROR(INDEX('_ENGINE_Risk'!$H$41:$M$920,MATCH($E735,'_ENGINE_Risk'!$A$41:$A$920,0),$H735+1),""))</f>
        <v/>
      </c>
      <c r="H735">
        <f>IFERROR(VALUE(INDEX(_DATA_Assessment_Model!$H$5:$H$884,MATCH($E735,_DATA_Assessment_Model!$A$5:$A$884,0))),"")</f>
        <v/>
      </c>
      <c r="I735">
        <f>IF($H735="","",IFERROR(INDEX(_DATA_Assessment_Model!$L$5:$L$884,MATCH($E735,_DATA_Assessment_Model!$A$5:$A$884,0)),IF($H735&lt;=1,"Critical",IF($H735=2,"High",IF($H735=3,"Medium",IF($H735=4,"Low","Resilient"))))))</f>
        <v/>
      </c>
      <c r="J735">
        <f>IF($H735="","",MIN(5,MAX(1,6-$H735)))</f>
        <v/>
      </c>
      <c r="K735">
        <f>IF($H735="","",MAX(1,MIN(5,ROUNDUP(($U735*0.45)+($W735*0.35)+($X735*0.2),0))))</f>
        <v/>
      </c>
      <c r="L735">
        <f>IF($H735="","",$J735*$K735)</f>
        <v/>
      </c>
      <c r="M735">
        <f>IF($H735="","",MAX(1,MIN(5,ROUNDUP($L735/5,0))))</f>
        <v/>
      </c>
      <c r="N735">
        <f>IF($H735="","",IFERROR(INDEX('_ENGINE_Risk'!$T$41:$Y$920,MATCH($E735,'_ENGINE_Risk'!$A$41:$A$920,0),$H735+1),""))</f>
        <v/>
      </c>
      <c r="O735">
        <f>IF($H735="","",MAX(1,MIN(5,($U735+$V735+$X735)/3)))</f>
        <v/>
      </c>
      <c r="P735">
        <f>IF($H735="","",IF($I735="Critical",5,IF($I735="High",4,IF($I735="Medium",3,IF($I735="Low",2,1)))))</f>
        <v/>
      </c>
      <c r="Q735">
        <f>IF($H735="","",MAX(1,MIN(5,((5-$H735)*0.65)+($W735*0.35))))</f>
        <v/>
      </c>
      <c r="R735">
        <f>IF($H735="","",MAX(1,MIN(5,($V735+$X735)/2)))</f>
        <v/>
      </c>
      <c r="S735">
        <f>IF(OR($H735="",$N735=""),"",ROUND(($O735+$P735+$Q735+$R735)/$N735,2))</f>
        <v/>
      </c>
      <c r="T735">
        <f>IF($H735="","",IFERROR(INDEX('_ENGINE_Risk'!$N$41:$S$920,MATCH($E735,'_ENGINE_Risk'!$A$41:$A$920,0),$H735+1),""))</f>
        <v/>
      </c>
      <c r="U735">
        <f>IFERROR(INDEX(_DATA_Assessment_Model!$G$5:$G$884,MATCH($E735,_DATA_Assessment_Model!$A$5:$A$884,0)),"")</f>
        <v/>
      </c>
      <c r="V735">
        <f>IFERROR(INDEX(_DATA_Assessment_Model!$W$5:$W$884,MATCH($E735,_DATA_Assessment_Model!$A$5:$A$884,0)),"")</f>
        <v/>
      </c>
      <c r="W735">
        <f>IFERROR(INDEX(_DATA_Assessment_Model!$X$5:$X$884,MATCH($E735,_DATA_Assessment_Model!$A$5:$A$884,0)),"")</f>
        <v/>
      </c>
      <c r="X735">
        <f>IFERROR(INDEX(_DATA_Assessment_Model!$Y$5:$Y$884,MATCH($E735,_DATA_Assessment_Model!$A$5:$A$884,0)),"")</f>
        <v/>
      </c>
      <c r="Y735" t="inlineStr">
        <is>
          <t>Manufacturing disruption; Safety incident; Energy outage; Cyberattack</t>
        </is>
      </c>
      <c r="Z735" t="inlineStr">
        <is>
          <t>COO / Plant / Manufacturing</t>
        </is>
      </c>
      <c r="AA735" t="inlineStr">
        <is>
          <t>Policy/SOP; owner/RACI; system report; dashboard; contracts; test records; incident history; interview evidence related to production data standards, reason codes and master data across lines and sites.</t>
        </is>
      </c>
      <c r="AB735">
        <f>IFERROR(INDEX(_DATA_Assessment_Model!$U$5:$U$884,MATCH($E735,_DATA_Assessment_Model!$A$5:$A$884,0)),"")</f>
        <v/>
      </c>
      <c r="AF735" t="inlineStr">
        <is>
          <t>How mature is the organization in managing production data standards, reason codes and master data across lines and sites, including ownership, evidence, metrics, fallback procedures and crisis stress testing?</t>
        </is>
      </c>
      <c r="AO735">
        <f>IF($B735="Yes",IFERROR(INDEX(_ENGINE_Crisis!$F$501:$F$517,MATCH($C735,_ENGINE_Crisis!$A$501:$A$517,0)),1),"")</f>
        <v/>
      </c>
      <c r="AP735">
        <f>IF(AO735="","",ROUND($L735*AO735,1))</f>
        <v/>
      </c>
      <c r="AQ735">
        <f>IF(OR(AO735="",$S735=""),"",ROUND($S735*(0.7+0.3*AO735),2))</f>
        <v/>
      </c>
      <c r="AR735">
        <f>IFERROR(INDEX(_ENGINE_Crisis!$E$41:$E$700,MATCH('Resilience &amp; Risk Scenario'!$B$60&amp;"|"&amp;$C735,_ENGINE_Crisis!$I$41:$I$700,0)),"")</f>
        <v/>
      </c>
      <c r="AS735">
        <f>IFERROR(INDEX(_ENGINE_Crisis!$G$41:$G$700,MATCH('Resilience &amp; Risk Scenario'!$B$60&amp;"|"&amp;$C735,_ENGINE_Crisis!$I$41:$I$700,0)),"")</f>
        <v/>
      </c>
      <c r="AT735">
        <f>IFERROR(INDEX(_ENGINE_Initiatives!$A$5:$A$532,MATCH(1,INDEX((_ENGINE_Initiatives!$B$5:$B$532=$C735)*(_ENGINE_Initiatives!$C$5:$C$532=$D735),0),0)),"")</f>
        <v/>
      </c>
      <c r="AU735">
        <f>IFERROR(INDEX(_ENGINE_Initiatives!$F$5:$F$532,MATCH(1,INDEX((_ENGINE_Initiatives!$B$5:$B$532=$C735)*(_ENGINE_Initiatives!$C$5:$C$532=$D735),0),0)),"")</f>
        <v/>
      </c>
      <c r="AV735">
        <f>IFERROR(INDEX(_ENGINE_Initiatives!$AC$5:$AC$532,MATCH(1,INDEX((_ENGINE_Initiatives!$B$5:$B$532=$C735)*(_ENGINE_Initiatives!$C$5:$C$532=$D735),0),0)),"")</f>
        <v/>
      </c>
      <c r="AW735">
        <f>IFERROR(INDEX(_ENGINE_Initiatives!$AE$5:$AE$532,MATCH(1,INDEX((_ENGINE_Initiatives!$B$5:$B$532=$C735)*(_ENGINE_Initiatives!$C$5:$C$532=$D735),0),0)),"")</f>
        <v/>
      </c>
      <c r="AX735">
        <f>IF($B735="Yes",IFERROR(IF(SUMIFS(_REF_Model_Content!$E$1:$E$613,_REF_Model_Content!$A$1:$A$613,'Company Profile'!$B$9,_REF_Model_Content!$B$1:$B$613,$C735)=0,1,SUMIFS(_REF_Model_Content!$E$1:$E$613,_REF_Model_Content!$A$1:$A$613,'Company Profile'!$B$9,_REF_Model_Content!$B$1:$B$613,$C735)),1),"")</f>
        <v/>
      </c>
      <c r="AY735">
        <f>IF($L735="","",ROUND(IF($AP735="",$L735,$AP735)*IF($AX735="",1,$AX735),2))</f>
        <v/>
      </c>
      <c r="AZ735">
        <f>IF($S735="","",ROUND(IF($AQ735="",$S735,$AQ735)*IF($AX735="",1,$AX735),2))</f>
        <v/>
      </c>
      <c r="BB735">
        <f>IF($H735="","",IFERROR(INDEX('_ENGINE_Risk'!$AE$41:$AE$920,MATCH($E735,'_ENGINE_Risk'!$A$41:$A$920,0)),"Medium"))</f>
        <v/>
      </c>
      <c r="BC735">
        <f>IF($BB735="","",IF($BB735="Fast",1.25,IF($BB735="Slow",0.85,1)))</f>
        <v/>
      </c>
      <c r="BD735">
        <f>IF(OR($AZ735="",$BC735=""),"",ROUND($AZ735*$BC735,2))</f>
        <v/>
      </c>
      <c r="BF735">
        <f>IF(OR($H735="",$J735=""),"",_xlfn.IFNA(VLOOKUP($J735,_CONFIG_Model_Settings!$D$610:$E$614,2,0),""))</f>
        <v/>
      </c>
      <c r="BG735">
        <f>IF(OR($H735="",$K735=""),"",ROUND('Company Profile'!$B$569*INDEX(_CONFIG_Model_Settings!$H$610:$H$614,MATCH($K735,_CONFIG_Model_Settings!$G$610:$G$614,0)),0))</f>
        <v/>
      </c>
      <c r="BH735">
        <f>IF(OR($BF735="",$BG735=""),"",ROUND($BF735*$BG735,1))</f>
        <v/>
      </c>
      <c r="BI735">
        <f>IF($BH735="","",IF($AO735="",$BH735,ROUND($BH735*$AO735,1)))</f>
        <v/>
      </c>
      <c r="BJ735">
        <f>IF($E735="","",IFERROR(VLOOKUP($C735,'_CONFIG_Risk_Calibration'!$A$5:$H$21,2,FALSE),3))</f>
        <v/>
      </c>
      <c r="BK735">
        <f>IF($E735="","",IFERROR(VLOOKUP($C735,'_CONFIG_Risk_Calibration'!$A$5:$H$21,3,FALSE),0))</f>
        <v/>
      </c>
      <c r="BL735">
        <f>IF($E735="","",IFERROR(VLOOKUP($C735,'_CONFIG_Risk_Calibration'!$A$5:$H$21,4,FALSE),3))</f>
        <v/>
      </c>
      <c r="BM735">
        <f>IF($E735="","",IFERROR(VLOOKUP($C735,'_CONFIG_Risk_Calibration'!$A$5:$H$21,5,FALSE),3))</f>
        <v/>
      </c>
      <c r="BN735">
        <f>IF($E735="","",IFERROR(VLOOKUP($C735,'_CONFIG_Risk_Calibration'!$A$5:$H$21,6,FALSE),"No"))</f>
        <v/>
      </c>
      <c r="BO735">
        <f>IF($E735="","",IFERROR(VLOOKUP($C735,'_CONFIG_Risk_Calibration'!$A$5:$H$21,7,FALSE),1))</f>
        <v/>
      </c>
      <c r="BP735">
        <f>IF($H735="","",MAX(1,MIN(5,((6-$H735)*0.45)+($BJ735*0.20)+('Resilience &amp; Risk Scenario'!$B$7*0.15)+($BK735*0.10)+($BL735*0.05)+(IF($BB735="Fast",5,IF($BB735="Slow",1,3))*0.05))))</f>
        <v/>
      </c>
      <c r="BQ735">
        <f>IF($H735="","",MAX(IF($BN735="Yes",$BO735,1),MIN(5,($U735*0.20)+($V735*0.15)+($W735*0.25)+($X735*0.15)+($BJ735*0.10)+($BM735*0.15))))</f>
        <v/>
      </c>
      <c r="BR735">
        <f>IF(OR($BP735="",$BQ735=""),"",ROUND($BP735*$BQ735,2))</f>
        <v/>
      </c>
      <c r="BS735">
        <f>IF($BR735="","",ROUND($BR735*IF($AO735="",1,$AO735)*IF($AX735="",1,$AX735)*(1+(($BM735-3)*0.10))*IF($BC735="",1,$BC735),2))</f>
        <v/>
      </c>
    </row>
    <row r="736" ht="69.90000000000001" customHeight="1" s="209">
      <c r="A736">
        <f>IF($BD736="","",SUMPRODUCT(ISNUMBER($BD$500:$BD$923)*($BD$500:$BD$923&gt;$BD736))+COUNTIF($BD$500:$BD736,$BD736))</f>
        <v/>
      </c>
      <c r="B736">
        <f>IF($H736="","",IF($H736&lt;5,"Yes","Maintain"))</f>
        <v/>
      </c>
      <c r="C736" t="inlineStr">
        <is>
          <t>Manufacturing MES</t>
        </is>
      </c>
      <c r="D736" t="inlineStr">
        <is>
          <t>Maintenance and assets</t>
        </is>
      </c>
      <c r="E736" t="inlineStr">
        <is>
          <t>MANU-013</t>
        </is>
      </c>
      <c r="F736" t="inlineStr">
        <is>
          <t>Manufacturing, MES and production continuity</t>
        </is>
      </c>
      <c r="G736">
        <f>IF($H736="","",IFERROR(INDEX('_ENGINE_Risk'!$H$41:$M$920,MATCH($E736,'_ENGINE_Risk'!$A$41:$A$920,0),$H736+1),""))</f>
        <v/>
      </c>
      <c r="H736">
        <f>IFERROR(VALUE(INDEX(_DATA_Assessment_Model!$H$5:$H$884,MATCH($E736,_DATA_Assessment_Model!$A$5:$A$884,0))),"")</f>
        <v/>
      </c>
      <c r="I736">
        <f>IF($H736="","",IFERROR(INDEX(_DATA_Assessment_Model!$L$5:$L$884,MATCH($E736,_DATA_Assessment_Model!$A$5:$A$884,0)),IF($H736&lt;=1,"Critical",IF($H736=2,"High",IF($H736=3,"Medium",IF($H736=4,"Low","Resilient"))))))</f>
        <v/>
      </c>
      <c r="J736">
        <f>IF($H736="","",MIN(5,MAX(1,6-$H736)))</f>
        <v/>
      </c>
      <c r="K736">
        <f>IF($H736="","",MAX(1,MIN(5,ROUNDUP(($U736*0.45)+($W736*0.35)+($X736*0.2),0))))</f>
        <v/>
      </c>
      <c r="L736">
        <f>IF($H736="","",$J736*$K736)</f>
        <v/>
      </c>
      <c r="M736">
        <f>IF($H736="","",MAX(1,MIN(5,ROUNDUP($L736/5,0))))</f>
        <v/>
      </c>
      <c r="N736">
        <f>IF($H736="","",IFERROR(INDEX('_ENGINE_Risk'!$T$41:$Y$920,MATCH($E736,'_ENGINE_Risk'!$A$41:$A$920,0),$H736+1),""))</f>
        <v/>
      </c>
      <c r="O736">
        <f>IF($H736="","",MAX(1,MIN(5,($U736+$V736+$X736)/3)))</f>
        <v/>
      </c>
      <c r="P736">
        <f>IF($H736="","",IF($I736="Critical",5,IF($I736="High",4,IF($I736="Medium",3,IF($I736="Low",2,1)))))</f>
        <v/>
      </c>
      <c r="Q736">
        <f>IF($H736="","",MAX(1,MIN(5,((5-$H736)*0.65)+($W736*0.35))))</f>
        <v/>
      </c>
      <c r="R736">
        <f>IF($H736="","",MAX(1,MIN(5,($V736+$X736)/2)))</f>
        <v/>
      </c>
      <c r="S736">
        <f>IF(OR($H736="",$N736=""),"",ROUND(($O736+$P736+$Q736+$R736)/$N736,2))</f>
        <v/>
      </c>
      <c r="T736">
        <f>IF($H736="","",IFERROR(INDEX('_ENGINE_Risk'!$N$41:$S$920,MATCH($E736,'_ENGINE_Risk'!$A$41:$A$920,0),$H736+1),""))</f>
        <v/>
      </c>
      <c r="U736">
        <f>IFERROR(INDEX(_DATA_Assessment_Model!$G$5:$G$884,MATCH($E736,_DATA_Assessment_Model!$A$5:$A$884,0)),"")</f>
        <v/>
      </c>
      <c r="V736">
        <f>IFERROR(INDEX(_DATA_Assessment_Model!$W$5:$W$884,MATCH($E736,_DATA_Assessment_Model!$A$5:$A$884,0)),"")</f>
        <v/>
      </c>
      <c r="W736">
        <f>IFERROR(INDEX(_DATA_Assessment_Model!$X$5:$X$884,MATCH($E736,_DATA_Assessment_Model!$A$5:$A$884,0)),"")</f>
        <v/>
      </c>
      <c r="X736">
        <f>IFERROR(INDEX(_DATA_Assessment_Model!$Y$5:$Y$884,MATCH($E736,_DATA_Assessment_Model!$A$5:$A$884,0)),"")</f>
        <v/>
      </c>
      <c r="Y736" t="inlineStr">
        <is>
          <t>Manufacturing disruption; Safety incident; Energy outage; Cyberattack</t>
        </is>
      </c>
      <c r="Z736" t="inlineStr">
        <is>
          <t>COO / Plant / Manufacturing</t>
        </is>
      </c>
      <c r="AA736" t="inlineStr">
        <is>
          <t>Policy/SOP; owner/RACI; system report; dashboard; contracts; test records; incident history; interview evidence related to preventive maintenance based on criticality, manufacturer requirements and failure history.</t>
        </is>
      </c>
      <c r="AB736">
        <f>IFERROR(INDEX(_DATA_Assessment_Model!$U$5:$U$884,MATCH($E736,_DATA_Assessment_Model!$A$5:$A$884,0)),"")</f>
        <v/>
      </c>
      <c r="AF736" t="inlineStr">
        <is>
          <t>How mature is the organization in managing preventive maintenance based on criticality, manufacturer requirements and failure history, including ownership, evidence, metrics, fallback procedures and crisis stress testing?</t>
        </is>
      </c>
      <c r="AO736">
        <f>IF($B736="Yes",IFERROR(INDEX(_ENGINE_Crisis!$F$501:$F$517,MATCH($C736,_ENGINE_Crisis!$A$501:$A$517,0)),1),"")</f>
        <v/>
      </c>
      <c r="AP736">
        <f>IF(AO736="","",ROUND($L736*AO736,1))</f>
        <v/>
      </c>
      <c r="AQ736">
        <f>IF(OR(AO736="",$S736=""),"",ROUND($S736*(0.7+0.3*AO736),2))</f>
        <v/>
      </c>
      <c r="AR736">
        <f>IFERROR(INDEX(_ENGINE_Crisis!$E$41:$E$700,MATCH('Resilience &amp; Risk Scenario'!$B$60&amp;"|"&amp;$C736,_ENGINE_Crisis!$I$41:$I$700,0)),"")</f>
        <v/>
      </c>
      <c r="AS736">
        <f>IFERROR(INDEX(_ENGINE_Crisis!$G$41:$G$700,MATCH('Resilience &amp; Risk Scenario'!$B$60&amp;"|"&amp;$C736,_ENGINE_Crisis!$I$41:$I$700,0)),"")</f>
        <v/>
      </c>
      <c r="AT736">
        <f>IFERROR(INDEX(_ENGINE_Initiatives!$A$5:$A$532,MATCH(1,INDEX((_ENGINE_Initiatives!$B$5:$B$532=$C736)*(_ENGINE_Initiatives!$C$5:$C$532=$D736),0),0)),"")</f>
        <v/>
      </c>
      <c r="AU736">
        <f>IFERROR(INDEX(_ENGINE_Initiatives!$F$5:$F$532,MATCH(1,INDEX((_ENGINE_Initiatives!$B$5:$B$532=$C736)*(_ENGINE_Initiatives!$C$5:$C$532=$D736),0),0)),"")</f>
        <v/>
      </c>
      <c r="AV736">
        <f>IFERROR(INDEX(_ENGINE_Initiatives!$AC$5:$AC$532,MATCH(1,INDEX((_ENGINE_Initiatives!$B$5:$B$532=$C736)*(_ENGINE_Initiatives!$C$5:$C$532=$D736),0),0)),"")</f>
        <v/>
      </c>
      <c r="AW736">
        <f>IFERROR(INDEX(_ENGINE_Initiatives!$AE$5:$AE$532,MATCH(1,INDEX((_ENGINE_Initiatives!$B$5:$B$532=$C736)*(_ENGINE_Initiatives!$C$5:$C$532=$D736),0),0)),"")</f>
        <v/>
      </c>
      <c r="AX736">
        <f>IF($B736="Yes",IFERROR(IF(SUMIFS(_REF_Model_Content!$E$1:$E$613,_REF_Model_Content!$A$1:$A$613,'Company Profile'!$B$9,_REF_Model_Content!$B$1:$B$613,$C736)=0,1,SUMIFS(_REF_Model_Content!$E$1:$E$613,_REF_Model_Content!$A$1:$A$613,'Company Profile'!$B$9,_REF_Model_Content!$B$1:$B$613,$C736)),1),"")</f>
        <v/>
      </c>
      <c r="AY736">
        <f>IF($L736="","",ROUND(IF($AP736="",$L736,$AP736)*IF($AX736="",1,$AX736),2))</f>
        <v/>
      </c>
      <c r="AZ736">
        <f>IF($S736="","",ROUND(IF($AQ736="",$S736,$AQ736)*IF($AX736="",1,$AX736),2))</f>
        <v/>
      </c>
      <c r="BB736">
        <f>IF($H736="","",IFERROR(INDEX('_ENGINE_Risk'!$AE$41:$AE$920,MATCH($E736,'_ENGINE_Risk'!$A$41:$A$920,0)),"Medium"))</f>
        <v/>
      </c>
      <c r="BC736">
        <f>IF($BB736="","",IF($BB736="Fast",1.25,IF($BB736="Slow",0.85,1)))</f>
        <v/>
      </c>
      <c r="BD736">
        <f>IF(OR($AZ736="",$BC736=""),"",ROUND($AZ736*$BC736,2))</f>
        <v/>
      </c>
      <c r="BF736">
        <f>IF(OR($H736="",$J736=""),"",_xlfn.IFNA(VLOOKUP($J736,_CONFIG_Model_Settings!$D$610:$E$614,2,0),""))</f>
        <v/>
      </c>
      <c r="BG736">
        <f>IF(OR($H736="",$K736=""),"",ROUND('Company Profile'!$B$569*INDEX(_CONFIG_Model_Settings!$H$610:$H$614,MATCH($K736,_CONFIG_Model_Settings!$G$610:$G$614,0)),0))</f>
        <v/>
      </c>
      <c r="BH736">
        <f>IF(OR($BF736="",$BG736=""),"",ROUND($BF736*$BG736,1))</f>
        <v/>
      </c>
      <c r="BI736">
        <f>IF($BH736="","",IF($AO736="",$BH736,ROUND($BH736*$AO736,1)))</f>
        <v/>
      </c>
      <c r="BJ736">
        <f>IF($E736="","",IFERROR(VLOOKUP($C736,'_CONFIG_Risk_Calibration'!$A$5:$H$21,2,FALSE),3))</f>
        <v/>
      </c>
      <c r="BK736">
        <f>IF($E736="","",IFERROR(VLOOKUP($C736,'_CONFIG_Risk_Calibration'!$A$5:$H$21,3,FALSE),0))</f>
        <v/>
      </c>
      <c r="BL736">
        <f>IF($E736="","",IFERROR(VLOOKUP($C736,'_CONFIG_Risk_Calibration'!$A$5:$H$21,4,FALSE),3))</f>
        <v/>
      </c>
      <c r="BM736">
        <f>IF($E736="","",IFERROR(VLOOKUP($C736,'_CONFIG_Risk_Calibration'!$A$5:$H$21,5,FALSE),3))</f>
        <v/>
      </c>
      <c r="BN736">
        <f>IF($E736="","",IFERROR(VLOOKUP($C736,'_CONFIG_Risk_Calibration'!$A$5:$H$21,6,FALSE),"No"))</f>
        <v/>
      </c>
      <c r="BO736">
        <f>IF($E736="","",IFERROR(VLOOKUP($C736,'_CONFIG_Risk_Calibration'!$A$5:$H$21,7,FALSE),1))</f>
        <v/>
      </c>
      <c r="BP736">
        <f>IF($H736="","",MAX(1,MIN(5,((6-$H736)*0.45)+($BJ736*0.20)+('Resilience &amp; Risk Scenario'!$B$7*0.15)+($BK736*0.10)+($BL736*0.05)+(IF($BB736="Fast",5,IF($BB736="Slow",1,3))*0.05))))</f>
        <v/>
      </c>
      <c r="BQ736">
        <f>IF($H736="","",MAX(IF($BN736="Yes",$BO736,1),MIN(5,($U736*0.20)+($V736*0.15)+($W736*0.25)+($X736*0.15)+($BJ736*0.10)+($BM736*0.15))))</f>
        <v/>
      </c>
      <c r="BR736">
        <f>IF(OR($BP736="",$BQ736=""),"",ROUND($BP736*$BQ736,2))</f>
        <v/>
      </c>
      <c r="BS736">
        <f>IF($BR736="","",ROUND($BR736*IF($AO736="",1,$AO736)*IF($AX736="",1,$AX736)*(1+(($BM736-3)*0.10))*IF($BC736="",1,$BC736),2))</f>
        <v/>
      </c>
    </row>
    <row r="737" ht="69.90000000000001" customHeight="1" s="209">
      <c r="A737">
        <f>IF($BD737="","",SUMPRODUCT(ISNUMBER($BD$500:$BD$923)*($BD$500:$BD$923&gt;$BD737))+COUNTIF($BD$500:$BD737,$BD737))</f>
        <v/>
      </c>
      <c r="B737">
        <f>IF($H737="","",IF($H737&lt;5,"Yes","Maintain"))</f>
        <v/>
      </c>
      <c r="C737" t="inlineStr">
        <is>
          <t>Manufacturing MES</t>
        </is>
      </c>
      <c r="D737" t="inlineStr">
        <is>
          <t>Maintenance and assets</t>
        </is>
      </c>
      <c r="E737" t="inlineStr">
        <is>
          <t>MANU-014</t>
        </is>
      </c>
      <c r="F737" t="inlineStr">
        <is>
          <t>Manufacturing, MES and production continuity</t>
        </is>
      </c>
      <c r="G737">
        <f>IF($H737="","",IFERROR(INDEX('_ENGINE_Risk'!$H$41:$M$920,MATCH($E737,'_ENGINE_Risk'!$A$41:$A$920,0),$H737+1),""))</f>
        <v/>
      </c>
      <c r="H737">
        <f>IFERROR(VALUE(INDEX(_DATA_Assessment_Model!$H$5:$H$884,MATCH($E737,_DATA_Assessment_Model!$A$5:$A$884,0))),"")</f>
        <v/>
      </c>
      <c r="I737">
        <f>IF($H737="","",IFERROR(INDEX(_DATA_Assessment_Model!$L$5:$L$884,MATCH($E737,_DATA_Assessment_Model!$A$5:$A$884,0)),IF($H737&lt;=1,"Critical",IF($H737=2,"High",IF($H737=3,"Medium",IF($H737=4,"Low","Resilient"))))))</f>
        <v/>
      </c>
      <c r="J737">
        <f>IF($H737="","",MIN(5,MAX(1,6-$H737)))</f>
        <v/>
      </c>
      <c r="K737">
        <f>IF($H737="","",MAX(1,MIN(5,ROUNDUP(($U737*0.45)+($W737*0.35)+($X737*0.2),0))))</f>
        <v/>
      </c>
      <c r="L737">
        <f>IF($H737="","",$J737*$K737)</f>
        <v/>
      </c>
      <c r="M737">
        <f>IF($H737="","",MAX(1,MIN(5,ROUNDUP($L737/5,0))))</f>
        <v/>
      </c>
      <c r="N737">
        <f>IF($H737="","",IFERROR(INDEX('_ENGINE_Risk'!$T$41:$Y$920,MATCH($E737,'_ENGINE_Risk'!$A$41:$A$920,0),$H737+1),""))</f>
        <v/>
      </c>
      <c r="O737">
        <f>IF($H737="","",MAX(1,MIN(5,($U737+$V737+$X737)/3)))</f>
        <v/>
      </c>
      <c r="P737">
        <f>IF($H737="","",IF($I737="Critical",5,IF($I737="High",4,IF($I737="Medium",3,IF($I737="Low",2,1)))))</f>
        <v/>
      </c>
      <c r="Q737">
        <f>IF($H737="","",MAX(1,MIN(5,((5-$H737)*0.65)+($W737*0.35))))</f>
        <v/>
      </c>
      <c r="R737">
        <f>IF($H737="","",MAX(1,MIN(5,($V737+$X737)/2)))</f>
        <v/>
      </c>
      <c r="S737">
        <f>IF(OR($H737="",$N737=""),"",ROUND(($O737+$P737+$Q737+$R737)/$N737,2))</f>
        <v/>
      </c>
      <c r="T737">
        <f>IF($H737="","",IFERROR(INDEX('_ENGINE_Risk'!$N$41:$S$920,MATCH($E737,'_ENGINE_Risk'!$A$41:$A$920,0),$H737+1),""))</f>
        <v/>
      </c>
      <c r="U737">
        <f>IFERROR(INDEX(_DATA_Assessment_Model!$G$5:$G$884,MATCH($E737,_DATA_Assessment_Model!$A$5:$A$884,0)),"")</f>
        <v/>
      </c>
      <c r="V737">
        <f>IFERROR(INDEX(_DATA_Assessment_Model!$W$5:$W$884,MATCH($E737,_DATA_Assessment_Model!$A$5:$A$884,0)),"")</f>
        <v/>
      </c>
      <c r="W737">
        <f>IFERROR(INDEX(_DATA_Assessment_Model!$X$5:$X$884,MATCH($E737,_DATA_Assessment_Model!$A$5:$A$884,0)),"")</f>
        <v/>
      </c>
      <c r="X737">
        <f>IFERROR(INDEX(_DATA_Assessment_Model!$Y$5:$Y$884,MATCH($E737,_DATA_Assessment_Model!$A$5:$A$884,0)),"")</f>
        <v/>
      </c>
      <c r="Y737" t="inlineStr">
        <is>
          <t>Manufacturing disruption; Safety incident; Energy outage; Cyberattack</t>
        </is>
      </c>
      <c r="Z737" t="inlineStr">
        <is>
          <t>COO / Plant / Manufacturing</t>
        </is>
      </c>
      <c r="AA737" t="inlineStr">
        <is>
          <t>Policy/SOP; owner/RACI; system report; dashboard; contracts; test records; incident history; interview evidence related to critical spare parts identification, stocking or sourcing with acceptable lead times.</t>
        </is>
      </c>
      <c r="AB737">
        <f>IFERROR(INDEX(_DATA_Assessment_Model!$U$5:$U$884,MATCH($E737,_DATA_Assessment_Model!$A$5:$A$884,0)),"")</f>
        <v/>
      </c>
      <c r="AF737" t="inlineStr">
        <is>
          <t>How mature is the organization in managing critical spare parts identification, stocking or sourcing with acceptable lead times, including ownership, evidence, metrics, fallback procedures and crisis stress testing?</t>
        </is>
      </c>
      <c r="AO737">
        <f>IF($B737="Yes",IFERROR(INDEX(_ENGINE_Crisis!$F$501:$F$517,MATCH($C737,_ENGINE_Crisis!$A$501:$A$517,0)),1),"")</f>
        <v/>
      </c>
      <c r="AP737">
        <f>IF(AO737="","",ROUND($L737*AO737,1))</f>
        <v/>
      </c>
      <c r="AQ737">
        <f>IF(OR(AO737="",$S737=""),"",ROUND($S737*(0.7+0.3*AO737),2))</f>
        <v/>
      </c>
      <c r="AR737">
        <f>IFERROR(INDEX(_ENGINE_Crisis!$E$41:$E$700,MATCH('Resilience &amp; Risk Scenario'!$B$60&amp;"|"&amp;$C737,_ENGINE_Crisis!$I$41:$I$700,0)),"")</f>
        <v/>
      </c>
      <c r="AS737">
        <f>IFERROR(INDEX(_ENGINE_Crisis!$G$41:$G$700,MATCH('Resilience &amp; Risk Scenario'!$B$60&amp;"|"&amp;$C737,_ENGINE_Crisis!$I$41:$I$700,0)),"")</f>
        <v/>
      </c>
      <c r="AT737">
        <f>IFERROR(INDEX(_ENGINE_Initiatives!$A$5:$A$532,MATCH(1,INDEX((_ENGINE_Initiatives!$B$5:$B$532=$C737)*(_ENGINE_Initiatives!$C$5:$C$532=$D737),0),0)),"")</f>
        <v/>
      </c>
      <c r="AU737">
        <f>IFERROR(INDEX(_ENGINE_Initiatives!$F$5:$F$532,MATCH(1,INDEX((_ENGINE_Initiatives!$B$5:$B$532=$C737)*(_ENGINE_Initiatives!$C$5:$C$532=$D737),0),0)),"")</f>
        <v/>
      </c>
      <c r="AV737">
        <f>IFERROR(INDEX(_ENGINE_Initiatives!$AC$5:$AC$532,MATCH(1,INDEX((_ENGINE_Initiatives!$B$5:$B$532=$C737)*(_ENGINE_Initiatives!$C$5:$C$532=$D737),0),0)),"")</f>
        <v/>
      </c>
      <c r="AW737">
        <f>IFERROR(INDEX(_ENGINE_Initiatives!$AE$5:$AE$532,MATCH(1,INDEX((_ENGINE_Initiatives!$B$5:$B$532=$C737)*(_ENGINE_Initiatives!$C$5:$C$532=$D737),0),0)),"")</f>
        <v/>
      </c>
      <c r="AX737">
        <f>IF($B737="Yes",IFERROR(IF(SUMIFS(_REF_Model_Content!$E$1:$E$613,_REF_Model_Content!$A$1:$A$613,'Company Profile'!$B$9,_REF_Model_Content!$B$1:$B$613,$C737)=0,1,SUMIFS(_REF_Model_Content!$E$1:$E$613,_REF_Model_Content!$A$1:$A$613,'Company Profile'!$B$9,_REF_Model_Content!$B$1:$B$613,$C737)),1),"")</f>
        <v/>
      </c>
      <c r="AY737">
        <f>IF($L737="","",ROUND(IF($AP737="",$L737,$AP737)*IF($AX737="",1,$AX737),2))</f>
        <v/>
      </c>
      <c r="AZ737">
        <f>IF($S737="","",ROUND(IF($AQ737="",$S737,$AQ737)*IF($AX737="",1,$AX737),2))</f>
        <v/>
      </c>
      <c r="BB737">
        <f>IF($H737="","",IFERROR(INDEX('_ENGINE_Risk'!$AE$41:$AE$920,MATCH($E737,'_ENGINE_Risk'!$A$41:$A$920,0)),"Medium"))</f>
        <v/>
      </c>
      <c r="BC737">
        <f>IF($BB737="","",IF($BB737="Fast",1.25,IF($BB737="Slow",0.85,1)))</f>
        <v/>
      </c>
      <c r="BD737">
        <f>IF(OR($AZ737="",$BC737=""),"",ROUND($AZ737*$BC737,2))</f>
        <v/>
      </c>
      <c r="BF737">
        <f>IF(OR($H737="",$J737=""),"",_xlfn.IFNA(VLOOKUP($J737,_CONFIG_Model_Settings!$D$610:$E$614,2,0),""))</f>
        <v/>
      </c>
      <c r="BG737">
        <f>IF(OR($H737="",$K737=""),"",ROUND('Company Profile'!$B$569*INDEX(_CONFIG_Model_Settings!$H$610:$H$614,MATCH($K737,_CONFIG_Model_Settings!$G$610:$G$614,0)),0))</f>
        <v/>
      </c>
      <c r="BH737">
        <f>IF(OR($BF737="",$BG737=""),"",ROUND($BF737*$BG737,1))</f>
        <v/>
      </c>
      <c r="BI737">
        <f>IF($BH737="","",IF($AO737="",$BH737,ROUND($BH737*$AO737,1)))</f>
        <v/>
      </c>
      <c r="BJ737">
        <f>IF($E737="","",IFERROR(VLOOKUP($C737,'_CONFIG_Risk_Calibration'!$A$5:$H$21,2,FALSE),3))</f>
        <v/>
      </c>
      <c r="BK737">
        <f>IF($E737="","",IFERROR(VLOOKUP($C737,'_CONFIG_Risk_Calibration'!$A$5:$H$21,3,FALSE),0))</f>
        <v/>
      </c>
      <c r="BL737">
        <f>IF($E737="","",IFERROR(VLOOKUP($C737,'_CONFIG_Risk_Calibration'!$A$5:$H$21,4,FALSE),3))</f>
        <v/>
      </c>
      <c r="BM737">
        <f>IF($E737="","",IFERROR(VLOOKUP($C737,'_CONFIG_Risk_Calibration'!$A$5:$H$21,5,FALSE),3))</f>
        <v/>
      </c>
      <c r="BN737">
        <f>IF($E737="","",IFERROR(VLOOKUP($C737,'_CONFIG_Risk_Calibration'!$A$5:$H$21,6,FALSE),"No"))</f>
        <v/>
      </c>
      <c r="BO737">
        <f>IF($E737="","",IFERROR(VLOOKUP($C737,'_CONFIG_Risk_Calibration'!$A$5:$H$21,7,FALSE),1))</f>
        <v/>
      </c>
      <c r="BP737">
        <f>IF($H737="","",MAX(1,MIN(5,((6-$H737)*0.45)+($BJ737*0.20)+('Resilience &amp; Risk Scenario'!$B$7*0.15)+($BK737*0.10)+($BL737*0.05)+(IF($BB737="Fast",5,IF($BB737="Slow",1,3))*0.05))))</f>
        <v/>
      </c>
      <c r="BQ737">
        <f>IF($H737="","",MAX(IF($BN737="Yes",$BO737,1),MIN(5,($U737*0.20)+($V737*0.15)+($W737*0.25)+($X737*0.15)+($BJ737*0.10)+($BM737*0.15))))</f>
        <v/>
      </c>
      <c r="BR737">
        <f>IF(OR($BP737="",$BQ737=""),"",ROUND($BP737*$BQ737,2))</f>
        <v/>
      </c>
      <c r="BS737">
        <f>IF($BR737="","",ROUND($BR737*IF($AO737="",1,$AO737)*IF($AX737="",1,$AX737)*(1+(($BM737-3)*0.10))*IF($BC737="",1,$BC737),2))</f>
        <v/>
      </c>
    </row>
    <row r="738" ht="69.90000000000001" customHeight="1" s="209">
      <c r="A738">
        <f>IF($BD738="","",SUMPRODUCT(ISNUMBER($BD$500:$BD$923)*($BD$500:$BD$923&gt;$BD738))+COUNTIF($BD$500:$BD738,$BD738))</f>
        <v/>
      </c>
      <c r="B738">
        <f>IF($H738="","",IF($H738&lt;5,"Yes","Maintain"))</f>
        <v/>
      </c>
      <c r="C738" t="inlineStr">
        <is>
          <t>Manufacturing MES</t>
        </is>
      </c>
      <c r="D738" t="inlineStr">
        <is>
          <t>Maintenance and assets</t>
        </is>
      </c>
      <c r="E738" t="inlineStr">
        <is>
          <t>MANU-015</t>
        </is>
      </c>
      <c r="F738" t="inlineStr">
        <is>
          <t>Manufacturing, MES and production continuity</t>
        </is>
      </c>
      <c r="G738">
        <f>IF($H738="","",IFERROR(INDEX('_ENGINE_Risk'!$H$41:$M$920,MATCH($E738,'_ENGINE_Risk'!$A$41:$A$920,0),$H738+1),""))</f>
        <v/>
      </c>
      <c r="H738">
        <f>IFERROR(VALUE(INDEX(_DATA_Assessment_Model!$H$5:$H$884,MATCH($E738,_DATA_Assessment_Model!$A$5:$A$884,0))),"")</f>
        <v/>
      </c>
      <c r="I738">
        <f>IF($H738="","",IFERROR(INDEX(_DATA_Assessment_Model!$L$5:$L$884,MATCH($E738,_DATA_Assessment_Model!$A$5:$A$884,0)),IF($H738&lt;=1,"Critical",IF($H738=2,"High",IF($H738=3,"Medium",IF($H738=4,"Low","Resilient"))))))</f>
        <v/>
      </c>
      <c r="J738">
        <f>IF($H738="","",MIN(5,MAX(1,6-$H738)))</f>
        <v/>
      </c>
      <c r="K738">
        <f>IF($H738="","",MAX(1,MIN(5,ROUNDUP(($U738*0.45)+($W738*0.35)+($X738*0.2),0))))</f>
        <v/>
      </c>
      <c r="L738">
        <f>IF($H738="","",$J738*$K738)</f>
        <v/>
      </c>
      <c r="M738">
        <f>IF($H738="","",MAX(1,MIN(5,ROUNDUP($L738/5,0))))</f>
        <v/>
      </c>
      <c r="N738">
        <f>IF($H738="","",IFERROR(INDEX('_ENGINE_Risk'!$T$41:$Y$920,MATCH($E738,'_ENGINE_Risk'!$A$41:$A$920,0),$H738+1),""))</f>
        <v/>
      </c>
      <c r="O738">
        <f>IF($H738="","",MAX(1,MIN(5,($U738+$V738+$X738)/3)))</f>
        <v/>
      </c>
      <c r="P738">
        <f>IF($H738="","",IF($I738="Critical",5,IF($I738="High",4,IF($I738="Medium",3,IF($I738="Low",2,1)))))</f>
        <v/>
      </c>
      <c r="Q738">
        <f>IF($H738="","",MAX(1,MIN(5,((5-$H738)*0.65)+($W738*0.35))))</f>
        <v/>
      </c>
      <c r="R738">
        <f>IF($H738="","",MAX(1,MIN(5,($V738+$X738)/2)))</f>
        <v/>
      </c>
      <c r="S738">
        <f>IF(OR($H738="",$N738=""),"",ROUND(($O738+$P738+$Q738+$R738)/$N738,2))</f>
        <v/>
      </c>
      <c r="T738">
        <f>IF($H738="","",IFERROR(INDEX('_ENGINE_Risk'!$N$41:$S$920,MATCH($E738,'_ENGINE_Risk'!$A$41:$A$920,0),$H738+1),""))</f>
        <v/>
      </c>
      <c r="U738">
        <f>IFERROR(INDEX(_DATA_Assessment_Model!$G$5:$G$884,MATCH($E738,_DATA_Assessment_Model!$A$5:$A$884,0)),"")</f>
        <v/>
      </c>
      <c r="V738">
        <f>IFERROR(INDEX(_DATA_Assessment_Model!$W$5:$W$884,MATCH($E738,_DATA_Assessment_Model!$A$5:$A$884,0)),"")</f>
        <v/>
      </c>
      <c r="W738">
        <f>IFERROR(INDEX(_DATA_Assessment_Model!$X$5:$X$884,MATCH($E738,_DATA_Assessment_Model!$A$5:$A$884,0)),"")</f>
        <v/>
      </c>
      <c r="X738">
        <f>IFERROR(INDEX(_DATA_Assessment_Model!$Y$5:$Y$884,MATCH($E738,_DATA_Assessment_Model!$A$5:$A$884,0)),"")</f>
        <v/>
      </c>
      <c r="Y738" t="inlineStr">
        <is>
          <t>Manufacturing disruption; Safety incident; Energy outage; Cyberattack</t>
        </is>
      </c>
      <c r="Z738" t="inlineStr">
        <is>
          <t>COO / Plant / Manufacturing</t>
        </is>
      </c>
      <c r="AA738" t="inlineStr">
        <is>
          <t>Policy/SOP; owner/RACI; system report; dashboard; contracts; test records; incident history; interview evidence related to predictive or condition-based maintenance for critical assets where economically justified.</t>
        </is>
      </c>
      <c r="AB738">
        <f>IFERROR(INDEX(_DATA_Assessment_Model!$U$5:$U$884,MATCH($E738,_DATA_Assessment_Model!$A$5:$A$884,0)),"")</f>
        <v/>
      </c>
      <c r="AF738" t="inlineStr">
        <is>
          <t>How mature is the organization in managing predictive or condition-based maintenance for critical assets where economically justified, including ownership, evidence, metrics, fallback procedures and crisis stress testing?</t>
        </is>
      </c>
      <c r="AO738">
        <f>IF($B738="Yes",IFERROR(INDEX(_ENGINE_Crisis!$F$501:$F$517,MATCH($C738,_ENGINE_Crisis!$A$501:$A$517,0)),1),"")</f>
        <v/>
      </c>
      <c r="AP738">
        <f>IF(AO738="","",ROUND($L738*AO738,1))</f>
        <v/>
      </c>
      <c r="AQ738">
        <f>IF(OR(AO738="",$S738=""),"",ROUND($S738*(0.7+0.3*AO738),2))</f>
        <v/>
      </c>
      <c r="AR738">
        <f>IFERROR(INDEX(_ENGINE_Crisis!$E$41:$E$700,MATCH('Resilience &amp; Risk Scenario'!$B$60&amp;"|"&amp;$C738,_ENGINE_Crisis!$I$41:$I$700,0)),"")</f>
        <v/>
      </c>
      <c r="AS738">
        <f>IFERROR(INDEX(_ENGINE_Crisis!$G$41:$G$700,MATCH('Resilience &amp; Risk Scenario'!$B$60&amp;"|"&amp;$C738,_ENGINE_Crisis!$I$41:$I$700,0)),"")</f>
        <v/>
      </c>
      <c r="AT738">
        <f>IFERROR(INDEX(_ENGINE_Initiatives!$A$5:$A$532,MATCH(1,INDEX((_ENGINE_Initiatives!$B$5:$B$532=$C738)*(_ENGINE_Initiatives!$C$5:$C$532=$D738),0),0)),"")</f>
        <v/>
      </c>
      <c r="AU738">
        <f>IFERROR(INDEX(_ENGINE_Initiatives!$F$5:$F$532,MATCH(1,INDEX((_ENGINE_Initiatives!$B$5:$B$532=$C738)*(_ENGINE_Initiatives!$C$5:$C$532=$D738),0),0)),"")</f>
        <v/>
      </c>
      <c r="AV738">
        <f>IFERROR(INDEX(_ENGINE_Initiatives!$AC$5:$AC$532,MATCH(1,INDEX((_ENGINE_Initiatives!$B$5:$B$532=$C738)*(_ENGINE_Initiatives!$C$5:$C$532=$D738),0),0)),"")</f>
        <v/>
      </c>
      <c r="AW738">
        <f>IFERROR(INDEX(_ENGINE_Initiatives!$AE$5:$AE$532,MATCH(1,INDEX((_ENGINE_Initiatives!$B$5:$B$532=$C738)*(_ENGINE_Initiatives!$C$5:$C$532=$D738),0),0)),"")</f>
        <v/>
      </c>
      <c r="AX738">
        <f>IF($B738="Yes",IFERROR(IF(SUMIFS(_REF_Model_Content!$E$1:$E$613,_REF_Model_Content!$A$1:$A$613,'Company Profile'!$B$9,_REF_Model_Content!$B$1:$B$613,$C738)=0,1,SUMIFS(_REF_Model_Content!$E$1:$E$613,_REF_Model_Content!$A$1:$A$613,'Company Profile'!$B$9,_REF_Model_Content!$B$1:$B$613,$C738)),1),"")</f>
        <v/>
      </c>
      <c r="AY738">
        <f>IF($L738="","",ROUND(IF($AP738="",$L738,$AP738)*IF($AX738="",1,$AX738),2))</f>
        <v/>
      </c>
      <c r="AZ738">
        <f>IF($S738="","",ROUND(IF($AQ738="",$S738,$AQ738)*IF($AX738="",1,$AX738),2))</f>
        <v/>
      </c>
      <c r="BB738">
        <f>IF($H738="","",IFERROR(INDEX('_ENGINE_Risk'!$AE$41:$AE$920,MATCH($E738,'_ENGINE_Risk'!$A$41:$A$920,0)),"Medium"))</f>
        <v/>
      </c>
      <c r="BC738">
        <f>IF($BB738="","",IF($BB738="Fast",1.25,IF($BB738="Slow",0.85,1)))</f>
        <v/>
      </c>
      <c r="BD738">
        <f>IF(OR($AZ738="",$BC738=""),"",ROUND($AZ738*$BC738,2))</f>
        <v/>
      </c>
      <c r="BF738">
        <f>IF(OR($H738="",$J738=""),"",_xlfn.IFNA(VLOOKUP($J738,_CONFIG_Model_Settings!$D$610:$E$614,2,0),""))</f>
        <v/>
      </c>
      <c r="BG738">
        <f>IF(OR($H738="",$K738=""),"",ROUND('Company Profile'!$B$569*INDEX(_CONFIG_Model_Settings!$H$610:$H$614,MATCH($K738,_CONFIG_Model_Settings!$G$610:$G$614,0)),0))</f>
        <v/>
      </c>
      <c r="BH738">
        <f>IF(OR($BF738="",$BG738=""),"",ROUND($BF738*$BG738,1))</f>
        <v/>
      </c>
      <c r="BI738">
        <f>IF($BH738="","",IF($AO738="",$BH738,ROUND($BH738*$AO738,1)))</f>
        <v/>
      </c>
      <c r="BJ738">
        <f>IF($E738="","",IFERROR(VLOOKUP($C738,'_CONFIG_Risk_Calibration'!$A$5:$H$21,2,FALSE),3))</f>
        <v/>
      </c>
      <c r="BK738">
        <f>IF($E738="","",IFERROR(VLOOKUP($C738,'_CONFIG_Risk_Calibration'!$A$5:$H$21,3,FALSE),0))</f>
        <v/>
      </c>
      <c r="BL738">
        <f>IF($E738="","",IFERROR(VLOOKUP($C738,'_CONFIG_Risk_Calibration'!$A$5:$H$21,4,FALSE),3))</f>
        <v/>
      </c>
      <c r="BM738">
        <f>IF($E738="","",IFERROR(VLOOKUP($C738,'_CONFIG_Risk_Calibration'!$A$5:$H$21,5,FALSE),3))</f>
        <v/>
      </c>
      <c r="BN738">
        <f>IF($E738="","",IFERROR(VLOOKUP($C738,'_CONFIG_Risk_Calibration'!$A$5:$H$21,6,FALSE),"No"))</f>
        <v/>
      </c>
      <c r="BO738">
        <f>IF($E738="","",IFERROR(VLOOKUP($C738,'_CONFIG_Risk_Calibration'!$A$5:$H$21,7,FALSE),1))</f>
        <v/>
      </c>
      <c r="BP738">
        <f>IF($H738="","",MAX(1,MIN(5,((6-$H738)*0.45)+($BJ738*0.20)+('Resilience &amp; Risk Scenario'!$B$7*0.15)+($BK738*0.10)+($BL738*0.05)+(IF($BB738="Fast",5,IF($BB738="Slow",1,3))*0.05))))</f>
        <v/>
      </c>
      <c r="BQ738">
        <f>IF($H738="","",MAX(IF($BN738="Yes",$BO738,1),MIN(5,($U738*0.20)+($V738*0.15)+($W738*0.25)+($X738*0.15)+($BJ738*0.10)+($BM738*0.15))))</f>
        <v/>
      </c>
      <c r="BR738">
        <f>IF(OR($BP738="",$BQ738=""),"",ROUND($BP738*$BQ738,2))</f>
        <v/>
      </c>
      <c r="BS738">
        <f>IF($BR738="","",ROUND($BR738*IF($AO738="",1,$AO738)*IF($AX738="",1,$AX738)*(1+(($BM738-3)*0.10))*IF($BC738="",1,$BC738),2))</f>
        <v/>
      </c>
    </row>
    <row r="739" ht="69.90000000000001" customHeight="1" s="209">
      <c r="A739">
        <f>IF($BD739="","",SUMPRODUCT(ISNUMBER($BD$500:$BD$923)*($BD$500:$BD$923&gt;$BD739))+COUNTIF($BD$500:$BD739,$BD739))</f>
        <v/>
      </c>
      <c r="B739">
        <f>IF($H739="","",IF($H739&lt;5,"Yes","Maintain"))</f>
        <v/>
      </c>
      <c r="C739" t="inlineStr">
        <is>
          <t>Manufacturing MES</t>
        </is>
      </c>
      <c r="D739" t="inlineStr">
        <is>
          <t>Maintenance and assets</t>
        </is>
      </c>
      <c r="E739" t="inlineStr">
        <is>
          <t>MANU-016</t>
        </is>
      </c>
      <c r="F739" t="inlineStr">
        <is>
          <t>Manufacturing, MES and production continuity</t>
        </is>
      </c>
      <c r="G739">
        <f>IF($H739="","",IFERROR(INDEX('_ENGINE_Risk'!$H$41:$M$920,MATCH($E739,'_ENGINE_Risk'!$A$41:$A$920,0),$H739+1),""))</f>
        <v/>
      </c>
      <c r="H739">
        <f>IFERROR(VALUE(INDEX(_DATA_Assessment_Model!$H$5:$H$884,MATCH($E739,_DATA_Assessment_Model!$A$5:$A$884,0))),"")</f>
        <v/>
      </c>
      <c r="I739">
        <f>IF($H739="","",IFERROR(INDEX(_DATA_Assessment_Model!$L$5:$L$884,MATCH($E739,_DATA_Assessment_Model!$A$5:$A$884,0)),IF($H739&lt;=1,"Critical",IF($H739=2,"High",IF($H739=3,"Medium",IF($H739=4,"Low","Resilient"))))))</f>
        <v/>
      </c>
      <c r="J739">
        <f>IF($H739="","",MIN(5,MAX(1,6-$H739)))</f>
        <v/>
      </c>
      <c r="K739">
        <f>IF($H739="","",MAX(1,MIN(5,ROUNDUP(($U739*0.45)+($W739*0.35)+($X739*0.2),0))))</f>
        <v/>
      </c>
      <c r="L739">
        <f>IF($H739="","",$J739*$K739)</f>
        <v/>
      </c>
      <c r="M739">
        <f>IF($H739="","",MAX(1,MIN(5,ROUNDUP($L739/5,0))))</f>
        <v/>
      </c>
      <c r="N739">
        <f>IF($H739="","",IFERROR(INDEX('_ENGINE_Risk'!$T$41:$Y$920,MATCH($E739,'_ENGINE_Risk'!$A$41:$A$920,0),$H739+1),""))</f>
        <v/>
      </c>
      <c r="O739">
        <f>IF($H739="","",MAX(1,MIN(5,($U739+$V739+$X739)/3)))</f>
        <v/>
      </c>
      <c r="P739">
        <f>IF($H739="","",IF($I739="Critical",5,IF($I739="High",4,IF($I739="Medium",3,IF($I739="Low",2,1)))))</f>
        <v/>
      </c>
      <c r="Q739">
        <f>IF($H739="","",MAX(1,MIN(5,((5-$H739)*0.65)+($W739*0.35))))</f>
        <v/>
      </c>
      <c r="R739">
        <f>IF($H739="","",MAX(1,MIN(5,($V739+$X739)/2)))</f>
        <v/>
      </c>
      <c r="S739">
        <f>IF(OR($H739="",$N739=""),"",ROUND(($O739+$P739+$Q739+$R739)/$N739,2))</f>
        <v/>
      </c>
      <c r="T739">
        <f>IF($H739="","",IFERROR(INDEX('_ENGINE_Risk'!$N$41:$S$920,MATCH($E739,'_ENGINE_Risk'!$A$41:$A$920,0),$H739+1),""))</f>
        <v/>
      </c>
      <c r="U739">
        <f>IFERROR(INDEX(_DATA_Assessment_Model!$G$5:$G$884,MATCH($E739,_DATA_Assessment_Model!$A$5:$A$884,0)),"")</f>
        <v/>
      </c>
      <c r="V739">
        <f>IFERROR(INDEX(_DATA_Assessment_Model!$W$5:$W$884,MATCH($E739,_DATA_Assessment_Model!$A$5:$A$884,0)),"")</f>
        <v/>
      </c>
      <c r="W739">
        <f>IFERROR(INDEX(_DATA_Assessment_Model!$X$5:$X$884,MATCH($E739,_DATA_Assessment_Model!$A$5:$A$884,0)),"")</f>
        <v/>
      </c>
      <c r="X739">
        <f>IFERROR(INDEX(_DATA_Assessment_Model!$Y$5:$Y$884,MATCH($E739,_DATA_Assessment_Model!$A$5:$A$884,0)),"")</f>
        <v/>
      </c>
      <c r="Y739" t="inlineStr">
        <is>
          <t>Manufacturing disruption; Safety incident; Energy outage; Cyberattack</t>
        </is>
      </c>
      <c r="Z739" t="inlineStr">
        <is>
          <t>COO / Plant / Manufacturing</t>
        </is>
      </c>
      <c r="AA739" t="inlineStr">
        <is>
          <t>Policy/SOP; owner/RACI; system report; dashboard; contracts; test records; incident history; interview evidence related to utility dependency map for electricity, gas, water, compressed air, HVAC and other utilities.</t>
        </is>
      </c>
      <c r="AB739">
        <f>IFERROR(INDEX(_DATA_Assessment_Model!$U$5:$U$884,MATCH($E739,_DATA_Assessment_Model!$A$5:$A$884,0)),"")</f>
        <v/>
      </c>
      <c r="AF739" t="inlineStr">
        <is>
          <t>How mature is the organization in managing utility dependency map for electricity, gas, water, compressed air, HVAC and other utilities, including ownership, evidence, metrics, fallback procedures and crisis stress testing?</t>
        </is>
      </c>
      <c r="AO739">
        <f>IF($B739="Yes",IFERROR(INDEX(_ENGINE_Crisis!$F$501:$F$517,MATCH($C739,_ENGINE_Crisis!$A$501:$A$517,0)),1),"")</f>
        <v/>
      </c>
      <c r="AP739">
        <f>IF(AO739="","",ROUND($L739*AO739,1))</f>
        <v/>
      </c>
      <c r="AQ739">
        <f>IF(OR(AO739="",$S739=""),"",ROUND($S739*(0.7+0.3*AO739),2))</f>
        <v/>
      </c>
      <c r="AR739">
        <f>IFERROR(INDEX(_ENGINE_Crisis!$E$41:$E$700,MATCH('Resilience &amp; Risk Scenario'!$B$60&amp;"|"&amp;$C739,_ENGINE_Crisis!$I$41:$I$700,0)),"")</f>
        <v/>
      </c>
      <c r="AS739">
        <f>IFERROR(INDEX(_ENGINE_Crisis!$G$41:$G$700,MATCH('Resilience &amp; Risk Scenario'!$B$60&amp;"|"&amp;$C739,_ENGINE_Crisis!$I$41:$I$700,0)),"")</f>
        <v/>
      </c>
      <c r="AT739">
        <f>IFERROR(INDEX(_ENGINE_Initiatives!$A$5:$A$532,MATCH(1,INDEX((_ENGINE_Initiatives!$B$5:$B$532=$C739)*(_ENGINE_Initiatives!$C$5:$C$532=$D739),0),0)),"")</f>
        <v/>
      </c>
      <c r="AU739">
        <f>IFERROR(INDEX(_ENGINE_Initiatives!$F$5:$F$532,MATCH(1,INDEX((_ENGINE_Initiatives!$B$5:$B$532=$C739)*(_ENGINE_Initiatives!$C$5:$C$532=$D739),0),0)),"")</f>
        <v/>
      </c>
      <c r="AV739">
        <f>IFERROR(INDEX(_ENGINE_Initiatives!$AC$5:$AC$532,MATCH(1,INDEX((_ENGINE_Initiatives!$B$5:$B$532=$C739)*(_ENGINE_Initiatives!$C$5:$C$532=$D739),0),0)),"")</f>
        <v/>
      </c>
      <c r="AW739">
        <f>IFERROR(INDEX(_ENGINE_Initiatives!$AE$5:$AE$532,MATCH(1,INDEX((_ENGINE_Initiatives!$B$5:$B$532=$C739)*(_ENGINE_Initiatives!$C$5:$C$532=$D739),0),0)),"")</f>
        <v/>
      </c>
      <c r="AX739">
        <f>IF($B739="Yes",IFERROR(IF(SUMIFS(_REF_Model_Content!$E$1:$E$613,_REF_Model_Content!$A$1:$A$613,'Company Profile'!$B$9,_REF_Model_Content!$B$1:$B$613,$C739)=0,1,SUMIFS(_REF_Model_Content!$E$1:$E$613,_REF_Model_Content!$A$1:$A$613,'Company Profile'!$B$9,_REF_Model_Content!$B$1:$B$613,$C739)),1),"")</f>
        <v/>
      </c>
      <c r="AY739">
        <f>IF($L739="","",ROUND(IF($AP739="",$L739,$AP739)*IF($AX739="",1,$AX739),2))</f>
        <v/>
      </c>
      <c r="AZ739">
        <f>IF($S739="","",ROUND(IF($AQ739="",$S739,$AQ739)*IF($AX739="",1,$AX739),2))</f>
        <v/>
      </c>
      <c r="BB739">
        <f>IF($H739="","",IFERROR(INDEX('_ENGINE_Risk'!$AE$41:$AE$920,MATCH($E739,'_ENGINE_Risk'!$A$41:$A$920,0)),"Medium"))</f>
        <v/>
      </c>
      <c r="BC739">
        <f>IF($BB739="","",IF($BB739="Fast",1.25,IF($BB739="Slow",0.85,1)))</f>
        <v/>
      </c>
      <c r="BD739">
        <f>IF(OR($AZ739="",$BC739=""),"",ROUND($AZ739*$BC739,2))</f>
        <v/>
      </c>
      <c r="BF739">
        <f>IF(OR($H739="",$J739=""),"",_xlfn.IFNA(VLOOKUP($J739,_CONFIG_Model_Settings!$D$610:$E$614,2,0),""))</f>
        <v/>
      </c>
      <c r="BG739">
        <f>IF(OR($H739="",$K739=""),"",ROUND('Company Profile'!$B$569*INDEX(_CONFIG_Model_Settings!$H$610:$H$614,MATCH($K739,_CONFIG_Model_Settings!$G$610:$G$614,0)),0))</f>
        <v/>
      </c>
      <c r="BH739">
        <f>IF(OR($BF739="",$BG739=""),"",ROUND($BF739*$BG739,1))</f>
        <v/>
      </c>
      <c r="BI739">
        <f>IF($BH739="","",IF($AO739="",$BH739,ROUND($BH739*$AO739,1)))</f>
        <v/>
      </c>
      <c r="BJ739">
        <f>IF($E739="","",IFERROR(VLOOKUP($C739,'_CONFIG_Risk_Calibration'!$A$5:$H$21,2,FALSE),3))</f>
        <v/>
      </c>
      <c r="BK739">
        <f>IF($E739="","",IFERROR(VLOOKUP($C739,'_CONFIG_Risk_Calibration'!$A$5:$H$21,3,FALSE),0))</f>
        <v/>
      </c>
      <c r="BL739">
        <f>IF($E739="","",IFERROR(VLOOKUP($C739,'_CONFIG_Risk_Calibration'!$A$5:$H$21,4,FALSE),3))</f>
        <v/>
      </c>
      <c r="BM739">
        <f>IF($E739="","",IFERROR(VLOOKUP($C739,'_CONFIG_Risk_Calibration'!$A$5:$H$21,5,FALSE),3))</f>
        <v/>
      </c>
      <c r="BN739">
        <f>IF($E739="","",IFERROR(VLOOKUP($C739,'_CONFIG_Risk_Calibration'!$A$5:$H$21,6,FALSE),"No"))</f>
        <v/>
      </c>
      <c r="BO739">
        <f>IF($E739="","",IFERROR(VLOOKUP($C739,'_CONFIG_Risk_Calibration'!$A$5:$H$21,7,FALSE),1))</f>
        <v/>
      </c>
      <c r="BP739">
        <f>IF($H739="","",MAX(1,MIN(5,((6-$H739)*0.45)+($BJ739*0.20)+('Resilience &amp; Risk Scenario'!$B$7*0.15)+($BK739*0.10)+($BL739*0.05)+(IF($BB739="Fast",5,IF($BB739="Slow",1,3))*0.05))))</f>
        <v/>
      </c>
      <c r="BQ739">
        <f>IF($H739="","",MAX(IF($BN739="Yes",$BO739,1),MIN(5,($U739*0.20)+($V739*0.15)+($W739*0.25)+($X739*0.15)+($BJ739*0.10)+($BM739*0.15))))</f>
        <v/>
      </c>
      <c r="BR739">
        <f>IF(OR($BP739="",$BQ739=""),"",ROUND($BP739*$BQ739,2))</f>
        <v/>
      </c>
      <c r="BS739">
        <f>IF($BR739="","",ROUND($BR739*IF($AO739="",1,$AO739)*IF($AX739="",1,$AX739)*(1+(($BM739-3)*0.10))*IF($BC739="",1,$BC739),2))</f>
        <v/>
      </c>
    </row>
    <row r="740" ht="69.90000000000001" customHeight="1" s="209">
      <c r="A740">
        <f>IF($BD740="","",SUMPRODUCT(ISNUMBER($BD$500:$BD$923)*($BD$500:$BD$923&gt;$BD740))+COUNTIF($BD$500:$BD740,$BD740))</f>
        <v/>
      </c>
      <c r="B740">
        <f>IF($H740="","",IF($H740&lt;5,"Yes","Maintain"))</f>
        <v/>
      </c>
      <c r="C740" t="inlineStr">
        <is>
          <t>Manufacturing MES</t>
        </is>
      </c>
      <c r="D740" t="inlineStr">
        <is>
          <t>Maintenance and assets</t>
        </is>
      </c>
      <c r="E740" t="inlineStr">
        <is>
          <t>MANU-017</t>
        </is>
      </c>
      <c r="F740" t="inlineStr">
        <is>
          <t>Manufacturing, MES and production continuity</t>
        </is>
      </c>
      <c r="G740">
        <f>IF($H740="","",IFERROR(INDEX('_ENGINE_Risk'!$H$41:$M$920,MATCH($E740,'_ENGINE_Risk'!$A$41:$A$920,0),$H740+1),""))</f>
        <v/>
      </c>
      <c r="H740">
        <f>IFERROR(VALUE(INDEX(_DATA_Assessment_Model!$H$5:$H$884,MATCH($E740,_DATA_Assessment_Model!$A$5:$A$884,0))),"")</f>
        <v/>
      </c>
      <c r="I740">
        <f>IF($H740="","",IFERROR(INDEX(_DATA_Assessment_Model!$L$5:$L$884,MATCH($E740,_DATA_Assessment_Model!$A$5:$A$884,0)),IF($H740&lt;=1,"Critical",IF($H740=2,"High",IF($H740=3,"Medium",IF($H740=4,"Low","Resilient"))))))</f>
        <v/>
      </c>
      <c r="J740">
        <f>IF($H740="","",MIN(5,MAX(1,6-$H740)))</f>
        <v/>
      </c>
      <c r="K740">
        <f>IF($H740="","",MAX(1,MIN(5,ROUNDUP(($U740*0.45)+($W740*0.35)+($X740*0.2),0))))</f>
        <v/>
      </c>
      <c r="L740">
        <f>IF($H740="","",$J740*$K740)</f>
        <v/>
      </c>
      <c r="M740">
        <f>IF($H740="","",MAX(1,MIN(5,ROUNDUP($L740/5,0))))</f>
        <v/>
      </c>
      <c r="N740">
        <f>IF($H740="","",IFERROR(INDEX('_ENGINE_Risk'!$T$41:$Y$920,MATCH($E740,'_ENGINE_Risk'!$A$41:$A$920,0),$H740+1),""))</f>
        <v/>
      </c>
      <c r="O740">
        <f>IF($H740="","",MAX(1,MIN(5,($U740+$V740+$X740)/3)))</f>
        <v/>
      </c>
      <c r="P740">
        <f>IF($H740="","",IF($I740="Critical",5,IF($I740="High",4,IF($I740="Medium",3,IF($I740="Low",2,1)))))</f>
        <v/>
      </c>
      <c r="Q740">
        <f>IF($H740="","",MAX(1,MIN(5,((5-$H740)*0.65)+($W740*0.35))))</f>
        <v/>
      </c>
      <c r="R740">
        <f>IF($H740="","",MAX(1,MIN(5,($V740+$X740)/2)))</f>
        <v/>
      </c>
      <c r="S740">
        <f>IF(OR($H740="",$N740=""),"",ROUND(($O740+$P740+$Q740+$R740)/$N740,2))</f>
        <v/>
      </c>
      <c r="T740">
        <f>IF($H740="","",IFERROR(INDEX('_ENGINE_Risk'!$N$41:$S$920,MATCH($E740,'_ENGINE_Risk'!$A$41:$A$920,0),$H740+1),""))</f>
        <v/>
      </c>
      <c r="U740">
        <f>IFERROR(INDEX(_DATA_Assessment_Model!$G$5:$G$884,MATCH($E740,_DATA_Assessment_Model!$A$5:$A$884,0)),"")</f>
        <v/>
      </c>
      <c r="V740">
        <f>IFERROR(INDEX(_DATA_Assessment_Model!$W$5:$W$884,MATCH($E740,_DATA_Assessment_Model!$A$5:$A$884,0)),"")</f>
        <v/>
      </c>
      <c r="W740">
        <f>IFERROR(INDEX(_DATA_Assessment_Model!$X$5:$X$884,MATCH($E740,_DATA_Assessment_Model!$A$5:$A$884,0)),"")</f>
        <v/>
      </c>
      <c r="X740">
        <f>IFERROR(INDEX(_DATA_Assessment_Model!$Y$5:$Y$884,MATCH($E740,_DATA_Assessment_Model!$A$5:$A$884,0)),"")</f>
        <v/>
      </c>
      <c r="Y740" t="inlineStr">
        <is>
          <t>Manufacturing disruption; Safety incident; Energy outage; Cyberattack</t>
        </is>
      </c>
      <c r="Z740" t="inlineStr">
        <is>
          <t>COO / Plant / Manufacturing</t>
        </is>
      </c>
      <c r="AA740" t="inlineStr">
        <is>
          <t>Policy/SOP; owner/RACI; system report; dashboard; contracts; test records; incident history; interview evidence related to backup utility options for critical production processes.</t>
        </is>
      </c>
      <c r="AB740">
        <f>IFERROR(INDEX(_DATA_Assessment_Model!$U$5:$U$884,MATCH($E740,_DATA_Assessment_Model!$A$5:$A$884,0)),"")</f>
        <v/>
      </c>
      <c r="AF740" t="inlineStr">
        <is>
          <t>How mature is the organization in managing backup utility options for critical production processes, including ownership, evidence, metrics, fallback procedures and crisis stress testing?</t>
        </is>
      </c>
      <c r="AO740">
        <f>IF($B740="Yes",IFERROR(INDEX(_ENGINE_Crisis!$F$501:$F$517,MATCH($C740,_ENGINE_Crisis!$A$501:$A$517,0)),1),"")</f>
        <v/>
      </c>
      <c r="AP740">
        <f>IF(AO740="","",ROUND($L740*AO740,1))</f>
        <v/>
      </c>
      <c r="AQ740">
        <f>IF(OR(AO740="",$S740=""),"",ROUND($S740*(0.7+0.3*AO740),2))</f>
        <v/>
      </c>
      <c r="AR740">
        <f>IFERROR(INDEX(_ENGINE_Crisis!$E$41:$E$700,MATCH('Resilience &amp; Risk Scenario'!$B$60&amp;"|"&amp;$C740,_ENGINE_Crisis!$I$41:$I$700,0)),"")</f>
        <v/>
      </c>
      <c r="AS740">
        <f>IFERROR(INDEX(_ENGINE_Crisis!$G$41:$G$700,MATCH('Resilience &amp; Risk Scenario'!$B$60&amp;"|"&amp;$C740,_ENGINE_Crisis!$I$41:$I$700,0)),"")</f>
        <v/>
      </c>
      <c r="AT740">
        <f>IFERROR(INDEX(_ENGINE_Initiatives!$A$5:$A$532,MATCH(1,INDEX((_ENGINE_Initiatives!$B$5:$B$532=$C740)*(_ENGINE_Initiatives!$C$5:$C$532=$D740),0),0)),"")</f>
        <v/>
      </c>
      <c r="AU740">
        <f>IFERROR(INDEX(_ENGINE_Initiatives!$F$5:$F$532,MATCH(1,INDEX((_ENGINE_Initiatives!$B$5:$B$532=$C740)*(_ENGINE_Initiatives!$C$5:$C$532=$D740),0),0)),"")</f>
        <v/>
      </c>
      <c r="AV740">
        <f>IFERROR(INDEX(_ENGINE_Initiatives!$AC$5:$AC$532,MATCH(1,INDEX((_ENGINE_Initiatives!$B$5:$B$532=$C740)*(_ENGINE_Initiatives!$C$5:$C$532=$D740),0),0)),"")</f>
        <v/>
      </c>
      <c r="AW740">
        <f>IFERROR(INDEX(_ENGINE_Initiatives!$AE$5:$AE$532,MATCH(1,INDEX((_ENGINE_Initiatives!$B$5:$B$532=$C740)*(_ENGINE_Initiatives!$C$5:$C$532=$D740),0),0)),"")</f>
        <v/>
      </c>
      <c r="AX740">
        <f>IF($B740="Yes",IFERROR(IF(SUMIFS(_REF_Model_Content!$E$1:$E$613,_REF_Model_Content!$A$1:$A$613,'Company Profile'!$B$9,_REF_Model_Content!$B$1:$B$613,$C740)=0,1,SUMIFS(_REF_Model_Content!$E$1:$E$613,_REF_Model_Content!$A$1:$A$613,'Company Profile'!$B$9,_REF_Model_Content!$B$1:$B$613,$C740)),1),"")</f>
        <v/>
      </c>
      <c r="AY740">
        <f>IF($L740="","",ROUND(IF($AP740="",$L740,$AP740)*IF($AX740="",1,$AX740),2))</f>
        <v/>
      </c>
      <c r="AZ740">
        <f>IF($S740="","",ROUND(IF($AQ740="",$S740,$AQ740)*IF($AX740="",1,$AX740),2))</f>
        <v/>
      </c>
      <c r="BB740">
        <f>IF($H740="","",IFERROR(INDEX('_ENGINE_Risk'!$AE$41:$AE$920,MATCH($E740,'_ENGINE_Risk'!$A$41:$A$920,0)),"Medium"))</f>
        <v/>
      </c>
      <c r="BC740">
        <f>IF($BB740="","",IF($BB740="Fast",1.25,IF($BB740="Slow",0.85,1)))</f>
        <v/>
      </c>
      <c r="BD740">
        <f>IF(OR($AZ740="",$BC740=""),"",ROUND($AZ740*$BC740,2))</f>
        <v/>
      </c>
      <c r="BF740">
        <f>IF(OR($H740="",$J740=""),"",_xlfn.IFNA(VLOOKUP($J740,_CONFIG_Model_Settings!$D$610:$E$614,2,0),""))</f>
        <v/>
      </c>
      <c r="BG740">
        <f>IF(OR($H740="",$K740=""),"",ROUND('Company Profile'!$B$569*INDEX(_CONFIG_Model_Settings!$H$610:$H$614,MATCH($K740,_CONFIG_Model_Settings!$G$610:$G$614,0)),0))</f>
        <v/>
      </c>
      <c r="BH740">
        <f>IF(OR($BF740="",$BG740=""),"",ROUND($BF740*$BG740,1))</f>
        <v/>
      </c>
      <c r="BI740">
        <f>IF($BH740="","",IF($AO740="",$BH740,ROUND($BH740*$AO740,1)))</f>
        <v/>
      </c>
      <c r="BJ740">
        <f>IF($E740="","",IFERROR(VLOOKUP($C740,'_CONFIG_Risk_Calibration'!$A$5:$H$21,2,FALSE),3))</f>
        <v/>
      </c>
      <c r="BK740">
        <f>IF($E740="","",IFERROR(VLOOKUP($C740,'_CONFIG_Risk_Calibration'!$A$5:$H$21,3,FALSE),0))</f>
        <v/>
      </c>
      <c r="BL740">
        <f>IF($E740="","",IFERROR(VLOOKUP($C740,'_CONFIG_Risk_Calibration'!$A$5:$H$21,4,FALSE),3))</f>
        <v/>
      </c>
      <c r="BM740">
        <f>IF($E740="","",IFERROR(VLOOKUP($C740,'_CONFIG_Risk_Calibration'!$A$5:$H$21,5,FALSE),3))</f>
        <v/>
      </c>
      <c r="BN740">
        <f>IF($E740="","",IFERROR(VLOOKUP($C740,'_CONFIG_Risk_Calibration'!$A$5:$H$21,6,FALSE),"No"))</f>
        <v/>
      </c>
      <c r="BO740">
        <f>IF($E740="","",IFERROR(VLOOKUP($C740,'_CONFIG_Risk_Calibration'!$A$5:$H$21,7,FALSE),1))</f>
        <v/>
      </c>
      <c r="BP740">
        <f>IF($H740="","",MAX(1,MIN(5,((6-$H740)*0.45)+($BJ740*0.20)+('Resilience &amp; Risk Scenario'!$B$7*0.15)+($BK740*0.10)+($BL740*0.05)+(IF($BB740="Fast",5,IF($BB740="Slow",1,3))*0.05))))</f>
        <v/>
      </c>
      <c r="BQ740">
        <f>IF($H740="","",MAX(IF($BN740="Yes",$BO740,1),MIN(5,($U740*0.20)+($V740*0.15)+($W740*0.25)+($X740*0.15)+($BJ740*0.10)+($BM740*0.15))))</f>
        <v/>
      </c>
      <c r="BR740">
        <f>IF(OR($BP740="",$BQ740=""),"",ROUND($BP740*$BQ740,2))</f>
        <v/>
      </c>
      <c r="BS740">
        <f>IF($BR740="","",ROUND($BR740*IF($AO740="",1,$AO740)*IF($AX740="",1,$AX740)*(1+(($BM740-3)*0.10))*IF($BC740="",1,$BC740),2))</f>
        <v/>
      </c>
    </row>
    <row r="741" ht="69.90000000000001" customHeight="1" s="209">
      <c r="A741">
        <f>IF($BD741="","",SUMPRODUCT(ISNUMBER($BD$500:$BD$923)*($BD$500:$BD$923&gt;$BD741))+COUNTIF($BD$500:$BD741,$BD741))</f>
        <v/>
      </c>
      <c r="B741">
        <f>IF($H741="","",IF($H741&lt;5,"Yes","Maintain"))</f>
        <v/>
      </c>
      <c r="C741" t="inlineStr">
        <is>
          <t>Manufacturing MES</t>
        </is>
      </c>
      <c r="D741" t="inlineStr">
        <is>
          <t>Maintenance and assets</t>
        </is>
      </c>
      <c r="E741" t="inlineStr">
        <is>
          <t>MANU-018</t>
        </is>
      </c>
      <c r="F741" t="inlineStr">
        <is>
          <t>Manufacturing, MES and production continuity</t>
        </is>
      </c>
      <c r="G741">
        <f>IF($H741="","",IFERROR(INDEX('_ENGINE_Risk'!$H$41:$M$920,MATCH($E741,'_ENGINE_Risk'!$A$41:$A$920,0),$H741+1),""))</f>
        <v/>
      </c>
      <c r="H741">
        <f>IFERROR(VALUE(INDEX(_DATA_Assessment_Model!$H$5:$H$884,MATCH($E741,_DATA_Assessment_Model!$A$5:$A$884,0))),"")</f>
        <v/>
      </c>
      <c r="I741">
        <f>IF($H741="","",IFERROR(INDEX(_DATA_Assessment_Model!$L$5:$L$884,MATCH($E741,_DATA_Assessment_Model!$A$5:$A$884,0)),IF($H741&lt;=1,"Critical",IF($H741=2,"High",IF($H741=3,"Medium",IF($H741=4,"Low","Resilient"))))))</f>
        <v/>
      </c>
      <c r="J741">
        <f>IF($H741="","",MIN(5,MAX(1,6-$H741)))</f>
        <v/>
      </c>
      <c r="K741">
        <f>IF($H741="","",MAX(1,MIN(5,ROUNDUP(($U741*0.45)+($W741*0.35)+($X741*0.2),0))))</f>
        <v/>
      </c>
      <c r="L741">
        <f>IF($H741="","",$J741*$K741)</f>
        <v/>
      </c>
      <c r="M741">
        <f>IF($H741="","",MAX(1,MIN(5,ROUNDUP($L741/5,0))))</f>
        <v/>
      </c>
      <c r="N741">
        <f>IF($H741="","",IFERROR(INDEX('_ENGINE_Risk'!$T$41:$Y$920,MATCH($E741,'_ENGINE_Risk'!$A$41:$A$920,0),$H741+1),""))</f>
        <v/>
      </c>
      <c r="O741">
        <f>IF($H741="","",MAX(1,MIN(5,($U741+$V741+$X741)/3)))</f>
        <v/>
      </c>
      <c r="P741">
        <f>IF($H741="","",IF($I741="Critical",5,IF($I741="High",4,IF($I741="Medium",3,IF($I741="Low",2,1)))))</f>
        <v/>
      </c>
      <c r="Q741">
        <f>IF($H741="","",MAX(1,MIN(5,((5-$H741)*0.65)+($W741*0.35))))</f>
        <v/>
      </c>
      <c r="R741">
        <f>IF($H741="","",MAX(1,MIN(5,($V741+$X741)/2)))</f>
        <v/>
      </c>
      <c r="S741">
        <f>IF(OR($H741="",$N741=""),"",ROUND(($O741+$P741+$Q741+$R741)/$N741,2))</f>
        <v/>
      </c>
      <c r="T741">
        <f>IF($H741="","",IFERROR(INDEX('_ENGINE_Risk'!$N$41:$S$920,MATCH($E741,'_ENGINE_Risk'!$A$41:$A$920,0),$H741+1),""))</f>
        <v/>
      </c>
      <c r="U741">
        <f>IFERROR(INDEX(_DATA_Assessment_Model!$G$5:$G$884,MATCH($E741,_DATA_Assessment_Model!$A$5:$A$884,0)),"")</f>
        <v/>
      </c>
      <c r="V741">
        <f>IFERROR(INDEX(_DATA_Assessment_Model!$W$5:$W$884,MATCH($E741,_DATA_Assessment_Model!$A$5:$A$884,0)),"")</f>
        <v/>
      </c>
      <c r="W741">
        <f>IFERROR(INDEX(_DATA_Assessment_Model!$X$5:$X$884,MATCH($E741,_DATA_Assessment_Model!$A$5:$A$884,0)),"")</f>
        <v/>
      </c>
      <c r="X741">
        <f>IFERROR(INDEX(_DATA_Assessment_Model!$Y$5:$Y$884,MATCH($E741,_DATA_Assessment_Model!$A$5:$A$884,0)),"")</f>
        <v/>
      </c>
      <c r="Y741" t="inlineStr">
        <is>
          <t>Manufacturing disruption; Safety incident; Energy outage; Cyberattack</t>
        </is>
      </c>
      <c r="Z741" t="inlineStr">
        <is>
          <t>COO / Plant / Manufacturing</t>
        </is>
      </c>
      <c r="AA741" t="inlineStr">
        <is>
          <t>Policy/SOP; owner/RACI; system report; dashboard; contracts; test records; incident history; interview evidence related to asset management for critical production equipment, tooling and calibration.</t>
        </is>
      </c>
      <c r="AB741">
        <f>IFERROR(INDEX(_DATA_Assessment_Model!$U$5:$U$884,MATCH($E741,_DATA_Assessment_Model!$A$5:$A$884,0)),"")</f>
        <v/>
      </c>
      <c r="AF741" t="inlineStr">
        <is>
          <t>How mature is the organization in managing asset management for critical production equipment, tooling and calibration, including ownership, evidence, metrics, fallback procedures and crisis stress testing?</t>
        </is>
      </c>
      <c r="AO741">
        <f>IF($B741="Yes",IFERROR(INDEX(_ENGINE_Crisis!$F$501:$F$517,MATCH($C741,_ENGINE_Crisis!$A$501:$A$517,0)),1),"")</f>
        <v/>
      </c>
      <c r="AP741">
        <f>IF(AO741="","",ROUND($L741*AO741,1))</f>
        <v/>
      </c>
      <c r="AQ741">
        <f>IF(OR(AO741="",$S741=""),"",ROUND($S741*(0.7+0.3*AO741),2))</f>
        <v/>
      </c>
      <c r="AR741">
        <f>IFERROR(INDEX(_ENGINE_Crisis!$E$41:$E$700,MATCH('Resilience &amp; Risk Scenario'!$B$60&amp;"|"&amp;$C741,_ENGINE_Crisis!$I$41:$I$700,0)),"")</f>
        <v/>
      </c>
      <c r="AS741">
        <f>IFERROR(INDEX(_ENGINE_Crisis!$G$41:$G$700,MATCH('Resilience &amp; Risk Scenario'!$B$60&amp;"|"&amp;$C741,_ENGINE_Crisis!$I$41:$I$700,0)),"")</f>
        <v/>
      </c>
      <c r="AT741">
        <f>IFERROR(INDEX(_ENGINE_Initiatives!$A$5:$A$532,MATCH(1,INDEX((_ENGINE_Initiatives!$B$5:$B$532=$C741)*(_ENGINE_Initiatives!$C$5:$C$532=$D741),0),0)),"")</f>
        <v/>
      </c>
      <c r="AU741">
        <f>IFERROR(INDEX(_ENGINE_Initiatives!$F$5:$F$532,MATCH(1,INDEX((_ENGINE_Initiatives!$B$5:$B$532=$C741)*(_ENGINE_Initiatives!$C$5:$C$532=$D741),0),0)),"")</f>
        <v/>
      </c>
      <c r="AV741">
        <f>IFERROR(INDEX(_ENGINE_Initiatives!$AC$5:$AC$532,MATCH(1,INDEX((_ENGINE_Initiatives!$B$5:$B$532=$C741)*(_ENGINE_Initiatives!$C$5:$C$532=$D741),0),0)),"")</f>
        <v/>
      </c>
      <c r="AW741">
        <f>IFERROR(INDEX(_ENGINE_Initiatives!$AE$5:$AE$532,MATCH(1,INDEX((_ENGINE_Initiatives!$B$5:$B$532=$C741)*(_ENGINE_Initiatives!$C$5:$C$532=$D741),0),0)),"")</f>
        <v/>
      </c>
      <c r="AX741">
        <f>IF($B741="Yes",IFERROR(IF(SUMIFS(_REF_Model_Content!$E$1:$E$613,_REF_Model_Content!$A$1:$A$613,'Company Profile'!$B$9,_REF_Model_Content!$B$1:$B$613,$C741)=0,1,SUMIFS(_REF_Model_Content!$E$1:$E$613,_REF_Model_Content!$A$1:$A$613,'Company Profile'!$B$9,_REF_Model_Content!$B$1:$B$613,$C741)),1),"")</f>
        <v/>
      </c>
      <c r="AY741">
        <f>IF($L741="","",ROUND(IF($AP741="",$L741,$AP741)*IF($AX741="",1,$AX741),2))</f>
        <v/>
      </c>
      <c r="AZ741">
        <f>IF($S741="","",ROUND(IF($AQ741="",$S741,$AQ741)*IF($AX741="",1,$AX741),2))</f>
        <v/>
      </c>
      <c r="BB741">
        <f>IF($H741="","",IFERROR(INDEX('_ENGINE_Risk'!$AE$41:$AE$920,MATCH($E741,'_ENGINE_Risk'!$A$41:$A$920,0)),"Medium"))</f>
        <v/>
      </c>
      <c r="BC741">
        <f>IF($BB741="","",IF($BB741="Fast",1.25,IF($BB741="Slow",0.85,1)))</f>
        <v/>
      </c>
      <c r="BD741">
        <f>IF(OR($AZ741="",$BC741=""),"",ROUND($AZ741*$BC741,2))</f>
        <v/>
      </c>
      <c r="BF741">
        <f>IF(OR($H741="",$J741=""),"",_xlfn.IFNA(VLOOKUP($J741,_CONFIG_Model_Settings!$D$610:$E$614,2,0),""))</f>
        <v/>
      </c>
      <c r="BG741">
        <f>IF(OR($H741="",$K741=""),"",ROUND('Company Profile'!$B$569*INDEX(_CONFIG_Model_Settings!$H$610:$H$614,MATCH($K741,_CONFIG_Model_Settings!$G$610:$G$614,0)),0))</f>
        <v/>
      </c>
      <c r="BH741">
        <f>IF(OR($BF741="",$BG741=""),"",ROUND($BF741*$BG741,1))</f>
        <v/>
      </c>
      <c r="BI741">
        <f>IF($BH741="","",IF($AO741="",$BH741,ROUND($BH741*$AO741,1)))</f>
        <v/>
      </c>
      <c r="BJ741">
        <f>IF($E741="","",IFERROR(VLOOKUP($C741,'_CONFIG_Risk_Calibration'!$A$5:$H$21,2,FALSE),3))</f>
        <v/>
      </c>
      <c r="BK741">
        <f>IF($E741="","",IFERROR(VLOOKUP($C741,'_CONFIG_Risk_Calibration'!$A$5:$H$21,3,FALSE),0))</f>
        <v/>
      </c>
      <c r="BL741">
        <f>IF($E741="","",IFERROR(VLOOKUP($C741,'_CONFIG_Risk_Calibration'!$A$5:$H$21,4,FALSE),3))</f>
        <v/>
      </c>
      <c r="BM741">
        <f>IF($E741="","",IFERROR(VLOOKUP($C741,'_CONFIG_Risk_Calibration'!$A$5:$H$21,5,FALSE),3))</f>
        <v/>
      </c>
      <c r="BN741">
        <f>IF($E741="","",IFERROR(VLOOKUP($C741,'_CONFIG_Risk_Calibration'!$A$5:$H$21,6,FALSE),"No"))</f>
        <v/>
      </c>
      <c r="BO741">
        <f>IF($E741="","",IFERROR(VLOOKUP($C741,'_CONFIG_Risk_Calibration'!$A$5:$H$21,7,FALSE),1))</f>
        <v/>
      </c>
      <c r="BP741">
        <f>IF($H741="","",MAX(1,MIN(5,((6-$H741)*0.45)+($BJ741*0.20)+('Resilience &amp; Risk Scenario'!$B$7*0.15)+($BK741*0.10)+($BL741*0.05)+(IF($BB741="Fast",5,IF($BB741="Slow",1,3))*0.05))))</f>
        <v/>
      </c>
      <c r="BQ741">
        <f>IF($H741="","",MAX(IF($BN741="Yes",$BO741,1),MIN(5,($U741*0.20)+($V741*0.15)+($W741*0.25)+($X741*0.15)+($BJ741*0.10)+($BM741*0.15))))</f>
        <v/>
      </c>
      <c r="BR741">
        <f>IF(OR($BP741="",$BQ741=""),"",ROUND($BP741*$BQ741,2))</f>
        <v/>
      </c>
      <c r="BS741">
        <f>IF($BR741="","",ROUND($BR741*IF($AO741="",1,$AO741)*IF($AX741="",1,$AX741)*(1+(($BM741-3)*0.10))*IF($BC741="",1,$BC741),2))</f>
        <v/>
      </c>
    </row>
    <row r="742" ht="69.90000000000001" customHeight="1" s="209">
      <c r="A742">
        <f>IF($BD742="","",SUMPRODUCT(ISNUMBER($BD$500:$BD$923)*($BD$500:$BD$923&gt;$BD742))+COUNTIF($BD$500:$BD742,$BD742))</f>
        <v/>
      </c>
      <c r="B742">
        <f>IF($H742="","",IF($H742&lt;5,"Yes","Maintain"))</f>
        <v/>
      </c>
      <c r="C742" t="inlineStr">
        <is>
          <t>Manufacturing MES</t>
        </is>
      </c>
      <c r="D742" t="inlineStr">
        <is>
          <t>Quality and safety</t>
        </is>
      </c>
      <c r="E742" t="inlineStr">
        <is>
          <t>MANU-019</t>
        </is>
      </c>
      <c r="F742" t="inlineStr">
        <is>
          <t>Manufacturing, MES and production continuity</t>
        </is>
      </c>
      <c r="G742">
        <f>IF($H742="","",IFERROR(INDEX('_ENGINE_Risk'!$H$41:$M$920,MATCH($E742,'_ENGINE_Risk'!$A$41:$A$920,0),$H742+1),""))</f>
        <v/>
      </c>
      <c r="H742">
        <f>IFERROR(VALUE(INDEX(_DATA_Assessment_Model!$H$5:$H$884,MATCH($E742,_DATA_Assessment_Model!$A$5:$A$884,0))),"")</f>
        <v/>
      </c>
      <c r="I742">
        <f>IF($H742="","",IFERROR(INDEX(_DATA_Assessment_Model!$L$5:$L$884,MATCH($E742,_DATA_Assessment_Model!$A$5:$A$884,0)),IF($H742&lt;=1,"Critical",IF($H742=2,"High",IF($H742=3,"Medium",IF($H742=4,"Low","Resilient"))))))</f>
        <v/>
      </c>
      <c r="J742">
        <f>IF($H742="","",MIN(5,MAX(1,6-$H742)))</f>
        <v/>
      </c>
      <c r="K742">
        <f>IF($H742="","",MAX(1,MIN(5,ROUNDUP(($U742*0.45)+($W742*0.35)+($X742*0.2),0))))</f>
        <v/>
      </c>
      <c r="L742">
        <f>IF($H742="","",$J742*$K742)</f>
        <v/>
      </c>
      <c r="M742">
        <f>IF($H742="","",MAX(1,MIN(5,ROUNDUP($L742/5,0))))</f>
        <v/>
      </c>
      <c r="N742">
        <f>IF($H742="","",IFERROR(INDEX('_ENGINE_Risk'!$T$41:$Y$920,MATCH($E742,'_ENGINE_Risk'!$A$41:$A$920,0),$H742+1),""))</f>
        <v/>
      </c>
      <c r="O742">
        <f>IF($H742="","",MAX(1,MIN(5,($U742+$V742+$X742)/3)))</f>
        <v/>
      </c>
      <c r="P742">
        <f>IF($H742="","",IF($I742="Critical",5,IF($I742="High",4,IF($I742="Medium",3,IF($I742="Low",2,1)))))</f>
        <v/>
      </c>
      <c r="Q742">
        <f>IF($H742="","",MAX(1,MIN(5,((5-$H742)*0.65)+($W742*0.35))))</f>
        <v/>
      </c>
      <c r="R742">
        <f>IF($H742="","",MAX(1,MIN(5,($V742+$X742)/2)))</f>
        <v/>
      </c>
      <c r="S742">
        <f>IF(OR($H742="",$N742=""),"",ROUND(($O742+$P742+$Q742+$R742)/$N742,2))</f>
        <v/>
      </c>
      <c r="T742">
        <f>IF($H742="","",IFERROR(INDEX('_ENGINE_Risk'!$N$41:$S$920,MATCH($E742,'_ENGINE_Risk'!$A$41:$A$920,0),$H742+1),""))</f>
        <v/>
      </c>
      <c r="U742">
        <f>IFERROR(INDEX(_DATA_Assessment_Model!$G$5:$G$884,MATCH($E742,_DATA_Assessment_Model!$A$5:$A$884,0)),"")</f>
        <v/>
      </c>
      <c r="V742">
        <f>IFERROR(INDEX(_DATA_Assessment_Model!$W$5:$W$884,MATCH($E742,_DATA_Assessment_Model!$A$5:$A$884,0)),"")</f>
        <v/>
      </c>
      <c r="W742">
        <f>IFERROR(INDEX(_DATA_Assessment_Model!$X$5:$X$884,MATCH($E742,_DATA_Assessment_Model!$A$5:$A$884,0)),"")</f>
        <v/>
      </c>
      <c r="X742">
        <f>IFERROR(INDEX(_DATA_Assessment_Model!$Y$5:$Y$884,MATCH($E742,_DATA_Assessment_Model!$A$5:$A$884,0)),"")</f>
        <v/>
      </c>
      <c r="Y742" t="inlineStr">
        <is>
          <t>Manufacturing disruption; Safety incident; Energy outage; Cyberattack</t>
        </is>
      </c>
      <c r="Z742" t="inlineStr">
        <is>
          <t>COO / Plant / Manufacturing</t>
        </is>
      </c>
      <c r="AA742" t="inlineStr">
        <is>
          <t>Policy/SOP; owner/RACI; system report; dashboard; contracts; test records; incident history; interview evidence related to quality controls, inspections, sampling, nonconformance and corrective actions integrated into production.</t>
        </is>
      </c>
      <c r="AB742">
        <f>IFERROR(INDEX(_DATA_Assessment_Model!$U$5:$U$884,MATCH($E742,_DATA_Assessment_Model!$A$5:$A$884,0)),"")</f>
        <v/>
      </c>
      <c r="AF742" t="inlineStr">
        <is>
          <t>How mature is the organization in managing quality controls, inspections, sampling, nonconformance and corrective actions integrated into production, including ownership, evidence, metrics, fallback procedures and crisis stress testing?</t>
        </is>
      </c>
      <c r="AO742">
        <f>IF($B742="Yes",IFERROR(INDEX(_ENGINE_Crisis!$F$501:$F$517,MATCH($C742,_ENGINE_Crisis!$A$501:$A$517,0)),1),"")</f>
        <v/>
      </c>
      <c r="AP742">
        <f>IF(AO742="","",ROUND($L742*AO742,1))</f>
        <v/>
      </c>
      <c r="AQ742">
        <f>IF(OR(AO742="",$S742=""),"",ROUND($S742*(0.7+0.3*AO742),2))</f>
        <v/>
      </c>
      <c r="AR742">
        <f>IFERROR(INDEX(_ENGINE_Crisis!$E$41:$E$700,MATCH('Resilience &amp; Risk Scenario'!$B$60&amp;"|"&amp;$C742,_ENGINE_Crisis!$I$41:$I$700,0)),"")</f>
        <v/>
      </c>
      <c r="AS742">
        <f>IFERROR(INDEX(_ENGINE_Crisis!$G$41:$G$700,MATCH('Resilience &amp; Risk Scenario'!$B$60&amp;"|"&amp;$C742,_ENGINE_Crisis!$I$41:$I$700,0)),"")</f>
        <v/>
      </c>
      <c r="AT742">
        <f>IFERROR(INDEX(_ENGINE_Initiatives!$A$5:$A$532,MATCH(1,INDEX((_ENGINE_Initiatives!$B$5:$B$532=$C742)*(_ENGINE_Initiatives!$C$5:$C$532=$D742),0),0)),"")</f>
        <v/>
      </c>
      <c r="AU742">
        <f>IFERROR(INDEX(_ENGINE_Initiatives!$F$5:$F$532,MATCH(1,INDEX((_ENGINE_Initiatives!$B$5:$B$532=$C742)*(_ENGINE_Initiatives!$C$5:$C$532=$D742),0),0)),"")</f>
        <v/>
      </c>
      <c r="AV742">
        <f>IFERROR(INDEX(_ENGINE_Initiatives!$AC$5:$AC$532,MATCH(1,INDEX((_ENGINE_Initiatives!$B$5:$B$532=$C742)*(_ENGINE_Initiatives!$C$5:$C$532=$D742),0),0)),"")</f>
        <v/>
      </c>
      <c r="AW742">
        <f>IFERROR(INDEX(_ENGINE_Initiatives!$AE$5:$AE$532,MATCH(1,INDEX((_ENGINE_Initiatives!$B$5:$B$532=$C742)*(_ENGINE_Initiatives!$C$5:$C$532=$D742),0),0)),"")</f>
        <v/>
      </c>
      <c r="AX742">
        <f>IF($B742="Yes",IFERROR(IF(SUMIFS(_REF_Model_Content!$E$1:$E$613,_REF_Model_Content!$A$1:$A$613,'Company Profile'!$B$9,_REF_Model_Content!$B$1:$B$613,$C742)=0,1,SUMIFS(_REF_Model_Content!$E$1:$E$613,_REF_Model_Content!$A$1:$A$613,'Company Profile'!$B$9,_REF_Model_Content!$B$1:$B$613,$C742)),1),"")</f>
        <v/>
      </c>
      <c r="AY742">
        <f>IF($L742="","",ROUND(IF($AP742="",$L742,$AP742)*IF($AX742="",1,$AX742),2))</f>
        <v/>
      </c>
      <c r="AZ742">
        <f>IF($S742="","",ROUND(IF($AQ742="",$S742,$AQ742)*IF($AX742="",1,$AX742),2))</f>
        <v/>
      </c>
      <c r="BB742">
        <f>IF($H742="","",IFERROR(INDEX('_ENGINE_Risk'!$AE$41:$AE$920,MATCH($E742,'_ENGINE_Risk'!$A$41:$A$920,0)),"Medium"))</f>
        <v/>
      </c>
      <c r="BC742">
        <f>IF($BB742="","",IF($BB742="Fast",1.25,IF($BB742="Slow",0.85,1)))</f>
        <v/>
      </c>
      <c r="BD742">
        <f>IF(OR($AZ742="",$BC742=""),"",ROUND($AZ742*$BC742,2))</f>
        <v/>
      </c>
      <c r="BF742">
        <f>IF(OR($H742="",$J742=""),"",_xlfn.IFNA(VLOOKUP($J742,_CONFIG_Model_Settings!$D$610:$E$614,2,0),""))</f>
        <v/>
      </c>
      <c r="BG742">
        <f>IF(OR($H742="",$K742=""),"",ROUND('Company Profile'!$B$569*INDEX(_CONFIG_Model_Settings!$H$610:$H$614,MATCH($K742,_CONFIG_Model_Settings!$G$610:$G$614,0)),0))</f>
        <v/>
      </c>
      <c r="BH742">
        <f>IF(OR($BF742="",$BG742=""),"",ROUND($BF742*$BG742,1))</f>
        <v/>
      </c>
      <c r="BI742">
        <f>IF($BH742="","",IF($AO742="",$BH742,ROUND($BH742*$AO742,1)))</f>
        <v/>
      </c>
      <c r="BJ742">
        <f>IF($E742="","",IFERROR(VLOOKUP($C742,'_CONFIG_Risk_Calibration'!$A$5:$H$21,2,FALSE),3))</f>
        <v/>
      </c>
      <c r="BK742">
        <f>IF($E742="","",IFERROR(VLOOKUP($C742,'_CONFIG_Risk_Calibration'!$A$5:$H$21,3,FALSE),0))</f>
        <v/>
      </c>
      <c r="BL742">
        <f>IF($E742="","",IFERROR(VLOOKUP($C742,'_CONFIG_Risk_Calibration'!$A$5:$H$21,4,FALSE),3))</f>
        <v/>
      </c>
      <c r="BM742">
        <f>IF($E742="","",IFERROR(VLOOKUP($C742,'_CONFIG_Risk_Calibration'!$A$5:$H$21,5,FALSE),3))</f>
        <v/>
      </c>
      <c r="BN742">
        <f>IF($E742="","",IFERROR(VLOOKUP($C742,'_CONFIG_Risk_Calibration'!$A$5:$H$21,6,FALSE),"No"))</f>
        <v/>
      </c>
      <c r="BO742">
        <f>IF($E742="","",IFERROR(VLOOKUP($C742,'_CONFIG_Risk_Calibration'!$A$5:$H$21,7,FALSE),1))</f>
        <v/>
      </c>
      <c r="BP742">
        <f>IF($H742="","",MAX(1,MIN(5,((6-$H742)*0.45)+($BJ742*0.20)+('Resilience &amp; Risk Scenario'!$B$7*0.15)+($BK742*0.10)+($BL742*0.05)+(IF($BB742="Fast",5,IF($BB742="Slow",1,3))*0.05))))</f>
        <v/>
      </c>
      <c r="BQ742">
        <f>IF($H742="","",MAX(IF($BN742="Yes",$BO742,1),MIN(5,($U742*0.20)+($V742*0.15)+($W742*0.25)+($X742*0.15)+($BJ742*0.10)+($BM742*0.15))))</f>
        <v/>
      </c>
      <c r="BR742">
        <f>IF(OR($BP742="",$BQ742=""),"",ROUND($BP742*$BQ742,2))</f>
        <v/>
      </c>
      <c r="BS742">
        <f>IF($BR742="","",ROUND($BR742*IF($AO742="",1,$AO742)*IF($AX742="",1,$AX742)*(1+(($BM742-3)*0.10))*IF($BC742="",1,$BC742),2))</f>
        <v/>
      </c>
    </row>
    <row r="743" ht="69.90000000000001" customHeight="1" s="209">
      <c r="A743">
        <f>IF($BD743="","",SUMPRODUCT(ISNUMBER($BD$500:$BD$923)*($BD$500:$BD$923&gt;$BD743))+COUNTIF($BD$500:$BD743,$BD743))</f>
        <v/>
      </c>
      <c r="B743">
        <f>IF($H743="","",IF($H743&lt;5,"Yes","Maintain"))</f>
        <v/>
      </c>
      <c r="C743" t="inlineStr">
        <is>
          <t>Manufacturing MES</t>
        </is>
      </c>
      <c r="D743" t="inlineStr">
        <is>
          <t>Quality and safety</t>
        </is>
      </c>
      <c r="E743" t="inlineStr">
        <is>
          <t>MANU-020</t>
        </is>
      </c>
      <c r="F743" t="inlineStr">
        <is>
          <t>Manufacturing, MES and production continuity</t>
        </is>
      </c>
      <c r="G743">
        <f>IF($H743="","",IFERROR(INDEX('_ENGINE_Risk'!$H$41:$M$920,MATCH($E743,'_ENGINE_Risk'!$A$41:$A$920,0),$H743+1),""))</f>
        <v/>
      </c>
      <c r="H743">
        <f>IFERROR(VALUE(INDEX(_DATA_Assessment_Model!$H$5:$H$884,MATCH($E743,_DATA_Assessment_Model!$A$5:$A$884,0))),"")</f>
        <v/>
      </c>
      <c r="I743">
        <f>IF($H743="","",IFERROR(INDEX(_DATA_Assessment_Model!$L$5:$L$884,MATCH($E743,_DATA_Assessment_Model!$A$5:$A$884,0)),IF($H743&lt;=1,"Critical",IF($H743=2,"High",IF($H743=3,"Medium",IF($H743=4,"Low","Resilient"))))))</f>
        <v/>
      </c>
      <c r="J743">
        <f>IF($H743="","",MIN(5,MAX(1,6-$H743)))</f>
        <v/>
      </c>
      <c r="K743">
        <f>IF($H743="","",MAX(1,MIN(5,ROUNDUP(($U743*0.45)+($W743*0.35)+($X743*0.2),0))))</f>
        <v/>
      </c>
      <c r="L743">
        <f>IF($H743="","",$J743*$K743)</f>
        <v/>
      </c>
      <c r="M743">
        <f>IF($H743="","",MAX(1,MIN(5,ROUNDUP($L743/5,0))))</f>
        <v/>
      </c>
      <c r="N743">
        <f>IF($H743="","",IFERROR(INDEX('_ENGINE_Risk'!$T$41:$Y$920,MATCH($E743,'_ENGINE_Risk'!$A$41:$A$920,0),$H743+1),""))</f>
        <v/>
      </c>
      <c r="O743">
        <f>IF($H743="","",MAX(1,MIN(5,($U743+$V743+$X743)/3)))</f>
        <v/>
      </c>
      <c r="P743">
        <f>IF($H743="","",IF($I743="Critical",5,IF($I743="High",4,IF($I743="Medium",3,IF($I743="Low",2,1)))))</f>
        <v/>
      </c>
      <c r="Q743">
        <f>IF($H743="","",MAX(1,MIN(5,((5-$H743)*0.65)+($W743*0.35))))</f>
        <v/>
      </c>
      <c r="R743">
        <f>IF($H743="","",MAX(1,MIN(5,($V743+$X743)/2)))</f>
        <v/>
      </c>
      <c r="S743">
        <f>IF(OR($H743="",$N743=""),"",ROUND(($O743+$P743+$Q743+$R743)/$N743,2))</f>
        <v/>
      </c>
      <c r="T743">
        <f>IF($H743="","",IFERROR(INDEX('_ENGINE_Risk'!$N$41:$S$920,MATCH($E743,'_ENGINE_Risk'!$A$41:$A$920,0),$H743+1),""))</f>
        <v/>
      </c>
      <c r="U743">
        <f>IFERROR(INDEX(_DATA_Assessment_Model!$G$5:$G$884,MATCH($E743,_DATA_Assessment_Model!$A$5:$A$884,0)),"")</f>
        <v/>
      </c>
      <c r="V743">
        <f>IFERROR(INDEX(_DATA_Assessment_Model!$W$5:$W$884,MATCH($E743,_DATA_Assessment_Model!$A$5:$A$884,0)),"")</f>
        <v/>
      </c>
      <c r="W743">
        <f>IFERROR(INDEX(_DATA_Assessment_Model!$X$5:$X$884,MATCH($E743,_DATA_Assessment_Model!$A$5:$A$884,0)),"")</f>
        <v/>
      </c>
      <c r="X743">
        <f>IFERROR(INDEX(_DATA_Assessment_Model!$Y$5:$Y$884,MATCH($E743,_DATA_Assessment_Model!$A$5:$A$884,0)),"")</f>
        <v/>
      </c>
      <c r="Y743" t="inlineStr">
        <is>
          <t>Manufacturing disruption; Safety incident; Energy outage; Cyberattack</t>
        </is>
      </c>
      <c r="Z743" t="inlineStr">
        <is>
          <t>COO / Plant / Manufacturing</t>
        </is>
      </c>
      <c r="AA743" t="inlineStr">
        <is>
          <t>Policy/SOP; owner/RACI; system report; dashboard; contracts; test records; incident history; interview evidence related to traceability of products, batches, materials, operators and process parameters.</t>
        </is>
      </c>
      <c r="AB743">
        <f>IFERROR(INDEX(_DATA_Assessment_Model!$U$5:$U$884,MATCH($E743,_DATA_Assessment_Model!$A$5:$A$884,0)),"")</f>
        <v/>
      </c>
      <c r="AF743" t="inlineStr">
        <is>
          <t>How mature is the organization in managing traceability of products, batches, materials, operators and process parameters, including ownership, evidence, metrics, fallback procedures and crisis stress testing?</t>
        </is>
      </c>
      <c r="AO743">
        <f>IF($B743="Yes",IFERROR(INDEX(_ENGINE_Crisis!$F$501:$F$517,MATCH($C743,_ENGINE_Crisis!$A$501:$A$517,0)),1),"")</f>
        <v/>
      </c>
      <c r="AP743">
        <f>IF(AO743="","",ROUND($L743*AO743,1))</f>
        <v/>
      </c>
      <c r="AQ743">
        <f>IF(OR(AO743="",$S743=""),"",ROUND($S743*(0.7+0.3*AO743),2))</f>
        <v/>
      </c>
      <c r="AR743">
        <f>IFERROR(INDEX(_ENGINE_Crisis!$E$41:$E$700,MATCH('Resilience &amp; Risk Scenario'!$B$60&amp;"|"&amp;$C743,_ENGINE_Crisis!$I$41:$I$700,0)),"")</f>
        <v/>
      </c>
      <c r="AS743">
        <f>IFERROR(INDEX(_ENGINE_Crisis!$G$41:$G$700,MATCH('Resilience &amp; Risk Scenario'!$B$60&amp;"|"&amp;$C743,_ENGINE_Crisis!$I$41:$I$700,0)),"")</f>
        <v/>
      </c>
      <c r="AT743">
        <f>IFERROR(INDEX(_ENGINE_Initiatives!$A$5:$A$532,MATCH(1,INDEX((_ENGINE_Initiatives!$B$5:$B$532=$C743)*(_ENGINE_Initiatives!$C$5:$C$532=$D743),0),0)),"")</f>
        <v/>
      </c>
      <c r="AU743">
        <f>IFERROR(INDEX(_ENGINE_Initiatives!$F$5:$F$532,MATCH(1,INDEX((_ENGINE_Initiatives!$B$5:$B$532=$C743)*(_ENGINE_Initiatives!$C$5:$C$532=$D743),0),0)),"")</f>
        <v/>
      </c>
      <c r="AV743">
        <f>IFERROR(INDEX(_ENGINE_Initiatives!$AC$5:$AC$532,MATCH(1,INDEX((_ENGINE_Initiatives!$B$5:$B$532=$C743)*(_ENGINE_Initiatives!$C$5:$C$532=$D743),0),0)),"")</f>
        <v/>
      </c>
      <c r="AW743">
        <f>IFERROR(INDEX(_ENGINE_Initiatives!$AE$5:$AE$532,MATCH(1,INDEX((_ENGINE_Initiatives!$B$5:$B$532=$C743)*(_ENGINE_Initiatives!$C$5:$C$532=$D743),0),0)),"")</f>
        <v/>
      </c>
      <c r="AX743">
        <f>IF($B743="Yes",IFERROR(IF(SUMIFS(_REF_Model_Content!$E$1:$E$613,_REF_Model_Content!$A$1:$A$613,'Company Profile'!$B$9,_REF_Model_Content!$B$1:$B$613,$C743)=0,1,SUMIFS(_REF_Model_Content!$E$1:$E$613,_REF_Model_Content!$A$1:$A$613,'Company Profile'!$B$9,_REF_Model_Content!$B$1:$B$613,$C743)),1),"")</f>
        <v/>
      </c>
      <c r="AY743">
        <f>IF($L743="","",ROUND(IF($AP743="",$L743,$AP743)*IF($AX743="",1,$AX743),2))</f>
        <v/>
      </c>
      <c r="AZ743">
        <f>IF($S743="","",ROUND(IF($AQ743="",$S743,$AQ743)*IF($AX743="",1,$AX743),2))</f>
        <v/>
      </c>
      <c r="BB743">
        <f>IF($H743="","",IFERROR(INDEX('_ENGINE_Risk'!$AE$41:$AE$920,MATCH($E743,'_ENGINE_Risk'!$A$41:$A$920,0)),"Medium"))</f>
        <v/>
      </c>
      <c r="BC743">
        <f>IF($BB743="","",IF($BB743="Fast",1.25,IF($BB743="Slow",0.85,1)))</f>
        <v/>
      </c>
      <c r="BD743">
        <f>IF(OR($AZ743="",$BC743=""),"",ROUND($AZ743*$BC743,2))</f>
        <v/>
      </c>
      <c r="BF743">
        <f>IF(OR($H743="",$J743=""),"",_xlfn.IFNA(VLOOKUP($J743,_CONFIG_Model_Settings!$D$610:$E$614,2,0),""))</f>
        <v/>
      </c>
      <c r="BG743">
        <f>IF(OR($H743="",$K743=""),"",ROUND('Company Profile'!$B$569*INDEX(_CONFIG_Model_Settings!$H$610:$H$614,MATCH($K743,_CONFIG_Model_Settings!$G$610:$G$614,0)),0))</f>
        <v/>
      </c>
      <c r="BH743">
        <f>IF(OR($BF743="",$BG743=""),"",ROUND($BF743*$BG743,1))</f>
        <v/>
      </c>
      <c r="BI743">
        <f>IF($BH743="","",IF($AO743="",$BH743,ROUND($BH743*$AO743,1)))</f>
        <v/>
      </c>
      <c r="BJ743">
        <f>IF($E743="","",IFERROR(VLOOKUP($C743,'_CONFIG_Risk_Calibration'!$A$5:$H$21,2,FALSE),3))</f>
        <v/>
      </c>
      <c r="BK743">
        <f>IF($E743="","",IFERROR(VLOOKUP($C743,'_CONFIG_Risk_Calibration'!$A$5:$H$21,3,FALSE),0))</f>
        <v/>
      </c>
      <c r="BL743">
        <f>IF($E743="","",IFERROR(VLOOKUP($C743,'_CONFIG_Risk_Calibration'!$A$5:$H$21,4,FALSE),3))</f>
        <v/>
      </c>
      <c r="BM743">
        <f>IF($E743="","",IFERROR(VLOOKUP($C743,'_CONFIG_Risk_Calibration'!$A$5:$H$21,5,FALSE),3))</f>
        <v/>
      </c>
      <c r="BN743">
        <f>IF($E743="","",IFERROR(VLOOKUP($C743,'_CONFIG_Risk_Calibration'!$A$5:$H$21,6,FALSE),"No"))</f>
        <v/>
      </c>
      <c r="BO743">
        <f>IF($E743="","",IFERROR(VLOOKUP($C743,'_CONFIG_Risk_Calibration'!$A$5:$H$21,7,FALSE),1))</f>
        <v/>
      </c>
      <c r="BP743">
        <f>IF($H743="","",MAX(1,MIN(5,((6-$H743)*0.45)+($BJ743*0.20)+('Resilience &amp; Risk Scenario'!$B$7*0.15)+($BK743*0.10)+($BL743*0.05)+(IF($BB743="Fast",5,IF($BB743="Slow",1,3))*0.05))))</f>
        <v/>
      </c>
      <c r="BQ743">
        <f>IF($H743="","",MAX(IF($BN743="Yes",$BO743,1),MIN(5,($U743*0.20)+($V743*0.15)+($W743*0.25)+($X743*0.15)+($BJ743*0.10)+($BM743*0.15))))</f>
        <v/>
      </c>
      <c r="BR743">
        <f>IF(OR($BP743="",$BQ743=""),"",ROUND($BP743*$BQ743,2))</f>
        <v/>
      </c>
      <c r="BS743">
        <f>IF($BR743="","",ROUND($BR743*IF($AO743="",1,$AO743)*IF($AX743="",1,$AX743)*(1+(($BM743-3)*0.10))*IF($BC743="",1,$BC743),2))</f>
        <v/>
      </c>
    </row>
    <row r="744" ht="69.90000000000001" customHeight="1" s="209">
      <c r="A744">
        <f>IF($BD744="","",SUMPRODUCT(ISNUMBER($BD$500:$BD$923)*($BD$500:$BD$923&gt;$BD744))+COUNTIF($BD$500:$BD744,$BD744))</f>
        <v/>
      </c>
      <c r="B744">
        <f>IF($H744="","",IF($H744&lt;5,"Yes","Maintain"))</f>
        <v/>
      </c>
      <c r="C744" t="inlineStr">
        <is>
          <t>Manufacturing MES</t>
        </is>
      </c>
      <c r="D744" t="inlineStr">
        <is>
          <t>Quality and safety</t>
        </is>
      </c>
      <c r="E744" t="inlineStr">
        <is>
          <t>MANU-021</t>
        </is>
      </c>
      <c r="F744" t="inlineStr">
        <is>
          <t>Manufacturing, MES and production continuity</t>
        </is>
      </c>
      <c r="G744">
        <f>IF($H744="","",IFERROR(INDEX('_ENGINE_Risk'!$H$41:$M$920,MATCH($E744,'_ENGINE_Risk'!$A$41:$A$920,0),$H744+1),""))</f>
        <v/>
      </c>
      <c r="H744">
        <f>IFERROR(VALUE(INDEX(_DATA_Assessment_Model!$H$5:$H$884,MATCH($E744,_DATA_Assessment_Model!$A$5:$A$884,0))),"")</f>
        <v/>
      </c>
      <c r="I744">
        <f>IF($H744="","",IFERROR(INDEX(_DATA_Assessment_Model!$L$5:$L$884,MATCH($E744,_DATA_Assessment_Model!$A$5:$A$884,0)),IF($H744&lt;=1,"Critical",IF($H744=2,"High",IF($H744=3,"Medium",IF($H744=4,"Low","Resilient"))))))</f>
        <v/>
      </c>
      <c r="J744">
        <f>IF($H744="","",MIN(5,MAX(1,6-$H744)))</f>
        <v/>
      </c>
      <c r="K744">
        <f>IF($H744="","",MAX(1,MIN(5,ROUNDUP(($U744*0.45)+($W744*0.35)+($X744*0.2),0))))</f>
        <v/>
      </c>
      <c r="L744">
        <f>IF($H744="","",$J744*$K744)</f>
        <v/>
      </c>
      <c r="M744">
        <f>IF($H744="","",MAX(1,MIN(5,ROUNDUP($L744/5,0))))</f>
        <v/>
      </c>
      <c r="N744">
        <f>IF($H744="","",IFERROR(INDEX('_ENGINE_Risk'!$T$41:$Y$920,MATCH($E744,'_ENGINE_Risk'!$A$41:$A$920,0),$H744+1),""))</f>
        <v/>
      </c>
      <c r="O744">
        <f>IF($H744="","",MAX(1,MIN(5,($U744+$V744+$X744)/3)))</f>
        <v/>
      </c>
      <c r="P744">
        <f>IF($H744="","",IF($I744="Critical",5,IF($I744="High",4,IF($I744="Medium",3,IF($I744="Low",2,1)))))</f>
        <v/>
      </c>
      <c r="Q744">
        <f>IF($H744="","",MAX(1,MIN(5,((5-$H744)*0.65)+($W744*0.35))))</f>
        <v/>
      </c>
      <c r="R744">
        <f>IF($H744="","",MAX(1,MIN(5,($V744+$X744)/2)))</f>
        <v/>
      </c>
      <c r="S744">
        <f>IF(OR($H744="",$N744=""),"",ROUND(($O744+$P744+$Q744+$R744)/$N744,2))</f>
        <v/>
      </c>
      <c r="T744">
        <f>IF($H744="","",IFERROR(INDEX('_ENGINE_Risk'!$N$41:$S$920,MATCH($E744,'_ENGINE_Risk'!$A$41:$A$920,0),$H744+1),""))</f>
        <v/>
      </c>
      <c r="U744">
        <f>IFERROR(INDEX(_DATA_Assessment_Model!$G$5:$G$884,MATCH($E744,_DATA_Assessment_Model!$A$5:$A$884,0)),"")</f>
        <v/>
      </c>
      <c r="V744">
        <f>IFERROR(INDEX(_DATA_Assessment_Model!$W$5:$W$884,MATCH($E744,_DATA_Assessment_Model!$A$5:$A$884,0)),"")</f>
        <v/>
      </c>
      <c r="W744">
        <f>IFERROR(INDEX(_DATA_Assessment_Model!$X$5:$X$884,MATCH($E744,_DATA_Assessment_Model!$A$5:$A$884,0)),"")</f>
        <v/>
      </c>
      <c r="X744">
        <f>IFERROR(INDEX(_DATA_Assessment_Model!$Y$5:$Y$884,MATCH($E744,_DATA_Assessment_Model!$A$5:$A$884,0)),"")</f>
        <v/>
      </c>
      <c r="Y744" t="inlineStr">
        <is>
          <t>Manufacturing disruption; Safety incident; Energy outage; Cyberattack</t>
        </is>
      </c>
      <c r="Z744" t="inlineStr">
        <is>
          <t>COO / Plant / Manufacturing</t>
        </is>
      </c>
      <c r="AA744" t="inlineStr">
        <is>
          <t>Policy/SOP; owner/RACI; system report; dashboard; contracts; test records; incident history; interview evidence related to BOM, routing, recipe and engineering change control synchronized with ERP/MES.</t>
        </is>
      </c>
      <c r="AB744">
        <f>IFERROR(INDEX(_DATA_Assessment_Model!$U$5:$U$884,MATCH($E744,_DATA_Assessment_Model!$A$5:$A$884,0)),"")</f>
        <v/>
      </c>
      <c r="AF744" t="inlineStr">
        <is>
          <t>How mature is the organization in managing BOM, routing, recipe and engineering change control synchronized with ERP/MES, including ownership, evidence, metrics, fallback procedures and crisis stress testing?</t>
        </is>
      </c>
      <c r="AO744">
        <f>IF($B744="Yes",IFERROR(INDEX(_ENGINE_Crisis!$F$501:$F$517,MATCH($C744,_ENGINE_Crisis!$A$501:$A$517,0)),1),"")</f>
        <v/>
      </c>
      <c r="AP744">
        <f>IF(AO744="","",ROUND($L744*AO744,1))</f>
        <v/>
      </c>
      <c r="AQ744">
        <f>IF(OR(AO744="",$S744=""),"",ROUND($S744*(0.7+0.3*AO744),2))</f>
        <v/>
      </c>
      <c r="AR744">
        <f>IFERROR(INDEX(_ENGINE_Crisis!$E$41:$E$700,MATCH('Resilience &amp; Risk Scenario'!$B$60&amp;"|"&amp;$C744,_ENGINE_Crisis!$I$41:$I$700,0)),"")</f>
        <v/>
      </c>
      <c r="AS744">
        <f>IFERROR(INDEX(_ENGINE_Crisis!$G$41:$G$700,MATCH('Resilience &amp; Risk Scenario'!$B$60&amp;"|"&amp;$C744,_ENGINE_Crisis!$I$41:$I$700,0)),"")</f>
        <v/>
      </c>
      <c r="AT744">
        <f>IFERROR(INDEX(_ENGINE_Initiatives!$A$5:$A$532,MATCH(1,INDEX((_ENGINE_Initiatives!$B$5:$B$532=$C744)*(_ENGINE_Initiatives!$C$5:$C$532=$D744),0),0)),"")</f>
        <v/>
      </c>
      <c r="AU744">
        <f>IFERROR(INDEX(_ENGINE_Initiatives!$F$5:$F$532,MATCH(1,INDEX((_ENGINE_Initiatives!$B$5:$B$532=$C744)*(_ENGINE_Initiatives!$C$5:$C$532=$D744),0),0)),"")</f>
        <v/>
      </c>
      <c r="AV744">
        <f>IFERROR(INDEX(_ENGINE_Initiatives!$AC$5:$AC$532,MATCH(1,INDEX((_ENGINE_Initiatives!$B$5:$B$532=$C744)*(_ENGINE_Initiatives!$C$5:$C$532=$D744),0),0)),"")</f>
        <v/>
      </c>
      <c r="AW744">
        <f>IFERROR(INDEX(_ENGINE_Initiatives!$AE$5:$AE$532,MATCH(1,INDEX((_ENGINE_Initiatives!$B$5:$B$532=$C744)*(_ENGINE_Initiatives!$C$5:$C$532=$D744),0),0)),"")</f>
        <v/>
      </c>
      <c r="AX744">
        <f>IF($B744="Yes",IFERROR(IF(SUMIFS(_REF_Model_Content!$E$1:$E$613,_REF_Model_Content!$A$1:$A$613,'Company Profile'!$B$9,_REF_Model_Content!$B$1:$B$613,$C744)=0,1,SUMIFS(_REF_Model_Content!$E$1:$E$613,_REF_Model_Content!$A$1:$A$613,'Company Profile'!$B$9,_REF_Model_Content!$B$1:$B$613,$C744)),1),"")</f>
        <v/>
      </c>
      <c r="AY744">
        <f>IF($L744="","",ROUND(IF($AP744="",$L744,$AP744)*IF($AX744="",1,$AX744),2))</f>
        <v/>
      </c>
      <c r="AZ744">
        <f>IF($S744="","",ROUND(IF($AQ744="",$S744,$AQ744)*IF($AX744="",1,$AX744),2))</f>
        <v/>
      </c>
      <c r="BB744">
        <f>IF($H744="","",IFERROR(INDEX('_ENGINE_Risk'!$AE$41:$AE$920,MATCH($E744,'_ENGINE_Risk'!$A$41:$A$920,0)),"Medium"))</f>
        <v/>
      </c>
      <c r="BC744">
        <f>IF($BB744="","",IF($BB744="Fast",1.25,IF($BB744="Slow",0.85,1)))</f>
        <v/>
      </c>
      <c r="BD744">
        <f>IF(OR($AZ744="",$BC744=""),"",ROUND($AZ744*$BC744,2))</f>
        <v/>
      </c>
      <c r="BF744">
        <f>IF(OR($H744="",$J744=""),"",_xlfn.IFNA(VLOOKUP($J744,_CONFIG_Model_Settings!$D$610:$E$614,2,0),""))</f>
        <v/>
      </c>
      <c r="BG744">
        <f>IF(OR($H744="",$K744=""),"",ROUND('Company Profile'!$B$569*INDEX(_CONFIG_Model_Settings!$H$610:$H$614,MATCH($K744,_CONFIG_Model_Settings!$G$610:$G$614,0)),0))</f>
        <v/>
      </c>
      <c r="BH744">
        <f>IF(OR($BF744="",$BG744=""),"",ROUND($BF744*$BG744,1))</f>
        <v/>
      </c>
      <c r="BI744">
        <f>IF($BH744="","",IF($AO744="",$BH744,ROUND($BH744*$AO744,1)))</f>
        <v/>
      </c>
      <c r="BJ744">
        <f>IF($E744="","",IFERROR(VLOOKUP($C744,'_CONFIG_Risk_Calibration'!$A$5:$H$21,2,FALSE),3))</f>
        <v/>
      </c>
      <c r="BK744">
        <f>IF($E744="","",IFERROR(VLOOKUP($C744,'_CONFIG_Risk_Calibration'!$A$5:$H$21,3,FALSE),0))</f>
        <v/>
      </c>
      <c r="BL744">
        <f>IF($E744="","",IFERROR(VLOOKUP($C744,'_CONFIG_Risk_Calibration'!$A$5:$H$21,4,FALSE),3))</f>
        <v/>
      </c>
      <c r="BM744">
        <f>IF($E744="","",IFERROR(VLOOKUP($C744,'_CONFIG_Risk_Calibration'!$A$5:$H$21,5,FALSE),3))</f>
        <v/>
      </c>
      <c r="BN744">
        <f>IF($E744="","",IFERROR(VLOOKUP($C744,'_CONFIG_Risk_Calibration'!$A$5:$H$21,6,FALSE),"No"))</f>
        <v/>
      </c>
      <c r="BO744">
        <f>IF($E744="","",IFERROR(VLOOKUP($C744,'_CONFIG_Risk_Calibration'!$A$5:$H$21,7,FALSE),1))</f>
        <v/>
      </c>
      <c r="BP744">
        <f>IF($H744="","",MAX(1,MIN(5,((6-$H744)*0.45)+($BJ744*0.20)+('Resilience &amp; Risk Scenario'!$B$7*0.15)+($BK744*0.10)+($BL744*0.05)+(IF($BB744="Fast",5,IF($BB744="Slow",1,3))*0.05))))</f>
        <v/>
      </c>
      <c r="BQ744">
        <f>IF($H744="","",MAX(IF($BN744="Yes",$BO744,1),MIN(5,($U744*0.20)+($V744*0.15)+($W744*0.25)+($X744*0.15)+($BJ744*0.10)+($BM744*0.15))))</f>
        <v/>
      </c>
      <c r="BR744">
        <f>IF(OR($BP744="",$BQ744=""),"",ROUND($BP744*$BQ744,2))</f>
        <v/>
      </c>
      <c r="BS744">
        <f>IF($BR744="","",ROUND($BR744*IF($AO744="",1,$AO744)*IF($AX744="",1,$AX744)*(1+(($BM744-3)*0.10))*IF($BC744="",1,$BC744),2))</f>
        <v/>
      </c>
    </row>
    <row r="745" ht="69.90000000000001" customHeight="1" s="209">
      <c r="A745">
        <f>IF($BD745="","",SUMPRODUCT(ISNUMBER($BD$500:$BD$923)*($BD$500:$BD$923&gt;$BD745))+COUNTIF($BD$500:$BD745,$BD745))</f>
        <v/>
      </c>
      <c r="B745">
        <f>IF($H745="","",IF($H745&lt;5,"Yes","Maintain"))</f>
        <v/>
      </c>
      <c r="C745" t="inlineStr">
        <is>
          <t>Manufacturing MES</t>
        </is>
      </c>
      <c r="D745" t="inlineStr">
        <is>
          <t>Quality and safety</t>
        </is>
      </c>
      <c r="E745" t="inlineStr">
        <is>
          <t>MANU-022</t>
        </is>
      </c>
      <c r="F745" t="inlineStr">
        <is>
          <t>Manufacturing, MES and production continuity</t>
        </is>
      </c>
      <c r="G745">
        <f>IF($H745="","",IFERROR(INDEX('_ENGINE_Risk'!$H$41:$M$920,MATCH($E745,'_ENGINE_Risk'!$A$41:$A$920,0),$H745+1),""))</f>
        <v/>
      </c>
      <c r="H745">
        <f>IFERROR(VALUE(INDEX(_DATA_Assessment_Model!$H$5:$H$884,MATCH($E745,_DATA_Assessment_Model!$A$5:$A$884,0))),"")</f>
        <v/>
      </c>
      <c r="I745">
        <f>IF($H745="","",IFERROR(INDEX(_DATA_Assessment_Model!$L$5:$L$884,MATCH($E745,_DATA_Assessment_Model!$A$5:$A$884,0)),IF($H745&lt;=1,"Critical",IF($H745=2,"High",IF($H745=3,"Medium",IF($H745=4,"Low","Resilient"))))))</f>
        <v/>
      </c>
      <c r="J745">
        <f>IF($H745="","",MIN(5,MAX(1,6-$H745)))</f>
        <v/>
      </c>
      <c r="K745">
        <f>IF($H745="","",MAX(1,MIN(5,ROUNDUP(($U745*0.45)+($W745*0.35)+($X745*0.2),0))))</f>
        <v/>
      </c>
      <c r="L745">
        <f>IF($H745="","",$J745*$K745)</f>
        <v/>
      </c>
      <c r="M745">
        <f>IF($H745="","",MAX(1,MIN(5,ROUNDUP($L745/5,0))))</f>
        <v/>
      </c>
      <c r="N745">
        <f>IF($H745="","",IFERROR(INDEX('_ENGINE_Risk'!$T$41:$Y$920,MATCH($E745,'_ENGINE_Risk'!$A$41:$A$920,0),$H745+1),""))</f>
        <v/>
      </c>
      <c r="O745">
        <f>IF($H745="","",MAX(1,MIN(5,($U745+$V745+$X745)/3)))</f>
        <v/>
      </c>
      <c r="P745">
        <f>IF($H745="","",IF($I745="Critical",5,IF($I745="High",4,IF($I745="Medium",3,IF($I745="Low",2,1)))))</f>
        <v/>
      </c>
      <c r="Q745">
        <f>IF($H745="","",MAX(1,MIN(5,((5-$H745)*0.65)+($W745*0.35))))</f>
        <v/>
      </c>
      <c r="R745">
        <f>IF($H745="","",MAX(1,MIN(5,($V745+$X745)/2)))</f>
        <v/>
      </c>
      <c r="S745">
        <f>IF(OR($H745="",$N745=""),"",ROUND(($O745+$P745+$Q745+$R745)/$N745,2))</f>
        <v/>
      </c>
      <c r="T745">
        <f>IF($H745="","",IFERROR(INDEX('_ENGINE_Risk'!$N$41:$S$920,MATCH($E745,'_ENGINE_Risk'!$A$41:$A$920,0),$H745+1),""))</f>
        <v/>
      </c>
      <c r="U745">
        <f>IFERROR(INDEX(_DATA_Assessment_Model!$G$5:$G$884,MATCH($E745,_DATA_Assessment_Model!$A$5:$A$884,0)),"")</f>
        <v/>
      </c>
      <c r="V745">
        <f>IFERROR(INDEX(_DATA_Assessment_Model!$W$5:$W$884,MATCH($E745,_DATA_Assessment_Model!$A$5:$A$884,0)),"")</f>
        <v/>
      </c>
      <c r="W745">
        <f>IFERROR(INDEX(_DATA_Assessment_Model!$X$5:$X$884,MATCH($E745,_DATA_Assessment_Model!$A$5:$A$884,0)),"")</f>
        <v/>
      </c>
      <c r="X745">
        <f>IFERROR(INDEX(_DATA_Assessment_Model!$Y$5:$Y$884,MATCH($E745,_DATA_Assessment_Model!$A$5:$A$884,0)),"")</f>
        <v/>
      </c>
      <c r="Y745" t="inlineStr">
        <is>
          <t>Manufacturing disruption; Safety incident; Energy outage; Cyberattack</t>
        </is>
      </c>
      <c r="Z745" t="inlineStr">
        <is>
          <t>COO / Plant / Manufacturing</t>
        </is>
      </c>
      <c r="AA745" t="inlineStr">
        <is>
          <t>Policy/SOP; owner/RACI; system report; dashboard; contracts; test records; incident history; interview evidence related to operator training and certification for equipment, safety, quality and emergency procedures.</t>
        </is>
      </c>
      <c r="AB745">
        <f>IFERROR(INDEX(_DATA_Assessment_Model!$U$5:$U$884,MATCH($E745,_DATA_Assessment_Model!$A$5:$A$884,0)),"")</f>
        <v/>
      </c>
      <c r="AF745" t="inlineStr">
        <is>
          <t>How mature is the organization in managing operator training and certification for equipment, safety, quality and emergency procedures, including ownership, evidence, metrics, fallback procedures and crisis stress testing?</t>
        </is>
      </c>
      <c r="AO745">
        <f>IF($B745="Yes",IFERROR(INDEX(_ENGINE_Crisis!$F$501:$F$517,MATCH($C745,_ENGINE_Crisis!$A$501:$A$517,0)),1),"")</f>
        <v/>
      </c>
      <c r="AP745">
        <f>IF(AO745="","",ROUND($L745*AO745,1))</f>
        <v/>
      </c>
      <c r="AQ745">
        <f>IF(OR(AO745="",$S745=""),"",ROUND($S745*(0.7+0.3*AO745),2))</f>
        <v/>
      </c>
      <c r="AR745">
        <f>IFERROR(INDEX(_ENGINE_Crisis!$E$41:$E$700,MATCH('Resilience &amp; Risk Scenario'!$B$60&amp;"|"&amp;$C745,_ENGINE_Crisis!$I$41:$I$700,0)),"")</f>
        <v/>
      </c>
      <c r="AS745">
        <f>IFERROR(INDEX(_ENGINE_Crisis!$G$41:$G$700,MATCH('Resilience &amp; Risk Scenario'!$B$60&amp;"|"&amp;$C745,_ENGINE_Crisis!$I$41:$I$700,0)),"")</f>
        <v/>
      </c>
      <c r="AT745">
        <f>IFERROR(INDEX(_ENGINE_Initiatives!$A$5:$A$532,MATCH(1,INDEX((_ENGINE_Initiatives!$B$5:$B$532=$C745)*(_ENGINE_Initiatives!$C$5:$C$532=$D745),0),0)),"")</f>
        <v/>
      </c>
      <c r="AU745">
        <f>IFERROR(INDEX(_ENGINE_Initiatives!$F$5:$F$532,MATCH(1,INDEX((_ENGINE_Initiatives!$B$5:$B$532=$C745)*(_ENGINE_Initiatives!$C$5:$C$532=$D745),0),0)),"")</f>
        <v/>
      </c>
      <c r="AV745">
        <f>IFERROR(INDEX(_ENGINE_Initiatives!$AC$5:$AC$532,MATCH(1,INDEX((_ENGINE_Initiatives!$B$5:$B$532=$C745)*(_ENGINE_Initiatives!$C$5:$C$532=$D745),0),0)),"")</f>
        <v/>
      </c>
      <c r="AW745">
        <f>IFERROR(INDEX(_ENGINE_Initiatives!$AE$5:$AE$532,MATCH(1,INDEX((_ENGINE_Initiatives!$B$5:$B$532=$C745)*(_ENGINE_Initiatives!$C$5:$C$532=$D745),0),0)),"")</f>
        <v/>
      </c>
      <c r="AX745">
        <f>IF($B745="Yes",IFERROR(IF(SUMIFS(_REF_Model_Content!$E$1:$E$613,_REF_Model_Content!$A$1:$A$613,'Company Profile'!$B$9,_REF_Model_Content!$B$1:$B$613,$C745)=0,1,SUMIFS(_REF_Model_Content!$E$1:$E$613,_REF_Model_Content!$A$1:$A$613,'Company Profile'!$B$9,_REF_Model_Content!$B$1:$B$613,$C745)),1),"")</f>
        <v/>
      </c>
      <c r="AY745">
        <f>IF($L745="","",ROUND(IF($AP745="",$L745,$AP745)*IF($AX745="",1,$AX745),2))</f>
        <v/>
      </c>
      <c r="AZ745">
        <f>IF($S745="","",ROUND(IF($AQ745="",$S745,$AQ745)*IF($AX745="",1,$AX745),2))</f>
        <v/>
      </c>
      <c r="BB745">
        <f>IF($H745="","",IFERROR(INDEX('_ENGINE_Risk'!$AE$41:$AE$920,MATCH($E745,'_ENGINE_Risk'!$A$41:$A$920,0)),"Medium"))</f>
        <v/>
      </c>
      <c r="BC745">
        <f>IF($BB745="","",IF($BB745="Fast",1.25,IF($BB745="Slow",0.85,1)))</f>
        <v/>
      </c>
      <c r="BD745">
        <f>IF(OR($AZ745="",$BC745=""),"",ROUND($AZ745*$BC745,2))</f>
        <v/>
      </c>
      <c r="BF745">
        <f>IF(OR($H745="",$J745=""),"",_xlfn.IFNA(VLOOKUP($J745,_CONFIG_Model_Settings!$D$610:$E$614,2,0),""))</f>
        <v/>
      </c>
      <c r="BG745">
        <f>IF(OR($H745="",$K745=""),"",ROUND('Company Profile'!$B$569*INDEX(_CONFIG_Model_Settings!$H$610:$H$614,MATCH($K745,_CONFIG_Model_Settings!$G$610:$G$614,0)),0))</f>
        <v/>
      </c>
      <c r="BH745">
        <f>IF(OR($BF745="",$BG745=""),"",ROUND($BF745*$BG745,1))</f>
        <v/>
      </c>
      <c r="BI745">
        <f>IF($BH745="","",IF($AO745="",$BH745,ROUND($BH745*$AO745,1)))</f>
        <v/>
      </c>
      <c r="BJ745">
        <f>IF($E745="","",IFERROR(VLOOKUP($C745,'_CONFIG_Risk_Calibration'!$A$5:$H$21,2,FALSE),3))</f>
        <v/>
      </c>
      <c r="BK745">
        <f>IF($E745="","",IFERROR(VLOOKUP($C745,'_CONFIG_Risk_Calibration'!$A$5:$H$21,3,FALSE),0))</f>
        <v/>
      </c>
      <c r="BL745">
        <f>IF($E745="","",IFERROR(VLOOKUP($C745,'_CONFIG_Risk_Calibration'!$A$5:$H$21,4,FALSE),3))</f>
        <v/>
      </c>
      <c r="BM745">
        <f>IF($E745="","",IFERROR(VLOOKUP($C745,'_CONFIG_Risk_Calibration'!$A$5:$H$21,5,FALSE),3))</f>
        <v/>
      </c>
      <c r="BN745">
        <f>IF($E745="","",IFERROR(VLOOKUP($C745,'_CONFIG_Risk_Calibration'!$A$5:$H$21,6,FALSE),"No"))</f>
        <v/>
      </c>
      <c r="BO745">
        <f>IF($E745="","",IFERROR(VLOOKUP($C745,'_CONFIG_Risk_Calibration'!$A$5:$H$21,7,FALSE),1))</f>
        <v/>
      </c>
      <c r="BP745">
        <f>IF($H745="","",MAX(1,MIN(5,((6-$H745)*0.45)+($BJ745*0.20)+('Resilience &amp; Risk Scenario'!$B$7*0.15)+($BK745*0.10)+($BL745*0.05)+(IF($BB745="Fast",5,IF($BB745="Slow",1,3))*0.05))))</f>
        <v/>
      </c>
      <c r="BQ745">
        <f>IF($H745="","",MAX(IF($BN745="Yes",$BO745,1),MIN(5,($U745*0.20)+($V745*0.15)+($W745*0.25)+($X745*0.15)+($BJ745*0.10)+($BM745*0.15))))</f>
        <v/>
      </c>
      <c r="BR745">
        <f>IF(OR($BP745="",$BQ745=""),"",ROUND($BP745*$BQ745,2))</f>
        <v/>
      </c>
      <c r="BS745">
        <f>IF($BR745="","",ROUND($BR745*IF($AO745="",1,$AO745)*IF($AX745="",1,$AX745)*(1+(($BM745-3)*0.10))*IF($BC745="",1,$BC745),2))</f>
        <v/>
      </c>
    </row>
    <row r="746" ht="69.90000000000001" customHeight="1" s="209">
      <c r="A746">
        <f>IF($BD746="","",SUMPRODUCT(ISNUMBER($BD$500:$BD$923)*($BD$500:$BD$923&gt;$BD746))+COUNTIF($BD$500:$BD746,$BD746))</f>
        <v/>
      </c>
      <c r="B746">
        <f>IF($H746="","",IF($H746&lt;5,"Yes","Maintain"))</f>
        <v/>
      </c>
      <c r="C746" t="inlineStr">
        <is>
          <t>Manufacturing MES</t>
        </is>
      </c>
      <c r="D746" t="inlineStr">
        <is>
          <t>Quality and safety</t>
        </is>
      </c>
      <c r="E746" t="inlineStr">
        <is>
          <t>MANU-023</t>
        </is>
      </c>
      <c r="F746" t="inlineStr">
        <is>
          <t>Manufacturing, MES and production continuity</t>
        </is>
      </c>
      <c r="G746">
        <f>IF($H746="","",IFERROR(INDEX('_ENGINE_Risk'!$H$41:$M$920,MATCH($E746,'_ENGINE_Risk'!$A$41:$A$920,0),$H746+1),""))</f>
        <v/>
      </c>
      <c r="H746">
        <f>IFERROR(VALUE(INDEX(_DATA_Assessment_Model!$H$5:$H$884,MATCH($E746,_DATA_Assessment_Model!$A$5:$A$884,0))),"")</f>
        <v/>
      </c>
      <c r="I746">
        <f>IF($H746="","",IFERROR(INDEX(_DATA_Assessment_Model!$L$5:$L$884,MATCH($E746,_DATA_Assessment_Model!$A$5:$A$884,0)),IF($H746&lt;=1,"Critical",IF($H746=2,"High",IF($H746=3,"Medium",IF($H746=4,"Low","Resilient"))))))</f>
        <v/>
      </c>
      <c r="J746">
        <f>IF($H746="","",MIN(5,MAX(1,6-$H746)))</f>
        <v/>
      </c>
      <c r="K746">
        <f>IF($H746="","",MAX(1,MIN(5,ROUNDUP(($U746*0.45)+($W746*0.35)+($X746*0.2),0))))</f>
        <v/>
      </c>
      <c r="L746">
        <f>IF($H746="","",$J746*$K746)</f>
        <v/>
      </c>
      <c r="M746">
        <f>IF($H746="","",MAX(1,MIN(5,ROUNDUP($L746/5,0))))</f>
        <v/>
      </c>
      <c r="N746">
        <f>IF($H746="","",IFERROR(INDEX('_ENGINE_Risk'!$T$41:$Y$920,MATCH($E746,'_ENGINE_Risk'!$A$41:$A$920,0),$H746+1),""))</f>
        <v/>
      </c>
      <c r="O746">
        <f>IF($H746="","",MAX(1,MIN(5,($U746+$V746+$X746)/3)))</f>
        <v/>
      </c>
      <c r="P746">
        <f>IF($H746="","",IF($I746="Critical",5,IF($I746="High",4,IF($I746="Medium",3,IF($I746="Low",2,1)))))</f>
        <v/>
      </c>
      <c r="Q746">
        <f>IF($H746="","",MAX(1,MIN(5,((5-$H746)*0.65)+($W746*0.35))))</f>
        <v/>
      </c>
      <c r="R746">
        <f>IF($H746="","",MAX(1,MIN(5,($V746+$X746)/2)))</f>
        <v/>
      </c>
      <c r="S746">
        <f>IF(OR($H746="",$N746=""),"",ROUND(($O746+$P746+$Q746+$R746)/$N746,2))</f>
        <v/>
      </c>
      <c r="T746">
        <f>IF($H746="","",IFERROR(INDEX('_ENGINE_Risk'!$N$41:$S$920,MATCH($E746,'_ENGINE_Risk'!$A$41:$A$920,0),$H746+1),""))</f>
        <v/>
      </c>
      <c r="U746">
        <f>IFERROR(INDEX(_DATA_Assessment_Model!$G$5:$G$884,MATCH($E746,_DATA_Assessment_Model!$A$5:$A$884,0)),"")</f>
        <v/>
      </c>
      <c r="V746">
        <f>IFERROR(INDEX(_DATA_Assessment_Model!$W$5:$W$884,MATCH($E746,_DATA_Assessment_Model!$A$5:$A$884,0)),"")</f>
        <v/>
      </c>
      <c r="W746">
        <f>IFERROR(INDEX(_DATA_Assessment_Model!$X$5:$X$884,MATCH($E746,_DATA_Assessment_Model!$A$5:$A$884,0)),"")</f>
        <v/>
      </c>
      <c r="X746">
        <f>IFERROR(INDEX(_DATA_Assessment_Model!$Y$5:$Y$884,MATCH($E746,_DATA_Assessment_Model!$A$5:$A$884,0)),"")</f>
        <v/>
      </c>
      <c r="Y746" t="inlineStr">
        <is>
          <t>Manufacturing disruption; Safety incident; Energy outage; Cyberattack</t>
        </is>
      </c>
      <c r="Z746" t="inlineStr">
        <is>
          <t>COO / Plant / Manufacturing</t>
        </is>
      </c>
      <c r="AA746" t="inlineStr">
        <is>
          <t>Policy/SOP; owner/RACI; system report; dashboard; contracts; test records; incident history; interview evidence related to machine safety controls, guarding, emergency stops and lockout/tagout.</t>
        </is>
      </c>
      <c r="AB746">
        <f>IFERROR(INDEX(_DATA_Assessment_Model!$U$5:$U$884,MATCH($E746,_DATA_Assessment_Model!$A$5:$A$884,0)),"")</f>
        <v/>
      </c>
      <c r="AF746" t="inlineStr">
        <is>
          <t>How mature is the organization in managing machine safety controls, guarding, emergency stops and lockout/tagout, including ownership, evidence, metrics, fallback procedures and crisis stress testing?</t>
        </is>
      </c>
      <c r="AO746">
        <f>IF($B746="Yes",IFERROR(INDEX(_ENGINE_Crisis!$F$501:$F$517,MATCH($C746,_ENGINE_Crisis!$A$501:$A$517,0)),1),"")</f>
        <v/>
      </c>
      <c r="AP746">
        <f>IF(AO746="","",ROUND($L746*AO746,1))</f>
        <v/>
      </c>
      <c r="AQ746">
        <f>IF(OR(AO746="",$S746=""),"",ROUND($S746*(0.7+0.3*AO746),2))</f>
        <v/>
      </c>
      <c r="AR746">
        <f>IFERROR(INDEX(_ENGINE_Crisis!$E$41:$E$700,MATCH('Resilience &amp; Risk Scenario'!$B$60&amp;"|"&amp;$C746,_ENGINE_Crisis!$I$41:$I$700,0)),"")</f>
        <v/>
      </c>
      <c r="AS746">
        <f>IFERROR(INDEX(_ENGINE_Crisis!$G$41:$G$700,MATCH('Resilience &amp; Risk Scenario'!$B$60&amp;"|"&amp;$C746,_ENGINE_Crisis!$I$41:$I$700,0)),"")</f>
        <v/>
      </c>
      <c r="AT746">
        <f>IFERROR(INDEX(_ENGINE_Initiatives!$A$5:$A$532,MATCH(1,INDEX((_ENGINE_Initiatives!$B$5:$B$532=$C746)*(_ENGINE_Initiatives!$C$5:$C$532=$D746),0),0)),"")</f>
        <v/>
      </c>
      <c r="AU746">
        <f>IFERROR(INDEX(_ENGINE_Initiatives!$F$5:$F$532,MATCH(1,INDEX((_ENGINE_Initiatives!$B$5:$B$532=$C746)*(_ENGINE_Initiatives!$C$5:$C$532=$D746),0),0)),"")</f>
        <v/>
      </c>
      <c r="AV746">
        <f>IFERROR(INDEX(_ENGINE_Initiatives!$AC$5:$AC$532,MATCH(1,INDEX((_ENGINE_Initiatives!$B$5:$B$532=$C746)*(_ENGINE_Initiatives!$C$5:$C$532=$D746),0),0)),"")</f>
        <v/>
      </c>
      <c r="AW746">
        <f>IFERROR(INDEX(_ENGINE_Initiatives!$AE$5:$AE$532,MATCH(1,INDEX((_ENGINE_Initiatives!$B$5:$B$532=$C746)*(_ENGINE_Initiatives!$C$5:$C$532=$D746),0),0)),"")</f>
        <v/>
      </c>
      <c r="AX746">
        <f>IF($B746="Yes",IFERROR(IF(SUMIFS(_REF_Model_Content!$E$1:$E$613,_REF_Model_Content!$A$1:$A$613,'Company Profile'!$B$9,_REF_Model_Content!$B$1:$B$613,$C746)=0,1,SUMIFS(_REF_Model_Content!$E$1:$E$613,_REF_Model_Content!$A$1:$A$613,'Company Profile'!$B$9,_REF_Model_Content!$B$1:$B$613,$C746)),1),"")</f>
        <v/>
      </c>
      <c r="AY746">
        <f>IF($L746="","",ROUND(IF($AP746="",$L746,$AP746)*IF($AX746="",1,$AX746),2))</f>
        <v/>
      </c>
      <c r="AZ746">
        <f>IF($S746="","",ROUND(IF($AQ746="",$S746,$AQ746)*IF($AX746="",1,$AX746),2))</f>
        <v/>
      </c>
      <c r="BB746">
        <f>IF($H746="","",IFERROR(INDEX('_ENGINE_Risk'!$AE$41:$AE$920,MATCH($E746,'_ENGINE_Risk'!$A$41:$A$920,0)),"Medium"))</f>
        <v/>
      </c>
      <c r="BC746">
        <f>IF($BB746="","",IF($BB746="Fast",1.25,IF($BB746="Slow",0.85,1)))</f>
        <v/>
      </c>
      <c r="BD746">
        <f>IF(OR($AZ746="",$BC746=""),"",ROUND($AZ746*$BC746,2))</f>
        <v/>
      </c>
      <c r="BF746">
        <f>IF(OR($H746="",$J746=""),"",_xlfn.IFNA(VLOOKUP($J746,_CONFIG_Model_Settings!$D$610:$E$614,2,0),""))</f>
        <v/>
      </c>
      <c r="BG746">
        <f>IF(OR($H746="",$K746=""),"",ROUND('Company Profile'!$B$569*INDEX(_CONFIG_Model_Settings!$H$610:$H$614,MATCH($K746,_CONFIG_Model_Settings!$G$610:$G$614,0)),0))</f>
        <v/>
      </c>
      <c r="BH746">
        <f>IF(OR($BF746="",$BG746=""),"",ROUND($BF746*$BG746,1))</f>
        <v/>
      </c>
      <c r="BI746">
        <f>IF($BH746="","",IF($AO746="",$BH746,ROUND($BH746*$AO746,1)))</f>
        <v/>
      </c>
      <c r="BJ746">
        <f>IF($E746="","",IFERROR(VLOOKUP($C746,'_CONFIG_Risk_Calibration'!$A$5:$H$21,2,FALSE),3))</f>
        <v/>
      </c>
      <c r="BK746">
        <f>IF($E746="","",IFERROR(VLOOKUP($C746,'_CONFIG_Risk_Calibration'!$A$5:$H$21,3,FALSE),0))</f>
        <v/>
      </c>
      <c r="BL746">
        <f>IF($E746="","",IFERROR(VLOOKUP($C746,'_CONFIG_Risk_Calibration'!$A$5:$H$21,4,FALSE),3))</f>
        <v/>
      </c>
      <c r="BM746">
        <f>IF($E746="","",IFERROR(VLOOKUP($C746,'_CONFIG_Risk_Calibration'!$A$5:$H$21,5,FALSE),3))</f>
        <v/>
      </c>
      <c r="BN746">
        <f>IF($E746="","",IFERROR(VLOOKUP($C746,'_CONFIG_Risk_Calibration'!$A$5:$H$21,6,FALSE),"No"))</f>
        <v/>
      </c>
      <c r="BO746">
        <f>IF($E746="","",IFERROR(VLOOKUP($C746,'_CONFIG_Risk_Calibration'!$A$5:$H$21,7,FALSE),1))</f>
        <v/>
      </c>
      <c r="BP746">
        <f>IF($H746="","",MAX(1,MIN(5,((6-$H746)*0.45)+($BJ746*0.20)+('Resilience &amp; Risk Scenario'!$B$7*0.15)+($BK746*0.10)+($BL746*0.05)+(IF($BB746="Fast",5,IF($BB746="Slow",1,3))*0.05))))</f>
        <v/>
      </c>
      <c r="BQ746">
        <f>IF($H746="","",MAX(IF($BN746="Yes",$BO746,1),MIN(5,($U746*0.20)+($V746*0.15)+($W746*0.25)+($X746*0.15)+($BJ746*0.10)+($BM746*0.15))))</f>
        <v/>
      </c>
      <c r="BR746">
        <f>IF(OR($BP746="",$BQ746=""),"",ROUND($BP746*$BQ746,2))</f>
        <v/>
      </c>
      <c r="BS746">
        <f>IF($BR746="","",ROUND($BR746*IF($AO746="",1,$AO746)*IF($AX746="",1,$AX746)*(1+(($BM746-3)*0.10))*IF($BC746="",1,$BC746),2))</f>
        <v/>
      </c>
    </row>
    <row r="747" ht="69.90000000000001" customHeight="1" s="209">
      <c r="A747">
        <f>IF($BD747="","",SUMPRODUCT(ISNUMBER($BD$500:$BD$923)*($BD$500:$BD$923&gt;$BD747))+COUNTIF($BD$500:$BD747,$BD747))</f>
        <v/>
      </c>
      <c r="B747">
        <f>IF($H747="","",IF($H747&lt;5,"Yes","Maintain"))</f>
        <v/>
      </c>
      <c r="C747" t="inlineStr">
        <is>
          <t>Manufacturing MES</t>
        </is>
      </c>
      <c r="D747" t="inlineStr">
        <is>
          <t>Quality and safety</t>
        </is>
      </c>
      <c r="E747" t="inlineStr">
        <is>
          <t>MANU-024</t>
        </is>
      </c>
      <c r="F747" t="inlineStr">
        <is>
          <t>Manufacturing, MES and production continuity</t>
        </is>
      </c>
      <c r="G747">
        <f>IF($H747="","",IFERROR(INDEX('_ENGINE_Risk'!$H$41:$M$920,MATCH($E747,'_ENGINE_Risk'!$A$41:$A$920,0),$H747+1),""))</f>
        <v/>
      </c>
      <c r="H747">
        <f>IFERROR(VALUE(INDEX(_DATA_Assessment_Model!$H$5:$H$884,MATCH($E747,_DATA_Assessment_Model!$A$5:$A$884,0))),"")</f>
        <v/>
      </c>
      <c r="I747">
        <f>IF($H747="","",IFERROR(INDEX(_DATA_Assessment_Model!$L$5:$L$884,MATCH($E747,_DATA_Assessment_Model!$A$5:$A$884,0)),IF($H747&lt;=1,"Critical",IF($H747=2,"High",IF($H747=3,"Medium",IF($H747=4,"Low","Resilient"))))))</f>
        <v/>
      </c>
      <c r="J747">
        <f>IF($H747="","",MIN(5,MAX(1,6-$H747)))</f>
        <v/>
      </c>
      <c r="K747">
        <f>IF($H747="","",MAX(1,MIN(5,ROUNDUP(($U747*0.45)+($W747*0.35)+($X747*0.2),0))))</f>
        <v/>
      </c>
      <c r="L747">
        <f>IF($H747="","",$J747*$K747)</f>
        <v/>
      </c>
      <c r="M747">
        <f>IF($H747="","",MAX(1,MIN(5,ROUNDUP($L747/5,0))))</f>
        <v/>
      </c>
      <c r="N747">
        <f>IF($H747="","",IFERROR(INDEX('_ENGINE_Risk'!$T$41:$Y$920,MATCH($E747,'_ENGINE_Risk'!$A$41:$A$920,0),$H747+1),""))</f>
        <v/>
      </c>
      <c r="O747">
        <f>IF($H747="","",MAX(1,MIN(5,($U747+$V747+$X747)/3)))</f>
        <v/>
      </c>
      <c r="P747">
        <f>IF($H747="","",IF($I747="Critical",5,IF($I747="High",4,IF($I747="Medium",3,IF($I747="Low",2,1)))))</f>
        <v/>
      </c>
      <c r="Q747">
        <f>IF($H747="","",MAX(1,MIN(5,((5-$H747)*0.65)+($W747*0.35))))</f>
        <v/>
      </c>
      <c r="R747">
        <f>IF($H747="","",MAX(1,MIN(5,($V747+$X747)/2)))</f>
        <v/>
      </c>
      <c r="S747">
        <f>IF(OR($H747="",$N747=""),"",ROUND(($O747+$P747+$Q747+$R747)/$N747,2))</f>
        <v/>
      </c>
      <c r="T747">
        <f>IF($H747="","",IFERROR(INDEX('_ENGINE_Risk'!$N$41:$S$920,MATCH($E747,'_ENGINE_Risk'!$A$41:$A$920,0),$H747+1),""))</f>
        <v/>
      </c>
      <c r="U747">
        <f>IFERROR(INDEX(_DATA_Assessment_Model!$G$5:$G$884,MATCH($E747,_DATA_Assessment_Model!$A$5:$A$884,0)),"")</f>
        <v/>
      </c>
      <c r="V747">
        <f>IFERROR(INDEX(_DATA_Assessment_Model!$W$5:$W$884,MATCH($E747,_DATA_Assessment_Model!$A$5:$A$884,0)),"")</f>
        <v/>
      </c>
      <c r="W747">
        <f>IFERROR(INDEX(_DATA_Assessment_Model!$X$5:$X$884,MATCH($E747,_DATA_Assessment_Model!$A$5:$A$884,0)),"")</f>
        <v/>
      </c>
      <c r="X747">
        <f>IFERROR(INDEX(_DATA_Assessment_Model!$Y$5:$Y$884,MATCH($E747,_DATA_Assessment_Model!$A$5:$A$884,0)),"")</f>
        <v/>
      </c>
      <c r="Y747" t="inlineStr">
        <is>
          <t>Manufacturing disruption; Safety incident; Energy outage; Cyberattack</t>
        </is>
      </c>
      <c r="Z747" t="inlineStr">
        <is>
          <t>COO / Plant / Manufacturing</t>
        </is>
      </c>
      <c r="AA747" t="inlineStr">
        <is>
          <t>Policy/SOP; owner/RACI; system report; dashboard; contracts; test records; incident history; interview evidence related to rework, scrap, yield loss and defect cost analysis.</t>
        </is>
      </c>
      <c r="AB747">
        <f>IFERROR(INDEX(_DATA_Assessment_Model!$U$5:$U$884,MATCH($E747,_DATA_Assessment_Model!$A$5:$A$884,0)),"")</f>
        <v/>
      </c>
      <c r="AF747" t="inlineStr">
        <is>
          <t>How mature is the organization in managing rework, scrap, yield loss and defect cost analysis, including ownership, evidence, metrics, fallback procedures and crisis stress testing?</t>
        </is>
      </c>
      <c r="AO747">
        <f>IF($B747="Yes",IFERROR(INDEX(_ENGINE_Crisis!$F$501:$F$517,MATCH($C747,_ENGINE_Crisis!$A$501:$A$517,0)),1),"")</f>
        <v/>
      </c>
      <c r="AP747">
        <f>IF(AO747="","",ROUND($L747*AO747,1))</f>
        <v/>
      </c>
      <c r="AQ747">
        <f>IF(OR(AO747="",$S747=""),"",ROUND($S747*(0.7+0.3*AO747),2))</f>
        <v/>
      </c>
      <c r="AR747">
        <f>IFERROR(INDEX(_ENGINE_Crisis!$E$41:$E$700,MATCH('Resilience &amp; Risk Scenario'!$B$60&amp;"|"&amp;$C747,_ENGINE_Crisis!$I$41:$I$700,0)),"")</f>
        <v/>
      </c>
      <c r="AS747">
        <f>IFERROR(INDEX(_ENGINE_Crisis!$G$41:$G$700,MATCH('Resilience &amp; Risk Scenario'!$B$60&amp;"|"&amp;$C747,_ENGINE_Crisis!$I$41:$I$700,0)),"")</f>
        <v/>
      </c>
      <c r="AT747">
        <f>IFERROR(INDEX(_ENGINE_Initiatives!$A$5:$A$532,MATCH(1,INDEX((_ENGINE_Initiatives!$B$5:$B$532=$C747)*(_ENGINE_Initiatives!$C$5:$C$532=$D747),0),0)),"")</f>
        <v/>
      </c>
      <c r="AU747">
        <f>IFERROR(INDEX(_ENGINE_Initiatives!$F$5:$F$532,MATCH(1,INDEX((_ENGINE_Initiatives!$B$5:$B$532=$C747)*(_ENGINE_Initiatives!$C$5:$C$532=$D747),0),0)),"")</f>
        <v/>
      </c>
      <c r="AV747">
        <f>IFERROR(INDEX(_ENGINE_Initiatives!$AC$5:$AC$532,MATCH(1,INDEX((_ENGINE_Initiatives!$B$5:$B$532=$C747)*(_ENGINE_Initiatives!$C$5:$C$532=$D747),0),0)),"")</f>
        <v/>
      </c>
      <c r="AW747">
        <f>IFERROR(INDEX(_ENGINE_Initiatives!$AE$5:$AE$532,MATCH(1,INDEX((_ENGINE_Initiatives!$B$5:$B$532=$C747)*(_ENGINE_Initiatives!$C$5:$C$532=$D747),0),0)),"")</f>
        <v/>
      </c>
      <c r="AX747">
        <f>IF($B747="Yes",IFERROR(IF(SUMIFS(_REF_Model_Content!$E$1:$E$613,_REF_Model_Content!$A$1:$A$613,'Company Profile'!$B$9,_REF_Model_Content!$B$1:$B$613,$C747)=0,1,SUMIFS(_REF_Model_Content!$E$1:$E$613,_REF_Model_Content!$A$1:$A$613,'Company Profile'!$B$9,_REF_Model_Content!$B$1:$B$613,$C747)),1),"")</f>
        <v/>
      </c>
      <c r="AY747">
        <f>IF($L747="","",ROUND(IF($AP747="",$L747,$AP747)*IF($AX747="",1,$AX747),2))</f>
        <v/>
      </c>
      <c r="AZ747">
        <f>IF($S747="","",ROUND(IF($AQ747="",$S747,$AQ747)*IF($AX747="",1,$AX747),2))</f>
        <v/>
      </c>
      <c r="BB747">
        <f>IF($H747="","",IFERROR(INDEX('_ENGINE_Risk'!$AE$41:$AE$920,MATCH($E747,'_ENGINE_Risk'!$A$41:$A$920,0)),"Medium"))</f>
        <v/>
      </c>
      <c r="BC747">
        <f>IF($BB747="","",IF($BB747="Fast",1.25,IF($BB747="Slow",0.85,1)))</f>
        <v/>
      </c>
      <c r="BD747">
        <f>IF(OR($AZ747="",$BC747=""),"",ROUND($AZ747*$BC747,2))</f>
        <v/>
      </c>
      <c r="BF747">
        <f>IF(OR($H747="",$J747=""),"",_xlfn.IFNA(VLOOKUP($J747,_CONFIG_Model_Settings!$D$610:$E$614,2,0),""))</f>
        <v/>
      </c>
      <c r="BG747">
        <f>IF(OR($H747="",$K747=""),"",ROUND('Company Profile'!$B$569*INDEX(_CONFIG_Model_Settings!$H$610:$H$614,MATCH($K747,_CONFIG_Model_Settings!$G$610:$G$614,0)),0))</f>
        <v/>
      </c>
      <c r="BH747">
        <f>IF(OR($BF747="",$BG747=""),"",ROUND($BF747*$BG747,1))</f>
        <v/>
      </c>
      <c r="BI747">
        <f>IF($BH747="","",IF($AO747="",$BH747,ROUND($BH747*$AO747,1)))</f>
        <v/>
      </c>
      <c r="BJ747">
        <f>IF($E747="","",IFERROR(VLOOKUP($C747,'_CONFIG_Risk_Calibration'!$A$5:$H$21,2,FALSE),3))</f>
        <v/>
      </c>
      <c r="BK747">
        <f>IF($E747="","",IFERROR(VLOOKUP($C747,'_CONFIG_Risk_Calibration'!$A$5:$H$21,3,FALSE),0))</f>
        <v/>
      </c>
      <c r="BL747">
        <f>IF($E747="","",IFERROR(VLOOKUP($C747,'_CONFIG_Risk_Calibration'!$A$5:$H$21,4,FALSE),3))</f>
        <v/>
      </c>
      <c r="BM747">
        <f>IF($E747="","",IFERROR(VLOOKUP($C747,'_CONFIG_Risk_Calibration'!$A$5:$H$21,5,FALSE),3))</f>
        <v/>
      </c>
      <c r="BN747">
        <f>IF($E747="","",IFERROR(VLOOKUP($C747,'_CONFIG_Risk_Calibration'!$A$5:$H$21,6,FALSE),"No"))</f>
        <v/>
      </c>
      <c r="BO747">
        <f>IF($E747="","",IFERROR(VLOOKUP($C747,'_CONFIG_Risk_Calibration'!$A$5:$H$21,7,FALSE),1))</f>
        <v/>
      </c>
      <c r="BP747">
        <f>IF($H747="","",MAX(1,MIN(5,((6-$H747)*0.45)+($BJ747*0.20)+('Resilience &amp; Risk Scenario'!$B$7*0.15)+($BK747*0.10)+($BL747*0.05)+(IF($BB747="Fast",5,IF($BB747="Slow",1,3))*0.05))))</f>
        <v/>
      </c>
      <c r="BQ747">
        <f>IF($H747="","",MAX(IF($BN747="Yes",$BO747,1),MIN(5,($U747*0.20)+($V747*0.15)+($W747*0.25)+($X747*0.15)+($BJ747*0.10)+($BM747*0.15))))</f>
        <v/>
      </c>
      <c r="BR747">
        <f>IF(OR($BP747="",$BQ747=""),"",ROUND($BP747*$BQ747,2))</f>
        <v/>
      </c>
      <c r="BS747">
        <f>IF($BR747="","",ROUND($BR747*IF($AO747="",1,$AO747)*IF($AX747="",1,$AX747)*(1+(($BM747-3)*0.10))*IF($BC747="",1,$BC747),2))</f>
        <v/>
      </c>
    </row>
    <row r="748" ht="69.90000000000001" customHeight="1" s="209">
      <c r="A748">
        <f>IF($BD748="","",SUMPRODUCT(ISNUMBER($BD$500:$BD$923)*($BD$500:$BD$923&gt;$BD748))+COUNTIF($BD$500:$BD748,$BD748))</f>
        <v/>
      </c>
      <c r="B748">
        <f>IF($H748="","",IF($H748&lt;5,"Yes","Maintain"))</f>
        <v/>
      </c>
      <c r="C748" t="inlineStr">
        <is>
          <t>Manufacturing MES</t>
        </is>
      </c>
      <c r="D748" t="inlineStr">
        <is>
          <t>OT security</t>
        </is>
      </c>
      <c r="E748" t="inlineStr">
        <is>
          <t>MANU-025</t>
        </is>
      </c>
      <c r="F748" t="inlineStr">
        <is>
          <t>Manufacturing, MES and production continuity</t>
        </is>
      </c>
      <c r="G748">
        <f>IF($H748="","",IFERROR(INDEX('_ENGINE_Risk'!$H$41:$M$920,MATCH($E748,'_ENGINE_Risk'!$A$41:$A$920,0),$H748+1),""))</f>
        <v/>
      </c>
      <c r="H748">
        <f>IFERROR(VALUE(INDEX(_DATA_Assessment_Model!$H$5:$H$884,MATCH($E748,_DATA_Assessment_Model!$A$5:$A$884,0))),"")</f>
        <v/>
      </c>
      <c r="I748">
        <f>IF($H748="","",IFERROR(INDEX(_DATA_Assessment_Model!$L$5:$L$884,MATCH($E748,_DATA_Assessment_Model!$A$5:$A$884,0)),IF($H748&lt;=1,"Critical",IF($H748=2,"High",IF($H748=3,"Medium",IF($H748=4,"Low","Resilient"))))))</f>
        <v/>
      </c>
      <c r="J748">
        <f>IF($H748="","",MIN(5,MAX(1,6-$H748)))</f>
        <v/>
      </c>
      <c r="K748">
        <f>IF($H748="","",MAX(1,MIN(5,ROUNDUP(($U748*0.45)+($W748*0.35)+($X748*0.2),0))))</f>
        <v/>
      </c>
      <c r="L748">
        <f>IF($H748="","",$J748*$K748)</f>
        <v/>
      </c>
      <c r="M748">
        <f>IF($H748="","",MAX(1,MIN(5,ROUNDUP($L748/5,0))))</f>
        <v/>
      </c>
      <c r="N748">
        <f>IF($H748="","",IFERROR(INDEX('_ENGINE_Risk'!$T$41:$Y$920,MATCH($E748,'_ENGINE_Risk'!$A$41:$A$920,0),$H748+1),""))</f>
        <v/>
      </c>
      <c r="O748">
        <f>IF($H748="","",MAX(1,MIN(5,($U748+$V748+$X748)/3)))</f>
        <v/>
      </c>
      <c r="P748">
        <f>IF($H748="","",IF($I748="Critical",5,IF($I748="High",4,IF($I748="Medium",3,IF($I748="Low",2,1)))))</f>
        <v/>
      </c>
      <c r="Q748">
        <f>IF($H748="","",MAX(1,MIN(5,((5-$H748)*0.65)+($W748*0.35))))</f>
        <v/>
      </c>
      <c r="R748">
        <f>IF($H748="","",MAX(1,MIN(5,($V748+$X748)/2)))</f>
        <v/>
      </c>
      <c r="S748">
        <f>IF(OR($H748="",$N748=""),"",ROUND(($O748+$P748+$Q748+$R748)/$N748,2))</f>
        <v/>
      </c>
      <c r="T748">
        <f>IF($H748="","",IFERROR(INDEX('_ENGINE_Risk'!$N$41:$S$920,MATCH($E748,'_ENGINE_Risk'!$A$41:$A$920,0),$H748+1),""))</f>
        <v/>
      </c>
      <c r="U748">
        <f>IFERROR(INDEX(_DATA_Assessment_Model!$G$5:$G$884,MATCH($E748,_DATA_Assessment_Model!$A$5:$A$884,0)),"")</f>
        <v/>
      </c>
      <c r="V748">
        <f>IFERROR(INDEX(_DATA_Assessment_Model!$W$5:$W$884,MATCH($E748,_DATA_Assessment_Model!$A$5:$A$884,0)),"")</f>
        <v/>
      </c>
      <c r="W748">
        <f>IFERROR(INDEX(_DATA_Assessment_Model!$X$5:$X$884,MATCH($E748,_DATA_Assessment_Model!$A$5:$A$884,0)),"")</f>
        <v/>
      </c>
      <c r="X748">
        <f>IFERROR(INDEX(_DATA_Assessment_Model!$Y$5:$Y$884,MATCH($E748,_DATA_Assessment_Model!$A$5:$A$884,0)),"")</f>
        <v/>
      </c>
      <c r="Y748" t="inlineStr">
        <is>
          <t>Manufacturing disruption; Safety incident; Energy outage; Cyberattack</t>
        </is>
      </c>
      <c r="Z748" t="inlineStr">
        <is>
          <t>COO / Plant / Manufacturing</t>
        </is>
      </c>
      <c r="AA748" t="inlineStr">
        <is>
          <t>Policy/SOP; owner/RACI; system report; dashboard; contracts; test records; incident history; interview evidence related to OT asset inventory for PLCs, SCADA, HMIs, industrial networks and engineering workstations.</t>
        </is>
      </c>
      <c r="AB748">
        <f>IFERROR(INDEX(_DATA_Assessment_Model!$U$5:$U$884,MATCH($E748,_DATA_Assessment_Model!$A$5:$A$884,0)),"")</f>
        <v/>
      </c>
      <c r="AF748" t="inlineStr">
        <is>
          <t>How mature is the organization in managing OT asset inventory for PLCs, SCADA, HMIs, industrial networks and engineering workstations, including ownership, evidence, metrics, fallback procedures and crisis stress testing?</t>
        </is>
      </c>
      <c r="AO748">
        <f>IF($B748="Yes",IFERROR(INDEX(_ENGINE_Crisis!$F$501:$F$517,MATCH($C748,_ENGINE_Crisis!$A$501:$A$517,0)),1),"")</f>
        <v/>
      </c>
      <c r="AP748">
        <f>IF(AO748="","",ROUND($L748*AO748,1))</f>
        <v/>
      </c>
      <c r="AQ748">
        <f>IF(OR(AO748="",$S748=""),"",ROUND($S748*(0.7+0.3*AO748),2))</f>
        <v/>
      </c>
      <c r="AR748">
        <f>IFERROR(INDEX(_ENGINE_Crisis!$E$41:$E$700,MATCH('Resilience &amp; Risk Scenario'!$B$60&amp;"|"&amp;$C748,_ENGINE_Crisis!$I$41:$I$700,0)),"")</f>
        <v/>
      </c>
      <c r="AS748">
        <f>IFERROR(INDEX(_ENGINE_Crisis!$G$41:$G$700,MATCH('Resilience &amp; Risk Scenario'!$B$60&amp;"|"&amp;$C748,_ENGINE_Crisis!$I$41:$I$700,0)),"")</f>
        <v/>
      </c>
      <c r="AT748">
        <f>IFERROR(INDEX(_ENGINE_Initiatives!$A$5:$A$532,MATCH(1,INDEX((_ENGINE_Initiatives!$B$5:$B$532=$C748)*(_ENGINE_Initiatives!$C$5:$C$532=$D748),0),0)),"")</f>
        <v/>
      </c>
      <c r="AU748">
        <f>IFERROR(INDEX(_ENGINE_Initiatives!$F$5:$F$532,MATCH(1,INDEX((_ENGINE_Initiatives!$B$5:$B$532=$C748)*(_ENGINE_Initiatives!$C$5:$C$532=$D748),0),0)),"")</f>
        <v/>
      </c>
      <c r="AV748">
        <f>IFERROR(INDEX(_ENGINE_Initiatives!$AC$5:$AC$532,MATCH(1,INDEX((_ENGINE_Initiatives!$B$5:$B$532=$C748)*(_ENGINE_Initiatives!$C$5:$C$532=$D748),0),0)),"")</f>
        <v/>
      </c>
      <c r="AW748">
        <f>IFERROR(INDEX(_ENGINE_Initiatives!$AE$5:$AE$532,MATCH(1,INDEX((_ENGINE_Initiatives!$B$5:$B$532=$C748)*(_ENGINE_Initiatives!$C$5:$C$532=$D748),0),0)),"")</f>
        <v/>
      </c>
      <c r="AX748">
        <f>IF($B748="Yes",IFERROR(IF(SUMIFS(_REF_Model_Content!$E$1:$E$613,_REF_Model_Content!$A$1:$A$613,'Company Profile'!$B$9,_REF_Model_Content!$B$1:$B$613,$C748)=0,1,SUMIFS(_REF_Model_Content!$E$1:$E$613,_REF_Model_Content!$A$1:$A$613,'Company Profile'!$B$9,_REF_Model_Content!$B$1:$B$613,$C748)),1),"")</f>
        <v/>
      </c>
      <c r="AY748">
        <f>IF($L748="","",ROUND(IF($AP748="",$L748,$AP748)*IF($AX748="",1,$AX748),2))</f>
        <v/>
      </c>
      <c r="AZ748">
        <f>IF($S748="","",ROUND(IF($AQ748="",$S748,$AQ748)*IF($AX748="",1,$AX748),2))</f>
        <v/>
      </c>
      <c r="BB748">
        <f>IF($H748="","",IFERROR(INDEX('_ENGINE_Risk'!$AE$41:$AE$920,MATCH($E748,'_ENGINE_Risk'!$A$41:$A$920,0)),"Medium"))</f>
        <v/>
      </c>
      <c r="BC748">
        <f>IF($BB748="","",IF($BB748="Fast",1.25,IF($BB748="Slow",0.85,1)))</f>
        <v/>
      </c>
      <c r="BD748">
        <f>IF(OR($AZ748="",$BC748=""),"",ROUND($AZ748*$BC748,2))</f>
        <v/>
      </c>
      <c r="BF748">
        <f>IF(OR($H748="",$J748=""),"",_xlfn.IFNA(VLOOKUP($J748,_CONFIG_Model_Settings!$D$610:$E$614,2,0),""))</f>
        <v/>
      </c>
      <c r="BG748">
        <f>IF(OR($H748="",$K748=""),"",ROUND('Company Profile'!$B$569*INDEX(_CONFIG_Model_Settings!$H$610:$H$614,MATCH($K748,_CONFIG_Model_Settings!$G$610:$G$614,0)),0))</f>
        <v/>
      </c>
      <c r="BH748">
        <f>IF(OR($BF748="",$BG748=""),"",ROUND($BF748*$BG748,1))</f>
        <v/>
      </c>
      <c r="BI748">
        <f>IF($BH748="","",IF($AO748="",$BH748,ROUND($BH748*$AO748,1)))</f>
        <v/>
      </c>
      <c r="BJ748">
        <f>IF($E748="","",IFERROR(VLOOKUP($C748,'_CONFIG_Risk_Calibration'!$A$5:$H$21,2,FALSE),3))</f>
        <v/>
      </c>
      <c r="BK748">
        <f>IF($E748="","",IFERROR(VLOOKUP($C748,'_CONFIG_Risk_Calibration'!$A$5:$H$21,3,FALSE),0))</f>
        <v/>
      </c>
      <c r="BL748">
        <f>IF($E748="","",IFERROR(VLOOKUP($C748,'_CONFIG_Risk_Calibration'!$A$5:$H$21,4,FALSE),3))</f>
        <v/>
      </c>
      <c r="BM748">
        <f>IF($E748="","",IFERROR(VLOOKUP($C748,'_CONFIG_Risk_Calibration'!$A$5:$H$21,5,FALSE),3))</f>
        <v/>
      </c>
      <c r="BN748">
        <f>IF($E748="","",IFERROR(VLOOKUP($C748,'_CONFIG_Risk_Calibration'!$A$5:$H$21,6,FALSE),"No"))</f>
        <v/>
      </c>
      <c r="BO748">
        <f>IF($E748="","",IFERROR(VLOOKUP($C748,'_CONFIG_Risk_Calibration'!$A$5:$H$21,7,FALSE),1))</f>
        <v/>
      </c>
      <c r="BP748">
        <f>IF($H748="","",MAX(1,MIN(5,((6-$H748)*0.45)+($BJ748*0.20)+('Resilience &amp; Risk Scenario'!$B$7*0.15)+($BK748*0.10)+($BL748*0.05)+(IF($BB748="Fast",5,IF($BB748="Slow",1,3))*0.05))))</f>
        <v/>
      </c>
      <c r="BQ748">
        <f>IF($H748="","",MAX(IF($BN748="Yes",$BO748,1),MIN(5,($U748*0.20)+($V748*0.15)+($W748*0.25)+($X748*0.15)+($BJ748*0.10)+($BM748*0.15))))</f>
        <v/>
      </c>
      <c r="BR748">
        <f>IF(OR($BP748="",$BQ748=""),"",ROUND($BP748*$BQ748,2))</f>
        <v/>
      </c>
      <c r="BS748">
        <f>IF($BR748="","",ROUND($BR748*IF($AO748="",1,$AO748)*IF($AX748="",1,$AX748)*(1+(($BM748-3)*0.10))*IF($BC748="",1,$BC748),2))</f>
        <v/>
      </c>
    </row>
    <row r="749" ht="69.90000000000001" customHeight="1" s="209">
      <c r="A749">
        <f>IF($BD749="","",SUMPRODUCT(ISNUMBER($BD$500:$BD$923)*($BD$500:$BD$923&gt;$BD749))+COUNTIF($BD$500:$BD749,$BD749))</f>
        <v/>
      </c>
      <c r="B749">
        <f>IF($H749="","",IF($H749&lt;5,"Yes","Maintain"))</f>
        <v/>
      </c>
      <c r="C749" t="inlineStr">
        <is>
          <t>Manufacturing MES</t>
        </is>
      </c>
      <c r="D749" t="inlineStr">
        <is>
          <t>OT security</t>
        </is>
      </c>
      <c r="E749" t="inlineStr">
        <is>
          <t>MANU-026</t>
        </is>
      </c>
      <c r="F749" t="inlineStr">
        <is>
          <t>Manufacturing, MES and production continuity</t>
        </is>
      </c>
      <c r="G749">
        <f>IF($H749="","",IFERROR(INDEX('_ENGINE_Risk'!$H$41:$M$920,MATCH($E749,'_ENGINE_Risk'!$A$41:$A$920,0),$H749+1),""))</f>
        <v/>
      </c>
      <c r="H749">
        <f>IFERROR(VALUE(INDEX(_DATA_Assessment_Model!$H$5:$H$884,MATCH($E749,_DATA_Assessment_Model!$A$5:$A$884,0))),"")</f>
        <v/>
      </c>
      <c r="I749">
        <f>IF($H749="","",IFERROR(INDEX(_DATA_Assessment_Model!$L$5:$L$884,MATCH($E749,_DATA_Assessment_Model!$A$5:$A$884,0)),IF($H749&lt;=1,"Critical",IF($H749=2,"High",IF($H749=3,"Medium",IF($H749=4,"Low","Resilient"))))))</f>
        <v/>
      </c>
      <c r="J749">
        <f>IF($H749="","",MIN(5,MAX(1,6-$H749)))</f>
        <v/>
      </c>
      <c r="K749">
        <f>IF($H749="","",MAX(1,MIN(5,ROUNDUP(($U749*0.45)+($W749*0.35)+($X749*0.2),0))))</f>
        <v/>
      </c>
      <c r="L749">
        <f>IF($H749="","",$J749*$K749)</f>
        <v/>
      </c>
      <c r="M749">
        <f>IF($H749="","",MAX(1,MIN(5,ROUNDUP($L749/5,0))))</f>
        <v/>
      </c>
      <c r="N749">
        <f>IF($H749="","",IFERROR(INDEX('_ENGINE_Risk'!$T$41:$Y$920,MATCH($E749,'_ENGINE_Risk'!$A$41:$A$920,0),$H749+1),""))</f>
        <v/>
      </c>
      <c r="O749">
        <f>IF($H749="","",MAX(1,MIN(5,($U749+$V749+$X749)/3)))</f>
        <v/>
      </c>
      <c r="P749">
        <f>IF($H749="","",IF($I749="Critical",5,IF($I749="High",4,IF($I749="Medium",3,IF($I749="Low",2,1)))))</f>
        <v/>
      </c>
      <c r="Q749">
        <f>IF($H749="","",MAX(1,MIN(5,((5-$H749)*0.65)+($W749*0.35))))</f>
        <v/>
      </c>
      <c r="R749">
        <f>IF($H749="","",MAX(1,MIN(5,($V749+$X749)/2)))</f>
        <v/>
      </c>
      <c r="S749">
        <f>IF(OR($H749="",$N749=""),"",ROUND(($O749+$P749+$Q749+$R749)/$N749,2))</f>
        <v/>
      </c>
      <c r="T749">
        <f>IF($H749="","",IFERROR(INDEX('_ENGINE_Risk'!$N$41:$S$920,MATCH($E749,'_ENGINE_Risk'!$A$41:$A$920,0),$H749+1),""))</f>
        <v/>
      </c>
      <c r="U749">
        <f>IFERROR(INDEX(_DATA_Assessment_Model!$G$5:$G$884,MATCH($E749,_DATA_Assessment_Model!$A$5:$A$884,0)),"")</f>
        <v/>
      </c>
      <c r="V749">
        <f>IFERROR(INDEX(_DATA_Assessment_Model!$W$5:$W$884,MATCH($E749,_DATA_Assessment_Model!$A$5:$A$884,0)),"")</f>
        <v/>
      </c>
      <c r="W749">
        <f>IFERROR(INDEX(_DATA_Assessment_Model!$X$5:$X$884,MATCH($E749,_DATA_Assessment_Model!$A$5:$A$884,0)),"")</f>
        <v/>
      </c>
      <c r="X749">
        <f>IFERROR(INDEX(_DATA_Assessment_Model!$Y$5:$Y$884,MATCH($E749,_DATA_Assessment_Model!$A$5:$A$884,0)),"")</f>
        <v/>
      </c>
      <c r="Y749" t="inlineStr">
        <is>
          <t>Manufacturing disruption; Safety incident; Energy outage; Cyberattack</t>
        </is>
      </c>
      <c r="Z749" t="inlineStr">
        <is>
          <t>COO / Plant / Manufacturing</t>
        </is>
      </c>
      <c r="AA749" t="inlineStr">
        <is>
          <t>Policy/SOP; owner/RACI; system report; dashboard; contracts; test records; incident history; interview evidence related to OT network segmentation and secure remote access for vendors and maintenance.</t>
        </is>
      </c>
      <c r="AB749">
        <f>IFERROR(INDEX(_DATA_Assessment_Model!$U$5:$U$884,MATCH($E749,_DATA_Assessment_Model!$A$5:$A$884,0)),"")</f>
        <v/>
      </c>
      <c r="AF749" t="inlineStr">
        <is>
          <t>How mature is the organization in managing OT network segmentation and secure remote access for vendors and maintenance, including ownership, evidence, metrics, fallback procedures and crisis stress testing?</t>
        </is>
      </c>
      <c r="AO749">
        <f>IF($B749="Yes",IFERROR(INDEX(_ENGINE_Crisis!$F$501:$F$517,MATCH($C749,_ENGINE_Crisis!$A$501:$A$517,0)),1),"")</f>
        <v/>
      </c>
      <c r="AP749">
        <f>IF(AO749="","",ROUND($L749*AO749,1))</f>
        <v/>
      </c>
      <c r="AQ749">
        <f>IF(OR(AO749="",$S749=""),"",ROUND($S749*(0.7+0.3*AO749),2))</f>
        <v/>
      </c>
      <c r="AR749">
        <f>IFERROR(INDEX(_ENGINE_Crisis!$E$41:$E$700,MATCH('Resilience &amp; Risk Scenario'!$B$60&amp;"|"&amp;$C749,_ENGINE_Crisis!$I$41:$I$700,0)),"")</f>
        <v/>
      </c>
      <c r="AS749">
        <f>IFERROR(INDEX(_ENGINE_Crisis!$G$41:$G$700,MATCH('Resilience &amp; Risk Scenario'!$B$60&amp;"|"&amp;$C749,_ENGINE_Crisis!$I$41:$I$700,0)),"")</f>
        <v/>
      </c>
      <c r="AT749">
        <f>IFERROR(INDEX(_ENGINE_Initiatives!$A$5:$A$532,MATCH(1,INDEX((_ENGINE_Initiatives!$B$5:$B$532=$C749)*(_ENGINE_Initiatives!$C$5:$C$532=$D749),0),0)),"")</f>
        <v/>
      </c>
      <c r="AU749">
        <f>IFERROR(INDEX(_ENGINE_Initiatives!$F$5:$F$532,MATCH(1,INDEX((_ENGINE_Initiatives!$B$5:$B$532=$C749)*(_ENGINE_Initiatives!$C$5:$C$532=$D749),0),0)),"")</f>
        <v/>
      </c>
      <c r="AV749">
        <f>IFERROR(INDEX(_ENGINE_Initiatives!$AC$5:$AC$532,MATCH(1,INDEX((_ENGINE_Initiatives!$B$5:$B$532=$C749)*(_ENGINE_Initiatives!$C$5:$C$532=$D749),0),0)),"")</f>
        <v/>
      </c>
      <c r="AW749">
        <f>IFERROR(INDEX(_ENGINE_Initiatives!$AE$5:$AE$532,MATCH(1,INDEX((_ENGINE_Initiatives!$B$5:$B$532=$C749)*(_ENGINE_Initiatives!$C$5:$C$532=$D749),0),0)),"")</f>
        <v/>
      </c>
      <c r="AX749">
        <f>IF($B749="Yes",IFERROR(IF(SUMIFS(_REF_Model_Content!$E$1:$E$613,_REF_Model_Content!$A$1:$A$613,'Company Profile'!$B$9,_REF_Model_Content!$B$1:$B$613,$C749)=0,1,SUMIFS(_REF_Model_Content!$E$1:$E$613,_REF_Model_Content!$A$1:$A$613,'Company Profile'!$B$9,_REF_Model_Content!$B$1:$B$613,$C749)),1),"")</f>
        <v/>
      </c>
      <c r="AY749">
        <f>IF($L749="","",ROUND(IF($AP749="",$L749,$AP749)*IF($AX749="",1,$AX749),2))</f>
        <v/>
      </c>
      <c r="AZ749">
        <f>IF($S749="","",ROUND(IF($AQ749="",$S749,$AQ749)*IF($AX749="",1,$AX749),2))</f>
        <v/>
      </c>
      <c r="BB749">
        <f>IF($H749="","",IFERROR(INDEX('_ENGINE_Risk'!$AE$41:$AE$920,MATCH($E749,'_ENGINE_Risk'!$A$41:$A$920,0)),"Medium"))</f>
        <v/>
      </c>
      <c r="BC749">
        <f>IF($BB749="","",IF($BB749="Fast",1.25,IF($BB749="Slow",0.85,1)))</f>
        <v/>
      </c>
      <c r="BD749">
        <f>IF(OR($AZ749="",$BC749=""),"",ROUND($AZ749*$BC749,2))</f>
        <v/>
      </c>
      <c r="BF749">
        <f>IF(OR($H749="",$J749=""),"",_xlfn.IFNA(VLOOKUP($J749,_CONFIG_Model_Settings!$D$610:$E$614,2,0),""))</f>
        <v/>
      </c>
      <c r="BG749">
        <f>IF(OR($H749="",$K749=""),"",ROUND('Company Profile'!$B$569*INDEX(_CONFIG_Model_Settings!$H$610:$H$614,MATCH($K749,_CONFIG_Model_Settings!$G$610:$G$614,0)),0))</f>
        <v/>
      </c>
      <c r="BH749">
        <f>IF(OR($BF749="",$BG749=""),"",ROUND($BF749*$BG749,1))</f>
        <v/>
      </c>
      <c r="BI749">
        <f>IF($BH749="","",IF($AO749="",$BH749,ROUND($BH749*$AO749,1)))</f>
        <v/>
      </c>
      <c r="BJ749">
        <f>IF($E749="","",IFERROR(VLOOKUP($C749,'_CONFIG_Risk_Calibration'!$A$5:$H$21,2,FALSE),3))</f>
        <v/>
      </c>
      <c r="BK749">
        <f>IF($E749="","",IFERROR(VLOOKUP($C749,'_CONFIG_Risk_Calibration'!$A$5:$H$21,3,FALSE),0))</f>
        <v/>
      </c>
      <c r="BL749">
        <f>IF($E749="","",IFERROR(VLOOKUP($C749,'_CONFIG_Risk_Calibration'!$A$5:$H$21,4,FALSE),3))</f>
        <v/>
      </c>
      <c r="BM749">
        <f>IF($E749="","",IFERROR(VLOOKUP($C749,'_CONFIG_Risk_Calibration'!$A$5:$H$21,5,FALSE),3))</f>
        <v/>
      </c>
      <c r="BN749">
        <f>IF($E749="","",IFERROR(VLOOKUP($C749,'_CONFIG_Risk_Calibration'!$A$5:$H$21,6,FALSE),"No"))</f>
        <v/>
      </c>
      <c r="BO749">
        <f>IF($E749="","",IFERROR(VLOOKUP($C749,'_CONFIG_Risk_Calibration'!$A$5:$H$21,7,FALSE),1))</f>
        <v/>
      </c>
      <c r="BP749">
        <f>IF($H749="","",MAX(1,MIN(5,((6-$H749)*0.45)+($BJ749*0.20)+('Resilience &amp; Risk Scenario'!$B$7*0.15)+($BK749*0.10)+($BL749*0.05)+(IF($BB749="Fast",5,IF($BB749="Slow",1,3))*0.05))))</f>
        <v/>
      </c>
      <c r="BQ749">
        <f>IF($H749="","",MAX(IF($BN749="Yes",$BO749,1),MIN(5,($U749*0.20)+($V749*0.15)+($W749*0.25)+($X749*0.15)+($BJ749*0.10)+($BM749*0.15))))</f>
        <v/>
      </c>
      <c r="BR749">
        <f>IF(OR($BP749="",$BQ749=""),"",ROUND($BP749*$BQ749,2))</f>
        <v/>
      </c>
      <c r="BS749">
        <f>IF($BR749="","",ROUND($BR749*IF($AO749="",1,$AO749)*IF($AX749="",1,$AX749)*(1+(($BM749-3)*0.10))*IF($BC749="",1,$BC749),2))</f>
        <v/>
      </c>
    </row>
    <row r="750" ht="69.90000000000001" customHeight="1" s="209">
      <c r="A750">
        <f>IF($BD750="","",SUMPRODUCT(ISNUMBER($BD$500:$BD$923)*($BD$500:$BD$923&gt;$BD750))+COUNTIF($BD$500:$BD750,$BD750))</f>
        <v/>
      </c>
      <c r="B750">
        <f>IF($H750="","",IF($H750&lt;5,"Yes","Maintain"))</f>
        <v/>
      </c>
      <c r="C750" t="inlineStr">
        <is>
          <t>Manufacturing MES</t>
        </is>
      </c>
      <c r="D750" t="inlineStr">
        <is>
          <t>OT security</t>
        </is>
      </c>
      <c r="E750" t="inlineStr">
        <is>
          <t>MANU-027</t>
        </is>
      </c>
      <c r="F750" t="inlineStr">
        <is>
          <t>Manufacturing, MES and production continuity</t>
        </is>
      </c>
      <c r="G750">
        <f>IF($H750="","",IFERROR(INDEX('_ENGINE_Risk'!$H$41:$M$920,MATCH($E750,'_ENGINE_Risk'!$A$41:$A$920,0),$H750+1),""))</f>
        <v/>
      </c>
      <c r="H750">
        <f>IFERROR(VALUE(INDEX(_DATA_Assessment_Model!$H$5:$H$884,MATCH($E750,_DATA_Assessment_Model!$A$5:$A$884,0))),"")</f>
        <v/>
      </c>
      <c r="I750">
        <f>IF($H750="","",IFERROR(INDEX(_DATA_Assessment_Model!$L$5:$L$884,MATCH($E750,_DATA_Assessment_Model!$A$5:$A$884,0)),IF($H750&lt;=1,"Critical",IF($H750=2,"High",IF($H750=3,"Medium",IF($H750=4,"Low","Resilient"))))))</f>
        <v/>
      </c>
      <c r="J750">
        <f>IF($H750="","",MIN(5,MAX(1,6-$H750)))</f>
        <v/>
      </c>
      <c r="K750">
        <f>IF($H750="","",MAX(1,MIN(5,ROUNDUP(($U750*0.45)+($W750*0.35)+($X750*0.2),0))))</f>
        <v/>
      </c>
      <c r="L750">
        <f>IF($H750="","",$J750*$K750)</f>
        <v/>
      </c>
      <c r="M750">
        <f>IF($H750="","",MAX(1,MIN(5,ROUNDUP($L750/5,0))))</f>
        <v/>
      </c>
      <c r="N750">
        <f>IF($H750="","",IFERROR(INDEX('_ENGINE_Risk'!$T$41:$Y$920,MATCH($E750,'_ENGINE_Risk'!$A$41:$A$920,0),$H750+1),""))</f>
        <v/>
      </c>
      <c r="O750">
        <f>IF($H750="","",MAX(1,MIN(5,($U750+$V750+$X750)/3)))</f>
        <v/>
      </c>
      <c r="P750">
        <f>IF($H750="","",IF($I750="Critical",5,IF($I750="High",4,IF($I750="Medium",3,IF($I750="Low",2,1)))))</f>
        <v/>
      </c>
      <c r="Q750">
        <f>IF($H750="","",MAX(1,MIN(5,((5-$H750)*0.65)+($W750*0.35))))</f>
        <v/>
      </c>
      <c r="R750">
        <f>IF($H750="","",MAX(1,MIN(5,($V750+$X750)/2)))</f>
        <v/>
      </c>
      <c r="S750">
        <f>IF(OR($H750="",$N750=""),"",ROUND(($O750+$P750+$Q750+$R750)/$N750,2))</f>
        <v/>
      </c>
      <c r="T750">
        <f>IF($H750="","",IFERROR(INDEX('_ENGINE_Risk'!$N$41:$S$920,MATCH($E750,'_ENGINE_Risk'!$A$41:$A$920,0),$H750+1),""))</f>
        <v/>
      </c>
      <c r="U750">
        <f>IFERROR(INDEX(_DATA_Assessment_Model!$G$5:$G$884,MATCH($E750,_DATA_Assessment_Model!$A$5:$A$884,0)),"")</f>
        <v/>
      </c>
      <c r="V750">
        <f>IFERROR(INDEX(_DATA_Assessment_Model!$W$5:$W$884,MATCH($E750,_DATA_Assessment_Model!$A$5:$A$884,0)),"")</f>
        <v/>
      </c>
      <c r="W750">
        <f>IFERROR(INDEX(_DATA_Assessment_Model!$X$5:$X$884,MATCH($E750,_DATA_Assessment_Model!$A$5:$A$884,0)),"")</f>
        <v/>
      </c>
      <c r="X750">
        <f>IFERROR(INDEX(_DATA_Assessment_Model!$Y$5:$Y$884,MATCH($E750,_DATA_Assessment_Model!$A$5:$A$884,0)),"")</f>
        <v/>
      </c>
      <c r="Y750" t="inlineStr">
        <is>
          <t>Manufacturing disruption; Safety incident; Energy outage; Cyberattack</t>
        </is>
      </c>
      <c r="Z750" t="inlineStr">
        <is>
          <t>COO / Plant / Manufacturing</t>
        </is>
      </c>
      <c r="AA750" t="inlineStr">
        <is>
          <t>Policy/SOP; owner/RACI; system report; dashboard; contracts; test records; incident history; interview evidence related to PLC, HMI, SCADA and recipe configuration backup and restore testing.</t>
        </is>
      </c>
      <c r="AB750">
        <f>IFERROR(INDEX(_DATA_Assessment_Model!$U$5:$U$884,MATCH($E750,_DATA_Assessment_Model!$A$5:$A$884,0)),"")</f>
        <v/>
      </c>
      <c r="AF750" t="inlineStr">
        <is>
          <t>How mature is the organization in managing PLC, HMI, SCADA and recipe configuration backup and restore testing, including ownership, evidence, metrics, fallback procedures and crisis stress testing?</t>
        </is>
      </c>
      <c r="AO750">
        <f>IF($B750="Yes",IFERROR(INDEX(_ENGINE_Crisis!$F$501:$F$517,MATCH($C750,_ENGINE_Crisis!$A$501:$A$517,0)),1),"")</f>
        <v/>
      </c>
      <c r="AP750">
        <f>IF(AO750="","",ROUND($L750*AO750,1))</f>
        <v/>
      </c>
      <c r="AQ750">
        <f>IF(OR(AO750="",$S750=""),"",ROUND($S750*(0.7+0.3*AO750),2))</f>
        <v/>
      </c>
      <c r="AR750">
        <f>IFERROR(INDEX(_ENGINE_Crisis!$E$41:$E$700,MATCH('Resilience &amp; Risk Scenario'!$B$60&amp;"|"&amp;$C750,_ENGINE_Crisis!$I$41:$I$700,0)),"")</f>
        <v/>
      </c>
      <c r="AS750">
        <f>IFERROR(INDEX(_ENGINE_Crisis!$G$41:$G$700,MATCH('Resilience &amp; Risk Scenario'!$B$60&amp;"|"&amp;$C750,_ENGINE_Crisis!$I$41:$I$700,0)),"")</f>
        <v/>
      </c>
      <c r="AT750">
        <f>IFERROR(INDEX(_ENGINE_Initiatives!$A$5:$A$532,MATCH(1,INDEX((_ENGINE_Initiatives!$B$5:$B$532=$C750)*(_ENGINE_Initiatives!$C$5:$C$532=$D750),0),0)),"")</f>
        <v/>
      </c>
      <c r="AU750">
        <f>IFERROR(INDEX(_ENGINE_Initiatives!$F$5:$F$532,MATCH(1,INDEX((_ENGINE_Initiatives!$B$5:$B$532=$C750)*(_ENGINE_Initiatives!$C$5:$C$532=$D750),0),0)),"")</f>
        <v/>
      </c>
      <c r="AV750">
        <f>IFERROR(INDEX(_ENGINE_Initiatives!$AC$5:$AC$532,MATCH(1,INDEX((_ENGINE_Initiatives!$B$5:$B$532=$C750)*(_ENGINE_Initiatives!$C$5:$C$532=$D750),0),0)),"")</f>
        <v/>
      </c>
      <c r="AW750">
        <f>IFERROR(INDEX(_ENGINE_Initiatives!$AE$5:$AE$532,MATCH(1,INDEX((_ENGINE_Initiatives!$B$5:$B$532=$C750)*(_ENGINE_Initiatives!$C$5:$C$532=$D750),0),0)),"")</f>
        <v/>
      </c>
      <c r="AX750">
        <f>IF($B750="Yes",IFERROR(IF(SUMIFS(_REF_Model_Content!$E$1:$E$613,_REF_Model_Content!$A$1:$A$613,'Company Profile'!$B$9,_REF_Model_Content!$B$1:$B$613,$C750)=0,1,SUMIFS(_REF_Model_Content!$E$1:$E$613,_REF_Model_Content!$A$1:$A$613,'Company Profile'!$B$9,_REF_Model_Content!$B$1:$B$613,$C750)),1),"")</f>
        <v/>
      </c>
      <c r="AY750">
        <f>IF($L750="","",ROUND(IF($AP750="",$L750,$AP750)*IF($AX750="",1,$AX750),2))</f>
        <v/>
      </c>
      <c r="AZ750">
        <f>IF($S750="","",ROUND(IF($AQ750="",$S750,$AQ750)*IF($AX750="",1,$AX750),2))</f>
        <v/>
      </c>
      <c r="BB750">
        <f>IF($H750="","",IFERROR(INDEX('_ENGINE_Risk'!$AE$41:$AE$920,MATCH($E750,'_ENGINE_Risk'!$A$41:$A$920,0)),"Medium"))</f>
        <v/>
      </c>
      <c r="BC750">
        <f>IF($BB750="","",IF($BB750="Fast",1.25,IF($BB750="Slow",0.85,1)))</f>
        <v/>
      </c>
      <c r="BD750">
        <f>IF(OR($AZ750="",$BC750=""),"",ROUND($AZ750*$BC750,2))</f>
        <v/>
      </c>
      <c r="BF750">
        <f>IF(OR($H750="",$J750=""),"",_xlfn.IFNA(VLOOKUP($J750,_CONFIG_Model_Settings!$D$610:$E$614,2,0),""))</f>
        <v/>
      </c>
      <c r="BG750">
        <f>IF(OR($H750="",$K750=""),"",ROUND('Company Profile'!$B$569*INDEX(_CONFIG_Model_Settings!$H$610:$H$614,MATCH($K750,_CONFIG_Model_Settings!$G$610:$G$614,0)),0))</f>
        <v/>
      </c>
      <c r="BH750">
        <f>IF(OR($BF750="",$BG750=""),"",ROUND($BF750*$BG750,1))</f>
        <v/>
      </c>
      <c r="BI750">
        <f>IF($BH750="","",IF($AO750="",$BH750,ROUND($BH750*$AO750,1)))</f>
        <v/>
      </c>
      <c r="BJ750">
        <f>IF($E750="","",IFERROR(VLOOKUP($C750,'_CONFIG_Risk_Calibration'!$A$5:$H$21,2,FALSE),3))</f>
        <v/>
      </c>
      <c r="BK750">
        <f>IF($E750="","",IFERROR(VLOOKUP($C750,'_CONFIG_Risk_Calibration'!$A$5:$H$21,3,FALSE),0))</f>
        <v/>
      </c>
      <c r="BL750">
        <f>IF($E750="","",IFERROR(VLOOKUP($C750,'_CONFIG_Risk_Calibration'!$A$5:$H$21,4,FALSE),3))</f>
        <v/>
      </c>
      <c r="BM750">
        <f>IF($E750="","",IFERROR(VLOOKUP($C750,'_CONFIG_Risk_Calibration'!$A$5:$H$21,5,FALSE),3))</f>
        <v/>
      </c>
      <c r="BN750">
        <f>IF($E750="","",IFERROR(VLOOKUP($C750,'_CONFIG_Risk_Calibration'!$A$5:$H$21,6,FALSE),"No"))</f>
        <v/>
      </c>
      <c r="BO750">
        <f>IF($E750="","",IFERROR(VLOOKUP($C750,'_CONFIG_Risk_Calibration'!$A$5:$H$21,7,FALSE),1))</f>
        <v/>
      </c>
      <c r="BP750">
        <f>IF($H750="","",MAX(1,MIN(5,((6-$H750)*0.45)+($BJ750*0.20)+('Resilience &amp; Risk Scenario'!$B$7*0.15)+($BK750*0.10)+($BL750*0.05)+(IF($BB750="Fast",5,IF($BB750="Slow",1,3))*0.05))))</f>
        <v/>
      </c>
      <c r="BQ750">
        <f>IF($H750="","",MAX(IF($BN750="Yes",$BO750,1),MIN(5,($U750*0.20)+($V750*0.15)+($W750*0.25)+($X750*0.15)+($BJ750*0.10)+($BM750*0.15))))</f>
        <v/>
      </c>
      <c r="BR750">
        <f>IF(OR($BP750="",$BQ750=""),"",ROUND($BP750*$BQ750,2))</f>
        <v/>
      </c>
      <c r="BS750">
        <f>IF($BR750="","",ROUND($BR750*IF($AO750="",1,$AO750)*IF($AX750="",1,$AX750)*(1+(($BM750-3)*0.10))*IF($BC750="",1,$BC750),2))</f>
        <v/>
      </c>
    </row>
    <row r="751" ht="69.90000000000001" customHeight="1" s="209">
      <c r="A751">
        <f>IF($BD751="","",SUMPRODUCT(ISNUMBER($BD$500:$BD$923)*($BD$500:$BD$923&gt;$BD751))+COUNTIF($BD$500:$BD751,$BD751))</f>
        <v/>
      </c>
      <c r="B751">
        <f>IF($H751="","",IF($H751&lt;5,"Yes","Maintain"))</f>
        <v/>
      </c>
      <c r="C751" t="inlineStr">
        <is>
          <t>Manufacturing MES</t>
        </is>
      </c>
      <c r="D751" t="inlineStr">
        <is>
          <t>OT security</t>
        </is>
      </c>
      <c r="E751" t="inlineStr">
        <is>
          <t>MANU-028</t>
        </is>
      </c>
      <c r="F751" t="inlineStr">
        <is>
          <t>Manufacturing, MES and production continuity</t>
        </is>
      </c>
      <c r="G751">
        <f>IF($H751="","",IFERROR(INDEX('_ENGINE_Risk'!$H$41:$M$920,MATCH($E751,'_ENGINE_Risk'!$A$41:$A$920,0),$H751+1),""))</f>
        <v/>
      </c>
      <c r="H751">
        <f>IFERROR(VALUE(INDEX(_DATA_Assessment_Model!$H$5:$H$884,MATCH($E751,_DATA_Assessment_Model!$A$5:$A$884,0))),"")</f>
        <v/>
      </c>
      <c r="I751">
        <f>IF($H751="","",IFERROR(INDEX(_DATA_Assessment_Model!$L$5:$L$884,MATCH($E751,_DATA_Assessment_Model!$A$5:$A$884,0)),IF($H751&lt;=1,"Critical",IF($H751=2,"High",IF($H751=3,"Medium",IF($H751=4,"Low","Resilient"))))))</f>
        <v/>
      </c>
      <c r="J751">
        <f>IF($H751="","",MIN(5,MAX(1,6-$H751)))</f>
        <v/>
      </c>
      <c r="K751">
        <f>IF($H751="","",MAX(1,MIN(5,ROUNDUP(($U751*0.45)+($W751*0.35)+($X751*0.2),0))))</f>
        <v/>
      </c>
      <c r="L751">
        <f>IF($H751="","",$J751*$K751)</f>
        <v/>
      </c>
      <c r="M751">
        <f>IF($H751="","",MAX(1,MIN(5,ROUNDUP($L751/5,0))))</f>
        <v/>
      </c>
      <c r="N751">
        <f>IF($H751="","",IFERROR(INDEX('_ENGINE_Risk'!$T$41:$Y$920,MATCH($E751,'_ENGINE_Risk'!$A$41:$A$920,0),$H751+1),""))</f>
        <v/>
      </c>
      <c r="O751">
        <f>IF($H751="","",MAX(1,MIN(5,($U751+$V751+$X751)/3)))</f>
        <v/>
      </c>
      <c r="P751">
        <f>IF($H751="","",IF($I751="Critical",5,IF($I751="High",4,IF($I751="Medium",3,IF($I751="Low",2,1)))))</f>
        <v/>
      </c>
      <c r="Q751">
        <f>IF($H751="","",MAX(1,MIN(5,((5-$H751)*0.65)+($W751*0.35))))</f>
        <v/>
      </c>
      <c r="R751">
        <f>IF($H751="","",MAX(1,MIN(5,($V751+$X751)/2)))</f>
        <v/>
      </c>
      <c r="S751">
        <f>IF(OR($H751="",$N751=""),"",ROUND(($O751+$P751+$Q751+$R751)/$N751,2))</f>
        <v/>
      </c>
      <c r="T751">
        <f>IF($H751="","",IFERROR(INDEX('_ENGINE_Risk'!$N$41:$S$920,MATCH($E751,'_ENGINE_Risk'!$A$41:$A$920,0),$H751+1),""))</f>
        <v/>
      </c>
      <c r="U751">
        <f>IFERROR(INDEX(_DATA_Assessment_Model!$G$5:$G$884,MATCH($E751,_DATA_Assessment_Model!$A$5:$A$884,0)),"")</f>
        <v/>
      </c>
      <c r="V751">
        <f>IFERROR(INDEX(_DATA_Assessment_Model!$W$5:$W$884,MATCH($E751,_DATA_Assessment_Model!$A$5:$A$884,0)),"")</f>
        <v/>
      </c>
      <c r="W751">
        <f>IFERROR(INDEX(_DATA_Assessment_Model!$X$5:$X$884,MATCH($E751,_DATA_Assessment_Model!$A$5:$A$884,0)),"")</f>
        <v/>
      </c>
      <c r="X751">
        <f>IFERROR(INDEX(_DATA_Assessment_Model!$Y$5:$Y$884,MATCH($E751,_DATA_Assessment_Model!$A$5:$A$884,0)),"")</f>
        <v/>
      </c>
      <c r="Y751" t="inlineStr">
        <is>
          <t>Manufacturing disruption; Safety incident; Energy outage; Cyberattack</t>
        </is>
      </c>
      <c r="Z751" t="inlineStr">
        <is>
          <t>COO / Plant / Manufacturing</t>
        </is>
      </c>
      <c r="AA751" t="inlineStr">
        <is>
          <t>Policy/SOP; owner/RACI; system report; dashboard; contracts; test records; incident history; interview evidence related to cyber incident response procedures specific to production and OT.</t>
        </is>
      </c>
      <c r="AB751">
        <f>IFERROR(INDEX(_DATA_Assessment_Model!$U$5:$U$884,MATCH($E751,_DATA_Assessment_Model!$A$5:$A$884,0)),"")</f>
        <v/>
      </c>
      <c r="AF751" t="inlineStr">
        <is>
          <t>How mature is the organization in managing cyber incident response procedures specific to production and OT, including ownership, evidence, metrics, fallback procedures and crisis stress testing?</t>
        </is>
      </c>
      <c r="AO751">
        <f>IF($B751="Yes",IFERROR(INDEX(_ENGINE_Crisis!$F$501:$F$517,MATCH($C751,_ENGINE_Crisis!$A$501:$A$517,0)),1),"")</f>
        <v/>
      </c>
      <c r="AP751">
        <f>IF(AO751="","",ROUND($L751*AO751,1))</f>
        <v/>
      </c>
      <c r="AQ751">
        <f>IF(OR(AO751="",$S751=""),"",ROUND($S751*(0.7+0.3*AO751),2))</f>
        <v/>
      </c>
      <c r="AR751">
        <f>IFERROR(INDEX(_ENGINE_Crisis!$E$41:$E$700,MATCH('Resilience &amp; Risk Scenario'!$B$60&amp;"|"&amp;$C751,_ENGINE_Crisis!$I$41:$I$700,0)),"")</f>
        <v/>
      </c>
      <c r="AS751">
        <f>IFERROR(INDEX(_ENGINE_Crisis!$G$41:$G$700,MATCH('Resilience &amp; Risk Scenario'!$B$60&amp;"|"&amp;$C751,_ENGINE_Crisis!$I$41:$I$700,0)),"")</f>
        <v/>
      </c>
      <c r="AT751">
        <f>IFERROR(INDEX(_ENGINE_Initiatives!$A$5:$A$532,MATCH(1,INDEX((_ENGINE_Initiatives!$B$5:$B$532=$C751)*(_ENGINE_Initiatives!$C$5:$C$532=$D751),0),0)),"")</f>
        <v/>
      </c>
      <c r="AU751">
        <f>IFERROR(INDEX(_ENGINE_Initiatives!$F$5:$F$532,MATCH(1,INDEX((_ENGINE_Initiatives!$B$5:$B$532=$C751)*(_ENGINE_Initiatives!$C$5:$C$532=$D751),0),0)),"")</f>
        <v/>
      </c>
      <c r="AV751">
        <f>IFERROR(INDEX(_ENGINE_Initiatives!$AC$5:$AC$532,MATCH(1,INDEX((_ENGINE_Initiatives!$B$5:$B$532=$C751)*(_ENGINE_Initiatives!$C$5:$C$532=$D751),0),0)),"")</f>
        <v/>
      </c>
      <c r="AW751">
        <f>IFERROR(INDEX(_ENGINE_Initiatives!$AE$5:$AE$532,MATCH(1,INDEX((_ENGINE_Initiatives!$B$5:$B$532=$C751)*(_ENGINE_Initiatives!$C$5:$C$532=$D751),0),0)),"")</f>
        <v/>
      </c>
      <c r="AX751">
        <f>IF($B751="Yes",IFERROR(IF(SUMIFS(_REF_Model_Content!$E$1:$E$613,_REF_Model_Content!$A$1:$A$613,'Company Profile'!$B$9,_REF_Model_Content!$B$1:$B$613,$C751)=0,1,SUMIFS(_REF_Model_Content!$E$1:$E$613,_REF_Model_Content!$A$1:$A$613,'Company Profile'!$B$9,_REF_Model_Content!$B$1:$B$613,$C751)),1),"")</f>
        <v/>
      </c>
      <c r="AY751">
        <f>IF($L751="","",ROUND(IF($AP751="",$L751,$AP751)*IF($AX751="",1,$AX751),2))</f>
        <v/>
      </c>
      <c r="AZ751">
        <f>IF($S751="","",ROUND(IF($AQ751="",$S751,$AQ751)*IF($AX751="",1,$AX751),2))</f>
        <v/>
      </c>
      <c r="BB751">
        <f>IF($H751="","",IFERROR(INDEX('_ENGINE_Risk'!$AE$41:$AE$920,MATCH($E751,'_ENGINE_Risk'!$A$41:$A$920,0)),"Medium"))</f>
        <v/>
      </c>
      <c r="BC751">
        <f>IF($BB751="","",IF($BB751="Fast",1.25,IF($BB751="Slow",0.85,1)))</f>
        <v/>
      </c>
      <c r="BD751">
        <f>IF(OR($AZ751="",$BC751=""),"",ROUND($AZ751*$BC751,2))</f>
        <v/>
      </c>
      <c r="BF751">
        <f>IF(OR($H751="",$J751=""),"",_xlfn.IFNA(VLOOKUP($J751,_CONFIG_Model_Settings!$D$610:$E$614,2,0),""))</f>
        <v/>
      </c>
      <c r="BG751">
        <f>IF(OR($H751="",$K751=""),"",ROUND('Company Profile'!$B$569*INDEX(_CONFIG_Model_Settings!$H$610:$H$614,MATCH($K751,_CONFIG_Model_Settings!$G$610:$G$614,0)),0))</f>
        <v/>
      </c>
      <c r="BH751">
        <f>IF(OR($BF751="",$BG751=""),"",ROUND($BF751*$BG751,1))</f>
        <v/>
      </c>
      <c r="BI751">
        <f>IF($BH751="","",IF($AO751="",$BH751,ROUND($BH751*$AO751,1)))</f>
        <v/>
      </c>
      <c r="BJ751">
        <f>IF($E751="","",IFERROR(VLOOKUP($C751,'_CONFIG_Risk_Calibration'!$A$5:$H$21,2,FALSE),3))</f>
        <v/>
      </c>
      <c r="BK751">
        <f>IF($E751="","",IFERROR(VLOOKUP($C751,'_CONFIG_Risk_Calibration'!$A$5:$H$21,3,FALSE),0))</f>
        <v/>
      </c>
      <c r="BL751">
        <f>IF($E751="","",IFERROR(VLOOKUP($C751,'_CONFIG_Risk_Calibration'!$A$5:$H$21,4,FALSE),3))</f>
        <v/>
      </c>
      <c r="BM751">
        <f>IF($E751="","",IFERROR(VLOOKUP($C751,'_CONFIG_Risk_Calibration'!$A$5:$H$21,5,FALSE),3))</f>
        <v/>
      </c>
      <c r="BN751">
        <f>IF($E751="","",IFERROR(VLOOKUP($C751,'_CONFIG_Risk_Calibration'!$A$5:$H$21,6,FALSE),"No"))</f>
        <v/>
      </c>
      <c r="BO751">
        <f>IF($E751="","",IFERROR(VLOOKUP($C751,'_CONFIG_Risk_Calibration'!$A$5:$H$21,7,FALSE),1))</f>
        <v/>
      </c>
      <c r="BP751">
        <f>IF($H751="","",MAX(1,MIN(5,((6-$H751)*0.45)+($BJ751*0.20)+('Resilience &amp; Risk Scenario'!$B$7*0.15)+($BK751*0.10)+($BL751*0.05)+(IF($BB751="Fast",5,IF($BB751="Slow",1,3))*0.05))))</f>
        <v/>
      </c>
      <c r="BQ751">
        <f>IF($H751="","",MAX(IF($BN751="Yes",$BO751,1),MIN(5,($U751*0.20)+($V751*0.15)+($W751*0.25)+($X751*0.15)+($BJ751*0.10)+($BM751*0.15))))</f>
        <v/>
      </c>
      <c r="BR751">
        <f>IF(OR($BP751="",$BQ751=""),"",ROUND($BP751*$BQ751,2))</f>
        <v/>
      </c>
      <c r="BS751">
        <f>IF($BR751="","",ROUND($BR751*IF($AO751="",1,$AO751)*IF($AX751="",1,$AX751)*(1+(($BM751-3)*0.10))*IF($BC751="",1,$BC751),2))</f>
        <v/>
      </c>
    </row>
    <row r="752" ht="69.90000000000001" customHeight="1" s="209">
      <c r="A752">
        <f>IF($BD752="","",SUMPRODUCT(ISNUMBER($BD$500:$BD$923)*($BD$500:$BD$923&gt;$BD752))+COUNTIF($BD$500:$BD752,$BD752))</f>
        <v/>
      </c>
      <c r="B752">
        <f>IF($H752="","",IF($H752&lt;5,"Yes","Maintain"))</f>
        <v/>
      </c>
      <c r="C752" t="inlineStr">
        <is>
          <t>Sales CRM</t>
        </is>
      </c>
      <c r="D752" t="inlineStr">
        <is>
          <t>CRM foundation</t>
        </is>
      </c>
      <c r="E752" t="inlineStr">
        <is>
          <t>SALE-001</t>
        </is>
      </c>
      <c r="F752" t="inlineStr">
        <is>
          <t>Revenue, sales pipeline and CRM continuity</t>
        </is>
      </c>
      <c r="G752">
        <f>IF($H752="","",IFERROR(INDEX('_ENGINE_Risk'!$H$41:$M$920,MATCH($E752,'_ENGINE_Risk'!$A$41:$A$920,0),$H752+1),""))</f>
        <v/>
      </c>
      <c r="H752">
        <f>IFERROR(VALUE(INDEX(_DATA_Assessment_Model!$H$5:$H$884,MATCH($E752,_DATA_Assessment_Model!$A$5:$A$884,0))),"")</f>
        <v/>
      </c>
      <c r="I752">
        <f>IF($H752="","",IFERROR(INDEX(_DATA_Assessment_Model!$L$5:$L$884,MATCH($E752,_DATA_Assessment_Model!$A$5:$A$884,0)),IF($H752&lt;=1,"Critical",IF($H752=2,"High",IF($H752=3,"Medium",IF($H752=4,"Low","Resilient"))))))</f>
        <v/>
      </c>
      <c r="J752">
        <f>IF($H752="","",MIN(5,MAX(1,6-$H752)))</f>
        <v/>
      </c>
      <c r="K752">
        <f>IF($H752="","",MAX(1,MIN(5,ROUNDUP(($U752*0.45)+($W752*0.35)+($X752*0.2),0))))</f>
        <v/>
      </c>
      <c r="L752">
        <f>IF($H752="","",$J752*$K752)</f>
        <v/>
      </c>
      <c r="M752">
        <f>IF($H752="","",MAX(1,MIN(5,ROUNDUP($L752/5,0))))</f>
        <v/>
      </c>
      <c r="N752">
        <f>IF($H752="","",IFERROR(INDEX('_ENGINE_Risk'!$T$41:$Y$920,MATCH($E752,'_ENGINE_Risk'!$A$41:$A$920,0),$H752+1),""))</f>
        <v/>
      </c>
      <c r="O752">
        <f>IF($H752="","",MAX(1,MIN(5,($U752+$V752+$X752)/3)))</f>
        <v/>
      </c>
      <c r="P752">
        <f>IF($H752="","",IF($I752="Critical",5,IF($I752="High",4,IF($I752="Medium",3,IF($I752="Low",2,1)))))</f>
        <v/>
      </c>
      <c r="Q752">
        <f>IF($H752="","",MAX(1,MIN(5,((5-$H752)*0.65)+($W752*0.35))))</f>
        <v/>
      </c>
      <c r="R752">
        <f>IF($H752="","",MAX(1,MIN(5,($V752+$X752)/2)))</f>
        <v/>
      </c>
      <c r="S752">
        <f>IF(OR($H752="",$N752=""),"",ROUND(($O752+$P752+$Q752+$R752)/$N752,2))</f>
        <v/>
      </c>
      <c r="T752">
        <f>IF($H752="","",IFERROR(INDEX('_ENGINE_Risk'!$N$41:$S$920,MATCH($E752,'_ENGINE_Risk'!$A$41:$A$920,0),$H752+1),""))</f>
        <v/>
      </c>
      <c r="U752">
        <f>IFERROR(INDEX(_DATA_Assessment_Model!$G$5:$G$884,MATCH($E752,_DATA_Assessment_Model!$A$5:$A$884,0)),"")</f>
        <v/>
      </c>
      <c r="V752">
        <f>IFERROR(INDEX(_DATA_Assessment_Model!$W$5:$W$884,MATCH($E752,_DATA_Assessment_Model!$A$5:$A$884,0)),"")</f>
        <v/>
      </c>
      <c r="W752">
        <f>IFERROR(INDEX(_DATA_Assessment_Model!$X$5:$X$884,MATCH($E752,_DATA_Assessment_Model!$A$5:$A$884,0)),"")</f>
        <v/>
      </c>
      <c r="X752">
        <f>IFERROR(INDEX(_DATA_Assessment_Model!$Y$5:$Y$884,MATCH($E752,_DATA_Assessment_Model!$A$5:$A$884,0)),"")</f>
        <v/>
      </c>
      <c r="Y752" t="inlineStr">
        <is>
          <t>Demand shock; Revenue loss; Reputation crisis</t>
        </is>
      </c>
      <c r="Z752" t="inlineStr">
        <is>
          <t>CCO / Sales Ops</t>
        </is>
      </c>
      <c r="AA752" t="inlineStr">
        <is>
          <t>Policy/SOP; owner/RACI; system report; dashboard; contracts; test records; incident history; interview evidence related to CRM as single source of truth for accounts, contacts, opportunities, activities and forecasts.</t>
        </is>
      </c>
      <c r="AB752">
        <f>IFERROR(INDEX(_DATA_Assessment_Model!$U$5:$U$884,MATCH($E752,_DATA_Assessment_Model!$A$5:$A$884,0)),"")</f>
        <v/>
      </c>
      <c r="AF752" t="inlineStr">
        <is>
          <t>How mature is the organization in managing CRM as single source of truth for accounts, contacts, opportunities, activities and forecasts, including ownership, evidence, metrics, fallback procedures and crisis stress testing?</t>
        </is>
      </c>
      <c r="AO752">
        <f>IF($B752="Yes",IFERROR(INDEX(_ENGINE_Crisis!$F$501:$F$517,MATCH($C752,_ENGINE_Crisis!$A$501:$A$517,0)),1),"")</f>
        <v/>
      </c>
      <c r="AP752">
        <f>IF(AO752="","",ROUND($L752*AO752,1))</f>
        <v/>
      </c>
      <c r="AQ752">
        <f>IF(OR(AO752="",$S752=""),"",ROUND($S752*(0.7+0.3*AO752),2))</f>
        <v/>
      </c>
      <c r="AR752">
        <f>IFERROR(INDEX(_ENGINE_Crisis!$E$41:$E$700,MATCH('Resilience &amp; Risk Scenario'!$B$60&amp;"|"&amp;$C752,_ENGINE_Crisis!$I$41:$I$700,0)),"")</f>
        <v/>
      </c>
      <c r="AS752">
        <f>IFERROR(INDEX(_ENGINE_Crisis!$G$41:$G$700,MATCH('Resilience &amp; Risk Scenario'!$B$60&amp;"|"&amp;$C752,_ENGINE_Crisis!$I$41:$I$700,0)),"")</f>
        <v/>
      </c>
      <c r="AT752">
        <f>IFERROR(INDEX(_ENGINE_Initiatives!$A$5:$A$532,MATCH(1,INDEX((_ENGINE_Initiatives!$B$5:$B$532=$C752)*(_ENGINE_Initiatives!$C$5:$C$532=$D752),0),0)),"")</f>
        <v/>
      </c>
      <c r="AU752">
        <f>IFERROR(INDEX(_ENGINE_Initiatives!$F$5:$F$532,MATCH(1,INDEX((_ENGINE_Initiatives!$B$5:$B$532=$C752)*(_ENGINE_Initiatives!$C$5:$C$532=$D752),0),0)),"")</f>
        <v/>
      </c>
      <c r="AV752">
        <f>IFERROR(INDEX(_ENGINE_Initiatives!$AC$5:$AC$532,MATCH(1,INDEX((_ENGINE_Initiatives!$B$5:$B$532=$C752)*(_ENGINE_Initiatives!$C$5:$C$532=$D752),0),0)),"")</f>
        <v/>
      </c>
      <c r="AW752">
        <f>IFERROR(INDEX(_ENGINE_Initiatives!$AE$5:$AE$532,MATCH(1,INDEX((_ENGINE_Initiatives!$B$5:$B$532=$C752)*(_ENGINE_Initiatives!$C$5:$C$532=$D752),0),0)),"")</f>
        <v/>
      </c>
      <c r="AX752">
        <f>IF($B752="Yes",IFERROR(IF(SUMIFS(_REF_Model_Content!$E$1:$E$613,_REF_Model_Content!$A$1:$A$613,'Company Profile'!$B$9,_REF_Model_Content!$B$1:$B$613,$C752)=0,1,SUMIFS(_REF_Model_Content!$E$1:$E$613,_REF_Model_Content!$A$1:$A$613,'Company Profile'!$B$9,_REF_Model_Content!$B$1:$B$613,$C752)),1),"")</f>
        <v/>
      </c>
      <c r="AY752">
        <f>IF($L752="","",ROUND(IF($AP752="",$L752,$AP752)*IF($AX752="",1,$AX752),2))</f>
        <v/>
      </c>
      <c r="AZ752">
        <f>IF($S752="","",ROUND(IF($AQ752="",$S752,$AQ752)*IF($AX752="",1,$AX752),2))</f>
        <v/>
      </c>
      <c r="BB752">
        <f>IF($H752="","",IFERROR(INDEX('_ENGINE_Risk'!$AE$41:$AE$920,MATCH($E752,'_ENGINE_Risk'!$A$41:$A$920,0)),"Medium"))</f>
        <v/>
      </c>
      <c r="BC752">
        <f>IF($BB752="","",IF($BB752="Fast",1.25,IF($BB752="Slow",0.85,1)))</f>
        <v/>
      </c>
      <c r="BD752">
        <f>IF(OR($AZ752="",$BC752=""),"",ROUND($AZ752*$BC752,2))</f>
        <v/>
      </c>
      <c r="BF752">
        <f>IF(OR($H752="",$J752=""),"",_xlfn.IFNA(VLOOKUP($J752,_CONFIG_Model_Settings!$D$610:$E$614,2,0),""))</f>
        <v/>
      </c>
      <c r="BG752">
        <f>IF(OR($H752="",$K752=""),"",ROUND('Company Profile'!$B$569*INDEX(_CONFIG_Model_Settings!$H$610:$H$614,MATCH($K752,_CONFIG_Model_Settings!$G$610:$G$614,0)),0))</f>
        <v/>
      </c>
      <c r="BH752">
        <f>IF(OR($BF752="",$BG752=""),"",ROUND($BF752*$BG752,1))</f>
        <v/>
      </c>
      <c r="BI752">
        <f>IF($BH752="","",IF($AO752="",$BH752,ROUND($BH752*$AO752,1)))</f>
        <v/>
      </c>
      <c r="BJ752">
        <f>IF($E752="","",IFERROR(VLOOKUP($C752,'_CONFIG_Risk_Calibration'!$A$5:$H$21,2,FALSE),3))</f>
        <v/>
      </c>
      <c r="BK752">
        <f>IF($E752="","",IFERROR(VLOOKUP($C752,'_CONFIG_Risk_Calibration'!$A$5:$H$21,3,FALSE),0))</f>
        <v/>
      </c>
      <c r="BL752">
        <f>IF($E752="","",IFERROR(VLOOKUP($C752,'_CONFIG_Risk_Calibration'!$A$5:$H$21,4,FALSE),3))</f>
        <v/>
      </c>
      <c r="BM752">
        <f>IF($E752="","",IFERROR(VLOOKUP($C752,'_CONFIG_Risk_Calibration'!$A$5:$H$21,5,FALSE),3))</f>
        <v/>
      </c>
      <c r="BN752">
        <f>IF($E752="","",IFERROR(VLOOKUP($C752,'_CONFIG_Risk_Calibration'!$A$5:$H$21,6,FALSE),"No"))</f>
        <v/>
      </c>
      <c r="BO752">
        <f>IF($E752="","",IFERROR(VLOOKUP($C752,'_CONFIG_Risk_Calibration'!$A$5:$H$21,7,FALSE),1))</f>
        <v/>
      </c>
      <c r="BP752">
        <f>IF($H752="","",MAX(1,MIN(5,((6-$H752)*0.45)+($BJ752*0.20)+('Resilience &amp; Risk Scenario'!$B$7*0.15)+($BK752*0.10)+($BL752*0.05)+(IF($BB752="Fast",5,IF($BB752="Slow",1,3))*0.05))))</f>
        <v/>
      </c>
      <c r="BQ752">
        <f>IF($H752="","",MAX(IF($BN752="Yes",$BO752,1),MIN(5,($U752*0.20)+($V752*0.15)+($W752*0.25)+($X752*0.15)+($BJ752*0.10)+($BM752*0.15))))</f>
        <v/>
      </c>
      <c r="BR752">
        <f>IF(OR($BP752="",$BQ752=""),"",ROUND($BP752*$BQ752,2))</f>
        <v/>
      </c>
      <c r="BS752">
        <f>IF($BR752="","",ROUND($BR752*IF($AO752="",1,$AO752)*IF($AX752="",1,$AX752)*(1+(($BM752-3)*0.10))*IF($BC752="",1,$BC752),2))</f>
        <v/>
      </c>
    </row>
    <row r="753" ht="69.90000000000001" customHeight="1" s="209">
      <c r="A753">
        <f>IF($BD753="","",SUMPRODUCT(ISNUMBER($BD$500:$BD$923)*($BD$500:$BD$923&gt;$BD753))+COUNTIF($BD$500:$BD753,$BD753))</f>
        <v/>
      </c>
      <c r="B753">
        <f>IF($H753="","",IF($H753&lt;5,"Yes","Maintain"))</f>
        <v/>
      </c>
      <c r="C753" t="inlineStr">
        <is>
          <t>Sales CRM</t>
        </is>
      </c>
      <c r="D753" t="inlineStr">
        <is>
          <t>CRM foundation</t>
        </is>
      </c>
      <c r="E753" t="inlineStr">
        <is>
          <t>SALE-002</t>
        </is>
      </c>
      <c r="F753" t="inlineStr">
        <is>
          <t>Revenue, sales pipeline and CRM continuity</t>
        </is>
      </c>
      <c r="G753">
        <f>IF($H753="","",IFERROR(INDEX('_ENGINE_Risk'!$H$41:$M$920,MATCH($E753,'_ENGINE_Risk'!$A$41:$A$920,0),$H753+1),""))</f>
        <v/>
      </c>
      <c r="H753">
        <f>IFERROR(VALUE(INDEX(_DATA_Assessment_Model!$H$5:$H$884,MATCH($E753,_DATA_Assessment_Model!$A$5:$A$884,0))),"")</f>
        <v/>
      </c>
      <c r="I753">
        <f>IF($H753="","",IFERROR(INDEX(_DATA_Assessment_Model!$L$5:$L$884,MATCH($E753,_DATA_Assessment_Model!$A$5:$A$884,0)),IF($H753&lt;=1,"Critical",IF($H753=2,"High",IF($H753=3,"Medium",IF($H753=4,"Low","Resilient"))))))</f>
        <v/>
      </c>
      <c r="J753">
        <f>IF($H753="","",MIN(5,MAX(1,6-$H753)))</f>
        <v/>
      </c>
      <c r="K753">
        <f>IF($H753="","",MAX(1,MIN(5,ROUNDUP(($U753*0.45)+($W753*0.35)+($X753*0.2),0))))</f>
        <v/>
      </c>
      <c r="L753">
        <f>IF($H753="","",$J753*$K753)</f>
        <v/>
      </c>
      <c r="M753">
        <f>IF($H753="","",MAX(1,MIN(5,ROUNDUP($L753/5,0))))</f>
        <v/>
      </c>
      <c r="N753">
        <f>IF($H753="","",IFERROR(INDEX('_ENGINE_Risk'!$T$41:$Y$920,MATCH($E753,'_ENGINE_Risk'!$A$41:$A$920,0),$H753+1),""))</f>
        <v/>
      </c>
      <c r="O753">
        <f>IF($H753="","",MAX(1,MIN(5,($U753+$V753+$X753)/3)))</f>
        <v/>
      </c>
      <c r="P753">
        <f>IF($H753="","",IF($I753="Critical",5,IF($I753="High",4,IF($I753="Medium",3,IF($I753="Low",2,1)))))</f>
        <v/>
      </c>
      <c r="Q753">
        <f>IF($H753="","",MAX(1,MIN(5,((5-$H753)*0.65)+($W753*0.35))))</f>
        <v/>
      </c>
      <c r="R753">
        <f>IF($H753="","",MAX(1,MIN(5,($V753+$X753)/2)))</f>
        <v/>
      </c>
      <c r="S753">
        <f>IF(OR($H753="",$N753=""),"",ROUND(($O753+$P753+$Q753+$R753)/$N753,2))</f>
        <v/>
      </c>
      <c r="T753">
        <f>IF($H753="","",IFERROR(INDEX('_ENGINE_Risk'!$N$41:$S$920,MATCH($E753,'_ENGINE_Risk'!$A$41:$A$920,0),$H753+1),""))</f>
        <v/>
      </c>
      <c r="U753">
        <f>IFERROR(INDEX(_DATA_Assessment_Model!$G$5:$G$884,MATCH($E753,_DATA_Assessment_Model!$A$5:$A$884,0)),"")</f>
        <v/>
      </c>
      <c r="V753">
        <f>IFERROR(INDEX(_DATA_Assessment_Model!$W$5:$W$884,MATCH($E753,_DATA_Assessment_Model!$A$5:$A$884,0)),"")</f>
        <v/>
      </c>
      <c r="W753">
        <f>IFERROR(INDEX(_DATA_Assessment_Model!$X$5:$X$884,MATCH($E753,_DATA_Assessment_Model!$A$5:$A$884,0)),"")</f>
        <v/>
      </c>
      <c r="X753">
        <f>IFERROR(INDEX(_DATA_Assessment_Model!$Y$5:$Y$884,MATCH($E753,_DATA_Assessment_Model!$A$5:$A$884,0)),"")</f>
        <v/>
      </c>
      <c r="Y753" t="inlineStr">
        <is>
          <t>Demand shock; Revenue loss; Reputation crisis</t>
        </is>
      </c>
      <c r="Z753" t="inlineStr">
        <is>
          <t>CCO / Sales Ops</t>
        </is>
      </c>
      <c r="AA753" t="inlineStr">
        <is>
          <t>Policy/SOP; owner/RACI; system report; dashboard; contracts; test records; incident history; interview evidence related to CRM data quality for segmentation, pipeline, ICP, offerings, win/loss reasons and customer health.</t>
        </is>
      </c>
      <c r="AB753">
        <f>IFERROR(INDEX(_DATA_Assessment_Model!$U$5:$U$884,MATCH($E753,_DATA_Assessment_Model!$A$5:$A$884,0)),"")</f>
        <v/>
      </c>
      <c r="AF753" t="inlineStr">
        <is>
          <t>How mature is the organization in managing CRM data quality for segmentation, pipeline, ICP, offerings, win/loss reasons and customer health, including ownership, evidence, metrics, fallback procedures and crisis stress testing?</t>
        </is>
      </c>
      <c r="AO753">
        <f>IF($B753="Yes",IFERROR(INDEX(_ENGINE_Crisis!$F$501:$F$517,MATCH($C753,_ENGINE_Crisis!$A$501:$A$517,0)),1),"")</f>
        <v/>
      </c>
      <c r="AP753">
        <f>IF(AO753="","",ROUND($L753*AO753,1))</f>
        <v/>
      </c>
      <c r="AQ753">
        <f>IF(OR(AO753="",$S753=""),"",ROUND($S753*(0.7+0.3*AO753),2))</f>
        <v/>
      </c>
      <c r="AR753">
        <f>IFERROR(INDEX(_ENGINE_Crisis!$E$41:$E$700,MATCH('Resilience &amp; Risk Scenario'!$B$60&amp;"|"&amp;$C753,_ENGINE_Crisis!$I$41:$I$700,0)),"")</f>
        <v/>
      </c>
      <c r="AS753">
        <f>IFERROR(INDEX(_ENGINE_Crisis!$G$41:$G$700,MATCH('Resilience &amp; Risk Scenario'!$B$60&amp;"|"&amp;$C753,_ENGINE_Crisis!$I$41:$I$700,0)),"")</f>
        <v/>
      </c>
      <c r="AT753">
        <f>IFERROR(INDEX(_ENGINE_Initiatives!$A$5:$A$532,MATCH(1,INDEX((_ENGINE_Initiatives!$B$5:$B$532=$C753)*(_ENGINE_Initiatives!$C$5:$C$532=$D753),0),0)),"")</f>
        <v/>
      </c>
      <c r="AU753">
        <f>IFERROR(INDEX(_ENGINE_Initiatives!$F$5:$F$532,MATCH(1,INDEX((_ENGINE_Initiatives!$B$5:$B$532=$C753)*(_ENGINE_Initiatives!$C$5:$C$532=$D753),0),0)),"")</f>
        <v/>
      </c>
      <c r="AV753">
        <f>IFERROR(INDEX(_ENGINE_Initiatives!$AC$5:$AC$532,MATCH(1,INDEX((_ENGINE_Initiatives!$B$5:$B$532=$C753)*(_ENGINE_Initiatives!$C$5:$C$532=$D753),0),0)),"")</f>
        <v/>
      </c>
      <c r="AW753">
        <f>IFERROR(INDEX(_ENGINE_Initiatives!$AE$5:$AE$532,MATCH(1,INDEX((_ENGINE_Initiatives!$B$5:$B$532=$C753)*(_ENGINE_Initiatives!$C$5:$C$532=$D753),0),0)),"")</f>
        <v/>
      </c>
      <c r="AX753">
        <f>IF($B753="Yes",IFERROR(IF(SUMIFS(_REF_Model_Content!$E$1:$E$613,_REF_Model_Content!$A$1:$A$613,'Company Profile'!$B$9,_REF_Model_Content!$B$1:$B$613,$C753)=0,1,SUMIFS(_REF_Model_Content!$E$1:$E$613,_REF_Model_Content!$A$1:$A$613,'Company Profile'!$B$9,_REF_Model_Content!$B$1:$B$613,$C753)),1),"")</f>
        <v/>
      </c>
      <c r="AY753">
        <f>IF($L753="","",ROUND(IF($AP753="",$L753,$AP753)*IF($AX753="",1,$AX753),2))</f>
        <v/>
      </c>
      <c r="AZ753">
        <f>IF($S753="","",ROUND(IF($AQ753="",$S753,$AQ753)*IF($AX753="",1,$AX753),2))</f>
        <v/>
      </c>
      <c r="BB753">
        <f>IF($H753="","",IFERROR(INDEX('_ENGINE_Risk'!$AE$41:$AE$920,MATCH($E753,'_ENGINE_Risk'!$A$41:$A$920,0)),"Medium"))</f>
        <v/>
      </c>
      <c r="BC753">
        <f>IF($BB753="","",IF($BB753="Fast",1.25,IF($BB753="Slow",0.85,1)))</f>
        <v/>
      </c>
      <c r="BD753">
        <f>IF(OR($AZ753="",$BC753=""),"",ROUND($AZ753*$BC753,2))</f>
        <v/>
      </c>
      <c r="BF753">
        <f>IF(OR($H753="",$J753=""),"",_xlfn.IFNA(VLOOKUP($J753,_CONFIG_Model_Settings!$D$610:$E$614,2,0),""))</f>
        <v/>
      </c>
      <c r="BG753">
        <f>IF(OR($H753="",$K753=""),"",ROUND('Company Profile'!$B$569*INDEX(_CONFIG_Model_Settings!$H$610:$H$614,MATCH($K753,_CONFIG_Model_Settings!$G$610:$G$614,0)),0))</f>
        <v/>
      </c>
      <c r="BH753">
        <f>IF(OR($BF753="",$BG753=""),"",ROUND($BF753*$BG753,1))</f>
        <v/>
      </c>
      <c r="BI753">
        <f>IF($BH753="","",IF($AO753="",$BH753,ROUND($BH753*$AO753,1)))</f>
        <v/>
      </c>
      <c r="BJ753">
        <f>IF($E753="","",IFERROR(VLOOKUP($C753,'_CONFIG_Risk_Calibration'!$A$5:$H$21,2,FALSE),3))</f>
        <v/>
      </c>
      <c r="BK753">
        <f>IF($E753="","",IFERROR(VLOOKUP($C753,'_CONFIG_Risk_Calibration'!$A$5:$H$21,3,FALSE),0))</f>
        <v/>
      </c>
      <c r="BL753">
        <f>IF($E753="","",IFERROR(VLOOKUP($C753,'_CONFIG_Risk_Calibration'!$A$5:$H$21,4,FALSE),3))</f>
        <v/>
      </c>
      <c r="BM753">
        <f>IF($E753="","",IFERROR(VLOOKUP($C753,'_CONFIG_Risk_Calibration'!$A$5:$H$21,5,FALSE),3))</f>
        <v/>
      </c>
      <c r="BN753">
        <f>IF($E753="","",IFERROR(VLOOKUP($C753,'_CONFIG_Risk_Calibration'!$A$5:$H$21,6,FALSE),"No"))</f>
        <v/>
      </c>
      <c r="BO753">
        <f>IF($E753="","",IFERROR(VLOOKUP($C753,'_CONFIG_Risk_Calibration'!$A$5:$H$21,7,FALSE),1))</f>
        <v/>
      </c>
      <c r="BP753">
        <f>IF($H753="","",MAX(1,MIN(5,((6-$H753)*0.45)+($BJ753*0.20)+('Resilience &amp; Risk Scenario'!$B$7*0.15)+($BK753*0.10)+($BL753*0.05)+(IF($BB753="Fast",5,IF($BB753="Slow",1,3))*0.05))))</f>
        <v/>
      </c>
      <c r="BQ753">
        <f>IF($H753="","",MAX(IF($BN753="Yes",$BO753,1),MIN(5,($U753*0.20)+($V753*0.15)+($W753*0.25)+($X753*0.15)+($BJ753*0.10)+($BM753*0.15))))</f>
        <v/>
      </c>
      <c r="BR753">
        <f>IF(OR($BP753="",$BQ753=""),"",ROUND($BP753*$BQ753,2))</f>
        <v/>
      </c>
      <c r="BS753">
        <f>IF($BR753="","",ROUND($BR753*IF($AO753="",1,$AO753)*IF($AX753="",1,$AX753)*(1+(($BM753-3)*0.10))*IF($BC753="",1,$BC753),2))</f>
        <v/>
      </c>
    </row>
    <row r="754" ht="69.90000000000001" customHeight="1" s="209">
      <c r="A754">
        <f>IF($BD754="","",SUMPRODUCT(ISNUMBER($BD$500:$BD$923)*($BD$500:$BD$923&gt;$BD754))+COUNTIF($BD$500:$BD754,$BD754))</f>
        <v/>
      </c>
      <c r="B754">
        <f>IF($H754="","",IF($H754&lt;5,"Yes","Maintain"))</f>
        <v/>
      </c>
      <c r="C754" t="inlineStr">
        <is>
          <t>Sales CRM</t>
        </is>
      </c>
      <c r="D754" t="inlineStr">
        <is>
          <t>CRM foundation</t>
        </is>
      </c>
      <c r="E754" t="inlineStr">
        <is>
          <t>SALE-004</t>
        </is>
      </c>
      <c r="F754" t="inlineStr">
        <is>
          <t>Revenue, sales pipeline and CRM continuity</t>
        </is>
      </c>
      <c r="G754">
        <f>IF($H754="","",IFERROR(INDEX('_ENGINE_Risk'!$H$41:$M$920,MATCH($E754,'_ENGINE_Risk'!$A$41:$A$920,0),$H754+1),""))</f>
        <v/>
      </c>
      <c r="H754">
        <f>IFERROR(VALUE(INDEX(_DATA_Assessment_Model!$H$5:$H$884,MATCH($E754,_DATA_Assessment_Model!$A$5:$A$884,0))),"")</f>
        <v/>
      </c>
      <c r="I754">
        <f>IF($H754="","",IFERROR(INDEX(_DATA_Assessment_Model!$L$5:$L$884,MATCH($E754,_DATA_Assessment_Model!$A$5:$A$884,0)),IF($H754&lt;=1,"Critical",IF($H754=2,"High",IF($H754=3,"Medium",IF($H754=4,"Low","Resilient"))))))</f>
        <v/>
      </c>
      <c r="J754">
        <f>IF($H754="","",MIN(5,MAX(1,6-$H754)))</f>
        <v/>
      </c>
      <c r="K754">
        <f>IF($H754="","",MAX(1,MIN(5,ROUNDUP(($U754*0.45)+($W754*0.35)+($X754*0.2),0))))</f>
        <v/>
      </c>
      <c r="L754">
        <f>IF($H754="","",$J754*$K754)</f>
        <v/>
      </c>
      <c r="M754">
        <f>IF($H754="","",MAX(1,MIN(5,ROUNDUP($L754/5,0))))</f>
        <v/>
      </c>
      <c r="N754">
        <f>IF($H754="","",IFERROR(INDEX('_ENGINE_Risk'!$T$41:$Y$920,MATCH($E754,'_ENGINE_Risk'!$A$41:$A$920,0),$H754+1),""))</f>
        <v/>
      </c>
      <c r="O754">
        <f>IF($H754="","",MAX(1,MIN(5,($U754+$V754+$X754)/3)))</f>
        <v/>
      </c>
      <c r="P754">
        <f>IF($H754="","",IF($I754="Critical",5,IF($I754="High",4,IF($I754="Medium",3,IF($I754="Low",2,1)))))</f>
        <v/>
      </c>
      <c r="Q754">
        <f>IF($H754="","",MAX(1,MIN(5,((5-$H754)*0.65)+($W754*0.35))))</f>
        <v/>
      </c>
      <c r="R754">
        <f>IF($H754="","",MAX(1,MIN(5,($V754+$X754)/2)))</f>
        <v/>
      </c>
      <c r="S754">
        <f>IF(OR($H754="",$N754=""),"",ROUND(($O754+$P754+$Q754+$R754)/$N754,2))</f>
        <v/>
      </c>
      <c r="T754">
        <f>IF($H754="","",IFERROR(INDEX('_ENGINE_Risk'!$N$41:$S$920,MATCH($E754,'_ENGINE_Risk'!$A$41:$A$920,0),$H754+1),""))</f>
        <v/>
      </c>
      <c r="U754">
        <f>IFERROR(INDEX(_DATA_Assessment_Model!$G$5:$G$884,MATCH($E754,_DATA_Assessment_Model!$A$5:$A$884,0)),"")</f>
        <v/>
      </c>
      <c r="V754">
        <f>IFERROR(INDEX(_DATA_Assessment_Model!$W$5:$W$884,MATCH($E754,_DATA_Assessment_Model!$A$5:$A$884,0)),"")</f>
        <v/>
      </c>
      <c r="W754">
        <f>IFERROR(INDEX(_DATA_Assessment_Model!$X$5:$X$884,MATCH($E754,_DATA_Assessment_Model!$A$5:$A$884,0)),"")</f>
        <v/>
      </c>
      <c r="X754">
        <f>IFERROR(INDEX(_DATA_Assessment_Model!$Y$5:$Y$884,MATCH($E754,_DATA_Assessment_Model!$A$5:$A$884,0)),"")</f>
        <v/>
      </c>
      <c r="Y754" t="inlineStr">
        <is>
          <t>Demand shock; Revenue loss; Reputation crisis</t>
        </is>
      </c>
      <c r="Z754" t="inlineStr">
        <is>
          <t>CCO / Sales Ops</t>
        </is>
      </c>
      <c r="AA754" t="inlineStr">
        <is>
          <t>Policy/SOP; owner/RACI; system report; dashboard; contracts; test records; incident history; interview evidence related to sales process governance from lead to opportunity to contract to handover.</t>
        </is>
      </c>
      <c r="AB754">
        <f>IFERROR(INDEX(_DATA_Assessment_Model!$U$5:$U$884,MATCH($E754,_DATA_Assessment_Model!$A$5:$A$884,0)),"")</f>
        <v/>
      </c>
      <c r="AF754" t="inlineStr">
        <is>
          <t>How mature is the organization in managing sales process governance from lead to opportunity to contract to handover, including ownership, evidence, metrics, fallback procedures and crisis stress testing?</t>
        </is>
      </c>
      <c r="AO754">
        <f>IF($B754="Yes",IFERROR(INDEX(_ENGINE_Crisis!$F$501:$F$517,MATCH($C754,_ENGINE_Crisis!$A$501:$A$517,0)),1),"")</f>
        <v/>
      </c>
      <c r="AP754">
        <f>IF(AO754="","",ROUND($L754*AO754,1))</f>
        <v/>
      </c>
      <c r="AQ754">
        <f>IF(OR(AO754="",$S754=""),"",ROUND($S754*(0.7+0.3*AO754),2))</f>
        <v/>
      </c>
      <c r="AR754">
        <f>IFERROR(INDEX(_ENGINE_Crisis!$E$41:$E$700,MATCH('Resilience &amp; Risk Scenario'!$B$60&amp;"|"&amp;$C754,_ENGINE_Crisis!$I$41:$I$700,0)),"")</f>
        <v/>
      </c>
      <c r="AS754">
        <f>IFERROR(INDEX(_ENGINE_Crisis!$G$41:$G$700,MATCH('Resilience &amp; Risk Scenario'!$B$60&amp;"|"&amp;$C754,_ENGINE_Crisis!$I$41:$I$700,0)),"")</f>
        <v/>
      </c>
      <c r="AT754">
        <f>IFERROR(INDEX(_ENGINE_Initiatives!$A$5:$A$532,MATCH(1,INDEX((_ENGINE_Initiatives!$B$5:$B$532=$C754)*(_ENGINE_Initiatives!$C$5:$C$532=$D754),0),0)),"")</f>
        <v/>
      </c>
      <c r="AU754">
        <f>IFERROR(INDEX(_ENGINE_Initiatives!$F$5:$F$532,MATCH(1,INDEX((_ENGINE_Initiatives!$B$5:$B$532=$C754)*(_ENGINE_Initiatives!$C$5:$C$532=$D754),0),0)),"")</f>
        <v/>
      </c>
      <c r="AV754">
        <f>IFERROR(INDEX(_ENGINE_Initiatives!$AC$5:$AC$532,MATCH(1,INDEX((_ENGINE_Initiatives!$B$5:$B$532=$C754)*(_ENGINE_Initiatives!$C$5:$C$532=$D754),0),0)),"")</f>
        <v/>
      </c>
      <c r="AW754">
        <f>IFERROR(INDEX(_ENGINE_Initiatives!$AE$5:$AE$532,MATCH(1,INDEX((_ENGINE_Initiatives!$B$5:$B$532=$C754)*(_ENGINE_Initiatives!$C$5:$C$532=$D754),0),0)),"")</f>
        <v/>
      </c>
      <c r="AX754">
        <f>IF($B754="Yes",IFERROR(IF(SUMIFS(_REF_Model_Content!$E$1:$E$613,_REF_Model_Content!$A$1:$A$613,'Company Profile'!$B$9,_REF_Model_Content!$B$1:$B$613,$C754)=0,1,SUMIFS(_REF_Model_Content!$E$1:$E$613,_REF_Model_Content!$A$1:$A$613,'Company Profile'!$B$9,_REF_Model_Content!$B$1:$B$613,$C754)),1),"")</f>
        <v/>
      </c>
      <c r="AY754">
        <f>IF($L754="","",ROUND(IF($AP754="",$L754,$AP754)*IF($AX754="",1,$AX754),2))</f>
        <v/>
      </c>
      <c r="AZ754">
        <f>IF($S754="","",ROUND(IF($AQ754="",$S754,$AQ754)*IF($AX754="",1,$AX754),2))</f>
        <v/>
      </c>
      <c r="BB754">
        <f>IF($H754="","",IFERROR(INDEX('_ENGINE_Risk'!$AE$41:$AE$920,MATCH($E754,'_ENGINE_Risk'!$A$41:$A$920,0)),"Medium"))</f>
        <v/>
      </c>
      <c r="BC754">
        <f>IF($BB754="","",IF($BB754="Fast",1.25,IF($BB754="Slow",0.85,1)))</f>
        <v/>
      </c>
      <c r="BD754">
        <f>IF(OR($AZ754="",$BC754=""),"",ROUND($AZ754*$BC754,2))</f>
        <v/>
      </c>
      <c r="BF754">
        <f>IF(OR($H754="",$J754=""),"",_xlfn.IFNA(VLOOKUP($J754,_CONFIG_Model_Settings!$D$610:$E$614,2,0),""))</f>
        <v/>
      </c>
      <c r="BG754">
        <f>IF(OR($H754="",$K754=""),"",ROUND('Company Profile'!$B$569*INDEX(_CONFIG_Model_Settings!$H$610:$H$614,MATCH($K754,_CONFIG_Model_Settings!$G$610:$G$614,0)),0))</f>
        <v/>
      </c>
      <c r="BH754">
        <f>IF(OR($BF754="",$BG754=""),"",ROUND($BF754*$BG754,1))</f>
        <v/>
      </c>
      <c r="BI754">
        <f>IF($BH754="","",IF($AO754="",$BH754,ROUND($BH754*$AO754,1)))</f>
        <v/>
      </c>
      <c r="BJ754">
        <f>IF($E754="","",IFERROR(VLOOKUP($C754,'_CONFIG_Risk_Calibration'!$A$5:$H$21,2,FALSE),3))</f>
        <v/>
      </c>
      <c r="BK754">
        <f>IF($E754="","",IFERROR(VLOOKUP($C754,'_CONFIG_Risk_Calibration'!$A$5:$H$21,3,FALSE),0))</f>
        <v/>
      </c>
      <c r="BL754">
        <f>IF($E754="","",IFERROR(VLOOKUP($C754,'_CONFIG_Risk_Calibration'!$A$5:$H$21,4,FALSE),3))</f>
        <v/>
      </c>
      <c r="BM754">
        <f>IF($E754="","",IFERROR(VLOOKUP($C754,'_CONFIG_Risk_Calibration'!$A$5:$H$21,5,FALSE),3))</f>
        <v/>
      </c>
      <c r="BN754">
        <f>IF($E754="","",IFERROR(VLOOKUP($C754,'_CONFIG_Risk_Calibration'!$A$5:$H$21,6,FALSE),"No"))</f>
        <v/>
      </c>
      <c r="BO754">
        <f>IF($E754="","",IFERROR(VLOOKUP($C754,'_CONFIG_Risk_Calibration'!$A$5:$H$21,7,FALSE),1))</f>
        <v/>
      </c>
      <c r="BP754">
        <f>IF($H754="","",MAX(1,MIN(5,((6-$H754)*0.45)+($BJ754*0.20)+('Resilience &amp; Risk Scenario'!$B$7*0.15)+($BK754*0.10)+($BL754*0.05)+(IF($BB754="Fast",5,IF($BB754="Slow",1,3))*0.05))))</f>
        <v/>
      </c>
      <c r="BQ754">
        <f>IF($H754="","",MAX(IF($BN754="Yes",$BO754,1),MIN(5,($U754*0.20)+($V754*0.15)+($W754*0.25)+($X754*0.15)+($BJ754*0.10)+($BM754*0.15))))</f>
        <v/>
      </c>
      <c r="BR754">
        <f>IF(OR($BP754="",$BQ754=""),"",ROUND($BP754*$BQ754,2))</f>
        <v/>
      </c>
      <c r="BS754">
        <f>IF($BR754="","",ROUND($BR754*IF($AO754="",1,$AO754)*IF($AX754="",1,$AX754)*(1+(($BM754-3)*0.10))*IF($BC754="",1,$BC754),2))</f>
        <v/>
      </c>
    </row>
    <row r="755" ht="69.90000000000001" customHeight="1" s="209">
      <c r="A755">
        <f>IF($BD755="","",SUMPRODUCT(ISNUMBER($BD$500:$BD$923)*($BD$500:$BD$923&gt;$BD755))+COUNTIF($BD$500:$BD755,$BD755))</f>
        <v/>
      </c>
      <c r="B755">
        <f>IF($H755="","",IF($H755&lt;5,"Yes","Maintain"))</f>
        <v/>
      </c>
      <c r="C755" t="inlineStr">
        <is>
          <t>Sales CRM</t>
        </is>
      </c>
      <c r="D755" t="inlineStr">
        <is>
          <t>CRM foundation</t>
        </is>
      </c>
      <c r="E755" t="inlineStr">
        <is>
          <t>SALE-005</t>
        </is>
      </c>
      <c r="F755" t="inlineStr">
        <is>
          <t>Revenue, sales pipeline and CRM continuity</t>
        </is>
      </c>
      <c r="G755">
        <f>IF($H755="","",IFERROR(INDEX('_ENGINE_Risk'!$H$41:$M$920,MATCH($E755,'_ENGINE_Risk'!$A$41:$A$920,0),$H755+1),""))</f>
        <v/>
      </c>
      <c r="H755">
        <f>IFERROR(VALUE(INDEX(_DATA_Assessment_Model!$H$5:$H$884,MATCH($E755,_DATA_Assessment_Model!$A$5:$A$884,0))),"")</f>
        <v/>
      </c>
      <c r="I755">
        <f>IF($H755="","",IFERROR(INDEX(_DATA_Assessment_Model!$L$5:$L$884,MATCH($E755,_DATA_Assessment_Model!$A$5:$A$884,0)),IF($H755&lt;=1,"Critical",IF($H755=2,"High",IF($H755=3,"Medium",IF($H755=4,"Low","Resilient"))))))</f>
        <v/>
      </c>
      <c r="J755">
        <f>IF($H755="","",MIN(5,MAX(1,6-$H755)))</f>
        <v/>
      </c>
      <c r="K755">
        <f>IF($H755="","",MAX(1,MIN(5,ROUNDUP(($U755*0.45)+($W755*0.35)+($X755*0.2),0))))</f>
        <v/>
      </c>
      <c r="L755">
        <f>IF($H755="","",$J755*$K755)</f>
        <v/>
      </c>
      <c r="M755">
        <f>IF($H755="","",MAX(1,MIN(5,ROUNDUP($L755/5,0))))</f>
        <v/>
      </c>
      <c r="N755">
        <f>IF($H755="","",IFERROR(INDEX('_ENGINE_Risk'!$T$41:$Y$920,MATCH($E755,'_ENGINE_Risk'!$A$41:$A$920,0),$H755+1),""))</f>
        <v/>
      </c>
      <c r="O755">
        <f>IF($H755="","",MAX(1,MIN(5,($U755+$V755+$X755)/3)))</f>
        <v/>
      </c>
      <c r="P755">
        <f>IF($H755="","",IF($I755="Critical",5,IF($I755="High",4,IF($I755="Medium",3,IF($I755="Low",2,1)))))</f>
        <v/>
      </c>
      <c r="Q755">
        <f>IF($H755="","",MAX(1,MIN(5,((5-$H755)*0.65)+($W755*0.35))))</f>
        <v/>
      </c>
      <c r="R755">
        <f>IF($H755="","",MAX(1,MIN(5,($V755+$X755)/2)))</f>
        <v/>
      </c>
      <c r="S755">
        <f>IF(OR($H755="",$N755=""),"",ROUND(($O755+$P755+$Q755+$R755)/$N755,2))</f>
        <v/>
      </c>
      <c r="T755">
        <f>IF($H755="","",IFERROR(INDEX('_ENGINE_Risk'!$N$41:$S$920,MATCH($E755,'_ENGINE_Risk'!$A$41:$A$920,0),$H755+1),""))</f>
        <v/>
      </c>
      <c r="U755">
        <f>IFERROR(INDEX(_DATA_Assessment_Model!$G$5:$G$884,MATCH($E755,_DATA_Assessment_Model!$A$5:$A$884,0)),"")</f>
        <v/>
      </c>
      <c r="V755">
        <f>IFERROR(INDEX(_DATA_Assessment_Model!$W$5:$W$884,MATCH($E755,_DATA_Assessment_Model!$A$5:$A$884,0)),"")</f>
        <v/>
      </c>
      <c r="W755">
        <f>IFERROR(INDEX(_DATA_Assessment_Model!$X$5:$X$884,MATCH($E755,_DATA_Assessment_Model!$A$5:$A$884,0)),"")</f>
        <v/>
      </c>
      <c r="X755">
        <f>IFERROR(INDEX(_DATA_Assessment_Model!$Y$5:$Y$884,MATCH($E755,_DATA_Assessment_Model!$A$5:$A$884,0)),"")</f>
        <v/>
      </c>
      <c r="Y755" t="inlineStr">
        <is>
          <t>Demand shock; Revenue loss; Reputation crisis</t>
        </is>
      </c>
      <c r="Z755" t="inlineStr">
        <is>
          <t>CCO / Sales Ops</t>
        </is>
      </c>
      <c r="AA755" t="inlineStr">
        <is>
          <t>Policy/SOP; owner/RACI; system report; dashboard; contracts; test records; incident history; interview evidence related to customer and contract data linked to renewal, SLA and revenue risk.</t>
        </is>
      </c>
      <c r="AB755">
        <f>IFERROR(INDEX(_DATA_Assessment_Model!$U$5:$U$884,MATCH($E755,_DATA_Assessment_Model!$A$5:$A$884,0)),"")</f>
        <v/>
      </c>
      <c r="AF755" t="inlineStr">
        <is>
          <t>How mature is the organization in managing customer and contract data linked to renewal, SLA and revenue risk, including ownership, evidence, metrics, fallback procedures and crisis stress testing?</t>
        </is>
      </c>
      <c r="AO755">
        <f>IF($B755="Yes",IFERROR(INDEX(_ENGINE_Crisis!$F$501:$F$517,MATCH($C755,_ENGINE_Crisis!$A$501:$A$517,0)),1),"")</f>
        <v/>
      </c>
      <c r="AP755">
        <f>IF(AO755="","",ROUND($L755*AO755,1))</f>
        <v/>
      </c>
      <c r="AQ755">
        <f>IF(OR(AO755="",$S755=""),"",ROUND($S755*(0.7+0.3*AO755),2))</f>
        <v/>
      </c>
      <c r="AR755">
        <f>IFERROR(INDEX(_ENGINE_Crisis!$E$41:$E$700,MATCH('Resilience &amp; Risk Scenario'!$B$60&amp;"|"&amp;$C755,_ENGINE_Crisis!$I$41:$I$700,0)),"")</f>
        <v/>
      </c>
      <c r="AS755">
        <f>IFERROR(INDEX(_ENGINE_Crisis!$G$41:$G$700,MATCH('Resilience &amp; Risk Scenario'!$B$60&amp;"|"&amp;$C755,_ENGINE_Crisis!$I$41:$I$700,0)),"")</f>
        <v/>
      </c>
      <c r="AT755">
        <f>IFERROR(INDEX(_ENGINE_Initiatives!$A$5:$A$532,MATCH(1,INDEX((_ENGINE_Initiatives!$B$5:$B$532=$C755)*(_ENGINE_Initiatives!$C$5:$C$532=$D755),0),0)),"")</f>
        <v/>
      </c>
      <c r="AU755">
        <f>IFERROR(INDEX(_ENGINE_Initiatives!$F$5:$F$532,MATCH(1,INDEX((_ENGINE_Initiatives!$B$5:$B$532=$C755)*(_ENGINE_Initiatives!$C$5:$C$532=$D755),0),0)),"")</f>
        <v/>
      </c>
      <c r="AV755">
        <f>IFERROR(INDEX(_ENGINE_Initiatives!$AC$5:$AC$532,MATCH(1,INDEX((_ENGINE_Initiatives!$B$5:$B$532=$C755)*(_ENGINE_Initiatives!$C$5:$C$532=$D755),0),0)),"")</f>
        <v/>
      </c>
      <c r="AW755">
        <f>IFERROR(INDEX(_ENGINE_Initiatives!$AE$5:$AE$532,MATCH(1,INDEX((_ENGINE_Initiatives!$B$5:$B$532=$C755)*(_ENGINE_Initiatives!$C$5:$C$532=$D755),0),0)),"")</f>
        <v/>
      </c>
      <c r="AX755">
        <f>IF($B755="Yes",IFERROR(IF(SUMIFS(_REF_Model_Content!$E$1:$E$613,_REF_Model_Content!$A$1:$A$613,'Company Profile'!$B$9,_REF_Model_Content!$B$1:$B$613,$C755)=0,1,SUMIFS(_REF_Model_Content!$E$1:$E$613,_REF_Model_Content!$A$1:$A$613,'Company Profile'!$B$9,_REF_Model_Content!$B$1:$B$613,$C755)),1),"")</f>
        <v/>
      </c>
      <c r="AY755">
        <f>IF($L755="","",ROUND(IF($AP755="",$L755,$AP755)*IF($AX755="",1,$AX755),2))</f>
        <v/>
      </c>
      <c r="AZ755">
        <f>IF($S755="","",ROUND(IF($AQ755="",$S755,$AQ755)*IF($AX755="",1,$AX755),2))</f>
        <v/>
      </c>
      <c r="BB755">
        <f>IF($H755="","",IFERROR(INDEX('_ENGINE_Risk'!$AE$41:$AE$920,MATCH($E755,'_ENGINE_Risk'!$A$41:$A$920,0)),"Medium"))</f>
        <v/>
      </c>
      <c r="BC755">
        <f>IF($BB755="","",IF($BB755="Fast",1.25,IF($BB755="Slow",0.85,1)))</f>
        <v/>
      </c>
      <c r="BD755">
        <f>IF(OR($AZ755="",$BC755=""),"",ROUND($AZ755*$BC755,2))</f>
        <v/>
      </c>
      <c r="BF755">
        <f>IF(OR($H755="",$J755=""),"",_xlfn.IFNA(VLOOKUP($J755,_CONFIG_Model_Settings!$D$610:$E$614,2,0),""))</f>
        <v/>
      </c>
      <c r="BG755">
        <f>IF(OR($H755="",$K755=""),"",ROUND('Company Profile'!$B$569*INDEX(_CONFIG_Model_Settings!$H$610:$H$614,MATCH($K755,_CONFIG_Model_Settings!$G$610:$G$614,0)),0))</f>
        <v/>
      </c>
      <c r="BH755">
        <f>IF(OR($BF755="",$BG755=""),"",ROUND($BF755*$BG755,1))</f>
        <v/>
      </c>
      <c r="BI755">
        <f>IF($BH755="","",IF($AO755="",$BH755,ROUND($BH755*$AO755,1)))</f>
        <v/>
      </c>
      <c r="BJ755">
        <f>IF($E755="","",IFERROR(VLOOKUP($C755,'_CONFIG_Risk_Calibration'!$A$5:$H$21,2,FALSE),3))</f>
        <v/>
      </c>
      <c r="BK755">
        <f>IF($E755="","",IFERROR(VLOOKUP($C755,'_CONFIG_Risk_Calibration'!$A$5:$H$21,3,FALSE),0))</f>
        <v/>
      </c>
      <c r="BL755">
        <f>IF($E755="","",IFERROR(VLOOKUP($C755,'_CONFIG_Risk_Calibration'!$A$5:$H$21,4,FALSE),3))</f>
        <v/>
      </c>
      <c r="BM755">
        <f>IF($E755="","",IFERROR(VLOOKUP($C755,'_CONFIG_Risk_Calibration'!$A$5:$H$21,5,FALSE),3))</f>
        <v/>
      </c>
      <c r="BN755">
        <f>IF($E755="","",IFERROR(VLOOKUP($C755,'_CONFIG_Risk_Calibration'!$A$5:$H$21,6,FALSE),"No"))</f>
        <v/>
      </c>
      <c r="BO755">
        <f>IF($E755="","",IFERROR(VLOOKUP($C755,'_CONFIG_Risk_Calibration'!$A$5:$H$21,7,FALSE),1))</f>
        <v/>
      </c>
      <c r="BP755">
        <f>IF($H755="","",MAX(1,MIN(5,((6-$H755)*0.45)+($BJ755*0.20)+('Resilience &amp; Risk Scenario'!$B$7*0.15)+($BK755*0.10)+($BL755*0.05)+(IF($BB755="Fast",5,IF($BB755="Slow",1,3))*0.05))))</f>
        <v/>
      </c>
      <c r="BQ755">
        <f>IF($H755="","",MAX(IF($BN755="Yes",$BO755,1),MIN(5,($U755*0.20)+($V755*0.15)+($W755*0.25)+($X755*0.15)+($BJ755*0.10)+($BM755*0.15))))</f>
        <v/>
      </c>
      <c r="BR755">
        <f>IF(OR($BP755="",$BQ755=""),"",ROUND($BP755*$BQ755,2))</f>
        <v/>
      </c>
      <c r="BS755">
        <f>IF($BR755="","",ROUND($BR755*IF($AO755="",1,$AO755)*IF($AX755="",1,$AX755)*(1+(($BM755-3)*0.10))*IF($BC755="",1,$BC755),2))</f>
        <v/>
      </c>
    </row>
    <row r="756" ht="69.90000000000001" customHeight="1" s="209">
      <c r="A756">
        <f>IF($BD756="","",SUMPRODUCT(ISNUMBER($BD$500:$BD$923)*($BD$500:$BD$923&gt;$BD756))+COUNTIF($BD$500:$BD756,$BD756))</f>
        <v/>
      </c>
      <c r="B756">
        <f>IF($H756="","",IF($H756&lt;5,"Yes","Maintain"))</f>
        <v/>
      </c>
      <c r="C756" t="inlineStr">
        <is>
          <t>Sales CRM</t>
        </is>
      </c>
      <c r="D756" t="inlineStr">
        <is>
          <t>Pipeline and forecast</t>
        </is>
      </c>
      <c r="E756" t="inlineStr">
        <is>
          <t>SALE-006</t>
        </is>
      </c>
      <c r="F756" t="inlineStr">
        <is>
          <t>Revenue, sales pipeline and CRM continuity</t>
        </is>
      </c>
      <c r="G756">
        <f>IF($H756="","",IFERROR(INDEX('_ENGINE_Risk'!$H$41:$M$920,MATCH($E756,'_ENGINE_Risk'!$A$41:$A$920,0),$H756+1),""))</f>
        <v/>
      </c>
      <c r="H756">
        <f>IFERROR(VALUE(INDEX(_DATA_Assessment_Model!$H$5:$H$884,MATCH($E756,_DATA_Assessment_Model!$A$5:$A$884,0))),"")</f>
        <v/>
      </c>
      <c r="I756">
        <f>IF($H756="","",IFERROR(INDEX(_DATA_Assessment_Model!$L$5:$L$884,MATCH($E756,_DATA_Assessment_Model!$A$5:$A$884,0)),IF($H756&lt;=1,"Critical",IF($H756=2,"High",IF($H756=3,"Medium",IF($H756=4,"Low","Resilient"))))))</f>
        <v/>
      </c>
      <c r="J756">
        <f>IF($H756="","",MIN(5,MAX(1,6-$H756)))</f>
        <v/>
      </c>
      <c r="K756">
        <f>IF($H756="","",MAX(1,MIN(5,ROUNDUP(($U756*0.45)+($W756*0.35)+($X756*0.2),0))))</f>
        <v/>
      </c>
      <c r="L756">
        <f>IF($H756="","",$J756*$K756)</f>
        <v/>
      </c>
      <c r="M756">
        <f>IF($H756="","",MAX(1,MIN(5,ROUNDUP($L756/5,0))))</f>
        <v/>
      </c>
      <c r="N756">
        <f>IF($H756="","",IFERROR(INDEX('_ENGINE_Risk'!$T$41:$Y$920,MATCH($E756,'_ENGINE_Risk'!$A$41:$A$920,0),$H756+1),""))</f>
        <v/>
      </c>
      <c r="O756">
        <f>IF($H756="","",MAX(1,MIN(5,($U756+$V756+$X756)/3)))</f>
        <v/>
      </c>
      <c r="P756">
        <f>IF($H756="","",IF($I756="Critical",5,IF($I756="High",4,IF($I756="Medium",3,IF($I756="Low",2,1)))))</f>
        <v/>
      </c>
      <c r="Q756">
        <f>IF($H756="","",MAX(1,MIN(5,((5-$H756)*0.65)+($W756*0.35))))</f>
        <v/>
      </c>
      <c r="R756">
        <f>IF($H756="","",MAX(1,MIN(5,($V756+$X756)/2)))</f>
        <v/>
      </c>
      <c r="S756">
        <f>IF(OR($H756="",$N756=""),"",ROUND(($O756+$P756+$Q756+$R756)/$N756,2))</f>
        <v/>
      </c>
      <c r="T756">
        <f>IF($H756="","",IFERROR(INDEX('_ENGINE_Risk'!$N$41:$S$920,MATCH($E756,'_ENGINE_Risk'!$A$41:$A$920,0),$H756+1),""))</f>
        <v/>
      </c>
      <c r="U756">
        <f>IFERROR(INDEX(_DATA_Assessment_Model!$G$5:$G$884,MATCH($E756,_DATA_Assessment_Model!$A$5:$A$884,0)),"")</f>
        <v/>
      </c>
      <c r="V756">
        <f>IFERROR(INDEX(_DATA_Assessment_Model!$W$5:$W$884,MATCH($E756,_DATA_Assessment_Model!$A$5:$A$884,0)),"")</f>
        <v/>
      </c>
      <c r="W756">
        <f>IFERROR(INDEX(_DATA_Assessment_Model!$X$5:$X$884,MATCH($E756,_DATA_Assessment_Model!$A$5:$A$884,0)),"")</f>
        <v/>
      </c>
      <c r="X756">
        <f>IFERROR(INDEX(_DATA_Assessment_Model!$Y$5:$Y$884,MATCH($E756,_DATA_Assessment_Model!$A$5:$A$884,0)),"")</f>
        <v/>
      </c>
      <c r="Y756" t="inlineStr">
        <is>
          <t>Demand shock; Revenue loss; Reputation crisis</t>
        </is>
      </c>
      <c r="Z756" t="inlineStr">
        <is>
          <t>CCO / Sales Ops</t>
        </is>
      </c>
      <c r="AA756" t="inlineStr">
        <is>
          <t>Policy/SOP; owner/RACI; system report; dashboard; contracts; test records; incident history; interview evidence related to pipeline qualification criteria and stage exit rules.</t>
        </is>
      </c>
      <c r="AB756">
        <f>IFERROR(INDEX(_DATA_Assessment_Model!$U$5:$U$884,MATCH($E756,_DATA_Assessment_Model!$A$5:$A$884,0)),"")</f>
        <v/>
      </c>
      <c r="AF756" t="inlineStr">
        <is>
          <t>How mature is the organization in managing pipeline qualification criteria and stage exit rules, including ownership, evidence, metrics, fallback procedures and crisis stress testing?</t>
        </is>
      </c>
      <c r="AO756">
        <f>IF($B756="Yes",IFERROR(INDEX(_ENGINE_Crisis!$F$501:$F$517,MATCH($C756,_ENGINE_Crisis!$A$501:$A$517,0)),1),"")</f>
        <v/>
      </c>
      <c r="AP756">
        <f>IF(AO756="","",ROUND($L756*AO756,1))</f>
        <v/>
      </c>
      <c r="AQ756">
        <f>IF(OR(AO756="",$S756=""),"",ROUND($S756*(0.7+0.3*AO756),2))</f>
        <v/>
      </c>
      <c r="AR756">
        <f>IFERROR(INDEX(_ENGINE_Crisis!$E$41:$E$700,MATCH('Resilience &amp; Risk Scenario'!$B$60&amp;"|"&amp;$C756,_ENGINE_Crisis!$I$41:$I$700,0)),"")</f>
        <v/>
      </c>
      <c r="AS756">
        <f>IFERROR(INDEX(_ENGINE_Crisis!$G$41:$G$700,MATCH('Resilience &amp; Risk Scenario'!$B$60&amp;"|"&amp;$C756,_ENGINE_Crisis!$I$41:$I$700,0)),"")</f>
        <v/>
      </c>
      <c r="AT756">
        <f>IFERROR(INDEX(_ENGINE_Initiatives!$A$5:$A$532,MATCH(1,INDEX((_ENGINE_Initiatives!$B$5:$B$532=$C756)*(_ENGINE_Initiatives!$C$5:$C$532=$D756),0),0)),"")</f>
        <v/>
      </c>
      <c r="AU756">
        <f>IFERROR(INDEX(_ENGINE_Initiatives!$F$5:$F$532,MATCH(1,INDEX((_ENGINE_Initiatives!$B$5:$B$532=$C756)*(_ENGINE_Initiatives!$C$5:$C$532=$D756),0),0)),"")</f>
        <v/>
      </c>
      <c r="AV756">
        <f>IFERROR(INDEX(_ENGINE_Initiatives!$AC$5:$AC$532,MATCH(1,INDEX((_ENGINE_Initiatives!$B$5:$B$532=$C756)*(_ENGINE_Initiatives!$C$5:$C$532=$D756),0),0)),"")</f>
        <v/>
      </c>
      <c r="AW756">
        <f>IFERROR(INDEX(_ENGINE_Initiatives!$AE$5:$AE$532,MATCH(1,INDEX((_ENGINE_Initiatives!$B$5:$B$532=$C756)*(_ENGINE_Initiatives!$C$5:$C$532=$D756),0),0)),"")</f>
        <v/>
      </c>
      <c r="AX756">
        <f>IF($B756="Yes",IFERROR(IF(SUMIFS(_REF_Model_Content!$E$1:$E$613,_REF_Model_Content!$A$1:$A$613,'Company Profile'!$B$9,_REF_Model_Content!$B$1:$B$613,$C756)=0,1,SUMIFS(_REF_Model_Content!$E$1:$E$613,_REF_Model_Content!$A$1:$A$613,'Company Profile'!$B$9,_REF_Model_Content!$B$1:$B$613,$C756)),1),"")</f>
        <v/>
      </c>
      <c r="AY756">
        <f>IF($L756="","",ROUND(IF($AP756="",$L756,$AP756)*IF($AX756="",1,$AX756),2))</f>
        <v/>
      </c>
      <c r="AZ756">
        <f>IF($S756="","",ROUND(IF($AQ756="",$S756,$AQ756)*IF($AX756="",1,$AX756),2))</f>
        <v/>
      </c>
      <c r="BB756">
        <f>IF($H756="","",IFERROR(INDEX('_ENGINE_Risk'!$AE$41:$AE$920,MATCH($E756,'_ENGINE_Risk'!$A$41:$A$920,0)),"Medium"))</f>
        <v/>
      </c>
      <c r="BC756">
        <f>IF($BB756="","",IF($BB756="Fast",1.25,IF($BB756="Slow",0.85,1)))</f>
        <v/>
      </c>
      <c r="BD756">
        <f>IF(OR($AZ756="",$BC756=""),"",ROUND($AZ756*$BC756,2))</f>
        <v/>
      </c>
      <c r="BF756">
        <f>IF(OR($H756="",$J756=""),"",_xlfn.IFNA(VLOOKUP($J756,_CONFIG_Model_Settings!$D$610:$E$614,2,0),""))</f>
        <v/>
      </c>
      <c r="BG756">
        <f>IF(OR($H756="",$K756=""),"",ROUND('Company Profile'!$B$569*INDEX(_CONFIG_Model_Settings!$H$610:$H$614,MATCH($K756,_CONFIG_Model_Settings!$G$610:$G$614,0)),0))</f>
        <v/>
      </c>
      <c r="BH756">
        <f>IF(OR($BF756="",$BG756=""),"",ROUND($BF756*$BG756,1))</f>
        <v/>
      </c>
      <c r="BI756">
        <f>IF($BH756="","",IF($AO756="",$BH756,ROUND($BH756*$AO756,1)))</f>
        <v/>
      </c>
      <c r="BJ756">
        <f>IF($E756="","",IFERROR(VLOOKUP($C756,'_CONFIG_Risk_Calibration'!$A$5:$H$21,2,FALSE),3))</f>
        <v/>
      </c>
      <c r="BK756">
        <f>IF($E756="","",IFERROR(VLOOKUP($C756,'_CONFIG_Risk_Calibration'!$A$5:$H$21,3,FALSE),0))</f>
        <v/>
      </c>
      <c r="BL756">
        <f>IF($E756="","",IFERROR(VLOOKUP($C756,'_CONFIG_Risk_Calibration'!$A$5:$H$21,4,FALSE),3))</f>
        <v/>
      </c>
      <c r="BM756">
        <f>IF($E756="","",IFERROR(VLOOKUP($C756,'_CONFIG_Risk_Calibration'!$A$5:$H$21,5,FALSE),3))</f>
        <v/>
      </c>
      <c r="BN756">
        <f>IF($E756="","",IFERROR(VLOOKUP($C756,'_CONFIG_Risk_Calibration'!$A$5:$H$21,6,FALSE),"No"))</f>
        <v/>
      </c>
      <c r="BO756">
        <f>IF($E756="","",IFERROR(VLOOKUP($C756,'_CONFIG_Risk_Calibration'!$A$5:$H$21,7,FALSE),1))</f>
        <v/>
      </c>
      <c r="BP756">
        <f>IF($H756="","",MAX(1,MIN(5,((6-$H756)*0.45)+($BJ756*0.20)+('Resilience &amp; Risk Scenario'!$B$7*0.15)+($BK756*0.10)+($BL756*0.05)+(IF($BB756="Fast",5,IF($BB756="Slow",1,3))*0.05))))</f>
        <v/>
      </c>
      <c r="BQ756">
        <f>IF($H756="","",MAX(IF($BN756="Yes",$BO756,1),MIN(5,($U756*0.20)+($V756*0.15)+($W756*0.25)+($X756*0.15)+($BJ756*0.10)+($BM756*0.15))))</f>
        <v/>
      </c>
      <c r="BR756">
        <f>IF(OR($BP756="",$BQ756=""),"",ROUND($BP756*$BQ756,2))</f>
        <v/>
      </c>
      <c r="BS756">
        <f>IF($BR756="","",ROUND($BR756*IF($AO756="",1,$AO756)*IF($AX756="",1,$AX756)*(1+(($BM756-3)*0.10))*IF($BC756="",1,$BC756),2))</f>
        <v/>
      </c>
    </row>
    <row r="757" ht="69.90000000000001" customHeight="1" s="209">
      <c r="A757">
        <f>IF($BD757="","",SUMPRODUCT(ISNUMBER($BD$500:$BD$923)*($BD$500:$BD$923&gt;$BD757))+COUNTIF($BD$500:$BD757,$BD757))</f>
        <v/>
      </c>
      <c r="B757">
        <f>IF($H757="","",IF($H757&lt;5,"Yes","Maintain"))</f>
        <v/>
      </c>
      <c r="C757" t="inlineStr">
        <is>
          <t>Sales CRM</t>
        </is>
      </c>
      <c r="D757" t="inlineStr">
        <is>
          <t>Pipeline and forecast</t>
        </is>
      </c>
      <c r="E757" t="inlineStr">
        <is>
          <t>SALE-007</t>
        </is>
      </c>
      <c r="F757" t="inlineStr">
        <is>
          <t>Revenue, sales pipeline and CRM continuity</t>
        </is>
      </c>
      <c r="G757">
        <f>IF($H757="","",IFERROR(INDEX('_ENGINE_Risk'!$H$41:$M$920,MATCH($E757,'_ENGINE_Risk'!$A$41:$A$920,0),$H757+1),""))</f>
        <v/>
      </c>
      <c r="H757">
        <f>IFERROR(VALUE(INDEX(_DATA_Assessment_Model!$H$5:$H$884,MATCH($E757,_DATA_Assessment_Model!$A$5:$A$884,0))),"")</f>
        <v/>
      </c>
      <c r="I757">
        <f>IF($H757="","",IFERROR(INDEX(_DATA_Assessment_Model!$L$5:$L$884,MATCH($E757,_DATA_Assessment_Model!$A$5:$A$884,0)),IF($H757&lt;=1,"Critical",IF($H757=2,"High",IF($H757=3,"Medium",IF($H757=4,"Low","Resilient"))))))</f>
        <v/>
      </c>
      <c r="J757">
        <f>IF($H757="","",MIN(5,MAX(1,6-$H757)))</f>
        <v/>
      </c>
      <c r="K757">
        <f>IF($H757="","",MAX(1,MIN(5,ROUNDUP(($U757*0.45)+($W757*0.35)+($X757*0.2),0))))</f>
        <v/>
      </c>
      <c r="L757">
        <f>IF($H757="","",$J757*$K757)</f>
        <v/>
      </c>
      <c r="M757">
        <f>IF($H757="","",MAX(1,MIN(5,ROUNDUP($L757/5,0))))</f>
        <v/>
      </c>
      <c r="N757">
        <f>IF($H757="","",IFERROR(INDEX('_ENGINE_Risk'!$T$41:$Y$920,MATCH($E757,'_ENGINE_Risk'!$A$41:$A$920,0),$H757+1),""))</f>
        <v/>
      </c>
      <c r="O757">
        <f>IF($H757="","",MAX(1,MIN(5,($U757+$V757+$X757)/3)))</f>
        <v/>
      </c>
      <c r="P757">
        <f>IF($H757="","",IF($I757="Critical",5,IF($I757="High",4,IF($I757="Medium",3,IF($I757="Low",2,1)))))</f>
        <v/>
      </c>
      <c r="Q757">
        <f>IF($H757="","",MAX(1,MIN(5,((5-$H757)*0.65)+($W757*0.35))))</f>
        <v/>
      </c>
      <c r="R757">
        <f>IF($H757="","",MAX(1,MIN(5,($V757+$X757)/2)))</f>
        <v/>
      </c>
      <c r="S757">
        <f>IF(OR($H757="",$N757=""),"",ROUND(($O757+$P757+$Q757+$R757)/$N757,2))</f>
        <v/>
      </c>
      <c r="T757">
        <f>IF($H757="","",IFERROR(INDEX('_ENGINE_Risk'!$N$41:$S$920,MATCH($E757,'_ENGINE_Risk'!$A$41:$A$920,0),$H757+1),""))</f>
        <v/>
      </c>
      <c r="U757">
        <f>IFERROR(INDEX(_DATA_Assessment_Model!$G$5:$G$884,MATCH($E757,_DATA_Assessment_Model!$A$5:$A$884,0)),"")</f>
        <v/>
      </c>
      <c r="V757">
        <f>IFERROR(INDEX(_DATA_Assessment_Model!$W$5:$W$884,MATCH($E757,_DATA_Assessment_Model!$A$5:$A$884,0)),"")</f>
        <v/>
      </c>
      <c r="W757">
        <f>IFERROR(INDEX(_DATA_Assessment_Model!$X$5:$X$884,MATCH($E757,_DATA_Assessment_Model!$A$5:$A$884,0)),"")</f>
        <v/>
      </c>
      <c r="X757">
        <f>IFERROR(INDEX(_DATA_Assessment_Model!$Y$5:$Y$884,MATCH($E757,_DATA_Assessment_Model!$A$5:$A$884,0)),"")</f>
        <v/>
      </c>
      <c r="Y757" t="inlineStr">
        <is>
          <t>Demand shock; Revenue loss; Reputation crisis</t>
        </is>
      </c>
      <c r="Z757" t="inlineStr">
        <is>
          <t>CCO / Sales Ops</t>
        </is>
      </c>
      <c r="AA757" t="inlineStr">
        <is>
          <t>Policy/SOP; owner/RACI; system report; dashboard; contracts; test records; incident history; interview evidence related to pipeline coverage relative to targets, sales cycle, win rate and crisis scenarios.</t>
        </is>
      </c>
      <c r="AB757">
        <f>IFERROR(INDEX(_DATA_Assessment_Model!$U$5:$U$884,MATCH($E757,_DATA_Assessment_Model!$A$5:$A$884,0)),"")</f>
        <v/>
      </c>
      <c r="AF757" t="inlineStr">
        <is>
          <t>How mature is the organization in managing pipeline coverage relative to targets, sales cycle, win rate and crisis scenarios, including ownership, evidence, metrics, fallback procedures and crisis stress testing?</t>
        </is>
      </c>
      <c r="AO757">
        <f>IF($B757="Yes",IFERROR(INDEX(_ENGINE_Crisis!$F$501:$F$517,MATCH($C757,_ENGINE_Crisis!$A$501:$A$517,0)),1),"")</f>
        <v/>
      </c>
      <c r="AP757">
        <f>IF(AO757="","",ROUND($L757*AO757,1))</f>
        <v/>
      </c>
      <c r="AQ757">
        <f>IF(OR(AO757="",$S757=""),"",ROUND($S757*(0.7+0.3*AO757),2))</f>
        <v/>
      </c>
      <c r="AR757">
        <f>IFERROR(INDEX(_ENGINE_Crisis!$E$41:$E$700,MATCH('Resilience &amp; Risk Scenario'!$B$60&amp;"|"&amp;$C757,_ENGINE_Crisis!$I$41:$I$700,0)),"")</f>
        <v/>
      </c>
      <c r="AS757">
        <f>IFERROR(INDEX(_ENGINE_Crisis!$G$41:$G$700,MATCH('Resilience &amp; Risk Scenario'!$B$60&amp;"|"&amp;$C757,_ENGINE_Crisis!$I$41:$I$700,0)),"")</f>
        <v/>
      </c>
      <c r="AT757">
        <f>IFERROR(INDEX(_ENGINE_Initiatives!$A$5:$A$532,MATCH(1,INDEX((_ENGINE_Initiatives!$B$5:$B$532=$C757)*(_ENGINE_Initiatives!$C$5:$C$532=$D757),0),0)),"")</f>
        <v/>
      </c>
      <c r="AU757">
        <f>IFERROR(INDEX(_ENGINE_Initiatives!$F$5:$F$532,MATCH(1,INDEX((_ENGINE_Initiatives!$B$5:$B$532=$C757)*(_ENGINE_Initiatives!$C$5:$C$532=$D757),0),0)),"")</f>
        <v/>
      </c>
      <c r="AV757">
        <f>IFERROR(INDEX(_ENGINE_Initiatives!$AC$5:$AC$532,MATCH(1,INDEX((_ENGINE_Initiatives!$B$5:$B$532=$C757)*(_ENGINE_Initiatives!$C$5:$C$532=$D757),0),0)),"")</f>
        <v/>
      </c>
      <c r="AW757">
        <f>IFERROR(INDEX(_ENGINE_Initiatives!$AE$5:$AE$532,MATCH(1,INDEX((_ENGINE_Initiatives!$B$5:$B$532=$C757)*(_ENGINE_Initiatives!$C$5:$C$532=$D757),0),0)),"")</f>
        <v/>
      </c>
      <c r="AX757">
        <f>IF($B757="Yes",IFERROR(IF(SUMIFS(_REF_Model_Content!$E$1:$E$613,_REF_Model_Content!$A$1:$A$613,'Company Profile'!$B$9,_REF_Model_Content!$B$1:$B$613,$C757)=0,1,SUMIFS(_REF_Model_Content!$E$1:$E$613,_REF_Model_Content!$A$1:$A$613,'Company Profile'!$B$9,_REF_Model_Content!$B$1:$B$613,$C757)),1),"")</f>
        <v/>
      </c>
      <c r="AY757">
        <f>IF($L757="","",ROUND(IF($AP757="",$L757,$AP757)*IF($AX757="",1,$AX757),2))</f>
        <v/>
      </c>
      <c r="AZ757">
        <f>IF($S757="","",ROUND(IF($AQ757="",$S757,$AQ757)*IF($AX757="",1,$AX757),2))</f>
        <v/>
      </c>
      <c r="BB757">
        <f>IF($H757="","",IFERROR(INDEX('_ENGINE_Risk'!$AE$41:$AE$920,MATCH($E757,'_ENGINE_Risk'!$A$41:$A$920,0)),"Medium"))</f>
        <v/>
      </c>
      <c r="BC757">
        <f>IF($BB757="","",IF($BB757="Fast",1.25,IF($BB757="Slow",0.85,1)))</f>
        <v/>
      </c>
      <c r="BD757">
        <f>IF(OR($AZ757="",$BC757=""),"",ROUND($AZ757*$BC757,2))</f>
        <v/>
      </c>
      <c r="BF757">
        <f>IF(OR($H757="",$J757=""),"",_xlfn.IFNA(VLOOKUP($J757,_CONFIG_Model_Settings!$D$610:$E$614,2,0),""))</f>
        <v/>
      </c>
      <c r="BG757">
        <f>IF(OR($H757="",$K757=""),"",ROUND('Company Profile'!$B$569*INDEX(_CONFIG_Model_Settings!$H$610:$H$614,MATCH($K757,_CONFIG_Model_Settings!$G$610:$G$614,0)),0))</f>
        <v/>
      </c>
      <c r="BH757">
        <f>IF(OR($BF757="",$BG757=""),"",ROUND($BF757*$BG757,1))</f>
        <v/>
      </c>
      <c r="BI757">
        <f>IF($BH757="","",IF($AO757="",$BH757,ROUND($BH757*$AO757,1)))</f>
        <v/>
      </c>
      <c r="BJ757">
        <f>IF($E757="","",IFERROR(VLOOKUP($C757,'_CONFIG_Risk_Calibration'!$A$5:$H$21,2,FALSE),3))</f>
        <v/>
      </c>
      <c r="BK757">
        <f>IF($E757="","",IFERROR(VLOOKUP($C757,'_CONFIG_Risk_Calibration'!$A$5:$H$21,3,FALSE),0))</f>
        <v/>
      </c>
      <c r="BL757">
        <f>IF($E757="","",IFERROR(VLOOKUP($C757,'_CONFIG_Risk_Calibration'!$A$5:$H$21,4,FALSE),3))</f>
        <v/>
      </c>
      <c r="BM757">
        <f>IF($E757="","",IFERROR(VLOOKUP($C757,'_CONFIG_Risk_Calibration'!$A$5:$H$21,5,FALSE),3))</f>
        <v/>
      </c>
      <c r="BN757">
        <f>IF($E757="","",IFERROR(VLOOKUP($C757,'_CONFIG_Risk_Calibration'!$A$5:$H$21,6,FALSE),"No"))</f>
        <v/>
      </c>
      <c r="BO757">
        <f>IF($E757="","",IFERROR(VLOOKUP($C757,'_CONFIG_Risk_Calibration'!$A$5:$H$21,7,FALSE),1))</f>
        <v/>
      </c>
      <c r="BP757">
        <f>IF($H757="","",MAX(1,MIN(5,((6-$H757)*0.45)+($BJ757*0.20)+('Resilience &amp; Risk Scenario'!$B$7*0.15)+($BK757*0.10)+($BL757*0.05)+(IF($BB757="Fast",5,IF($BB757="Slow",1,3))*0.05))))</f>
        <v/>
      </c>
      <c r="BQ757">
        <f>IF($H757="","",MAX(IF($BN757="Yes",$BO757,1),MIN(5,($U757*0.20)+($V757*0.15)+($W757*0.25)+($X757*0.15)+($BJ757*0.10)+($BM757*0.15))))</f>
        <v/>
      </c>
      <c r="BR757">
        <f>IF(OR($BP757="",$BQ757=""),"",ROUND($BP757*$BQ757,2))</f>
        <v/>
      </c>
      <c r="BS757">
        <f>IF($BR757="","",ROUND($BR757*IF($AO757="",1,$AO757)*IF($AX757="",1,$AX757)*(1+(($BM757-3)*0.10))*IF($BC757="",1,$BC757),2))</f>
        <v/>
      </c>
    </row>
    <row r="758" ht="69.90000000000001" customHeight="1" s="209">
      <c r="A758">
        <f>IF($BD758="","",SUMPRODUCT(ISNUMBER($BD$500:$BD$923)*($BD$500:$BD$923&gt;$BD758))+COUNTIF($BD$500:$BD758,$BD758))</f>
        <v/>
      </c>
      <c r="B758">
        <f>IF($H758="","",IF($H758&lt;5,"Yes","Maintain"))</f>
        <v/>
      </c>
      <c r="C758" t="inlineStr">
        <is>
          <t>Sales CRM</t>
        </is>
      </c>
      <c r="D758" t="inlineStr">
        <is>
          <t>Pipeline and forecast</t>
        </is>
      </c>
      <c r="E758" t="inlineStr">
        <is>
          <t>SALE-008</t>
        </is>
      </c>
      <c r="F758" t="inlineStr">
        <is>
          <t>Revenue, sales pipeline and CRM continuity</t>
        </is>
      </c>
      <c r="G758">
        <f>IF($H758="","",IFERROR(INDEX('_ENGINE_Risk'!$H$41:$M$920,MATCH($E758,'_ENGINE_Risk'!$A$41:$A$920,0),$H758+1),""))</f>
        <v/>
      </c>
      <c r="H758">
        <f>IFERROR(VALUE(INDEX(_DATA_Assessment_Model!$H$5:$H$884,MATCH($E758,_DATA_Assessment_Model!$A$5:$A$884,0))),"")</f>
        <v/>
      </c>
      <c r="I758">
        <f>IF($H758="","",IFERROR(INDEX(_DATA_Assessment_Model!$L$5:$L$884,MATCH($E758,_DATA_Assessment_Model!$A$5:$A$884,0)),IF($H758&lt;=1,"Critical",IF($H758=2,"High",IF($H758=3,"Medium",IF($H758=4,"Low","Resilient"))))))</f>
        <v/>
      </c>
      <c r="J758">
        <f>IF($H758="","",MIN(5,MAX(1,6-$H758)))</f>
        <v/>
      </c>
      <c r="K758">
        <f>IF($H758="","",MAX(1,MIN(5,ROUNDUP(($U758*0.45)+($W758*0.35)+($X758*0.2),0))))</f>
        <v/>
      </c>
      <c r="L758">
        <f>IF($H758="","",$J758*$K758)</f>
        <v/>
      </c>
      <c r="M758">
        <f>IF($H758="","",MAX(1,MIN(5,ROUNDUP($L758/5,0))))</f>
        <v/>
      </c>
      <c r="N758">
        <f>IF($H758="","",IFERROR(INDEX('_ENGINE_Risk'!$T$41:$Y$920,MATCH($E758,'_ENGINE_Risk'!$A$41:$A$920,0),$H758+1),""))</f>
        <v/>
      </c>
      <c r="O758">
        <f>IF($H758="","",MAX(1,MIN(5,($U758+$V758+$X758)/3)))</f>
        <v/>
      </c>
      <c r="P758">
        <f>IF($H758="","",IF($I758="Critical",5,IF($I758="High",4,IF($I758="Medium",3,IF($I758="Low",2,1)))))</f>
        <v/>
      </c>
      <c r="Q758">
        <f>IF($H758="","",MAX(1,MIN(5,((5-$H758)*0.65)+($W758*0.35))))</f>
        <v/>
      </c>
      <c r="R758">
        <f>IF($H758="","",MAX(1,MIN(5,($V758+$X758)/2)))</f>
        <v/>
      </c>
      <c r="S758">
        <f>IF(OR($H758="",$N758=""),"",ROUND(($O758+$P758+$Q758+$R758)/$N758,2))</f>
        <v/>
      </c>
      <c r="T758">
        <f>IF($H758="","",IFERROR(INDEX('_ENGINE_Risk'!$N$41:$S$920,MATCH($E758,'_ENGINE_Risk'!$A$41:$A$920,0),$H758+1),""))</f>
        <v/>
      </c>
      <c r="U758">
        <f>IFERROR(INDEX(_DATA_Assessment_Model!$G$5:$G$884,MATCH($E758,_DATA_Assessment_Model!$A$5:$A$884,0)),"")</f>
        <v/>
      </c>
      <c r="V758">
        <f>IFERROR(INDEX(_DATA_Assessment_Model!$W$5:$W$884,MATCH($E758,_DATA_Assessment_Model!$A$5:$A$884,0)),"")</f>
        <v/>
      </c>
      <c r="W758">
        <f>IFERROR(INDEX(_DATA_Assessment_Model!$X$5:$X$884,MATCH($E758,_DATA_Assessment_Model!$A$5:$A$884,0)),"")</f>
        <v/>
      </c>
      <c r="X758">
        <f>IFERROR(INDEX(_DATA_Assessment_Model!$Y$5:$Y$884,MATCH($E758,_DATA_Assessment_Model!$A$5:$A$884,0)),"")</f>
        <v/>
      </c>
      <c r="Y758" t="inlineStr">
        <is>
          <t>Demand shock; Revenue loss; Reputation crisis</t>
        </is>
      </c>
      <c r="Z758" t="inlineStr">
        <is>
          <t>CCO / Sales Ops</t>
        </is>
      </c>
      <c r="AA758" t="inlineStr">
        <is>
          <t>Policy/SOP; owner/RACI; system report; dashboard; contracts; test records; incident history; interview evidence related to sales forecast cadence connected to finance, delivery and supply planning.</t>
        </is>
      </c>
      <c r="AB758">
        <f>IFERROR(INDEX(_DATA_Assessment_Model!$U$5:$U$884,MATCH($E758,_DATA_Assessment_Model!$A$5:$A$884,0)),"")</f>
        <v/>
      </c>
      <c r="AF758" t="inlineStr">
        <is>
          <t>How mature is the organization in managing sales forecast cadence connected to finance, delivery and supply planning, including ownership, evidence, metrics, fallback procedures and crisis stress testing?</t>
        </is>
      </c>
      <c r="AO758">
        <f>IF($B758="Yes",IFERROR(INDEX(_ENGINE_Crisis!$F$501:$F$517,MATCH($C758,_ENGINE_Crisis!$A$501:$A$517,0)),1),"")</f>
        <v/>
      </c>
      <c r="AP758">
        <f>IF(AO758="","",ROUND($L758*AO758,1))</f>
        <v/>
      </c>
      <c r="AQ758">
        <f>IF(OR(AO758="",$S758=""),"",ROUND($S758*(0.7+0.3*AO758),2))</f>
        <v/>
      </c>
      <c r="AR758">
        <f>IFERROR(INDEX(_ENGINE_Crisis!$E$41:$E$700,MATCH('Resilience &amp; Risk Scenario'!$B$60&amp;"|"&amp;$C758,_ENGINE_Crisis!$I$41:$I$700,0)),"")</f>
        <v/>
      </c>
      <c r="AS758">
        <f>IFERROR(INDEX(_ENGINE_Crisis!$G$41:$G$700,MATCH('Resilience &amp; Risk Scenario'!$B$60&amp;"|"&amp;$C758,_ENGINE_Crisis!$I$41:$I$700,0)),"")</f>
        <v/>
      </c>
      <c r="AT758">
        <f>IFERROR(INDEX(_ENGINE_Initiatives!$A$5:$A$532,MATCH(1,INDEX((_ENGINE_Initiatives!$B$5:$B$532=$C758)*(_ENGINE_Initiatives!$C$5:$C$532=$D758),0),0)),"")</f>
        <v/>
      </c>
      <c r="AU758">
        <f>IFERROR(INDEX(_ENGINE_Initiatives!$F$5:$F$532,MATCH(1,INDEX((_ENGINE_Initiatives!$B$5:$B$532=$C758)*(_ENGINE_Initiatives!$C$5:$C$532=$D758),0),0)),"")</f>
        <v/>
      </c>
      <c r="AV758">
        <f>IFERROR(INDEX(_ENGINE_Initiatives!$AC$5:$AC$532,MATCH(1,INDEX((_ENGINE_Initiatives!$B$5:$B$532=$C758)*(_ENGINE_Initiatives!$C$5:$C$532=$D758),0),0)),"")</f>
        <v/>
      </c>
      <c r="AW758">
        <f>IFERROR(INDEX(_ENGINE_Initiatives!$AE$5:$AE$532,MATCH(1,INDEX((_ENGINE_Initiatives!$B$5:$B$532=$C758)*(_ENGINE_Initiatives!$C$5:$C$532=$D758),0),0)),"")</f>
        <v/>
      </c>
      <c r="AX758">
        <f>IF($B758="Yes",IFERROR(IF(SUMIFS(_REF_Model_Content!$E$1:$E$613,_REF_Model_Content!$A$1:$A$613,'Company Profile'!$B$9,_REF_Model_Content!$B$1:$B$613,$C758)=0,1,SUMIFS(_REF_Model_Content!$E$1:$E$613,_REF_Model_Content!$A$1:$A$613,'Company Profile'!$B$9,_REF_Model_Content!$B$1:$B$613,$C758)),1),"")</f>
        <v/>
      </c>
      <c r="AY758">
        <f>IF($L758="","",ROUND(IF($AP758="",$L758,$AP758)*IF($AX758="",1,$AX758),2))</f>
        <v/>
      </c>
      <c r="AZ758">
        <f>IF($S758="","",ROUND(IF($AQ758="",$S758,$AQ758)*IF($AX758="",1,$AX758),2))</f>
        <v/>
      </c>
      <c r="BB758">
        <f>IF($H758="","",IFERROR(INDEX('_ENGINE_Risk'!$AE$41:$AE$920,MATCH($E758,'_ENGINE_Risk'!$A$41:$A$920,0)),"Medium"))</f>
        <v/>
      </c>
      <c r="BC758">
        <f>IF($BB758="","",IF($BB758="Fast",1.25,IF($BB758="Slow",0.85,1)))</f>
        <v/>
      </c>
      <c r="BD758">
        <f>IF(OR($AZ758="",$BC758=""),"",ROUND($AZ758*$BC758,2))</f>
        <v/>
      </c>
      <c r="BF758">
        <f>IF(OR($H758="",$J758=""),"",_xlfn.IFNA(VLOOKUP($J758,_CONFIG_Model_Settings!$D$610:$E$614,2,0),""))</f>
        <v/>
      </c>
      <c r="BG758">
        <f>IF(OR($H758="",$K758=""),"",ROUND('Company Profile'!$B$569*INDEX(_CONFIG_Model_Settings!$H$610:$H$614,MATCH($K758,_CONFIG_Model_Settings!$G$610:$G$614,0)),0))</f>
        <v/>
      </c>
      <c r="BH758">
        <f>IF(OR($BF758="",$BG758=""),"",ROUND($BF758*$BG758,1))</f>
        <v/>
      </c>
      <c r="BI758">
        <f>IF($BH758="","",IF($AO758="",$BH758,ROUND($BH758*$AO758,1)))</f>
        <v/>
      </c>
      <c r="BJ758">
        <f>IF($E758="","",IFERROR(VLOOKUP($C758,'_CONFIG_Risk_Calibration'!$A$5:$H$21,2,FALSE),3))</f>
        <v/>
      </c>
      <c r="BK758">
        <f>IF($E758="","",IFERROR(VLOOKUP($C758,'_CONFIG_Risk_Calibration'!$A$5:$H$21,3,FALSE),0))</f>
        <v/>
      </c>
      <c r="BL758">
        <f>IF($E758="","",IFERROR(VLOOKUP($C758,'_CONFIG_Risk_Calibration'!$A$5:$H$21,4,FALSE),3))</f>
        <v/>
      </c>
      <c r="BM758">
        <f>IF($E758="","",IFERROR(VLOOKUP($C758,'_CONFIG_Risk_Calibration'!$A$5:$H$21,5,FALSE),3))</f>
        <v/>
      </c>
      <c r="BN758">
        <f>IF($E758="","",IFERROR(VLOOKUP($C758,'_CONFIG_Risk_Calibration'!$A$5:$H$21,6,FALSE),"No"))</f>
        <v/>
      </c>
      <c r="BO758">
        <f>IF($E758="","",IFERROR(VLOOKUP($C758,'_CONFIG_Risk_Calibration'!$A$5:$H$21,7,FALSE),1))</f>
        <v/>
      </c>
      <c r="BP758">
        <f>IF($H758="","",MAX(1,MIN(5,((6-$H758)*0.45)+($BJ758*0.20)+('Resilience &amp; Risk Scenario'!$B$7*0.15)+($BK758*0.10)+($BL758*0.05)+(IF($BB758="Fast",5,IF($BB758="Slow",1,3))*0.05))))</f>
        <v/>
      </c>
      <c r="BQ758">
        <f>IF($H758="","",MAX(IF($BN758="Yes",$BO758,1),MIN(5,($U758*0.20)+($V758*0.15)+($W758*0.25)+($X758*0.15)+($BJ758*0.10)+($BM758*0.15))))</f>
        <v/>
      </c>
      <c r="BR758">
        <f>IF(OR($BP758="",$BQ758=""),"",ROUND($BP758*$BQ758,2))</f>
        <v/>
      </c>
      <c r="BS758">
        <f>IF($BR758="","",ROUND($BR758*IF($AO758="",1,$AO758)*IF($AX758="",1,$AX758)*(1+(($BM758-3)*0.10))*IF($BC758="",1,$BC758),2))</f>
        <v/>
      </c>
    </row>
    <row r="759" ht="69.90000000000001" customHeight="1" s="209">
      <c r="A759">
        <f>IF($BD759="","",SUMPRODUCT(ISNUMBER($BD$500:$BD$923)*($BD$500:$BD$923&gt;$BD759))+COUNTIF($BD$500:$BD759,$BD759))</f>
        <v/>
      </c>
      <c r="B759">
        <f>IF($H759="","",IF($H759&lt;5,"Yes","Maintain"))</f>
        <v/>
      </c>
      <c r="C759" t="inlineStr">
        <is>
          <t>Sales CRM</t>
        </is>
      </c>
      <c r="D759" t="inlineStr">
        <is>
          <t>Pipeline and forecast</t>
        </is>
      </c>
      <c r="E759" t="inlineStr">
        <is>
          <t>SALE-009</t>
        </is>
      </c>
      <c r="F759" t="inlineStr">
        <is>
          <t>Revenue, sales pipeline and CRM continuity</t>
        </is>
      </c>
      <c r="G759">
        <f>IF($H759="","",IFERROR(INDEX('_ENGINE_Risk'!$H$41:$M$920,MATCH($E759,'_ENGINE_Risk'!$A$41:$A$920,0),$H759+1),""))</f>
        <v/>
      </c>
      <c r="H759">
        <f>IFERROR(VALUE(INDEX(_DATA_Assessment_Model!$H$5:$H$884,MATCH($E759,_DATA_Assessment_Model!$A$5:$A$884,0))),"")</f>
        <v/>
      </c>
      <c r="I759">
        <f>IF($H759="","",IFERROR(INDEX(_DATA_Assessment_Model!$L$5:$L$884,MATCH($E759,_DATA_Assessment_Model!$A$5:$A$884,0)),IF($H759&lt;=1,"Critical",IF($H759=2,"High",IF($H759=3,"Medium",IF($H759=4,"Low","Resilient"))))))</f>
        <v/>
      </c>
      <c r="J759">
        <f>IF($H759="","",MIN(5,MAX(1,6-$H759)))</f>
        <v/>
      </c>
      <c r="K759">
        <f>IF($H759="","",MAX(1,MIN(5,ROUNDUP(($U759*0.45)+($W759*0.35)+($X759*0.2),0))))</f>
        <v/>
      </c>
      <c r="L759">
        <f>IF($H759="","",$J759*$K759)</f>
        <v/>
      </c>
      <c r="M759">
        <f>IF($H759="","",MAX(1,MIN(5,ROUNDUP($L759/5,0))))</f>
        <v/>
      </c>
      <c r="N759">
        <f>IF($H759="","",IFERROR(INDEX('_ENGINE_Risk'!$T$41:$Y$920,MATCH($E759,'_ENGINE_Risk'!$A$41:$A$920,0),$H759+1),""))</f>
        <v/>
      </c>
      <c r="O759">
        <f>IF($H759="","",MAX(1,MIN(5,($U759+$V759+$X759)/3)))</f>
        <v/>
      </c>
      <c r="P759">
        <f>IF($H759="","",IF($I759="Critical",5,IF($I759="High",4,IF($I759="Medium",3,IF($I759="Low",2,1)))))</f>
        <v/>
      </c>
      <c r="Q759">
        <f>IF($H759="","",MAX(1,MIN(5,((5-$H759)*0.65)+($W759*0.35))))</f>
        <v/>
      </c>
      <c r="R759">
        <f>IF($H759="","",MAX(1,MIN(5,($V759+$X759)/2)))</f>
        <v/>
      </c>
      <c r="S759">
        <f>IF(OR($H759="",$N759=""),"",ROUND(($O759+$P759+$Q759+$R759)/$N759,2))</f>
        <v/>
      </c>
      <c r="T759">
        <f>IF($H759="","",IFERROR(INDEX('_ENGINE_Risk'!$N$41:$S$920,MATCH($E759,'_ENGINE_Risk'!$A$41:$A$920,0),$H759+1),""))</f>
        <v/>
      </c>
      <c r="U759">
        <f>IFERROR(INDEX(_DATA_Assessment_Model!$G$5:$G$884,MATCH($E759,_DATA_Assessment_Model!$A$5:$A$884,0)),"")</f>
        <v/>
      </c>
      <c r="V759">
        <f>IFERROR(INDEX(_DATA_Assessment_Model!$W$5:$W$884,MATCH($E759,_DATA_Assessment_Model!$A$5:$A$884,0)),"")</f>
        <v/>
      </c>
      <c r="W759">
        <f>IFERROR(INDEX(_DATA_Assessment_Model!$X$5:$X$884,MATCH($E759,_DATA_Assessment_Model!$A$5:$A$884,0)),"")</f>
        <v/>
      </c>
      <c r="X759">
        <f>IFERROR(INDEX(_DATA_Assessment_Model!$Y$5:$Y$884,MATCH($E759,_DATA_Assessment_Model!$A$5:$A$884,0)),"")</f>
        <v/>
      </c>
      <c r="Y759" t="inlineStr">
        <is>
          <t>Demand shock; Revenue loss; Reputation crisis</t>
        </is>
      </c>
      <c r="Z759" t="inlineStr">
        <is>
          <t>CCO / Sales Ops</t>
        </is>
      </c>
      <c r="AA759" t="inlineStr">
        <is>
          <t>Policy/SOP; owner/RACI; system report; dashboard; contracts; test records; incident history; interview evidence related to sales forecast stress tests for delayed decisions, budget cuts and customer churn.</t>
        </is>
      </c>
      <c r="AB759">
        <f>IFERROR(INDEX(_DATA_Assessment_Model!$U$5:$U$884,MATCH($E759,_DATA_Assessment_Model!$A$5:$A$884,0)),"")</f>
        <v/>
      </c>
      <c r="AF759" t="inlineStr">
        <is>
          <t>How mature is the organization in managing sales forecast stress tests for delayed decisions, budget cuts and customer churn, including ownership, evidence, metrics, fallback procedures and crisis stress testing?</t>
        </is>
      </c>
      <c r="AO759">
        <f>IF($B759="Yes",IFERROR(INDEX(_ENGINE_Crisis!$F$501:$F$517,MATCH($C759,_ENGINE_Crisis!$A$501:$A$517,0)),1),"")</f>
        <v/>
      </c>
      <c r="AP759">
        <f>IF(AO759="","",ROUND($L759*AO759,1))</f>
        <v/>
      </c>
      <c r="AQ759">
        <f>IF(OR(AO759="",$S759=""),"",ROUND($S759*(0.7+0.3*AO759),2))</f>
        <v/>
      </c>
      <c r="AR759">
        <f>IFERROR(INDEX(_ENGINE_Crisis!$E$41:$E$700,MATCH('Resilience &amp; Risk Scenario'!$B$60&amp;"|"&amp;$C759,_ENGINE_Crisis!$I$41:$I$700,0)),"")</f>
        <v/>
      </c>
      <c r="AS759">
        <f>IFERROR(INDEX(_ENGINE_Crisis!$G$41:$G$700,MATCH('Resilience &amp; Risk Scenario'!$B$60&amp;"|"&amp;$C759,_ENGINE_Crisis!$I$41:$I$700,0)),"")</f>
        <v/>
      </c>
      <c r="AT759">
        <f>IFERROR(INDEX(_ENGINE_Initiatives!$A$5:$A$532,MATCH(1,INDEX((_ENGINE_Initiatives!$B$5:$B$532=$C759)*(_ENGINE_Initiatives!$C$5:$C$532=$D759),0),0)),"")</f>
        <v/>
      </c>
      <c r="AU759">
        <f>IFERROR(INDEX(_ENGINE_Initiatives!$F$5:$F$532,MATCH(1,INDEX((_ENGINE_Initiatives!$B$5:$B$532=$C759)*(_ENGINE_Initiatives!$C$5:$C$532=$D759),0),0)),"")</f>
        <v/>
      </c>
      <c r="AV759">
        <f>IFERROR(INDEX(_ENGINE_Initiatives!$AC$5:$AC$532,MATCH(1,INDEX((_ENGINE_Initiatives!$B$5:$B$532=$C759)*(_ENGINE_Initiatives!$C$5:$C$532=$D759),0),0)),"")</f>
        <v/>
      </c>
      <c r="AW759">
        <f>IFERROR(INDEX(_ENGINE_Initiatives!$AE$5:$AE$532,MATCH(1,INDEX((_ENGINE_Initiatives!$B$5:$B$532=$C759)*(_ENGINE_Initiatives!$C$5:$C$532=$D759),0),0)),"")</f>
        <v/>
      </c>
      <c r="AX759">
        <f>IF($B759="Yes",IFERROR(IF(SUMIFS(_REF_Model_Content!$E$1:$E$613,_REF_Model_Content!$A$1:$A$613,'Company Profile'!$B$9,_REF_Model_Content!$B$1:$B$613,$C759)=0,1,SUMIFS(_REF_Model_Content!$E$1:$E$613,_REF_Model_Content!$A$1:$A$613,'Company Profile'!$B$9,_REF_Model_Content!$B$1:$B$613,$C759)),1),"")</f>
        <v/>
      </c>
      <c r="AY759">
        <f>IF($L759="","",ROUND(IF($AP759="",$L759,$AP759)*IF($AX759="",1,$AX759),2))</f>
        <v/>
      </c>
      <c r="AZ759">
        <f>IF($S759="","",ROUND(IF($AQ759="",$S759,$AQ759)*IF($AX759="",1,$AX759),2))</f>
        <v/>
      </c>
      <c r="BB759">
        <f>IF($H759="","",IFERROR(INDEX('_ENGINE_Risk'!$AE$41:$AE$920,MATCH($E759,'_ENGINE_Risk'!$A$41:$A$920,0)),"Medium"))</f>
        <v/>
      </c>
      <c r="BC759">
        <f>IF($BB759="","",IF($BB759="Fast",1.25,IF($BB759="Slow",0.85,1)))</f>
        <v/>
      </c>
      <c r="BD759">
        <f>IF(OR($AZ759="",$BC759=""),"",ROUND($AZ759*$BC759,2))</f>
        <v/>
      </c>
      <c r="BF759">
        <f>IF(OR($H759="",$J759=""),"",_xlfn.IFNA(VLOOKUP($J759,_CONFIG_Model_Settings!$D$610:$E$614,2,0),""))</f>
        <v/>
      </c>
      <c r="BG759">
        <f>IF(OR($H759="",$K759=""),"",ROUND('Company Profile'!$B$569*INDEX(_CONFIG_Model_Settings!$H$610:$H$614,MATCH($K759,_CONFIG_Model_Settings!$G$610:$G$614,0)),0))</f>
        <v/>
      </c>
      <c r="BH759">
        <f>IF(OR($BF759="",$BG759=""),"",ROUND($BF759*$BG759,1))</f>
        <v/>
      </c>
      <c r="BI759">
        <f>IF($BH759="","",IF($AO759="",$BH759,ROUND($BH759*$AO759,1)))</f>
        <v/>
      </c>
      <c r="BJ759">
        <f>IF($E759="","",IFERROR(VLOOKUP($C759,'_CONFIG_Risk_Calibration'!$A$5:$H$21,2,FALSE),3))</f>
        <v/>
      </c>
      <c r="BK759">
        <f>IF($E759="","",IFERROR(VLOOKUP($C759,'_CONFIG_Risk_Calibration'!$A$5:$H$21,3,FALSE),0))</f>
        <v/>
      </c>
      <c r="BL759">
        <f>IF($E759="","",IFERROR(VLOOKUP($C759,'_CONFIG_Risk_Calibration'!$A$5:$H$21,4,FALSE),3))</f>
        <v/>
      </c>
      <c r="BM759">
        <f>IF($E759="","",IFERROR(VLOOKUP($C759,'_CONFIG_Risk_Calibration'!$A$5:$H$21,5,FALSE),3))</f>
        <v/>
      </c>
      <c r="BN759">
        <f>IF($E759="","",IFERROR(VLOOKUP($C759,'_CONFIG_Risk_Calibration'!$A$5:$H$21,6,FALSE),"No"))</f>
        <v/>
      </c>
      <c r="BO759">
        <f>IF($E759="","",IFERROR(VLOOKUP($C759,'_CONFIG_Risk_Calibration'!$A$5:$H$21,7,FALSE),1))</f>
        <v/>
      </c>
      <c r="BP759">
        <f>IF($H759="","",MAX(1,MIN(5,((6-$H759)*0.45)+($BJ759*0.20)+('Resilience &amp; Risk Scenario'!$B$7*0.15)+($BK759*0.10)+($BL759*0.05)+(IF($BB759="Fast",5,IF($BB759="Slow",1,3))*0.05))))</f>
        <v/>
      </c>
      <c r="BQ759">
        <f>IF($H759="","",MAX(IF($BN759="Yes",$BO759,1),MIN(5,($U759*0.20)+($V759*0.15)+($W759*0.25)+($X759*0.15)+($BJ759*0.10)+($BM759*0.15))))</f>
        <v/>
      </c>
      <c r="BR759">
        <f>IF(OR($BP759="",$BQ759=""),"",ROUND($BP759*$BQ759,2))</f>
        <v/>
      </c>
      <c r="BS759">
        <f>IF($BR759="","",ROUND($BR759*IF($AO759="",1,$AO759)*IF($AX759="",1,$AX759)*(1+(($BM759-3)*0.10))*IF($BC759="",1,$BC759),2))</f>
        <v/>
      </c>
    </row>
    <row r="760" ht="69.90000000000001" customHeight="1" s="209">
      <c r="A760">
        <f>IF($BD760="","",SUMPRODUCT(ISNUMBER($BD$500:$BD$923)*($BD$500:$BD$923&gt;$BD760))+COUNTIF($BD$500:$BD760,$BD760))</f>
        <v/>
      </c>
      <c r="B760">
        <f>IF($H760="","",IF($H760&lt;5,"Yes","Maintain"))</f>
        <v/>
      </c>
      <c r="C760" t="inlineStr">
        <is>
          <t>Sales CRM</t>
        </is>
      </c>
      <c r="D760" t="inlineStr">
        <is>
          <t>Pipeline and forecast</t>
        </is>
      </c>
      <c r="E760" t="inlineStr">
        <is>
          <t>SALE-010</t>
        </is>
      </c>
      <c r="F760" t="inlineStr">
        <is>
          <t>Revenue, sales pipeline and CRM continuity</t>
        </is>
      </c>
      <c r="G760">
        <f>IF($H760="","",IFERROR(INDEX('_ENGINE_Risk'!$H$41:$M$920,MATCH($E760,'_ENGINE_Risk'!$A$41:$A$920,0),$H760+1),""))</f>
        <v/>
      </c>
      <c r="H760">
        <f>IFERROR(VALUE(INDEX(_DATA_Assessment_Model!$H$5:$H$884,MATCH($E760,_DATA_Assessment_Model!$A$5:$A$884,0))),"")</f>
        <v/>
      </c>
      <c r="I760">
        <f>IF($H760="","",IFERROR(INDEX(_DATA_Assessment_Model!$L$5:$L$884,MATCH($E760,_DATA_Assessment_Model!$A$5:$A$884,0)),IF($H760&lt;=1,"Critical",IF($H760=2,"High",IF($H760=3,"Medium",IF($H760=4,"Low","Resilient"))))))</f>
        <v/>
      </c>
      <c r="J760">
        <f>IF($H760="","",MIN(5,MAX(1,6-$H760)))</f>
        <v/>
      </c>
      <c r="K760">
        <f>IF($H760="","",MAX(1,MIN(5,ROUNDUP(($U760*0.45)+($W760*0.35)+($X760*0.2),0))))</f>
        <v/>
      </c>
      <c r="L760">
        <f>IF($H760="","",$J760*$K760)</f>
        <v/>
      </c>
      <c r="M760">
        <f>IF($H760="","",MAX(1,MIN(5,ROUNDUP($L760/5,0))))</f>
        <v/>
      </c>
      <c r="N760">
        <f>IF($H760="","",IFERROR(INDEX('_ENGINE_Risk'!$T$41:$Y$920,MATCH($E760,'_ENGINE_Risk'!$A$41:$A$920,0),$H760+1),""))</f>
        <v/>
      </c>
      <c r="O760">
        <f>IF($H760="","",MAX(1,MIN(5,($U760+$V760+$X760)/3)))</f>
        <v/>
      </c>
      <c r="P760">
        <f>IF($H760="","",IF($I760="Critical",5,IF($I760="High",4,IF($I760="Medium",3,IF($I760="Low",2,1)))))</f>
        <v/>
      </c>
      <c r="Q760">
        <f>IF($H760="","",MAX(1,MIN(5,((5-$H760)*0.65)+($W760*0.35))))</f>
        <v/>
      </c>
      <c r="R760">
        <f>IF($H760="","",MAX(1,MIN(5,($V760+$X760)/2)))</f>
        <v/>
      </c>
      <c r="S760">
        <f>IF(OR($H760="",$N760=""),"",ROUND(($O760+$P760+$Q760+$R760)/$N760,2))</f>
        <v/>
      </c>
      <c r="T760">
        <f>IF($H760="","",IFERROR(INDEX('_ENGINE_Risk'!$N$41:$S$920,MATCH($E760,'_ENGINE_Risk'!$A$41:$A$920,0),$H760+1),""))</f>
        <v/>
      </c>
      <c r="U760">
        <f>IFERROR(INDEX(_DATA_Assessment_Model!$G$5:$G$884,MATCH($E760,_DATA_Assessment_Model!$A$5:$A$884,0)),"")</f>
        <v/>
      </c>
      <c r="V760">
        <f>IFERROR(INDEX(_DATA_Assessment_Model!$W$5:$W$884,MATCH($E760,_DATA_Assessment_Model!$A$5:$A$884,0)),"")</f>
        <v/>
      </c>
      <c r="W760">
        <f>IFERROR(INDEX(_DATA_Assessment_Model!$X$5:$X$884,MATCH($E760,_DATA_Assessment_Model!$A$5:$A$884,0)),"")</f>
        <v/>
      </c>
      <c r="X760">
        <f>IFERROR(INDEX(_DATA_Assessment_Model!$Y$5:$Y$884,MATCH($E760,_DATA_Assessment_Model!$A$5:$A$884,0)),"")</f>
        <v/>
      </c>
      <c r="Y760" t="inlineStr">
        <is>
          <t>Demand shock; Revenue loss; Reputation crisis</t>
        </is>
      </c>
      <c r="Z760" t="inlineStr">
        <is>
          <t>CCO / Sales Ops</t>
        </is>
      </c>
      <c r="AA760" t="inlineStr">
        <is>
          <t>Policy/SOP; owner/RACI; system report; dashboard; contracts; test records; incident history; interview evidence related to sales analytics by conversion, cycle time, win rate, deal size, margin and loss reason.</t>
        </is>
      </c>
      <c r="AB760">
        <f>IFERROR(INDEX(_DATA_Assessment_Model!$U$5:$U$884,MATCH($E760,_DATA_Assessment_Model!$A$5:$A$884,0)),"")</f>
        <v/>
      </c>
      <c r="AF760" t="inlineStr">
        <is>
          <t>How mature is the organization in managing sales analytics by conversion, cycle time, win rate, deal size, margin and loss reason, including ownership, evidence, metrics, fallback procedures and crisis stress testing?</t>
        </is>
      </c>
      <c r="AO760">
        <f>IF($B760="Yes",IFERROR(INDEX(_ENGINE_Crisis!$F$501:$F$517,MATCH($C760,_ENGINE_Crisis!$A$501:$A$517,0)),1),"")</f>
        <v/>
      </c>
      <c r="AP760">
        <f>IF(AO760="","",ROUND($L760*AO760,1))</f>
        <v/>
      </c>
      <c r="AQ760">
        <f>IF(OR(AO760="",$S760=""),"",ROUND($S760*(0.7+0.3*AO760),2))</f>
        <v/>
      </c>
      <c r="AR760">
        <f>IFERROR(INDEX(_ENGINE_Crisis!$E$41:$E$700,MATCH('Resilience &amp; Risk Scenario'!$B$60&amp;"|"&amp;$C760,_ENGINE_Crisis!$I$41:$I$700,0)),"")</f>
        <v/>
      </c>
      <c r="AS760">
        <f>IFERROR(INDEX(_ENGINE_Crisis!$G$41:$G$700,MATCH('Resilience &amp; Risk Scenario'!$B$60&amp;"|"&amp;$C760,_ENGINE_Crisis!$I$41:$I$700,0)),"")</f>
        <v/>
      </c>
      <c r="AT760">
        <f>IFERROR(INDEX(_ENGINE_Initiatives!$A$5:$A$532,MATCH(1,INDEX((_ENGINE_Initiatives!$B$5:$B$532=$C760)*(_ENGINE_Initiatives!$C$5:$C$532=$D760),0),0)),"")</f>
        <v/>
      </c>
      <c r="AU760">
        <f>IFERROR(INDEX(_ENGINE_Initiatives!$F$5:$F$532,MATCH(1,INDEX((_ENGINE_Initiatives!$B$5:$B$532=$C760)*(_ENGINE_Initiatives!$C$5:$C$532=$D760),0),0)),"")</f>
        <v/>
      </c>
      <c r="AV760">
        <f>IFERROR(INDEX(_ENGINE_Initiatives!$AC$5:$AC$532,MATCH(1,INDEX((_ENGINE_Initiatives!$B$5:$B$532=$C760)*(_ENGINE_Initiatives!$C$5:$C$532=$D760),0),0)),"")</f>
        <v/>
      </c>
      <c r="AW760">
        <f>IFERROR(INDEX(_ENGINE_Initiatives!$AE$5:$AE$532,MATCH(1,INDEX((_ENGINE_Initiatives!$B$5:$B$532=$C760)*(_ENGINE_Initiatives!$C$5:$C$532=$D760),0),0)),"")</f>
        <v/>
      </c>
      <c r="AX760">
        <f>IF($B760="Yes",IFERROR(IF(SUMIFS(_REF_Model_Content!$E$1:$E$613,_REF_Model_Content!$A$1:$A$613,'Company Profile'!$B$9,_REF_Model_Content!$B$1:$B$613,$C760)=0,1,SUMIFS(_REF_Model_Content!$E$1:$E$613,_REF_Model_Content!$A$1:$A$613,'Company Profile'!$B$9,_REF_Model_Content!$B$1:$B$613,$C760)),1),"")</f>
        <v/>
      </c>
      <c r="AY760">
        <f>IF($L760="","",ROUND(IF($AP760="",$L760,$AP760)*IF($AX760="",1,$AX760),2))</f>
        <v/>
      </c>
      <c r="AZ760">
        <f>IF($S760="","",ROUND(IF($AQ760="",$S760,$AQ760)*IF($AX760="",1,$AX760),2))</f>
        <v/>
      </c>
      <c r="BB760">
        <f>IF($H760="","",IFERROR(INDEX('_ENGINE_Risk'!$AE$41:$AE$920,MATCH($E760,'_ENGINE_Risk'!$A$41:$A$920,0)),"Medium"))</f>
        <v/>
      </c>
      <c r="BC760">
        <f>IF($BB760="","",IF($BB760="Fast",1.25,IF($BB760="Slow",0.85,1)))</f>
        <v/>
      </c>
      <c r="BD760">
        <f>IF(OR($AZ760="",$BC760=""),"",ROUND($AZ760*$BC760,2))</f>
        <v/>
      </c>
      <c r="BF760">
        <f>IF(OR($H760="",$J760=""),"",_xlfn.IFNA(VLOOKUP($J760,_CONFIG_Model_Settings!$D$610:$E$614,2,0),""))</f>
        <v/>
      </c>
      <c r="BG760">
        <f>IF(OR($H760="",$K760=""),"",ROUND('Company Profile'!$B$569*INDEX(_CONFIG_Model_Settings!$H$610:$H$614,MATCH($K760,_CONFIG_Model_Settings!$G$610:$G$614,0)),0))</f>
        <v/>
      </c>
      <c r="BH760">
        <f>IF(OR($BF760="",$BG760=""),"",ROUND($BF760*$BG760,1))</f>
        <v/>
      </c>
      <c r="BI760">
        <f>IF($BH760="","",IF($AO760="",$BH760,ROUND($BH760*$AO760,1)))</f>
        <v/>
      </c>
      <c r="BJ760">
        <f>IF($E760="","",IFERROR(VLOOKUP($C760,'_CONFIG_Risk_Calibration'!$A$5:$H$21,2,FALSE),3))</f>
        <v/>
      </c>
      <c r="BK760">
        <f>IF($E760="","",IFERROR(VLOOKUP($C760,'_CONFIG_Risk_Calibration'!$A$5:$H$21,3,FALSE),0))</f>
        <v/>
      </c>
      <c r="BL760">
        <f>IF($E760="","",IFERROR(VLOOKUP($C760,'_CONFIG_Risk_Calibration'!$A$5:$H$21,4,FALSE),3))</f>
        <v/>
      </c>
      <c r="BM760">
        <f>IF($E760="","",IFERROR(VLOOKUP($C760,'_CONFIG_Risk_Calibration'!$A$5:$H$21,5,FALSE),3))</f>
        <v/>
      </c>
      <c r="BN760">
        <f>IF($E760="","",IFERROR(VLOOKUP($C760,'_CONFIG_Risk_Calibration'!$A$5:$H$21,6,FALSE),"No"))</f>
        <v/>
      </c>
      <c r="BO760">
        <f>IF($E760="","",IFERROR(VLOOKUP($C760,'_CONFIG_Risk_Calibration'!$A$5:$H$21,7,FALSE),1))</f>
        <v/>
      </c>
      <c r="BP760">
        <f>IF($H760="","",MAX(1,MIN(5,((6-$H760)*0.45)+($BJ760*0.20)+('Resilience &amp; Risk Scenario'!$B$7*0.15)+($BK760*0.10)+($BL760*0.05)+(IF($BB760="Fast",5,IF($BB760="Slow",1,3))*0.05))))</f>
        <v/>
      </c>
      <c r="BQ760">
        <f>IF($H760="","",MAX(IF($BN760="Yes",$BO760,1),MIN(5,($U760*0.20)+($V760*0.15)+($W760*0.25)+($X760*0.15)+($BJ760*0.10)+($BM760*0.15))))</f>
        <v/>
      </c>
      <c r="BR760">
        <f>IF(OR($BP760="",$BQ760=""),"",ROUND($BP760*$BQ760,2))</f>
        <v/>
      </c>
      <c r="BS760">
        <f>IF($BR760="","",ROUND($BR760*IF($AO760="",1,$AO760)*IF($AX760="",1,$AX760)*(1+(($BM760-3)*0.10))*IF($BC760="",1,$BC760),2))</f>
        <v/>
      </c>
    </row>
    <row r="761" ht="69.90000000000001" customHeight="1" s="209">
      <c r="A761">
        <f>IF($BD761="","",SUMPRODUCT(ISNUMBER($BD$500:$BD$923)*($BD$500:$BD$923&gt;$BD761))+COUNTIF($BD$500:$BD761,$BD761))</f>
        <v/>
      </c>
      <c r="B761">
        <f>IF($H761="","",IF($H761&lt;5,"Yes","Maintain"))</f>
        <v/>
      </c>
      <c r="C761" t="inlineStr">
        <is>
          <t>Sales CRM</t>
        </is>
      </c>
      <c r="D761" t="inlineStr">
        <is>
          <t>Customer continuity</t>
        </is>
      </c>
      <c r="E761" t="inlineStr">
        <is>
          <t>SALE-011</t>
        </is>
      </c>
      <c r="F761" t="inlineStr">
        <is>
          <t>Revenue, sales pipeline and CRM continuity</t>
        </is>
      </c>
      <c r="G761">
        <f>IF($H761="","",IFERROR(INDEX('_ENGINE_Risk'!$H$41:$M$920,MATCH($E761,'_ENGINE_Risk'!$A$41:$A$920,0),$H761+1),""))</f>
        <v/>
      </c>
      <c r="H761">
        <f>IFERROR(VALUE(INDEX(_DATA_Assessment_Model!$H$5:$H$884,MATCH($E761,_DATA_Assessment_Model!$A$5:$A$884,0))),"")</f>
        <v/>
      </c>
      <c r="I761">
        <f>IF($H761="","",IFERROR(INDEX(_DATA_Assessment_Model!$L$5:$L$884,MATCH($E761,_DATA_Assessment_Model!$A$5:$A$884,0)),IF($H761&lt;=1,"Critical",IF($H761=2,"High",IF($H761=3,"Medium",IF($H761=4,"Low","Resilient"))))))</f>
        <v/>
      </c>
      <c r="J761">
        <f>IF($H761="","",MIN(5,MAX(1,6-$H761)))</f>
        <v/>
      </c>
      <c r="K761">
        <f>IF($H761="","",MAX(1,MIN(5,ROUNDUP(($U761*0.45)+($W761*0.35)+($X761*0.2),0))))</f>
        <v/>
      </c>
      <c r="L761">
        <f>IF($H761="","",$J761*$K761)</f>
        <v/>
      </c>
      <c r="M761">
        <f>IF($H761="","",MAX(1,MIN(5,ROUNDUP($L761/5,0))))</f>
        <v/>
      </c>
      <c r="N761">
        <f>IF($H761="","",IFERROR(INDEX('_ENGINE_Risk'!$T$41:$Y$920,MATCH($E761,'_ENGINE_Risk'!$A$41:$A$920,0),$H761+1),""))</f>
        <v/>
      </c>
      <c r="O761">
        <f>IF($H761="","",MAX(1,MIN(5,($U761+$V761+$X761)/3)))</f>
        <v/>
      </c>
      <c r="P761">
        <f>IF($H761="","",IF($I761="Critical",5,IF($I761="High",4,IF($I761="Medium",3,IF($I761="Low",2,1)))))</f>
        <v/>
      </c>
      <c r="Q761">
        <f>IF($H761="","",MAX(1,MIN(5,((5-$H761)*0.65)+($W761*0.35))))</f>
        <v/>
      </c>
      <c r="R761">
        <f>IF($H761="","",MAX(1,MIN(5,($V761+$X761)/2)))</f>
        <v/>
      </c>
      <c r="S761">
        <f>IF(OR($H761="",$N761=""),"",ROUND(($O761+$P761+$Q761+$R761)/$N761,2))</f>
        <v/>
      </c>
      <c r="T761">
        <f>IF($H761="","",IFERROR(INDEX('_ENGINE_Risk'!$N$41:$S$920,MATCH($E761,'_ENGINE_Risk'!$A$41:$A$920,0),$H761+1),""))</f>
        <v/>
      </c>
      <c r="U761">
        <f>IFERROR(INDEX(_DATA_Assessment_Model!$G$5:$G$884,MATCH($E761,_DATA_Assessment_Model!$A$5:$A$884,0)),"")</f>
        <v/>
      </c>
      <c r="V761">
        <f>IFERROR(INDEX(_DATA_Assessment_Model!$W$5:$W$884,MATCH($E761,_DATA_Assessment_Model!$A$5:$A$884,0)),"")</f>
        <v/>
      </c>
      <c r="W761">
        <f>IFERROR(INDEX(_DATA_Assessment_Model!$X$5:$X$884,MATCH($E761,_DATA_Assessment_Model!$A$5:$A$884,0)),"")</f>
        <v/>
      </c>
      <c r="X761">
        <f>IFERROR(INDEX(_DATA_Assessment_Model!$Y$5:$Y$884,MATCH($E761,_DATA_Assessment_Model!$A$5:$A$884,0)),"")</f>
        <v/>
      </c>
      <c r="Y761" t="inlineStr">
        <is>
          <t>Demand shock; Revenue loss; Reputation crisis</t>
        </is>
      </c>
      <c r="Z761" t="inlineStr">
        <is>
          <t>CCO / Sales Ops</t>
        </is>
      </c>
      <c r="AA761" t="inlineStr">
        <is>
          <t>Policy/SOP; owner/RACI; system report; dashboard; contracts; test records; incident history; interview evidence related to customer health scoring using usage, satisfaction, payment behavior, delivery issues and engagement.</t>
        </is>
      </c>
      <c r="AB761">
        <f>IFERROR(INDEX(_DATA_Assessment_Model!$U$5:$U$884,MATCH($E761,_DATA_Assessment_Model!$A$5:$A$884,0)),"")</f>
        <v/>
      </c>
      <c r="AF761" t="inlineStr">
        <is>
          <t>How mature is the organization in managing customer health scoring using usage, satisfaction, payment behavior, delivery issues and engagement, including ownership, evidence, metrics, fallback procedures and crisis stress testing?</t>
        </is>
      </c>
      <c r="AO761">
        <f>IF($B761="Yes",IFERROR(INDEX(_ENGINE_Crisis!$F$501:$F$517,MATCH($C761,_ENGINE_Crisis!$A$501:$A$517,0)),1),"")</f>
        <v/>
      </c>
      <c r="AP761">
        <f>IF(AO761="","",ROUND($L761*AO761,1))</f>
        <v/>
      </c>
      <c r="AQ761">
        <f>IF(OR(AO761="",$S761=""),"",ROUND($S761*(0.7+0.3*AO761),2))</f>
        <v/>
      </c>
      <c r="AR761">
        <f>IFERROR(INDEX(_ENGINE_Crisis!$E$41:$E$700,MATCH('Resilience &amp; Risk Scenario'!$B$60&amp;"|"&amp;$C761,_ENGINE_Crisis!$I$41:$I$700,0)),"")</f>
        <v/>
      </c>
      <c r="AS761">
        <f>IFERROR(INDEX(_ENGINE_Crisis!$G$41:$G$700,MATCH('Resilience &amp; Risk Scenario'!$B$60&amp;"|"&amp;$C761,_ENGINE_Crisis!$I$41:$I$700,0)),"")</f>
        <v/>
      </c>
      <c r="AT761">
        <f>IFERROR(INDEX(_ENGINE_Initiatives!$A$5:$A$532,MATCH(1,INDEX((_ENGINE_Initiatives!$B$5:$B$532=$C761)*(_ENGINE_Initiatives!$C$5:$C$532=$D761),0),0)),"")</f>
        <v/>
      </c>
      <c r="AU761">
        <f>IFERROR(INDEX(_ENGINE_Initiatives!$F$5:$F$532,MATCH(1,INDEX((_ENGINE_Initiatives!$B$5:$B$532=$C761)*(_ENGINE_Initiatives!$C$5:$C$532=$D761),0),0)),"")</f>
        <v/>
      </c>
      <c r="AV761">
        <f>IFERROR(INDEX(_ENGINE_Initiatives!$AC$5:$AC$532,MATCH(1,INDEX((_ENGINE_Initiatives!$B$5:$B$532=$C761)*(_ENGINE_Initiatives!$C$5:$C$532=$D761),0),0)),"")</f>
        <v/>
      </c>
      <c r="AW761">
        <f>IFERROR(INDEX(_ENGINE_Initiatives!$AE$5:$AE$532,MATCH(1,INDEX((_ENGINE_Initiatives!$B$5:$B$532=$C761)*(_ENGINE_Initiatives!$C$5:$C$532=$D761),0),0)),"")</f>
        <v/>
      </c>
      <c r="AX761">
        <f>IF($B761="Yes",IFERROR(IF(SUMIFS(_REF_Model_Content!$E$1:$E$613,_REF_Model_Content!$A$1:$A$613,'Company Profile'!$B$9,_REF_Model_Content!$B$1:$B$613,$C761)=0,1,SUMIFS(_REF_Model_Content!$E$1:$E$613,_REF_Model_Content!$A$1:$A$613,'Company Profile'!$B$9,_REF_Model_Content!$B$1:$B$613,$C761)),1),"")</f>
        <v/>
      </c>
      <c r="AY761">
        <f>IF($L761="","",ROUND(IF($AP761="",$L761,$AP761)*IF($AX761="",1,$AX761),2))</f>
        <v/>
      </c>
      <c r="AZ761">
        <f>IF($S761="","",ROUND(IF($AQ761="",$S761,$AQ761)*IF($AX761="",1,$AX761),2))</f>
        <v/>
      </c>
      <c r="BB761">
        <f>IF($H761="","",IFERROR(INDEX('_ENGINE_Risk'!$AE$41:$AE$920,MATCH($E761,'_ENGINE_Risk'!$A$41:$A$920,0)),"Medium"))</f>
        <v/>
      </c>
      <c r="BC761">
        <f>IF($BB761="","",IF($BB761="Fast",1.25,IF($BB761="Slow",0.85,1)))</f>
        <v/>
      </c>
      <c r="BD761">
        <f>IF(OR($AZ761="",$BC761=""),"",ROUND($AZ761*$BC761,2))</f>
        <v/>
      </c>
      <c r="BF761">
        <f>IF(OR($H761="",$J761=""),"",_xlfn.IFNA(VLOOKUP($J761,_CONFIG_Model_Settings!$D$610:$E$614,2,0),""))</f>
        <v/>
      </c>
      <c r="BG761">
        <f>IF(OR($H761="",$K761=""),"",ROUND('Company Profile'!$B$569*INDEX(_CONFIG_Model_Settings!$H$610:$H$614,MATCH($K761,_CONFIG_Model_Settings!$G$610:$G$614,0)),0))</f>
        <v/>
      </c>
      <c r="BH761">
        <f>IF(OR($BF761="",$BG761=""),"",ROUND($BF761*$BG761,1))</f>
        <v/>
      </c>
      <c r="BI761">
        <f>IF($BH761="","",IF($AO761="",$BH761,ROUND($BH761*$AO761,1)))</f>
        <v/>
      </c>
      <c r="BJ761">
        <f>IF($E761="","",IFERROR(VLOOKUP($C761,'_CONFIG_Risk_Calibration'!$A$5:$H$21,2,FALSE),3))</f>
        <v/>
      </c>
      <c r="BK761">
        <f>IF($E761="","",IFERROR(VLOOKUP($C761,'_CONFIG_Risk_Calibration'!$A$5:$H$21,3,FALSE),0))</f>
        <v/>
      </c>
      <c r="BL761">
        <f>IF($E761="","",IFERROR(VLOOKUP($C761,'_CONFIG_Risk_Calibration'!$A$5:$H$21,4,FALSE),3))</f>
        <v/>
      </c>
      <c r="BM761">
        <f>IF($E761="","",IFERROR(VLOOKUP($C761,'_CONFIG_Risk_Calibration'!$A$5:$H$21,5,FALSE),3))</f>
        <v/>
      </c>
      <c r="BN761">
        <f>IF($E761="","",IFERROR(VLOOKUP($C761,'_CONFIG_Risk_Calibration'!$A$5:$H$21,6,FALSE),"No"))</f>
        <v/>
      </c>
      <c r="BO761">
        <f>IF($E761="","",IFERROR(VLOOKUP($C761,'_CONFIG_Risk_Calibration'!$A$5:$H$21,7,FALSE),1))</f>
        <v/>
      </c>
      <c r="BP761">
        <f>IF($H761="","",MAX(1,MIN(5,((6-$H761)*0.45)+($BJ761*0.20)+('Resilience &amp; Risk Scenario'!$B$7*0.15)+($BK761*0.10)+($BL761*0.05)+(IF($BB761="Fast",5,IF($BB761="Slow",1,3))*0.05))))</f>
        <v/>
      </c>
      <c r="BQ761">
        <f>IF($H761="","",MAX(IF($BN761="Yes",$BO761,1),MIN(5,($U761*0.20)+($V761*0.15)+($W761*0.25)+($X761*0.15)+($BJ761*0.10)+($BM761*0.15))))</f>
        <v/>
      </c>
      <c r="BR761">
        <f>IF(OR($BP761="",$BQ761=""),"",ROUND($BP761*$BQ761,2))</f>
        <v/>
      </c>
      <c r="BS761">
        <f>IF($BR761="","",ROUND($BR761*IF($AO761="",1,$AO761)*IF($AX761="",1,$AX761)*(1+(($BM761-3)*0.10))*IF($BC761="",1,$BC761),2))</f>
        <v/>
      </c>
    </row>
    <row r="762" ht="69.90000000000001" customHeight="1" s="209">
      <c r="A762">
        <f>IF($BD762="","",SUMPRODUCT(ISNUMBER($BD$500:$BD$923)*($BD$500:$BD$923&gt;$BD762))+COUNTIF($BD$500:$BD762,$BD762))</f>
        <v/>
      </c>
      <c r="B762">
        <f>IF($H762="","",IF($H762&lt;5,"Yes","Maintain"))</f>
        <v/>
      </c>
      <c r="C762" t="inlineStr">
        <is>
          <t>Sales CRM</t>
        </is>
      </c>
      <c r="D762" t="inlineStr">
        <is>
          <t>Customer continuity</t>
        </is>
      </c>
      <c r="E762" t="inlineStr">
        <is>
          <t>SALE-012</t>
        </is>
      </c>
      <c r="F762" t="inlineStr">
        <is>
          <t>Revenue, sales pipeline and CRM continuity</t>
        </is>
      </c>
      <c r="G762">
        <f>IF($H762="","",IFERROR(INDEX('_ENGINE_Risk'!$H$41:$M$920,MATCH($E762,'_ENGINE_Risk'!$A$41:$A$920,0),$H762+1),""))</f>
        <v/>
      </c>
      <c r="H762">
        <f>IFERROR(VALUE(INDEX(_DATA_Assessment_Model!$H$5:$H$884,MATCH($E762,_DATA_Assessment_Model!$A$5:$A$884,0))),"")</f>
        <v/>
      </c>
      <c r="I762">
        <f>IF($H762="","",IFERROR(INDEX(_DATA_Assessment_Model!$L$5:$L$884,MATCH($E762,_DATA_Assessment_Model!$A$5:$A$884,0)),IF($H762&lt;=1,"Critical",IF($H762=2,"High",IF($H762=3,"Medium",IF($H762=4,"Low","Resilient"))))))</f>
        <v/>
      </c>
      <c r="J762">
        <f>IF($H762="","",MIN(5,MAX(1,6-$H762)))</f>
        <v/>
      </c>
      <c r="K762">
        <f>IF($H762="","",MAX(1,MIN(5,ROUNDUP(($U762*0.45)+($W762*0.35)+($X762*0.2),0))))</f>
        <v/>
      </c>
      <c r="L762">
        <f>IF($H762="","",$J762*$K762)</f>
        <v/>
      </c>
      <c r="M762">
        <f>IF($H762="","",MAX(1,MIN(5,ROUNDUP($L762/5,0))))</f>
        <v/>
      </c>
      <c r="N762">
        <f>IF($H762="","",IFERROR(INDEX('_ENGINE_Risk'!$T$41:$Y$920,MATCH($E762,'_ENGINE_Risk'!$A$41:$A$920,0),$H762+1),""))</f>
        <v/>
      </c>
      <c r="O762">
        <f>IF($H762="","",MAX(1,MIN(5,($U762+$V762+$X762)/3)))</f>
        <v/>
      </c>
      <c r="P762">
        <f>IF($H762="","",IF($I762="Critical",5,IF($I762="High",4,IF($I762="Medium",3,IF($I762="Low",2,1)))))</f>
        <v/>
      </c>
      <c r="Q762">
        <f>IF($H762="","",MAX(1,MIN(5,((5-$H762)*0.65)+($W762*0.35))))</f>
        <v/>
      </c>
      <c r="R762">
        <f>IF($H762="","",MAX(1,MIN(5,($V762+$X762)/2)))</f>
        <v/>
      </c>
      <c r="S762">
        <f>IF(OR($H762="",$N762=""),"",ROUND(($O762+$P762+$Q762+$R762)/$N762,2))</f>
        <v/>
      </c>
      <c r="T762">
        <f>IF($H762="","",IFERROR(INDEX('_ENGINE_Risk'!$N$41:$S$920,MATCH($E762,'_ENGINE_Risk'!$A$41:$A$920,0),$H762+1),""))</f>
        <v/>
      </c>
      <c r="U762">
        <f>IFERROR(INDEX(_DATA_Assessment_Model!$G$5:$G$884,MATCH($E762,_DATA_Assessment_Model!$A$5:$A$884,0)),"")</f>
        <v/>
      </c>
      <c r="V762">
        <f>IFERROR(INDEX(_DATA_Assessment_Model!$W$5:$W$884,MATCH($E762,_DATA_Assessment_Model!$A$5:$A$884,0)),"")</f>
        <v/>
      </c>
      <c r="W762">
        <f>IFERROR(INDEX(_DATA_Assessment_Model!$X$5:$X$884,MATCH($E762,_DATA_Assessment_Model!$A$5:$A$884,0)),"")</f>
        <v/>
      </c>
      <c r="X762">
        <f>IFERROR(INDEX(_DATA_Assessment_Model!$Y$5:$Y$884,MATCH($E762,_DATA_Assessment_Model!$A$5:$A$884,0)),"")</f>
        <v/>
      </c>
      <c r="Y762" t="inlineStr">
        <is>
          <t>Demand shock; Revenue loss; Reputation crisis</t>
        </is>
      </c>
      <c r="Z762" t="inlineStr">
        <is>
          <t>CCO / Sales Ops</t>
        </is>
      </c>
      <c r="AA762" t="inlineStr">
        <is>
          <t>Policy/SOP; owner/RACI; system report; dashboard; contracts; test records; incident history; interview evidence related to churn risk identification, prioritization and mitigation actions.</t>
        </is>
      </c>
      <c r="AB762">
        <f>IFERROR(INDEX(_DATA_Assessment_Model!$U$5:$U$884,MATCH($E762,_DATA_Assessment_Model!$A$5:$A$884,0)),"")</f>
        <v/>
      </c>
      <c r="AF762" t="inlineStr">
        <is>
          <t>How mature is the organization in managing churn risk identification, prioritization and mitigation actions, including ownership, evidence, metrics, fallback procedures and crisis stress testing?</t>
        </is>
      </c>
      <c r="AO762">
        <f>IF($B762="Yes",IFERROR(INDEX(_ENGINE_Crisis!$F$501:$F$517,MATCH($C762,_ENGINE_Crisis!$A$501:$A$517,0)),1),"")</f>
        <v/>
      </c>
      <c r="AP762">
        <f>IF(AO762="","",ROUND($L762*AO762,1))</f>
        <v/>
      </c>
      <c r="AQ762">
        <f>IF(OR(AO762="",$S762=""),"",ROUND($S762*(0.7+0.3*AO762),2))</f>
        <v/>
      </c>
      <c r="AR762">
        <f>IFERROR(INDEX(_ENGINE_Crisis!$E$41:$E$700,MATCH('Resilience &amp; Risk Scenario'!$B$60&amp;"|"&amp;$C762,_ENGINE_Crisis!$I$41:$I$700,0)),"")</f>
        <v/>
      </c>
      <c r="AS762">
        <f>IFERROR(INDEX(_ENGINE_Crisis!$G$41:$G$700,MATCH('Resilience &amp; Risk Scenario'!$B$60&amp;"|"&amp;$C762,_ENGINE_Crisis!$I$41:$I$700,0)),"")</f>
        <v/>
      </c>
      <c r="AT762">
        <f>IFERROR(INDEX(_ENGINE_Initiatives!$A$5:$A$532,MATCH(1,INDEX((_ENGINE_Initiatives!$B$5:$B$532=$C762)*(_ENGINE_Initiatives!$C$5:$C$532=$D762),0),0)),"")</f>
        <v/>
      </c>
      <c r="AU762">
        <f>IFERROR(INDEX(_ENGINE_Initiatives!$F$5:$F$532,MATCH(1,INDEX((_ENGINE_Initiatives!$B$5:$B$532=$C762)*(_ENGINE_Initiatives!$C$5:$C$532=$D762),0),0)),"")</f>
        <v/>
      </c>
      <c r="AV762">
        <f>IFERROR(INDEX(_ENGINE_Initiatives!$AC$5:$AC$532,MATCH(1,INDEX((_ENGINE_Initiatives!$B$5:$B$532=$C762)*(_ENGINE_Initiatives!$C$5:$C$532=$D762),0),0)),"")</f>
        <v/>
      </c>
      <c r="AW762">
        <f>IFERROR(INDEX(_ENGINE_Initiatives!$AE$5:$AE$532,MATCH(1,INDEX((_ENGINE_Initiatives!$B$5:$B$532=$C762)*(_ENGINE_Initiatives!$C$5:$C$532=$D762),0),0)),"")</f>
        <v/>
      </c>
      <c r="AX762">
        <f>IF($B762="Yes",IFERROR(IF(SUMIFS(_REF_Model_Content!$E$1:$E$613,_REF_Model_Content!$A$1:$A$613,'Company Profile'!$B$9,_REF_Model_Content!$B$1:$B$613,$C762)=0,1,SUMIFS(_REF_Model_Content!$E$1:$E$613,_REF_Model_Content!$A$1:$A$613,'Company Profile'!$B$9,_REF_Model_Content!$B$1:$B$613,$C762)),1),"")</f>
        <v/>
      </c>
      <c r="AY762">
        <f>IF($L762="","",ROUND(IF($AP762="",$L762,$AP762)*IF($AX762="",1,$AX762),2))</f>
        <v/>
      </c>
      <c r="AZ762">
        <f>IF($S762="","",ROUND(IF($AQ762="",$S762,$AQ762)*IF($AX762="",1,$AX762),2))</f>
        <v/>
      </c>
      <c r="BB762">
        <f>IF($H762="","",IFERROR(INDEX('_ENGINE_Risk'!$AE$41:$AE$920,MATCH($E762,'_ENGINE_Risk'!$A$41:$A$920,0)),"Medium"))</f>
        <v/>
      </c>
      <c r="BC762">
        <f>IF($BB762="","",IF($BB762="Fast",1.25,IF($BB762="Slow",0.85,1)))</f>
        <v/>
      </c>
      <c r="BD762">
        <f>IF(OR($AZ762="",$BC762=""),"",ROUND($AZ762*$BC762,2))</f>
        <v/>
      </c>
      <c r="BF762">
        <f>IF(OR($H762="",$J762=""),"",_xlfn.IFNA(VLOOKUP($J762,_CONFIG_Model_Settings!$D$610:$E$614,2,0),""))</f>
        <v/>
      </c>
      <c r="BG762">
        <f>IF(OR($H762="",$K762=""),"",ROUND('Company Profile'!$B$569*INDEX(_CONFIG_Model_Settings!$H$610:$H$614,MATCH($K762,_CONFIG_Model_Settings!$G$610:$G$614,0)),0))</f>
        <v/>
      </c>
      <c r="BH762">
        <f>IF(OR($BF762="",$BG762=""),"",ROUND($BF762*$BG762,1))</f>
        <v/>
      </c>
      <c r="BI762">
        <f>IF($BH762="","",IF($AO762="",$BH762,ROUND($BH762*$AO762,1)))</f>
        <v/>
      </c>
      <c r="BJ762">
        <f>IF($E762="","",IFERROR(VLOOKUP($C762,'_CONFIG_Risk_Calibration'!$A$5:$H$21,2,FALSE),3))</f>
        <v/>
      </c>
      <c r="BK762">
        <f>IF($E762="","",IFERROR(VLOOKUP($C762,'_CONFIG_Risk_Calibration'!$A$5:$H$21,3,FALSE),0))</f>
        <v/>
      </c>
      <c r="BL762">
        <f>IF($E762="","",IFERROR(VLOOKUP($C762,'_CONFIG_Risk_Calibration'!$A$5:$H$21,4,FALSE),3))</f>
        <v/>
      </c>
      <c r="BM762">
        <f>IF($E762="","",IFERROR(VLOOKUP($C762,'_CONFIG_Risk_Calibration'!$A$5:$H$21,5,FALSE),3))</f>
        <v/>
      </c>
      <c r="BN762">
        <f>IF($E762="","",IFERROR(VLOOKUP($C762,'_CONFIG_Risk_Calibration'!$A$5:$H$21,6,FALSE),"No"))</f>
        <v/>
      </c>
      <c r="BO762">
        <f>IF($E762="","",IFERROR(VLOOKUP($C762,'_CONFIG_Risk_Calibration'!$A$5:$H$21,7,FALSE),1))</f>
        <v/>
      </c>
      <c r="BP762">
        <f>IF($H762="","",MAX(1,MIN(5,((6-$H762)*0.45)+($BJ762*0.20)+('Resilience &amp; Risk Scenario'!$B$7*0.15)+($BK762*0.10)+($BL762*0.05)+(IF($BB762="Fast",5,IF($BB762="Slow",1,3))*0.05))))</f>
        <v/>
      </c>
      <c r="BQ762">
        <f>IF($H762="","",MAX(IF($BN762="Yes",$BO762,1),MIN(5,($U762*0.20)+($V762*0.15)+($W762*0.25)+($X762*0.15)+($BJ762*0.10)+($BM762*0.15))))</f>
        <v/>
      </c>
      <c r="BR762">
        <f>IF(OR($BP762="",$BQ762=""),"",ROUND($BP762*$BQ762,2))</f>
        <v/>
      </c>
      <c r="BS762">
        <f>IF($BR762="","",ROUND($BR762*IF($AO762="",1,$AO762)*IF($AX762="",1,$AX762)*(1+(($BM762-3)*0.10))*IF($BC762="",1,$BC762),2))</f>
        <v/>
      </c>
    </row>
    <row r="763" ht="69.90000000000001" customHeight="1" s="209">
      <c r="A763">
        <f>IF($BD763="","",SUMPRODUCT(ISNUMBER($BD$500:$BD$923)*($BD$500:$BD$923&gt;$BD763))+COUNTIF($BD$500:$BD763,$BD763))</f>
        <v/>
      </c>
      <c r="B763">
        <f>IF($H763="","",IF($H763&lt;5,"Yes","Maintain"))</f>
        <v/>
      </c>
      <c r="C763" t="inlineStr">
        <is>
          <t>Sales CRM</t>
        </is>
      </c>
      <c r="D763" t="inlineStr">
        <is>
          <t>Customer continuity</t>
        </is>
      </c>
      <c r="E763" t="inlineStr">
        <is>
          <t>SALE-013</t>
        </is>
      </c>
      <c r="F763" t="inlineStr">
        <is>
          <t>Revenue, sales pipeline and CRM continuity</t>
        </is>
      </c>
      <c r="G763">
        <f>IF($H763="","",IFERROR(INDEX('_ENGINE_Risk'!$H$41:$M$920,MATCH($E763,'_ENGINE_Risk'!$A$41:$A$920,0),$H763+1),""))</f>
        <v/>
      </c>
      <c r="H763">
        <f>IFERROR(VALUE(INDEX(_DATA_Assessment_Model!$H$5:$H$884,MATCH($E763,_DATA_Assessment_Model!$A$5:$A$884,0))),"")</f>
        <v/>
      </c>
      <c r="I763">
        <f>IF($H763="","",IFERROR(INDEX(_DATA_Assessment_Model!$L$5:$L$884,MATCH($E763,_DATA_Assessment_Model!$A$5:$A$884,0)),IF($H763&lt;=1,"Critical",IF($H763=2,"High",IF($H763=3,"Medium",IF($H763=4,"Low","Resilient"))))))</f>
        <v/>
      </c>
      <c r="J763">
        <f>IF($H763="","",MIN(5,MAX(1,6-$H763)))</f>
        <v/>
      </c>
      <c r="K763">
        <f>IF($H763="","",MAX(1,MIN(5,ROUNDUP(($U763*0.45)+($W763*0.35)+($X763*0.2),0))))</f>
        <v/>
      </c>
      <c r="L763">
        <f>IF($H763="","",$J763*$K763)</f>
        <v/>
      </c>
      <c r="M763">
        <f>IF($H763="","",MAX(1,MIN(5,ROUNDUP($L763/5,0))))</f>
        <v/>
      </c>
      <c r="N763">
        <f>IF($H763="","",IFERROR(INDEX('_ENGINE_Risk'!$T$41:$Y$920,MATCH($E763,'_ENGINE_Risk'!$A$41:$A$920,0),$H763+1),""))</f>
        <v/>
      </c>
      <c r="O763">
        <f>IF($H763="","",MAX(1,MIN(5,($U763+$V763+$X763)/3)))</f>
        <v/>
      </c>
      <c r="P763">
        <f>IF($H763="","",IF($I763="Critical",5,IF($I763="High",4,IF($I763="Medium",3,IF($I763="Low",2,1)))))</f>
        <v/>
      </c>
      <c r="Q763">
        <f>IF($H763="","",MAX(1,MIN(5,((5-$H763)*0.65)+($W763*0.35))))</f>
        <v/>
      </c>
      <c r="R763">
        <f>IF($H763="","",MAX(1,MIN(5,($V763+$X763)/2)))</f>
        <v/>
      </c>
      <c r="S763">
        <f>IF(OR($H763="",$N763=""),"",ROUND(($O763+$P763+$Q763+$R763)/$N763,2))</f>
        <v/>
      </c>
      <c r="T763">
        <f>IF($H763="","",IFERROR(INDEX('_ENGINE_Risk'!$N$41:$S$920,MATCH($E763,'_ENGINE_Risk'!$A$41:$A$920,0),$H763+1),""))</f>
        <v/>
      </c>
      <c r="U763">
        <f>IFERROR(INDEX(_DATA_Assessment_Model!$G$5:$G$884,MATCH($E763,_DATA_Assessment_Model!$A$5:$A$884,0)),"")</f>
        <v/>
      </c>
      <c r="V763">
        <f>IFERROR(INDEX(_DATA_Assessment_Model!$W$5:$W$884,MATCH($E763,_DATA_Assessment_Model!$A$5:$A$884,0)),"")</f>
        <v/>
      </c>
      <c r="W763">
        <f>IFERROR(INDEX(_DATA_Assessment_Model!$X$5:$X$884,MATCH($E763,_DATA_Assessment_Model!$A$5:$A$884,0)),"")</f>
        <v/>
      </c>
      <c r="X763">
        <f>IFERROR(INDEX(_DATA_Assessment_Model!$Y$5:$Y$884,MATCH($E763,_DATA_Assessment_Model!$A$5:$A$884,0)),"")</f>
        <v/>
      </c>
      <c r="Y763" t="inlineStr">
        <is>
          <t>Demand shock; Revenue loss; Reputation crisis</t>
        </is>
      </c>
      <c r="Z763" t="inlineStr">
        <is>
          <t>CCO / Sales Ops</t>
        </is>
      </c>
      <c r="AA763" t="inlineStr">
        <is>
          <t>Policy/SOP; owner/RACI; system report; dashboard; contracts; test records; incident history; interview evidence related to renewal calendar and proactive renewal process.</t>
        </is>
      </c>
      <c r="AB763">
        <f>IFERROR(INDEX(_DATA_Assessment_Model!$U$5:$U$884,MATCH($E763,_DATA_Assessment_Model!$A$5:$A$884,0)),"")</f>
        <v/>
      </c>
      <c r="AF763" t="inlineStr">
        <is>
          <t>How mature is the organization in managing renewal calendar and proactive renewal process, including ownership, evidence, metrics, fallback procedures and crisis stress testing?</t>
        </is>
      </c>
      <c r="AO763">
        <f>IF($B763="Yes",IFERROR(INDEX(_ENGINE_Crisis!$F$501:$F$517,MATCH($C763,_ENGINE_Crisis!$A$501:$A$517,0)),1),"")</f>
        <v/>
      </c>
      <c r="AP763">
        <f>IF(AO763="","",ROUND($L763*AO763,1))</f>
        <v/>
      </c>
      <c r="AQ763">
        <f>IF(OR(AO763="",$S763=""),"",ROUND($S763*(0.7+0.3*AO763),2))</f>
        <v/>
      </c>
      <c r="AR763">
        <f>IFERROR(INDEX(_ENGINE_Crisis!$E$41:$E$700,MATCH('Resilience &amp; Risk Scenario'!$B$60&amp;"|"&amp;$C763,_ENGINE_Crisis!$I$41:$I$700,0)),"")</f>
        <v/>
      </c>
      <c r="AS763">
        <f>IFERROR(INDEX(_ENGINE_Crisis!$G$41:$G$700,MATCH('Resilience &amp; Risk Scenario'!$B$60&amp;"|"&amp;$C763,_ENGINE_Crisis!$I$41:$I$700,0)),"")</f>
        <v/>
      </c>
      <c r="AT763">
        <f>IFERROR(INDEX(_ENGINE_Initiatives!$A$5:$A$532,MATCH(1,INDEX((_ENGINE_Initiatives!$B$5:$B$532=$C763)*(_ENGINE_Initiatives!$C$5:$C$532=$D763),0),0)),"")</f>
        <v/>
      </c>
      <c r="AU763">
        <f>IFERROR(INDEX(_ENGINE_Initiatives!$F$5:$F$532,MATCH(1,INDEX((_ENGINE_Initiatives!$B$5:$B$532=$C763)*(_ENGINE_Initiatives!$C$5:$C$532=$D763),0),0)),"")</f>
        <v/>
      </c>
      <c r="AV763">
        <f>IFERROR(INDEX(_ENGINE_Initiatives!$AC$5:$AC$532,MATCH(1,INDEX((_ENGINE_Initiatives!$B$5:$B$532=$C763)*(_ENGINE_Initiatives!$C$5:$C$532=$D763),0),0)),"")</f>
        <v/>
      </c>
      <c r="AW763">
        <f>IFERROR(INDEX(_ENGINE_Initiatives!$AE$5:$AE$532,MATCH(1,INDEX((_ENGINE_Initiatives!$B$5:$B$532=$C763)*(_ENGINE_Initiatives!$C$5:$C$532=$D763),0),0)),"")</f>
        <v/>
      </c>
      <c r="AX763">
        <f>IF($B763="Yes",IFERROR(IF(SUMIFS(_REF_Model_Content!$E$1:$E$613,_REF_Model_Content!$A$1:$A$613,'Company Profile'!$B$9,_REF_Model_Content!$B$1:$B$613,$C763)=0,1,SUMIFS(_REF_Model_Content!$E$1:$E$613,_REF_Model_Content!$A$1:$A$613,'Company Profile'!$B$9,_REF_Model_Content!$B$1:$B$613,$C763)),1),"")</f>
        <v/>
      </c>
      <c r="AY763">
        <f>IF($L763="","",ROUND(IF($AP763="",$L763,$AP763)*IF($AX763="",1,$AX763),2))</f>
        <v/>
      </c>
      <c r="AZ763">
        <f>IF($S763="","",ROUND(IF($AQ763="",$S763,$AQ763)*IF($AX763="",1,$AX763),2))</f>
        <v/>
      </c>
      <c r="BB763">
        <f>IF($H763="","",IFERROR(INDEX('_ENGINE_Risk'!$AE$41:$AE$920,MATCH($E763,'_ENGINE_Risk'!$A$41:$A$920,0)),"Medium"))</f>
        <v/>
      </c>
      <c r="BC763">
        <f>IF($BB763="","",IF($BB763="Fast",1.25,IF($BB763="Slow",0.85,1)))</f>
        <v/>
      </c>
      <c r="BD763">
        <f>IF(OR($AZ763="",$BC763=""),"",ROUND($AZ763*$BC763,2))</f>
        <v/>
      </c>
      <c r="BF763">
        <f>IF(OR($H763="",$J763=""),"",_xlfn.IFNA(VLOOKUP($J763,_CONFIG_Model_Settings!$D$610:$E$614,2,0),""))</f>
        <v/>
      </c>
      <c r="BG763">
        <f>IF(OR($H763="",$K763=""),"",ROUND('Company Profile'!$B$569*INDEX(_CONFIG_Model_Settings!$H$610:$H$614,MATCH($K763,_CONFIG_Model_Settings!$G$610:$G$614,0)),0))</f>
        <v/>
      </c>
      <c r="BH763">
        <f>IF(OR($BF763="",$BG763=""),"",ROUND($BF763*$BG763,1))</f>
        <v/>
      </c>
      <c r="BI763">
        <f>IF($BH763="","",IF($AO763="",$BH763,ROUND($BH763*$AO763,1)))</f>
        <v/>
      </c>
      <c r="BJ763">
        <f>IF($E763="","",IFERROR(VLOOKUP($C763,'_CONFIG_Risk_Calibration'!$A$5:$H$21,2,FALSE),3))</f>
        <v/>
      </c>
      <c r="BK763">
        <f>IF($E763="","",IFERROR(VLOOKUP($C763,'_CONFIG_Risk_Calibration'!$A$5:$H$21,3,FALSE),0))</f>
        <v/>
      </c>
      <c r="BL763">
        <f>IF($E763="","",IFERROR(VLOOKUP($C763,'_CONFIG_Risk_Calibration'!$A$5:$H$21,4,FALSE),3))</f>
        <v/>
      </c>
      <c r="BM763">
        <f>IF($E763="","",IFERROR(VLOOKUP($C763,'_CONFIG_Risk_Calibration'!$A$5:$H$21,5,FALSE),3))</f>
        <v/>
      </c>
      <c r="BN763">
        <f>IF($E763="","",IFERROR(VLOOKUP($C763,'_CONFIG_Risk_Calibration'!$A$5:$H$21,6,FALSE),"No"))</f>
        <v/>
      </c>
      <c r="BO763">
        <f>IF($E763="","",IFERROR(VLOOKUP($C763,'_CONFIG_Risk_Calibration'!$A$5:$H$21,7,FALSE),1))</f>
        <v/>
      </c>
      <c r="BP763">
        <f>IF($H763="","",MAX(1,MIN(5,((6-$H763)*0.45)+($BJ763*0.20)+('Resilience &amp; Risk Scenario'!$B$7*0.15)+($BK763*0.10)+($BL763*0.05)+(IF($BB763="Fast",5,IF($BB763="Slow",1,3))*0.05))))</f>
        <v/>
      </c>
      <c r="BQ763">
        <f>IF($H763="","",MAX(IF($BN763="Yes",$BO763,1),MIN(5,($U763*0.20)+($V763*0.15)+($W763*0.25)+($X763*0.15)+($BJ763*0.10)+($BM763*0.15))))</f>
        <v/>
      </c>
      <c r="BR763">
        <f>IF(OR($BP763="",$BQ763=""),"",ROUND($BP763*$BQ763,2))</f>
        <v/>
      </c>
      <c r="BS763">
        <f>IF($BR763="","",ROUND($BR763*IF($AO763="",1,$AO763)*IF($AX763="",1,$AX763)*(1+(($BM763-3)*0.10))*IF($BC763="",1,$BC763),2))</f>
        <v/>
      </c>
    </row>
    <row r="764" ht="69.90000000000001" customHeight="1" s="209">
      <c r="A764">
        <f>IF($BD764="","",SUMPRODUCT(ISNUMBER($BD$500:$BD$923)*($BD$500:$BD$923&gt;$BD764))+COUNTIF($BD$500:$BD764,$BD764))</f>
        <v/>
      </c>
      <c r="B764">
        <f>IF($H764="","",IF($H764&lt;5,"Yes","Maintain"))</f>
        <v/>
      </c>
      <c r="C764" t="inlineStr">
        <is>
          <t>Sales CRM</t>
        </is>
      </c>
      <c r="D764" t="inlineStr">
        <is>
          <t>Customer continuity</t>
        </is>
      </c>
      <c r="E764" t="inlineStr">
        <is>
          <t>SALE-014</t>
        </is>
      </c>
      <c r="F764" t="inlineStr">
        <is>
          <t>Revenue, sales pipeline and CRM continuity</t>
        </is>
      </c>
      <c r="G764">
        <f>IF($H764="","",IFERROR(INDEX('_ENGINE_Risk'!$H$41:$M$920,MATCH($E764,'_ENGINE_Risk'!$A$41:$A$920,0),$H764+1),""))</f>
        <v/>
      </c>
      <c r="H764">
        <f>IFERROR(VALUE(INDEX(_DATA_Assessment_Model!$H$5:$H$884,MATCH($E764,_DATA_Assessment_Model!$A$5:$A$884,0))),"")</f>
        <v/>
      </c>
      <c r="I764">
        <f>IF($H764="","",IFERROR(INDEX(_DATA_Assessment_Model!$L$5:$L$884,MATCH($E764,_DATA_Assessment_Model!$A$5:$A$884,0)),IF($H764&lt;=1,"Critical",IF($H764=2,"High",IF($H764=3,"Medium",IF($H764=4,"Low","Resilient"))))))</f>
        <v/>
      </c>
      <c r="J764">
        <f>IF($H764="","",MIN(5,MAX(1,6-$H764)))</f>
        <v/>
      </c>
      <c r="K764">
        <f>IF($H764="","",MAX(1,MIN(5,ROUNDUP(($U764*0.45)+($W764*0.35)+($X764*0.2),0))))</f>
        <v/>
      </c>
      <c r="L764">
        <f>IF($H764="","",$J764*$K764)</f>
        <v/>
      </c>
      <c r="M764">
        <f>IF($H764="","",MAX(1,MIN(5,ROUNDUP($L764/5,0))))</f>
        <v/>
      </c>
      <c r="N764">
        <f>IF($H764="","",IFERROR(INDEX('_ENGINE_Risk'!$T$41:$Y$920,MATCH($E764,'_ENGINE_Risk'!$A$41:$A$920,0),$H764+1),""))</f>
        <v/>
      </c>
      <c r="O764">
        <f>IF($H764="","",MAX(1,MIN(5,($U764+$V764+$X764)/3)))</f>
        <v/>
      </c>
      <c r="P764">
        <f>IF($H764="","",IF($I764="Critical",5,IF($I764="High",4,IF($I764="Medium",3,IF($I764="Low",2,1)))))</f>
        <v/>
      </c>
      <c r="Q764">
        <f>IF($H764="","",MAX(1,MIN(5,((5-$H764)*0.65)+($W764*0.35))))</f>
        <v/>
      </c>
      <c r="R764">
        <f>IF($H764="","",MAX(1,MIN(5,($V764+$X764)/2)))</f>
        <v/>
      </c>
      <c r="S764">
        <f>IF(OR($H764="",$N764=""),"",ROUND(($O764+$P764+$Q764+$R764)/$N764,2))</f>
        <v/>
      </c>
      <c r="T764">
        <f>IF($H764="","",IFERROR(INDEX('_ENGINE_Risk'!$N$41:$S$920,MATCH($E764,'_ENGINE_Risk'!$A$41:$A$920,0),$H764+1),""))</f>
        <v/>
      </c>
      <c r="U764">
        <f>IFERROR(INDEX(_DATA_Assessment_Model!$G$5:$G$884,MATCH($E764,_DATA_Assessment_Model!$A$5:$A$884,0)),"")</f>
        <v/>
      </c>
      <c r="V764">
        <f>IFERROR(INDEX(_DATA_Assessment_Model!$W$5:$W$884,MATCH($E764,_DATA_Assessment_Model!$A$5:$A$884,0)),"")</f>
        <v/>
      </c>
      <c r="W764">
        <f>IFERROR(INDEX(_DATA_Assessment_Model!$X$5:$X$884,MATCH($E764,_DATA_Assessment_Model!$A$5:$A$884,0)),"")</f>
        <v/>
      </c>
      <c r="X764">
        <f>IFERROR(INDEX(_DATA_Assessment_Model!$Y$5:$Y$884,MATCH($E764,_DATA_Assessment_Model!$A$5:$A$884,0)),"")</f>
        <v/>
      </c>
      <c r="Y764" t="inlineStr">
        <is>
          <t>Demand shock; Revenue loss; Reputation crisis</t>
        </is>
      </c>
      <c r="Z764" t="inlineStr">
        <is>
          <t>CCO / Sales Ops</t>
        </is>
      </c>
      <c r="AA764" t="inlineStr">
        <is>
          <t>Policy/SOP; owner/RACI; system report; dashboard; contracts; test records; incident history; interview evidence related to critical account plans covering stakeholders, risks, contracts, renewals and crisis communication.</t>
        </is>
      </c>
      <c r="AB764">
        <f>IFERROR(INDEX(_DATA_Assessment_Model!$U$5:$U$884,MATCH($E764,_DATA_Assessment_Model!$A$5:$A$884,0)),"")</f>
        <v/>
      </c>
      <c r="AF764" t="inlineStr">
        <is>
          <t>How mature is the organization in managing critical account plans covering stakeholders, risks, contracts, renewals and crisis communication, including ownership, evidence, metrics, fallback procedures and crisis stress testing?</t>
        </is>
      </c>
      <c r="AO764">
        <f>IF($B764="Yes",IFERROR(INDEX(_ENGINE_Crisis!$F$501:$F$517,MATCH($C764,_ENGINE_Crisis!$A$501:$A$517,0)),1),"")</f>
        <v/>
      </c>
      <c r="AP764">
        <f>IF(AO764="","",ROUND($L764*AO764,1))</f>
        <v/>
      </c>
      <c r="AQ764">
        <f>IF(OR(AO764="",$S764=""),"",ROUND($S764*(0.7+0.3*AO764),2))</f>
        <v/>
      </c>
      <c r="AR764">
        <f>IFERROR(INDEX(_ENGINE_Crisis!$E$41:$E$700,MATCH('Resilience &amp; Risk Scenario'!$B$60&amp;"|"&amp;$C764,_ENGINE_Crisis!$I$41:$I$700,0)),"")</f>
        <v/>
      </c>
      <c r="AS764">
        <f>IFERROR(INDEX(_ENGINE_Crisis!$G$41:$G$700,MATCH('Resilience &amp; Risk Scenario'!$B$60&amp;"|"&amp;$C764,_ENGINE_Crisis!$I$41:$I$700,0)),"")</f>
        <v/>
      </c>
      <c r="AT764">
        <f>IFERROR(INDEX(_ENGINE_Initiatives!$A$5:$A$532,MATCH(1,INDEX((_ENGINE_Initiatives!$B$5:$B$532=$C764)*(_ENGINE_Initiatives!$C$5:$C$532=$D764),0),0)),"")</f>
        <v/>
      </c>
      <c r="AU764">
        <f>IFERROR(INDEX(_ENGINE_Initiatives!$F$5:$F$532,MATCH(1,INDEX((_ENGINE_Initiatives!$B$5:$B$532=$C764)*(_ENGINE_Initiatives!$C$5:$C$532=$D764),0),0)),"")</f>
        <v/>
      </c>
      <c r="AV764">
        <f>IFERROR(INDEX(_ENGINE_Initiatives!$AC$5:$AC$532,MATCH(1,INDEX((_ENGINE_Initiatives!$B$5:$B$532=$C764)*(_ENGINE_Initiatives!$C$5:$C$532=$D764),0),0)),"")</f>
        <v/>
      </c>
      <c r="AW764">
        <f>IFERROR(INDEX(_ENGINE_Initiatives!$AE$5:$AE$532,MATCH(1,INDEX((_ENGINE_Initiatives!$B$5:$B$532=$C764)*(_ENGINE_Initiatives!$C$5:$C$532=$D764),0),0)),"")</f>
        <v/>
      </c>
      <c r="AX764">
        <f>IF($B764="Yes",IFERROR(IF(SUMIFS(_REF_Model_Content!$E$1:$E$613,_REF_Model_Content!$A$1:$A$613,'Company Profile'!$B$9,_REF_Model_Content!$B$1:$B$613,$C764)=0,1,SUMIFS(_REF_Model_Content!$E$1:$E$613,_REF_Model_Content!$A$1:$A$613,'Company Profile'!$B$9,_REF_Model_Content!$B$1:$B$613,$C764)),1),"")</f>
        <v/>
      </c>
      <c r="AY764">
        <f>IF($L764="","",ROUND(IF($AP764="",$L764,$AP764)*IF($AX764="",1,$AX764),2))</f>
        <v/>
      </c>
      <c r="AZ764">
        <f>IF($S764="","",ROUND(IF($AQ764="",$S764,$AQ764)*IF($AX764="",1,$AX764),2))</f>
        <v/>
      </c>
      <c r="BB764">
        <f>IF($H764="","",IFERROR(INDEX('_ENGINE_Risk'!$AE$41:$AE$920,MATCH($E764,'_ENGINE_Risk'!$A$41:$A$920,0)),"Medium"))</f>
        <v/>
      </c>
      <c r="BC764">
        <f>IF($BB764="","",IF($BB764="Fast",1.25,IF($BB764="Slow",0.85,1)))</f>
        <v/>
      </c>
      <c r="BD764">
        <f>IF(OR($AZ764="",$BC764=""),"",ROUND($AZ764*$BC764,2))</f>
        <v/>
      </c>
      <c r="BF764">
        <f>IF(OR($H764="",$J764=""),"",_xlfn.IFNA(VLOOKUP($J764,_CONFIG_Model_Settings!$D$610:$E$614,2,0),""))</f>
        <v/>
      </c>
      <c r="BG764">
        <f>IF(OR($H764="",$K764=""),"",ROUND('Company Profile'!$B$569*INDEX(_CONFIG_Model_Settings!$H$610:$H$614,MATCH($K764,_CONFIG_Model_Settings!$G$610:$G$614,0)),0))</f>
        <v/>
      </c>
      <c r="BH764">
        <f>IF(OR($BF764="",$BG764=""),"",ROUND($BF764*$BG764,1))</f>
        <v/>
      </c>
      <c r="BI764">
        <f>IF($BH764="","",IF($AO764="",$BH764,ROUND($BH764*$AO764,1)))</f>
        <v/>
      </c>
      <c r="BJ764">
        <f>IF($E764="","",IFERROR(VLOOKUP($C764,'_CONFIG_Risk_Calibration'!$A$5:$H$21,2,FALSE),3))</f>
        <v/>
      </c>
      <c r="BK764">
        <f>IF($E764="","",IFERROR(VLOOKUP($C764,'_CONFIG_Risk_Calibration'!$A$5:$H$21,3,FALSE),0))</f>
        <v/>
      </c>
      <c r="BL764">
        <f>IF($E764="","",IFERROR(VLOOKUP($C764,'_CONFIG_Risk_Calibration'!$A$5:$H$21,4,FALSE),3))</f>
        <v/>
      </c>
      <c r="BM764">
        <f>IF($E764="","",IFERROR(VLOOKUP($C764,'_CONFIG_Risk_Calibration'!$A$5:$H$21,5,FALSE),3))</f>
        <v/>
      </c>
      <c r="BN764">
        <f>IF($E764="","",IFERROR(VLOOKUP($C764,'_CONFIG_Risk_Calibration'!$A$5:$H$21,6,FALSE),"No"))</f>
        <v/>
      </c>
      <c r="BO764">
        <f>IF($E764="","",IFERROR(VLOOKUP($C764,'_CONFIG_Risk_Calibration'!$A$5:$H$21,7,FALSE),1))</f>
        <v/>
      </c>
      <c r="BP764">
        <f>IF($H764="","",MAX(1,MIN(5,((6-$H764)*0.45)+($BJ764*0.20)+('Resilience &amp; Risk Scenario'!$B$7*0.15)+($BK764*0.10)+($BL764*0.05)+(IF($BB764="Fast",5,IF($BB764="Slow",1,3))*0.05))))</f>
        <v/>
      </c>
      <c r="BQ764">
        <f>IF($H764="","",MAX(IF($BN764="Yes",$BO764,1),MIN(5,($U764*0.20)+($V764*0.15)+($W764*0.25)+($X764*0.15)+($BJ764*0.10)+($BM764*0.15))))</f>
        <v/>
      </c>
      <c r="BR764">
        <f>IF(OR($BP764="",$BQ764=""),"",ROUND($BP764*$BQ764,2))</f>
        <v/>
      </c>
      <c r="BS764">
        <f>IF($BR764="","",ROUND($BR764*IF($AO764="",1,$AO764)*IF($AX764="",1,$AX764)*(1+(($BM764-3)*0.10))*IF($BC764="",1,$BC764),2))</f>
        <v/>
      </c>
    </row>
    <row r="765" ht="69.90000000000001" customHeight="1" s="209">
      <c r="A765">
        <f>IF($BD765="","",SUMPRODUCT(ISNUMBER($BD$500:$BD$923)*($BD$500:$BD$923&gt;$BD765))+COUNTIF($BD$500:$BD765,$BD765))</f>
        <v/>
      </c>
      <c r="B765">
        <f>IF($H765="","",IF($H765&lt;5,"Yes","Maintain"))</f>
        <v/>
      </c>
      <c r="C765" t="inlineStr">
        <is>
          <t>Sales CRM</t>
        </is>
      </c>
      <c r="D765" t="inlineStr">
        <is>
          <t>Customer continuity</t>
        </is>
      </c>
      <c r="E765" t="inlineStr">
        <is>
          <t>SALE-015</t>
        </is>
      </c>
      <c r="F765" t="inlineStr">
        <is>
          <t>Revenue, sales pipeline and CRM continuity</t>
        </is>
      </c>
      <c r="G765">
        <f>IF($H765="","",IFERROR(INDEX('_ENGINE_Risk'!$H$41:$M$920,MATCH($E765,'_ENGINE_Risk'!$A$41:$A$920,0),$H765+1),""))</f>
        <v/>
      </c>
      <c r="H765">
        <f>IFERROR(VALUE(INDEX(_DATA_Assessment_Model!$H$5:$H$884,MATCH($E765,_DATA_Assessment_Model!$A$5:$A$884,0))),"")</f>
        <v/>
      </c>
      <c r="I765">
        <f>IF($H765="","",IFERROR(INDEX(_DATA_Assessment_Model!$L$5:$L$884,MATCH($E765,_DATA_Assessment_Model!$A$5:$A$884,0)),IF($H765&lt;=1,"Critical",IF($H765=2,"High",IF($H765=3,"Medium",IF($H765=4,"Low","Resilient"))))))</f>
        <v/>
      </c>
      <c r="J765">
        <f>IF($H765="","",MIN(5,MAX(1,6-$H765)))</f>
        <v/>
      </c>
      <c r="K765">
        <f>IF($H765="","",MAX(1,MIN(5,ROUNDUP(($U765*0.45)+($W765*0.35)+($X765*0.2),0))))</f>
        <v/>
      </c>
      <c r="L765">
        <f>IF($H765="","",$J765*$K765)</f>
        <v/>
      </c>
      <c r="M765">
        <f>IF($H765="","",MAX(1,MIN(5,ROUNDUP($L765/5,0))))</f>
        <v/>
      </c>
      <c r="N765">
        <f>IF($H765="","",IFERROR(INDEX('_ENGINE_Risk'!$T$41:$Y$920,MATCH($E765,'_ENGINE_Risk'!$A$41:$A$920,0),$H765+1),""))</f>
        <v/>
      </c>
      <c r="O765">
        <f>IF($H765="","",MAX(1,MIN(5,($U765+$V765+$X765)/3)))</f>
        <v/>
      </c>
      <c r="P765">
        <f>IF($H765="","",IF($I765="Critical",5,IF($I765="High",4,IF($I765="Medium",3,IF($I765="Low",2,1)))))</f>
        <v/>
      </c>
      <c r="Q765">
        <f>IF($H765="","",MAX(1,MIN(5,((5-$H765)*0.65)+($W765*0.35))))</f>
        <v/>
      </c>
      <c r="R765">
        <f>IF($H765="","",MAX(1,MIN(5,($V765+$X765)/2)))</f>
        <v/>
      </c>
      <c r="S765">
        <f>IF(OR($H765="",$N765=""),"",ROUND(($O765+$P765+$Q765+$R765)/$N765,2))</f>
        <v/>
      </c>
      <c r="T765">
        <f>IF($H765="","",IFERROR(INDEX('_ENGINE_Risk'!$N$41:$S$920,MATCH($E765,'_ENGINE_Risk'!$A$41:$A$920,0),$H765+1),""))</f>
        <v/>
      </c>
      <c r="U765">
        <f>IFERROR(INDEX(_DATA_Assessment_Model!$G$5:$G$884,MATCH($E765,_DATA_Assessment_Model!$A$5:$A$884,0)),"")</f>
        <v/>
      </c>
      <c r="V765">
        <f>IFERROR(INDEX(_DATA_Assessment_Model!$W$5:$W$884,MATCH($E765,_DATA_Assessment_Model!$A$5:$A$884,0)),"")</f>
        <v/>
      </c>
      <c r="W765">
        <f>IFERROR(INDEX(_DATA_Assessment_Model!$X$5:$X$884,MATCH($E765,_DATA_Assessment_Model!$A$5:$A$884,0)),"")</f>
        <v/>
      </c>
      <c r="X765">
        <f>IFERROR(INDEX(_DATA_Assessment_Model!$Y$5:$Y$884,MATCH($E765,_DATA_Assessment_Model!$A$5:$A$884,0)),"")</f>
        <v/>
      </c>
      <c r="Y765" t="inlineStr">
        <is>
          <t>Demand shock; Revenue loss; Reputation crisis</t>
        </is>
      </c>
      <c r="Z765" t="inlineStr">
        <is>
          <t>CCO / Sales Ops</t>
        </is>
      </c>
      <c r="AA765" t="inlineStr">
        <is>
          <t>Policy/SOP; owner/RACI; system report; dashboard; contracts; test records; incident history; interview evidence related to customer notification rules for incidents, delays, cyber events and service disruption.</t>
        </is>
      </c>
      <c r="AB765">
        <f>IFERROR(INDEX(_DATA_Assessment_Model!$U$5:$U$884,MATCH($E765,_DATA_Assessment_Model!$A$5:$A$884,0)),"")</f>
        <v/>
      </c>
      <c r="AF765" t="inlineStr">
        <is>
          <t>How mature is the organization in managing customer notification rules for incidents, delays, cyber events and service disruption, including ownership, evidence, metrics, fallback procedures and crisis stress testing?</t>
        </is>
      </c>
      <c r="AO765">
        <f>IF($B765="Yes",IFERROR(INDEX(_ENGINE_Crisis!$F$501:$F$517,MATCH($C765,_ENGINE_Crisis!$A$501:$A$517,0)),1),"")</f>
        <v/>
      </c>
      <c r="AP765">
        <f>IF(AO765="","",ROUND($L765*AO765,1))</f>
        <v/>
      </c>
      <c r="AQ765">
        <f>IF(OR(AO765="",$S765=""),"",ROUND($S765*(0.7+0.3*AO765),2))</f>
        <v/>
      </c>
      <c r="AR765">
        <f>IFERROR(INDEX(_ENGINE_Crisis!$E$41:$E$700,MATCH('Resilience &amp; Risk Scenario'!$B$60&amp;"|"&amp;$C765,_ENGINE_Crisis!$I$41:$I$700,0)),"")</f>
        <v/>
      </c>
      <c r="AS765">
        <f>IFERROR(INDEX(_ENGINE_Crisis!$G$41:$G$700,MATCH('Resilience &amp; Risk Scenario'!$B$60&amp;"|"&amp;$C765,_ENGINE_Crisis!$I$41:$I$700,0)),"")</f>
        <v/>
      </c>
      <c r="AT765">
        <f>IFERROR(INDEX(_ENGINE_Initiatives!$A$5:$A$532,MATCH(1,INDEX((_ENGINE_Initiatives!$B$5:$B$532=$C765)*(_ENGINE_Initiatives!$C$5:$C$532=$D765),0),0)),"")</f>
        <v/>
      </c>
      <c r="AU765">
        <f>IFERROR(INDEX(_ENGINE_Initiatives!$F$5:$F$532,MATCH(1,INDEX((_ENGINE_Initiatives!$B$5:$B$532=$C765)*(_ENGINE_Initiatives!$C$5:$C$532=$D765),0),0)),"")</f>
        <v/>
      </c>
      <c r="AV765">
        <f>IFERROR(INDEX(_ENGINE_Initiatives!$AC$5:$AC$532,MATCH(1,INDEX((_ENGINE_Initiatives!$B$5:$B$532=$C765)*(_ENGINE_Initiatives!$C$5:$C$532=$D765),0),0)),"")</f>
        <v/>
      </c>
      <c r="AW765">
        <f>IFERROR(INDEX(_ENGINE_Initiatives!$AE$5:$AE$532,MATCH(1,INDEX((_ENGINE_Initiatives!$B$5:$B$532=$C765)*(_ENGINE_Initiatives!$C$5:$C$532=$D765),0),0)),"")</f>
        <v/>
      </c>
      <c r="AX765">
        <f>IF($B765="Yes",IFERROR(IF(SUMIFS(_REF_Model_Content!$E$1:$E$613,_REF_Model_Content!$A$1:$A$613,'Company Profile'!$B$9,_REF_Model_Content!$B$1:$B$613,$C765)=0,1,SUMIFS(_REF_Model_Content!$E$1:$E$613,_REF_Model_Content!$A$1:$A$613,'Company Profile'!$B$9,_REF_Model_Content!$B$1:$B$613,$C765)),1),"")</f>
        <v/>
      </c>
      <c r="AY765">
        <f>IF($L765="","",ROUND(IF($AP765="",$L765,$AP765)*IF($AX765="",1,$AX765),2))</f>
        <v/>
      </c>
      <c r="AZ765">
        <f>IF($S765="","",ROUND(IF($AQ765="",$S765,$AQ765)*IF($AX765="",1,$AX765),2))</f>
        <v/>
      </c>
      <c r="BB765">
        <f>IF($H765="","",IFERROR(INDEX('_ENGINE_Risk'!$AE$41:$AE$920,MATCH($E765,'_ENGINE_Risk'!$A$41:$A$920,0)),"Medium"))</f>
        <v/>
      </c>
      <c r="BC765">
        <f>IF($BB765="","",IF($BB765="Fast",1.25,IF($BB765="Slow",0.85,1)))</f>
        <v/>
      </c>
      <c r="BD765">
        <f>IF(OR($AZ765="",$BC765=""),"",ROUND($AZ765*$BC765,2))</f>
        <v/>
      </c>
      <c r="BF765">
        <f>IF(OR($H765="",$J765=""),"",_xlfn.IFNA(VLOOKUP($J765,_CONFIG_Model_Settings!$D$610:$E$614,2,0),""))</f>
        <v/>
      </c>
      <c r="BG765">
        <f>IF(OR($H765="",$K765=""),"",ROUND('Company Profile'!$B$569*INDEX(_CONFIG_Model_Settings!$H$610:$H$614,MATCH($K765,_CONFIG_Model_Settings!$G$610:$G$614,0)),0))</f>
        <v/>
      </c>
      <c r="BH765">
        <f>IF(OR($BF765="",$BG765=""),"",ROUND($BF765*$BG765,1))</f>
        <v/>
      </c>
      <c r="BI765">
        <f>IF($BH765="","",IF($AO765="",$BH765,ROUND($BH765*$AO765,1)))</f>
        <v/>
      </c>
      <c r="BJ765">
        <f>IF($E765="","",IFERROR(VLOOKUP($C765,'_CONFIG_Risk_Calibration'!$A$5:$H$21,2,FALSE),3))</f>
        <v/>
      </c>
      <c r="BK765">
        <f>IF($E765="","",IFERROR(VLOOKUP($C765,'_CONFIG_Risk_Calibration'!$A$5:$H$21,3,FALSE),0))</f>
        <v/>
      </c>
      <c r="BL765">
        <f>IF($E765="","",IFERROR(VLOOKUP($C765,'_CONFIG_Risk_Calibration'!$A$5:$H$21,4,FALSE),3))</f>
        <v/>
      </c>
      <c r="BM765">
        <f>IF($E765="","",IFERROR(VLOOKUP($C765,'_CONFIG_Risk_Calibration'!$A$5:$H$21,5,FALSE),3))</f>
        <v/>
      </c>
      <c r="BN765">
        <f>IF($E765="","",IFERROR(VLOOKUP($C765,'_CONFIG_Risk_Calibration'!$A$5:$H$21,6,FALSE),"No"))</f>
        <v/>
      </c>
      <c r="BO765">
        <f>IF($E765="","",IFERROR(VLOOKUP($C765,'_CONFIG_Risk_Calibration'!$A$5:$H$21,7,FALSE),1))</f>
        <v/>
      </c>
      <c r="BP765">
        <f>IF($H765="","",MAX(1,MIN(5,((6-$H765)*0.45)+($BJ765*0.20)+('Resilience &amp; Risk Scenario'!$B$7*0.15)+($BK765*0.10)+($BL765*0.05)+(IF($BB765="Fast",5,IF($BB765="Slow",1,3))*0.05))))</f>
        <v/>
      </c>
      <c r="BQ765">
        <f>IF($H765="","",MAX(IF($BN765="Yes",$BO765,1),MIN(5,($U765*0.20)+($V765*0.15)+($W765*0.25)+($X765*0.15)+($BJ765*0.10)+($BM765*0.15))))</f>
        <v/>
      </c>
      <c r="BR765">
        <f>IF(OR($BP765="",$BQ765=""),"",ROUND($BP765*$BQ765,2))</f>
        <v/>
      </c>
      <c r="BS765">
        <f>IF($BR765="","",ROUND($BR765*IF($AO765="",1,$AO765)*IF($AX765="",1,$AX765)*(1+(($BM765-3)*0.10))*IF($BC765="",1,$BC765),2))</f>
        <v/>
      </c>
    </row>
    <row r="766" ht="69.90000000000001" customHeight="1" s="209">
      <c r="A766">
        <f>IF($BD766="","",SUMPRODUCT(ISNUMBER($BD$500:$BD$923)*($BD$500:$BD$923&gt;$BD766))+COUNTIF($BD$500:$BD766,$BD766))</f>
        <v/>
      </c>
      <c r="B766">
        <f>IF($H766="","",IF($H766&lt;5,"Yes","Maintain"))</f>
        <v/>
      </c>
      <c r="C766" t="inlineStr">
        <is>
          <t>Sales CRM</t>
        </is>
      </c>
      <c r="D766" t="inlineStr">
        <is>
          <t>Customer continuity</t>
        </is>
      </c>
      <c r="E766" t="inlineStr">
        <is>
          <t>SALE-016</t>
        </is>
      </c>
      <c r="F766" t="inlineStr">
        <is>
          <t>Revenue, sales pipeline and CRM continuity</t>
        </is>
      </c>
      <c r="G766">
        <f>IF($H766="","",IFERROR(INDEX('_ENGINE_Risk'!$H$41:$M$920,MATCH($E766,'_ENGINE_Risk'!$A$41:$A$920,0),$H766+1),""))</f>
        <v/>
      </c>
      <c r="H766">
        <f>IFERROR(VALUE(INDEX(_DATA_Assessment_Model!$H$5:$H$884,MATCH($E766,_DATA_Assessment_Model!$A$5:$A$884,0))),"")</f>
        <v/>
      </c>
      <c r="I766">
        <f>IF($H766="","",IFERROR(INDEX(_DATA_Assessment_Model!$L$5:$L$884,MATCH($E766,_DATA_Assessment_Model!$A$5:$A$884,0)),IF($H766&lt;=1,"Critical",IF($H766=2,"High",IF($H766=3,"Medium",IF($H766=4,"Low","Resilient"))))))</f>
        <v/>
      </c>
      <c r="J766">
        <f>IF($H766="","",MIN(5,MAX(1,6-$H766)))</f>
        <v/>
      </c>
      <c r="K766">
        <f>IF($H766="","",MAX(1,MIN(5,ROUNDUP(($U766*0.45)+($W766*0.35)+($X766*0.2),0))))</f>
        <v/>
      </c>
      <c r="L766">
        <f>IF($H766="","",$J766*$K766)</f>
        <v/>
      </c>
      <c r="M766">
        <f>IF($H766="","",MAX(1,MIN(5,ROUNDUP($L766/5,0))))</f>
        <v/>
      </c>
      <c r="N766">
        <f>IF($H766="","",IFERROR(INDEX('_ENGINE_Risk'!$T$41:$Y$920,MATCH($E766,'_ENGINE_Risk'!$A$41:$A$920,0),$H766+1),""))</f>
        <v/>
      </c>
      <c r="O766">
        <f>IF($H766="","",MAX(1,MIN(5,($U766+$V766+$X766)/3)))</f>
        <v/>
      </c>
      <c r="P766">
        <f>IF($H766="","",IF($I766="Critical",5,IF($I766="High",4,IF($I766="Medium",3,IF($I766="Low",2,1)))))</f>
        <v/>
      </c>
      <c r="Q766">
        <f>IF($H766="","",MAX(1,MIN(5,((5-$H766)*0.65)+($W766*0.35))))</f>
        <v/>
      </c>
      <c r="R766">
        <f>IF($H766="","",MAX(1,MIN(5,($V766+$X766)/2)))</f>
        <v/>
      </c>
      <c r="S766">
        <f>IF(OR($H766="",$N766=""),"",ROUND(($O766+$P766+$Q766+$R766)/$N766,2))</f>
        <v/>
      </c>
      <c r="T766">
        <f>IF($H766="","",IFERROR(INDEX('_ENGINE_Risk'!$N$41:$S$920,MATCH($E766,'_ENGINE_Risk'!$A$41:$A$920,0),$H766+1),""))</f>
        <v/>
      </c>
      <c r="U766">
        <f>IFERROR(INDEX(_DATA_Assessment_Model!$G$5:$G$884,MATCH($E766,_DATA_Assessment_Model!$A$5:$A$884,0)),"")</f>
        <v/>
      </c>
      <c r="V766">
        <f>IFERROR(INDEX(_DATA_Assessment_Model!$W$5:$W$884,MATCH($E766,_DATA_Assessment_Model!$A$5:$A$884,0)),"")</f>
        <v/>
      </c>
      <c r="W766">
        <f>IFERROR(INDEX(_DATA_Assessment_Model!$X$5:$X$884,MATCH($E766,_DATA_Assessment_Model!$A$5:$A$884,0)),"")</f>
        <v/>
      </c>
      <c r="X766">
        <f>IFERROR(INDEX(_DATA_Assessment_Model!$Y$5:$Y$884,MATCH($E766,_DATA_Assessment_Model!$A$5:$A$884,0)),"")</f>
        <v/>
      </c>
      <c r="Y766" t="inlineStr">
        <is>
          <t>Demand shock; Revenue loss; Reputation crisis</t>
        </is>
      </c>
      <c r="Z766" t="inlineStr">
        <is>
          <t>CCO / Sales Ops</t>
        </is>
      </c>
      <c r="AA766" t="inlineStr">
        <is>
          <t>Policy/SOP; owner/RACI; system report; dashboard; contracts; test records; incident history; interview evidence related to support knowledge base and agent fallback if experienced people are unavailable.</t>
        </is>
      </c>
      <c r="AB766">
        <f>IFERROR(INDEX(_DATA_Assessment_Model!$U$5:$U$884,MATCH($E766,_DATA_Assessment_Model!$A$5:$A$884,0)),"")</f>
        <v/>
      </c>
      <c r="AF766" t="inlineStr">
        <is>
          <t>How mature is the organization in managing support knowledge base and agent fallback if experienced people are unavailable, including ownership, evidence, metrics, fallback procedures and crisis stress testing?</t>
        </is>
      </c>
      <c r="AO766">
        <f>IF($B766="Yes",IFERROR(INDEX(_ENGINE_Crisis!$F$501:$F$517,MATCH($C766,_ENGINE_Crisis!$A$501:$A$517,0)),1),"")</f>
        <v/>
      </c>
      <c r="AP766">
        <f>IF(AO766="","",ROUND($L766*AO766,1))</f>
        <v/>
      </c>
      <c r="AQ766">
        <f>IF(OR(AO766="",$S766=""),"",ROUND($S766*(0.7+0.3*AO766),2))</f>
        <v/>
      </c>
      <c r="AR766">
        <f>IFERROR(INDEX(_ENGINE_Crisis!$E$41:$E$700,MATCH('Resilience &amp; Risk Scenario'!$B$60&amp;"|"&amp;$C766,_ENGINE_Crisis!$I$41:$I$700,0)),"")</f>
        <v/>
      </c>
      <c r="AS766">
        <f>IFERROR(INDEX(_ENGINE_Crisis!$G$41:$G$700,MATCH('Resilience &amp; Risk Scenario'!$B$60&amp;"|"&amp;$C766,_ENGINE_Crisis!$I$41:$I$700,0)),"")</f>
        <v/>
      </c>
      <c r="AT766">
        <f>IFERROR(INDEX(_ENGINE_Initiatives!$A$5:$A$532,MATCH(1,INDEX((_ENGINE_Initiatives!$B$5:$B$532=$C766)*(_ENGINE_Initiatives!$C$5:$C$532=$D766),0),0)),"")</f>
        <v/>
      </c>
      <c r="AU766">
        <f>IFERROR(INDEX(_ENGINE_Initiatives!$F$5:$F$532,MATCH(1,INDEX((_ENGINE_Initiatives!$B$5:$B$532=$C766)*(_ENGINE_Initiatives!$C$5:$C$532=$D766),0),0)),"")</f>
        <v/>
      </c>
      <c r="AV766">
        <f>IFERROR(INDEX(_ENGINE_Initiatives!$AC$5:$AC$532,MATCH(1,INDEX((_ENGINE_Initiatives!$B$5:$B$532=$C766)*(_ENGINE_Initiatives!$C$5:$C$532=$D766),0),0)),"")</f>
        <v/>
      </c>
      <c r="AW766">
        <f>IFERROR(INDEX(_ENGINE_Initiatives!$AE$5:$AE$532,MATCH(1,INDEX((_ENGINE_Initiatives!$B$5:$B$532=$C766)*(_ENGINE_Initiatives!$C$5:$C$532=$D766),0),0)),"")</f>
        <v/>
      </c>
      <c r="AX766">
        <f>IF($B766="Yes",IFERROR(IF(SUMIFS(_REF_Model_Content!$E$1:$E$613,_REF_Model_Content!$A$1:$A$613,'Company Profile'!$B$9,_REF_Model_Content!$B$1:$B$613,$C766)=0,1,SUMIFS(_REF_Model_Content!$E$1:$E$613,_REF_Model_Content!$A$1:$A$613,'Company Profile'!$B$9,_REF_Model_Content!$B$1:$B$613,$C766)),1),"")</f>
        <v/>
      </c>
      <c r="AY766">
        <f>IF($L766="","",ROUND(IF($AP766="",$L766,$AP766)*IF($AX766="",1,$AX766),2))</f>
        <v/>
      </c>
      <c r="AZ766">
        <f>IF($S766="","",ROUND(IF($AQ766="",$S766,$AQ766)*IF($AX766="",1,$AX766),2))</f>
        <v/>
      </c>
      <c r="BB766">
        <f>IF($H766="","",IFERROR(INDEX('_ENGINE_Risk'!$AE$41:$AE$920,MATCH($E766,'_ENGINE_Risk'!$A$41:$A$920,0)),"Medium"))</f>
        <v/>
      </c>
      <c r="BC766">
        <f>IF($BB766="","",IF($BB766="Fast",1.25,IF($BB766="Slow",0.85,1)))</f>
        <v/>
      </c>
      <c r="BD766">
        <f>IF(OR($AZ766="",$BC766=""),"",ROUND($AZ766*$BC766,2))</f>
        <v/>
      </c>
      <c r="BF766">
        <f>IF(OR($H766="",$J766=""),"",_xlfn.IFNA(VLOOKUP($J766,_CONFIG_Model_Settings!$D$610:$E$614,2,0),""))</f>
        <v/>
      </c>
      <c r="BG766">
        <f>IF(OR($H766="",$K766=""),"",ROUND('Company Profile'!$B$569*INDEX(_CONFIG_Model_Settings!$H$610:$H$614,MATCH($K766,_CONFIG_Model_Settings!$G$610:$G$614,0)),0))</f>
        <v/>
      </c>
      <c r="BH766">
        <f>IF(OR($BF766="",$BG766=""),"",ROUND($BF766*$BG766,1))</f>
        <v/>
      </c>
      <c r="BI766">
        <f>IF($BH766="","",IF($AO766="",$BH766,ROUND($BH766*$AO766,1)))</f>
        <v/>
      </c>
      <c r="BJ766">
        <f>IF($E766="","",IFERROR(VLOOKUP($C766,'_CONFIG_Risk_Calibration'!$A$5:$H$21,2,FALSE),3))</f>
        <v/>
      </c>
      <c r="BK766">
        <f>IF($E766="","",IFERROR(VLOOKUP($C766,'_CONFIG_Risk_Calibration'!$A$5:$H$21,3,FALSE),0))</f>
        <v/>
      </c>
      <c r="BL766">
        <f>IF($E766="","",IFERROR(VLOOKUP($C766,'_CONFIG_Risk_Calibration'!$A$5:$H$21,4,FALSE),3))</f>
        <v/>
      </c>
      <c r="BM766">
        <f>IF($E766="","",IFERROR(VLOOKUP($C766,'_CONFIG_Risk_Calibration'!$A$5:$H$21,5,FALSE),3))</f>
        <v/>
      </c>
      <c r="BN766">
        <f>IF($E766="","",IFERROR(VLOOKUP($C766,'_CONFIG_Risk_Calibration'!$A$5:$H$21,6,FALSE),"No"))</f>
        <v/>
      </c>
      <c r="BO766">
        <f>IF($E766="","",IFERROR(VLOOKUP($C766,'_CONFIG_Risk_Calibration'!$A$5:$H$21,7,FALSE),1))</f>
        <v/>
      </c>
      <c r="BP766">
        <f>IF($H766="","",MAX(1,MIN(5,((6-$H766)*0.45)+($BJ766*0.20)+('Resilience &amp; Risk Scenario'!$B$7*0.15)+($BK766*0.10)+($BL766*0.05)+(IF($BB766="Fast",5,IF($BB766="Slow",1,3))*0.05))))</f>
        <v/>
      </c>
      <c r="BQ766">
        <f>IF($H766="","",MAX(IF($BN766="Yes",$BO766,1),MIN(5,($U766*0.20)+($V766*0.15)+($W766*0.25)+($X766*0.15)+($BJ766*0.10)+($BM766*0.15))))</f>
        <v/>
      </c>
      <c r="BR766">
        <f>IF(OR($BP766="",$BQ766=""),"",ROUND($BP766*$BQ766,2))</f>
        <v/>
      </c>
      <c r="BS766">
        <f>IF($BR766="","",ROUND($BR766*IF($AO766="",1,$AO766)*IF($AX766="",1,$AX766)*(1+(($BM766-3)*0.10))*IF($BC766="",1,$BC766),2))</f>
        <v/>
      </c>
    </row>
    <row r="767" ht="69.90000000000001" customHeight="1" s="209">
      <c r="A767">
        <f>IF($BD767="","",SUMPRODUCT(ISNUMBER($BD$500:$BD$923)*($BD$500:$BD$923&gt;$BD767))+COUNTIF($BD$500:$BD767,$BD767))</f>
        <v/>
      </c>
      <c r="B767">
        <f>IF($H767="","",IF($H767&lt;5,"Yes","Maintain"))</f>
        <v/>
      </c>
      <c r="C767" t="inlineStr">
        <is>
          <t>Sales CRM</t>
        </is>
      </c>
      <c r="D767" t="inlineStr">
        <is>
          <t>Revenue controls</t>
        </is>
      </c>
      <c r="E767" t="inlineStr">
        <is>
          <t>SALE-017</t>
        </is>
      </c>
      <c r="F767" t="inlineStr">
        <is>
          <t>Revenue, sales pipeline and CRM continuity</t>
        </is>
      </c>
      <c r="G767">
        <f>IF($H767="","",IFERROR(INDEX('_ENGINE_Risk'!$H$41:$M$920,MATCH($E767,'_ENGINE_Risk'!$A$41:$A$920,0),$H767+1),""))</f>
        <v/>
      </c>
      <c r="H767">
        <f>IFERROR(VALUE(INDEX(_DATA_Assessment_Model!$H$5:$H$884,MATCH($E767,_DATA_Assessment_Model!$A$5:$A$884,0))),"")</f>
        <v/>
      </c>
      <c r="I767">
        <f>IF($H767="","",IFERROR(INDEX(_DATA_Assessment_Model!$L$5:$L$884,MATCH($E767,_DATA_Assessment_Model!$A$5:$A$884,0)),IF($H767&lt;=1,"Critical",IF($H767=2,"High",IF($H767=3,"Medium",IF($H767=4,"Low","Resilient"))))))</f>
        <v/>
      </c>
      <c r="J767">
        <f>IF($H767="","",MIN(5,MAX(1,6-$H767)))</f>
        <v/>
      </c>
      <c r="K767">
        <f>IF($H767="","",MAX(1,MIN(5,ROUNDUP(($U767*0.45)+($W767*0.35)+($X767*0.2),0))))</f>
        <v/>
      </c>
      <c r="L767">
        <f>IF($H767="","",$J767*$K767)</f>
        <v/>
      </c>
      <c r="M767">
        <f>IF($H767="","",MAX(1,MIN(5,ROUNDUP($L767/5,0))))</f>
        <v/>
      </c>
      <c r="N767">
        <f>IF($H767="","",IFERROR(INDEX('_ENGINE_Risk'!$T$41:$Y$920,MATCH($E767,'_ENGINE_Risk'!$A$41:$A$920,0),$H767+1),""))</f>
        <v/>
      </c>
      <c r="O767">
        <f>IF($H767="","",MAX(1,MIN(5,($U767+$V767+$X767)/3)))</f>
        <v/>
      </c>
      <c r="P767">
        <f>IF($H767="","",IF($I767="Critical",5,IF($I767="High",4,IF($I767="Medium",3,IF($I767="Low",2,1)))))</f>
        <v/>
      </c>
      <c r="Q767">
        <f>IF($H767="","",MAX(1,MIN(5,((5-$H767)*0.65)+($W767*0.35))))</f>
        <v/>
      </c>
      <c r="R767">
        <f>IF($H767="","",MAX(1,MIN(5,($V767+$X767)/2)))</f>
        <v/>
      </c>
      <c r="S767">
        <f>IF(OR($H767="",$N767=""),"",ROUND(($O767+$P767+$Q767+$R767)/$N767,2))</f>
        <v/>
      </c>
      <c r="T767">
        <f>IF($H767="","",IFERROR(INDEX('_ENGINE_Risk'!$N$41:$S$920,MATCH($E767,'_ENGINE_Risk'!$A$41:$A$920,0),$H767+1),""))</f>
        <v/>
      </c>
      <c r="U767">
        <f>IFERROR(INDEX(_DATA_Assessment_Model!$G$5:$G$884,MATCH($E767,_DATA_Assessment_Model!$A$5:$A$884,0)),"")</f>
        <v/>
      </c>
      <c r="V767">
        <f>IFERROR(INDEX(_DATA_Assessment_Model!$W$5:$W$884,MATCH($E767,_DATA_Assessment_Model!$A$5:$A$884,0)),"")</f>
        <v/>
      </c>
      <c r="W767">
        <f>IFERROR(INDEX(_DATA_Assessment_Model!$X$5:$X$884,MATCH($E767,_DATA_Assessment_Model!$A$5:$A$884,0)),"")</f>
        <v/>
      </c>
      <c r="X767">
        <f>IFERROR(INDEX(_DATA_Assessment_Model!$Y$5:$Y$884,MATCH($E767,_DATA_Assessment_Model!$A$5:$A$884,0)),"")</f>
        <v/>
      </c>
      <c r="Y767" t="inlineStr">
        <is>
          <t>Demand shock; Revenue loss; Reputation crisis</t>
        </is>
      </c>
      <c r="Z767" t="inlineStr">
        <is>
          <t>CCO / Sales Ops</t>
        </is>
      </c>
      <c r="AA767" t="inlineStr">
        <is>
          <t>Policy/SOP; owner/RACI; system report; dashboard; contracts; test records; incident history; interview evidence related to discount governance, pricing exceptions, payment terms and margin protection.</t>
        </is>
      </c>
      <c r="AB767">
        <f>IFERROR(INDEX(_DATA_Assessment_Model!$U$5:$U$884,MATCH($E767,_DATA_Assessment_Model!$A$5:$A$884,0)),"")</f>
        <v/>
      </c>
      <c r="AF767" t="inlineStr">
        <is>
          <t>How mature is the organization in managing discount governance, pricing exceptions, payment terms and margin protection, including ownership, evidence, metrics, fallback procedures and crisis stress testing?</t>
        </is>
      </c>
      <c r="AO767">
        <f>IF($B767="Yes",IFERROR(INDEX(_ENGINE_Crisis!$F$501:$F$517,MATCH($C767,_ENGINE_Crisis!$A$501:$A$517,0)),1),"")</f>
        <v/>
      </c>
      <c r="AP767">
        <f>IF(AO767="","",ROUND($L767*AO767,1))</f>
        <v/>
      </c>
      <c r="AQ767">
        <f>IF(OR(AO767="",$S767=""),"",ROUND($S767*(0.7+0.3*AO767),2))</f>
        <v/>
      </c>
      <c r="AR767">
        <f>IFERROR(INDEX(_ENGINE_Crisis!$E$41:$E$700,MATCH('Resilience &amp; Risk Scenario'!$B$60&amp;"|"&amp;$C767,_ENGINE_Crisis!$I$41:$I$700,0)),"")</f>
        <v/>
      </c>
      <c r="AS767">
        <f>IFERROR(INDEX(_ENGINE_Crisis!$G$41:$G$700,MATCH('Resilience &amp; Risk Scenario'!$B$60&amp;"|"&amp;$C767,_ENGINE_Crisis!$I$41:$I$700,0)),"")</f>
        <v/>
      </c>
      <c r="AT767">
        <f>IFERROR(INDEX(_ENGINE_Initiatives!$A$5:$A$532,MATCH(1,INDEX((_ENGINE_Initiatives!$B$5:$B$532=$C767)*(_ENGINE_Initiatives!$C$5:$C$532=$D767),0),0)),"")</f>
        <v/>
      </c>
      <c r="AU767">
        <f>IFERROR(INDEX(_ENGINE_Initiatives!$F$5:$F$532,MATCH(1,INDEX((_ENGINE_Initiatives!$B$5:$B$532=$C767)*(_ENGINE_Initiatives!$C$5:$C$532=$D767),0),0)),"")</f>
        <v/>
      </c>
      <c r="AV767">
        <f>IFERROR(INDEX(_ENGINE_Initiatives!$AC$5:$AC$532,MATCH(1,INDEX((_ENGINE_Initiatives!$B$5:$B$532=$C767)*(_ENGINE_Initiatives!$C$5:$C$532=$D767),0),0)),"")</f>
        <v/>
      </c>
      <c r="AW767">
        <f>IFERROR(INDEX(_ENGINE_Initiatives!$AE$5:$AE$532,MATCH(1,INDEX((_ENGINE_Initiatives!$B$5:$B$532=$C767)*(_ENGINE_Initiatives!$C$5:$C$532=$D767),0),0)),"")</f>
        <v/>
      </c>
      <c r="AX767">
        <f>IF($B767="Yes",IFERROR(IF(SUMIFS(_REF_Model_Content!$E$1:$E$613,_REF_Model_Content!$A$1:$A$613,'Company Profile'!$B$9,_REF_Model_Content!$B$1:$B$613,$C767)=0,1,SUMIFS(_REF_Model_Content!$E$1:$E$613,_REF_Model_Content!$A$1:$A$613,'Company Profile'!$B$9,_REF_Model_Content!$B$1:$B$613,$C767)),1),"")</f>
        <v/>
      </c>
      <c r="AY767">
        <f>IF($L767="","",ROUND(IF($AP767="",$L767,$AP767)*IF($AX767="",1,$AX767),2))</f>
        <v/>
      </c>
      <c r="AZ767">
        <f>IF($S767="","",ROUND(IF($AQ767="",$S767,$AQ767)*IF($AX767="",1,$AX767),2))</f>
        <v/>
      </c>
      <c r="BB767">
        <f>IF($H767="","",IFERROR(INDEX('_ENGINE_Risk'!$AE$41:$AE$920,MATCH($E767,'_ENGINE_Risk'!$A$41:$A$920,0)),"Medium"))</f>
        <v/>
      </c>
      <c r="BC767">
        <f>IF($BB767="","",IF($BB767="Fast",1.25,IF($BB767="Slow",0.85,1)))</f>
        <v/>
      </c>
      <c r="BD767">
        <f>IF(OR($AZ767="",$BC767=""),"",ROUND($AZ767*$BC767,2))</f>
        <v/>
      </c>
      <c r="BF767">
        <f>IF(OR($H767="",$J767=""),"",_xlfn.IFNA(VLOOKUP($J767,_CONFIG_Model_Settings!$D$610:$E$614,2,0),""))</f>
        <v/>
      </c>
      <c r="BG767">
        <f>IF(OR($H767="",$K767=""),"",ROUND('Company Profile'!$B$569*INDEX(_CONFIG_Model_Settings!$H$610:$H$614,MATCH($K767,_CONFIG_Model_Settings!$G$610:$G$614,0)),0))</f>
        <v/>
      </c>
      <c r="BH767">
        <f>IF(OR($BF767="",$BG767=""),"",ROUND($BF767*$BG767,1))</f>
        <v/>
      </c>
      <c r="BI767">
        <f>IF($BH767="","",IF($AO767="",$BH767,ROUND($BH767*$AO767,1)))</f>
        <v/>
      </c>
      <c r="BJ767">
        <f>IF($E767="","",IFERROR(VLOOKUP($C767,'_CONFIG_Risk_Calibration'!$A$5:$H$21,2,FALSE),3))</f>
        <v/>
      </c>
      <c r="BK767">
        <f>IF($E767="","",IFERROR(VLOOKUP($C767,'_CONFIG_Risk_Calibration'!$A$5:$H$21,3,FALSE),0))</f>
        <v/>
      </c>
      <c r="BL767">
        <f>IF($E767="","",IFERROR(VLOOKUP($C767,'_CONFIG_Risk_Calibration'!$A$5:$H$21,4,FALSE),3))</f>
        <v/>
      </c>
      <c r="BM767">
        <f>IF($E767="","",IFERROR(VLOOKUP($C767,'_CONFIG_Risk_Calibration'!$A$5:$H$21,5,FALSE),3))</f>
        <v/>
      </c>
      <c r="BN767">
        <f>IF($E767="","",IFERROR(VLOOKUP($C767,'_CONFIG_Risk_Calibration'!$A$5:$H$21,6,FALSE),"No"))</f>
        <v/>
      </c>
      <c r="BO767">
        <f>IF($E767="","",IFERROR(VLOOKUP($C767,'_CONFIG_Risk_Calibration'!$A$5:$H$21,7,FALSE),1))</f>
        <v/>
      </c>
      <c r="BP767">
        <f>IF($H767="","",MAX(1,MIN(5,((6-$H767)*0.45)+($BJ767*0.20)+('Resilience &amp; Risk Scenario'!$B$7*0.15)+($BK767*0.10)+($BL767*0.05)+(IF($BB767="Fast",5,IF($BB767="Slow",1,3))*0.05))))</f>
        <v/>
      </c>
      <c r="BQ767">
        <f>IF($H767="","",MAX(IF($BN767="Yes",$BO767,1),MIN(5,($U767*0.20)+($V767*0.15)+($W767*0.25)+($X767*0.15)+($BJ767*0.10)+($BM767*0.15))))</f>
        <v/>
      </c>
      <c r="BR767">
        <f>IF(OR($BP767="",$BQ767=""),"",ROUND($BP767*$BQ767,2))</f>
        <v/>
      </c>
      <c r="BS767">
        <f>IF($BR767="","",ROUND($BR767*IF($AO767="",1,$AO767)*IF($AX767="",1,$AX767)*(1+(($BM767-3)*0.10))*IF($BC767="",1,$BC767),2))</f>
        <v/>
      </c>
    </row>
    <row r="768" ht="69.90000000000001" customHeight="1" s="209">
      <c r="A768">
        <f>IF($BD768="","",SUMPRODUCT(ISNUMBER($BD$500:$BD$923)*($BD$500:$BD$923&gt;$BD768))+COUNTIF($BD$500:$BD768,$BD768))</f>
        <v/>
      </c>
      <c r="B768">
        <f>IF($H768="","",IF($H768&lt;5,"Yes","Maintain"))</f>
        <v/>
      </c>
      <c r="C768" t="inlineStr">
        <is>
          <t>Sales CRM</t>
        </is>
      </c>
      <c r="D768" t="inlineStr">
        <is>
          <t>Revenue controls</t>
        </is>
      </c>
      <c r="E768" t="inlineStr">
        <is>
          <t>SALE-018</t>
        </is>
      </c>
      <c r="F768" t="inlineStr">
        <is>
          <t>Revenue, sales pipeline and CRM continuity</t>
        </is>
      </c>
      <c r="G768">
        <f>IF($H768="","",IFERROR(INDEX('_ENGINE_Risk'!$H$41:$M$920,MATCH($E768,'_ENGINE_Risk'!$A$41:$A$920,0),$H768+1),""))</f>
        <v/>
      </c>
      <c r="H768">
        <f>IFERROR(VALUE(INDEX(_DATA_Assessment_Model!$H$5:$H$884,MATCH($E768,_DATA_Assessment_Model!$A$5:$A$884,0))),"")</f>
        <v/>
      </c>
      <c r="I768">
        <f>IF($H768="","",IFERROR(INDEX(_DATA_Assessment_Model!$L$5:$L$884,MATCH($E768,_DATA_Assessment_Model!$A$5:$A$884,0)),IF($H768&lt;=1,"Critical",IF($H768=2,"High",IF($H768=3,"Medium",IF($H768=4,"Low","Resilient"))))))</f>
        <v/>
      </c>
      <c r="J768">
        <f>IF($H768="","",MIN(5,MAX(1,6-$H768)))</f>
        <v/>
      </c>
      <c r="K768">
        <f>IF($H768="","",MAX(1,MIN(5,ROUNDUP(($U768*0.45)+($W768*0.35)+($X768*0.2),0))))</f>
        <v/>
      </c>
      <c r="L768">
        <f>IF($H768="","",$J768*$K768)</f>
        <v/>
      </c>
      <c r="M768">
        <f>IF($H768="","",MAX(1,MIN(5,ROUNDUP($L768/5,0))))</f>
        <v/>
      </c>
      <c r="N768">
        <f>IF($H768="","",IFERROR(INDEX('_ENGINE_Risk'!$T$41:$Y$920,MATCH($E768,'_ENGINE_Risk'!$A$41:$A$920,0),$H768+1),""))</f>
        <v/>
      </c>
      <c r="O768">
        <f>IF($H768="","",MAX(1,MIN(5,($U768+$V768+$X768)/3)))</f>
        <v/>
      </c>
      <c r="P768">
        <f>IF($H768="","",IF($I768="Critical",5,IF($I768="High",4,IF($I768="Medium",3,IF($I768="Low",2,1)))))</f>
        <v/>
      </c>
      <c r="Q768">
        <f>IF($H768="","",MAX(1,MIN(5,((5-$H768)*0.65)+($W768*0.35))))</f>
        <v/>
      </c>
      <c r="R768">
        <f>IF($H768="","",MAX(1,MIN(5,($V768+$X768)/2)))</f>
        <v/>
      </c>
      <c r="S768">
        <f>IF(OR($H768="",$N768=""),"",ROUND(($O768+$P768+$Q768+$R768)/$N768,2))</f>
        <v/>
      </c>
      <c r="T768">
        <f>IF($H768="","",IFERROR(INDEX('_ENGINE_Risk'!$N$41:$S$920,MATCH($E768,'_ENGINE_Risk'!$A$41:$A$920,0),$H768+1),""))</f>
        <v/>
      </c>
      <c r="U768">
        <f>IFERROR(INDEX(_DATA_Assessment_Model!$G$5:$G$884,MATCH($E768,_DATA_Assessment_Model!$A$5:$A$884,0)),"")</f>
        <v/>
      </c>
      <c r="V768">
        <f>IFERROR(INDEX(_DATA_Assessment_Model!$W$5:$W$884,MATCH($E768,_DATA_Assessment_Model!$A$5:$A$884,0)),"")</f>
        <v/>
      </c>
      <c r="W768">
        <f>IFERROR(INDEX(_DATA_Assessment_Model!$X$5:$X$884,MATCH($E768,_DATA_Assessment_Model!$A$5:$A$884,0)),"")</f>
        <v/>
      </c>
      <c r="X768">
        <f>IFERROR(INDEX(_DATA_Assessment_Model!$Y$5:$Y$884,MATCH($E768,_DATA_Assessment_Model!$A$5:$A$884,0)),"")</f>
        <v/>
      </c>
      <c r="Y768" t="inlineStr">
        <is>
          <t>Demand shock; Revenue loss; Reputation crisis</t>
        </is>
      </c>
      <c r="Z768" t="inlineStr">
        <is>
          <t>CCO / Sales Ops</t>
        </is>
      </c>
      <c r="AA768" t="inlineStr">
        <is>
          <t>Policy/SOP; owner/RACI; system report; dashboard; contracts; test records; incident history; interview evidence related to deal review for margin, delivery feasibility, legal obligations, security and crisis risk.</t>
        </is>
      </c>
      <c r="AB768">
        <f>IFERROR(INDEX(_DATA_Assessment_Model!$U$5:$U$884,MATCH($E768,_DATA_Assessment_Model!$A$5:$A$884,0)),"")</f>
        <v/>
      </c>
      <c r="AF768" t="inlineStr">
        <is>
          <t>How mature is the organization in managing deal review for margin, delivery feasibility, legal obligations, security and crisis risk, including ownership, evidence, metrics, fallback procedures and crisis stress testing?</t>
        </is>
      </c>
      <c r="AO768">
        <f>IF($B768="Yes",IFERROR(INDEX(_ENGINE_Crisis!$F$501:$F$517,MATCH($C768,_ENGINE_Crisis!$A$501:$A$517,0)),1),"")</f>
        <v/>
      </c>
      <c r="AP768">
        <f>IF(AO768="","",ROUND($L768*AO768,1))</f>
        <v/>
      </c>
      <c r="AQ768">
        <f>IF(OR(AO768="",$S768=""),"",ROUND($S768*(0.7+0.3*AO768),2))</f>
        <v/>
      </c>
      <c r="AR768">
        <f>IFERROR(INDEX(_ENGINE_Crisis!$E$41:$E$700,MATCH('Resilience &amp; Risk Scenario'!$B$60&amp;"|"&amp;$C768,_ENGINE_Crisis!$I$41:$I$700,0)),"")</f>
        <v/>
      </c>
      <c r="AS768">
        <f>IFERROR(INDEX(_ENGINE_Crisis!$G$41:$G$700,MATCH('Resilience &amp; Risk Scenario'!$B$60&amp;"|"&amp;$C768,_ENGINE_Crisis!$I$41:$I$700,0)),"")</f>
        <v/>
      </c>
      <c r="AT768">
        <f>IFERROR(INDEX(_ENGINE_Initiatives!$A$5:$A$532,MATCH(1,INDEX((_ENGINE_Initiatives!$B$5:$B$532=$C768)*(_ENGINE_Initiatives!$C$5:$C$532=$D768),0),0)),"")</f>
        <v/>
      </c>
      <c r="AU768">
        <f>IFERROR(INDEX(_ENGINE_Initiatives!$F$5:$F$532,MATCH(1,INDEX((_ENGINE_Initiatives!$B$5:$B$532=$C768)*(_ENGINE_Initiatives!$C$5:$C$532=$D768),0),0)),"")</f>
        <v/>
      </c>
      <c r="AV768">
        <f>IFERROR(INDEX(_ENGINE_Initiatives!$AC$5:$AC$532,MATCH(1,INDEX((_ENGINE_Initiatives!$B$5:$B$532=$C768)*(_ENGINE_Initiatives!$C$5:$C$532=$D768),0),0)),"")</f>
        <v/>
      </c>
      <c r="AW768">
        <f>IFERROR(INDEX(_ENGINE_Initiatives!$AE$5:$AE$532,MATCH(1,INDEX((_ENGINE_Initiatives!$B$5:$B$532=$C768)*(_ENGINE_Initiatives!$C$5:$C$532=$D768),0),0)),"")</f>
        <v/>
      </c>
      <c r="AX768">
        <f>IF($B768="Yes",IFERROR(IF(SUMIFS(_REF_Model_Content!$E$1:$E$613,_REF_Model_Content!$A$1:$A$613,'Company Profile'!$B$9,_REF_Model_Content!$B$1:$B$613,$C768)=0,1,SUMIFS(_REF_Model_Content!$E$1:$E$613,_REF_Model_Content!$A$1:$A$613,'Company Profile'!$B$9,_REF_Model_Content!$B$1:$B$613,$C768)),1),"")</f>
        <v/>
      </c>
      <c r="AY768">
        <f>IF($L768="","",ROUND(IF($AP768="",$L768,$AP768)*IF($AX768="",1,$AX768),2))</f>
        <v/>
      </c>
      <c r="AZ768">
        <f>IF($S768="","",ROUND(IF($AQ768="",$S768,$AQ768)*IF($AX768="",1,$AX768),2))</f>
        <v/>
      </c>
      <c r="BB768">
        <f>IF($H768="","",IFERROR(INDEX('_ENGINE_Risk'!$AE$41:$AE$920,MATCH($E768,'_ENGINE_Risk'!$A$41:$A$920,0)),"Medium"))</f>
        <v/>
      </c>
      <c r="BC768">
        <f>IF($BB768="","",IF($BB768="Fast",1.25,IF($BB768="Slow",0.85,1)))</f>
        <v/>
      </c>
      <c r="BD768">
        <f>IF(OR($AZ768="",$BC768=""),"",ROUND($AZ768*$BC768,2))</f>
        <v/>
      </c>
      <c r="BF768">
        <f>IF(OR($H768="",$J768=""),"",_xlfn.IFNA(VLOOKUP($J768,_CONFIG_Model_Settings!$D$610:$E$614,2,0),""))</f>
        <v/>
      </c>
      <c r="BG768">
        <f>IF(OR($H768="",$K768=""),"",ROUND('Company Profile'!$B$569*INDEX(_CONFIG_Model_Settings!$H$610:$H$614,MATCH($K768,_CONFIG_Model_Settings!$G$610:$G$614,0)),0))</f>
        <v/>
      </c>
      <c r="BH768">
        <f>IF(OR($BF768="",$BG768=""),"",ROUND($BF768*$BG768,1))</f>
        <v/>
      </c>
      <c r="BI768">
        <f>IF($BH768="","",IF($AO768="",$BH768,ROUND($BH768*$AO768,1)))</f>
        <v/>
      </c>
      <c r="BJ768">
        <f>IF($E768="","",IFERROR(VLOOKUP($C768,'_CONFIG_Risk_Calibration'!$A$5:$H$21,2,FALSE),3))</f>
        <v/>
      </c>
      <c r="BK768">
        <f>IF($E768="","",IFERROR(VLOOKUP($C768,'_CONFIG_Risk_Calibration'!$A$5:$H$21,3,FALSE),0))</f>
        <v/>
      </c>
      <c r="BL768">
        <f>IF($E768="","",IFERROR(VLOOKUP($C768,'_CONFIG_Risk_Calibration'!$A$5:$H$21,4,FALSE),3))</f>
        <v/>
      </c>
      <c r="BM768">
        <f>IF($E768="","",IFERROR(VLOOKUP($C768,'_CONFIG_Risk_Calibration'!$A$5:$H$21,5,FALSE),3))</f>
        <v/>
      </c>
      <c r="BN768">
        <f>IF($E768="","",IFERROR(VLOOKUP($C768,'_CONFIG_Risk_Calibration'!$A$5:$H$21,6,FALSE),"No"))</f>
        <v/>
      </c>
      <c r="BO768">
        <f>IF($E768="","",IFERROR(VLOOKUP($C768,'_CONFIG_Risk_Calibration'!$A$5:$H$21,7,FALSE),1))</f>
        <v/>
      </c>
      <c r="BP768">
        <f>IF($H768="","",MAX(1,MIN(5,((6-$H768)*0.45)+($BJ768*0.20)+('Resilience &amp; Risk Scenario'!$B$7*0.15)+($BK768*0.10)+($BL768*0.05)+(IF($BB768="Fast",5,IF($BB768="Slow",1,3))*0.05))))</f>
        <v/>
      </c>
      <c r="BQ768">
        <f>IF($H768="","",MAX(IF($BN768="Yes",$BO768,1),MIN(5,($U768*0.20)+($V768*0.15)+($W768*0.25)+($X768*0.15)+($BJ768*0.10)+($BM768*0.15))))</f>
        <v/>
      </c>
      <c r="BR768">
        <f>IF(OR($BP768="",$BQ768=""),"",ROUND($BP768*$BQ768,2))</f>
        <v/>
      </c>
      <c r="BS768">
        <f>IF($BR768="","",ROUND($BR768*IF($AO768="",1,$AO768)*IF($AX768="",1,$AX768)*(1+(($BM768-3)*0.10))*IF($BC768="",1,$BC768),2))</f>
        <v/>
      </c>
    </row>
    <row r="769" ht="69.90000000000001" customHeight="1" s="209">
      <c r="A769">
        <f>IF($BD769="","",SUMPRODUCT(ISNUMBER($BD$500:$BD$923)*($BD$500:$BD$923&gt;$BD769))+COUNTIF($BD$500:$BD769,$BD769))</f>
        <v/>
      </c>
      <c r="B769">
        <f>IF($H769="","",IF($H769&lt;5,"Yes","Maintain"))</f>
        <v/>
      </c>
      <c r="C769" t="inlineStr">
        <is>
          <t>Sales CRM</t>
        </is>
      </c>
      <c r="D769" t="inlineStr">
        <is>
          <t>Revenue controls</t>
        </is>
      </c>
      <c r="E769" t="inlineStr">
        <is>
          <t>SALE-020</t>
        </is>
      </c>
      <c r="F769" t="inlineStr">
        <is>
          <t>Revenue, sales pipeline and CRM continuity</t>
        </is>
      </c>
      <c r="G769">
        <f>IF($H769="","",IFERROR(INDEX('_ENGINE_Risk'!$H$41:$M$920,MATCH($E769,'_ENGINE_Risk'!$A$41:$A$920,0),$H769+1),""))</f>
        <v/>
      </c>
      <c r="H769">
        <f>IFERROR(VALUE(INDEX(_DATA_Assessment_Model!$H$5:$H$884,MATCH($E769,_DATA_Assessment_Model!$A$5:$A$884,0))),"")</f>
        <v/>
      </c>
      <c r="I769">
        <f>IF($H769="","",IFERROR(INDEX(_DATA_Assessment_Model!$L$5:$L$884,MATCH($E769,_DATA_Assessment_Model!$A$5:$A$884,0)),IF($H769&lt;=1,"Critical",IF($H769=2,"High",IF($H769=3,"Medium",IF($H769=4,"Low","Resilient"))))))</f>
        <v/>
      </c>
      <c r="J769">
        <f>IF($H769="","",MIN(5,MAX(1,6-$H769)))</f>
        <v/>
      </c>
      <c r="K769">
        <f>IF($H769="","",MAX(1,MIN(5,ROUNDUP(($U769*0.45)+($W769*0.35)+($X769*0.2),0))))</f>
        <v/>
      </c>
      <c r="L769">
        <f>IF($H769="","",$J769*$K769)</f>
        <v/>
      </c>
      <c r="M769">
        <f>IF($H769="","",MAX(1,MIN(5,ROUNDUP($L769/5,0))))</f>
        <v/>
      </c>
      <c r="N769">
        <f>IF($H769="","",IFERROR(INDEX('_ENGINE_Risk'!$T$41:$Y$920,MATCH($E769,'_ENGINE_Risk'!$A$41:$A$920,0),$H769+1),""))</f>
        <v/>
      </c>
      <c r="O769">
        <f>IF($H769="","",MAX(1,MIN(5,($U769+$V769+$X769)/3)))</f>
        <v/>
      </c>
      <c r="P769">
        <f>IF($H769="","",IF($I769="Critical",5,IF($I769="High",4,IF($I769="Medium",3,IF($I769="Low",2,1)))))</f>
        <v/>
      </c>
      <c r="Q769">
        <f>IF($H769="","",MAX(1,MIN(5,((5-$H769)*0.65)+($W769*0.35))))</f>
        <v/>
      </c>
      <c r="R769">
        <f>IF($H769="","",MAX(1,MIN(5,($V769+$X769)/2)))</f>
        <v/>
      </c>
      <c r="S769">
        <f>IF(OR($H769="",$N769=""),"",ROUND(($O769+$P769+$Q769+$R769)/$N769,2))</f>
        <v/>
      </c>
      <c r="T769">
        <f>IF($H769="","",IFERROR(INDEX('_ENGINE_Risk'!$N$41:$S$920,MATCH($E769,'_ENGINE_Risk'!$A$41:$A$920,0),$H769+1),""))</f>
        <v/>
      </c>
      <c r="U769">
        <f>IFERROR(INDEX(_DATA_Assessment_Model!$G$5:$G$884,MATCH($E769,_DATA_Assessment_Model!$A$5:$A$884,0)),"")</f>
        <v/>
      </c>
      <c r="V769">
        <f>IFERROR(INDEX(_DATA_Assessment_Model!$W$5:$W$884,MATCH($E769,_DATA_Assessment_Model!$A$5:$A$884,0)),"")</f>
        <v/>
      </c>
      <c r="W769">
        <f>IFERROR(INDEX(_DATA_Assessment_Model!$X$5:$X$884,MATCH($E769,_DATA_Assessment_Model!$A$5:$A$884,0)),"")</f>
        <v/>
      </c>
      <c r="X769">
        <f>IFERROR(INDEX(_DATA_Assessment_Model!$Y$5:$Y$884,MATCH($E769,_DATA_Assessment_Model!$A$5:$A$884,0)),"")</f>
        <v/>
      </c>
      <c r="Y769" t="inlineStr">
        <is>
          <t>Demand shock; Revenue loss; Reputation crisis</t>
        </is>
      </c>
      <c r="Z769" t="inlineStr">
        <is>
          <t>CCO / Sales Ops</t>
        </is>
      </c>
      <c r="AA769" t="inlineStr">
        <is>
          <t>Policy/SOP; owner/RACI; system report; dashboard; contracts; test records; incident history; interview evidence related to sales channel continuity if offices close, travel stops, events cancel or one channel fails.</t>
        </is>
      </c>
      <c r="AB769">
        <f>IFERROR(INDEX(_DATA_Assessment_Model!$U$5:$U$884,MATCH($E769,_DATA_Assessment_Model!$A$5:$A$884,0)),"")</f>
        <v/>
      </c>
      <c r="AF769" t="inlineStr">
        <is>
          <t>How mature is the organization in managing sales channel continuity if offices close, travel stops, events cancel or one channel fails, including ownership, evidence, metrics, fallback procedures and crisis stress testing?</t>
        </is>
      </c>
      <c r="AO769">
        <f>IF($B769="Yes",IFERROR(INDEX(_ENGINE_Crisis!$F$501:$F$517,MATCH($C769,_ENGINE_Crisis!$A$501:$A$517,0)),1),"")</f>
        <v/>
      </c>
      <c r="AP769">
        <f>IF(AO769="","",ROUND($L769*AO769,1))</f>
        <v/>
      </c>
      <c r="AQ769">
        <f>IF(OR(AO769="",$S769=""),"",ROUND($S769*(0.7+0.3*AO769),2))</f>
        <v/>
      </c>
      <c r="AR769">
        <f>IFERROR(INDEX(_ENGINE_Crisis!$E$41:$E$700,MATCH('Resilience &amp; Risk Scenario'!$B$60&amp;"|"&amp;$C769,_ENGINE_Crisis!$I$41:$I$700,0)),"")</f>
        <v/>
      </c>
      <c r="AS769">
        <f>IFERROR(INDEX(_ENGINE_Crisis!$G$41:$G$700,MATCH('Resilience &amp; Risk Scenario'!$B$60&amp;"|"&amp;$C769,_ENGINE_Crisis!$I$41:$I$700,0)),"")</f>
        <v/>
      </c>
      <c r="AT769">
        <f>IFERROR(INDEX(_ENGINE_Initiatives!$A$5:$A$532,MATCH(1,INDEX((_ENGINE_Initiatives!$B$5:$B$532=$C769)*(_ENGINE_Initiatives!$C$5:$C$532=$D769),0),0)),"")</f>
        <v/>
      </c>
      <c r="AU769">
        <f>IFERROR(INDEX(_ENGINE_Initiatives!$F$5:$F$532,MATCH(1,INDEX((_ENGINE_Initiatives!$B$5:$B$532=$C769)*(_ENGINE_Initiatives!$C$5:$C$532=$D769),0),0)),"")</f>
        <v/>
      </c>
      <c r="AV769">
        <f>IFERROR(INDEX(_ENGINE_Initiatives!$AC$5:$AC$532,MATCH(1,INDEX((_ENGINE_Initiatives!$B$5:$B$532=$C769)*(_ENGINE_Initiatives!$C$5:$C$532=$D769),0),0)),"")</f>
        <v/>
      </c>
      <c r="AW769">
        <f>IFERROR(INDEX(_ENGINE_Initiatives!$AE$5:$AE$532,MATCH(1,INDEX((_ENGINE_Initiatives!$B$5:$B$532=$C769)*(_ENGINE_Initiatives!$C$5:$C$532=$D769),0),0)),"")</f>
        <v/>
      </c>
      <c r="AX769">
        <f>IF($B769="Yes",IFERROR(IF(SUMIFS(_REF_Model_Content!$E$1:$E$613,_REF_Model_Content!$A$1:$A$613,'Company Profile'!$B$9,_REF_Model_Content!$B$1:$B$613,$C769)=0,1,SUMIFS(_REF_Model_Content!$E$1:$E$613,_REF_Model_Content!$A$1:$A$613,'Company Profile'!$B$9,_REF_Model_Content!$B$1:$B$613,$C769)),1),"")</f>
        <v/>
      </c>
      <c r="AY769">
        <f>IF($L769="","",ROUND(IF($AP769="",$L769,$AP769)*IF($AX769="",1,$AX769),2))</f>
        <v/>
      </c>
      <c r="AZ769">
        <f>IF($S769="","",ROUND(IF($AQ769="",$S769,$AQ769)*IF($AX769="",1,$AX769),2))</f>
        <v/>
      </c>
      <c r="BB769">
        <f>IF($H769="","",IFERROR(INDEX('_ENGINE_Risk'!$AE$41:$AE$920,MATCH($E769,'_ENGINE_Risk'!$A$41:$A$920,0)),"Medium"))</f>
        <v/>
      </c>
      <c r="BC769">
        <f>IF($BB769="","",IF($BB769="Fast",1.25,IF($BB769="Slow",0.85,1)))</f>
        <v/>
      </c>
      <c r="BD769">
        <f>IF(OR($AZ769="",$BC769=""),"",ROUND($AZ769*$BC769,2))</f>
        <v/>
      </c>
      <c r="BF769">
        <f>IF(OR($H769="",$J769=""),"",_xlfn.IFNA(VLOOKUP($J769,_CONFIG_Model_Settings!$D$610:$E$614,2,0),""))</f>
        <v/>
      </c>
      <c r="BG769">
        <f>IF(OR($H769="",$K769=""),"",ROUND('Company Profile'!$B$569*INDEX(_CONFIG_Model_Settings!$H$610:$H$614,MATCH($K769,_CONFIG_Model_Settings!$G$610:$G$614,0)),0))</f>
        <v/>
      </c>
      <c r="BH769">
        <f>IF(OR($BF769="",$BG769=""),"",ROUND($BF769*$BG769,1))</f>
        <v/>
      </c>
      <c r="BI769">
        <f>IF($BH769="","",IF($AO769="",$BH769,ROUND($BH769*$AO769,1)))</f>
        <v/>
      </c>
      <c r="BJ769">
        <f>IF($E769="","",IFERROR(VLOOKUP($C769,'_CONFIG_Risk_Calibration'!$A$5:$H$21,2,FALSE),3))</f>
        <v/>
      </c>
      <c r="BK769">
        <f>IF($E769="","",IFERROR(VLOOKUP($C769,'_CONFIG_Risk_Calibration'!$A$5:$H$21,3,FALSE),0))</f>
        <v/>
      </c>
      <c r="BL769">
        <f>IF($E769="","",IFERROR(VLOOKUP($C769,'_CONFIG_Risk_Calibration'!$A$5:$H$21,4,FALSE),3))</f>
        <v/>
      </c>
      <c r="BM769">
        <f>IF($E769="","",IFERROR(VLOOKUP($C769,'_CONFIG_Risk_Calibration'!$A$5:$H$21,5,FALSE),3))</f>
        <v/>
      </c>
      <c r="BN769">
        <f>IF($E769="","",IFERROR(VLOOKUP($C769,'_CONFIG_Risk_Calibration'!$A$5:$H$21,6,FALSE),"No"))</f>
        <v/>
      </c>
      <c r="BO769">
        <f>IF($E769="","",IFERROR(VLOOKUP($C769,'_CONFIG_Risk_Calibration'!$A$5:$H$21,7,FALSE),1))</f>
        <v/>
      </c>
      <c r="BP769">
        <f>IF($H769="","",MAX(1,MIN(5,((6-$H769)*0.45)+($BJ769*0.20)+('Resilience &amp; Risk Scenario'!$B$7*0.15)+($BK769*0.10)+($BL769*0.05)+(IF($BB769="Fast",5,IF($BB769="Slow",1,3))*0.05))))</f>
        <v/>
      </c>
      <c r="BQ769">
        <f>IF($H769="","",MAX(IF($BN769="Yes",$BO769,1),MIN(5,($U769*0.20)+($V769*0.15)+($W769*0.25)+($X769*0.15)+($BJ769*0.10)+($BM769*0.15))))</f>
        <v/>
      </c>
      <c r="BR769">
        <f>IF(OR($BP769="",$BQ769=""),"",ROUND($BP769*$BQ769,2))</f>
        <v/>
      </c>
      <c r="BS769">
        <f>IF($BR769="","",ROUND($BR769*IF($AO769="",1,$AO769)*IF($AX769="",1,$AX769)*(1+(($BM769-3)*0.10))*IF($BC769="",1,$BC769),2))</f>
        <v/>
      </c>
    </row>
    <row r="770" ht="69.90000000000001" customHeight="1" s="209">
      <c r="A770">
        <f>IF($BD770="","",SUMPRODUCT(ISNUMBER($BD$500:$BD$923)*($BD$500:$BD$923&gt;$BD770))+COUNTIF($BD$500:$BD770,$BD770))</f>
        <v/>
      </c>
      <c r="B770">
        <f>IF($H770="","",IF($H770&lt;5,"Yes","Maintain"))</f>
        <v/>
      </c>
      <c r="C770" t="inlineStr">
        <is>
          <t>Sales CRM</t>
        </is>
      </c>
      <c r="D770" t="inlineStr">
        <is>
          <t>Revenue controls</t>
        </is>
      </c>
      <c r="E770" t="inlineStr">
        <is>
          <t>SALE-021</t>
        </is>
      </c>
      <c r="F770" t="inlineStr">
        <is>
          <t>Revenue, sales pipeline and CRM continuity</t>
        </is>
      </c>
      <c r="G770">
        <f>IF($H770="","",IFERROR(INDEX('_ENGINE_Risk'!$H$41:$M$920,MATCH($E770,'_ENGINE_Risk'!$A$41:$A$920,0),$H770+1),""))</f>
        <v/>
      </c>
      <c r="H770">
        <f>IFERROR(VALUE(INDEX(_DATA_Assessment_Model!$H$5:$H$884,MATCH($E770,_DATA_Assessment_Model!$A$5:$A$884,0))),"")</f>
        <v/>
      </c>
      <c r="I770">
        <f>IF($H770="","",IFERROR(INDEX(_DATA_Assessment_Model!$L$5:$L$884,MATCH($E770,_DATA_Assessment_Model!$A$5:$A$884,0)),IF($H770&lt;=1,"Critical",IF($H770=2,"High",IF($H770=3,"Medium",IF($H770=4,"Low","Resilient"))))))</f>
        <v/>
      </c>
      <c r="J770">
        <f>IF($H770="","",MIN(5,MAX(1,6-$H770)))</f>
        <v/>
      </c>
      <c r="K770">
        <f>IF($H770="","",MAX(1,MIN(5,ROUNDUP(($U770*0.45)+($W770*0.35)+($X770*0.2),0))))</f>
        <v/>
      </c>
      <c r="L770">
        <f>IF($H770="","",$J770*$K770)</f>
        <v/>
      </c>
      <c r="M770">
        <f>IF($H770="","",MAX(1,MIN(5,ROUNDUP($L770/5,0))))</f>
        <v/>
      </c>
      <c r="N770">
        <f>IF($H770="","",IFERROR(INDEX('_ENGINE_Risk'!$T$41:$Y$920,MATCH($E770,'_ENGINE_Risk'!$A$41:$A$920,0),$H770+1),""))</f>
        <v/>
      </c>
      <c r="O770">
        <f>IF($H770="","",MAX(1,MIN(5,($U770+$V770+$X770)/3)))</f>
        <v/>
      </c>
      <c r="P770">
        <f>IF($H770="","",IF($I770="Critical",5,IF($I770="High",4,IF($I770="Medium",3,IF($I770="Low",2,1)))))</f>
        <v/>
      </c>
      <c r="Q770">
        <f>IF($H770="","",MAX(1,MIN(5,((5-$H770)*0.65)+($W770*0.35))))</f>
        <v/>
      </c>
      <c r="R770">
        <f>IF($H770="","",MAX(1,MIN(5,($V770+$X770)/2)))</f>
        <v/>
      </c>
      <c r="S770">
        <f>IF(OR($H770="",$N770=""),"",ROUND(($O770+$P770+$Q770+$R770)/$N770,2))</f>
        <v/>
      </c>
      <c r="T770">
        <f>IF($H770="","",IFERROR(INDEX('_ENGINE_Risk'!$N$41:$S$920,MATCH($E770,'_ENGINE_Risk'!$A$41:$A$920,0),$H770+1),""))</f>
        <v/>
      </c>
      <c r="U770">
        <f>IFERROR(INDEX(_DATA_Assessment_Model!$G$5:$G$884,MATCH($E770,_DATA_Assessment_Model!$A$5:$A$884,0)),"")</f>
        <v/>
      </c>
      <c r="V770">
        <f>IFERROR(INDEX(_DATA_Assessment_Model!$W$5:$W$884,MATCH($E770,_DATA_Assessment_Model!$A$5:$A$884,0)),"")</f>
        <v/>
      </c>
      <c r="W770">
        <f>IFERROR(INDEX(_DATA_Assessment_Model!$X$5:$X$884,MATCH($E770,_DATA_Assessment_Model!$A$5:$A$884,0)),"")</f>
        <v/>
      </c>
      <c r="X770">
        <f>IFERROR(INDEX(_DATA_Assessment_Model!$Y$5:$Y$884,MATCH($E770,_DATA_Assessment_Model!$A$5:$A$884,0)),"")</f>
        <v/>
      </c>
      <c r="Y770" t="inlineStr">
        <is>
          <t>Demand shock; Revenue loss; Reputation crisis</t>
        </is>
      </c>
      <c r="Z770" t="inlineStr">
        <is>
          <t>CCO / Sales Ops</t>
        </is>
      </c>
      <c r="AA770" t="inlineStr">
        <is>
          <t>Policy/SOP; owner/RACI; system report; dashboard; contracts; test records; incident history; interview evidence related to ecommerce continuity for payments, logistics, website, stock and customer support where relevant.</t>
        </is>
      </c>
      <c r="AB770">
        <f>IFERROR(INDEX(_DATA_Assessment_Model!$U$5:$U$884,MATCH($E770,_DATA_Assessment_Model!$A$5:$A$884,0)),"")</f>
        <v/>
      </c>
      <c r="AF770" t="inlineStr">
        <is>
          <t>How mature is the organization in managing ecommerce continuity for payments, logistics, website, stock and customer support where relevant, including ownership, evidence, metrics, fallback procedures and crisis stress testing?</t>
        </is>
      </c>
      <c r="AO770">
        <f>IF($B770="Yes",IFERROR(INDEX(_ENGINE_Crisis!$F$501:$F$517,MATCH($C770,_ENGINE_Crisis!$A$501:$A$517,0)),1),"")</f>
        <v/>
      </c>
      <c r="AP770">
        <f>IF(AO770="","",ROUND($L770*AO770,1))</f>
        <v/>
      </c>
      <c r="AQ770">
        <f>IF(OR(AO770="",$S770=""),"",ROUND($S770*(0.7+0.3*AO770),2))</f>
        <v/>
      </c>
      <c r="AR770">
        <f>IFERROR(INDEX(_ENGINE_Crisis!$E$41:$E$700,MATCH('Resilience &amp; Risk Scenario'!$B$60&amp;"|"&amp;$C770,_ENGINE_Crisis!$I$41:$I$700,0)),"")</f>
        <v/>
      </c>
      <c r="AS770">
        <f>IFERROR(INDEX(_ENGINE_Crisis!$G$41:$G$700,MATCH('Resilience &amp; Risk Scenario'!$B$60&amp;"|"&amp;$C770,_ENGINE_Crisis!$I$41:$I$700,0)),"")</f>
        <v/>
      </c>
      <c r="AT770">
        <f>IFERROR(INDEX(_ENGINE_Initiatives!$A$5:$A$532,MATCH(1,INDEX((_ENGINE_Initiatives!$B$5:$B$532=$C770)*(_ENGINE_Initiatives!$C$5:$C$532=$D770),0),0)),"")</f>
        <v/>
      </c>
      <c r="AU770">
        <f>IFERROR(INDEX(_ENGINE_Initiatives!$F$5:$F$532,MATCH(1,INDEX((_ENGINE_Initiatives!$B$5:$B$532=$C770)*(_ENGINE_Initiatives!$C$5:$C$532=$D770),0),0)),"")</f>
        <v/>
      </c>
      <c r="AV770">
        <f>IFERROR(INDEX(_ENGINE_Initiatives!$AC$5:$AC$532,MATCH(1,INDEX((_ENGINE_Initiatives!$B$5:$B$532=$C770)*(_ENGINE_Initiatives!$C$5:$C$532=$D770),0),0)),"")</f>
        <v/>
      </c>
      <c r="AW770">
        <f>IFERROR(INDEX(_ENGINE_Initiatives!$AE$5:$AE$532,MATCH(1,INDEX((_ENGINE_Initiatives!$B$5:$B$532=$C770)*(_ENGINE_Initiatives!$C$5:$C$532=$D770),0),0)),"")</f>
        <v/>
      </c>
      <c r="AX770">
        <f>IF($B770="Yes",IFERROR(IF(SUMIFS(_REF_Model_Content!$E$1:$E$613,_REF_Model_Content!$A$1:$A$613,'Company Profile'!$B$9,_REF_Model_Content!$B$1:$B$613,$C770)=0,1,SUMIFS(_REF_Model_Content!$E$1:$E$613,_REF_Model_Content!$A$1:$A$613,'Company Profile'!$B$9,_REF_Model_Content!$B$1:$B$613,$C770)),1),"")</f>
        <v/>
      </c>
      <c r="AY770">
        <f>IF($L770="","",ROUND(IF($AP770="",$L770,$AP770)*IF($AX770="",1,$AX770),2))</f>
        <v/>
      </c>
      <c r="AZ770">
        <f>IF($S770="","",ROUND(IF($AQ770="",$S770,$AQ770)*IF($AX770="",1,$AX770),2))</f>
        <v/>
      </c>
      <c r="BB770">
        <f>IF($H770="","",IFERROR(INDEX('_ENGINE_Risk'!$AE$41:$AE$920,MATCH($E770,'_ENGINE_Risk'!$A$41:$A$920,0)),"Medium"))</f>
        <v/>
      </c>
      <c r="BC770">
        <f>IF($BB770="","",IF($BB770="Fast",1.25,IF($BB770="Slow",0.85,1)))</f>
        <v/>
      </c>
      <c r="BD770">
        <f>IF(OR($AZ770="",$BC770=""),"",ROUND($AZ770*$BC770,2))</f>
        <v/>
      </c>
      <c r="BF770">
        <f>IF(OR($H770="",$J770=""),"",_xlfn.IFNA(VLOOKUP($J770,_CONFIG_Model_Settings!$D$610:$E$614,2,0),""))</f>
        <v/>
      </c>
      <c r="BG770">
        <f>IF(OR($H770="",$K770=""),"",ROUND('Company Profile'!$B$569*INDEX(_CONFIG_Model_Settings!$H$610:$H$614,MATCH($K770,_CONFIG_Model_Settings!$G$610:$G$614,0)),0))</f>
        <v/>
      </c>
      <c r="BH770">
        <f>IF(OR($BF770="",$BG770=""),"",ROUND($BF770*$BG770,1))</f>
        <v/>
      </c>
      <c r="BI770">
        <f>IF($BH770="","",IF($AO770="",$BH770,ROUND($BH770*$AO770,1)))</f>
        <v/>
      </c>
      <c r="BJ770">
        <f>IF($E770="","",IFERROR(VLOOKUP($C770,'_CONFIG_Risk_Calibration'!$A$5:$H$21,2,FALSE),3))</f>
        <v/>
      </c>
      <c r="BK770">
        <f>IF($E770="","",IFERROR(VLOOKUP($C770,'_CONFIG_Risk_Calibration'!$A$5:$H$21,3,FALSE),0))</f>
        <v/>
      </c>
      <c r="BL770">
        <f>IF($E770="","",IFERROR(VLOOKUP($C770,'_CONFIG_Risk_Calibration'!$A$5:$H$21,4,FALSE),3))</f>
        <v/>
      </c>
      <c r="BM770">
        <f>IF($E770="","",IFERROR(VLOOKUP($C770,'_CONFIG_Risk_Calibration'!$A$5:$H$21,5,FALSE),3))</f>
        <v/>
      </c>
      <c r="BN770">
        <f>IF($E770="","",IFERROR(VLOOKUP($C770,'_CONFIG_Risk_Calibration'!$A$5:$H$21,6,FALSE),"No"))</f>
        <v/>
      </c>
      <c r="BO770">
        <f>IF($E770="","",IFERROR(VLOOKUP($C770,'_CONFIG_Risk_Calibration'!$A$5:$H$21,7,FALSE),1))</f>
        <v/>
      </c>
      <c r="BP770">
        <f>IF($H770="","",MAX(1,MIN(5,((6-$H770)*0.45)+($BJ770*0.20)+('Resilience &amp; Risk Scenario'!$B$7*0.15)+($BK770*0.10)+($BL770*0.05)+(IF($BB770="Fast",5,IF($BB770="Slow",1,3))*0.05))))</f>
        <v/>
      </c>
      <c r="BQ770">
        <f>IF($H770="","",MAX(IF($BN770="Yes",$BO770,1),MIN(5,($U770*0.20)+($V770*0.15)+($W770*0.25)+($X770*0.15)+($BJ770*0.10)+($BM770*0.15))))</f>
        <v/>
      </c>
      <c r="BR770">
        <f>IF(OR($BP770="",$BQ770=""),"",ROUND($BP770*$BQ770,2))</f>
        <v/>
      </c>
      <c r="BS770">
        <f>IF($BR770="","",ROUND($BR770*IF($AO770="",1,$AO770)*IF($AX770="",1,$AX770)*(1+(($BM770-3)*0.10))*IF($BC770="",1,$BC770),2))</f>
        <v/>
      </c>
    </row>
    <row r="771" ht="69.90000000000001" customHeight="1" s="209">
      <c r="A771">
        <f>IF($BD771="","",SUMPRODUCT(ISNUMBER($BD$500:$BD$923)*($BD$500:$BD$923&gt;$BD771))+COUNTIF($BD$500:$BD771,$BD771))</f>
        <v/>
      </c>
      <c r="B771">
        <f>IF($H771="","",IF($H771&lt;5,"Yes","Maintain"))</f>
        <v/>
      </c>
      <c r="C771" t="inlineStr">
        <is>
          <t>Sales CRM</t>
        </is>
      </c>
      <c r="D771" t="inlineStr">
        <is>
          <t>Customer service</t>
        </is>
      </c>
      <c r="E771" t="inlineStr">
        <is>
          <t>SALE-022</t>
        </is>
      </c>
      <c r="F771" t="inlineStr">
        <is>
          <t>Customer service continuity and experience</t>
        </is>
      </c>
      <c r="G771">
        <f>IF($H771="","",IFERROR(INDEX('_ENGINE_Risk'!$H$41:$M$920,MATCH($E771,'_ENGINE_Risk'!$A$41:$A$920,0),$H771+1),""))</f>
        <v/>
      </c>
      <c r="H771">
        <f>IFERROR(VALUE(INDEX(_DATA_Assessment_Model!$H$5:$H$884,MATCH($E771,_DATA_Assessment_Model!$A$5:$A$884,0))),"")</f>
        <v/>
      </c>
      <c r="I771">
        <f>IF($H771="","",IFERROR(INDEX(_DATA_Assessment_Model!$L$5:$L$884,MATCH($E771,_DATA_Assessment_Model!$A$5:$A$884,0)),IF($H771&lt;=1,"Critical",IF($H771=2,"High",IF($H771=3,"Medium",IF($H771=4,"Low","Resilient"))))))</f>
        <v/>
      </c>
      <c r="J771">
        <f>IF($H771="","",MIN(5,MAX(1,6-$H771)))</f>
        <v/>
      </c>
      <c r="K771">
        <f>IF($H771="","",MAX(1,MIN(5,ROUNDUP(($U771*0.45)+($W771*0.35)+($X771*0.2),0))))</f>
        <v/>
      </c>
      <c r="L771">
        <f>IF($H771="","",$J771*$K771)</f>
        <v/>
      </c>
      <c r="M771">
        <f>IF($H771="","",MAX(1,MIN(5,ROUNDUP($L771/5,0))))</f>
        <v/>
      </c>
      <c r="N771">
        <f>IF($H771="","",IFERROR(INDEX('_ENGINE_Risk'!$T$41:$Y$920,MATCH($E771,'_ENGINE_Risk'!$A$41:$A$920,0),$H771+1),""))</f>
        <v/>
      </c>
      <c r="O771">
        <f>IF($H771="","",MAX(1,MIN(5,($U771+$V771+$X771)/3)))</f>
        <v/>
      </c>
      <c r="P771">
        <f>IF($H771="","",IF($I771="Critical",5,IF($I771="High",4,IF($I771="Medium",3,IF($I771="Low",2,1)))))</f>
        <v/>
      </c>
      <c r="Q771">
        <f>IF($H771="","",MAX(1,MIN(5,((5-$H771)*0.65)+($W771*0.35))))</f>
        <v/>
      </c>
      <c r="R771">
        <f>IF($H771="","",MAX(1,MIN(5,($V771+$X771)/2)))</f>
        <v/>
      </c>
      <c r="S771">
        <f>IF(OR($H771="",$N771=""),"",ROUND(($O771+$P771+$Q771+$R771)/$N771,2))</f>
        <v/>
      </c>
      <c r="T771">
        <f>IF($H771="","",IFERROR(INDEX('_ENGINE_Risk'!$N$41:$S$920,MATCH($E771,'_ENGINE_Risk'!$A$41:$A$920,0),$H771+1),""))</f>
        <v/>
      </c>
      <c r="U771">
        <f>IFERROR(INDEX(_DATA_Assessment_Model!$G$5:$G$884,MATCH($E771,_DATA_Assessment_Model!$A$5:$A$884,0)),"")</f>
        <v/>
      </c>
      <c r="V771">
        <f>IFERROR(INDEX(_DATA_Assessment_Model!$W$5:$W$884,MATCH($E771,_DATA_Assessment_Model!$A$5:$A$884,0)),"")</f>
        <v/>
      </c>
      <c r="W771">
        <f>IFERROR(INDEX(_DATA_Assessment_Model!$X$5:$X$884,MATCH($E771,_DATA_Assessment_Model!$A$5:$A$884,0)),"")</f>
        <v/>
      </c>
      <c r="X771">
        <f>IFERROR(INDEX(_DATA_Assessment_Model!$Y$5:$Y$884,MATCH($E771,_DATA_Assessment_Model!$A$5:$A$884,0)),"")</f>
        <v/>
      </c>
      <c r="Y771" t="inlineStr">
        <is>
          <t>Demand shock; Reputation crisis; Workforce disruption</t>
        </is>
      </c>
      <c r="Z771" t="inlineStr">
        <is>
          <t>Head of Customer Service / COO</t>
        </is>
      </c>
      <c r="AA771" t="inlineStr">
        <is>
          <t>Policy/SOP; owner/RACI; system report; dashboard; contracts; test records; incident history; interview evidence related to customer service operating model with channels, coverage hours, tiers and service levels</t>
        </is>
      </c>
      <c r="AB771">
        <f>IFERROR(INDEX(_DATA_Assessment_Model!$U$5:$U$884,MATCH($E771,_DATA_Assessment_Model!$A$5:$A$884,0)),"")</f>
        <v/>
      </c>
      <c r="AF771" t="inlineStr">
        <is>
          <t>How mature is the organization in managing customer service operating model with channels, coverage hours, tiers and service levels, including ownership, evidence, metrics, fallback procedures and crisis stress testing?</t>
        </is>
      </c>
      <c r="AO771">
        <f>IF($B771="Yes",IFERROR(INDEX(_ENGINE_Crisis!$F$501:$F$517,MATCH($C771,_ENGINE_Crisis!$A$501:$A$517,0)),1),"")</f>
        <v/>
      </c>
      <c r="AP771">
        <f>IF(AO771="","",ROUND($L771*AO771,1))</f>
        <v/>
      </c>
      <c r="AQ771">
        <f>IF(OR(AO771="",$S771=""),"",ROUND($S771*(0.7+0.3*AO771),2))</f>
        <v/>
      </c>
      <c r="AR771">
        <f>IFERROR(INDEX(_ENGINE_Crisis!$E$41:$E$700,MATCH('Resilience &amp; Risk Scenario'!$B$60&amp;"|"&amp;$C771,_ENGINE_Crisis!$I$41:$I$700,0)),"")</f>
        <v/>
      </c>
      <c r="AS771">
        <f>IFERROR(INDEX(_ENGINE_Crisis!$G$41:$G$700,MATCH('Resilience &amp; Risk Scenario'!$B$60&amp;"|"&amp;$C771,_ENGINE_Crisis!$I$41:$I$700,0)),"")</f>
        <v/>
      </c>
      <c r="AT771">
        <f>IFERROR(INDEX(_ENGINE_Initiatives!$A$5:$A$532,MATCH(1,INDEX((_ENGINE_Initiatives!$B$5:$B$532=$C771)*(_ENGINE_Initiatives!$C$5:$C$532=$D771),0),0)),"")</f>
        <v/>
      </c>
      <c r="AU771">
        <f>IFERROR(INDEX(_ENGINE_Initiatives!$F$5:$F$532,MATCH(1,INDEX((_ENGINE_Initiatives!$B$5:$B$532=$C771)*(_ENGINE_Initiatives!$C$5:$C$532=$D771),0),0)),"")</f>
        <v/>
      </c>
      <c r="AV771">
        <f>IFERROR(INDEX(_ENGINE_Initiatives!$AC$5:$AC$532,MATCH(1,INDEX((_ENGINE_Initiatives!$B$5:$B$532=$C771)*(_ENGINE_Initiatives!$C$5:$C$532=$D771),0),0)),"")</f>
        <v/>
      </c>
      <c r="AW771">
        <f>IFERROR(INDEX(_ENGINE_Initiatives!$AE$5:$AE$532,MATCH(1,INDEX((_ENGINE_Initiatives!$B$5:$B$532=$C771)*(_ENGINE_Initiatives!$C$5:$C$532=$D771),0),0)),"")</f>
        <v/>
      </c>
      <c r="AX771">
        <f>IF($B771="Yes",IFERROR(IF(SUMIFS(_REF_Model_Content!$E$1:$E$613,_REF_Model_Content!$A$1:$A$613,'Company Profile'!$B$9,_REF_Model_Content!$B$1:$B$613,$C771)=0,1,SUMIFS(_REF_Model_Content!$E$1:$E$613,_REF_Model_Content!$A$1:$A$613,'Company Profile'!$B$9,_REF_Model_Content!$B$1:$B$613,$C771)),1),"")</f>
        <v/>
      </c>
      <c r="AY771">
        <f>IF($L771="","",ROUND(IF($AP771="",$L771,$AP771)*IF($AX771="",1,$AX771),2))</f>
        <v/>
      </c>
      <c r="AZ771">
        <f>IF($S771="","",ROUND(IF($AQ771="",$S771,$AQ771)*IF($AX771="",1,$AX771),2))</f>
        <v/>
      </c>
      <c r="BB771">
        <f>IF($H771="","",IFERROR(INDEX('_ENGINE_Risk'!$AE$41:$AE$920,MATCH($E771,'_ENGINE_Risk'!$A$41:$A$920,0)),"Medium"))</f>
        <v/>
      </c>
      <c r="BC771">
        <f>IF($BB771="","",IF($BB771="Fast",1.25,IF($BB771="Slow",0.85,1)))</f>
        <v/>
      </c>
      <c r="BD771">
        <f>IF(OR($AZ771="",$BC771=""),"",ROUND($AZ771*$BC771,2))</f>
        <v/>
      </c>
      <c r="BF771">
        <f>IF(OR($H771="",$J771=""),"",_xlfn.IFNA(VLOOKUP($J771,_CONFIG_Model_Settings!$D$610:$E$614,2,0),""))</f>
        <v/>
      </c>
      <c r="BG771">
        <f>IF(OR($H771="",$K771=""),"",ROUND('Company Profile'!$B$569*INDEX(_CONFIG_Model_Settings!$H$610:$H$614,MATCH($K771,_CONFIG_Model_Settings!$G$610:$G$614,0)),0))</f>
        <v/>
      </c>
      <c r="BH771">
        <f>IF(OR($BF771="",$BG771=""),"",ROUND($BF771*$BG771,1))</f>
        <v/>
      </c>
      <c r="BI771">
        <f>IF($BH771="","",IF($AO771="",$BH771,ROUND($BH771*$AO771,1)))</f>
        <v/>
      </c>
      <c r="BJ771">
        <f>IF($E771="","",IFERROR(VLOOKUP($C771,'_CONFIG_Risk_Calibration'!$A$5:$H$21,2,FALSE),3))</f>
        <v/>
      </c>
      <c r="BK771">
        <f>IF($E771="","",IFERROR(VLOOKUP($C771,'_CONFIG_Risk_Calibration'!$A$5:$H$21,3,FALSE),0))</f>
        <v/>
      </c>
      <c r="BL771">
        <f>IF($E771="","",IFERROR(VLOOKUP($C771,'_CONFIG_Risk_Calibration'!$A$5:$H$21,4,FALSE),3))</f>
        <v/>
      </c>
      <c r="BM771">
        <f>IF($E771="","",IFERROR(VLOOKUP($C771,'_CONFIG_Risk_Calibration'!$A$5:$H$21,5,FALSE),3))</f>
        <v/>
      </c>
      <c r="BN771">
        <f>IF($E771="","",IFERROR(VLOOKUP($C771,'_CONFIG_Risk_Calibration'!$A$5:$H$21,6,FALSE),"No"))</f>
        <v/>
      </c>
      <c r="BO771">
        <f>IF($E771="","",IFERROR(VLOOKUP($C771,'_CONFIG_Risk_Calibration'!$A$5:$H$21,7,FALSE),1))</f>
        <v/>
      </c>
      <c r="BP771">
        <f>IF($H771="","",MAX(1,MIN(5,((6-$H771)*0.45)+($BJ771*0.20)+('Resilience &amp; Risk Scenario'!$B$7*0.15)+($BK771*0.10)+($BL771*0.05)+(IF($BB771="Fast",5,IF($BB771="Slow",1,3))*0.05))))</f>
        <v/>
      </c>
      <c r="BQ771">
        <f>IF($H771="","",MAX(IF($BN771="Yes",$BO771,1),MIN(5,($U771*0.20)+($V771*0.15)+($W771*0.25)+($X771*0.15)+($BJ771*0.10)+($BM771*0.15))))</f>
        <v/>
      </c>
      <c r="BR771">
        <f>IF(OR($BP771="",$BQ771=""),"",ROUND($BP771*$BQ771,2))</f>
        <v/>
      </c>
      <c r="BS771">
        <f>IF($BR771="","",ROUND($BR771*IF($AO771="",1,$AO771)*IF($AX771="",1,$AX771)*(1+(($BM771-3)*0.10))*IF($BC771="",1,$BC771),2))</f>
        <v/>
      </c>
    </row>
    <row r="772" ht="69.90000000000001" customHeight="1" s="209">
      <c r="A772">
        <f>IF($BD772="","",SUMPRODUCT(ISNUMBER($BD$500:$BD$923)*($BD$500:$BD$923&gt;$BD772))+COUNTIF($BD$500:$BD772,$BD772))</f>
        <v/>
      </c>
      <c r="B772">
        <f>IF($H772="","",IF($H772&lt;5,"Yes","Maintain"))</f>
        <v/>
      </c>
      <c r="C772" t="inlineStr">
        <is>
          <t>Sales CRM</t>
        </is>
      </c>
      <c r="D772" t="inlineStr">
        <is>
          <t>Customer service</t>
        </is>
      </c>
      <c r="E772" t="inlineStr">
        <is>
          <t>SALE-023</t>
        </is>
      </c>
      <c r="F772" t="inlineStr">
        <is>
          <t>Customer service continuity and experience</t>
        </is>
      </c>
      <c r="G772">
        <f>IF($H772="","",IFERROR(INDEX('_ENGINE_Risk'!$H$41:$M$920,MATCH($E772,'_ENGINE_Risk'!$A$41:$A$920,0),$H772+1),""))</f>
        <v/>
      </c>
      <c r="H772">
        <f>IFERROR(VALUE(INDEX(_DATA_Assessment_Model!$H$5:$H$884,MATCH($E772,_DATA_Assessment_Model!$A$5:$A$884,0))),"")</f>
        <v/>
      </c>
      <c r="I772">
        <f>IF($H772="","",IFERROR(INDEX(_DATA_Assessment_Model!$L$5:$L$884,MATCH($E772,_DATA_Assessment_Model!$A$5:$A$884,0)),IF($H772&lt;=1,"Critical",IF($H772=2,"High",IF($H772=3,"Medium",IF($H772=4,"Low","Resilient"))))))</f>
        <v/>
      </c>
      <c r="J772">
        <f>IF($H772="","",MIN(5,MAX(1,6-$H772)))</f>
        <v/>
      </c>
      <c r="K772">
        <f>IF($H772="","",MAX(1,MIN(5,ROUNDUP(($U772*0.45)+($W772*0.35)+($X772*0.2),0))))</f>
        <v/>
      </c>
      <c r="L772">
        <f>IF($H772="","",$J772*$K772)</f>
        <v/>
      </c>
      <c r="M772">
        <f>IF($H772="","",MAX(1,MIN(5,ROUNDUP($L772/5,0))))</f>
        <v/>
      </c>
      <c r="N772">
        <f>IF($H772="","",IFERROR(INDEX('_ENGINE_Risk'!$T$41:$Y$920,MATCH($E772,'_ENGINE_Risk'!$A$41:$A$920,0),$H772+1),""))</f>
        <v/>
      </c>
      <c r="O772">
        <f>IF($H772="","",MAX(1,MIN(5,($U772+$V772+$X772)/3)))</f>
        <v/>
      </c>
      <c r="P772">
        <f>IF($H772="","",IF($I772="Critical",5,IF($I772="High",4,IF($I772="Medium",3,IF($I772="Low",2,1)))))</f>
        <v/>
      </c>
      <c r="Q772">
        <f>IF($H772="","",MAX(1,MIN(5,((5-$H772)*0.65)+($W772*0.35))))</f>
        <v/>
      </c>
      <c r="R772">
        <f>IF($H772="","",MAX(1,MIN(5,($V772+$X772)/2)))</f>
        <v/>
      </c>
      <c r="S772">
        <f>IF(OR($H772="",$N772=""),"",ROUND(($O772+$P772+$Q772+$R772)/$N772,2))</f>
        <v/>
      </c>
      <c r="T772">
        <f>IF($H772="","",IFERROR(INDEX('_ENGINE_Risk'!$N$41:$S$920,MATCH($E772,'_ENGINE_Risk'!$A$41:$A$920,0),$H772+1),""))</f>
        <v/>
      </c>
      <c r="U772">
        <f>IFERROR(INDEX(_DATA_Assessment_Model!$G$5:$G$884,MATCH($E772,_DATA_Assessment_Model!$A$5:$A$884,0)),"")</f>
        <v/>
      </c>
      <c r="V772">
        <f>IFERROR(INDEX(_DATA_Assessment_Model!$W$5:$W$884,MATCH($E772,_DATA_Assessment_Model!$A$5:$A$884,0)),"")</f>
        <v/>
      </c>
      <c r="W772">
        <f>IFERROR(INDEX(_DATA_Assessment_Model!$X$5:$X$884,MATCH($E772,_DATA_Assessment_Model!$A$5:$A$884,0)),"")</f>
        <v/>
      </c>
      <c r="X772">
        <f>IFERROR(INDEX(_DATA_Assessment_Model!$Y$5:$Y$884,MATCH($E772,_DATA_Assessment_Model!$A$5:$A$884,0)),"")</f>
        <v/>
      </c>
      <c r="Y772" t="inlineStr">
        <is>
          <t>Demand shock; Reputation crisis; Cyberattack/ransomware</t>
        </is>
      </c>
      <c r="Z772" t="inlineStr">
        <is>
          <t>Head of Customer Service</t>
        </is>
      </c>
      <c r="AA772" t="inlineStr">
        <is>
          <t>Policy/SOP; owner/RACI; system report; dashboard; contracts; test records; incident history; interview evidence related to case and ticket management with logging, categorization, prioritization, escalation and backlog control</t>
        </is>
      </c>
      <c r="AB772">
        <f>IFERROR(INDEX(_DATA_Assessment_Model!$U$5:$U$884,MATCH($E772,_DATA_Assessment_Model!$A$5:$A$884,0)),"")</f>
        <v/>
      </c>
      <c r="AF772" t="inlineStr">
        <is>
          <t>How mature is the organization in managing case and ticket management with logging, categorization, prioritization, escalation and backlog control, including ownership, evidence, metrics, fallback procedures and crisis stress testing?</t>
        </is>
      </c>
      <c r="AO772">
        <f>IF($B772="Yes",IFERROR(INDEX(_ENGINE_Crisis!$F$501:$F$517,MATCH($C772,_ENGINE_Crisis!$A$501:$A$517,0)),1),"")</f>
        <v/>
      </c>
      <c r="AP772">
        <f>IF(AO772="","",ROUND($L772*AO772,1))</f>
        <v/>
      </c>
      <c r="AQ772">
        <f>IF(OR(AO772="",$S772=""),"",ROUND($S772*(0.7+0.3*AO772),2))</f>
        <v/>
      </c>
      <c r="AR772">
        <f>IFERROR(INDEX(_ENGINE_Crisis!$E$41:$E$700,MATCH('Resilience &amp; Risk Scenario'!$B$60&amp;"|"&amp;$C772,_ENGINE_Crisis!$I$41:$I$700,0)),"")</f>
        <v/>
      </c>
      <c r="AS772">
        <f>IFERROR(INDEX(_ENGINE_Crisis!$G$41:$G$700,MATCH('Resilience &amp; Risk Scenario'!$B$60&amp;"|"&amp;$C772,_ENGINE_Crisis!$I$41:$I$700,0)),"")</f>
        <v/>
      </c>
      <c r="AT772">
        <f>IFERROR(INDEX(_ENGINE_Initiatives!$A$5:$A$532,MATCH(1,INDEX((_ENGINE_Initiatives!$B$5:$B$532=$C772)*(_ENGINE_Initiatives!$C$5:$C$532=$D772),0),0)),"")</f>
        <v/>
      </c>
      <c r="AU772">
        <f>IFERROR(INDEX(_ENGINE_Initiatives!$F$5:$F$532,MATCH(1,INDEX((_ENGINE_Initiatives!$B$5:$B$532=$C772)*(_ENGINE_Initiatives!$C$5:$C$532=$D772),0),0)),"")</f>
        <v/>
      </c>
      <c r="AV772">
        <f>IFERROR(INDEX(_ENGINE_Initiatives!$AC$5:$AC$532,MATCH(1,INDEX((_ENGINE_Initiatives!$B$5:$B$532=$C772)*(_ENGINE_Initiatives!$C$5:$C$532=$D772),0),0)),"")</f>
        <v/>
      </c>
      <c r="AW772">
        <f>IFERROR(INDEX(_ENGINE_Initiatives!$AE$5:$AE$532,MATCH(1,INDEX((_ENGINE_Initiatives!$B$5:$B$532=$C772)*(_ENGINE_Initiatives!$C$5:$C$532=$D772),0),0)),"")</f>
        <v/>
      </c>
      <c r="AX772">
        <f>IF($B772="Yes",IFERROR(IF(SUMIFS(_REF_Model_Content!$E$1:$E$613,_REF_Model_Content!$A$1:$A$613,'Company Profile'!$B$9,_REF_Model_Content!$B$1:$B$613,$C772)=0,1,SUMIFS(_REF_Model_Content!$E$1:$E$613,_REF_Model_Content!$A$1:$A$613,'Company Profile'!$B$9,_REF_Model_Content!$B$1:$B$613,$C772)),1),"")</f>
        <v/>
      </c>
      <c r="AY772">
        <f>IF($L772="","",ROUND(IF($AP772="",$L772,$AP772)*IF($AX772="",1,$AX772),2))</f>
        <v/>
      </c>
      <c r="AZ772">
        <f>IF($S772="","",ROUND(IF($AQ772="",$S772,$AQ772)*IF($AX772="",1,$AX772),2))</f>
        <v/>
      </c>
      <c r="BB772">
        <f>IF($H772="","",IFERROR(INDEX('_ENGINE_Risk'!$AE$41:$AE$920,MATCH($E772,'_ENGINE_Risk'!$A$41:$A$920,0)),"Medium"))</f>
        <v/>
      </c>
      <c r="BC772">
        <f>IF($BB772="","",IF($BB772="Fast",1.25,IF($BB772="Slow",0.85,1)))</f>
        <v/>
      </c>
      <c r="BD772">
        <f>IF(OR($AZ772="",$BC772=""),"",ROUND($AZ772*$BC772,2))</f>
        <v/>
      </c>
      <c r="BF772">
        <f>IF(OR($H772="",$J772=""),"",_xlfn.IFNA(VLOOKUP($J772,_CONFIG_Model_Settings!$D$610:$E$614,2,0),""))</f>
        <v/>
      </c>
      <c r="BG772">
        <f>IF(OR($H772="",$K772=""),"",ROUND('Company Profile'!$B$569*INDEX(_CONFIG_Model_Settings!$H$610:$H$614,MATCH($K772,_CONFIG_Model_Settings!$G$610:$G$614,0)),0))</f>
        <v/>
      </c>
      <c r="BH772">
        <f>IF(OR($BF772="",$BG772=""),"",ROUND($BF772*$BG772,1))</f>
        <v/>
      </c>
      <c r="BI772">
        <f>IF($BH772="","",IF($AO772="",$BH772,ROUND($BH772*$AO772,1)))</f>
        <v/>
      </c>
      <c r="BJ772">
        <f>IF($E772="","",IFERROR(VLOOKUP($C772,'_CONFIG_Risk_Calibration'!$A$5:$H$21,2,FALSE),3))</f>
        <v/>
      </c>
      <c r="BK772">
        <f>IF($E772="","",IFERROR(VLOOKUP($C772,'_CONFIG_Risk_Calibration'!$A$5:$H$21,3,FALSE),0))</f>
        <v/>
      </c>
      <c r="BL772">
        <f>IF($E772="","",IFERROR(VLOOKUP($C772,'_CONFIG_Risk_Calibration'!$A$5:$H$21,4,FALSE),3))</f>
        <v/>
      </c>
      <c r="BM772">
        <f>IF($E772="","",IFERROR(VLOOKUP($C772,'_CONFIG_Risk_Calibration'!$A$5:$H$21,5,FALSE),3))</f>
        <v/>
      </c>
      <c r="BN772">
        <f>IF($E772="","",IFERROR(VLOOKUP($C772,'_CONFIG_Risk_Calibration'!$A$5:$H$21,6,FALSE),"No"))</f>
        <v/>
      </c>
      <c r="BO772">
        <f>IF($E772="","",IFERROR(VLOOKUP($C772,'_CONFIG_Risk_Calibration'!$A$5:$H$21,7,FALSE),1))</f>
        <v/>
      </c>
      <c r="BP772">
        <f>IF($H772="","",MAX(1,MIN(5,((6-$H772)*0.45)+($BJ772*0.20)+('Resilience &amp; Risk Scenario'!$B$7*0.15)+($BK772*0.10)+($BL772*0.05)+(IF($BB772="Fast",5,IF($BB772="Slow",1,3))*0.05))))</f>
        <v/>
      </c>
      <c r="BQ772">
        <f>IF($H772="","",MAX(IF($BN772="Yes",$BO772,1),MIN(5,($U772*0.20)+($V772*0.15)+($W772*0.25)+($X772*0.15)+($BJ772*0.10)+($BM772*0.15))))</f>
        <v/>
      </c>
      <c r="BR772">
        <f>IF(OR($BP772="",$BQ772=""),"",ROUND($BP772*$BQ772,2))</f>
        <v/>
      </c>
      <c r="BS772">
        <f>IF($BR772="","",ROUND($BR772*IF($AO772="",1,$AO772)*IF($AX772="",1,$AX772)*(1+(($BM772-3)*0.10))*IF($BC772="",1,$BC772),2))</f>
        <v/>
      </c>
    </row>
    <row r="773" ht="69.90000000000001" customHeight="1" s="209">
      <c r="A773">
        <f>IF($BD773="","",SUMPRODUCT(ISNUMBER($BD$500:$BD$923)*($BD$500:$BD$923&gt;$BD773))+COUNTIF($BD$500:$BD773,$BD773))</f>
        <v/>
      </c>
      <c r="B773">
        <f>IF($H773="","",IF($H773&lt;5,"Yes","Maintain"))</f>
        <v/>
      </c>
      <c r="C773" t="inlineStr">
        <is>
          <t>Sales CRM</t>
        </is>
      </c>
      <c r="D773" t="inlineStr">
        <is>
          <t>Customer service</t>
        </is>
      </c>
      <c r="E773" t="inlineStr">
        <is>
          <t>SALE-024</t>
        </is>
      </c>
      <c r="F773" t="inlineStr">
        <is>
          <t>Customer service continuity and experience</t>
        </is>
      </c>
      <c r="G773">
        <f>IF($H773="","",IFERROR(INDEX('_ENGINE_Risk'!$H$41:$M$920,MATCH($E773,'_ENGINE_Risk'!$A$41:$A$920,0),$H773+1),""))</f>
        <v/>
      </c>
      <c r="H773">
        <f>IFERROR(VALUE(INDEX(_DATA_Assessment_Model!$H$5:$H$884,MATCH($E773,_DATA_Assessment_Model!$A$5:$A$884,0))),"")</f>
        <v/>
      </c>
      <c r="I773">
        <f>IF($H773="","",IFERROR(INDEX(_DATA_Assessment_Model!$L$5:$L$884,MATCH($E773,_DATA_Assessment_Model!$A$5:$A$884,0)),IF($H773&lt;=1,"Critical",IF($H773=2,"High",IF($H773=3,"Medium",IF($H773=4,"Low","Resilient"))))))</f>
        <v/>
      </c>
      <c r="J773">
        <f>IF($H773="","",MIN(5,MAX(1,6-$H773)))</f>
        <v/>
      </c>
      <c r="K773">
        <f>IF($H773="","",MAX(1,MIN(5,ROUNDUP(($U773*0.45)+($W773*0.35)+($X773*0.2),0))))</f>
        <v/>
      </c>
      <c r="L773">
        <f>IF($H773="","",$J773*$K773)</f>
        <v/>
      </c>
      <c r="M773">
        <f>IF($H773="","",MAX(1,MIN(5,ROUNDUP($L773/5,0))))</f>
        <v/>
      </c>
      <c r="N773">
        <f>IF($H773="","",IFERROR(INDEX('_ENGINE_Risk'!$T$41:$Y$920,MATCH($E773,'_ENGINE_Risk'!$A$41:$A$920,0),$H773+1),""))</f>
        <v/>
      </c>
      <c r="O773">
        <f>IF($H773="","",MAX(1,MIN(5,($U773+$V773+$X773)/3)))</f>
        <v/>
      </c>
      <c r="P773">
        <f>IF($H773="","",IF($I773="Critical",5,IF($I773="High",4,IF($I773="Medium",3,IF($I773="Low",2,1)))))</f>
        <v/>
      </c>
      <c r="Q773">
        <f>IF($H773="","",MAX(1,MIN(5,((5-$H773)*0.65)+($W773*0.35))))</f>
        <v/>
      </c>
      <c r="R773">
        <f>IF($H773="","",MAX(1,MIN(5,($V773+$X773)/2)))</f>
        <v/>
      </c>
      <c r="S773">
        <f>IF(OR($H773="",$N773=""),"",ROUND(($O773+$P773+$Q773+$R773)/$N773,2))</f>
        <v/>
      </c>
      <c r="T773">
        <f>IF($H773="","",IFERROR(INDEX('_ENGINE_Risk'!$N$41:$S$920,MATCH($E773,'_ENGINE_Risk'!$A$41:$A$920,0),$H773+1),""))</f>
        <v/>
      </c>
      <c r="U773">
        <f>IFERROR(INDEX(_DATA_Assessment_Model!$G$5:$G$884,MATCH($E773,_DATA_Assessment_Model!$A$5:$A$884,0)),"")</f>
        <v/>
      </c>
      <c r="V773">
        <f>IFERROR(INDEX(_DATA_Assessment_Model!$W$5:$W$884,MATCH($E773,_DATA_Assessment_Model!$A$5:$A$884,0)),"")</f>
        <v/>
      </c>
      <c r="W773">
        <f>IFERROR(INDEX(_DATA_Assessment_Model!$X$5:$X$884,MATCH($E773,_DATA_Assessment_Model!$A$5:$A$884,0)),"")</f>
        <v/>
      </c>
      <c r="X773">
        <f>IFERROR(INDEX(_DATA_Assessment_Model!$Y$5:$Y$884,MATCH($E773,_DATA_Assessment_Model!$A$5:$A$884,0)),"")</f>
        <v/>
      </c>
      <c r="Y773" t="inlineStr">
        <is>
          <t>Demand shock; Workforce disruption; Cloud/SaaS outage</t>
        </is>
      </c>
      <c r="Z773" t="inlineStr">
        <is>
          <t>Head of Customer Service / COO</t>
        </is>
      </c>
      <c r="AA773" t="inlineStr">
        <is>
          <t>Policy/SOP; owner/RACI; system report; dashboard; contracts; test records; incident history; interview evidence related to customer service continuity with surge handling, channel failover and after-hours emergency coverage</t>
        </is>
      </c>
      <c r="AB773">
        <f>IFERROR(INDEX(_DATA_Assessment_Model!$U$5:$U$884,MATCH($E773,_DATA_Assessment_Model!$A$5:$A$884,0)),"")</f>
        <v/>
      </c>
      <c r="AF773" t="inlineStr">
        <is>
          <t>How mature is the organization in managing customer service continuity with surge handling, channel failover and after-hours emergency coverage, including ownership, evidence, metrics, fallback procedures and crisis stress testing?</t>
        </is>
      </c>
      <c r="AO773">
        <f>IF($B773="Yes",IFERROR(INDEX(_ENGINE_Crisis!$F$501:$F$517,MATCH($C773,_ENGINE_Crisis!$A$501:$A$517,0)),1),"")</f>
        <v/>
      </c>
      <c r="AP773">
        <f>IF(AO773="","",ROUND($L773*AO773,1))</f>
        <v/>
      </c>
      <c r="AQ773">
        <f>IF(OR(AO773="",$S773=""),"",ROUND($S773*(0.7+0.3*AO773),2))</f>
        <v/>
      </c>
      <c r="AR773">
        <f>IFERROR(INDEX(_ENGINE_Crisis!$E$41:$E$700,MATCH('Resilience &amp; Risk Scenario'!$B$60&amp;"|"&amp;$C773,_ENGINE_Crisis!$I$41:$I$700,0)),"")</f>
        <v/>
      </c>
      <c r="AS773">
        <f>IFERROR(INDEX(_ENGINE_Crisis!$G$41:$G$700,MATCH('Resilience &amp; Risk Scenario'!$B$60&amp;"|"&amp;$C773,_ENGINE_Crisis!$I$41:$I$700,0)),"")</f>
        <v/>
      </c>
      <c r="AT773">
        <f>IFERROR(INDEX(_ENGINE_Initiatives!$A$5:$A$532,MATCH(1,INDEX((_ENGINE_Initiatives!$B$5:$B$532=$C773)*(_ENGINE_Initiatives!$C$5:$C$532=$D773),0),0)),"")</f>
        <v/>
      </c>
      <c r="AU773">
        <f>IFERROR(INDEX(_ENGINE_Initiatives!$F$5:$F$532,MATCH(1,INDEX((_ENGINE_Initiatives!$B$5:$B$532=$C773)*(_ENGINE_Initiatives!$C$5:$C$532=$D773),0),0)),"")</f>
        <v/>
      </c>
      <c r="AV773">
        <f>IFERROR(INDEX(_ENGINE_Initiatives!$AC$5:$AC$532,MATCH(1,INDEX((_ENGINE_Initiatives!$B$5:$B$532=$C773)*(_ENGINE_Initiatives!$C$5:$C$532=$D773),0),0)),"")</f>
        <v/>
      </c>
      <c r="AW773">
        <f>IFERROR(INDEX(_ENGINE_Initiatives!$AE$5:$AE$532,MATCH(1,INDEX((_ENGINE_Initiatives!$B$5:$B$532=$C773)*(_ENGINE_Initiatives!$C$5:$C$532=$D773),0),0)),"")</f>
        <v/>
      </c>
      <c r="AX773">
        <f>IF($B773="Yes",IFERROR(IF(SUMIFS(_REF_Model_Content!$E$1:$E$613,_REF_Model_Content!$A$1:$A$613,'Company Profile'!$B$9,_REF_Model_Content!$B$1:$B$613,$C773)=0,1,SUMIFS(_REF_Model_Content!$E$1:$E$613,_REF_Model_Content!$A$1:$A$613,'Company Profile'!$B$9,_REF_Model_Content!$B$1:$B$613,$C773)),1),"")</f>
        <v/>
      </c>
      <c r="AY773">
        <f>IF($L773="","",ROUND(IF($AP773="",$L773,$AP773)*IF($AX773="",1,$AX773),2))</f>
        <v/>
      </c>
      <c r="AZ773">
        <f>IF($S773="","",ROUND(IF($AQ773="",$S773,$AQ773)*IF($AX773="",1,$AX773),2))</f>
        <v/>
      </c>
      <c r="BB773">
        <f>IF($H773="","",IFERROR(INDEX('_ENGINE_Risk'!$AE$41:$AE$920,MATCH($E773,'_ENGINE_Risk'!$A$41:$A$920,0)),"Medium"))</f>
        <v/>
      </c>
      <c r="BC773">
        <f>IF($BB773="","",IF($BB773="Fast",1.25,IF($BB773="Slow",0.85,1)))</f>
        <v/>
      </c>
      <c r="BD773">
        <f>IF(OR($AZ773="",$BC773=""),"",ROUND($AZ773*$BC773,2))</f>
        <v/>
      </c>
      <c r="BF773">
        <f>IF(OR($H773="",$J773=""),"",_xlfn.IFNA(VLOOKUP($J773,_CONFIG_Model_Settings!$D$610:$E$614,2,0),""))</f>
        <v/>
      </c>
      <c r="BG773">
        <f>IF(OR($H773="",$K773=""),"",ROUND('Company Profile'!$B$569*INDEX(_CONFIG_Model_Settings!$H$610:$H$614,MATCH($K773,_CONFIG_Model_Settings!$G$610:$G$614,0)),0))</f>
        <v/>
      </c>
      <c r="BH773">
        <f>IF(OR($BF773="",$BG773=""),"",ROUND($BF773*$BG773,1))</f>
        <v/>
      </c>
      <c r="BI773">
        <f>IF($BH773="","",IF($AO773="",$BH773,ROUND($BH773*$AO773,1)))</f>
        <v/>
      </c>
      <c r="BJ773">
        <f>IF($E773="","",IFERROR(VLOOKUP($C773,'_CONFIG_Risk_Calibration'!$A$5:$H$21,2,FALSE),3))</f>
        <v/>
      </c>
      <c r="BK773">
        <f>IF($E773="","",IFERROR(VLOOKUP($C773,'_CONFIG_Risk_Calibration'!$A$5:$H$21,3,FALSE),0))</f>
        <v/>
      </c>
      <c r="BL773">
        <f>IF($E773="","",IFERROR(VLOOKUP($C773,'_CONFIG_Risk_Calibration'!$A$5:$H$21,4,FALSE),3))</f>
        <v/>
      </c>
      <c r="BM773">
        <f>IF($E773="","",IFERROR(VLOOKUP($C773,'_CONFIG_Risk_Calibration'!$A$5:$H$21,5,FALSE),3))</f>
        <v/>
      </c>
      <c r="BN773">
        <f>IF($E773="","",IFERROR(VLOOKUP($C773,'_CONFIG_Risk_Calibration'!$A$5:$H$21,6,FALSE),"No"))</f>
        <v/>
      </c>
      <c r="BO773">
        <f>IF($E773="","",IFERROR(VLOOKUP($C773,'_CONFIG_Risk_Calibration'!$A$5:$H$21,7,FALSE),1))</f>
        <v/>
      </c>
      <c r="BP773">
        <f>IF($H773="","",MAX(1,MIN(5,((6-$H773)*0.45)+($BJ773*0.20)+('Resilience &amp; Risk Scenario'!$B$7*0.15)+($BK773*0.10)+($BL773*0.05)+(IF($BB773="Fast",5,IF($BB773="Slow",1,3))*0.05))))</f>
        <v/>
      </c>
      <c r="BQ773">
        <f>IF($H773="","",MAX(IF($BN773="Yes",$BO773,1),MIN(5,($U773*0.20)+($V773*0.15)+($W773*0.25)+($X773*0.15)+($BJ773*0.10)+($BM773*0.15))))</f>
        <v/>
      </c>
      <c r="BR773">
        <f>IF(OR($BP773="",$BQ773=""),"",ROUND($BP773*$BQ773,2))</f>
        <v/>
      </c>
      <c r="BS773">
        <f>IF($BR773="","",ROUND($BR773*IF($AO773="",1,$AO773)*IF($AX773="",1,$AX773)*(1+(($BM773-3)*0.10))*IF($BC773="",1,$BC773),2))</f>
        <v/>
      </c>
    </row>
    <row r="774" ht="69.90000000000001" customHeight="1" s="209">
      <c r="A774">
        <f>IF($BD774="","",SUMPRODUCT(ISNUMBER($BD$500:$BD$923)*($BD$500:$BD$923&gt;$BD774))+COUNTIF($BD$500:$BD774,$BD774))</f>
        <v/>
      </c>
      <c r="B774">
        <f>IF($H774="","",IF($H774&lt;5,"Yes","Maintain"))</f>
        <v/>
      </c>
      <c r="C774" t="inlineStr">
        <is>
          <t>Sales CRM</t>
        </is>
      </c>
      <c r="D774" t="inlineStr">
        <is>
          <t>Customer service</t>
        </is>
      </c>
      <c r="E774" t="inlineStr">
        <is>
          <t>SALE-025</t>
        </is>
      </c>
      <c r="F774" t="inlineStr">
        <is>
          <t>Customer service continuity and experience</t>
        </is>
      </c>
      <c r="G774">
        <f>IF($H774="","",IFERROR(INDEX('_ENGINE_Risk'!$H$41:$M$920,MATCH($E774,'_ENGINE_Risk'!$A$41:$A$920,0),$H774+1),""))</f>
        <v/>
      </c>
      <c r="H774">
        <f>IFERROR(VALUE(INDEX(_DATA_Assessment_Model!$H$5:$H$884,MATCH($E774,_DATA_Assessment_Model!$A$5:$A$884,0))),"")</f>
        <v/>
      </c>
      <c r="I774">
        <f>IF($H774="","",IFERROR(INDEX(_DATA_Assessment_Model!$L$5:$L$884,MATCH($E774,_DATA_Assessment_Model!$A$5:$A$884,0)),IF($H774&lt;=1,"Critical",IF($H774=2,"High",IF($H774=3,"Medium",IF($H774=4,"Low","Resilient"))))))</f>
        <v/>
      </c>
      <c r="J774">
        <f>IF($H774="","",MIN(5,MAX(1,6-$H774)))</f>
        <v/>
      </c>
      <c r="K774">
        <f>IF($H774="","",MAX(1,MIN(5,ROUNDUP(($U774*0.45)+($W774*0.35)+($X774*0.2),0))))</f>
        <v/>
      </c>
      <c r="L774">
        <f>IF($H774="","",$J774*$K774)</f>
        <v/>
      </c>
      <c r="M774">
        <f>IF($H774="","",MAX(1,MIN(5,ROUNDUP($L774/5,0))))</f>
        <v/>
      </c>
      <c r="N774">
        <f>IF($H774="","",IFERROR(INDEX('_ENGINE_Risk'!$T$41:$Y$920,MATCH($E774,'_ENGINE_Risk'!$A$41:$A$920,0),$H774+1),""))</f>
        <v/>
      </c>
      <c r="O774">
        <f>IF($H774="","",MAX(1,MIN(5,($U774+$V774+$X774)/3)))</f>
        <v/>
      </c>
      <c r="P774">
        <f>IF($H774="","",IF($I774="Critical",5,IF($I774="High",4,IF($I774="Medium",3,IF($I774="Low",2,1)))))</f>
        <v/>
      </c>
      <c r="Q774">
        <f>IF($H774="","",MAX(1,MIN(5,((5-$H774)*0.65)+($W774*0.35))))</f>
        <v/>
      </c>
      <c r="R774">
        <f>IF($H774="","",MAX(1,MIN(5,($V774+$X774)/2)))</f>
        <v/>
      </c>
      <c r="S774">
        <f>IF(OR($H774="",$N774=""),"",ROUND(($O774+$P774+$Q774+$R774)/$N774,2))</f>
        <v/>
      </c>
      <c r="T774">
        <f>IF($H774="","",IFERROR(INDEX('_ENGINE_Risk'!$N$41:$S$920,MATCH($E774,'_ENGINE_Risk'!$A$41:$A$920,0),$H774+1),""))</f>
        <v/>
      </c>
      <c r="U774">
        <f>IFERROR(INDEX(_DATA_Assessment_Model!$G$5:$G$884,MATCH($E774,_DATA_Assessment_Model!$A$5:$A$884,0)),"")</f>
        <v/>
      </c>
      <c r="V774">
        <f>IFERROR(INDEX(_DATA_Assessment_Model!$W$5:$W$884,MATCH($E774,_DATA_Assessment_Model!$A$5:$A$884,0)),"")</f>
        <v/>
      </c>
      <c r="W774">
        <f>IFERROR(INDEX(_DATA_Assessment_Model!$X$5:$X$884,MATCH($E774,_DATA_Assessment_Model!$A$5:$A$884,0)),"")</f>
        <v/>
      </c>
      <c r="X774">
        <f>IFERROR(INDEX(_DATA_Assessment_Model!$Y$5:$Y$884,MATCH($E774,_DATA_Assessment_Model!$A$5:$A$884,0)),"")</f>
        <v/>
      </c>
      <c r="Y774" t="inlineStr">
        <is>
          <t>Reputation crisis; Demand shock</t>
        </is>
      </c>
      <c r="Z774" t="inlineStr">
        <is>
          <t>Head of Customer Service / CMO</t>
        </is>
      </c>
      <c r="AA774" t="inlineStr">
        <is>
          <t>Policy/SOP; owner/RACI; system report; dashboard; contracts; test records; incident history; interview evidence related to voice-of-customer loop converting complaints and feedback into product and process improvements</t>
        </is>
      </c>
      <c r="AB774">
        <f>IFERROR(INDEX(_DATA_Assessment_Model!$U$5:$U$884,MATCH($E774,_DATA_Assessment_Model!$A$5:$A$884,0)),"")</f>
        <v/>
      </c>
      <c r="AF774" t="inlineStr">
        <is>
          <t>How mature is the organization in managing voice-of-customer loop converting complaints and feedback into product and process improvements, including ownership, evidence, metrics, fallback procedures and crisis stress testing?</t>
        </is>
      </c>
      <c r="AO774">
        <f>IF($B774="Yes",IFERROR(INDEX(_ENGINE_Crisis!$F$501:$F$517,MATCH($C774,_ENGINE_Crisis!$A$501:$A$517,0)),1),"")</f>
        <v/>
      </c>
      <c r="AP774">
        <f>IF(AO774="","",ROUND($L774*AO774,1))</f>
        <v/>
      </c>
      <c r="AQ774">
        <f>IF(OR(AO774="",$S774=""),"",ROUND($S774*(0.7+0.3*AO774),2))</f>
        <v/>
      </c>
      <c r="AR774">
        <f>IFERROR(INDEX(_ENGINE_Crisis!$E$41:$E$700,MATCH('Resilience &amp; Risk Scenario'!$B$60&amp;"|"&amp;$C774,_ENGINE_Crisis!$I$41:$I$700,0)),"")</f>
        <v/>
      </c>
      <c r="AS774">
        <f>IFERROR(INDEX(_ENGINE_Crisis!$G$41:$G$700,MATCH('Resilience &amp; Risk Scenario'!$B$60&amp;"|"&amp;$C774,_ENGINE_Crisis!$I$41:$I$700,0)),"")</f>
        <v/>
      </c>
      <c r="AT774">
        <f>IFERROR(INDEX(_ENGINE_Initiatives!$A$5:$A$532,MATCH(1,INDEX((_ENGINE_Initiatives!$B$5:$B$532=$C774)*(_ENGINE_Initiatives!$C$5:$C$532=$D774),0),0)),"")</f>
        <v/>
      </c>
      <c r="AU774">
        <f>IFERROR(INDEX(_ENGINE_Initiatives!$F$5:$F$532,MATCH(1,INDEX((_ENGINE_Initiatives!$B$5:$B$532=$C774)*(_ENGINE_Initiatives!$C$5:$C$532=$D774),0),0)),"")</f>
        <v/>
      </c>
      <c r="AV774">
        <f>IFERROR(INDEX(_ENGINE_Initiatives!$AC$5:$AC$532,MATCH(1,INDEX((_ENGINE_Initiatives!$B$5:$B$532=$C774)*(_ENGINE_Initiatives!$C$5:$C$532=$D774),0),0)),"")</f>
        <v/>
      </c>
      <c r="AW774">
        <f>IFERROR(INDEX(_ENGINE_Initiatives!$AE$5:$AE$532,MATCH(1,INDEX((_ENGINE_Initiatives!$B$5:$B$532=$C774)*(_ENGINE_Initiatives!$C$5:$C$532=$D774),0),0)),"")</f>
        <v/>
      </c>
      <c r="AX774">
        <f>IF($B774="Yes",IFERROR(IF(SUMIFS(_REF_Model_Content!$E$1:$E$613,_REF_Model_Content!$A$1:$A$613,'Company Profile'!$B$9,_REF_Model_Content!$B$1:$B$613,$C774)=0,1,SUMIFS(_REF_Model_Content!$E$1:$E$613,_REF_Model_Content!$A$1:$A$613,'Company Profile'!$B$9,_REF_Model_Content!$B$1:$B$613,$C774)),1),"")</f>
        <v/>
      </c>
      <c r="AY774">
        <f>IF($L774="","",ROUND(IF($AP774="",$L774,$AP774)*IF($AX774="",1,$AX774),2))</f>
        <v/>
      </c>
      <c r="AZ774">
        <f>IF($S774="","",ROUND(IF($AQ774="",$S774,$AQ774)*IF($AX774="",1,$AX774),2))</f>
        <v/>
      </c>
      <c r="BB774">
        <f>IF($H774="","",IFERROR(INDEX('_ENGINE_Risk'!$AE$41:$AE$920,MATCH($E774,'_ENGINE_Risk'!$A$41:$A$920,0)),"Medium"))</f>
        <v/>
      </c>
      <c r="BC774">
        <f>IF($BB774="","",IF($BB774="Fast",1.25,IF($BB774="Slow",0.85,1)))</f>
        <v/>
      </c>
      <c r="BD774">
        <f>IF(OR($AZ774="",$BC774=""),"",ROUND($AZ774*$BC774,2))</f>
        <v/>
      </c>
      <c r="BF774">
        <f>IF(OR($H774="",$J774=""),"",_xlfn.IFNA(VLOOKUP($J774,_CONFIG_Model_Settings!$D$610:$E$614,2,0),""))</f>
        <v/>
      </c>
      <c r="BG774">
        <f>IF(OR($H774="",$K774=""),"",ROUND('Company Profile'!$B$569*INDEX(_CONFIG_Model_Settings!$H$610:$H$614,MATCH($K774,_CONFIG_Model_Settings!$G$610:$G$614,0)),0))</f>
        <v/>
      </c>
      <c r="BH774">
        <f>IF(OR($BF774="",$BG774=""),"",ROUND($BF774*$BG774,1))</f>
        <v/>
      </c>
      <c r="BI774">
        <f>IF($BH774="","",IF($AO774="",$BH774,ROUND($BH774*$AO774,1)))</f>
        <v/>
      </c>
      <c r="BJ774">
        <f>IF($E774="","",IFERROR(VLOOKUP($C774,'_CONFIG_Risk_Calibration'!$A$5:$H$21,2,FALSE),3))</f>
        <v/>
      </c>
      <c r="BK774">
        <f>IF($E774="","",IFERROR(VLOOKUP($C774,'_CONFIG_Risk_Calibration'!$A$5:$H$21,3,FALSE),0))</f>
        <v/>
      </c>
      <c r="BL774">
        <f>IF($E774="","",IFERROR(VLOOKUP($C774,'_CONFIG_Risk_Calibration'!$A$5:$H$21,4,FALSE),3))</f>
        <v/>
      </c>
      <c r="BM774">
        <f>IF($E774="","",IFERROR(VLOOKUP($C774,'_CONFIG_Risk_Calibration'!$A$5:$H$21,5,FALSE),3))</f>
        <v/>
      </c>
      <c r="BN774">
        <f>IF($E774="","",IFERROR(VLOOKUP($C774,'_CONFIG_Risk_Calibration'!$A$5:$H$21,6,FALSE),"No"))</f>
        <v/>
      </c>
      <c r="BO774">
        <f>IF($E774="","",IFERROR(VLOOKUP($C774,'_CONFIG_Risk_Calibration'!$A$5:$H$21,7,FALSE),1))</f>
        <v/>
      </c>
      <c r="BP774">
        <f>IF($H774="","",MAX(1,MIN(5,((6-$H774)*0.45)+($BJ774*0.20)+('Resilience &amp; Risk Scenario'!$B$7*0.15)+($BK774*0.10)+($BL774*0.05)+(IF($BB774="Fast",5,IF($BB774="Slow",1,3))*0.05))))</f>
        <v/>
      </c>
      <c r="BQ774">
        <f>IF($H774="","",MAX(IF($BN774="Yes",$BO774,1),MIN(5,($U774*0.20)+($V774*0.15)+($W774*0.25)+($X774*0.15)+($BJ774*0.10)+($BM774*0.15))))</f>
        <v/>
      </c>
      <c r="BR774">
        <f>IF(OR($BP774="",$BQ774=""),"",ROUND($BP774*$BQ774,2))</f>
        <v/>
      </c>
      <c r="BS774">
        <f>IF($BR774="","",ROUND($BR774*IF($AO774="",1,$AO774)*IF($AX774="",1,$AX774)*(1+(($BM774-3)*0.10))*IF($BC774="",1,$BC774),2))</f>
        <v/>
      </c>
    </row>
    <row r="775" ht="69.90000000000001" customHeight="1" s="209">
      <c r="A775">
        <f>IF($BD775="","",SUMPRODUCT(ISNUMBER($BD$500:$BD$923)*($BD$500:$BD$923&gt;$BD775))+COUNTIF($BD$500:$BD775,$BD775))</f>
        <v/>
      </c>
      <c r="B775">
        <f>IF($H775="","",IF($H775&lt;5,"Yes","Maintain"))</f>
        <v/>
      </c>
      <c r="C775" t="inlineStr">
        <is>
          <t>Sales CRM</t>
        </is>
      </c>
      <c r="D775" t="inlineStr">
        <is>
          <t>Customer service</t>
        </is>
      </c>
      <c r="E775" t="inlineStr">
        <is>
          <t>SALE-026</t>
        </is>
      </c>
      <c r="F775" t="inlineStr">
        <is>
          <t>Customer service continuity and experience</t>
        </is>
      </c>
      <c r="G775">
        <f>IF($H775="","",IFERROR(INDEX('_ENGINE_Risk'!$H$41:$M$920,MATCH($E775,'_ENGINE_Risk'!$A$41:$A$920,0),$H775+1),""))</f>
        <v/>
      </c>
      <c r="H775">
        <f>IFERROR(VALUE(INDEX(_DATA_Assessment_Model!$H$5:$H$884,MATCH($E775,_DATA_Assessment_Model!$A$5:$A$884,0))),"")</f>
        <v/>
      </c>
      <c r="I775">
        <f>IF($H775="","",IFERROR(INDEX(_DATA_Assessment_Model!$L$5:$L$884,MATCH($E775,_DATA_Assessment_Model!$A$5:$A$884,0)),IF($H775&lt;=1,"Critical",IF($H775=2,"High",IF($H775=3,"Medium",IF($H775=4,"Low","Resilient"))))))</f>
        <v/>
      </c>
      <c r="J775">
        <f>IF($H775="","",MIN(5,MAX(1,6-$H775)))</f>
        <v/>
      </c>
      <c r="K775">
        <f>IF($H775="","",MAX(1,MIN(5,ROUNDUP(($U775*0.45)+($W775*0.35)+($X775*0.2),0))))</f>
        <v/>
      </c>
      <c r="L775">
        <f>IF($H775="","",$J775*$K775)</f>
        <v/>
      </c>
      <c r="M775">
        <f>IF($H775="","",MAX(1,MIN(5,ROUNDUP($L775/5,0))))</f>
        <v/>
      </c>
      <c r="N775">
        <f>IF($H775="","",IFERROR(INDEX('_ENGINE_Risk'!$T$41:$Y$920,MATCH($E775,'_ENGINE_Risk'!$A$41:$A$920,0),$H775+1),""))</f>
        <v/>
      </c>
      <c r="O775">
        <f>IF($H775="","",MAX(1,MIN(5,($U775+$V775+$X775)/3)))</f>
        <v/>
      </c>
      <c r="P775">
        <f>IF($H775="","",IF($I775="Critical",5,IF($I775="High",4,IF($I775="Medium",3,IF($I775="Low",2,1)))))</f>
        <v/>
      </c>
      <c r="Q775">
        <f>IF($H775="","",MAX(1,MIN(5,((5-$H775)*0.65)+($W775*0.35))))</f>
        <v/>
      </c>
      <c r="R775">
        <f>IF($H775="","",MAX(1,MIN(5,($V775+$X775)/2)))</f>
        <v/>
      </c>
      <c r="S775">
        <f>IF(OR($H775="",$N775=""),"",ROUND(($O775+$P775+$Q775+$R775)/$N775,2))</f>
        <v/>
      </c>
      <c r="T775">
        <f>IF($H775="","",IFERROR(INDEX('_ENGINE_Risk'!$N$41:$S$920,MATCH($E775,'_ENGINE_Risk'!$A$41:$A$920,0),$H775+1),""))</f>
        <v/>
      </c>
      <c r="U775">
        <f>IFERROR(INDEX(_DATA_Assessment_Model!$G$5:$G$884,MATCH($E775,_DATA_Assessment_Model!$A$5:$A$884,0)),"")</f>
        <v/>
      </c>
      <c r="V775">
        <f>IFERROR(INDEX(_DATA_Assessment_Model!$W$5:$W$884,MATCH($E775,_DATA_Assessment_Model!$A$5:$A$884,0)),"")</f>
        <v/>
      </c>
      <c r="W775">
        <f>IFERROR(INDEX(_DATA_Assessment_Model!$X$5:$X$884,MATCH($E775,_DATA_Assessment_Model!$A$5:$A$884,0)),"")</f>
        <v/>
      </c>
      <c r="X775">
        <f>IFERROR(INDEX(_DATA_Assessment_Model!$Y$5:$Y$884,MATCH($E775,_DATA_Assessment_Model!$A$5:$A$884,0)),"")</f>
        <v/>
      </c>
      <c r="Y775" t="inlineStr">
        <is>
          <t>Reputation crisis; Demand shock; Key customer loss</t>
        </is>
      </c>
      <c r="Z775" t="inlineStr">
        <is>
          <t>Head of Customer Service / CMO</t>
        </is>
      </c>
      <c r="AA775" t="inlineStr">
        <is>
          <t>Policy/SOP; owner/RACI; system report; dashboard; contracts; test records; incident history; interview evidence related to systematic customer perception measurement with NPS or CSAT trends, segmentation and follow-up actions</t>
        </is>
      </c>
      <c r="AB775">
        <f>IFERROR(INDEX(_DATA_Assessment_Model!$U$5:$U$884,MATCH($E775,_DATA_Assessment_Model!$A$5:$A$884,0)),"")</f>
        <v/>
      </c>
      <c r="AF775" t="inlineStr">
        <is>
          <t>How mature is the organization in managing systematic customer perception measurement with NPS or CSAT trends, segmentation and follow-up actions, including ownership, evidence, metrics, fallback procedures and crisis stress testing?</t>
        </is>
      </c>
      <c r="AO775">
        <f>IF($B775="Yes",IFERROR(INDEX(_ENGINE_Crisis!$F$501:$F$517,MATCH($C775,_ENGINE_Crisis!$A$501:$A$517,0)),1),"")</f>
        <v/>
      </c>
      <c r="AP775">
        <f>IF(AO775="","",ROUND($L775*AO775,1))</f>
        <v/>
      </c>
      <c r="AQ775">
        <f>IF(OR(AO775="",$S775=""),"",ROUND($S775*(0.7+0.3*AO775),2))</f>
        <v/>
      </c>
      <c r="AR775">
        <f>IFERROR(INDEX(_ENGINE_Crisis!$E$41:$E$700,MATCH('Resilience &amp; Risk Scenario'!$B$60&amp;"|"&amp;$C775,_ENGINE_Crisis!$I$41:$I$700,0)),"")</f>
        <v/>
      </c>
      <c r="AS775">
        <f>IFERROR(INDEX(_ENGINE_Crisis!$G$41:$G$700,MATCH('Resilience &amp; Risk Scenario'!$B$60&amp;"|"&amp;$C775,_ENGINE_Crisis!$I$41:$I$700,0)),"")</f>
        <v/>
      </c>
      <c r="AT775">
        <f>IFERROR(INDEX(_ENGINE_Initiatives!$A$5:$A$532,MATCH(1,INDEX((_ENGINE_Initiatives!$B$5:$B$532=$C775)*(_ENGINE_Initiatives!$C$5:$C$532=$D775),0),0)),"")</f>
        <v/>
      </c>
      <c r="AU775">
        <f>IFERROR(INDEX(_ENGINE_Initiatives!$F$5:$F$532,MATCH(1,INDEX((_ENGINE_Initiatives!$B$5:$B$532=$C775)*(_ENGINE_Initiatives!$C$5:$C$532=$D775),0),0)),"")</f>
        <v/>
      </c>
      <c r="AV775">
        <f>IFERROR(INDEX(_ENGINE_Initiatives!$AC$5:$AC$532,MATCH(1,INDEX((_ENGINE_Initiatives!$B$5:$B$532=$C775)*(_ENGINE_Initiatives!$C$5:$C$532=$D775),0),0)),"")</f>
        <v/>
      </c>
      <c r="AW775">
        <f>IFERROR(INDEX(_ENGINE_Initiatives!$AE$5:$AE$532,MATCH(1,INDEX((_ENGINE_Initiatives!$B$5:$B$532=$C775)*(_ENGINE_Initiatives!$C$5:$C$532=$D775),0),0)),"")</f>
        <v/>
      </c>
      <c r="AX775">
        <f>IF($B775="Yes",IFERROR(IF(SUMIFS(_REF_Model_Content!$E$1:$E$613,_REF_Model_Content!$A$1:$A$613,'Company Profile'!$B$9,_REF_Model_Content!$B$1:$B$613,$C775)=0,1,SUMIFS(_REF_Model_Content!$E$1:$E$613,_REF_Model_Content!$A$1:$A$613,'Company Profile'!$B$9,_REF_Model_Content!$B$1:$B$613,$C775)),1),"")</f>
        <v/>
      </c>
      <c r="AY775">
        <f>IF($L775="","",ROUND(IF($AP775="",$L775,$AP775)*IF($AX775="",1,$AX775),2))</f>
        <v/>
      </c>
      <c r="AZ775">
        <f>IF($S775="","",ROUND(IF($AQ775="",$S775,$AQ775)*IF($AX775="",1,$AX775),2))</f>
        <v/>
      </c>
      <c r="BB775">
        <f>IF($H775="","",IFERROR(INDEX('_ENGINE_Risk'!$AE$41:$AE$920,MATCH($E775,'_ENGINE_Risk'!$A$41:$A$920,0)),"Medium"))</f>
        <v/>
      </c>
      <c r="BC775">
        <f>IF($BB775="","",IF($BB775="Fast",1.25,IF($BB775="Slow",0.85,1)))</f>
        <v/>
      </c>
      <c r="BD775">
        <f>IF(OR($AZ775="",$BC775=""),"",ROUND($AZ775*$BC775,2))</f>
        <v/>
      </c>
      <c r="BF775">
        <f>IF(OR($H775="",$J775=""),"",_xlfn.IFNA(VLOOKUP($J775,_CONFIG_Model_Settings!$D$610:$E$614,2,0),""))</f>
        <v/>
      </c>
      <c r="BG775">
        <f>IF(OR($H775="",$K775=""),"",ROUND('Company Profile'!$B$569*INDEX(_CONFIG_Model_Settings!$H$610:$H$614,MATCH($K775,_CONFIG_Model_Settings!$G$610:$G$614,0)),0))</f>
        <v/>
      </c>
      <c r="BH775">
        <f>IF(OR($BF775="",$BG775=""),"",ROUND($BF775*$BG775,1))</f>
        <v/>
      </c>
      <c r="BI775">
        <f>IF($BH775="","",IF($AO775="",$BH775,ROUND($BH775*$AO775,1)))</f>
        <v/>
      </c>
      <c r="BJ775">
        <f>IF($E775="","",IFERROR(VLOOKUP($C775,'_CONFIG_Risk_Calibration'!$A$5:$H$21,2,FALSE),3))</f>
        <v/>
      </c>
      <c r="BK775">
        <f>IF($E775="","",IFERROR(VLOOKUP($C775,'_CONFIG_Risk_Calibration'!$A$5:$H$21,3,FALSE),0))</f>
        <v/>
      </c>
      <c r="BL775">
        <f>IF($E775="","",IFERROR(VLOOKUP($C775,'_CONFIG_Risk_Calibration'!$A$5:$H$21,4,FALSE),3))</f>
        <v/>
      </c>
      <c r="BM775">
        <f>IF($E775="","",IFERROR(VLOOKUP($C775,'_CONFIG_Risk_Calibration'!$A$5:$H$21,5,FALSE),3))</f>
        <v/>
      </c>
      <c r="BN775">
        <f>IF($E775="","",IFERROR(VLOOKUP($C775,'_CONFIG_Risk_Calibration'!$A$5:$H$21,6,FALSE),"No"))</f>
        <v/>
      </c>
      <c r="BO775">
        <f>IF($E775="","",IFERROR(VLOOKUP($C775,'_CONFIG_Risk_Calibration'!$A$5:$H$21,7,FALSE),1))</f>
        <v/>
      </c>
      <c r="BP775">
        <f>IF($H775="","",MAX(1,MIN(5,((6-$H775)*0.45)+($BJ775*0.20)+('Resilience &amp; Risk Scenario'!$B$7*0.15)+($BK775*0.10)+($BL775*0.05)+(IF($BB775="Fast",5,IF($BB775="Slow",1,3))*0.05))))</f>
        <v/>
      </c>
      <c r="BQ775">
        <f>IF($H775="","",MAX(IF($BN775="Yes",$BO775,1),MIN(5,($U775*0.20)+($V775*0.15)+($W775*0.25)+($X775*0.15)+($BJ775*0.10)+($BM775*0.15))))</f>
        <v/>
      </c>
      <c r="BR775">
        <f>IF(OR($BP775="",$BQ775=""),"",ROUND($BP775*$BQ775,2))</f>
        <v/>
      </c>
      <c r="BS775">
        <f>IF($BR775="","",ROUND($BR775*IF($AO775="",1,$AO775)*IF($AX775="",1,$AX775)*(1+(($BM775-3)*0.10))*IF($BC775="",1,$BC775),2))</f>
        <v/>
      </c>
    </row>
    <row r="776" ht="69.90000000000001" customHeight="1" s="209">
      <c r="A776">
        <f>IF($BD776="","",SUMPRODUCT(ISNUMBER($BD$500:$BD$923)*($BD$500:$BD$923&gt;$BD776))+COUNTIF($BD$500:$BD776,$BD776))</f>
        <v/>
      </c>
      <c r="B776">
        <f>IF($H776="","",IF($H776&lt;5,"Yes","Maintain"))</f>
        <v/>
      </c>
      <c r="C776" t="inlineStr">
        <is>
          <t>Marketing Comms</t>
        </is>
      </c>
      <c r="D776" t="inlineStr">
        <is>
          <t>Brand and market presence</t>
        </is>
      </c>
      <c r="E776" t="inlineStr">
        <is>
          <t>MARK-001</t>
        </is>
      </c>
      <c r="F776" t="inlineStr">
        <is>
          <t>Market communication and reputation resilience</t>
        </is>
      </c>
      <c r="G776">
        <f>IF($H776="","",IFERROR(INDEX('_ENGINE_Risk'!$H$41:$M$920,MATCH($E776,'_ENGINE_Risk'!$A$41:$A$920,0),$H776+1),""))</f>
        <v/>
      </c>
      <c r="H776">
        <f>IFERROR(VALUE(INDEX(_DATA_Assessment_Model!$H$5:$H$884,MATCH($E776,_DATA_Assessment_Model!$A$5:$A$884,0))),"")</f>
        <v/>
      </c>
      <c r="I776">
        <f>IF($H776="","",IFERROR(INDEX(_DATA_Assessment_Model!$L$5:$L$884,MATCH($E776,_DATA_Assessment_Model!$A$5:$A$884,0)),IF($H776&lt;=1,"Critical",IF($H776=2,"High",IF($H776=3,"Medium",IF($H776=4,"Low","Resilient"))))))</f>
        <v/>
      </c>
      <c r="J776">
        <f>IF($H776="","",MIN(5,MAX(1,6-$H776)))</f>
        <v/>
      </c>
      <c r="K776">
        <f>IF($H776="","",MAX(1,MIN(5,ROUNDUP(($U776*0.45)+($W776*0.35)+($X776*0.2),0))))</f>
        <v/>
      </c>
      <c r="L776">
        <f>IF($H776="","",$J776*$K776)</f>
        <v/>
      </c>
      <c r="M776">
        <f>IF($H776="","",MAX(1,MIN(5,ROUNDUP($L776/5,0))))</f>
        <v/>
      </c>
      <c r="N776">
        <f>IF($H776="","",IFERROR(INDEX('_ENGINE_Risk'!$T$41:$Y$920,MATCH($E776,'_ENGINE_Risk'!$A$41:$A$920,0),$H776+1),""))</f>
        <v/>
      </c>
      <c r="O776">
        <f>IF($H776="","",MAX(1,MIN(5,($U776+$V776+$X776)/3)))</f>
        <v/>
      </c>
      <c r="P776">
        <f>IF($H776="","",IF($I776="Critical",5,IF($I776="High",4,IF($I776="Medium",3,IF($I776="Low",2,1)))))</f>
        <v/>
      </c>
      <c r="Q776">
        <f>IF($H776="","",MAX(1,MIN(5,((5-$H776)*0.65)+($W776*0.35))))</f>
        <v/>
      </c>
      <c r="R776">
        <f>IF($H776="","",MAX(1,MIN(5,($V776+$X776)/2)))</f>
        <v/>
      </c>
      <c r="S776">
        <f>IF(OR($H776="",$N776=""),"",ROUND(($O776+$P776+$Q776+$R776)/$N776,2))</f>
        <v/>
      </c>
      <c r="T776">
        <f>IF($H776="","",IFERROR(INDEX('_ENGINE_Risk'!$N$41:$S$920,MATCH($E776,'_ENGINE_Risk'!$A$41:$A$920,0),$H776+1),""))</f>
        <v/>
      </c>
      <c r="U776">
        <f>IFERROR(INDEX(_DATA_Assessment_Model!$G$5:$G$884,MATCH($E776,_DATA_Assessment_Model!$A$5:$A$884,0)),"")</f>
        <v/>
      </c>
      <c r="V776">
        <f>IFERROR(INDEX(_DATA_Assessment_Model!$W$5:$W$884,MATCH($E776,_DATA_Assessment_Model!$A$5:$A$884,0)),"")</f>
        <v/>
      </c>
      <c r="W776">
        <f>IFERROR(INDEX(_DATA_Assessment_Model!$X$5:$X$884,MATCH($E776,_DATA_Assessment_Model!$A$5:$A$884,0)),"")</f>
        <v/>
      </c>
      <c r="X776">
        <f>IFERROR(INDEX(_DATA_Assessment_Model!$Y$5:$Y$884,MATCH($E776,_DATA_Assessment_Model!$A$5:$A$884,0)),"")</f>
        <v/>
      </c>
      <c r="Y776" t="inlineStr">
        <is>
          <t>Reputation crisis; Demand shock; IT outage</t>
        </is>
      </c>
      <c r="Z776" t="inlineStr">
        <is>
          <t>CMO / Communications</t>
        </is>
      </c>
      <c r="AA776" t="inlineStr">
        <is>
          <t>Policy/SOP; owner/RACI; system report; dashboard; contracts; test records; incident history; interview evidence related to brand positioning aligned with ICP, offering, differentiation and proof points.</t>
        </is>
      </c>
      <c r="AB776">
        <f>IFERROR(INDEX(_DATA_Assessment_Model!$U$5:$U$884,MATCH($E776,_DATA_Assessment_Model!$A$5:$A$884,0)),"")</f>
        <v/>
      </c>
      <c r="AF776" t="inlineStr">
        <is>
          <t>How mature is the organization in managing brand positioning aligned with ICP, offering, differentiation and proof points, including ownership, evidence, metrics, fallback procedures and crisis stress testing?</t>
        </is>
      </c>
      <c r="AO776">
        <f>IF($B776="Yes",IFERROR(INDEX(_ENGINE_Crisis!$F$501:$F$517,MATCH($C776,_ENGINE_Crisis!$A$501:$A$517,0)),1),"")</f>
        <v/>
      </c>
      <c r="AP776">
        <f>IF(AO776="","",ROUND($L776*AO776,1))</f>
        <v/>
      </c>
      <c r="AQ776">
        <f>IF(OR(AO776="",$S776=""),"",ROUND($S776*(0.7+0.3*AO776),2))</f>
        <v/>
      </c>
      <c r="AR776">
        <f>IFERROR(INDEX(_ENGINE_Crisis!$E$41:$E$700,MATCH('Resilience &amp; Risk Scenario'!$B$60&amp;"|"&amp;$C776,_ENGINE_Crisis!$I$41:$I$700,0)),"")</f>
        <v/>
      </c>
      <c r="AS776">
        <f>IFERROR(INDEX(_ENGINE_Crisis!$G$41:$G$700,MATCH('Resilience &amp; Risk Scenario'!$B$60&amp;"|"&amp;$C776,_ENGINE_Crisis!$I$41:$I$700,0)),"")</f>
        <v/>
      </c>
      <c r="AT776">
        <f>IFERROR(INDEX(_ENGINE_Initiatives!$A$5:$A$532,MATCH(1,INDEX((_ENGINE_Initiatives!$B$5:$B$532=$C776)*(_ENGINE_Initiatives!$C$5:$C$532=$D776),0),0)),"")</f>
        <v/>
      </c>
      <c r="AU776">
        <f>IFERROR(INDEX(_ENGINE_Initiatives!$F$5:$F$532,MATCH(1,INDEX((_ENGINE_Initiatives!$B$5:$B$532=$C776)*(_ENGINE_Initiatives!$C$5:$C$532=$D776),0),0)),"")</f>
        <v/>
      </c>
      <c r="AV776">
        <f>IFERROR(INDEX(_ENGINE_Initiatives!$AC$5:$AC$532,MATCH(1,INDEX((_ENGINE_Initiatives!$B$5:$B$532=$C776)*(_ENGINE_Initiatives!$C$5:$C$532=$D776),0),0)),"")</f>
        <v/>
      </c>
      <c r="AW776">
        <f>IFERROR(INDEX(_ENGINE_Initiatives!$AE$5:$AE$532,MATCH(1,INDEX((_ENGINE_Initiatives!$B$5:$B$532=$C776)*(_ENGINE_Initiatives!$C$5:$C$532=$D776),0),0)),"")</f>
        <v/>
      </c>
      <c r="AX776">
        <f>IF($B776="Yes",IFERROR(IF(SUMIFS(_REF_Model_Content!$E$1:$E$613,_REF_Model_Content!$A$1:$A$613,'Company Profile'!$B$9,_REF_Model_Content!$B$1:$B$613,$C776)=0,1,SUMIFS(_REF_Model_Content!$E$1:$E$613,_REF_Model_Content!$A$1:$A$613,'Company Profile'!$B$9,_REF_Model_Content!$B$1:$B$613,$C776)),1),"")</f>
        <v/>
      </c>
      <c r="AY776">
        <f>IF($L776="","",ROUND(IF($AP776="",$L776,$AP776)*IF($AX776="",1,$AX776),2))</f>
        <v/>
      </c>
      <c r="AZ776">
        <f>IF($S776="","",ROUND(IF($AQ776="",$S776,$AQ776)*IF($AX776="",1,$AX776),2))</f>
        <v/>
      </c>
      <c r="BB776">
        <f>IF($H776="","",IFERROR(INDEX('_ENGINE_Risk'!$AE$41:$AE$920,MATCH($E776,'_ENGINE_Risk'!$A$41:$A$920,0)),"Medium"))</f>
        <v/>
      </c>
      <c r="BC776">
        <f>IF($BB776="","",IF($BB776="Fast",1.25,IF($BB776="Slow",0.85,1)))</f>
        <v/>
      </c>
      <c r="BD776">
        <f>IF(OR($AZ776="",$BC776=""),"",ROUND($AZ776*$BC776,2))</f>
        <v/>
      </c>
      <c r="BF776">
        <f>IF(OR($H776="",$J776=""),"",_xlfn.IFNA(VLOOKUP($J776,_CONFIG_Model_Settings!$D$610:$E$614,2,0),""))</f>
        <v/>
      </c>
      <c r="BG776">
        <f>IF(OR($H776="",$K776=""),"",ROUND('Company Profile'!$B$569*INDEX(_CONFIG_Model_Settings!$H$610:$H$614,MATCH($K776,_CONFIG_Model_Settings!$G$610:$G$614,0)),0))</f>
        <v/>
      </c>
      <c r="BH776">
        <f>IF(OR($BF776="",$BG776=""),"",ROUND($BF776*$BG776,1))</f>
        <v/>
      </c>
      <c r="BI776">
        <f>IF($BH776="","",IF($AO776="",$BH776,ROUND($BH776*$AO776,1)))</f>
        <v/>
      </c>
      <c r="BJ776">
        <f>IF($E776="","",IFERROR(VLOOKUP($C776,'_CONFIG_Risk_Calibration'!$A$5:$H$21,2,FALSE),3))</f>
        <v/>
      </c>
      <c r="BK776">
        <f>IF($E776="","",IFERROR(VLOOKUP($C776,'_CONFIG_Risk_Calibration'!$A$5:$H$21,3,FALSE),0))</f>
        <v/>
      </c>
      <c r="BL776">
        <f>IF($E776="","",IFERROR(VLOOKUP($C776,'_CONFIG_Risk_Calibration'!$A$5:$H$21,4,FALSE),3))</f>
        <v/>
      </c>
      <c r="BM776">
        <f>IF($E776="","",IFERROR(VLOOKUP($C776,'_CONFIG_Risk_Calibration'!$A$5:$H$21,5,FALSE),3))</f>
        <v/>
      </c>
      <c r="BN776">
        <f>IF($E776="","",IFERROR(VLOOKUP($C776,'_CONFIG_Risk_Calibration'!$A$5:$H$21,6,FALSE),"No"))</f>
        <v/>
      </c>
      <c r="BO776">
        <f>IF($E776="","",IFERROR(VLOOKUP($C776,'_CONFIG_Risk_Calibration'!$A$5:$H$21,7,FALSE),1))</f>
        <v/>
      </c>
      <c r="BP776">
        <f>IF($H776="","",MAX(1,MIN(5,((6-$H776)*0.45)+($BJ776*0.20)+('Resilience &amp; Risk Scenario'!$B$7*0.15)+($BK776*0.10)+($BL776*0.05)+(IF($BB776="Fast",5,IF($BB776="Slow",1,3))*0.05))))</f>
        <v/>
      </c>
      <c r="BQ776">
        <f>IF($H776="","",MAX(IF($BN776="Yes",$BO776,1),MIN(5,($U776*0.20)+($V776*0.15)+($W776*0.25)+($X776*0.15)+($BJ776*0.10)+($BM776*0.15))))</f>
        <v/>
      </c>
      <c r="BR776">
        <f>IF(OR($BP776="",$BQ776=""),"",ROUND($BP776*$BQ776,2))</f>
        <v/>
      </c>
      <c r="BS776">
        <f>IF($BR776="","",ROUND($BR776*IF($AO776="",1,$AO776)*IF($AX776="",1,$AX776)*(1+(($BM776-3)*0.10))*IF($BC776="",1,$BC776),2))</f>
        <v/>
      </c>
    </row>
    <row r="777" ht="69.90000000000001" customHeight="1" s="209">
      <c r="A777">
        <f>IF($BD777="","",SUMPRODUCT(ISNUMBER($BD$500:$BD$923)*($BD$500:$BD$923&gt;$BD777))+COUNTIF($BD$500:$BD777,$BD777))</f>
        <v/>
      </c>
      <c r="B777">
        <f>IF($H777="","",IF($H777&lt;5,"Yes","Maintain"))</f>
        <v/>
      </c>
      <c r="C777" t="inlineStr">
        <is>
          <t>Marketing Comms</t>
        </is>
      </c>
      <c r="D777" t="inlineStr">
        <is>
          <t>Brand and market presence</t>
        </is>
      </c>
      <c r="E777" t="inlineStr">
        <is>
          <t>MARK-002</t>
        </is>
      </c>
      <c r="F777" t="inlineStr">
        <is>
          <t>Market communication and reputation resilience</t>
        </is>
      </c>
      <c r="G777">
        <f>IF($H777="","",IFERROR(INDEX('_ENGINE_Risk'!$H$41:$M$920,MATCH($E777,'_ENGINE_Risk'!$A$41:$A$920,0),$H777+1),""))</f>
        <v/>
      </c>
      <c r="H777">
        <f>IFERROR(VALUE(INDEX(_DATA_Assessment_Model!$H$5:$H$884,MATCH($E777,_DATA_Assessment_Model!$A$5:$A$884,0))),"")</f>
        <v/>
      </c>
      <c r="I777">
        <f>IF($H777="","",IFERROR(INDEX(_DATA_Assessment_Model!$L$5:$L$884,MATCH($E777,_DATA_Assessment_Model!$A$5:$A$884,0)),IF($H777&lt;=1,"Critical",IF($H777=2,"High",IF($H777=3,"Medium",IF($H777=4,"Low","Resilient"))))))</f>
        <v/>
      </c>
      <c r="J777">
        <f>IF($H777="","",MIN(5,MAX(1,6-$H777)))</f>
        <v/>
      </c>
      <c r="K777">
        <f>IF($H777="","",MAX(1,MIN(5,ROUNDUP(($U777*0.45)+($W777*0.35)+($X777*0.2),0))))</f>
        <v/>
      </c>
      <c r="L777">
        <f>IF($H777="","",$J777*$K777)</f>
        <v/>
      </c>
      <c r="M777">
        <f>IF($H777="","",MAX(1,MIN(5,ROUNDUP($L777/5,0))))</f>
        <v/>
      </c>
      <c r="N777">
        <f>IF($H777="","",IFERROR(INDEX('_ENGINE_Risk'!$T$41:$Y$920,MATCH($E777,'_ENGINE_Risk'!$A$41:$A$920,0),$H777+1),""))</f>
        <v/>
      </c>
      <c r="O777">
        <f>IF($H777="","",MAX(1,MIN(5,($U777+$V777+$X777)/3)))</f>
        <v/>
      </c>
      <c r="P777">
        <f>IF($H777="","",IF($I777="Critical",5,IF($I777="High",4,IF($I777="Medium",3,IF($I777="Low",2,1)))))</f>
        <v/>
      </c>
      <c r="Q777">
        <f>IF($H777="","",MAX(1,MIN(5,((5-$H777)*0.65)+($W777*0.35))))</f>
        <v/>
      </c>
      <c r="R777">
        <f>IF($H777="","",MAX(1,MIN(5,($V777+$X777)/2)))</f>
        <v/>
      </c>
      <c r="S777">
        <f>IF(OR($H777="",$N777=""),"",ROUND(($O777+$P777+$Q777+$R777)/$N777,2))</f>
        <v/>
      </c>
      <c r="T777">
        <f>IF($H777="","",IFERROR(INDEX('_ENGINE_Risk'!$N$41:$S$920,MATCH($E777,'_ENGINE_Risk'!$A$41:$A$920,0),$H777+1),""))</f>
        <v/>
      </c>
      <c r="U777">
        <f>IFERROR(INDEX(_DATA_Assessment_Model!$G$5:$G$884,MATCH($E777,_DATA_Assessment_Model!$A$5:$A$884,0)),"")</f>
        <v/>
      </c>
      <c r="V777">
        <f>IFERROR(INDEX(_DATA_Assessment_Model!$W$5:$W$884,MATCH($E777,_DATA_Assessment_Model!$A$5:$A$884,0)),"")</f>
        <v/>
      </c>
      <c r="W777">
        <f>IFERROR(INDEX(_DATA_Assessment_Model!$X$5:$X$884,MATCH($E777,_DATA_Assessment_Model!$A$5:$A$884,0)),"")</f>
        <v/>
      </c>
      <c r="X777">
        <f>IFERROR(INDEX(_DATA_Assessment_Model!$Y$5:$Y$884,MATCH($E777,_DATA_Assessment_Model!$A$5:$A$884,0)),"")</f>
        <v/>
      </c>
      <c r="Y777" t="inlineStr">
        <is>
          <t>Reputation crisis; Demand shock; IT outage</t>
        </is>
      </c>
      <c r="Z777" t="inlineStr">
        <is>
          <t>CMO / Communications</t>
        </is>
      </c>
      <c r="AA777" t="inlineStr">
        <is>
          <t>Policy/SOP; owner/RACI; system report; dashboard; contracts; test records; incident history; interview evidence related to digital channel dependency across website, search, paid media, social, events and partners.</t>
        </is>
      </c>
      <c r="AB777">
        <f>IFERROR(INDEX(_DATA_Assessment_Model!$U$5:$U$884,MATCH($E777,_DATA_Assessment_Model!$A$5:$A$884,0)),"")</f>
        <v/>
      </c>
      <c r="AF777" t="inlineStr">
        <is>
          <t>How mature is the organization in managing digital channel dependency across website, search, paid media, social, events and partners, including ownership, evidence, metrics, fallback procedures and crisis stress testing?</t>
        </is>
      </c>
      <c r="AO777">
        <f>IF($B777="Yes",IFERROR(INDEX(_ENGINE_Crisis!$F$501:$F$517,MATCH($C777,_ENGINE_Crisis!$A$501:$A$517,0)),1),"")</f>
        <v/>
      </c>
      <c r="AP777">
        <f>IF(AO777="","",ROUND($L777*AO777,1))</f>
        <v/>
      </c>
      <c r="AQ777">
        <f>IF(OR(AO777="",$S777=""),"",ROUND($S777*(0.7+0.3*AO777),2))</f>
        <v/>
      </c>
      <c r="AR777">
        <f>IFERROR(INDEX(_ENGINE_Crisis!$E$41:$E$700,MATCH('Resilience &amp; Risk Scenario'!$B$60&amp;"|"&amp;$C777,_ENGINE_Crisis!$I$41:$I$700,0)),"")</f>
        <v/>
      </c>
      <c r="AS777">
        <f>IFERROR(INDEX(_ENGINE_Crisis!$G$41:$G$700,MATCH('Resilience &amp; Risk Scenario'!$B$60&amp;"|"&amp;$C777,_ENGINE_Crisis!$I$41:$I$700,0)),"")</f>
        <v/>
      </c>
      <c r="AT777">
        <f>IFERROR(INDEX(_ENGINE_Initiatives!$A$5:$A$532,MATCH(1,INDEX((_ENGINE_Initiatives!$B$5:$B$532=$C777)*(_ENGINE_Initiatives!$C$5:$C$532=$D777),0),0)),"")</f>
        <v/>
      </c>
      <c r="AU777">
        <f>IFERROR(INDEX(_ENGINE_Initiatives!$F$5:$F$532,MATCH(1,INDEX((_ENGINE_Initiatives!$B$5:$B$532=$C777)*(_ENGINE_Initiatives!$C$5:$C$532=$D777),0),0)),"")</f>
        <v/>
      </c>
      <c r="AV777">
        <f>IFERROR(INDEX(_ENGINE_Initiatives!$AC$5:$AC$532,MATCH(1,INDEX((_ENGINE_Initiatives!$B$5:$B$532=$C777)*(_ENGINE_Initiatives!$C$5:$C$532=$D777),0),0)),"")</f>
        <v/>
      </c>
      <c r="AW777">
        <f>IFERROR(INDEX(_ENGINE_Initiatives!$AE$5:$AE$532,MATCH(1,INDEX((_ENGINE_Initiatives!$B$5:$B$532=$C777)*(_ENGINE_Initiatives!$C$5:$C$532=$D777),0),0)),"")</f>
        <v/>
      </c>
      <c r="AX777">
        <f>IF($B777="Yes",IFERROR(IF(SUMIFS(_REF_Model_Content!$E$1:$E$613,_REF_Model_Content!$A$1:$A$613,'Company Profile'!$B$9,_REF_Model_Content!$B$1:$B$613,$C777)=0,1,SUMIFS(_REF_Model_Content!$E$1:$E$613,_REF_Model_Content!$A$1:$A$613,'Company Profile'!$B$9,_REF_Model_Content!$B$1:$B$613,$C777)),1),"")</f>
        <v/>
      </c>
      <c r="AY777">
        <f>IF($L777="","",ROUND(IF($AP777="",$L777,$AP777)*IF($AX777="",1,$AX777),2))</f>
        <v/>
      </c>
      <c r="AZ777">
        <f>IF($S777="","",ROUND(IF($AQ777="",$S777,$AQ777)*IF($AX777="",1,$AX777),2))</f>
        <v/>
      </c>
      <c r="BB777">
        <f>IF($H777="","",IFERROR(INDEX('_ENGINE_Risk'!$AE$41:$AE$920,MATCH($E777,'_ENGINE_Risk'!$A$41:$A$920,0)),"Medium"))</f>
        <v/>
      </c>
      <c r="BC777">
        <f>IF($BB777="","",IF($BB777="Fast",1.25,IF($BB777="Slow",0.85,1)))</f>
        <v/>
      </c>
      <c r="BD777">
        <f>IF(OR($AZ777="",$BC777=""),"",ROUND($AZ777*$BC777,2))</f>
        <v/>
      </c>
      <c r="BF777">
        <f>IF(OR($H777="",$J777=""),"",_xlfn.IFNA(VLOOKUP($J777,_CONFIG_Model_Settings!$D$610:$E$614,2,0),""))</f>
        <v/>
      </c>
      <c r="BG777">
        <f>IF(OR($H777="",$K777=""),"",ROUND('Company Profile'!$B$569*INDEX(_CONFIG_Model_Settings!$H$610:$H$614,MATCH($K777,_CONFIG_Model_Settings!$G$610:$G$614,0)),0))</f>
        <v/>
      </c>
      <c r="BH777">
        <f>IF(OR($BF777="",$BG777=""),"",ROUND($BF777*$BG777,1))</f>
        <v/>
      </c>
      <c r="BI777">
        <f>IF($BH777="","",IF($AO777="",$BH777,ROUND($BH777*$AO777,1)))</f>
        <v/>
      </c>
      <c r="BJ777">
        <f>IF($E777="","",IFERROR(VLOOKUP($C777,'_CONFIG_Risk_Calibration'!$A$5:$H$21,2,FALSE),3))</f>
        <v/>
      </c>
      <c r="BK777">
        <f>IF($E777="","",IFERROR(VLOOKUP($C777,'_CONFIG_Risk_Calibration'!$A$5:$H$21,3,FALSE),0))</f>
        <v/>
      </c>
      <c r="BL777">
        <f>IF($E777="","",IFERROR(VLOOKUP($C777,'_CONFIG_Risk_Calibration'!$A$5:$H$21,4,FALSE),3))</f>
        <v/>
      </c>
      <c r="BM777">
        <f>IF($E777="","",IFERROR(VLOOKUP($C777,'_CONFIG_Risk_Calibration'!$A$5:$H$21,5,FALSE),3))</f>
        <v/>
      </c>
      <c r="BN777">
        <f>IF($E777="","",IFERROR(VLOOKUP($C777,'_CONFIG_Risk_Calibration'!$A$5:$H$21,6,FALSE),"No"))</f>
        <v/>
      </c>
      <c r="BO777">
        <f>IF($E777="","",IFERROR(VLOOKUP($C777,'_CONFIG_Risk_Calibration'!$A$5:$H$21,7,FALSE),1))</f>
        <v/>
      </c>
      <c r="BP777">
        <f>IF($H777="","",MAX(1,MIN(5,((6-$H777)*0.45)+($BJ777*0.20)+('Resilience &amp; Risk Scenario'!$B$7*0.15)+($BK777*0.10)+($BL777*0.05)+(IF($BB777="Fast",5,IF($BB777="Slow",1,3))*0.05))))</f>
        <v/>
      </c>
      <c r="BQ777">
        <f>IF($H777="","",MAX(IF($BN777="Yes",$BO777,1),MIN(5,($U777*0.20)+($V777*0.15)+($W777*0.25)+($X777*0.15)+($BJ777*0.10)+($BM777*0.15))))</f>
        <v/>
      </c>
      <c r="BR777">
        <f>IF(OR($BP777="",$BQ777=""),"",ROUND($BP777*$BQ777,2))</f>
        <v/>
      </c>
      <c r="BS777">
        <f>IF($BR777="","",ROUND($BR777*IF($AO777="",1,$AO777)*IF($AX777="",1,$AX777)*(1+(($BM777-3)*0.10))*IF($BC777="",1,$BC777),2))</f>
        <v/>
      </c>
    </row>
    <row r="778" ht="69.90000000000001" customHeight="1" s="209">
      <c r="A778">
        <f>IF($BD778="","",SUMPRODUCT(ISNUMBER($BD$500:$BD$923)*($BD$500:$BD$923&gt;$BD778))+COUNTIF($BD$500:$BD778,$BD778))</f>
        <v/>
      </c>
      <c r="B778">
        <f>IF($H778="","",IF($H778&lt;5,"Yes","Maintain"))</f>
        <v/>
      </c>
      <c r="C778" t="inlineStr">
        <is>
          <t>Marketing Comms</t>
        </is>
      </c>
      <c r="D778" t="inlineStr">
        <is>
          <t>Brand and market presence</t>
        </is>
      </c>
      <c r="E778" t="inlineStr">
        <is>
          <t>MARK-003</t>
        </is>
      </c>
      <c r="F778" t="inlineStr">
        <is>
          <t>Market communication and reputation resilience</t>
        </is>
      </c>
      <c r="G778">
        <f>IF($H778="","",IFERROR(INDEX('_ENGINE_Risk'!$H$41:$M$920,MATCH($E778,'_ENGINE_Risk'!$A$41:$A$920,0),$H778+1),""))</f>
        <v/>
      </c>
      <c r="H778">
        <f>IFERROR(VALUE(INDEX(_DATA_Assessment_Model!$H$5:$H$884,MATCH($E778,_DATA_Assessment_Model!$A$5:$A$884,0))),"")</f>
        <v/>
      </c>
      <c r="I778">
        <f>IF($H778="","",IFERROR(INDEX(_DATA_Assessment_Model!$L$5:$L$884,MATCH($E778,_DATA_Assessment_Model!$A$5:$A$884,0)),IF($H778&lt;=1,"Critical",IF($H778=2,"High",IF($H778=3,"Medium",IF($H778=4,"Low","Resilient"))))))</f>
        <v/>
      </c>
      <c r="J778">
        <f>IF($H778="","",MIN(5,MAX(1,6-$H778)))</f>
        <v/>
      </c>
      <c r="K778">
        <f>IF($H778="","",MAX(1,MIN(5,ROUNDUP(($U778*0.45)+($W778*0.35)+($X778*0.2),0))))</f>
        <v/>
      </c>
      <c r="L778">
        <f>IF($H778="","",$J778*$K778)</f>
        <v/>
      </c>
      <c r="M778">
        <f>IF($H778="","",MAX(1,MIN(5,ROUNDUP($L778/5,0))))</f>
        <v/>
      </c>
      <c r="N778">
        <f>IF($H778="","",IFERROR(INDEX('_ENGINE_Risk'!$T$41:$Y$920,MATCH($E778,'_ENGINE_Risk'!$A$41:$A$920,0),$H778+1),""))</f>
        <v/>
      </c>
      <c r="O778">
        <f>IF($H778="","",MAX(1,MIN(5,($U778+$V778+$X778)/3)))</f>
        <v/>
      </c>
      <c r="P778">
        <f>IF($H778="","",IF($I778="Critical",5,IF($I778="High",4,IF($I778="Medium",3,IF($I778="Low",2,1)))))</f>
        <v/>
      </c>
      <c r="Q778">
        <f>IF($H778="","",MAX(1,MIN(5,((5-$H778)*0.65)+($W778*0.35))))</f>
        <v/>
      </c>
      <c r="R778">
        <f>IF($H778="","",MAX(1,MIN(5,($V778+$X778)/2)))</f>
        <v/>
      </c>
      <c r="S778">
        <f>IF(OR($H778="",$N778=""),"",ROUND(($O778+$P778+$Q778+$R778)/$N778,2))</f>
        <v/>
      </c>
      <c r="T778">
        <f>IF($H778="","",IFERROR(INDEX('_ENGINE_Risk'!$N$41:$S$920,MATCH($E778,'_ENGINE_Risk'!$A$41:$A$920,0),$H778+1),""))</f>
        <v/>
      </c>
      <c r="U778">
        <f>IFERROR(INDEX(_DATA_Assessment_Model!$G$5:$G$884,MATCH($E778,_DATA_Assessment_Model!$A$5:$A$884,0)),"")</f>
        <v/>
      </c>
      <c r="V778">
        <f>IFERROR(INDEX(_DATA_Assessment_Model!$W$5:$W$884,MATCH($E778,_DATA_Assessment_Model!$A$5:$A$884,0)),"")</f>
        <v/>
      </c>
      <c r="W778">
        <f>IFERROR(INDEX(_DATA_Assessment_Model!$X$5:$X$884,MATCH($E778,_DATA_Assessment_Model!$A$5:$A$884,0)),"")</f>
        <v/>
      </c>
      <c r="X778">
        <f>IFERROR(INDEX(_DATA_Assessment_Model!$Y$5:$Y$884,MATCH($E778,_DATA_Assessment_Model!$A$5:$A$884,0)),"")</f>
        <v/>
      </c>
      <c r="Y778" t="inlineStr">
        <is>
          <t>Reputation crisis; Demand shock; IT outage</t>
        </is>
      </c>
      <c r="Z778" t="inlineStr">
        <is>
          <t>CMO / Communications</t>
        </is>
      </c>
      <c r="AA778" t="inlineStr">
        <is>
          <t>Policy/SOP; owner/RACI; system report; dashboard; contracts; test records; incident history; interview evidence related to website and lead-form availability during traffic spikes, cyberattacks or hosting outages.</t>
        </is>
      </c>
      <c r="AB778">
        <f>IFERROR(INDEX(_DATA_Assessment_Model!$U$5:$U$884,MATCH($E778,_DATA_Assessment_Model!$A$5:$A$884,0)),"")</f>
        <v/>
      </c>
      <c r="AF778" t="inlineStr">
        <is>
          <t>How mature is the organization in managing website and lead-form availability during traffic spikes, cyberattacks or hosting outages, including ownership, evidence, metrics, fallback procedures and crisis stress testing?</t>
        </is>
      </c>
      <c r="AO778">
        <f>IF($B778="Yes",IFERROR(INDEX(_ENGINE_Crisis!$F$501:$F$517,MATCH($C778,_ENGINE_Crisis!$A$501:$A$517,0)),1),"")</f>
        <v/>
      </c>
      <c r="AP778">
        <f>IF(AO778="","",ROUND($L778*AO778,1))</f>
        <v/>
      </c>
      <c r="AQ778">
        <f>IF(OR(AO778="",$S778=""),"",ROUND($S778*(0.7+0.3*AO778),2))</f>
        <v/>
      </c>
      <c r="AR778">
        <f>IFERROR(INDEX(_ENGINE_Crisis!$E$41:$E$700,MATCH('Resilience &amp; Risk Scenario'!$B$60&amp;"|"&amp;$C778,_ENGINE_Crisis!$I$41:$I$700,0)),"")</f>
        <v/>
      </c>
      <c r="AS778">
        <f>IFERROR(INDEX(_ENGINE_Crisis!$G$41:$G$700,MATCH('Resilience &amp; Risk Scenario'!$B$60&amp;"|"&amp;$C778,_ENGINE_Crisis!$I$41:$I$700,0)),"")</f>
        <v/>
      </c>
      <c r="AT778">
        <f>IFERROR(INDEX(_ENGINE_Initiatives!$A$5:$A$532,MATCH(1,INDEX((_ENGINE_Initiatives!$B$5:$B$532=$C778)*(_ENGINE_Initiatives!$C$5:$C$532=$D778),0),0)),"")</f>
        <v/>
      </c>
      <c r="AU778">
        <f>IFERROR(INDEX(_ENGINE_Initiatives!$F$5:$F$532,MATCH(1,INDEX((_ENGINE_Initiatives!$B$5:$B$532=$C778)*(_ENGINE_Initiatives!$C$5:$C$532=$D778),0),0)),"")</f>
        <v/>
      </c>
      <c r="AV778">
        <f>IFERROR(INDEX(_ENGINE_Initiatives!$AC$5:$AC$532,MATCH(1,INDEX((_ENGINE_Initiatives!$B$5:$B$532=$C778)*(_ENGINE_Initiatives!$C$5:$C$532=$D778),0),0)),"")</f>
        <v/>
      </c>
      <c r="AW778">
        <f>IFERROR(INDEX(_ENGINE_Initiatives!$AE$5:$AE$532,MATCH(1,INDEX((_ENGINE_Initiatives!$B$5:$B$532=$C778)*(_ENGINE_Initiatives!$C$5:$C$532=$D778),0),0)),"")</f>
        <v/>
      </c>
      <c r="AX778">
        <f>IF($B778="Yes",IFERROR(IF(SUMIFS(_REF_Model_Content!$E$1:$E$613,_REF_Model_Content!$A$1:$A$613,'Company Profile'!$B$9,_REF_Model_Content!$B$1:$B$613,$C778)=0,1,SUMIFS(_REF_Model_Content!$E$1:$E$613,_REF_Model_Content!$A$1:$A$613,'Company Profile'!$B$9,_REF_Model_Content!$B$1:$B$613,$C778)),1),"")</f>
        <v/>
      </c>
      <c r="AY778">
        <f>IF($L778="","",ROUND(IF($AP778="",$L778,$AP778)*IF($AX778="",1,$AX778),2))</f>
        <v/>
      </c>
      <c r="AZ778">
        <f>IF($S778="","",ROUND(IF($AQ778="",$S778,$AQ778)*IF($AX778="",1,$AX778),2))</f>
        <v/>
      </c>
      <c r="BB778">
        <f>IF($H778="","",IFERROR(INDEX('_ENGINE_Risk'!$AE$41:$AE$920,MATCH($E778,'_ENGINE_Risk'!$A$41:$A$920,0)),"Medium"))</f>
        <v/>
      </c>
      <c r="BC778">
        <f>IF($BB778="","",IF($BB778="Fast",1.25,IF($BB778="Slow",0.85,1)))</f>
        <v/>
      </c>
      <c r="BD778">
        <f>IF(OR($AZ778="",$BC778=""),"",ROUND($AZ778*$BC778,2))</f>
        <v/>
      </c>
      <c r="BF778">
        <f>IF(OR($H778="",$J778=""),"",_xlfn.IFNA(VLOOKUP($J778,_CONFIG_Model_Settings!$D$610:$E$614,2,0),""))</f>
        <v/>
      </c>
      <c r="BG778">
        <f>IF(OR($H778="",$K778=""),"",ROUND('Company Profile'!$B$569*INDEX(_CONFIG_Model_Settings!$H$610:$H$614,MATCH($K778,_CONFIG_Model_Settings!$G$610:$G$614,0)),0))</f>
        <v/>
      </c>
      <c r="BH778">
        <f>IF(OR($BF778="",$BG778=""),"",ROUND($BF778*$BG778,1))</f>
        <v/>
      </c>
      <c r="BI778">
        <f>IF($BH778="","",IF($AO778="",$BH778,ROUND($BH778*$AO778,1)))</f>
        <v/>
      </c>
      <c r="BJ778">
        <f>IF($E778="","",IFERROR(VLOOKUP($C778,'_CONFIG_Risk_Calibration'!$A$5:$H$21,2,FALSE),3))</f>
        <v/>
      </c>
      <c r="BK778">
        <f>IF($E778="","",IFERROR(VLOOKUP($C778,'_CONFIG_Risk_Calibration'!$A$5:$H$21,3,FALSE),0))</f>
        <v/>
      </c>
      <c r="BL778">
        <f>IF($E778="","",IFERROR(VLOOKUP($C778,'_CONFIG_Risk_Calibration'!$A$5:$H$21,4,FALSE),3))</f>
        <v/>
      </c>
      <c r="BM778">
        <f>IF($E778="","",IFERROR(VLOOKUP($C778,'_CONFIG_Risk_Calibration'!$A$5:$H$21,5,FALSE),3))</f>
        <v/>
      </c>
      <c r="BN778">
        <f>IF($E778="","",IFERROR(VLOOKUP($C778,'_CONFIG_Risk_Calibration'!$A$5:$H$21,6,FALSE),"No"))</f>
        <v/>
      </c>
      <c r="BO778">
        <f>IF($E778="","",IFERROR(VLOOKUP($C778,'_CONFIG_Risk_Calibration'!$A$5:$H$21,7,FALSE),1))</f>
        <v/>
      </c>
      <c r="BP778">
        <f>IF($H778="","",MAX(1,MIN(5,((6-$H778)*0.45)+($BJ778*0.20)+('Resilience &amp; Risk Scenario'!$B$7*0.15)+($BK778*0.10)+($BL778*0.05)+(IF($BB778="Fast",5,IF($BB778="Slow",1,3))*0.05))))</f>
        <v/>
      </c>
      <c r="BQ778">
        <f>IF($H778="","",MAX(IF($BN778="Yes",$BO778,1),MIN(5,($U778*0.20)+($V778*0.15)+($W778*0.25)+($X778*0.15)+($BJ778*0.10)+($BM778*0.15))))</f>
        <v/>
      </c>
      <c r="BR778">
        <f>IF(OR($BP778="",$BQ778=""),"",ROUND($BP778*$BQ778,2))</f>
        <v/>
      </c>
      <c r="BS778">
        <f>IF($BR778="","",ROUND($BR778*IF($AO778="",1,$AO778)*IF($AX778="",1,$AX778)*(1+(($BM778-3)*0.10))*IF($BC778="",1,$BC778),2))</f>
        <v/>
      </c>
    </row>
    <row r="779" ht="69.90000000000001" customHeight="1" s="209">
      <c r="A779">
        <f>IF($BD779="","",SUMPRODUCT(ISNUMBER($BD$500:$BD$923)*($BD$500:$BD$923&gt;$BD779))+COUNTIF($BD$500:$BD779,$BD779))</f>
        <v/>
      </c>
      <c r="B779">
        <f>IF($H779="","",IF($H779&lt;5,"Yes","Maintain"))</f>
        <v/>
      </c>
      <c r="C779" t="inlineStr">
        <is>
          <t>Marketing Comms</t>
        </is>
      </c>
      <c r="D779" t="inlineStr">
        <is>
          <t>Brand and market presence</t>
        </is>
      </c>
      <c r="E779" t="inlineStr">
        <is>
          <t>MARK-004</t>
        </is>
      </c>
      <c r="F779" t="inlineStr">
        <is>
          <t>Market communication and reputation resilience</t>
        </is>
      </c>
      <c r="G779">
        <f>IF($H779="","",IFERROR(INDEX('_ENGINE_Risk'!$H$41:$M$920,MATCH($E779,'_ENGINE_Risk'!$A$41:$A$920,0),$H779+1),""))</f>
        <v/>
      </c>
      <c r="H779">
        <f>IFERROR(VALUE(INDEX(_DATA_Assessment_Model!$H$5:$H$884,MATCH($E779,_DATA_Assessment_Model!$A$5:$A$884,0))),"")</f>
        <v/>
      </c>
      <c r="I779">
        <f>IF($H779="","",IFERROR(INDEX(_DATA_Assessment_Model!$L$5:$L$884,MATCH($E779,_DATA_Assessment_Model!$A$5:$A$884,0)),IF($H779&lt;=1,"Critical",IF($H779=2,"High",IF($H779=3,"Medium",IF($H779=4,"Low","Resilient"))))))</f>
        <v/>
      </c>
      <c r="J779">
        <f>IF($H779="","",MIN(5,MAX(1,6-$H779)))</f>
        <v/>
      </c>
      <c r="K779">
        <f>IF($H779="","",MAX(1,MIN(5,ROUNDUP(($U779*0.45)+($W779*0.35)+($X779*0.2),0))))</f>
        <v/>
      </c>
      <c r="L779">
        <f>IF($H779="","",$J779*$K779)</f>
        <v/>
      </c>
      <c r="M779">
        <f>IF($H779="","",MAX(1,MIN(5,ROUNDUP($L779/5,0))))</f>
        <v/>
      </c>
      <c r="N779">
        <f>IF($H779="","",IFERROR(INDEX('_ENGINE_Risk'!$T$41:$Y$920,MATCH($E779,'_ENGINE_Risk'!$A$41:$A$920,0),$H779+1),""))</f>
        <v/>
      </c>
      <c r="O779">
        <f>IF($H779="","",MAX(1,MIN(5,($U779+$V779+$X779)/3)))</f>
        <v/>
      </c>
      <c r="P779">
        <f>IF($H779="","",IF($I779="Critical",5,IF($I779="High",4,IF($I779="Medium",3,IF($I779="Low",2,1)))))</f>
        <v/>
      </c>
      <c r="Q779">
        <f>IF($H779="","",MAX(1,MIN(5,((5-$H779)*0.65)+($W779*0.35))))</f>
        <v/>
      </c>
      <c r="R779">
        <f>IF($H779="","",MAX(1,MIN(5,($V779+$X779)/2)))</f>
        <v/>
      </c>
      <c r="S779">
        <f>IF(OR($H779="",$N779=""),"",ROUND(($O779+$P779+$Q779+$R779)/$N779,2))</f>
        <v/>
      </c>
      <c r="T779">
        <f>IF($H779="","",IFERROR(INDEX('_ENGINE_Risk'!$N$41:$S$920,MATCH($E779,'_ENGINE_Risk'!$A$41:$A$920,0),$H779+1),""))</f>
        <v/>
      </c>
      <c r="U779">
        <f>IFERROR(INDEX(_DATA_Assessment_Model!$G$5:$G$884,MATCH($E779,_DATA_Assessment_Model!$A$5:$A$884,0)),"")</f>
        <v/>
      </c>
      <c r="V779">
        <f>IFERROR(INDEX(_DATA_Assessment_Model!$W$5:$W$884,MATCH($E779,_DATA_Assessment_Model!$A$5:$A$884,0)),"")</f>
        <v/>
      </c>
      <c r="W779">
        <f>IFERROR(INDEX(_DATA_Assessment_Model!$X$5:$X$884,MATCH($E779,_DATA_Assessment_Model!$A$5:$A$884,0)),"")</f>
        <v/>
      </c>
      <c r="X779">
        <f>IFERROR(INDEX(_DATA_Assessment_Model!$Y$5:$Y$884,MATCH($E779,_DATA_Assessment_Model!$A$5:$A$884,0)),"")</f>
        <v/>
      </c>
      <c r="Y779" t="inlineStr">
        <is>
          <t>Reputation crisis; Demand shock; IT outage</t>
        </is>
      </c>
      <c r="Z779" t="inlineStr">
        <is>
          <t>CMO / Communications</t>
        </is>
      </c>
      <c r="AA779" t="inlineStr">
        <is>
          <t>Policy/SOP; owner/RACI; system report; dashboard; contracts; test records; incident history; interview evidence related to campaign performance, attribution, conversion, CAC and channel ROI measurement.</t>
        </is>
      </c>
      <c r="AB779">
        <f>IFERROR(INDEX(_DATA_Assessment_Model!$U$5:$U$884,MATCH($E779,_DATA_Assessment_Model!$A$5:$A$884,0)),"")</f>
        <v/>
      </c>
      <c r="AF779" t="inlineStr">
        <is>
          <t>How mature is the organization in managing campaign performance, attribution, conversion, CAC and channel ROI measurement, including ownership, evidence, metrics, fallback procedures and crisis stress testing?</t>
        </is>
      </c>
      <c r="AO779">
        <f>IF($B779="Yes",IFERROR(INDEX(_ENGINE_Crisis!$F$501:$F$517,MATCH($C779,_ENGINE_Crisis!$A$501:$A$517,0)),1),"")</f>
        <v/>
      </c>
      <c r="AP779">
        <f>IF(AO779="","",ROUND($L779*AO779,1))</f>
        <v/>
      </c>
      <c r="AQ779">
        <f>IF(OR(AO779="",$S779=""),"",ROUND($S779*(0.7+0.3*AO779),2))</f>
        <v/>
      </c>
      <c r="AR779">
        <f>IFERROR(INDEX(_ENGINE_Crisis!$E$41:$E$700,MATCH('Resilience &amp; Risk Scenario'!$B$60&amp;"|"&amp;$C779,_ENGINE_Crisis!$I$41:$I$700,0)),"")</f>
        <v/>
      </c>
      <c r="AS779">
        <f>IFERROR(INDEX(_ENGINE_Crisis!$G$41:$G$700,MATCH('Resilience &amp; Risk Scenario'!$B$60&amp;"|"&amp;$C779,_ENGINE_Crisis!$I$41:$I$700,0)),"")</f>
        <v/>
      </c>
      <c r="AT779">
        <f>IFERROR(INDEX(_ENGINE_Initiatives!$A$5:$A$532,MATCH(1,INDEX((_ENGINE_Initiatives!$B$5:$B$532=$C779)*(_ENGINE_Initiatives!$C$5:$C$532=$D779),0),0)),"")</f>
        <v/>
      </c>
      <c r="AU779">
        <f>IFERROR(INDEX(_ENGINE_Initiatives!$F$5:$F$532,MATCH(1,INDEX((_ENGINE_Initiatives!$B$5:$B$532=$C779)*(_ENGINE_Initiatives!$C$5:$C$532=$D779),0),0)),"")</f>
        <v/>
      </c>
      <c r="AV779">
        <f>IFERROR(INDEX(_ENGINE_Initiatives!$AC$5:$AC$532,MATCH(1,INDEX((_ENGINE_Initiatives!$B$5:$B$532=$C779)*(_ENGINE_Initiatives!$C$5:$C$532=$D779),0),0)),"")</f>
        <v/>
      </c>
      <c r="AW779">
        <f>IFERROR(INDEX(_ENGINE_Initiatives!$AE$5:$AE$532,MATCH(1,INDEX((_ENGINE_Initiatives!$B$5:$B$532=$C779)*(_ENGINE_Initiatives!$C$5:$C$532=$D779),0),0)),"")</f>
        <v/>
      </c>
      <c r="AX779">
        <f>IF($B779="Yes",IFERROR(IF(SUMIFS(_REF_Model_Content!$E$1:$E$613,_REF_Model_Content!$A$1:$A$613,'Company Profile'!$B$9,_REF_Model_Content!$B$1:$B$613,$C779)=0,1,SUMIFS(_REF_Model_Content!$E$1:$E$613,_REF_Model_Content!$A$1:$A$613,'Company Profile'!$B$9,_REF_Model_Content!$B$1:$B$613,$C779)),1),"")</f>
        <v/>
      </c>
      <c r="AY779">
        <f>IF($L779="","",ROUND(IF($AP779="",$L779,$AP779)*IF($AX779="",1,$AX779),2))</f>
        <v/>
      </c>
      <c r="AZ779">
        <f>IF($S779="","",ROUND(IF($AQ779="",$S779,$AQ779)*IF($AX779="",1,$AX779),2))</f>
        <v/>
      </c>
      <c r="BB779">
        <f>IF($H779="","",IFERROR(INDEX('_ENGINE_Risk'!$AE$41:$AE$920,MATCH($E779,'_ENGINE_Risk'!$A$41:$A$920,0)),"Medium"))</f>
        <v/>
      </c>
      <c r="BC779">
        <f>IF($BB779="","",IF($BB779="Fast",1.25,IF($BB779="Slow",0.85,1)))</f>
        <v/>
      </c>
      <c r="BD779">
        <f>IF(OR($AZ779="",$BC779=""),"",ROUND($AZ779*$BC779,2))</f>
        <v/>
      </c>
      <c r="BF779">
        <f>IF(OR($H779="",$J779=""),"",_xlfn.IFNA(VLOOKUP($J779,_CONFIG_Model_Settings!$D$610:$E$614,2,0),""))</f>
        <v/>
      </c>
      <c r="BG779">
        <f>IF(OR($H779="",$K779=""),"",ROUND('Company Profile'!$B$569*INDEX(_CONFIG_Model_Settings!$H$610:$H$614,MATCH($K779,_CONFIG_Model_Settings!$G$610:$G$614,0)),0))</f>
        <v/>
      </c>
      <c r="BH779">
        <f>IF(OR($BF779="",$BG779=""),"",ROUND($BF779*$BG779,1))</f>
        <v/>
      </c>
      <c r="BI779">
        <f>IF($BH779="","",IF($AO779="",$BH779,ROUND($BH779*$AO779,1)))</f>
        <v/>
      </c>
      <c r="BJ779">
        <f>IF($E779="","",IFERROR(VLOOKUP($C779,'_CONFIG_Risk_Calibration'!$A$5:$H$21,2,FALSE),3))</f>
        <v/>
      </c>
      <c r="BK779">
        <f>IF($E779="","",IFERROR(VLOOKUP($C779,'_CONFIG_Risk_Calibration'!$A$5:$H$21,3,FALSE),0))</f>
        <v/>
      </c>
      <c r="BL779">
        <f>IF($E779="","",IFERROR(VLOOKUP($C779,'_CONFIG_Risk_Calibration'!$A$5:$H$21,4,FALSE),3))</f>
        <v/>
      </c>
      <c r="BM779">
        <f>IF($E779="","",IFERROR(VLOOKUP($C779,'_CONFIG_Risk_Calibration'!$A$5:$H$21,5,FALSE),3))</f>
        <v/>
      </c>
      <c r="BN779">
        <f>IF($E779="","",IFERROR(VLOOKUP($C779,'_CONFIG_Risk_Calibration'!$A$5:$H$21,6,FALSE),"No"))</f>
        <v/>
      </c>
      <c r="BO779">
        <f>IF($E779="","",IFERROR(VLOOKUP($C779,'_CONFIG_Risk_Calibration'!$A$5:$H$21,7,FALSE),1))</f>
        <v/>
      </c>
      <c r="BP779">
        <f>IF($H779="","",MAX(1,MIN(5,((6-$H779)*0.45)+($BJ779*0.20)+('Resilience &amp; Risk Scenario'!$B$7*0.15)+($BK779*0.10)+($BL779*0.05)+(IF($BB779="Fast",5,IF($BB779="Slow",1,3))*0.05))))</f>
        <v/>
      </c>
      <c r="BQ779">
        <f>IF($H779="","",MAX(IF($BN779="Yes",$BO779,1),MIN(5,($U779*0.20)+($V779*0.15)+($W779*0.25)+($X779*0.15)+($BJ779*0.10)+($BM779*0.15))))</f>
        <v/>
      </c>
      <c r="BR779">
        <f>IF(OR($BP779="",$BQ779=""),"",ROUND($BP779*$BQ779,2))</f>
        <v/>
      </c>
      <c r="BS779">
        <f>IF($BR779="","",ROUND($BR779*IF($AO779="",1,$AO779)*IF($AX779="",1,$AX779)*(1+(($BM779-3)*0.10))*IF($BC779="",1,$BC779),2))</f>
        <v/>
      </c>
    </row>
    <row r="780" ht="69.90000000000001" customHeight="1" s="209">
      <c r="A780">
        <f>IF($BD780="","",SUMPRODUCT(ISNUMBER($BD$500:$BD$923)*($BD$500:$BD$923&gt;$BD780))+COUNTIF($BD$500:$BD780,$BD780))</f>
        <v/>
      </c>
      <c r="B780">
        <f>IF($H780="","",IF($H780&lt;5,"Yes","Maintain"))</f>
        <v/>
      </c>
      <c r="C780" t="inlineStr">
        <is>
          <t>Marketing Comms</t>
        </is>
      </c>
      <c r="D780" t="inlineStr">
        <is>
          <t>Brand and market presence</t>
        </is>
      </c>
      <c r="E780" t="inlineStr">
        <is>
          <t>MARK-005</t>
        </is>
      </c>
      <c r="F780" t="inlineStr">
        <is>
          <t>Market communication and reputation resilience</t>
        </is>
      </c>
      <c r="G780">
        <f>IF($H780="","",IFERROR(INDEX('_ENGINE_Risk'!$H$41:$M$920,MATCH($E780,'_ENGINE_Risk'!$A$41:$A$920,0),$H780+1),""))</f>
        <v/>
      </c>
      <c r="H780">
        <f>IFERROR(VALUE(INDEX(_DATA_Assessment_Model!$H$5:$H$884,MATCH($E780,_DATA_Assessment_Model!$A$5:$A$884,0))),"")</f>
        <v/>
      </c>
      <c r="I780">
        <f>IF($H780="","",IFERROR(INDEX(_DATA_Assessment_Model!$L$5:$L$884,MATCH($E780,_DATA_Assessment_Model!$A$5:$A$884,0)),IF($H780&lt;=1,"Critical",IF($H780=2,"High",IF($H780=3,"Medium",IF($H780=4,"Low","Resilient"))))))</f>
        <v/>
      </c>
      <c r="J780">
        <f>IF($H780="","",MIN(5,MAX(1,6-$H780)))</f>
        <v/>
      </c>
      <c r="K780">
        <f>IF($H780="","",MAX(1,MIN(5,ROUNDUP(($U780*0.45)+($W780*0.35)+($X780*0.2),0))))</f>
        <v/>
      </c>
      <c r="L780">
        <f>IF($H780="","",$J780*$K780)</f>
        <v/>
      </c>
      <c r="M780">
        <f>IF($H780="","",MAX(1,MIN(5,ROUNDUP($L780/5,0))))</f>
        <v/>
      </c>
      <c r="N780">
        <f>IF($H780="","",IFERROR(INDEX('_ENGINE_Risk'!$T$41:$Y$920,MATCH($E780,'_ENGINE_Risk'!$A$41:$A$920,0),$H780+1),""))</f>
        <v/>
      </c>
      <c r="O780">
        <f>IF($H780="","",MAX(1,MIN(5,($U780+$V780+$X780)/3)))</f>
        <v/>
      </c>
      <c r="P780">
        <f>IF($H780="","",IF($I780="Critical",5,IF($I780="High",4,IF($I780="Medium",3,IF($I780="Low",2,1)))))</f>
        <v/>
      </c>
      <c r="Q780">
        <f>IF($H780="","",MAX(1,MIN(5,((5-$H780)*0.65)+($W780*0.35))))</f>
        <v/>
      </c>
      <c r="R780">
        <f>IF($H780="","",MAX(1,MIN(5,($V780+$X780)/2)))</f>
        <v/>
      </c>
      <c r="S780">
        <f>IF(OR($H780="",$N780=""),"",ROUND(($O780+$P780+$Q780+$R780)/$N780,2))</f>
        <v/>
      </c>
      <c r="T780">
        <f>IF($H780="","",IFERROR(INDEX('_ENGINE_Risk'!$N$41:$S$920,MATCH($E780,'_ENGINE_Risk'!$A$41:$A$920,0),$H780+1),""))</f>
        <v/>
      </c>
      <c r="U780">
        <f>IFERROR(INDEX(_DATA_Assessment_Model!$G$5:$G$884,MATCH($E780,_DATA_Assessment_Model!$A$5:$A$884,0)),"")</f>
        <v/>
      </c>
      <c r="V780">
        <f>IFERROR(INDEX(_DATA_Assessment_Model!$W$5:$W$884,MATCH($E780,_DATA_Assessment_Model!$A$5:$A$884,0)),"")</f>
        <v/>
      </c>
      <c r="W780">
        <f>IFERROR(INDEX(_DATA_Assessment_Model!$X$5:$X$884,MATCH($E780,_DATA_Assessment_Model!$A$5:$A$884,0)),"")</f>
        <v/>
      </c>
      <c r="X780">
        <f>IFERROR(INDEX(_DATA_Assessment_Model!$Y$5:$Y$884,MATCH($E780,_DATA_Assessment_Model!$A$5:$A$884,0)),"")</f>
        <v/>
      </c>
      <c r="Y780" t="inlineStr">
        <is>
          <t>Reputation crisis; Demand shock; IT outage</t>
        </is>
      </c>
      <c r="Z780" t="inlineStr">
        <is>
          <t>CMO / Communications</t>
        </is>
      </c>
      <c r="AA780" t="inlineStr">
        <is>
          <t>Policy/SOP; owner/RACI; system report; dashboard; contracts; test records; incident history; interview evidence related to lead capture, routing, qualification and follow-up resilience.</t>
        </is>
      </c>
      <c r="AB780">
        <f>IFERROR(INDEX(_DATA_Assessment_Model!$U$5:$U$884,MATCH($E780,_DATA_Assessment_Model!$A$5:$A$884,0)),"")</f>
        <v/>
      </c>
      <c r="AF780" t="inlineStr">
        <is>
          <t>How mature is the organization in managing lead capture, routing, qualification and follow-up resilience, including ownership, evidence, metrics, fallback procedures and crisis stress testing?</t>
        </is>
      </c>
      <c r="AO780">
        <f>IF($B780="Yes",IFERROR(INDEX(_ENGINE_Crisis!$F$501:$F$517,MATCH($C780,_ENGINE_Crisis!$A$501:$A$517,0)),1),"")</f>
        <v/>
      </c>
      <c r="AP780">
        <f>IF(AO780="","",ROUND($L780*AO780,1))</f>
        <v/>
      </c>
      <c r="AQ780">
        <f>IF(OR(AO780="",$S780=""),"",ROUND($S780*(0.7+0.3*AO780),2))</f>
        <v/>
      </c>
      <c r="AR780">
        <f>IFERROR(INDEX(_ENGINE_Crisis!$E$41:$E$700,MATCH('Resilience &amp; Risk Scenario'!$B$60&amp;"|"&amp;$C780,_ENGINE_Crisis!$I$41:$I$700,0)),"")</f>
        <v/>
      </c>
      <c r="AS780">
        <f>IFERROR(INDEX(_ENGINE_Crisis!$G$41:$G$700,MATCH('Resilience &amp; Risk Scenario'!$B$60&amp;"|"&amp;$C780,_ENGINE_Crisis!$I$41:$I$700,0)),"")</f>
        <v/>
      </c>
      <c r="AT780">
        <f>IFERROR(INDEX(_ENGINE_Initiatives!$A$5:$A$532,MATCH(1,INDEX((_ENGINE_Initiatives!$B$5:$B$532=$C780)*(_ENGINE_Initiatives!$C$5:$C$532=$D780),0),0)),"")</f>
        <v/>
      </c>
      <c r="AU780">
        <f>IFERROR(INDEX(_ENGINE_Initiatives!$F$5:$F$532,MATCH(1,INDEX((_ENGINE_Initiatives!$B$5:$B$532=$C780)*(_ENGINE_Initiatives!$C$5:$C$532=$D780),0),0)),"")</f>
        <v/>
      </c>
      <c r="AV780">
        <f>IFERROR(INDEX(_ENGINE_Initiatives!$AC$5:$AC$532,MATCH(1,INDEX((_ENGINE_Initiatives!$B$5:$B$532=$C780)*(_ENGINE_Initiatives!$C$5:$C$532=$D780),0),0)),"")</f>
        <v/>
      </c>
      <c r="AW780">
        <f>IFERROR(INDEX(_ENGINE_Initiatives!$AE$5:$AE$532,MATCH(1,INDEX((_ENGINE_Initiatives!$B$5:$B$532=$C780)*(_ENGINE_Initiatives!$C$5:$C$532=$D780),0),0)),"")</f>
        <v/>
      </c>
      <c r="AX780">
        <f>IF($B780="Yes",IFERROR(IF(SUMIFS(_REF_Model_Content!$E$1:$E$613,_REF_Model_Content!$A$1:$A$613,'Company Profile'!$B$9,_REF_Model_Content!$B$1:$B$613,$C780)=0,1,SUMIFS(_REF_Model_Content!$E$1:$E$613,_REF_Model_Content!$A$1:$A$613,'Company Profile'!$B$9,_REF_Model_Content!$B$1:$B$613,$C780)),1),"")</f>
        <v/>
      </c>
      <c r="AY780">
        <f>IF($L780="","",ROUND(IF($AP780="",$L780,$AP780)*IF($AX780="",1,$AX780),2))</f>
        <v/>
      </c>
      <c r="AZ780">
        <f>IF($S780="","",ROUND(IF($AQ780="",$S780,$AQ780)*IF($AX780="",1,$AX780),2))</f>
        <v/>
      </c>
      <c r="BB780">
        <f>IF($H780="","",IFERROR(INDEX('_ENGINE_Risk'!$AE$41:$AE$920,MATCH($E780,'_ENGINE_Risk'!$A$41:$A$920,0)),"Medium"))</f>
        <v/>
      </c>
      <c r="BC780">
        <f>IF($BB780="","",IF($BB780="Fast",1.25,IF($BB780="Slow",0.85,1)))</f>
        <v/>
      </c>
      <c r="BD780">
        <f>IF(OR($AZ780="",$BC780=""),"",ROUND($AZ780*$BC780,2))</f>
        <v/>
      </c>
      <c r="BF780">
        <f>IF(OR($H780="",$J780=""),"",_xlfn.IFNA(VLOOKUP($J780,_CONFIG_Model_Settings!$D$610:$E$614,2,0),""))</f>
        <v/>
      </c>
      <c r="BG780">
        <f>IF(OR($H780="",$K780=""),"",ROUND('Company Profile'!$B$569*INDEX(_CONFIG_Model_Settings!$H$610:$H$614,MATCH($K780,_CONFIG_Model_Settings!$G$610:$G$614,0)),0))</f>
        <v/>
      </c>
      <c r="BH780">
        <f>IF(OR($BF780="",$BG780=""),"",ROUND($BF780*$BG780,1))</f>
        <v/>
      </c>
      <c r="BI780">
        <f>IF($BH780="","",IF($AO780="",$BH780,ROUND($BH780*$AO780,1)))</f>
        <v/>
      </c>
      <c r="BJ780">
        <f>IF($E780="","",IFERROR(VLOOKUP($C780,'_CONFIG_Risk_Calibration'!$A$5:$H$21,2,FALSE),3))</f>
        <v/>
      </c>
      <c r="BK780">
        <f>IF($E780="","",IFERROR(VLOOKUP($C780,'_CONFIG_Risk_Calibration'!$A$5:$H$21,3,FALSE),0))</f>
        <v/>
      </c>
      <c r="BL780">
        <f>IF($E780="","",IFERROR(VLOOKUP($C780,'_CONFIG_Risk_Calibration'!$A$5:$H$21,4,FALSE),3))</f>
        <v/>
      </c>
      <c r="BM780">
        <f>IF($E780="","",IFERROR(VLOOKUP($C780,'_CONFIG_Risk_Calibration'!$A$5:$H$21,5,FALSE),3))</f>
        <v/>
      </c>
      <c r="BN780">
        <f>IF($E780="","",IFERROR(VLOOKUP($C780,'_CONFIG_Risk_Calibration'!$A$5:$H$21,6,FALSE),"No"))</f>
        <v/>
      </c>
      <c r="BO780">
        <f>IF($E780="","",IFERROR(VLOOKUP($C780,'_CONFIG_Risk_Calibration'!$A$5:$H$21,7,FALSE),1))</f>
        <v/>
      </c>
      <c r="BP780">
        <f>IF($H780="","",MAX(1,MIN(5,((6-$H780)*0.45)+($BJ780*0.20)+('Resilience &amp; Risk Scenario'!$B$7*0.15)+($BK780*0.10)+($BL780*0.05)+(IF($BB780="Fast",5,IF($BB780="Slow",1,3))*0.05))))</f>
        <v/>
      </c>
      <c r="BQ780">
        <f>IF($H780="","",MAX(IF($BN780="Yes",$BO780,1),MIN(5,($U780*0.20)+($V780*0.15)+($W780*0.25)+($X780*0.15)+($BJ780*0.10)+($BM780*0.15))))</f>
        <v/>
      </c>
      <c r="BR780">
        <f>IF(OR($BP780="",$BQ780=""),"",ROUND($BP780*$BQ780,2))</f>
        <v/>
      </c>
      <c r="BS780">
        <f>IF($BR780="","",ROUND($BR780*IF($AO780="",1,$AO780)*IF($AX780="",1,$AX780)*(1+(($BM780-3)*0.10))*IF($BC780="",1,$BC780),2))</f>
        <v/>
      </c>
    </row>
    <row r="781" ht="69.90000000000001" customHeight="1" s="209">
      <c r="A781">
        <f>IF($BD781="","",SUMPRODUCT(ISNUMBER($BD$500:$BD$923)*($BD$500:$BD$923&gt;$BD781))+COUNTIF($BD$500:$BD781,$BD781))</f>
        <v/>
      </c>
      <c r="B781">
        <f>IF($H781="","",IF($H781&lt;5,"Yes","Maintain"))</f>
        <v/>
      </c>
      <c r="C781" t="inlineStr">
        <is>
          <t>Marketing Comms</t>
        </is>
      </c>
      <c r="D781" t="inlineStr">
        <is>
          <t>Crisis communication</t>
        </is>
      </c>
      <c r="E781" t="inlineStr">
        <is>
          <t>MARK-006</t>
        </is>
      </c>
      <c r="F781" t="inlineStr">
        <is>
          <t>Market communication and reputation resilience</t>
        </is>
      </c>
      <c r="G781">
        <f>IF($H781="","",IFERROR(INDEX('_ENGINE_Risk'!$H$41:$M$920,MATCH($E781,'_ENGINE_Risk'!$A$41:$A$920,0),$H781+1),""))</f>
        <v/>
      </c>
      <c r="H781">
        <f>IFERROR(VALUE(INDEX(_DATA_Assessment_Model!$H$5:$H$884,MATCH($E781,_DATA_Assessment_Model!$A$5:$A$884,0))),"")</f>
        <v/>
      </c>
      <c r="I781">
        <f>IF($H781="","",IFERROR(INDEX(_DATA_Assessment_Model!$L$5:$L$884,MATCH($E781,_DATA_Assessment_Model!$A$5:$A$884,0)),IF($H781&lt;=1,"Critical",IF($H781=2,"High",IF($H781=3,"Medium",IF($H781=4,"Low","Resilient"))))))</f>
        <v/>
      </c>
      <c r="J781">
        <f>IF($H781="","",MIN(5,MAX(1,6-$H781)))</f>
        <v/>
      </c>
      <c r="K781">
        <f>IF($H781="","",MAX(1,MIN(5,ROUNDUP(($U781*0.45)+($W781*0.35)+($X781*0.2),0))))</f>
        <v/>
      </c>
      <c r="L781">
        <f>IF($H781="","",$J781*$K781)</f>
        <v/>
      </c>
      <c r="M781">
        <f>IF($H781="","",MAX(1,MIN(5,ROUNDUP($L781/5,0))))</f>
        <v/>
      </c>
      <c r="N781">
        <f>IF($H781="","",IFERROR(INDEX('_ENGINE_Risk'!$T$41:$Y$920,MATCH($E781,'_ENGINE_Risk'!$A$41:$A$920,0),$H781+1),""))</f>
        <v/>
      </c>
      <c r="O781">
        <f>IF($H781="","",MAX(1,MIN(5,($U781+$V781+$X781)/3)))</f>
        <v/>
      </c>
      <c r="P781">
        <f>IF($H781="","",IF($I781="Critical",5,IF($I781="High",4,IF($I781="Medium",3,IF($I781="Low",2,1)))))</f>
        <v/>
      </c>
      <c r="Q781">
        <f>IF($H781="","",MAX(1,MIN(5,((5-$H781)*0.65)+($W781*0.35))))</f>
        <v/>
      </c>
      <c r="R781">
        <f>IF($H781="","",MAX(1,MIN(5,($V781+$X781)/2)))</f>
        <v/>
      </c>
      <c r="S781">
        <f>IF(OR($H781="",$N781=""),"",ROUND(($O781+$P781+$Q781+$R781)/$N781,2))</f>
        <v/>
      </c>
      <c r="T781">
        <f>IF($H781="","",IFERROR(INDEX('_ENGINE_Risk'!$N$41:$S$920,MATCH($E781,'_ENGINE_Risk'!$A$41:$A$920,0),$H781+1),""))</f>
        <v/>
      </c>
      <c r="U781">
        <f>IFERROR(INDEX(_DATA_Assessment_Model!$G$5:$G$884,MATCH($E781,_DATA_Assessment_Model!$A$5:$A$884,0)),"")</f>
        <v/>
      </c>
      <c r="V781">
        <f>IFERROR(INDEX(_DATA_Assessment_Model!$W$5:$W$884,MATCH($E781,_DATA_Assessment_Model!$A$5:$A$884,0)),"")</f>
        <v/>
      </c>
      <c r="W781">
        <f>IFERROR(INDEX(_DATA_Assessment_Model!$X$5:$X$884,MATCH($E781,_DATA_Assessment_Model!$A$5:$A$884,0)),"")</f>
        <v/>
      </c>
      <c r="X781">
        <f>IFERROR(INDEX(_DATA_Assessment_Model!$Y$5:$Y$884,MATCH($E781,_DATA_Assessment_Model!$A$5:$A$884,0)),"")</f>
        <v/>
      </c>
      <c r="Y781" t="inlineStr">
        <is>
          <t>Reputation crisis; Demand shock; IT outage</t>
        </is>
      </c>
      <c r="Z781" t="inlineStr">
        <is>
          <t>CMO / Communications</t>
        </is>
      </c>
      <c r="AA781" t="inlineStr">
        <is>
          <t>Policy/SOP; owner/RACI; system report; dashboard; contracts; test records; incident history; interview evidence related to approved crisis communication templates for customers, employees, media, regulators and partners.</t>
        </is>
      </c>
      <c r="AB781">
        <f>IFERROR(INDEX(_DATA_Assessment_Model!$U$5:$U$884,MATCH($E781,_DATA_Assessment_Model!$A$5:$A$884,0)),"")</f>
        <v/>
      </c>
      <c r="AF781" t="inlineStr">
        <is>
          <t>How mature is the organization in managing approved crisis communication templates for customers, employees, media, regulators and partners, including ownership, evidence, metrics, fallback procedures and crisis stress testing?</t>
        </is>
      </c>
      <c r="AO781">
        <f>IF($B781="Yes",IFERROR(INDEX(_ENGINE_Crisis!$F$501:$F$517,MATCH($C781,_ENGINE_Crisis!$A$501:$A$517,0)),1),"")</f>
        <v/>
      </c>
      <c r="AP781">
        <f>IF(AO781="","",ROUND($L781*AO781,1))</f>
        <v/>
      </c>
      <c r="AQ781">
        <f>IF(OR(AO781="",$S781=""),"",ROUND($S781*(0.7+0.3*AO781),2))</f>
        <v/>
      </c>
      <c r="AR781">
        <f>IFERROR(INDEX(_ENGINE_Crisis!$E$41:$E$700,MATCH('Resilience &amp; Risk Scenario'!$B$60&amp;"|"&amp;$C781,_ENGINE_Crisis!$I$41:$I$700,0)),"")</f>
        <v/>
      </c>
      <c r="AS781">
        <f>IFERROR(INDEX(_ENGINE_Crisis!$G$41:$G$700,MATCH('Resilience &amp; Risk Scenario'!$B$60&amp;"|"&amp;$C781,_ENGINE_Crisis!$I$41:$I$700,0)),"")</f>
        <v/>
      </c>
      <c r="AT781">
        <f>IFERROR(INDEX(_ENGINE_Initiatives!$A$5:$A$532,MATCH(1,INDEX((_ENGINE_Initiatives!$B$5:$B$532=$C781)*(_ENGINE_Initiatives!$C$5:$C$532=$D781),0),0)),"")</f>
        <v/>
      </c>
      <c r="AU781">
        <f>IFERROR(INDEX(_ENGINE_Initiatives!$F$5:$F$532,MATCH(1,INDEX((_ENGINE_Initiatives!$B$5:$B$532=$C781)*(_ENGINE_Initiatives!$C$5:$C$532=$D781),0),0)),"")</f>
        <v/>
      </c>
      <c r="AV781">
        <f>IFERROR(INDEX(_ENGINE_Initiatives!$AC$5:$AC$532,MATCH(1,INDEX((_ENGINE_Initiatives!$B$5:$B$532=$C781)*(_ENGINE_Initiatives!$C$5:$C$532=$D781),0),0)),"")</f>
        <v/>
      </c>
      <c r="AW781">
        <f>IFERROR(INDEX(_ENGINE_Initiatives!$AE$5:$AE$532,MATCH(1,INDEX((_ENGINE_Initiatives!$B$5:$B$532=$C781)*(_ENGINE_Initiatives!$C$5:$C$532=$D781),0),0)),"")</f>
        <v/>
      </c>
      <c r="AX781">
        <f>IF($B781="Yes",IFERROR(IF(SUMIFS(_REF_Model_Content!$E$1:$E$613,_REF_Model_Content!$A$1:$A$613,'Company Profile'!$B$9,_REF_Model_Content!$B$1:$B$613,$C781)=0,1,SUMIFS(_REF_Model_Content!$E$1:$E$613,_REF_Model_Content!$A$1:$A$613,'Company Profile'!$B$9,_REF_Model_Content!$B$1:$B$613,$C781)),1),"")</f>
        <v/>
      </c>
      <c r="AY781">
        <f>IF($L781="","",ROUND(IF($AP781="",$L781,$AP781)*IF($AX781="",1,$AX781),2))</f>
        <v/>
      </c>
      <c r="AZ781">
        <f>IF($S781="","",ROUND(IF($AQ781="",$S781,$AQ781)*IF($AX781="",1,$AX781),2))</f>
        <v/>
      </c>
      <c r="BB781">
        <f>IF($H781="","",IFERROR(INDEX('_ENGINE_Risk'!$AE$41:$AE$920,MATCH($E781,'_ENGINE_Risk'!$A$41:$A$920,0)),"Medium"))</f>
        <v/>
      </c>
      <c r="BC781">
        <f>IF($BB781="","",IF($BB781="Fast",1.25,IF($BB781="Slow",0.85,1)))</f>
        <v/>
      </c>
      <c r="BD781">
        <f>IF(OR($AZ781="",$BC781=""),"",ROUND($AZ781*$BC781,2))</f>
        <v/>
      </c>
      <c r="BF781">
        <f>IF(OR($H781="",$J781=""),"",_xlfn.IFNA(VLOOKUP($J781,_CONFIG_Model_Settings!$D$610:$E$614,2,0),""))</f>
        <v/>
      </c>
      <c r="BG781">
        <f>IF(OR($H781="",$K781=""),"",ROUND('Company Profile'!$B$569*INDEX(_CONFIG_Model_Settings!$H$610:$H$614,MATCH($K781,_CONFIG_Model_Settings!$G$610:$G$614,0)),0))</f>
        <v/>
      </c>
      <c r="BH781">
        <f>IF(OR($BF781="",$BG781=""),"",ROUND($BF781*$BG781,1))</f>
        <v/>
      </c>
      <c r="BI781">
        <f>IF($BH781="","",IF($AO781="",$BH781,ROUND($BH781*$AO781,1)))</f>
        <v/>
      </c>
      <c r="BJ781">
        <f>IF($E781="","",IFERROR(VLOOKUP($C781,'_CONFIG_Risk_Calibration'!$A$5:$H$21,2,FALSE),3))</f>
        <v/>
      </c>
      <c r="BK781">
        <f>IF($E781="","",IFERROR(VLOOKUP($C781,'_CONFIG_Risk_Calibration'!$A$5:$H$21,3,FALSE),0))</f>
        <v/>
      </c>
      <c r="BL781">
        <f>IF($E781="","",IFERROR(VLOOKUP($C781,'_CONFIG_Risk_Calibration'!$A$5:$H$21,4,FALSE),3))</f>
        <v/>
      </c>
      <c r="BM781">
        <f>IF($E781="","",IFERROR(VLOOKUP($C781,'_CONFIG_Risk_Calibration'!$A$5:$H$21,5,FALSE),3))</f>
        <v/>
      </c>
      <c r="BN781">
        <f>IF($E781="","",IFERROR(VLOOKUP($C781,'_CONFIG_Risk_Calibration'!$A$5:$H$21,6,FALSE),"No"))</f>
        <v/>
      </c>
      <c r="BO781">
        <f>IF($E781="","",IFERROR(VLOOKUP($C781,'_CONFIG_Risk_Calibration'!$A$5:$H$21,7,FALSE),1))</f>
        <v/>
      </c>
      <c r="BP781">
        <f>IF($H781="","",MAX(1,MIN(5,((6-$H781)*0.45)+($BJ781*0.20)+('Resilience &amp; Risk Scenario'!$B$7*0.15)+($BK781*0.10)+($BL781*0.05)+(IF($BB781="Fast",5,IF($BB781="Slow",1,3))*0.05))))</f>
        <v/>
      </c>
      <c r="BQ781">
        <f>IF($H781="","",MAX(IF($BN781="Yes",$BO781,1),MIN(5,($U781*0.20)+($V781*0.15)+($W781*0.25)+($X781*0.15)+($BJ781*0.10)+($BM781*0.15))))</f>
        <v/>
      </c>
      <c r="BR781">
        <f>IF(OR($BP781="",$BQ781=""),"",ROUND($BP781*$BQ781,2))</f>
        <v/>
      </c>
      <c r="BS781">
        <f>IF($BR781="","",ROUND($BR781*IF($AO781="",1,$AO781)*IF($AX781="",1,$AX781)*(1+(($BM781-3)*0.10))*IF($BC781="",1,$BC781),2))</f>
        <v/>
      </c>
    </row>
    <row r="782" ht="69.90000000000001" customHeight="1" s="209">
      <c r="A782">
        <f>IF($BD782="","",SUMPRODUCT(ISNUMBER($BD$500:$BD$923)*($BD$500:$BD$923&gt;$BD782))+COUNTIF($BD$500:$BD782,$BD782))</f>
        <v/>
      </c>
      <c r="B782">
        <f>IF($H782="","",IF($H782&lt;5,"Yes","Maintain"))</f>
        <v/>
      </c>
      <c r="C782" t="inlineStr">
        <is>
          <t>Marketing Comms</t>
        </is>
      </c>
      <c r="D782" t="inlineStr">
        <is>
          <t>Crisis communication</t>
        </is>
      </c>
      <c r="E782" t="inlineStr">
        <is>
          <t>MARK-007</t>
        </is>
      </c>
      <c r="F782" t="inlineStr">
        <is>
          <t>Market communication and reputation resilience</t>
        </is>
      </c>
      <c r="G782">
        <f>IF($H782="","",IFERROR(INDEX('_ENGINE_Risk'!$H$41:$M$920,MATCH($E782,'_ENGINE_Risk'!$A$41:$A$920,0),$H782+1),""))</f>
        <v/>
      </c>
      <c r="H782">
        <f>IFERROR(VALUE(INDEX(_DATA_Assessment_Model!$H$5:$H$884,MATCH($E782,_DATA_Assessment_Model!$A$5:$A$884,0))),"")</f>
        <v/>
      </c>
      <c r="I782">
        <f>IF($H782="","",IFERROR(INDEX(_DATA_Assessment_Model!$L$5:$L$884,MATCH($E782,_DATA_Assessment_Model!$A$5:$A$884,0)),IF($H782&lt;=1,"Critical",IF($H782=2,"High",IF($H782=3,"Medium",IF($H782=4,"Low","Resilient"))))))</f>
        <v/>
      </c>
      <c r="J782">
        <f>IF($H782="","",MIN(5,MAX(1,6-$H782)))</f>
        <v/>
      </c>
      <c r="K782">
        <f>IF($H782="","",MAX(1,MIN(5,ROUNDUP(($U782*0.45)+($W782*0.35)+($X782*0.2),0))))</f>
        <v/>
      </c>
      <c r="L782">
        <f>IF($H782="","",$J782*$K782)</f>
        <v/>
      </c>
      <c r="M782">
        <f>IF($H782="","",MAX(1,MIN(5,ROUNDUP($L782/5,0))))</f>
        <v/>
      </c>
      <c r="N782">
        <f>IF($H782="","",IFERROR(INDEX('_ENGINE_Risk'!$T$41:$Y$920,MATCH($E782,'_ENGINE_Risk'!$A$41:$A$920,0),$H782+1),""))</f>
        <v/>
      </c>
      <c r="O782">
        <f>IF($H782="","",MAX(1,MIN(5,($U782+$V782+$X782)/3)))</f>
        <v/>
      </c>
      <c r="P782">
        <f>IF($H782="","",IF($I782="Critical",5,IF($I782="High",4,IF($I782="Medium",3,IF($I782="Low",2,1)))))</f>
        <v/>
      </c>
      <c r="Q782">
        <f>IF($H782="","",MAX(1,MIN(5,((5-$H782)*0.65)+($W782*0.35))))</f>
        <v/>
      </c>
      <c r="R782">
        <f>IF($H782="","",MAX(1,MIN(5,($V782+$X782)/2)))</f>
        <v/>
      </c>
      <c r="S782">
        <f>IF(OR($H782="",$N782=""),"",ROUND(($O782+$P782+$Q782+$R782)/$N782,2))</f>
        <v/>
      </c>
      <c r="T782">
        <f>IF($H782="","",IFERROR(INDEX('_ENGINE_Risk'!$N$41:$S$920,MATCH($E782,'_ENGINE_Risk'!$A$41:$A$920,0),$H782+1),""))</f>
        <v/>
      </c>
      <c r="U782">
        <f>IFERROR(INDEX(_DATA_Assessment_Model!$G$5:$G$884,MATCH($E782,_DATA_Assessment_Model!$A$5:$A$884,0)),"")</f>
        <v/>
      </c>
      <c r="V782">
        <f>IFERROR(INDEX(_DATA_Assessment_Model!$W$5:$W$884,MATCH($E782,_DATA_Assessment_Model!$A$5:$A$884,0)),"")</f>
        <v/>
      </c>
      <c r="W782">
        <f>IFERROR(INDEX(_DATA_Assessment_Model!$X$5:$X$884,MATCH($E782,_DATA_Assessment_Model!$A$5:$A$884,0)),"")</f>
        <v/>
      </c>
      <c r="X782">
        <f>IFERROR(INDEX(_DATA_Assessment_Model!$Y$5:$Y$884,MATCH($E782,_DATA_Assessment_Model!$A$5:$A$884,0)),"")</f>
        <v/>
      </c>
      <c r="Y782" t="inlineStr">
        <is>
          <t>Reputation crisis; Demand shock; IT outage</t>
        </is>
      </c>
      <c r="Z782" t="inlineStr">
        <is>
          <t>CMO / Communications</t>
        </is>
      </c>
      <c r="AA782" t="inlineStr">
        <is>
          <t>Policy/SOP; owner/RACI; system report; dashboard; contracts; test records; incident history; interview evidence related to spokesperson identification, media training and backup coverage.</t>
        </is>
      </c>
      <c r="AB782">
        <f>IFERROR(INDEX(_DATA_Assessment_Model!$U$5:$U$884,MATCH($E782,_DATA_Assessment_Model!$A$5:$A$884,0)),"")</f>
        <v/>
      </c>
      <c r="AF782" t="inlineStr">
        <is>
          <t>How mature is the organization in managing spokesperson identification, media training and backup coverage, including ownership, evidence, metrics, fallback procedures and crisis stress testing?</t>
        </is>
      </c>
      <c r="AO782">
        <f>IF($B782="Yes",IFERROR(INDEX(_ENGINE_Crisis!$F$501:$F$517,MATCH($C782,_ENGINE_Crisis!$A$501:$A$517,0)),1),"")</f>
        <v/>
      </c>
      <c r="AP782">
        <f>IF(AO782="","",ROUND($L782*AO782,1))</f>
        <v/>
      </c>
      <c r="AQ782">
        <f>IF(OR(AO782="",$S782=""),"",ROUND($S782*(0.7+0.3*AO782),2))</f>
        <v/>
      </c>
      <c r="AR782">
        <f>IFERROR(INDEX(_ENGINE_Crisis!$E$41:$E$700,MATCH('Resilience &amp; Risk Scenario'!$B$60&amp;"|"&amp;$C782,_ENGINE_Crisis!$I$41:$I$700,0)),"")</f>
        <v/>
      </c>
      <c r="AS782">
        <f>IFERROR(INDEX(_ENGINE_Crisis!$G$41:$G$700,MATCH('Resilience &amp; Risk Scenario'!$B$60&amp;"|"&amp;$C782,_ENGINE_Crisis!$I$41:$I$700,0)),"")</f>
        <v/>
      </c>
      <c r="AT782">
        <f>IFERROR(INDEX(_ENGINE_Initiatives!$A$5:$A$532,MATCH(1,INDEX((_ENGINE_Initiatives!$B$5:$B$532=$C782)*(_ENGINE_Initiatives!$C$5:$C$532=$D782),0),0)),"")</f>
        <v/>
      </c>
      <c r="AU782">
        <f>IFERROR(INDEX(_ENGINE_Initiatives!$F$5:$F$532,MATCH(1,INDEX((_ENGINE_Initiatives!$B$5:$B$532=$C782)*(_ENGINE_Initiatives!$C$5:$C$532=$D782),0),0)),"")</f>
        <v/>
      </c>
      <c r="AV782">
        <f>IFERROR(INDEX(_ENGINE_Initiatives!$AC$5:$AC$532,MATCH(1,INDEX((_ENGINE_Initiatives!$B$5:$B$532=$C782)*(_ENGINE_Initiatives!$C$5:$C$532=$D782),0),0)),"")</f>
        <v/>
      </c>
      <c r="AW782">
        <f>IFERROR(INDEX(_ENGINE_Initiatives!$AE$5:$AE$532,MATCH(1,INDEX((_ENGINE_Initiatives!$B$5:$B$532=$C782)*(_ENGINE_Initiatives!$C$5:$C$532=$D782),0),0)),"")</f>
        <v/>
      </c>
      <c r="AX782">
        <f>IF($B782="Yes",IFERROR(IF(SUMIFS(_REF_Model_Content!$E$1:$E$613,_REF_Model_Content!$A$1:$A$613,'Company Profile'!$B$9,_REF_Model_Content!$B$1:$B$613,$C782)=0,1,SUMIFS(_REF_Model_Content!$E$1:$E$613,_REF_Model_Content!$A$1:$A$613,'Company Profile'!$B$9,_REF_Model_Content!$B$1:$B$613,$C782)),1),"")</f>
        <v/>
      </c>
      <c r="AY782">
        <f>IF($L782="","",ROUND(IF($AP782="",$L782,$AP782)*IF($AX782="",1,$AX782),2))</f>
        <v/>
      </c>
      <c r="AZ782">
        <f>IF($S782="","",ROUND(IF($AQ782="",$S782,$AQ782)*IF($AX782="",1,$AX782),2))</f>
        <v/>
      </c>
      <c r="BB782">
        <f>IF($H782="","",IFERROR(INDEX('_ENGINE_Risk'!$AE$41:$AE$920,MATCH($E782,'_ENGINE_Risk'!$A$41:$A$920,0)),"Medium"))</f>
        <v/>
      </c>
      <c r="BC782">
        <f>IF($BB782="","",IF($BB782="Fast",1.25,IF($BB782="Slow",0.85,1)))</f>
        <v/>
      </c>
      <c r="BD782">
        <f>IF(OR($AZ782="",$BC782=""),"",ROUND($AZ782*$BC782,2))</f>
        <v/>
      </c>
      <c r="BF782">
        <f>IF(OR($H782="",$J782=""),"",_xlfn.IFNA(VLOOKUP($J782,_CONFIG_Model_Settings!$D$610:$E$614,2,0),""))</f>
        <v/>
      </c>
      <c r="BG782">
        <f>IF(OR($H782="",$K782=""),"",ROUND('Company Profile'!$B$569*INDEX(_CONFIG_Model_Settings!$H$610:$H$614,MATCH($K782,_CONFIG_Model_Settings!$G$610:$G$614,0)),0))</f>
        <v/>
      </c>
      <c r="BH782">
        <f>IF(OR($BF782="",$BG782=""),"",ROUND($BF782*$BG782,1))</f>
        <v/>
      </c>
      <c r="BI782">
        <f>IF($BH782="","",IF($AO782="",$BH782,ROUND($BH782*$AO782,1)))</f>
        <v/>
      </c>
      <c r="BJ782">
        <f>IF($E782="","",IFERROR(VLOOKUP($C782,'_CONFIG_Risk_Calibration'!$A$5:$H$21,2,FALSE),3))</f>
        <v/>
      </c>
      <c r="BK782">
        <f>IF($E782="","",IFERROR(VLOOKUP($C782,'_CONFIG_Risk_Calibration'!$A$5:$H$21,3,FALSE),0))</f>
        <v/>
      </c>
      <c r="BL782">
        <f>IF($E782="","",IFERROR(VLOOKUP($C782,'_CONFIG_Risk_Calibration'!$A$5:$H$21,4,FALSE),3))</f>
        <v/>
      </c>
      <c r="BM782">
        <f>IF($E782="","",IFERROR(VLOOKUP($C782,'_CONFIG_Risk_Calibration'!$A$5:$H$21,5,FALSE),3))</f>
        <v/>
      </c>
      <c r="BN782">
        <f>IF($E782="","",IFERROR(VLOOKUP($C782,'_CONFIG_Risk_Calibration'!$A$5:$H$21,6,FALSE),"No"))</f>
        <v/>
      </c>
      <c r="BO782">
        <f>IF($E782="","",IFERROR(VLOOKUP($C782,'_CONFIG_Risk_Calibration'!$A$5:$H$21,7,FALSE),1))</f>
        <v/>
      </c>
      <c r="BP782">
        <f>IF($H782="","",MAX(1,MIN(5,((6-$H782)*0.45)+($BJ782*0.20)+('Resilience &amp; Risk Scenario'!$B$7*0.15)+($BK782*0.10)+($BL782*0.05)+(IF($BB782="Fast",5,IF($BB782="Slow",1,3))*0.05))))</f>
        <v/>
      </c>
      <c r="BQ782">
        <f>IF($H782="","",MAX(IF($BN782="Yes",$BO782,1),MIN(5,($U782*0.20)+($V782*0.15)+($W782*0.25)+($X782*0.15)+($BJ782*0.10)+($BM782*0.15))))</f>
        <v/>
      </c>
      <c r="BR782">
        <f>IF(OR($BP782="",$BQ782=""),"",ROUND($BP782*$BQ782,2))</f>
        <v/>
      </c>
      <c r="BS782">
        <f>IF($BR782="","",ROUND($BR782*IF($AO782="",1,$AO782)*IF($AX782="",1,$AX782)*(1+(($BM782-3)*0.10))*IF($BC782="",1,$BC782),2))</f>
        <v/>
      </c>
    </row>
    <row r="783" ht="69.90000000000001" customHeight="1" s="209">
      <c r="A783">
        <f>IF($BD783="","",SUMPRODUCT(ISNUMBER($BD$500:$BD$923)*($BD$500:$BD$923&gt;$BD783))+COUNTIF($BD$500:$BD783,$BD783))</f>
        <v/>
      </c>
      <c r="B783">
        <f>IF($H783="","",IF($H783&lt;5,"Yes","Maintain"))</f>
        <v/>
      </c>
      <c r="C783" t="inlineStr">
        <is>
          <t>Marketing Comms</t>
        </is>
      </c>
      <c r="D783" t="inlineStr">
        <is>
          <t>Crisis communication</t>
        </is>
      </c>
      <c r="E783" t="inlineStr">
        <is>
          <t>MARK-008</t>
        </is>
      </c>
      <c r="F783" t="inlineStr">
        <is>
          <t>Market communication and reputation resilience</t>
        </is>
      </c>
      <c r="G783">
        <f>IF($H783="","",IFERROR(INDEX('_ENGINE_Risk'!$H$41:$M$920,MATCH($E783,'_ENGINE_Risk'!$A$41:$A$920,0),$H783+1),""))</f>
        <v/>
      </c>
      <c r="H783">
        <f>IFERROR(VALUE(INDEX(_DATA_Assessment_Model!$H$5:$H$884,MATCH($E783,_DATA_Assessment_Model!$A$5:$A$884,0))),"")</f>
        <v/>
      </c>
      <c r="I783">
        <f>IF($H783="","",IFERROR(INDEX(_DATA_Assessment_Model!$L$5:$L$884,MATCH($E783,_DATA_Assessment_Model!$A$5:$A$884,0)),IF($H783&lt;=1,"Critical",IF($H783=2,"High",IF($H783=3,"Medium",IF($H783=4,"Low","Resilient"))))))</f>
        <v/>
      </c>
      <c r="J783">
        <f>IF($H783="","",MIN(5,MAX(1,6-$H783)))</f>
        <v/>
      </c>
      <c r="K783">
        <f>IF($H783="","",MAX(1,MIN(5,ROUNDUP(($U783*0.45)+($W783*0.35)+($X783*0.2),0))))</f>
        <v/>
      </c>
      <c r="L783">
        <f>IF($H783="","",$J783*$K783)</f>
        <v/>
      </c>
      <c r="M783">
        <f>IF($H783="","",MAX(1,MIN(5,ROUNDUP($L783/5,0))))</f>
        <v/>
      </c>
      <c r="N783">
        <f>IF($H783="","",IFERROR(INDEX('_ENGINE_Risk'!$T$41:$Y$920,MATCH($E783,'_ENGINE_Risk'!$A$41:$A$920,0),$H783+1),""))</f>
        <v/>
      </c>
      <c r="O783">
        <f>IF($H783="","",MAX(1,MIN(5,($U783+$V783+$X783)/3)))</f>
        <v/>
      </c>
      <c r="P783">
        <f>IF($H783="","",IF($I783="Critical",5,IF($I783="High",4,IF($I783="Medium",3,IF($I783="Low",2,1)))))</f>
        <v/>
      </c>
      <c r="Q783">
        <f>IF($H783="","",MAX(1,MIN(5,((5-$H783)*0.65)+($W783*0.35))))</f>
        <v/>
      </c>
      <c r="R783">
        <f>IF($H783="","",MAX(1,MIN(5,($V783+$X783)/2)))</f>
        <v/>
      </c>
      <c r="S783">
        <f>IF(OR($H783="",$N783=""),"",ROUND(($O783+$P783+$Q783+$R783)/$N783,2))</f>
        <v/>
      </c>
      <c r="T783">
        <f>IF($H783="","",IFERROR(INDEX('_ENGINE_Risk'!$N$41:$S$920,MATCH($E783,'_ENGINE_Risk'!$A$41:$A$920,0),$H783+1),""))</f>
        <v/>
      </c>
      <c r="U783">
        <f>IFERROR(INDEX(_DATA_Assessment_Model!$G$5:$G$884,MATCH($E783,_DATA_Assessment_Model!$A$5:$A$884,0)),"")</f>
        <v/>
      </c>
      <c r="V783">
        <f>IFERROR(INDEX(_DATA_Assessment_Model!$W$5:$W$884,MATCH($E783,_DATA_Assessment_Model!$A$5:$A$884,0)),"")</f>
        <v/>
      </c>
      <c r="W783">
        <f>IFERROR(INDEX(_DATA_Assessment_Model!$X$5:$X$884,MATCH($E783,_DATA_Assessment_Model!$A$5:$A$884,0)),"")</f>
        <v/>
      </c>
      <c r="X783">
        <f>IFERROR(INDEX(_DATA_Assessment_Model!$Y$5:$Y$884,MATCH($E783,_DATA_Assessment_Model!$A$5:$A$884,0)),"")</f>
        <v/>
      </c>
      <c r="Y783" t="inlineStr">
        <is>
          <t>Reputation crisis; Demand shock; IT outage</t>
        </is>
      </c>
      <c r="Z783" t="inlineStr">
        <is>
          <t>CMO / Communications</t>
        </is>
      </c>
      <c r="AA783" t="inlineStr">
        <is>
          <t>Policy/SOP; owner/RACI; system report; dashboard; contracts; test records; incident history; interview evidence related to media, social, review and customer sentiment monitoring.</t>
        </is>
      </c>
      <c r="AB783">
        <f>IFERROR(INDEX(_DATA_Assessment_Model!$U$5:$U$884,MATCH($E783,_DATA_Assessment_Model!$A$5:$A$884,0)),"")</f>
        <v/>
      </c>
      <c r="AF783" t="inlineStr">
        <is>
          <t>How mature is the organization in managing media, social, review and customer sentiment monitoring, including ownership, evidence, metrics, fallback procedures and crisis stress testing?</t>
        </is>
      </c>
      <c r="AO783">
        <f>IF($B783="Yes",IFERROR(INDEX(_ENGINE_Crisis!$F$501:$F$517,MATCH($C783,_ENGINE_Crisis!$A$501:$A$517,0)),1),"")</f>
        <v/>
      </c>
      <c r="AP783">
        <f>IF(AO783="","",ROUND($L783*AO783,1))</f>
        <v/>
      </c>
      <c r="AQ783">
        <f>IF(OR(AO783="",$S783=""),"",ROUND($S783*(0.7+0.3*AO783),2))</f>
        <v/>
      </c>
      <c r="AR783">
        <f>IFERROR(INDEX(_ENGINE_Crisis!$E$41:$E$700,MATCH('Resilience &amp; Risk Scenario'!$B$60&amp;"|"&amp;$C783,_ENGINE_Crisis!$I$41:$I$700,0)),"")</f>
        <v/>
      </c>
      <c r="AS783">
        <f>IFERROR(INDEX(_ENGINE_Crisis!$G$41:$G$700,MATCH('Resilience &amp; Risk Scenario'!$B$60&amp;"|"&amp;$C783,_ENGINE_Crisis!$I$41:$I$700,0)),"")</f>
        <v/>
      </c>
      <c r="AT783">
        <f>IFERROR(INDEX(_ENGINE_Initiatives!$A$5:$A$532,MATCH(1,INDEX((_ENGINE_Initiatives!$B$5:$B$532=$C783)*(_ENGINE_Initiatives!$C$5:$C$532=$D783),0),0)),"")</f>
        <v/>
      </c>
      <c r="AU783">
        <f>IFERROR(INDEX(_ENGINE_Initiatives!$F$5:$F$532,MATCH(1,INDEX((_ENGINE_Initiatives!$B$5:$B$532=$C783)*(_ENGINE_Initiatives!$C$5:$C$532=$D783),0),0)),"")</f>
        <v/>
      </c>
      <c r="AV783">
        <f>IFERROR(INDEX(_ENGINE_Initiatives!$AC$5:$AC$532,MATCH(1,INDEX((_ENGINE_Initiatives!$B$5:$B$532=$C783)*(_ENGINE_Initiatives!$C$5:$C$532=$D783),0),0)),"")</f>
        <v/>
      </c>
      <c r="AW783">
        <f>IFERROR(INDEX(_ENGINE_Initiatives!$AE$5:$AE$532,MATCH(1,INDEX((_ENGINE_Initiatives!$B$5:$B$532=$C783)*(_ENGINE_Initiatives!$C$5:$C$532=$D783),0),0)),"")</f>
        <v/>
      </c>
      <c r="AX783">
        <f>IF($B783="Yes",IFERROR(IF(SUMIFS(_REF_Model_Content!$E$1:$E$613,_REF_Model_Content!$A$1:$A$613,'Company Profile'!$B$9,_REF_Model_Content!$B$1:$B$613,$C783)=0,1,SUMIFS(_REF_Model_Content!$E$1:$E$613,_REF_Model_Content!$A$1:$A$613,'Company Profile'!$B$9,_REF_Model_Content!$B$1:$B$613,$C783)),1),"")</f>
        <v/>
      </c>
      <c r="AY783">
        <f>IF($L783="","",ROUND(IF($AP783="",$L783,$AP783)*IF($AX783="",1,$AX783),2))</f>
        <v/>
      </c>
      <c r="AZ783">
        <f>IF($S783="","",ROUND(IF($AQ783="",$S783,$AQ783)*IF($AX783="",1,$AX783),2))</f>
        <v/>
      </c>
      <c r="BB783">
        <f>IF($H783="","",IFERROR(INDEX('_ENGINE_Risk'!$AE$41:$AE$920,MATCH($E783,'_ENGINE_Risk'!$A$41:$A$920,0)),"Medium"))</f>
        <v/>
      </c>
      <c r="BC783">
        <f>IF($BB783="","",IF($BB783="Fast",1.25,IF($BB783="Slow",0.85,1)))</f>
        <v/>
      </c>
      <c r="BD783">
        <f>IF(OR($AZ783="",$BC783=""),"",ROUND($AZ783*$BC783,2))</f>
        <v/>
      </c>
      <c r="BF783">
        <f>IF(OR($H783="",$J783=""),"",_xlfn.IFNA(VLOOKUP($J783,_CONFIG_Model_Settings!$D$610:$E$614,2,0),""))</f>
        <v/>
      </c>
      <c r="BG783">
        <f>IF(OR($H783="",$K783=""),"",ROUND('Company Profile'!$B$569*INDEX(_CONFIG_Model_Settings!$H$610:$H$614,MATCH($K783,_CONFIG_Model_Settings!$G$610:$G$614,0)),0))</f>
        <v/>
      </c>
      <c r="BH783">
        <f>IF(OR($BF783="",$BG783=""),"",ROUND($BF783*$BG783,1))</f>
        <v/>
      </c>
      <c r="BI783">
        <f>IF($BH783="","",IF($AO783="",$BH783,ROUND($BH783*$AO783,1)))</f>
        <v/>
      </c>
      <c r="BJ783">
        <f>IF($E783="","",IFERROR(VLOOKUP($C783,'_CONFIG_Risk_Calibration'!$A$5:$H$21,2,FALSE),3))</f>
        <v/>
      </c>
      <c r="BK783">
        <f>IF($E783="","",IFERROR(VLOOKUP($C783,'_CONFIG_Risk_Calibration'!$A$5:$H$21,3,FALSE),0))</f>
        <v/>
      </c>
      <c r="BL783">
        <f>IF($E783="","",IFERROR(VLOOKUP($C783,'_CONFIG_Risk_Calibration'!$A$5:$H$21,4,FALSE),3))</f>
        <v/>
      </c>
      <c r="BM783">
        <f>IF($E783="","",IFERROR(VLOOKUP($C783,'_CONFIG_Risk_Calibration'!$A$5:$H$21,5,FALSE),3))</f>
        <v/>
      </c>
      <c r="BN783">
        <f>IF($E783="","",IFERROR(VLOOKUP($C783,'_CONFIG_Risk_Calibration'!$A$5:$H$21,6,FALSE),"No"))</f>
        <v/>
      </c>
      <c r="BO783">
        <f>IF($E783="","",IFERROR(VLOOKUP($C783,'_CONFIG_Risk_Calibration'!$A$5:$H$21,7,FALSE),1))</f>
        <v/>
      </c>
      <c r="BP783">
        <f>IF($H783="","",MAX(1,MIN(5,((6-$H783)*0.45)+($BJ783*0.20)+('Resilience &amp; Risk Scenario'!$B$7*0.15)+($BK783*0.10)+($BL783*0.05)+(IF($BB783="Fast",5,IF($BB783="Slow",1,3))*0.05))))</f>
        <v/>
      </c>
      <c r="BQ783">
        <f>IF($H783="","",MAX(IF($BN783="Yes",$BO783,1),MIN(5,($U783*0.20)+($V783*0.15)+($W783*0.25)+($X783*0.15)+($BJ783*0.10)+($BM783*0.15))))</f>
        <v/>
      </c>
      <c r="BR783">
        <f>IF(OR($BP783="",$BQ783=""),"",ROUND($BP783*$BQ783,2))</f>
        <v/>
      </c>
      <c r="BS783">
        <f>IF($BR783="","",ROUND($BR783*IF($AO783="",1,$AO783)*IF($AX783="",1,$AX783)*(1+(($BM783-3)*0.10))*IF($BC783="",1,$BC783),2))</f>
        <v/>
      </c>
    </row>
    <row r="784" ht="69.90000000000001" customHeight="1" s="209">
      <c r="A784">
        <f>IF($BD784="","",SUMPRODUCT(ISNUMBER($BD$500:$BD$923)*($BD$500:$BD$923&gt;$BD784))+COUNTIF($BD$500:$BD784,$BD784))</f>
        <v/>
      </c>
      <c r="B784">
        <f>IF($H784="","",IF($H784&lt;5,"Yes","Maintain"))</f>
        <v/>
      </c>
      <c r="C784" t="inlineStr">
        <is>
          <t>Marketing Comms</t>
        </is>
      </c>
      <c r="D784" t="inlineStr">
        <is>
          <t>Crisis communication</t>
        </is>
      </c>
      <c r="E784" t="inlineStr">
        <is>
          <t>MARK-009</t>
        </is>
      </c>
      <c r="F784" t="inlineStr">
        <is>
          <t>Market communication and reputation resilience</t>
        </is>
      </c>
      <c r="G784">
        <f>IF($H784="","",IFERROR(INDEX('_ENGINE_Risk'!$H$41:$M$920,MATCH($E784,'_ENGINE_Risk'!$A$41:$A$920,0),$H784+1),""))</f>
        <v/>
      </c>
      <c r="H784">
        <f>IFERROR(VALUE(INDEX(_DATA_Assessment_Model!$H$5:$H$884,MATCH($E784,_DATA_Assessment_Model!$A$5:$A$884,0))),"")</f>
        <v/>
      </c>
      <c r="I784">
        <f>IF($H784="","",IFERROR(INDEX(_DATA_Assessment_Model!$L$5:$L$884,MATCH($E784,_DATA_Assessment_Model!$A$5:$A$884,0)),IF($H784&lt;=1,"Critical",IF($H784=2,"High",IF($H784=3,"Medium",IF($H784=4,"Low","Resilient"))))))</f>
        <v/>
      </c>
      <c r="J784">
        <f>IF($H784="","",MIN(5,MAX(1,6-$H784)))</f>
        <v/>
      </c>
      <c r="K784">
        <f>IF($H784="","",MAX(1,MIN(5,ROUNDUP(($U784*0.45)+($W784*0.35)+($X784*0.2),0))))</f>
        <v/>
      </c>
      <c r="L784">
        <f>IF($H784="","",$J784*$K784)</f>
        <v/>
      </c>
      <c r="M784">
        <f>IF($H784="","",MAX(1,MIN(5,ROUNDUP($L784/5,0))))</f>
        <v/>
      </c>
      <c r="N784">
        <f>IF($H784="","",IFERROR(INDEX('_ENGINE_Risk'!$T$41:$Y$920,MATCH($E784,'_ENGINE_Risk'!$A$41:$A$920,0),$H784+1),""))</f>
        <v/>
      </c>
      <c r="O784">
        <f>IF($H784="","",MAX(1,MIN(5,($U784+$V784+$X784)/3)))</f>
        <v/>
      </c>
      <c r="P784">
        <f>IF($H784="","",IF($I784="Critical",5,IF($I784="High",4,IF($I784="Medium",3,IF($I784="Low",2,1)))))</f>
        <v/>
      </c>
      <c r="Q784">
        <f>IF($H784="","",MAX(1,MIN(5,((5-$H784)*0.65)+($W784*0.35))))</f>
        <v/>
      </c>
      <c r="R784">
        <f>IF($H784="","",MAX(1,MIN(5,($V784+$X784)/2)))</f>
        <v/>
      </c>
      <c r="S784">
        <f>IF(OR($H784="",$N784=""),"",ROUND(($O784+$P784+$Q784+$R784)/$N784,2))</f>
        <v/>
      </c>
      <c r="T784">
        <f>IF($H784="","",IFERROR(INDEX('_ENGINE_Risk'!$N$41:$S$920,MATCH($E784,'_ENGINE_Risk'!$A$41:$A$920,0),$H784+1),""))</f>
        <v/>
      </c>
      <c r="U784">
        <f>IFERROR(INDEX(_DATA_Assessment_Model!$G$5:$G$884,MATCH($E784,_DATA_Assessment_Model!$A$5:$A$884,0)),"")</f>
        <v/>
      </c>
      <c r="V784">
        <f>IFERROR(INDEX(_DATA_Assessment_Model!$W$5:$W$884,MATCH($E784,_DATA_Assessment_Model!$A$5:$A$884,0)),"")</f>
        <v/>
      </c>
      <c r="W784">
        <f>IFERROR(INDEX(_DATA_Assessment_Model!$X$5:$X$884,MATCH($E784,_DATA_Assessment_Model!$A$5:$A$884,0)),"")</f>
        <v/>
      </c>
      <c r="X784">
        <f>IFERROR(INDEX(_DATA_Assessment_Model!$Y$5:$Y$884,MATCH($E784,_DATA_Assessment_Model!$A$5:$A$884,0)),"")</f>
        <v/>
      </c>
      <c r="Y784" t="inlineStr">
        <is>
          <t>Reputation crisis; Demand shock; IT outage</t>
        </is>
      </c>
      <c r="Z784" t="inlineStr">
        <is>
          <t>CMO / Communications</t>
        </is>
      </c>
      <c r="AA784" t="inlineStr">
        <is>
          <t>Policy/SOP; owner/RACI; system report; dashboard; contracts; test records; incident history; interview evidence related to escalation and approval rules for sensitive public responses.</t>
        </is>
      </c>
      <c r="AB784">
        <f>IFERROR(INDEX(_DATA_Assessment_Model!$U$5:$U$884,MATCH($E784,_DATA_Assessment_Model!$A$5:$A$884,0)),"")</f>
        <v/>
      </c>
      <c r="AF784" t="inlineStr">
        <is>
          <t>How mature is the organization in managing escalation and approval rules for sensitive public responses, including ownership, evidence, metrics, fallback procedures and crisis stress testing?</t>
        </is>
      </c>
      <c r="AO784">
        <f>IF($B784="Yes",IFERROR(INDEX(_ENGINE_Crisis!$F$501:$F$517,MATCH($C784,_ENGINE_Crisis!$A$501:$A$517,0)),1),"")</f>
        <v/>
      </c>
      <c r="AP784">
        <f>IF(AO784="","",ROUND($L784*AO784,1))</f>
        <v/>
      </c>
      <c r="AQ784">
        <f>IF(OR(AO784="",$S784=""),"",ROUND($S784*(0.7+0.3*AO784),2))</f>
        <v/>
      </c>
      <c r="AR784">
        <f>IFERROR(INDEX(_ENGINE_Crisis!$E$41:$E$700,MATCH('Resilience &amp; Risk Scenario'!$B$60&amp;"|"&amp;$C784,_ENGINE_Crisis!$I$41:$I$700,0)),"")</f>
        <v/>
      </c>
      <c r="AS784">
        <f>IFERROR(INDEX(_ENGINE_Crisis!$G$41:$G$700,MATCH('Resilience &amp; Risk Scenario'!$B$60&amp;"|"&amp;$C784,_ENGINE_Crisis!$I$41:$I$700,0)),"")</f>
        <v/>
      </c>
      <c r="AT784">
        <f>IFERROR(INDEX(_ENGINE_Initiatives!$A$5:$A$532,MATCH(1,INDEX((_ENGINE_Initiatives!$B$5:$B$532=$C784)*(_ENGINE_Initiatives!$C$5:$C$532=$D784),0),0)),"")</f>
        <v/>
      </c>
      <c r="AU784">
        <f>IFERROR(INDEX(_ENGINE_Initiatives!$F$5:$F$532,MATCH(1,INDEX((_ENGINE_Initiatives!$B$5:$B$532=$C784)*(_ENGINE_Initiatives!$C$5:$C$532=$D784),0),0)),"")</f>
        <v/>
      </c>
      <c r="AV784">
        <f>IFERROR(INDEX(_ENGINE_Initiatives!$AC$5:$AC$532,MATCH(1,INDEX((_ENGINE_Initiatives!$B$5:$B$532=$C784)*(_ENGINE_Initiatives!$C$5:$C$532=$D784),0),0)),"")</f>
        <v/>
      </c>
      <c r="AW784">
        <f>IFERROR(INDEX(_ENGINE_Initiatives!$AE$5:$AE$532,MATCH(1,INDEX((_ENGINE_Initiatives!$B$5:$B$532=$C784)*(_ENGINE_Initiatives!$C$5:$C$532=$D784),0),0)),"")</f>
        <v/>
      </c>
      <c r="AX784">
        <f>IF($B784="Yes",IFERROR(IF(SUMIFS(_REF_Model_Content!$E$1:$E$613,_REF_Model_Content!$A$1:$A$613,'Company Profile'!$B$9,_REF_Model_Content!$B$1:$B$613,$C784)=0,1,SUMIFS(_REF_Model_Content!$E$1:$E$613,_REF_Model_Content!$A$1:$A$613,'Company Profile'!$B$9,_REF_Model_Content!$B$1:$B$613,$C784)),1),"")</f>
        <v/>
      </c>
      <c r="AY784">
        <f>IF($L784="","",ROUND(IF($AP784="",$L784,$AP784)*IF($AX784="",1,$AX784),2))</f>
        <v/>
      </c>
      <c r="AZ784">
        <f>IF($S784="","",ROUND(IF($AQ784="",$S784,$AQ784)*IF($AX784="",1,$AX784),2))</f>
        <v/>
      </c>
      <c r="BB784">
        <f>IF($H784="","",IFERROR(INDEX('_ENGINE_Risk'!$AE$41:$AE$920,MATCH($E784,'_ENGINE_Risk'!$A$41:$A$920,0)),"Medium"))</f>
        <v/>
      </c>
      <c r="BC784">
        <f>IF($BB784="","",IF($BB784="Fast",1.25,IF($BB784="Slow",0.85,1)))</f>
        <v/>
      </c>
      <c r="BD784">
        <f>IF(OR($AZ784="",$BC784=""),"",ROUND($AZ784*$BC784,2))</f>
        <v/>
      </c>
      <c r="BF784">
        <f>IF(OR($H784="",$J784=""),"",_xlfn.IFNA(VLOOKUP($J784,_CONFIG_Model_Settings!$D$610:$E$614,2,0),""))</f>
        <v/>
      </c>
      <c r="BG784">
        <f>IF(OR($H784="",$K784=""),"",ROUND('Company Profile'!$B$569*INDEX(_CONFIG_Model_Settings!$H$610:$H$614,MATCH($K784,_CONFIG_Model_Settings!$G$610:$G$614,0)),0))</f>
        <v/>
      </c>
      <c r="BH784">
        <f>IF(OR($BF784="",$BG784=""),"",ROUND($BF784*$BG784,1))</f>
        <v/>
      </c>
      <c r="BI784">
        <f>IF($BH784="","",IF($AO784="",$BH784,ROUND($BH784*$AO784,1)))</f>
        <v/>
      </c>
      <c r="BJ784">
        <f>IF($E784="","",IFERROR(VLOOKUP($C784,'_CONFIG_Risk_Calibration'!$A$5:$H$21,2,FALSE),3))</f>
        <v/>
      </c>
      <c r="BK784">
        <f>IF($E784="","",IFERROR(VLOOKUP($C784,'_CONFIG_Risk_Calibration'!$A$5:$H$21,3,FALSE),0))</f>
        <v/>
      </c>
      <c r="BL784">
        <f>IF($E784="","",IFERROR(VLOOKUP($C784,'_CONFIG_Risk_Calibration'!$A$5:$H$21,4,FALSE),3))</f>
        <v/>
      </c>
      <c r="BM784">
        <f>IF($E784="","",IFERROR(VLOOKUP($C784,'_CONFIG_Risk_Calibration'!$A$5:$H$21,5,FALSE),3))</f>
        <v/>
      </c>
      <c r="BN784">
        <f>IF($E784="","",IFERROR(VLOOKUP($C784,'_CONFIG_Risk_Calibration'!$A$5:$H$21,6,FALSE),"No"))</f>
        <v/>
      </c>
      <c r="BO784">
        <f>IF($E784="","",IFERROR(VLOOKUP($C784,'_CONFIG_Risk_Calibration'!$A$5:$H$21,7,FALSE),1))</f>
        <v/>
      </c>
      <c r="BP784">
        <f>IF($H784="","",MAX(1,MIN(5,((6-$H784)*0.45)+($BJ784*0.20)+('Resilience &amp; Risk Scenario'!$B$7*0.15)+($BK784*0.10)+($BL784*0.05)+(IF($BB784="Fast",5,IF($BB784="Slow",1,3))*0.05))))</f>
        <v/>
      </c>
      <c r="BQ784">
        <f>IF($H784="","",MAX(IF($BN784="Yes",$BO784,1),MIN(5,($U784*0.20)+($V784*0.15)+($W784*0.25)+($X784*0.15)+($BJ784*0.10)+($BM784*0.15))))</f>
        <v/>
      </c>
      <c r="BR784">
        <f>IF(OR($BP784="",$BQ784=""),"",ROUND($BP784*$BQ784,2))</f>
        <v/>
      </c>
      <c r="BS784">
        <f>IF($BR784="","",ROUND($BR784*IF($AO784="",1,$AO784)*IF($AX784="",1,$AX784)*(1+(($BM784-3)*0.10))*IF($BC784="",1,$BC784),2))</f>
        <v/>
      </c>
    </row>
    <row r="785" ht="69.90000000000001" customHeight="1" s="209">
      <c r="A785">
        <f>IF($BD785="","",SUMPRODUCT(ISNUMBER($BD$500:$BD$923)*($BD$500:$BD$923&gt;$BD785))+COUNTIF($BD$500:$BD785,$BD785))</f>
        <v/>
      </c>
      <c r="B785">
        <f>IF($H785="","",IF($H785&lt;5,"Yes","Maintain"))</f>
        <v/>
      </c>
      <c r="C785" t="inlineStr">
        <is>
          <t>Marketing Comms</t>
        </is>
      </c>
      <c r="D785" t="inlineStr">
        <is>
          <t>Crisis communication</t>
        </is>
      </c>
      <c r="E785" t="inlineStr">
        <is>
          <t>MARK-010</t>
        </is>
      </c>
      <c r="F785" t="inlineStr">
        <is>
          <t>Market communication and reputation resilience</t>
        </is>
      </c>
      <c r="G785">
        <f>IF($H785="","",IFERROR(INDEX('_ENGINE_Risk'!$H$41:$M$920,MATCH($E785,'_ENGINE_Risk'!$A$41:$A$920,0),$H785+1),""))</f>
        <v/>
      </c>
      <c r="H785">
        <f>IFERROR(VALUE(INDEX(_DATA_Assessment_Model!$H$5:$H$884,MATCH($E785,_DATA_Assessment_Model!$A$5:$A$884,0))),"")</f>
        <v/>
      </c>
      <c r="I785">
        <f>IF($H785="","",IFERROR(INDEX(_DATA_Assessment_Model!$L$5:$L$884,MATCH($E785,_DATA_Assessment_Model!$A$5:$A$884,0)),IF($H785&lt;=1,"Critical",IF($H785=2,"High",IF($H785=3,"Medium",IF($H785=4,"Low","Resilient"))))))</f>
        <v/>
      </c>
      <c r="J785">
        <f>IF($H785="","",MIN(5,MAX(1,6-$H785)))</f>
        <v/>
      </c>
      <c r="K785">
        <f>IF($H785="","",MAX(1,MIN(5,ROUNDUP(($U785*0.45)+($W785*0.35)+($X785*0.2),0))))</f>
        <v/>
      </c>
      <c r="L785">
        <f>IF($H785="","",$J785*$K785)</f>
        <v/>
      </c>
      <c r="M785">
        <f>IF($H785="","",MAX(1,MIN(5,ROUNDUP($L785/5,0))))</f>
        <v/>
      </c>
      <c r="N785">
        <f>IF($H785="","",IFERROR(INDEX('_ENGINE_Risk'!$T$41:$Y$920,MATCH($E785,'_ENGINE_Risk'!$A$41:$A$920,0),$H785+1),""))</f>
        <v/>
      </c>
      <c r="O785">
        <f>IF($H785="","",MAX(1,MIN(5,($U785+$V785+$X785)/3)))</f>
        <v/>
      </c>
      <c r="P785">
        <f>IF($H785="","",IF($I785="Critical",5,IF($I785="High",4,IF($I785="Medium",3,IF($I785="Low",2,1)))))</f>
        <v/>
      </c>
      <c r="Q785">
        <f>IF($H785="","",MAX(1,MIN(5,((5-$H785)*0.65)+($W785*0.35))))</f>
        <v/>
      </c>
      <c r="R785">
        <f>IF($H785="","",MAX(1,MIN(5,($V785+$X785)/2)))</f>
        <v/>
      </c>
      <c r="S785">
        <f>IF(OR($H785="",$N785=""),"",ROUND(($O785+$P785+$Q785+$R785)/$N785,2))</f>
        <v/>
      </c>
      <c r="T785">
        <f>IF($H785="","",IFERROR(INDEX('_ENGINE_Risk'!$N$41:$S$920,MATCH($E785,'_ENGINE_Risk'!$A$41:$A$920,0),$H785+1),""))</f>
        <v/>
      </c>
      <c r="U785">
        <f>IFERROR(INDEX(_DATA_Assessment_Model!$G$5:$G$884,MATCH($E785,_DATA_Assessment_Model!$A$5:$A$884,0)),"")</f>
        <v/>
      </c>
      <c r="V785">
        <f>IFERROR(INDEX(_DATA_Assessment_Model!$W$5:$W$884,MATCH($E785,_DATA_Assessment_Model!$A$5:$A$884,0)),"")</f>
        <v/>
      </c>
      <c r="W785">
        <f>IFERROR(INDEX(_DATA_Assessment_Model!$X$5:$X$884,MATCH($E785,_DATA_Assessment_Model!$A$5:$A$884,0)),"")</f>
        <v/>
      </c>
      <c r="X785">
        <f>IFERROR(INDEX(_DATA_Assessment_Model!$Y$5:$Y$884,MATCH($E785,_DATA_Assessment_Model!$A$5:$A$884,0)),"")</f>
        <v/>
      </c>
      <c r="Y785" t="inlineStr">
        <is>
          <t>Reputation crisis; Demand shock; IT outage</t>
        </is>
      </c>
      <c r="Z785" t="inlineStr">
        <is>
          <t>CMO / Communications</t>
        </is>
      </c>
      <c r="AA785" t="inlineStr">
        <is>
          <t>Policy/SOP; owner/RACI; system report; dashboard; contracts; test records; incident history; interview evidence related to customer communication channel diversity across email, phone, portal, SMS, account managers and social media.</t>
        </is>
      </c>
      <c r="AB785">
        <f>IFERROR(INDEX(_DATA_Assessment_Model!$U$5:$U$884,MATCH($E785,_DATA_Assessment_Model!$A$5:$A$884,0)),"")</f>
        <v/>
      </c>
      <c r="AF785" t="inlineStr">
        <is>
          <t>How mature is the organization in managing customer communication channel diversity across email, phone, portal, SMS, account managers and social media, including ownership, evidence, metrics, fallback procedures and crisis stress testing?</t>
        </is>
      </c>
      <c r="AO785">
        <f>IF($B785="Yes",IFERROR(INDEX(_ENGINE_Crisis!$F$501:$F$517,MATCH($C785,_ENGINE_Crisis!$A$501:$A$517,0)),1),"")</f>
        <v/>
      </c>
      <c r="AP785">
        <f>IF(AO785="","",ROUND($L785*AO785,1))</f>
        <v/>
      </c>
      <c r="AQ785">
        <f>IF(OR(AO785="",$S785=""),"",ROUND($S785*(0.7+0.3*AO785),2))</f>
        <v/>
      </c>
      <c r="AR785">
        <f>IFERROR(INDEX(_ENGINE_Crisis!$E$41:$E$700,MATCH('Resilience &amp; Risk Scenario'!$B$60&amp;"|"&amp;$C785,_ENGINE_Crisis!$I$41:$I$700,0)),"")</f>
        <v/>
      </c>
      <c r="AS785">
        <f>IFERROR(INDEX(_ENGINE_Crisis!$G$41:$G$700,MATCH('Resilience &amp; Risk Scenario'!$B$60&amp;"|"&amp;$C785,_ENGINE_Crisis!$I$41:$I$700,0)),"")</f>
        <v/>
      </c>
      <c r="AT785">
        <f>IFERROR(INDEX(_ENGINE_Initiatives!$A$5:$A$532,MATCH(1,INDEX((_ENGINE_Initiatives!$B$5:$B$532=$C785)*(_ENGINE_Initiatives!$C$5:$C$532=$D785),0),0)),"")</f>
        <v/>
      </c>
      <c r="AU785">
        <f>IFERROR(INDEX(_ENGINE_Initiatives!$F$5:$F$532,MATCH(1,INDEX((_ENGINE_Initiatives!$B$5:$B$532=$C785)*(_ENGINE_Initiatives!$C$5:$C$532=$D785),0),0)),"")</f>
        <v/>
      </c>
      <c r="AV785">
        <f>IFERROR(INDEX(_ENGINE_Initiatives!$AC$5:$AC$532,MATCH(1,INDEX((_ENGINE_Initiatives!$B$5:$B$532=$C785)*(_ENGINE_Initiatives!$C$5:$C$532=$D785),0),0)),"")</f>
        <v/>
      </c>
      <c r="AW785">
        <f>IFERROR(INDEX(_ENGINE_Initiatives!$AE$5:$AE$532,MATCH(1,INDEX((_ENGINE_Initiatives!$B$5:$B$532=$C785)*(_ENGINE_Initiatives!$C$5:$C$532=$D785),0),0)),"")</f>
        <v/>
      </c>
      <c r="AX785">
        <f>IF($B785="Yes",IFERROR(IF(SUMIFS(_REF_Model_Content!$E$1:$E$613,_REF_Model_Content!$A$1:$A$613,'Company Profile'!$B$9,_REF_Model_Content!$B$1:$B$613,$C785)=0,1,SUMIFS(_REF_Model_Content!$E$1:$E$613,_REF_Model_Content!$A$1:$A$613,'Company Profile'!$B$9,_REF_Model_Content!$B$1:$B$613,$C785)),1),"")</f>
        <v/>
      </c>
      <c r="AY785">
        <f>IF($L785="","",ROUND(IF($AP785="",$L785,$AP785)*IF($AX785="",1,$AX785),2))</f>
        <v/>
      </c>
      <c r="AZ785">
        <f>IF($S785="","",ROUND(IF($AQ785="",$S785,$AQ785)*IF($AX785="",1,$AX785),2))</f>
        <v/>
      </c>
      <c r="BB785">
        <f>IF($H785="","",IFERROR(INDEX('_ENGINE_Risk'!$AE$41:$AE$920,MATCH($E785,'_ENGINE_Risk'!$A$41:$A$920,0)),"Medium"))</f>
        <v/>
      </c>
      <c r="BC785">
        <f>IF($BB785="","",IF($BB785="Fast",1.25,IF($BB785="Slow",0.85,1)))</f>
        <v/>
      </c>
      <c r="BD785">
        <f>IF(OR($AZ785="",$BC785=""),"",ROUND($AZ785*$BC785,2))</f>
        <v/>
      </c>
      <c r="BF785">
        <f>IF(OR($H785="",$J785=""),"",_xlfn.IFNA(VLOOKUP($J785,_CONFIG_Model_Settings!$D$610:$E$614,2,0),""))</f>
        <v/>
      </c>
      <c r="BG785">
        <f>IF(OR($H785="",$K785=""),"",ROUND('Company Profile'!$B$569*INDEX(_CONFIG_Model_Settings!$H$610:$H$614,MATCH($K785,_CONFIG_Model_Settings!$G$610:$G$614,0)),0))</f>
        <v/>
      </c>
      <c r="BH785">
        <f>IF(OR($BF785="",$BG785=""),"",ROUND($BF785*$BG785,1))</f>
        <v/>
      </c>
      <c r="BI785">
        <f>IF($BH785="","",IF($AO785="",$BH785,ROUND($BH785*$AO785,1)))</f>
        <v/>
      </c>
      <c r="BJ785">
        <f>IF($E785="","",IFERROR(VLOOKUP($C785,'_CONFIG_Risk_Calibration'!$A$5:$H$21,2,FALSE),3))</f>
        <v/>
      </c>
      <c r="BK785">
        <f>IF($E785="","",IFERROR(VLOOKUP($C785,'_CONFIG_Risk_Calibration'!$A$5:$H$21,3,FALSE),0))</f>
        <v/>
      </c>
      <c r="BL785">
        <f>IF($E785="","",IFERROR(VLOOKUP($C785,'_CONFIG_Risk_Calibration'!$A$5:$H$21,4,FALSE),3))</f>
        <v/>
      </c>
      <c r="BM785">
        <f>IF($E785="","",IFERROR(VLOOKUP($C785,'_CONFIG_Risk_Calibration'!$A$5:$H$21,5,FALSE),3))</f>
        <v/>
      </c>
      <c r="BN785">
        <f>IF($E785="","",IFERROR(VLOOKUP($C785,'_CONFIG_Risk_Calibration'!$A$5:$H$21,6,FALSE),"No"))</f>
        <v/>
      </c>
      <c r="BO785">
        <f>IF($E785="","",IFERROR(VLOOKUP($C785,'_CONFIG_Risk_Calibration'!$A$5:$H$21,7,FALSE),1))</f>
        <v/>
      </c>
      <c r="BP785">
        <f>IF($H785="","",MAX(1,MIN(5,((6-$H785)*0.45)+($BJ785*0.20)+('Resilience &amp; Risk Scenario'!$B$7*0.15)+($BK785*0.10)+($BL785*0.05)+(IF($BB785="Fast",5,IF($BB785="Slow",1,3))*0.05))))</f>
        <v/>
      </c>
      <c r="BQ785">
        <f>IF($H785="","",MAX(IF($BN785="Yes",$BO785,1),MIN(5,($U785*0.20)+($V785*0.15)+($W785*0.25)+($X785*0.15)+($BJ785*0.10)+($BM785*0.15))))</f>
        <v/>
      </c>
      <c r="BR785">
        <f>IF(OR($BP785="",$BQ785=""),"",ROUND($BP785*$BQ785,2))</f>
        <v/>
      </c>
      <c r="BS785">
        <f>IF($BR785="","",ROUND($BR785*IF($AO785="",1,$AO785)*IF($AX785="",1,$AX785)*(1+(($BM785-3)*0.10))*IF($BC785="",1,$BC785),2))</f>
        <v/>
      </c>
    </row>
    <row r="786" ht="69.90000000000001" customHeight="1" s="209">
      <c r="A786">
        <f>IF($BD786="","",SUMPRODUCT(ISNUMBER($BD$500:$BD$923)*($BD$500:$BD$923&gt;$BD786))+COUNTIF($BD$500:$BD786,$BD786))</f>
        <v/>
      </c>
      <c r="B786">
        <f>IF($H786="","",IF($H786&lt;5,"Yes","Maintain"))</f>
        <v/>
      </c>
      <c r="C786" t="inlineStr">
        <is>
          <t>Marketing Comms</t>
        </is>
      </c>
      <c r="D786" t="inlineStr">
        <is>
          <t>Crisis communication</t>
        </is>
      </c>
      <c r="E786" t="inlineStr">
        <is>
          <t>MARK-011</t>
        </is>
      </c>
      <c r="F786" t="inlineStr">
        <is>
          <t>Market communication and reputation resilience</t>
        </is>
      </c>
      <c r="G786">
        <f>IF($H786="","",IFERROR(INDEX('_ENGINE_Risk'!$H$41:$M$920,MATCH($E786,'_ENGINE_Risk'!$A$41:$A$920,0),$H786+1),""))</f>
        <v/>
      </c>
      <c r="H786">
        <f>IFERROR(VALUE(INDEX(_DATA_Assessment_Model!$H$5:$H$884,MATCH($E786,_DATA_Assessment_Model!$A$5:$A$884,0))),"")</f>
        <v/>
      </c>
      <c r="I786">
        <f>IF($H786="","",IFERROR(INDEX(_DATA_Assessment_Model!$L$5:$L$884,MATCH($E786,_DATA_Assessment_Model!$A$5:$A$884,0)),IF($H786&lt;=1,"Critical",IF($H786=2,"High",IF($H786=3,"Medium",IF($H786=4,"Low","Resilient"))))))</f>
        <v/>
      </c>
      <c r="J786">
        <f>IF($H786="","",MIN(5,MAX(1,6-$H786)))</f>
        <v/>
      </c>
      <c r="K786">
        <f>IF($H786="","",MAX(1,MIN(5,ROUNDUP(($U786*0.45)+($W786*0.35)+($X786*0.2),0))))</f>
        <v/>
      </c>
      <c r="L786">
        <f>IF($H786="","",$J786*$K786)</f>
        <v/>
      </c>
      <c r="M786">
        <f>IF($H786="","",MAX(1,MIN(5,ROUNDUP($L786/5,0))))</f>
        <v/>
      </c>
      <c r="N786">
        <f>IF($H786="","",IFERROR(INDEX('_ENGINE_Risk'!$T$41:$Y$920,MATCH($E786,'_ENGINE_Risk'!$A$41:$A$920,0),$H786+1),""))</f>
        <v/>
      </c>
      <c r="O786">
        <f>IF($H786="","",MAX(1,MIN(5,($U786+$V786+$X786)/3)))</f>
        <v/>
      </c>
      <c r="P786">
        <f>IF($H786="","",IF($I786="Critical",5,IF($I786="High",4,IF($I786="Medium",3,IF($I786="Low",2,1)))))</f>
        <v/>
      </c>
      <c r="Q786">
        <f>IF($H786="","",MAX(1,MIN(5,((5-$H786)*0.65)+($W786*0.35))))</f>
        <v/>
      </c>
      <c r="R786">
        <f>IF($H786="","",MAX(1,MIN(5,($V786+$X786)/2)))</f>
        <v/>
      </c>
      <c r="S786">
        <f>IF(OR($H786="",$N786=""),"",ROUND(($O786+$P786+$Q786+$R786)/$N786,2))</f>
        <v/>
      </c>
      <c r="T786">
        <f>IF($H786="","",IFERROR(INDEX('_ENGINE_Risk'!$N$41:$S$920,MATCH($E786,'_ENGINE_Risk'!$A$41:$A$920,0),$H786+1),""))</f>
        <v/>
      </c>
      <c r="U786">
        <f>IFERROR(INDEX(_DATA_Assessment_Model!$G$5:$G$884,MATCH($E786,_DATA_Assessment_Model!$A$5:$A$884,0)),"")</f>
        <v/>
      </c>
      <c r="V786">
        <f>IFERROR(INDEX(_DATA_Assessment_Model!$W$5:$W$884,MATCH($E786,_DATA_Assessment_Model!$A$5:$A$884,0)),"")</f>
        <v/>
      </c>
      <c r="W786">
        <f>IFERROR(INDEX(_DATA_Assessment_Model!$X$5:$X$884,MATCH($E786,_DATA_Assessment_Model!$A$5:$A$884,0)),"")</f>
        <v/>
      </c>
      <c r="X786">
        <f>IFERROR(INDEX(_DATA_Assessment_Model!$Y$5:$Y$884,MATCH($E786,_DATA_Assessment_Model!$A$5:$A$884,0)),"")</f>
        <v/>
      </c>
      <c r="Y786" t="inlineStr">
        <is>
          <t>Reputation crisis; Demand shock; IT outage</t>
        </is>
      </c>
      <c r="Z786" t="inlineStr">
        <is>
          <t>CMO / Communications</t>
        </is>
      </c>
      <c r="AA786" t="inlineStr">
        <is>
          <t>Policy/SOP; owner/RACI; system report; dashboard; contracts; test records; incident history; interview evidence related to misinformation, impersonation, fake invoice and brand-abuse response process.</t>
        </is>
      </c>
      <c r="AB786">
        <f>IFERROR(INDEX(_DATA_Assessment_Model!$U$5:$U$884,MATCH($E786,_DATA_Assessment_Model!$A$5:$A$884,0)),"")</f>
        <v/>
      </c>
      <c r="AF786" t="inlineStr">
        <is>
          <t>How mature is the organization in managing misinformation, impersonation, fake invoice and brand-abuse response process, including ownership, evidence, metrics, fallback procedures and crisis stress testing?</t>
        </is>
      </c>
      <c r="AO786">
        <f>IF($B786="Yes",IFERROR(INDEX(_ENGINE_Crisis!$F$501:$F$517,MATCH($C786,_ENGINE_Crisis!$A$501:$A$517,0)),1),"")</f>
        <v/>
      </c>
      <c r="AP786">
        <f>IF(AO786="","",ROUND($L786*AO786,1))</f>
        <v/>
      </c>
      <c r="AQ786">
        <f>IF(OR(AO786="",$S786=""),"",ROUND($S786*(0.7+0.3*AO786),2))</f>
        <v/>
      </c>
      <c r="AR786">
        <f>IFERROR(INDEX(_ENGINE_Crisis!$E$41:$E$700,MATCH('Resilience &amp; Risk Scenario'!$B$60&amp;"|"&amp;$C786,_ENGINE_Crisis!$I$41:$I$700,0)),"")</f>
        <v/>
      </c>
      <c r="AS786">
        <f>IFERROR(INDEX(_ENGINE_Crisis!$G$41:$G$700,MATCH('Resilience &amp; Risk Scenario'!$B$60&amp;"|"&amp;$C786,_ENGINE_Crisis!$I$41:$I$700,0)),"")</f>
        <v/>
      </c>
      <c r="AT786">
        <f>IFERROR(INDEX(_ENGINE_Initiatives!$A$5:$A$532,MATCH(1,INDEX((_ENGINE_Initiatives!$B$5:$B$532=$C786)*(_ENGINE_Initiatives!$C$5:$C$532=$D786),0),0)),"")</f>
        <v/>
      </c>
      <c r="AU786">
        <f>IFERROR(INDEX(_ENGINE_Initiatives!$F$5:$F$532,MATCH(1,INDEX((_ENGINE_Initiatives!$B$5:$B$532=$C786)*(_ENGINE_Initiatives!$C$5:$C$532=$D786),0),0)),"")</f>
        <v/>
      </c>
      <c r="AV786">
        <f>IFERROR(INDEX(_ENGINE_Initiatives!$AC$5:$AC$532,MATCH(1,INDEX((_ENGINE_Initiatives!$B$5:$B$532=$C786)*(_ENGINE_Initiatives!$C$5:$C$532=$D786),0),0)),"")</f>
        <v/>
      </c>
      <c r="AW786">
        <f>IFERROR(INDEX(_ENGINE_Initiatives!$AE$5:$AE$532,MATCH(1,INDEX((_ENGINE_Initiatives!$B$5:$B$532=$C786)*(_ENGINE_Initiatives!$C$5:$C$532=$D786),0),0)),"")</f>
        <v/>
      </c>
      <c r="AX786">
        <f>IF($B786="Yes",IFERROR(IF(SUMIFS(_REF_Model_Content!$E$1:$E$613,_REF_Model_Content!$A$1:$A$613,'Company Profile'!$B$9,_REF_Model_Content!$B$1:$B$613,$C786)=0,1,SUMIFS(_REF_Model_Content!$E$1:$E$613,_REF_Model_Content!$A$1:$A$613,'Company Profile'!$B$9,_REF_Model_Content!$B$1:$B$613,$C786)),1),"")</f>
        <v/>
      </c>
      <c r="AY786">
        <f>IF($L786="","",ROUND(IF($AP786="",$L786,$AP786)*IF($AX786="",1,$AX786),2))</f>
        <v/>
      </c>
      <c r="AZ786">
        <f>IF($S786="","",ROUND(IF($AQ786="",$S786,$AQ786)*IF($AX786="",1,$AX786),2))</f>
        <v/>
      </c>
      <c r="BB786">
        <f>IF($H786="","",IFERROR(INDEX('_ENGINE_Risk'!$AE$41:$AE$920,MATCH($E786,'_ENGINE_Risk'!$A$41:$A$920,0)),"Medium"))</f>
        <v/>
      </c>
      <c r="BC786">
        <f>IF($BB786="","",IF($BB786="Fast",1.25,IF($BB786="Slow",0.85,1)))</f>
        <v/>
      </c>
      <c r="BD786">
        <f>IF(OR($AZ786="",$BC786=""),"",ROUND($AZ786*$BC786,2))</f>
        <v/>
      </c>
      <c r="BF786">
        <f>IF(OR($H786="",$J786=""),"",_xlfn.IFNA(VLOOKUP($J786,_CONFIG_Model_Settings!$D$610:$E$614,2,0),""))</f>
        <v/>
      </c>
      <c r="BG786">
        <f>IF(OR($H786="",$K786=""),"",ROUND('Company Profile'!$B$569*INDEX(_CONFIG_Model_Settings!$H$610:$H$614,MATCH($K786,_CONFIG_Model_Settings!$G$610:$G$614,0)),0))</f>
        <v/>
      </c>
      <c r="BH786">
        <f>IF(OR($BF786="",$BG786=""),"",ROUND($BF786*$BG786,1))</f>
        <v/>
      </c>
      <c r="BI786">
        <f>IF($BH786="","",IF($AO786="",$BH786,ROUND($BH786*$AO786,1)))</f>
        <v/>
      </c>
      <c r="BJ786">
        <f>IF($E786="","",IFERROR(VLOOKUP($C786,'_CONFIG_Risk_Calibration'!$A$5:$H$21,2,FALSE),3))</f>
        <v/>
      </c>
      <c r="BK786">
        <f>IF($E786="","",IFERROR(VLOOKUP($C786,'_CONFIG_Risk_Calibration'!$A$5:$H$21,3,FALSE),0))</f>
        <v/>
      </c>
      <c r="BL786">
        <f>IF($E786="","",IFERROR(VLOOKUP($C786,'_CONFIG_Risk_Calibration'!$A$5:$H$21,4,FALSE),3))</f>
        <v/>
      </c>
      <c r="BM786">
        <f>IF($E786="","",IFERROR(VLOOKUP($C786,'_CONFIG_Risk_Calibration'!$A$5:$H$21,5,FALSE),3))</f>
        <v/>
      </c>
      <c r="BN786">
        <f>IF($E786="","",IFERROR(VLOOKUP($C786,'_CONFIG_Risk_Calibration'!$A$5:$H$21,6,FALSE),"No"))</f>
        <v/>
      </c>
      <c r="BO786">
        <f>IF($E786="","",IFERROR(VLOOKUP($C786,'_CONFIG_Risk_Calibration'!$A$5:$H$21,7,FALSE),1))</f>
        <v/>
      </c>
      <c r="BP786">
        <f>IF($H786="","",MAX(1,MIN(5,((6-$H786)*0.45)+($BJ786*0.20)+('Resilience &amp; Risk Scenario'!$B$7*0.15)+($BK786*0.10)+($BL786*0.05)+(IF($BB786="Fast",5,IF($BB786="Slow",1,3))*0.05))))</f>
        <v/>
      </c>
      <c r="BQ786">
        <f>IF($H786="","",MAX(IF($BN786="Yes",$BO786,1),MIN(5,($U786*0.20)+($V786*0.15)+($W786*0.25)+($X786*0.15)+($BJ786*0.10)+($BM786*0.15))))</f>
        <v/>
      </c>
      <c r="BR786">
        <f>IF(OR($BP786="",$BQ786=""),"",ROUND($BP786*$BQ786,2))</f>
        <v/>
      </c>
      <c r="BS786">
        <f>IF($BR786="","",ROUND($BR786*IF($AO786="",1,$AO786)*IF($AX786="",1,$AX786)*(1+(($BM786-3)*0.10))*IF($BC786="",1,$BC786),2))</f>
        <v/>
      </c>
    </row>
    <row r="787" ht="69.90000000000001" customHeight="1" s="209">
      <c r="A787">
        <f>IF($BD787="","",SUMPRODUCT(ISNUMBER($BD$500:$BD$923)*($BD$500:$BD$923&gt;$BD787))+COUNTIF($BD$500:$BD787,$BD787))</f>
        <v/>
      </c>
      <c r="B787">
        <f>IF($H787="","",IF($H787&lt;5,"Yes","Maintain"))</f>
        <v/>
      </c>
      <c r="C787" t="inlineStr">
        <is>
          <t>Marketing Comms</t>
        </is>
      </c>
      <c r="D787" t="inlineStr">
        <is>
          <t>Marketing operations</t>
        </is>
      </c>
      <c r="E787" t="inlineStr">
        <is>
          <t>MARK-012</t>
        </is>
      </c>
      <c r="F787" t="inlineStr">
        <is>
          <t>Market communication and reputation resilience</t>
        </is>
      </c>
      <c r="G787">
        <f>IF($H787="","",IFERROR(INDEX('_ENGINE_Risk'!$H$41:$M$920,MATCH($E787,'_ENGINE_Risk'!$A$41:$A$920,0),$H787+1),""))</f>
        <v/>
      </c>
      <c r="H787">
        <f>IFERROR(VALUE(INDEX(_DATA_Assessment_Model!$H$5:$H$884,MATCH($E787,_DATA_Assessment_Model!$A$5:$A$884,0))),"")</f>
        <v/>
      </c>
      <c r="I787">
        <f>IF($H787="","",IFERROR(INDEX(_DATA_Assessment_Model!$L$5:$L$884,MATCH($E787,_DATA_Assessment_Model!$A$5:$A$884,0)),IF($H787&lt;=1,"Critical",IF($H787=2,"High",IF($H787=3,"Medium",IF($H787=4,"Low","Resilient"))))))</f>
        <v/>
      </c>
      <c r="J787">
        <f>IF($H787="","",MIN(5,MAX(1,6-$H787)))</f>
        <v/>
      </c>
      <c r="K787">
        <f>IF($H787="","",MAX(1,MIN(5,ROUNDUP(($U787*0.45)+($W787*0.35)+($X787*0.2),0))))</f>
        <v/>
      </c>
      <c r="L787">
        <f>IF($H787="","",$J787*$K787)</f>
        <v/>
      </c>
      <c r="M787">
        <f>IF($H787="","",MAX(1,MIN(5,ROUNDUP($L787/5,0))))</f>
        <v/>
      </c>
      <c r="N787">
        <f>IF($H787="","",IFERROR(INDEX('_ENGINE_Risk'!$T$41:$Y$920,MATCH($E787,'_ENGINE_Risk'!$A$41:$A$920,0),$H787+1),""))</f>
        <v/>
      </c>
      <c r="O787">
        <f>IF($H787="","",MAX(1,MIN(5,($U787+$V787+$X787)/3)))</f>
        <v/>
      </c>
      <c r="P787">
        <f>IF($H787="","",IF($I787="Critical",5,IF($I787="High",4,IF($I787="Medium",3,IF($I787="Low",2,1)))))</f>
        <v/>
      </c>
      <c r="Q787">
        <f>IF($H787="","",MAX(1,MIN(5,((5-$H787)*0.65)+($W787*0.35))))</f>
        <v/>
      </c>
      <c r="R787">
        <f>IF($H787="","",MAX(1,MIN(5,($V787+$X787)/2)))</f>
        <v/>
      </c>
      <c r="S787">
        <f>IF(OR($H787="",$N787=""),"",ROUND(($O787+$P787+$Q787+$R787)/$N787,2))</f>
        <v/>
      </c>
      <c r="T787">
        <f>IF($H787="","",IFERROR(INDEX('_ENGINE_Risk'!$N$41:$S$920,MATCH($E787,'_ENGINE_Risk'!$A$41:$A$920,0),$H787+1),""))</f>
        <v/>
      </c>
      <c r="U787">
        <f>IFERROR(INDEX(_DATA_Assessment_Model!$G$5:$G$884,MATCH($E787,_DATA_Assessment_Model!$A$5:$A$884,0)),"")</f>
        <v/>
      </c>
      <c r="V787">
        <f>IFERROR(INDEX(_DATA_Assessment_Model!$W$5:$W$884,MATCH($E787,_DATA_Assessment_Model!$A$5:$A$884,0)),"")</f>
        <v/>
      </c>
      <c r="W787">
        <f>IFERROR(INDEX(_DATA_Assessment_Model!$X$5:$X$884,MATCH($E787,_DATA_Assessment_Model!$A$5:$A$884,0)),"")</f>
        <v/>
      </c>
      <c r="X787">
        <f>IFERROR(INDEX(_DATA_Assessment_Model!$Y$5:$Y$884,MATCH($E787,_DATA_Assessment_Model!$A$5:$A$884,0)),"")</f>
        <v/>
      </c>
      <c r="Y787" t="inlineStr">
        <is>
          <t>Reputation crisis; Demand shock; IT outage</t>
        </is>
      </c>
      <c r="Z787" t="inlineStr">
        <is>
          <t>CMO / Communications</t>
        </is>
      </c>
      <c r="AA787" t="inlineStr">
        <is>
          <t>Policy/SOP; owner/RACI; system report; dashboard; contracts; test records; incident history; interview evidence related to critical marketing and communication asset access if cloud tools or key people are unavailable.</t>
        </is>
      </c>
      <c r="AB787">
        <f>IFERROR(INDEX(_DATA_Assessment_Model!$U$5:$U$884,MATCH($E787,_DATA_Assessment_Model!$A$5:$A$884,0)),"")</f>
        <v/>
      </c>
      <c r="AF787" t="inlineStr">
        <is>
          <t>How mature is the organization in managing critical marketing and communication asset access if cloud tools or key people are unavailable, including ownership, evidence, metrics, fallback procedures and crisis stress testing?</t>
        </is>
      </c>
      <c r="AO787">
        <f>IF($B787="Yes",IFERROR(INDEX(_ENGINE_Crisis!$F$501:$F$517,MATCH($C787,_ENGINE_Crisis!$A$501:$A$517,0)),1),"")</f>
        <v/>
      </c>
      <c r="AP787">
        <f>IF(AO787="","",ROUND($L787*AO787,1))</f>
        <v/>
      </c>
      <c r="AQ787">
        <f>IF(OR(AO787="",$S787=""),"",ROUND($S787*(0.7+0.3*AO787),2))</f>
        <v/>
      </c>
      <c r="AR787">
        <f>IFERROR(INDEX(_ENGINE_Crisis!$E$41:$E$700,MATCH('Resilience &amp; Risk Scenario'!$B$60&amp;"|"&amp;$C787,_ENGINE_Crisis!$I$41:$I$700,0)),"")</f>
        <v/>
      </c>
      <c r="AS787">
        <f>IFERROR(INDEX(_ENGINE_Crisis!$G$41:$G$700,MATCH('Resilience &amp; Risk Scenario'!$B$60&amp;"|"&amp;$C787,_ENGINE_Crisis!$I$41:$I$700,0)),"")</f>
        <v/>
      </c>
      <c r="AT787">
        <f>IFERROR(INDEX(_ENGINE_Initiatives!$A$5:$A$532,MATCH(1,INDEX((_ENGINE_Initiatives!$B$5:$B$532=$C787)*(_ENGINE_Initiatives!$C$5:$C$532=$D787),0),0)),"")</f>
        <v/>
      </c>
      <c r="AU787">
        <f>IFERROR(INDEX(_ENGINE_Initiatives!$F$5:$F$532,MATCH(1,INDEX((_ENGINE_Initiatives!$B$5:$B$532=$C787)*(_ENGINE_Initiatives!$C$5:$C$532=$D787),0),0)),"")</f>
        <v/>
      </c>
      <c r="AV787">
        <f>IFERROR(INDEX(_ENGINE_Initiatives!$AC$5:$AC$532,MATCH(1,INDEX((_ENGINE_Initiatives!$B$5:$B$532=$C787)*(_ENGINE_Initiatives!$C$5:$C$532=$D787),0),0)),"")</f>
        <v/>
      </c>
      <c r="AW787">
        <f>IFERROR(INDEX(_ENGINE_Initiatives!$AE$5:$AE$532,MATCH(1,INDEX((_ENGINE_Initiatives!$B$5:$B$532=$C787)*(_ENGINE_Initiatives!$C$5:$C$532=$D787),0),0)),"")</f>
        <v/>
      </c>
      <c r="AX787">
        <f>IF($B787="Yes",IFERROR(IF(SUMIFS(_REF_Model_Content!$E$1:$E$613,_REF_Model_Content!$A$1:$A$613,'Company Profile'!$B$9,_REF_Model_Content!$B$1:$B$613,$C787)=0,1,SUMIFS(_REF_Model_Content!$E$1:$E$613,_REF_Model_Content!$A$1:$A$613,'Company Profile'!$B$9,_REF_Model_Content!$B$1:$B$613,$C787)),1),"")</f>
        <v/>
      </c>
      <c r="AY787">
        <f>IF($L787="","",ROUND(IF($AP787="",$L787,$AP787)*IF($AX787="",1,$AX787),2))</f>
        <v/>
      </c>
      <c r="AZ787">
        <f>IF($S787="","",ROUND(IF($AQ787="",$S787,$AQ787)*IF($AX787="",1,$AX787),2))</f>
        <v/>
      </c>
      <c r="BB787">
        <f>IF($H787="","",IFERROR(INDEX('_ENGINE_Risk'!$AE$41:$AE$920,MATCH($E787,'_ENGINE_Risk'!$A$41:$A$920,0)),"Medium"))</f>
        <v/>
      </c>
      <c r="BC787">
        <f>IF($BB787="","",IF($BB787="Fast",1.25,IF($BB787="Slow",0.85,1)))</f>
        <v/>
      </c>
      <c r="BD787">
        <f>IF(OR($AZ787="",$BC787=""),"",ROUND($AZ787*$BC787,2))</f>
        <v/>
      </c>
      <c r="BF787">
        <f>IF(OR($H787="",$J787=""),"",_xlfn.IFNA(VLOOKUP($J787,_CONFIG_Model_Settings!$D$610:$E$614,2,0),""))</f>
        <v/>
      </c>
      <c r="BG787">
        <f>IF(OR($H787="",$K787=""),"",ROUND('Company Profile'!$B$569*INDEX(_CONFIG_Model_Settings!$H$610:$H$614,MATCH($K787,_CONFIG_Model_Settings!$G$610:$G$614,0)),0))</f>
        <v/>
      </c>
      <c r="BH787">
        <f>IF(OR($BF787="",$BG787=""),"",ROUND($BF787*$BG787,1))</f>
        <v/>
      </c>
      <c r="BI787">
        <f>IF($BH787="","",IF($AO787="",$BH787,ROUND($BH787*$AO787,1)))</f>
        <v/>
      </c>
      <c r="BJ787">
        <f>IF($E787="","",IFERROR(VLOOKUP($C787,'_CONFIG_Risk_Calibration'!$A$5:$H$21,2,FALSE),3))</f>
        <v/>
      </c>
      <c r="BK787">
        <f>IF($E787="","",IFERROR(VLOOKUP($C787,'_CONFIG_Risk_Calibration'!$A$5:$H$21,3,FALSE),0))</f>
        <v/>
      </c>
      <c r="BL787">
        <f>IF($E787="","",IFERROR(VLOOKUP($C787,'_CONFIG_Risk_Calibration'!$A$5:$H$21,4,FALSE),3))</f>
        <v/>
      </c>
      <c r="BM787">
        <f>IF($E787="","",IFERROR(VLOOKUP($C787,'_CONFIG_Risk_Calibration'!$A$5:$H$21,5,FALSE),3))</f>
        <v/>
      </c>
      <c r="BN787">
        <f>IF($E787="","",IFERROR(VLOOKUP($C787,'_CONFIG_Risk_Calibration'!$A$5:$H$21,6,FALSE),"No"))</f>
        <v/>
      </c>
      <c r="BO787">
        <f>IF($E787="","",IFERROR(VLOOKUP($C787,'_CONFIG_Risk_Calibration'!$A$5:$H$21,7,FALSE),1))</f>
        <v/>
      </c>
      <c r="BP787">
        <f>IF($H787="","",MAX(1,MIN(5,((6-$H787)*0.45)+($BJ787*0.20)+('Resilience &amp; Risk Scenario'!$B$7*0.15)+($BK787*0.10)+($BL787*0.05)+(IF($BB787="Fast",5,IF($BB787="Slow",1,3))*0.05))))</f>
        <v/>
      </c>
      <c r="BQ787">
        <f>IF($H787="","",MAX(IF($BN787="Yes",$BO787,1),MIN(5,($U787*0.20)+($V787*0.15)+($W787*0.25)+($X787*0.15)+($BJ787*0.10)+($BM787*0.15))))</f>
        <v/>
      </c>
      <c r="BR787">
        <f>IF(OR($BP787="",$BQ787=""),"",ROUND($BP787*$BQ787,2))</f>
        <v/>
      </c>
      <c r="BS787">
        <f>IF($BR787="","",ROUND($BR787*IF($AO787="",1,$AO787)*IF($AX787="",1,$AX787)*(1+(($BM787-3)*0.10))*IF($BC787="",1,$BC787),2))</f>
        <v/>
      </c>
    </row>
    <row r="788" ht="69.90000000000001" customHeight="1" s="209">
      <c r="A788">
        <f>IF($BD788="","",SUMPRODUCT(ISNUMBER($BD$500:$BD$923)*($BD$500:$BD$923&gt;$BD788))+COUNTIF($BD$500:$BD788,$BD788))</f>
        <v/>
      </c>
      <c r="B788">
        <f>IF($H788="","",IF($H788&lt;5,"Yes","Maintain"))</f>
        <v/>
      </c>
      <c r="C788" t="inlineStr">
        <is>
          <t>Marketing Comms</t>
        </is>
      </c>
      <c r="D788" t="inlineStr">
        <is>
          <t>Marketing operations</t>
        </is>
      </c>
      <c r="E788" t="inlineStr">
        <is>
          <t>MARK-013</t>
        </is>
      </c>
      <c r="F788" t="inlineStr">
        <is>
          <t>Market communication and reputation resilience</t>
        </is>
      </c>
      <c r="G788">
        <f>IF($H788="","",IFERROR(INDEX('_ENGINE_Risk'!$H$41:$M$920,MATCH($E788,'_ENGINE_Risk'!$A$41:$A$920,0),$H788+1),""))</f>
        <v/>
      </c>
      <c r="H788">
        <f>IFERROR(VALUE(INDEX(_DATA_Assessment_Model!$H$5:$H$884,MATCH($E788,_DATA_Assessment_Model!$A$5:$A$884,0))),"")</f>
        <v/>
      </c>
      <c r="I788">
        <f>IF($H788="","",IFERROR(INDEX(_DATA_Assessment_Model!$L$5:$L$884,MATCH($E788,_DATA_Assessment_Model!$A$5:$A$884,0)),IF($H788&lt;=1,"Critical",IF($H788=2,"High",IF($H788=3,"Medium",IF($H788=4,"Low","Resilient"))))))</f>
        <v/>
      </c>
      <c r="J788">
        <f>IF($H788="","",MIN(5,MAX(1,6-$H788)))</f>
        <v/>
      </c>
      <c r="K788">
        <f>IF($H788="","",MAX(1,MIN(5,ROUNDUP(($U788*0.45)+($W788*0.35)+($X788*0.2),0))))</f>
        <v/>
      </c>
      <c r="L788">
        <f>IF($H788="","",$J788*$K788)</f>
        <v/>
      </c>
      <c r="M788">
        <f>IF($H788="","",MAX(1,MIN(5,ROUNDUP($L788/5,0))))</f>
        <v/>
      </c>
      <c r="N788">
        <f>IF($H788="","",IFERROR(INDEX('_ENGINE_Risk'!$T$41:$Y$920,MATCH($E788,'_ENGINE_Risk'!$A$41:$A$920,0),$H788+1),""))</f>
        <v/>
      </c>
      <c r="O788">
        <f>IF($H788="","",MAX(1,MIN(5,($U788+$V788+$X788)/3)))</f>
        <v/>
      </c>
      <c r="P788">
        <f>IF($H788="","",IF($I788="Critical",5,IF($I788="High",4,IF($I788="Medium",3,IF($I788="Low",2,1)))))</f>
        <v/>
      </c>
      <c r="Q788">
        <f>IF($H788="","",MAX(1,MIN(5,((5-$H788)*0.65)+($W788*0.35))))</f>
        <v/>
      </c>
      <c r="R788">
        <f>IF($H788="","",MAX(1,MIN(5,($V788+$X788)/2)))</f>
        <v/>
      </c>
      <c r="S788">
        <f>IF(OR($H788="",$N788=""),"",ROUND(($O788+$P788+$Q788+$R788)/$N788,2))</f>
        <v/>
      </c>
      <c r="T788">
        <f>IF($H788="","",IFERROR(INDEX('_ENGINE_Risk'!$N$41:$S$920,MATCH($E788,'_ENGINE_Risk'!$A$41:$A$920,0),$H788+1),""))</f>
        <v/>
      </c>
      <c r="U788">
        <f>IFERROR(INDEX(_DATA_Assessment_Model!$G$5:$G$884,MATCH($E788,_DATA_Assessment_Model!$A$5:$A$884,0)),"")</f>
        <v/>
      </c>
      <c r="V788">
        <f>IFERROR(INDEX(_DATA_Assessment_Model!$W$5:$W$884,MATCH($E788,_DATA_Assessment_Model!$A$5:$A$884,0)),"")</f>
        <v/>
      </c>
      <c r="W788">
        <f>IFERROR(INDEX(_DATA_Assessment_Model!$X$5:$X$884,MATCH($E788,_DATA_Assessment_Model!$A$5:$A$884,0)),"")</f>
        <v/>
      </c>
      <c r="X788">
        <f>IFERROR(INDEX(_DATA_Assessment_Model!$Y$5:$Y$884,MATCH($E788,_DATA_Assessment_Model!$A$5:$A$884,0)),"")</f>
        <v/>
      </c>
      <c r="Y788" t="inlineStr">
        <is>
          <t>Reputation crisis; Demand shock; IT outage</t>
        </is>
      </c>
      <c r="Z788" t="inlineStr">
        <is>
          <t>CMO / Communications</t>
        </is>
      </c>
      <c r="AA788" t="inlineStr">
        <is>
          <t>Policy/SOP; owner/RACI; system report; dashboard; contracts; test records; incident history; interview evidence related to marketing automation, email, analytics, CMS, domain and DNS dependency documentation.</t>
        </is>
      </c>
      <c r="AB788">
        <f>IFERROR(INDEX(_DATA_Assessment_Model!$U$5:$U$884,MATCH($E788,_DATA_Assessment_Model!$A$5:$A$884,0)),"")</f>
        <v/>
      </c>
      <c r="AF788" t="inlineStr">
        <is>
          <t>How mature is the organization in managing marketing automation, email, analytics, CMS, domain and DNS dependency documentation, including ownership, evidence, metrics, fallback procedures and crisis stress testing?</t>
        </is>
      </c>
      <c r="AO788">
        <f>IF($B788="Yes",IFERROR(INDEX(_ENGINE_Crisis!$F$501:$F$517,MATCH($C788,_ENGINE_Crisis!$A$501:$A$517,0)),1),"")</f>
        <v/>
      </c>
      <c r="AP788">
        <f>IF(AO788="","",ROUND($L788*AO788,1))</f>
        <v/>
      </c>
      <c r="AQ788">
        <f>IF(OR(AO788="",$S788=""),"",ROUND($S788*(0.7+0.3*AO788),2))</f>
        <v/>
      </c>
      <c r="AR788">
        <f>IFERROR(INDEX(_ENGINE_Crisis!$E$41:$E$700,MATCH('Resilience &amp; Risk Scenario'!$B$60&amp;"|"&amp;$C788,_ENGINE_Crisis!$I$41:$I$700,0)),"")</f>
        <v/>
      </c>
      <c r="AS788">
        <f>IFERROR(INDEX(_ENGINE_Crisis!$G$41:$G$700,MATCH('Resilience &amp; Risk Scenario'!$B$60&amp;"|"&amp;$C788,_ENGINE_Crisis!$I$41:$I$700,0)),"")</f>
        <v/>
      </c>
      <c r="AT788">
        <f>IFERROR(INDEX(_ENGINE_Initiatives!$A$5:$A$532,MATCH(1,INDEX((_ENGINE_Initiatives!$B$5:$B$532=$C788)*(_ENGINE_Initiatives!$C$5:$C$532=$D788),0),0)),"")</f>
        <v/>
      </c>
      <c r="AU788">
        <f>IFERROR(INDEX(_ENGINE_Initiatives!$F$5:$F$532,MATCH(1,INDEX((_ENGINE_Initiatives!$B$5:$B$532=$C788)*(_ENGINE_Initiatives!$C$5:$C$532=$D788),0),0)),"")</f>
        <v/>
      </c>
      <c r="AV788">
        <f>IFERROR(INDEX(_ENGINE_Initiatives!$AC$5:$AC$532,MATCH(1,INDEX((_ENGINE_Initiatives!$B$5:$B$532=$C788)*(_ENGINE_Initiatives!$C$5:$C$532=$D788),0),0)),"")</f>
        <v/>
      </c>
      <c r="AW788">
        <f>IFERROR(INDEX(_ENGINE_Initiatives!$AE$5:$AE$532,MATCH(1,INDEX((_ENGINE_Initiatives!$B$5:$B$532=$C788)*(_ENGINE_Initiatives!$C$5:$C$532=$D788),0),0)),"")</f>
        <v/>
      </c>
      <c r="AX788">
        <f>IF($B788="Yes",IFERROR(IF(SUMIFS(_REF_Model_Content!$E$1:$E$613,_REF_Model_Content!$A$1:$A$613,'Company Profile'!$B$9,_REF_Model_Content!$B$1:$B$613,$C788)=0,1,SUMIFS(_REF_Model_Content!$E$1:$E$613,_REF_Model_Content!$A$1:$A$613,'Company Profile'!$B$9,_REF_Model_Content!$B$1:$B$613,$C788)),1),"")</f>
        <v/>
      </c>
      <c r="AY788">
        <f>IF($L788="","",ROUND(IF($AP788="",$L788,$AP788)*IF($AX788="",1,$AX788),2))</f>
        <v/>
      </c>
      <c r="AZ788">
        <f>IF($S788="","",ROUND(IF($AQ788="",$S788,$AQ788)*IF($AX788="",1,$AX788),2))</f>
        <v/>
      </c>
      <c r="BB788">
        <f>IF($H788="","",IFERROR(INDEX('_ENGINE_Risk'!$AE$41:$AE$920,MATCH($E788,'_ENGINE_Risk'!$A$41:$A$920,0)),"Medium"))</f>
        <v/>
      </c>
      <c r="BC788">
        <f>IF($BB788="","",IF($BB788="Fast",1.25,IF($BB788="Slow",0.85,1)))</f>
        <v/>
      </c>
      <c r="BD788">
        <f>IF(OR($AZ788="",$BC788=""),"",ROUND($AZ788*$BC788,2))</f>
        <v/>
      </c>
      <c r="BF788">
        <f>IF(OR($H788="",$J788=""),"",_xlfn.IFNA(VLOOKUP($J788,_CONFIG_Model_Settings!$D$610:$E$614,2,0),""))</f>
        <v/>
      </c>
      <c r="BG788">
        <f>IF(OR($H788="",$K788=""),"",ROUND('Company Profile'!$B$569*INDEX(_CONFIG_Model_Settings!$H$610:$H$614,MATCH($K788,_CONFIG_Model_Settings!$G$610:$G$614,0)),0))</f>
        <v/>
      </c>
      <c r="BH788">
        <f>IF(OR($BF788="",$BG788=""),"",ROUND($BF788*$BG788,1))</f>
        <v/>
      </c>
      <c r="BI788">
        <f>IF($BH788="","",IF($AO788="",$BH788,ROUND($BH788*$AO788,1)))</f>
        <v/>
      </c>
      <c r="BJ788">
        <f>IF($E788="","",IFERROR(VLOOKUP($C788,'_CONFIG_Risk_Calibration'!$A$5:$H$21,2,FALSE),3))</f>
        <v/>
      </c>
      <c r="BK788">
        <f>IF($E788="","",IFERROR(VLOOKUP($C788,'_CONFIG_Risk_Calibration'!$A$5:$H$21,3,FALSE),0))</f>
        <v/>
      </c>
      <c r="BL788">
        <f>IF($E788="","",IFERROR(VLOOKUP($C788,'_CONFIG_Risk_Calibration'!$A$5:$H$21,4,FALSE),3))</f>
        <v/>
      </c>
      <c r="BM788">
        <f>IF($E788="","",IFERROR(VLOOKUP($C788,'_CONFIG_Risk_Calibration'!$A$5:$H$21,5,FALSE),3))</f>
        <v/>
      </c>
      <c r="BN788">
        <f>IF($E788="","",IFERROR(VLOOKUP($C788,'_CONFIG_Risk_Calibration'!$A$5:$H$21,6,FALSE),"No"))</f>
        <v/>
      </c>
      <c r="BO788">
        <f>IF($E788="","",IFERROR(VLOOKUP($C788,'_CONFIG_Risk_Calibration'!$A$5:$H$21,7,FALSE),1))</f>
        <v/>
      </c>
      <c r="BP788">
        <f>IF($H788="","",MAX(1,MIN(5,((6-$H788)*0.45)+($BJ788*0.20)+('Resilience &amp; Risk Scenario'!$B$7*0.15)+($BK788*0.10)+($BL788*0.05)+(IF($BB788="Fast",5,IF($BB788="Slow",1,3))*0.05))))</f>
        <v/>
      </c>
      <c r="BQ788">
        <f>IF($H788="","",MAX(IF($BN788="Yes",$BO788,1),MIN(5,($U788*0.20)+($V788*0.15)+($W788*0.25)+($X788*0.15)+($BJ788*0.10)+($BM788*0.15))))</f>
        <v/>
      </c>
      <c r="BR788">
        <f>IF(OR($BP788="",$BQ788=""),"",ROUND($BP788*$BQ788,2))</f>
        <v/>
      </c>
      <c r="BS788">
        <f>IF($BR788="","",ROUND($BR788*IF($AO788="",1,$AO788)*IF($AX788="",1,$AX788)*(1+(($BM788-3)*0.10))*IF($BC788="",1,$BC788),2))</f>
        <v/>
      </c>
    </row>
    <row r="789" ht="69.90000000000001" customHeight="1" s="209">
      <c r="A789">
        <f>IF($BD789="","",SUMPRODUCT(ISNUMBER($BD$500:$BD$923)*($BD$500:$BD$923&gt;$BD789))+COUNTIF($BD$500:$BD789,$BD789))</f>
        <v/>
      </c>
      <c r="B789">
        <f>IF($H789="","",IF($H789&lt;5,"Yes","Maintain"))</f>
        <v/>
      </c>
      <c r="C789" t="inlineStr">
        <is>
          <t>Marketing Comms</t>
        </is>
      </c>
      <c r="D789" t="inlineStr">
        <is>
          <t>Marketing operations</t>
        </is>
      </c>
      <c r="E789" t="inlineStr">
        <is>
          <t>MARK-014</t>
        </is>
      </c>
      <c r="F789" t="inlineStr">
        <is>
          <t>Market communication and reputation resilience</t>
        </is>
      </c>
      <c r="G789">
        <f>IF($H789="","",IFERROR(INDEX('_ENGINE_Risk'!$H$41:$M$920,MATCH($E789,'_ENGINE_Risk'!$A$41:$A$920,0),$H789+1),""))</f>
        <v/>
      </c>
      <c r="H789">
        <f>IFERROR(VALUE(INDEX(_DATA_Assessment_Model!$H$5:$H$884,MATCH($E789,_DATA_Assessment_Model!$A$5:$A$884,0))),"")</f>
        <v/>
      </c>
      <c r="I789">
        <f>IF($H789="","",IFERROR(INDEX(_DATA_Assessment_Model!$L$5:$L$884,MATCH($E789,_DATA_Assessment_Model!$A$5:$A$884,0)),IF($H789&lt;=1,"Critical",IF($H789=2,"High",IF($H789=3,"Medium",IF($H789=4,"Low","Resilient"))))))</f>
        <v/>
      </c>
      <c r="J789">
        <f>IF($H789="","",MIN(5,MAX(1,6-$H789)))</f>
        <v/>
      </c>
      <c r="K789">
        <f>IF($H789="","",MAX(1,MIN(5,ROUNDUP(($U789*0.45)+($W789*0.35)+($X789*0.2),0))))</f>
        <v/>
      </c>
      <c r="L789">
        <f>IF($H789="","",$J789*$K789)</f>
        <v/>
      </c>
      <c r="M789">
        <f>IF($H789="","",MAX(1,MIN(5,ROUNDUP($L789/5,0))))</f>
        <v/>
      </c>
      <c r="N789">
        <f>IF($H789="","",IFERROR(INDEX('_ENGINE_Risk'!$T$41:$Y$920,MATCH($E789,'_ENGINE_Risk'!$A$41:$A$920,0),$H789+1),""))</f>
        <v/>
      </c>
      <c r="O789">
        <f>IF($H789="","",MAX(1,MIN(5,($U789+$V789+$X789)/3)))</f>
        <v/>
      </c>
      <c r="P789">
        <f>IF($H789="","",IF($I789="Critical",5,IF($I789="High",4,IF($I789="Medium",3,IF($I789="Low",2,1)))))</f>
        <v/>
      </c>
      <c r="Q789">
        <f>IF($H789="","",MAX(1,MIN(5,((5-$H789)*0.65)+($W789*0.35))))</f>
        <v/>
      </c>
      <c r="R789">
        <f>IF($H789="","",MAX(1,MIN(5,($V789+$X789)/2)))</f>
        <v/>
      </c>
      <c r="S789">
        <f>IF(OR($H789="",$N789=""),"",ROUND(($O789+$P789+$Q789+$R789)/$N789,2))</f>
        <v/>
      </c>
      <c r="T789">
        <f>IF($H789="","",IFERROR(INDEX('_ENGINE_Risk'!$N$41:$S$920,MATCH($E789,'_ENGINE_Risk'!$A$41:$A$920,0),$H789+1),""))</f>
        <v/>
      </c>
      <c r="U789">
        <f>IFERROR(INDEX(_DATA_Assessment_Model!$G$5:$G$884,MATCH($E789,_DATA_Assessment_Model!$A$5:$A$884,0)),"")</f>
        <v/>
      </c>
      <c r="V789">
        <f>IFERROR(INDEX(_DATA_Assessment_Model!$W$5:$W$884,MATCH($E789,_DATA_Assessment_Model!$A$5:$A$884,0)),"")</f>
        <v/>
      </c>
      <c r="W789">
        <f>IFERROR(INDEX(_DATA_Assessment_Model!$X$5:$X$884,MATCH($E789,_DATA_Assessment_Model!$A$5:$A$884,0)),"")</f>
        <v/>
      </c>
      <c r="X789">
        <f>IFERROR(INDEX(_DATA_Assessment_Model!$Y$5:$Y$884,MATCH($E789,_DATA_Assessment_Model!$A$5:$A$884,0)),"")</f>
        <v/>
      </c>
      <c r="Y789" t="inlineStr">
        <is>
          <t>Reputation crisis; Demand shock; IT outage</t>
        </is>
      </c>
      <c r="Z789" t="inlineStr">
        <is>
          <t>CMO / Communications</t>
        </is>
      </c>
      <c r="AA789" t="inlineStr">
        <is>
          <t>Policy/SOP; owner/RACI; system report; dashboard; contracts; test records; incident history; interview evidence related to privacy, consent, unsubscribe, advertising claims and industry marketing compliance.</t>
        </is>
      </c>
      <c r="AB789">
        <f>IFERROR(INDEX(_DATA_Assessment_Model!$U$5:$U$884,MATCH($E789,_DATA_Assessment_Model!$A$5:$A$884,0)),"")</f>
        <v/>
      </c>
      <c r="AF789" t="inlineStr">
        <is>
          <t>How mature is the organization in managing privacy, consent, unsubscribe, advertising claims and industry marketing compliance, including ownership, evidence, metrics, fallback procedures and crisis stress testing?</t>
        </is>
      </c>
      <c r="AO789">
        <f>IF($B789="Yes",IFERROR(INDEX(_ENGINE_Crisis!$F$501:$F$517,MATCH($C789,_ENGINE_Crisis!$A$501:$A$517,0)),1),"")</f>
        <v/>
      </c>
      <c r="AP789">
        <f>IF(AO789="","",ROUND($L789*AO789,1))</f>
        <v/>
      </c>
      <c r="AQ789">
        <f>IF(OR(AO789="",$S789=""),"",ROUND($S789*(0.7+0.3*AO789),2))</f>
        <v/>
      </c>
      <c r="AR789">
        <f>IFERROR(INDEX(_ENGINE_Crisis!$E$41:$E$700,MATCH('Resilience &amp; Risk Scenario'!$B$60&amp;"|"&amp;$C789,_ENGINE_Crisis!$I$41:$I$700,0)),"")</f>
        <v/>
      </c>
      <c r="AS789">
        <f>IFERROR(INDEX(_ENGINE_Crisis!$G$41:$G$700,MATCH('Resilience &amp; Risk Scenario'!$B$60&amp;"|"&amp;$C789,_ENGINE_Crisis!$I$41:$I$700,0)),"")</f>
        <v/>
      </c>
      <c r="AT789">
        <f>IFERROR(INDEX(_ENGINE_Initiatives!$A$5:$A$532,MATCH(1,INDEX((_ENGINE_Initiatives!$B$5:$B$532=$C789)*(_ENGINE_Initiatives!$C$5:$C$532=$D789),0),0)),"")</f>
        <v/>
      </c>
      <c r="AU789">
        <f>IFERROR(INDEX(_ENGINE_Initiatives!$F$5:$F$532,MATCH(1,INDEX((_ENGINE_Initiatives!$B$5:$B$532=$C789)*(_ENGINE_Initiatives!$C$5:$C$532=$D789),0),0)),"")</f>
        <v/>
      </c>
      <c r="AV789">
        <f>IFERROR(INDEX(_ENGINE_Initiatives!$AC$5:$AC$532,MATCH(1,INDEX((_ENGINE_Initiatives!$B$5:$B$532=$C789)*(_ENGINE_Initiatives!$C$5:$C$532=$D789),0),0)),"")</f>
        <v/>
      </c>
      <c r="AW789">
        <f>IFERROR(INDEX(_ENGINE_Initiatives!$AE$5:$AE$532,MATCH(1,INDEX((_ENGINE_Initiatives!$B$5:$B$532=$C789)*(_ENGINE_Initiatives!$C$5:$C$532=$D789),0),0)),"")</f>
        <v/>
      </c>
      <c r="AX789">
        <f>IF($B789="Yes",IFERROR(IF(SUMIFS(_REF_Model_Content!$E$1:$E$613,_REF_Model_Content!$A$1:$A$613,'Company Profile'!$B$9,_REF_Model_Content!$B$1:$B$613,$C789)=0,1,SUMIFS(_REF_Model_Content!$E$1:$E$613,_REF_Model_Content!$A$1:$A$613,'Company Profile'!$B$9,_REF_Model_Content!$B$1:$B$613,$C789)),1),"")</f>
        <v/>
      </c>
      <c r="AY789">
        <f>IF($L789="","",ROUND(IF($AP789="",$L789,$AP789)*IF($AX789="",1,$AX789),2))</f>
        <v/>
      </c>
      <c r="AZ789">
        <f>IF($S789="","",ROUND(IF($AQ789="",$S789,$AQ789)*IF($AX789="",1,$AX789),2))</f>
        <v/>
      </c>
      <c r="BB789">
        <f>IF($H789="","",IFERROR(INDEX('_ENGINE_Risk'!$AE$41:$AE$920,MATCH($E789,'_ENGINE_Risk'!$A$41:$A$920,0)),"Medium"))</f>
        <v/>
      </c>
      <c r="BC789">
        <f>IF($BB789="","",IF($BB789="Fast",1.25,IF($BB789="Slow",0.85,1)))</f>
        <v/>
      </c>
      <c r="BD789">
        <f>IF(OR($AZ789="",$BC789=""),"",ROUND($AZ789*$BC789,2))</f>
        <v/>
      </c>
      <c r="BF789">
        <f>IF(OR($H789="",$J789=""),"",_xlfn.IFNA(VLOOKUP($J789,_CONFIG_Model_Settings!$D$610:$E$614,2,0),""))</f>
        <v/>
      </c>
      <c r="BG789">
        <f>IF(OR($H789="",$K789=""),"",ROUND('Company Profile'!$B$569*INDEX(_CONFIG_Model_Settings!$H$610:$H$614,MATCH($K789,_CONFIG_Model_Settings!$G$610:$G$614,0)),0))</f>
        <v/>
      </c>
      <c r="BH789">
        <f>IF(OR($BF789="",$BG789=""),"",ROUND($BF789*$BG789,1))</f>
        <v/>
      </c>
      <c r="BI789">
        <f>IF($BH789="","",IF($AO789="",$BH789,ROUND($BH789*$AO789,1)))</f>
        <v/>
      </c>
      <c r="BJ789">
        <f>IF($E789="","",IFERROR(VLOOKUP($C789,'_CONFIG_Risk_Calibration'!$A$5:$H$21,2,FALSE),3))</f>
        <v/>
      </c>
      <c r="BK789">
        <f>IF($E789="","",IFERROR(VLOOKUP($C789,'_CONFIG_Risk_Calibration'!$A$5:$H$21,3,FALSE),0))</f>
        <v/>
      </c>
      <c r="BL789">
        <f>IF($E789="","",IFERROR(VLOOKUP($C789,'_CONFIG_Risk_Calibration'!$A$5:$H$21,4,FALSE),3))</f>
        <v/>
      </c>
      <c r="BM789">
        <f>IF($E789="","",IFERROR(VLOOKUP($C789,'_CONFIG_Risk_Calibration'!$A$5:$H$21,5,FALSE),3))</f>
        <v/>
      </c>
      <c r="BN789">
        <f>IF($E789="","",IFERROR(VLOOKUP($C789,'_CONFIG_Risk_Calibration'!$A$5:$H$21,6,FALSE),"No"))</f>
        <v/>
      </c>
      <c r="BO789">
        <f>IF($E789="","",IFERROR(VLOOKUP($C789,'_CONFIG_Risk_Calibration'!$A$5:$H$21,7,FALSE),1))</f>
        <v/>
      </c>
      <c r="BP789">
        <f>IF($H789="","",MAX(1,MIN(5,((6-$H789)*0.45)+($BJ789*0.20)+('Resilience &amp; Risk Scenario'!$B$7*0.15)+($BK789*0.10)+($BL789*0.05)+(IF($BB789="Fast",5,IF($BB789="Slow",1,3))*0.05))))</f>
        <v/>
      </c>
      <c r="BQ789">
        <f>IF($H789="","",MAX(IF($BN789="Yes",$BO789,1),MIN(5,($U789*0.20)+($V789*0.15)+($W789*0.25)+($X789*0.15)+($BJ789*0.10)+($BM789*0.15))))</f>
        <v/>
      </c>
      <c r="BR789">
        <f>IF(OR($BP789="",$BQ789=""),"",ROUND($BP789*$BQ789,2))</f>
        <v/>
      </c>
      <c r="BS789">
        <f>IF($BR789="","",ROUND($BR789*IF($AO789="",1,$AO789)*IF($AX789="",1,$AX789)*(1+(($BM789-3)*0.10))*IF($BC789="",1,$BC789),2))</f>
        <v/>
      </c>
    </row>
    <row r="790" ht="69.90000000000001" customHeight="1" s="209">
      <c r="A790">
        <f>IF($BD790="","",SUMPRODUCT(ISNUMBER($BD$500:$BD$923)*($BD$500:$BD$923&gt;$BD790))+COUNTIF($BD$500:$BD790,$BD790))</f>
        <v/>
      </c>
      <c r="B790">
        <f>IF($H790="","",IF($H790&lt;5,"Yes","Maintain"))</f>
        <v/>
      </c>
      <c r="C790" t="inlineStr">
        <is>
          <t>Marketing Comms</t>
        </is>
      </c>
      <c r="D790" t="inlineStr">
        <is>
          <t>Marketing operations</t>
        </is>
      </c>
      <c r="E790" t="inlineStr">
        <is>
          <t>MARK-015</t>
        </is>
      </c>
      <c r="F790" t="inlineStr">
        <is>
          <t>Market communication and reputation resilience</t>
        </is>
      </c>
      <c r="G790">
        <f>IF($H790="","",IFERROR(INDEX('_ENGINE_Risk'!$H$41:$M$920,MATCH($E790,'_ENGINE_Risk'!$A$41:$A$920,0),$H790+1),""))</f>
        <v/>
      </c>
      <c r="H790">
        <f>IFERROR(VALUE(INDEX(_DATA_Assessment_Model!$H$5:$H$884,MATCH($E790,_DATA_Assessment_Model!$A$5:$A$884,0))),"")</f>
        <v/>
      </c>
      <c r="I790">
        <f>IF($H790="","",IFERROR(INDEX(_DATA_Assessment_Model!$L$5:$L$884,MATCH($E790,_DATA_Assessment_Model!$A$5:$A$884,0)),IF($H790&lt;=1,"Critical",IF($H790=2,"High",IF($H790=3,"Medium",IF($H790=4,"Low","Resilient"))))))</f>
        <v/>
      </c>
      <c r="J790">
        <f>IF($H790="","",MIN(5,MAX(1,6-$H790)))</f>
        <v/>
      </c>
      <c r="K790">
        <f>IF($H790="","",MAX(1,MIN(5,ROUNDUP(($U790*0.45)+($W790*0.35)+($X790*0.2),0))))</f>
        <v/>
      </c>
      <c r="L790">
        <f>IF($H790="","",$J790*$K790)</f>
        <v/>
      </c>
      <c r="M790">
        <f>IF($H790="","",MAX(1,MIN(5,ROUNDUP($L790/5,0))))</f>
        <v/>
      </c>
      <c r="N790">
        <f>IF($H790="","",IFERROR(INDEX('_ENGINE_Risk'!$T$41:$Y$920,MATCH($E790,'_ENGINE_Risk'!$A$41:$A$920,0),$H790+1),""))</f>
        <v/>
      </c>
      <c r="O790">
        <f>IF($H790="","",MAX(1,MIN(5,($U790+$V790+$X790)/3)))</f>
        <v/>
      </c>
      <c r="P790">
        <f>IF($H790="","",IF($I790="Critical",5,IF($I790="High",4,IF($I790="Medium",3,IF($I790="Low",2,1)))))</f>
        <v/>
      </c>
      <c r="Q790">
        <f>IF($H790="","",MAX(1,MIN(5,((5-$H790)*0.65)+($W790*0.35))))</f>
        <v/>
      </c>
      <c r="R790">
        <f>IF($H790="","",MAX(1,MIN(5,($V790+$X790)/2)))</f>
        <v/>
      </c>
      <c r="S790">
        <f>IF(OR($H790="",$N790=""),"",ROUND(($O790+$P790+$Q790+$R790)/$N790,2))</f>
        <v/>
      </c>
      <c r="T790">
        <f>IF($H790="","",IFERROR(INDEX('_ENGINE_Risk'!$N$41:$S$920,MATCH($E790,'_ENGINE_Risk'!$A$41:$A$920,0),$H790+1),""))</f>
        <v/>
      </c>
      <c r="U790">
        <f>IFERROR(INDEX(_DATA_Assessment_Model!$G$5:$G$884,MATCH($E790,_DATA_Assessment_Model!$A$5:$A$884,0)),"")</f>
        <v/>
      </c>
      <c r="V790">
        <f>IFERROR(INDEX(_DATA_Assessment_Model!$W$5:$W$884,MATCH($E790,_DATA_Assessment_Model!$A$5:$A$884,0)),"")</f>
        <v/>
      </c>
      <c r="W790">
        <f>IFERROR(INDEX(_DATA_Assessment_Model!$X$5:$X$884,MATCH($E790,_DATA_Assessment_Model!$A$5:$A$884,0)),"")</f>
        <v/>
      </c>
      <c r="X790">
        <f>IFERROR(INDEX(_DATA_Assessment_Model!$Y$5:$Y$884,MATCH($E790,_DATA_Assessment_Model!$A$5:$A$884,0)),"")</f>
        <v/>
      </c>
      <c r="Y790" t="inlineStr">
        <is>
          <t>Reputation crisis; Demand shock; IT outage</t>
        </is>
      </c>
      <c r="Z790" t="inlineStr">
        <is>
          <t>CMO / Communications</t>
        </is>
      </c>
      <c r="AA790" t="inlineStr">
        <is>
          <t>Policy/SOP; owner/RACI; system report; dashboard; contracts; test records; incident history; interview evidence related to demand-generation playbooks for budget cuts, channel failure, competitive pressure or geopolitical restrictions.</t>
        </is>
      </c>
      <c r="AB790">
        <f>IFERROR(INDEX(_DATA_Assessment_Model!$U$5:$U$884,MATCH($E790,_DATA_Assessment_Model!$A$5:$A$884,0)),"")</f>
        <v/>
      </c>
      <c r="AF790" t="inlineStr">
        <is>
          <t>How mature is the organization in managing demand-generation playbooks for budget cuts, channel failure, competitive pressure or geopolitical restrictions, including ownership, evidence, metrics, fallback procedures and crisis stress testing?</t>
        </is>
      </c>
      <c r="AO790">
        <f>IF($B790="Yes",IFERROR(INDEX(_ENGINE_Crisis!$F$501:$F$517,MATCH($C790,_ENGINE_Crisis!$A$501:$A$517,0)),1),"")</f>
        <v/>
      </c>
      <c r="AP790">
        <f>IF(AO790="","",ROUND($L790*AO790,1))</f>
        <v/>
      </c>
      <c r="AQ790">
        <f>IF(OR(AO790="",$S790=""),"",ROUND($S790*(0.7+0.3*AO790),2))</f>
        <v/>
      </c>
      <c r="AR790">
        <f>IFERROR(INDEX(_ENGINE_Crisis!$E$41:$E$700,MATCH('Resilience &amp; Risk Scenario'!$B$60&amp;"|"&amp;$C790,_ENGINE_Crisis!$I$41:$I$700,0)),"")</f>
        <v/>
      </c>
      <c r="AS790">
        <f>IFERROR(INDEX(_ENGINE_Crisis!$G$41:$G$700,MATCH('Resilience &amp; Risk Scenario'!$B$60&amp;"|"&amp;$C790,_ENGINE_Crisis!$I$41:$I$700,0)),"")</f>
        <v/>
      </c>
      <c r="AT790">
        <f>IFERROR(INDEX(_ENGINE_Initiatives!$A$5:$A$532,MATCH(1,INDEX((_ENGINE_Initiatives!$B$5:$B$532=$C790)*(_ENGINE_Initiatives!$C$5:$C$532=$D790),0),0)),"")</f>
        <v/>
      </c>
      <c r="AU790">
        <f>IFERROR(INDEX(_ENGINE_Initiatives!$F$5:$F$532,MATCH(1,INDEX((_ENGINE_Initiatives!$B$5:$B$532=$C790)*(_ENGINE_Initiatives!$C$5:$C$532=$D790),0),0)),"")</f>
        <v/>
      </c>
      <c r="AV790">
        <f>IFERROR(INDEX(_ENGINE_Initiatives!$AC$5:$AC$532,MATCH(1,INDEX((_ENGINE_Initiatives!$B$5:$B$532=$C790)*(_ENGINE_Initiatives!$C$5:$C$532=$D790),0),0)),"")</f>
        <v/>
      </c>
      <c r="AW790">
        <f>IFERROR(INDEX(_ENGINE_Initiatives!$AE$5:$AE$532,MATCH(1,INDEX((_ENGINE_Initiatives!$B$5:$B$532=$C790)*(_ENGINE_Initiatives!$C$5:$C$532=$D790),0),0)),"")</f>
        <v/>
      </c>
      <c r="AX790">
        <f>IF($B790="Yes",IFERROR(IF(SUMIFS(_REF_Model_Content!$E$1:$E$613,_REF_Model_Content!$A$1:$A$613,'Company Profile'!$B$9,_REF_Model_Content!$B$1:$B$613,$C790)=0,1,SUMIFS(_REF_Model_Content!$E$1:$E$613,_REF_Model_Content!$A$1:$A$613,'Company Profile'!$B$9,_REF_Model_Content!$B$1:$B$613,$C790)),1),"")</f>
        <v/>
      </c>
      <c r="AY790">
        <f>IF($L790="","",ROUND(IF($AP790="",$L790,$AP790)*IF($AX790="",1,$AX790),2))</f>
        <v/>
      </c>
      <c r="AZ790">
        <f>IF($S790="","",ROUND(IF($AQ790="",$S790,$AQ790)*IF($AX790="",1,$AX790),2))</f>
        <v/>
      </c>
      <c r="BB790">
        <f>IF($H790="","",IFERROR(INDEX('_ENGINE_Risk'!$AE$41:$AE$920,MATCH($E790,'_ENGINE_Risk'!$A$41:$A$920,0)),"Medium"))</f>
        <v/>
      </c>
      <c r="BC790">
        <f>IF($BB790="","",IF($BB790="Fast",1.25,IF($BB790="Slow",0.85,1)))</f>
        <v/>
      </c>
      <c r="BD790">
        <f>IF(OR($AZ790="",$BC790=""),"",ROUND($AZ790*$BC790,2))</f>
        <v/>
      </c>
      <c r="BF790">
        <f>IF(OR($H790="",$J790=""),"",_xlfn.IFNA(VLOOKUP($J790,_CONFIG_Model_Settings!$D$610:$E$614,2,0),""))</f>
        <v/>
      </c>
      <c r="BG790">
        <f>IF(OR($H790="",$K790=""),"",ROUND('Company Profile'!$B$569*INDEX(_CONFIG_Model_Settings!$H$610:$H$614,MATCH($K790,_CONFIG_Model_Settings!$G$610:$G$614,0)),0))</f>
        <v/>
      </c>
      <c r="BH790">
        <f>IF(OR($BF790="",$BG790=""),"",ROUND($BF790*$BG790,1))</f>
        <v/>
      </c>
      <c r="BI790">
        <f>IF($BH790="","",IF($AO790="",$BH790,ROUND($BH790*$AO790,1)))</f>
        <v/>
      </c>
      <c r="BJ790">
        <f>IF($E790="","",IFERROR(VLOOKUP($C790,'_CONFIG_Risk_Calibration'!$A$5:$H$21,2,FALSE),3))</f>
        <v/>
      </c>
      <c r="BK790">
        <f>IF($E790="","",IFERROR(VLOOKUP($C790,'_CONFIG_Risk_Calibration'!$A$5:$H$21,3,FALSE),0))</f>
        <v/>
      </c>
      <c r="BL790">
        <f>IF($E790="","",IFERROR(VLOOKUP($C790,'_CONFIG_Risk_Calibration'!$A$5:$H$21,4,FALSE),3))</f>
        <v/>
      </c>
      <c r="BM790">
        <f>IF($E790="","",IFERROR(VLOOKUP($C790,'_CONFIG_Risk_Calibration'!$A$5:$H$21,5,FALSE),3))</f>
        <v/>
      </c>
      <c r="BN790">
        <f>IF($E790="","",IFERROR(VLOOKUP($C790,'_CONFIG_Risk_Calibration'!$A$5:$H$21,6,FALSE),"No"))</f>
        <v/>
      </c>
      <c r="BO790">
        <f>IF($E790="","",IFERROR(VLOOKUP($C790,'_CONFIG_Risk_Calibration'!$A$5:$H$21,7,FALSE),1))</f>
        <v/>
      </c>
      <c r="BP790">
        <f>IF($H790="","",MAX(1,MIN(5,((6-$H790)*0.45)+($BJ790*0.20)+('Resilience &amp; Risk Scenario'!$B$7*0.15)+($BK790*0.10)+($BL790*0.05)+(IF($BB790="Fast",5,IF($BB790="Slow",1,3))*0.05))))</f>
        <v/>
      </c>
      <c r="BQ790">
        <f>IF($H790="","",MAX(IF($BN790="Yes",$BO790,1),MIN(5,($U790*0.20)+($V790*0.15)+($W790*0.25)+($X790*0.15)+($BJ790*0.10)+($BM790*0.15))))</f>
        <v/>
      </c>
      <c r="BR790">
        <f>IF(OR($BP790="",$BQ790=""),"",ROUND($BP790*$BQ790,2))</f>
        <v/>
      </c>
      <c r="BS790">
        <f>IF($BR790="","",ROUND($BR790*IF($AO790="",1,$AO790)*IF($AX790="",1,$AX790)*(1+(($BM790-3)*0.10))*IF($BC790="",1,$BC790),2))</f>
        <v/>
      </c>
    </row>
    <row r="791" ht="69.90000000000001" customHeight="1" s="209">
      <c r="A791">
        <f>IF($BD791="","",SUMPRODUCT(ISNUMBER($BD$500:$BD$923)*($BD$500:$BD$923&gt;$BD791))+COUNTIF($BD$500:$BD791,$BD791))</f>
        <v/>
      </c>
      <c r="B791">
        <f>IF($H791="","",IF($H791&lt;5,"Yes","Maintain"))</f>
        <v/>
      </c>
      <c r="C791" t="inlineStr">
        <is>
          <t>Marketing Comms</t>
        </is>
      </c>
      <c r="D791" t="inlineStr">
        <is>
          <t>Marketing operations</t>
        </is>
      </c>
      <c r="E791" t="inlineStr">
        <is>
          <t>MARK-016</t>
        </is>
      </c>
      <c r="F791" t="inlineStr">
        <is>
          <t>Market communication and reputation resilience</t>
        </is>
      </c>
      <c r="G791">
        <f>IF($H791="","",IFERROR(INDEX('_ENGINE_Risk'!$H$41:$M$920,MATCH($E791,'_ENGINE_Risk'!$A$41:$A$920,0),$H791+1),""))</f>
        <v/>
      </c>
      <c r="H791">
        <f>IFERROR(VALUE(INDEX(_DATA_Assessment_Model!$H$5:$H$884,MATCH($E791,_DATA_Assessment_Model!$A$5:$A$884,0))),"")</f>
        <v/>
      </c>
      <c r="I791">
        <f>IF($H791="","",IFERROR(INDEX(_DATA_Assessment_Model!$L$5:$L$884,MATCH($E791,_DATA_Assessment_Model!$A$5:$A$884,0)),IF($H791&lt;=1,"Critical",IF($H791=2,"High",IF($H791=3,"Medium",IF($H791=4,"Low","Resilient"))))))</f>
        <v/>
      </c>
      <c r="J791">
        <f>IF($H791="","",MIN(5,MAX(1,6-$H791)))</f>
        <v/>
      </c>
      <c r="K791">
        <f>IF($H791="","",MAX(1,MIN(5,ROUNDUP(($U791*0.45)+($W791*0.35)+($X791*0.2),0))))</f>
        <v/>
      </c>
      <c r="L791">
        <f>IF($H791="","",$J791*$K791)</f>
        <v/>
      </c>
      <c r="M791">
        <f>IF($H791="","",MAX(1,MIN(5,ROUNDUP($L791/5,0))))</f>
        <v/>
      </c>
      <c r="N791">
        <f>IF($H791="","",IFERROR(INDEX('_ENGINE_Risk'!$T$41:$Y$920,MATCH($E791,'_ENGINE_Risk'!$A$41:$A$920,0),$H791+1),""))</f>
        <v/>
      </c>
      <c r="O791">
        <f>IF($H791="","",MAX(1,MIN(5,($U791+$V791+$X791)/3)))</f>
        <v/>
      </c>
      <c r="P791">
        <f>IF($H791="","",IF($I791="Critical",5,IF($I791="High",4,IF($I791="Medium",3,IF($I791="Low",2,1)))))</f>
        <v/>
      </c>
      <c r="Q791">
        <f>IF($H791="","",MAX(1,MIN(5,((5-$H791)*0.65)+($W791*0.35))))</f>
        <v/>
      </c>
      <c r="R791">
        <f>IF($H791="","",MAX(1,MIN(5,($V791+$X791)/2)))</f>
        <v/>
      </c>
      <c r="S791">
        <f>IF(OR($H791="",$N791=""),"",ROUND(($O791+$P791+$Q791+$R791)/$N791,2))</f>
        <v/>
      </c>
      <c r="T791">
        <f>IF($H791="","",IFERROR(INDEX('_ENGINE_Risk'!$N$41:$S$920,MATCH($E791,'_ENGINE_Risk'!$A$41:$A$920,0),$H791+1),""))</f>
        <v/>
      </c>
      <c r="U791">
        <f>IFERROR(INDEX(_DATA_Assessment_Model!$G$5:$G$884,MATCH($E791,_DATA_Assessment_Model!$A$5:$A$884,0)),"")</f>
        <v/>
      </c>
      <c r="V791">
        <f>IFERROR(INDEX(_DATA_Assessment_Model!$W$5:$W$884,MATCH($E791,_DATA_Assessment_Model!$A$5:$A$884,0)),"")</f>
        <v/>
      </c>
      <c r="W791">
        <f>IFERROR(INDEX(_DATA_Assessment_Model!$X$5:$X$884,MATCH($E791,_DATA_Assessment_Model!$A$5:$A$884,0)),"")</f>
        <v/>
      </c>
      <c r="X791">
        <f>IFERROR(INDEX(_DATA_Assessment_Model!$Y$5:$Y$884,MATCH($E791,_DATA_Assessment_Model!$A$5:$A$884,0)),"")</f>
        <v/>
      </c>
      <c r="Y791" t="inlineStr">
        <is>
          <t>Reputation crisis; Demand shock; IT outage</t>
        </is>
      </c>
      <c r="Z791" t="inlineStr">
        <is>
          <t>CMO / Communications</t>
        </is>
      </c>
      <c r="AA791" t="inlineStr">
        <is>
          <t>Policy/SOP; owner/RACI; system report; dashboard; contracts; test records; incident history; interview evidence related to sales-marketing alignment on ICP, lead definitions, messages, offers and crisis concerns.</t>
        </is>
      </c>
      <c r="AB791">
        <f>IFERROR(INDEX(_DATA_Assessment_Model!$U$5:$U$884,MATCH($E791,_DATA_Assessment_Model!$A$5:$A$884,0)),"")</f>
        <v/>
      </c>
      <c r="AF791" t="inlineStr">
        <is>
          <t>How mature is the organization in managing sales-marketing alignment on ICP, lead definitions, messages, offers and crisis concerns, including ownership, evidence, metrics, fallback procedures and crisis stress testing?</t>
        </is>
      </c>
      <c r="AO791">
        <f>IF($B791="Yes",IFERROR(INDEX(_ENGINE_Crisis!$F$501:$F$517,MATCH($C791,_ENGINE_Crisis!$A$501:$A$517,0)),1),"")</f>
        <v/>
      </c>
      <c r="AP791">
        <f>IF(AO791="","",ROUND($L791*AO791,1))</f>
        <v/>
      </c>
      <c r="AQ791">
        <f>IF(OR(AO791="",$S791=""),"",ROUND($S791*(0.7+0.3*AO791),2))</f>
        <v/>
      </c>
      <c r="AR791">
        <f>IFERROR(INDEX(_ENGINE_Crisis!$E$41:$E$700,MATCH('Resilience &amp; Risk Scenario'!$B$60&amp;"|"&amp;$C791,_ENGINE_Crisis!$I$41:$I$700,0)),"")</f>
        <v/>
      </c>
      <c r="AS791">
        <f>IFERROR(INDEX(_ENGINE_Crisis!$G$41:$G$700,MATCH('Resilience &amp; Risk Scenario'!$B$60&amp;"|"&amp;$C791,_ENGINE_Crisis!$I$41:$I$700,0)),"")</f>
        <v/>
      </c>
      <c r="AT791">
        <f>IFERROR(INDEX(_ENGINE_Initiatives!$A$5:$A$532,MATCH(1,INDEX((_ENGINE_Initiatives!$B$5:$B$532=$C791)*(_ENGINE_Initiatives!$C$5:$C$532=$D791),0),0)),"")</f>
        <v/>
      </c>
      <c r="AU791">
        <f>IFERROR(INDEX(_ENGINE_Initiatives!$F$5:$F$532,MATCH(1,INDEX((_ENGINE_Initiatives!$B$5:$B$532=$C791)*(_ENGINE_Initiatives!$C$5:$C$532=$D791),0),0)),"")</f>
        <v/>
      </c>
      <c r="AV791">
        <f>IFERROR(INDEX(_ENGINE_Initiatives!$AC$5:$AC$532,MATCH(1,INDEX((_ENGINE_Initiatives!$B$5:$B$532=$C791)*(_ENGINE_Initiatives!$C$5:$C$532=$D791),0),0)),"")</f>
        <v/>
      </c>
      <c r="AW791">
        <f>IFERROR(INDEX(_ENGINE_Initiatives!$AE$5:$AE$532,MATCH(1,INDEX((_ENGINE_Initiatives!$B$5:$B$532=$C791)*(_ENGINE_Initiatives!$C$5:$C$532=$D791),0),0)),"")</f>
        <v/>
      </c>
      <c r="AX791">
        <f>IF($B791="Yes",IFERROR(IF(SUMIFS(_REF_Model_Content!$E$1:$E$613,_REF_Model_Content!$A$1:$A$613,'Company Profile'!$B$9,_REF_Model_Content!$B$1:$B$613,$C791)=0,1,SUMIFS(_REF_Model_Content!$E$1:$E$613,_REF_Model_Content!$A$1:$A$613,'Company Profile'!$B$9,_REF_Model_Content!$B$1:$B$613,$C791)),1),"")</f>
        <v/>
      </c>
      <c r="AY791">
        <f>IF($L791="","",ROUND(IF($AP791="",$L791,$AP791)*IF($AX791="",1,$AX791),2))</f>
        <v/>
      </c>
      <c r="AZ791">
        <f>IF($S791="","",ROUND(IF($AQ791="",$S791,$AQ791)*IF($AX791="",1,$AX791),2))</f>
        <v/>
      </c>
      <c r="BB791">
        <f>IF($H791="","",IFERROR(INDEX('_ENGINE_Risk'!$AE$41:$AE$920,MATCH($E791,'_ENGINE_Risk'!$A$41:$A$920,0)),"Medium"))</f>
        <v/>
      </c>
      <c r="BC791">
        <f>IF($BB791="","",IF($BB791="Fast",1.25,IF($BB791="Slow",0.85,1)))</f>
        <v/>
      </c>
      <c r="BD791">
        <f>IF(OR($AZ791="",$BC791=""),"",ROUND($AZ791*$BC791,2))</f>
        <v/>
      </c>
      <c r="BF791">
        <f>IF(OR($H791="",$J791=""),"",_xlfn.IFNA(VLOOKUP($J791,_CONFIG_Model_Settings!$D$610:$E$614,2,0),""))</f>
        <v/>
      </c>
      <c r="BG791">
        <f>IF(OR($H791="",$K791=""),"",ROUND('Company Profile'!$B$569*INDEX(_CONFIG_Model_Settings!$H$610:$H$614,MATCH($K791,_CONFIG_Model_Settings!$G$610:$G$614,0)),0))</f>
        <v/>
      </c>
      <c r="BH791">
        <f>IF(OR($BF791="",$BG791=""),"",ROUND($BF791*$BG791,1))</f>
        <v/>
      </c>
      <c r="BI791">
        <f>IF($BH791="","",IF($AO791="",$BH791,ROUND($BH791*$AO791,1)))</f>
        <v/>
      </c>
      <c r="BJ791">
        <f>IF($E791="","",IFERROR(VLOOKUP($C791,'_CONFIG_Risk_Calibration'!$A$5:$H$21,2,FALSE),3))</f>
        <v/>
      </c>
      <c r="BK791">
        <f>IF($E791="","",IFERROR(VLOOKUP($C791,'_CONFIG_Risk_Calibration'!$A$5:$H$21,3,FALSE),0))</f>
        <v/>
      </c>
      <c r="BL791">
        <f>IF($E791="","",IFERROR(VLOOKUP($C791,'_CONFIG_Risk_Calibration'!$A$5:$H$21,4,FALSE),3))</f>
        <v/>
      </c>
      <c r="BM791">
        <f>IF($E791="","",IFERROR(VLOOKUP($C791,'_CONFIG_Risk_Calibration'!$A$5:$H$21,5,FALSE),3))</f>
        <v/>
      </c>
      <c r="BN791">
        <f>IF($E791="","",IFERROR(VLOOKUP($C791,'_CONFIG_Risk_Calibration'!$A$5:$H$21,6,FALSE),"No"))</f>
        <v/>
      </c>
      <c r="BO791">
        <f>IF($E791="","",IFERROR(VLOOKUP($C791,'_CONFIG_Risk_Calibration'!$A$5:$H$21,7,FALSE),1))</f>
        <v/>
      </c>
      <c r="BP791">
        <f>IF($H791="","",MAX(1,MIN(5,((6-$H791)*0.45)+($BJ791*0.20)+('Resilience &amp; Risk Scenario'!$B$7*0.15)+($BK791*0.10)+($BL791*0.05)+(IF($BB791="Fast",5,IF($BB791="Slow",1,3))*0.05))))</f>
        <v/>
      </c>
      <c r="BQ791">
        <f>IF($H791="","",MAX(IF($BN791="Yes",$BO791,1),MIN(5,($U791*0.20)+($V791*0.15)+($W791*0.25)+($X791*0.15)+($BJ791*0.10)+($BM791*0.15))))</f>
        <v/>
      </c>
      <c r="BR791">
        <f>IF(OR($BP791="",$BQ791=""),"",ROUND($BP791*$BQ791,2))</f>
        <v/>
      </c>
      <c r="BS791">
        <f>IF($BR791="","",ROUND($BR791*IF($AO791="",1,$AO791)*IF($AX791="",1,$AX791)*(1+(($BM791-3)*0.10))*IF($BC791="",1,$BC791),2))</f>
        <v/>
      </c>
    </row>
    <row r="792" ht="69.90000000000001" customHeight="1" s="209">
      <c r="A792">
        <f>IF($BD792="","",SUMPRODUCT(ISNUMBER($BD$500:$BD$923)*($BD$500:$BD$923&gt;$BD792))+COUNTIF($BD$500:$BD792,$BD792))</f>
        <v/>
      </c>
      <c r="B792">
        <f>IF($H792="","",IF($H792&lt;5,"Yes","Maintain"))</f>
        <v/>
      </c>
      <c r="C792" t="inlineStr">
        <is>
          <t>IT Cloud DR</t>
        </is>
      </c>
      <c r="D792" t="inlineStr">
        <is>
          <t>IT inventory and architecture</t>
        </is>
      </c>
      <c r="E792" t="inlineStr">
        <is>
          <t>ITCL-001</t>
        </is>
      </c>
      <c r="F792" t="inlineStr">
        <is>
          <t>IT, cloud and disaster recovery</t>
        </is>
      </c>
      <c r="G792">
        <f>IF($H792="","",IFERROR(INDEX('_ENGINE_Risk'!$H$41:$M$920,MATCH($E792,'_ENGINE_Risk'!$A$41:$A$920,0),$H792+1),""))</f>
        <v/>
      </c>
      <c r="H792">
        <f>IFERROR(VALUE(INDEX(_DATA_Assessment_Model!$H$5:$H$884,MATCH($E792,_DATA_Assessment_Model!$A$5:$A$884,0))),"")</f>
        <v/>
      </c>
      <c r="I792">
        <f>IF($H792="","",IFERROR(INDEX(_DATA_Assessment_Model!$L$5:$L$884,MATCH($E792,_DATA_Assessment_Model!$A$5:$A$884,0)),IF($H792&lt;=1,"Critical",IF($H792=2,"High",IF($H792=3,"Medium",IF($H792=4,"Low","Resilient"))))))</f>
        <v/>
      </c>
      <c r="J792">
        <f>IF($H792="","",MIN(5,MAX(1,6-$H792)))</f>
        <v/>
      </c>
      <c r="K792">
        <f>IF($H792="","",MAX(1,MIN(5,ROUNDUP(($U792*0.45)+($W792*0.35)+($X792*0.2),0))))</f>
        <v/>
      </c>
      <c r="L792">
        <f>IF($H792="","",$J792*$K792)</f>
        <v/>
      </c>
      <c r="M792">
        <f>IF($H792="","",MAX(1,MIN(5,ROUNDUP($L792/5,0))))</f>
        <v/>
      </c>
      <c r="N792">
        <f>IF($H792="","",IFERROR(INDEX('_ENGINE_Risk'!$T$41:$Y$920,MATCH($E792,'_ENGINE_Risk'!$A$41:$A$920,0),$H792+1),""))</f>
        <v/>
      </c>
      <c r="O792">
        <f>IF($H792="","",MAX(1,MIN(5,($U792+$V792+$X792)/3)))</f>
        <v/>
      </c>
      <c r="P792">
        <f>IF($H792="","",IF($I792="Critical",5,IF($I792="High",4,IF($I792="Medium",3,IF($I792="Low",2,1)))))</f>
        <v/>
      </c>
      <c r="Q792">
        <f>IF($H792="","",MAX(1,MIN(5,((5-$H792)*0.65)+($W792*0.35))))</f>
        <v/>
      </c>
      <c r="R792">
        <f>IF($H792="","",MAX(1,MIN(5,($V792+$X792)/2)))</f>
        <v/>
      </c>
      <c r="S792">
        <f>IF(OR($H792="",$N792=""),"",ROUND(($O792+$P792+$Q792+$R792)/$N792,2))</f>
        <v/>
      </c>
      <c r="T792">
        <f>IF($H792="","",IFERROR(INDEX('_ENGINE_Risk'!$N$41:$S$920,MATCH($E792,'_ENGINE_Risk'!$A$41:$A$920,0),$H792+1),""))</f>
        <v/>
      </c>
      <c r="U792">
        <f>IFERROR(INDEX(_DATA_Assessment_Model!$G$5:$G$884,MATCH($E792,_DATA_Assessment_Model!$A$5:$A$884,0)),"")</f>
        <v/>
      </c>
      <c r="V792">
        <f>IFERROR(INDEX(_DATA_Assessment_Model!$W$5:$W$884,MATCH($E792,_DATA_Assessment_Model!$A$5:$A$884,0)),"")</f>
        <v/>
      </c>
      <c r="W792">
        <f>IFERROR(INDEX(_DATA_Assessment_Model!$X$5:$X$884,MATCH($E792,_DATA_Assessment_Model!$A$5:$A$884,0)),"")</f>
        <v/>
      </c>
      <c r="X792">
        <f>IFERROR(INDEX(_DATA_Assessment_Model!$Y$5:$Y$884,MATCH($E792,_DATA_Assessment_Model!$A$5:$A$884,0)),"")</f>
        <v/>
      </c>
      <c r="Y792" t="inlineStr">
        <is>
          <t>IT outage; Cloud outage; Data loss; Cyberattack</t>
        </is>
      </c>
      <c r="Z792" t="inlineStr">
        <is>
          <t>CIO / CTO / IT Ops</t>
        </is>
      </c>
      <c r="AA792" t="inlineStr">
        <is>
          <t>Policy/SOP; owner/RACI; system report; dashboard; contracts; test records; incident history; interview evidence related to complete inventory of applications, infrastructure, cloud accounts, integrations, data stores and owners.</t>
        </is>
      </c>
      <c r="AB792">
        <f>IFERROR(INDEX(_DATA_Assessment_Model!$U$5:$U$884,MATCH($E792,_DATA_Assessment_Model!$A$5:$A$884,0)),"")</f>
        <v/>
      </c>
      <c r="AF792" t="inlineStr">
        <is>
          <t>How mature is the organization in managing complete inventory of applications, infrastructure, cloud accounts, integrations, data stores and owners, including ownership, evidence, metrics, fallback procedures and crisis stress testing?</t>
        </is>
      </c>
      <c r="AO792">
        <f>IF($B792="Yes",IFERROR(INDEX(_ENGINE_Crisis!$F$501:$F$517,MATCH($C792,_ENGINE_Crisis!$A$501:$A$517,0)),1),"")</f>
        <v/>
      </c>
      <c r="AP792">
        <f>IF(AO792="","",ROUND($L792*AO792,1))</f>
        <v/>
      </c>
      <c r="AQ792">
        <f>IF(OR(AO792="",$S792=""),"",ROUND($S792*(0.7+0.3*AO792),2))</f>
        <v/>
      </c>
      <c r="AR792">
        <f>IFERROR(INDEX(_ENGINE_Crisis!$E$41:$E$700,MATCH('Resilience &amp; Risk Scenario'!$B$60&amp;"|"&amp;$C792,_ENGINE_Crisis!$I$41:$I$700,0)),"")</f>
        <v/>
      </c>
      <c r="AS792">
        <f>IFERROR(INDEX(_ENGINE_Crisis!$G$41:$G$700,MATCH('Resilience &amp; Risk Scenario'!$B$60&amp;"|"&amp;$C792,_ENGINE_Crisis!$I$41:$I$700,0)),"")</f>
        <v/>
      </c>
      <c r="AT792">
        <f>IFERROR(INDEX(_ENGINE_Initiatives!$A$5:$A$532,MATCH(1,INDEX((_ENGINE_Initiatives!$B$5:$B$532=$C792)*(_ENGINE_Initiatives!$C$5:$C$532=$D792),0),0)),"")</f>
        <v/>
      </c>
      <c r="AU792">
        <f>IFERROR(INDEX(_ENGINE_Initiatives!$F$5:$F$532,MATCH(1,INDEX((_ENGINE_Initiatives!$B$5:$B$532=$C792)*(_ENGINE_Initiatives!$C$5:$C$532=$D792),0),0)),"")</f>
        <v/>
      </c>
      <c r="AV792">
        <f>IFERROR(INDEX(_ENGINE_Initiatives!$AC$5:$AC$532,MATCH(1,INDEX((_ENGINE_Initiatives!$B$5:$B$532=$C792)*(_ENGINE_Initiatives!$C$5:$C$532=$D792),0),0)),"")</f>
        <v/>
      </c>
      <c r="AW792">
        <f>IFERROR(INDEX(_ENGINE_Initiatives!$AE$5:$AE$532,MATCH(1,INDEX((_ENGINE_Initiatives!$B$5:$B$532=$C792)*(_ENGINE_Initiatives!$C$5:$C$532=$D792),0),0)),"")</f>
        <v/>
      </c>
      <c r="AX792">
        <f>IF($B792="Yes",IFERROR(IF(SUMIFS(_REF_Model_Content!$E$1:$E$613,_REF_Model_Content!$A$1:$A$613,'Company Profile'!$B$9,_REF_Model_Content!$B$1:$B$613,$C792)=0,1,SUMIFS(_REF_Model_Content!$E$1:$E$613,_REF_Model_Content!$A$1:$A$613,'Company Profile'!$B$9,_REF_Model_Content!$B$1:$B$613,$C792)),1),"")</f>
        <v/>
      </c>
      <c r="AY792">
        <f>IF($L792="","",ROUND(IF($AP792="",$L792,$AP792)*IF($AX792="",1,$AX792),2))</f>
        <v/>
      </c>
      <c r="AZ792">
        <f>IF($S792="","",ROUND(IF($AQ792="",$S792,$AQ792)*IF($AX792="",1,$AX792),2))</f>
        <v/>
      </c>
      <c r="BB792">
        <f>IF($H792="","",IFERROR(INDEX('_ENGINE_Risk'!$AE$41:$AE$920,MATCH($E792,'_ENGINE_Risk'!$A$41:$A$920,0)),"Medium"))</f>
        <v/>
      </c>
      <c r="BC792">
        <f>IF($BB792="","",IF($BB792="Fast",1.25,IF($BB792="Slow",0.85,1)))</f>
        <v/>
      </c>
      <c r="BD792">
        <f>IF(OR($AZ792="",$BC792=""),"",ROUND($AZ792*$BC792,2))</f>
        <v/>
      </c>
      <c r="BF792">
        <f>IF(OR($H792="",$J792=""),"",_xlfn.IFNA(VLOOKUP($J792,_CONFIG_Model_Settings!$D$610:$E$614,2,0),""))</f>
        <v/>
      </c>
      <c r="BG792">
        <f>IF(OR($H792="",$K792=""),"",ROUND('Company Profile'!$B$569*INDEX(_CONFIG_Model_Settings!$H$610:$H$614,MATCH($K792,_CONFIG_Model_Settings!$G$610:$G$614,0)),0))</f>
        <v/>
      </c>
      <c r="BH792">
        <f>IF(OR($BF792="",$BG792=""),"",ROUND($BF792*$BG792,1))</f>
        <v/>
      </c>
      <c r="BI792">
        <f>IF($BH792="","",IF($AO792="",$BH792,ROUND($BH792*$AO792,1)))</f>
        <v/>
      </c>
      <c r="BJ792">
        <f>IF($E792="","",IFERROR(VLOOKUP($C792,'_CONFIG_Risk_Calibration'!$A$5:$H$21,2,FALSE),3))</f>
        <v/>
      </c>
      <c r="BK792">
        <f>IF($E792="","",IFERROR(VLOOKUP($C792,'_CONFIG_Risk_Calibration'!$A$5:$H$21,3,FALSE),0))</f>
        <v/>
      </c>
      <c r="BL792">
        <f>IF($E792="","",IFERROR(VLOOKUP($C792,'_CONFIG_Risk_Calibration'!$A$5:$H$21,4,FALSE),3))</f>
        <v/>
      </c>
      <c r="BM792">
        <f>IF($E792="","",IFERROR(VLOOKUP($C792,'_CONFIG_Risk_Calibration'!$A$5:$H$21,5,FALSE),3))</f>
        <v/>
      </c>
      <c r="BN792">
        <f>IF($E792="","",IFERROR(VLOOKUP($C792,'_CONFIG_Risk_Calibration'!$A$5:$H$21,6,FALSE),"No"))</f>
        <v/>
      </c>
      <c r="BO792">
        <f>IF($E792="","",IFERROR(VLOOKUP($C792,'_CONFIG_Risk_Calibration'!$A$5:$H$21,7,FALSE),1))</f>
        <v/>
      </c>
      <c r="BP792">
        <f>IF($H792="","",MAX(1,MIN(5,((6-$H792)*0.45)+($BJ792*0.20)+('Resilience &amp; Risk Scenario'!$B$7*0.15)+($BK792*0.10)+($BL792*0.05)+(IF($BB792="Fast",5,IF($BB792="Slow",1,3))*0.05))))</f>
        <v/>
      </c>
      <c r="BQ792">
        <f>IF($H792="","",MAX(IF($BN792="Yes",$BO792,1),MIN(5,($U792*0.20)+($V792*0.15)+($W792*0.25)+($X792*0.15)+($BJ792*0.10)+($BM792*0.15))))</f>
        <v/>
      </c>
      <c r="BR792">
        <f>IF(OR($BP792="",$BQ792=""),"",ROUND($BP792*$BQ792,2))</f>
        <v/>
      </c>
      <c r="BS792">
        <f>IF($BR792="","",ROUND($BR792*IF($AO792="",1,$AO792)*IF($AX792="",1,$AX792)*(1+(($BM792-3)*0.10))*IF($BC792="",1,$BC792),2))</f>
        <v/>
      </c>
    </row>
    <row r="793" ht="69.90000000000001" customHeight="1" s="209">
      <c r="A793">
        <f>IF($BD793="","",SUMPRODUCT(ISNUMBER($BD$500:$BD$923)*($BD$500:$BD$923&gt;$BD793))+COUNTIF($BD$500:$BD793,$BD793))</f>
        <v/>
      </c>
      <c r="B793">
        <f>IF($H793="","",IF($H793&lt;5,"Yes","Maintain"))</f>
        <v/>
      </c>
      <c r="C793" t="inlineStr">
        <is>
          <t>IT Cloud DR</t>
        </is>
      </c>
      <c r="D793" t="inlineStr">
        <is>
          <t>IT inventory and architecture</t>
        </is>
      </c>
      <c r="E793" t="inlineStr">
        <is>
          <t>ITCL-002</t>
        </is>
      </c>
      <c r="F793" t="inlineStr">
        <is>
          <t>IT, cloud and disaster recovery</t>
        </is>
      </c>
      <c r="G793">
        <f>IF($H793="","",IFERROR(INDEX('_ENGINE_Risk'!$H$41:$M$920,MATCH($E793,'_ENGINE_Risk'!$A$41:$A$920,0),$H793+1),""))</f>
        <v/>
      </c>
      <c r="H793">
        <f>IFERROR(VALUE(INDEX(_DATA_Assessment_Model!$H$5:$H$884,MATCH($E793,_DATA_Assessment_Model!$A$5:$A$884,0))),"")</f>
        <v/>
      </c>
      <c r="I793">
        <f>IF($H793="","",IFERROR(INDEX(_DATA_Assessment_Model!$L$5:$L$884,MATCH($E793,_DATA_Assessment_Model!$A$5:$A$884,0)),IF($H793&lt;=1,"Critical",IF($H793=2,"High",IF($H793=3,"Medium",IF($H793=4,"Low","Resilient"))))))</f>
        <v/>
      </c>
      <c r="J793">
        <f>IF($H793="","",MIN(5,MAX(1,6-$H793)))</f>
        <v/>
      </c>
      <c r="K793">
        <f>IF($H793="","",MAX(1,MIN(5,ROUNDUP(($U793*0.45)+($W793*0.35)+($X793*0.2),0))))</f>
        <v/>
      </c>
      <c r="L793">
        <f>IF($H793="","",$J793*$K793)</f>
        <v/>
      </c>
      <c r="M793">
        <f>IF($H793="","",MAX(1,MIN(5,ROUNDUP($L793/5,0))))</f>
        <v/>
      </c>
      <c r="N793">
        <f>IF($H793="","",IFERROR(INDEX('_ENGINE_Risk'!$T$41:$Y$920,MATCH($E793,'_ENGINE_Risk'!$A$41:$A$920,0),$H793+1),""))</f>
        <v/>
      </c>
      <c r="O793">
        <f>IF($H793="","",MAX(1,MIN(5,($U793+$V793+$X793)/3)))</f>
        <v/>
      </c>
      <c r="P793">
        <f>IF($H793="","",IF($I793="Critical",5,IF($I793="High",4,IF($I793="Medium",3,IF($I793="Low",2,1)))))</f>
        <v/>
      </c>
      <c r="Q793">
        <f>IF($H793="","",MAX(1,MIN(5,((5-$H793)*0.65)+($W793*0.35))))</f>
        <v/>
      </c>
      <c r="R793">
        <f>IF($H793="","",MAX(1,MIN(5,($V793+$X793)/2)))</f>
        <v/>
      </c>
      <c r="S793">
        <f>IF(OR($H793="",$N793=""),"",ROUND(($O793+$P793+$Q793+$R793)/$N793,2))</f>
        <v/>
      </c>
      <c r="T793">
        <f>IF($H793="","",IFERROR(INDEX('_ENGINE_Risk'!$N$41:$S$920,MATCH($E793,'_ENGINE_Risk'!$A$41:$A$920,0),$H793+1),""))</f>
        <v/>
      </c>
      <c r="U793">
        <f>IFERROR(INDEX(_DATA_Assessment_Model!$G$5:$G$884,MATCH($E793,_DATA_Assessment_Model!$A$5:$A$884,0)),"")</f>
        <v/>
      </c>
      <c r="V793">
        <f>IFERROR(INDEX(_DATA_Assessment_Model!$W$5:$W$884,MATCH($E793,_DATA_Assessment_Model!$A$5:$A$884,0)),"")</f>
        <v/>
      </c>
      <c r="W793">
        <f>IFERROR(INDEX(_DATA_Assessment_Model!$X$5:$X$884,MATCH($E793,_DATA_Assessment_Model!$A$5:$A$884,0)),"")</f>
        <v/>
      </c>
      <c r="X793">
        <f>IFERROR(INDEX(_DATA_Assessment_Model!$Y$5:$Y$884,MATCH($E793,_DATA_Assessment_Model!$A$5:$A$884,0)),"")</f>
        <v/>
      </c>
      <c r="Y793" t="inlineStr">
        <is>
          <t>IT outage; Cloud outage; Data loss; Cyberattack</t>
        </is>
      </c>
      <c r="Z793" t="inlineStr">
        <is>
          <t>CIO / CTO / IT Ops</t>
        </is>
      </c>
      <c r="AA793" t="inlineStr">
        <is>
          <t>Policy/SOP; owner/RACI; system report; dashboard; contracts; test records; incident history; interview evidence related to system criticality tiering by business process, RTO, RPO, users and data sensitivity.</t>
        </is>
      </c>
      <c r="AB793">
        <f>IFERROR(INDEX(_DATA_Assessment_Model!$U$5:$U$884,MATCH($E793,_DATA_Assessment_Model!$A$5:$A$884,0)),"")</f>
        <v/>
      </c>
      <c r="AF793" t="inlineStr">
        <is>
          <t>How mature is the organization in managing system criticality tiering by business process, RTO, RPO, users and data sensitivity, including ownership, evidence, metrics, fallback procedures and crisis stress testing?</t>
        </is>
      </c>
      <c r="AO793">
        <f>IF($B793="Yes",IFERROR(INDEX(_ENGINE_Crisis!$F$501:$F$517,MATCH($C793,_ENGINE_Crisis!$A$501:$A$517,0)),1),"")</f>
        <v/>
      </c>
      <c r="AP793">
        <f>IF(AO793="","",ROUND($L793*AO793,1))</f>
        <v/>
      </c>
      <c r="AQ793">
        <f>IF(OR(AO793="",$S793=""),"",ROUND($S793*(0.7+0.3*AO793),2))</f>
        <v/>
      </c>
      <c r="AR793">
        <f>IFERROR(INDEX(_ENGINE_Crisis!$E$41:$E$700,MATCH('Resilience &amp; Risk Scenario'!$B$60&amp;"|"&amp;$C793,_ENGINE_Crisis!$I$41:$I$700,0)),"")</f>
        <v/>
      </c>
      <c r="AS793">
        <f>IFERROR(INDEX(_ENGINE_Crisis!$G$41:$G$700,MATCH('Resilience &amp; Risk Scenario'!$B$60&amp;"|"&amp;$C793,_ENGINE_Crisis!$I$41:$I$700,0)),"")</f>
        <v/>
      </c>
      <c r="AT793">
        <f>IFERROR(INDEX(_ENGINE_Initiatives!$A$5:$A$532,MATCH(1,INDEX((_ENGINE_Initiatives!$B$5:$B$532=$C793)*(_ENGINE_Initiatives!$C$5:$C$532=$D793),0),0)),"")</f>
        <v/>
      </c>
      <c r="AU793">
        <f>IFERROR(INDEX(_ENGINE_Initiatives!$F$5:$F$532,MATCH(1,INDEX((_ENGINE_Initiatives!$B$5:$B$532=$C793)*(_ENGINE_Initiatives!$C$5:$C$532=$D793),0),0)),"")</f>
        <v/>
      </c>
      <c r="AV793">
        <f>IFERROR(INDEX(_ENGINE_Initiatives!$AC$5:$AC$532,MATCH(1,INDEX((_ENGINE_Initiatives!$B$5:$B$532=$C793)*(_ENGINE_Initiatives!$C$5:$C$532=$D793),0),0)),"")</f>
        <v/>
      </c>
      <c r="AW793">
        <f>IFERROR(INDEX(_ENGINE_Initiatives!$AE$5:$AE$532,MATCH(1,INDEX((_ENGINE_Initiatives!$B$5:$B$532=$C793)*(_ENGINE_Initiatives!$C$5:$C$532=$D793),0),0)),"")</f>
        <v/>
      </c>
      <c r="AX793">
        <f>IF($B793="Yes",IFERROR(IF(SUMIFS(_REF_Model_Content!$E$1:$E$613,_REF_Model_Content!$A$1:$A$613,'Company Profile'!$B$9,_REF_Model_Content!$B$1:$B$613,$C793)=0,1,SUMIFS(_REF_Model_Content!$E$1:$E$613,_REF_Model_Content!$A$1:$A$613,'Company Profile'!$B$9,_REF_Model_Content!$B$1:$B$613,$C793)),1),"")</f>
        <v/>
      </c>
      <c r="AY793">
        <f>IF($L793="","",ROUND(IF($AP793="",$L793,$AP793)*IF($AX793="",1,$AX793),2))</f>
        <v/>
      </c>
      <c r="AZ793">
        <f>IF($S793="","",ROUND(IF($AQ793="",$S793,$AQ793)*IF($AX793="",1,$AX793),2))</f>
        <v/>
      </c>
      <c r="BB793">
        <f>IF($H793="","",IFERROR(INDEX('_ENGINE_Risk'!$AE$41:$AE$920,MATCH($E793,'_ENGINE_Risk'!$A$41:$A$920,0)),"Medium"))</f>
        <v/>
      </c>
      <c r="BC793">
        <f>IF($BB793="","",IF($BB793="Fast",1.25,IF($BB793="Slow",0.85,1)))</f>
        <v/>
      </c>
      <c r="BD793">
        <f>IF(OR($AZ793="",$BC793=""),"",ROUND($AZ793*$BC793,2))</f>
        <v/>
      </c>
      <c r="BF793">
        <f>IF(OR($H793="",$J793=""),"",_xlfn.IFNA(VLOOKUP($J793,_CONFIG_Model_Settings!$D$610:$E$614,2,0),""))</f>
        <v/>
      </c>
      <c r="BG793">
        <f>IF(OR($H793="",$K793=""),"",ROUND('Company Profile'!$B$569*INDEX(_CONFIG_Model_Settings!$H$610:$H$614,MATCH($K793,_CONFIG_Model_Settings!$G$610:$G$614,0)),0))</f>
        <v/>
      </c>
      <c r="BH793">
        <f>IF(OR($BF793="",$BG793=""),"",ROUND($BF793*$BG793,1))</f>
        <v/>
      </c>
      <c r="BI793">
        <f>IF($BH793="","",IF($AO793="",$BH793,ROUND($BH793*$AO793,1)))</f>
        <v/>
      </c>
      <c r="BJ793">
        <f>IF($E793="","",IFERROR(VLOOKUP($C793,'_CONFIG_Risk_Calibration'!$A$5:$H$21,2,FALSE),3))</f>
        <v/>
      </c>
      <c r="BK793">
        <f>IF($E793="","",IFERROR(VLOOKUP($C793,'_CONFIG_Risk_Calibration'!$A$5:$H$21,3,FALSE),0))</f>
        <v/>
      </c>
      <c r="BL793">
        <f>IF($E793="","",IFERROR(VLOOKUP($C793,'_CONFIG_Risk_Calibration'!$A$5:$H$21,4,FALSE),3))</f>
        <v/>
      </c>
      <c r="BM793">
        <f>IF($E793="","",IFERROR(VLOOKUP($C793,'_CONFIG_Risk_Calibration'!$A$5:$H$21,5,FALSE),3))</f>
        <v/>
      </c>
      <c r="BN793">
        <f>IF($E793="","",IFERROR(VLOOKUP($C793,'_CONFIG_Risk_Calibration'!$A$5:$H$21,6,FALSE),"No"))</f>
        <v/>
      </c>
      <c r="BO793">
        <f>IF($E793="","",IFERROR(VLOOKUP($C793,'_CONFIG_Risk_Calibration'!$A$5:$H$21,7,FALSE),1))</f>
        <v/>
      </c>
      <c r="BP793">
        <f>IF($H793="","",MAX(1,MIN(5,((6-$H793)*0.45)+($BJ793*0.20)+('Resilience &amp; Risk Scenario'!$B$7*0.15)+($BK793*0.10)+($BL793*0.05)+(IF($BB793="Fast",5,IF($BB793="Slow",1,3))*0.05))))</f>
        <v/>
      </c>
      <c r="BQ793">
        <f>IF($H793="","",MAX(IF($BN793="Yes",$BO793,1),MIN(5,($U793*0.20)+($V793*0.15)+($W793*0.25)+($X793*0.15)+($BJ793*0.10)+($BM793*0.15))))</f>
        <v/>
      </c>
      <c r="BR793">
        <f>IF(OR($BP793="",$BQ793=""),"",ROUND($BP793*$BQ793,2))</f>
        <v/>
      </c>
      <c r="BS793">
        <f>IF($BR793="","",ROUND($BR793*IF($AO793="",1,$AO793)*IF($AX793="",1,$AX793)*(1+(($BM793-3)*0.10))*IF($BC793="",1,$BC793),2))</f>
        <v/>
      </c>
    </row>
    <row r="794" ht="69.90000000000001" customHeight="1" s="209">
      <c r="A794">
        <f>IF($BD794="","",SUMPRODUCT(ISNUMBER($BD$500:$BD$923)*($BD$500:$BD$923&gt;$BD794))+COUNTIF($BD$500:$BD794,$BD794))</f>
        <v/>
      </c>
      <c r="B794">
        <f>IF($H794="","",IF($H794&lt;5,"Yes","Maintain"))</f>
        <v/>
      </c>
      <c r="C794" t="inlineStr">
        <is>
          <t>IT Cloud DR</t>
        </is>
      </c>
      <c r="D794" t="inlineStr">
        <is>
          <t>IT inventory and architecture</t>
        </is>
      </c>
      <c r="E794" t="inlineStr">
        <is>
          <t>ITCL-003</t>
        </is>
      </c>
      <c r="F794" t="inlineStr">
        <is>
          <t>IT, cloud and disaster recovery</t>
        </is>
      </c>
      <c r="G794">
        <f>IF($H794="","",IFERROR(INDEX('_ENGINE_Risk'!$H$41:$M$920,MATCH($E794,'_ENGINE_Risk'!$A$41:$A$920,0),$H794+1),""))</f>
        <v/>
      </c>
      <c r="H794">
        <f>IFERROR(VALUE(INDEX(_DATA_Assessment_Model!$H$5:$H$884,MATCH($E794,_DATA_Assessment_Model!$A$5:$A$884,0))),"")</f>
        <v/>
      </c>
      <c r="I794">
        <f>IF($H794="","",IFERROR(INDEX(_DATA_Assessment_Model!$L$5:$L$884,MATCH($E794,_DATA_Assessment_Model!$A$5:$A$884,0)),IF($H794&lt;=1,"Critical",IF($H794=2,"High",IF($H794=3,"Medium",IF($H794=4,"Low","Resilient"))))))</f>
        <v/>
      </c>
      <c r="J794">
        <f>IF($H794="","",MIN(5,MAX(1,6-$H794)))</f>
        <v/>
      </c>
      <c r="K794">
        <f>IF($H794="","",MAX(1,MIN(5,ROUNDUP(($U794*0.45)+($W794*0.35)+($X794*0.2),0))))</f>
        <v/>
      </c>
      <c r="L794">
        <f>IF($H794="","",$J794*$K794)</f>
        <v/>
      </c>
      <c r="M794">
        <f>IF($H794="","",MAX(1,MIN(5,ROUNDUP($L794/5,0))))</f>
        <v/>
      </c>
      <c r="N794">
        <f>IF($H794="","",IFERROR(INDEX('_ENGINE_Risk'!$T$41:$Y$920,MATCH($E794,'_ENGINE_Risk'!$A$41:$A$920,0),$H794+1),""))</f>
        <v/>
      </c>
      <c r="O794">
        <f>IF($H794="","",MAX(1,MIN(5,($U794+$V794+$X794)/3)))</f>
        <v/>
      </c>
      <c r="P794">
        <f>IF($H794="","",IF($I794="Critical",5,IF($I794="High",4,IF($I794="Medium",3,IF($I794="Low",2,1)))))</f>
        <v/>
      </c>
      <c r="Q794">
        <f>IF($H794="","",MAX(1,MIN(5,((5-$H794)*0.65)+($W794*0.35))))</f>
        <v/>
      </c>
      <c r="R794">
        <f>IF($H794="","",MAX(1,MIN(5,($V794+$X794)/2)))</f>
        <v/>
      </c>
      <c r="S794">
        <f>IF(OR($H794="",$N794=""),"",ROUND(($O794+$P794+$Q794+$R794)/$N794,2))</f>
        <v/>
      </c>
      <c r="T794">
        <f>IF($H794="","",IFERROR(INDEX('_ENGINE_Risk'!$N$41:$S$920,MATCH($E794,'_ENGINE_Risk'!$A$41:$A$920,0),$H794+1),""))</f>
        <v/>
      </c>
      <c r="U794">
        <f>IFERROR(INDEX(_DATA_Assessment_Model!$G$5:$G$884,MATCH($E794,_DATA_Assessment_Model!$A$5:$A$884,0)),"")</f>
        <v/>
      </c>
      <c r="V794">
        <f>IFERROR(INDEX(_DATA_Assessment_Model!$W$5:$W$884,MATCH($E794,_DATA_Assessment_Model!$A$5:$A$884,0)),"")</f>
        <v/>
      </c>
      <c r="W794">
        <f>IFERROR(INDEX(_DATA_Assessment_Model!$X$5:$X$884,MATCH($E794,_DATA_Assessment_Model!$A$5:$A$884,0)),"")</f>
        <v/>
      </c>
      <c r="X794">
        <f>IFERROR(INDEX(_DATA_Assessment_Model!$Y$5:$Y$884,MATCH($E794,_DATA_Assessment_Model!$A$5:$A$884,0)),"")</f>
        <v/>
      </c>
      <c r="Y794" t="inlineStr">
        <is>
          <t>IT outage; Cloud outage; Data loss; Cyberattack</t>
        </is>
      </c>
      <c r="Z794" t="inlineStr">
        <is>
          <t>CIO / CTO / IT Ops</t>
        </is>
      </c>
      <c r="AA794" t="inlineStr">
        <is>
          <t>Policy/SOP; owner/RACI; system report; dashboard; contracts; test records; incident history; interview evidence related to current-state and target-state IT architecture documentation.</t>
        </is>
      </c>
      <c r="AB794">
        <f>IFERROR(INDEX(_DATA_Assessment_Model!$U$5:$U$884,MATCH($E794,_DATA_Assessment_Model!$A$5:$A$884,0)),"")</f>
        <v/>
      </c>
      <c r="AF794" t="inlineStr">
        <is>
          <t>How mature is the organization in managing current-state and target-state IT architecture documentation, including ownership, evidence, metrics, fallback procedures and crisis stress testing?</t>
        </is>
      </c>
      <c r="AO794">
        <f>IF($B794="Yes",IFERROR(INDEX(_ENGINE_Crisis!$F$501:$F$517,MATCH($C794,_ENGINE_Crisis!$A$501:$A$517,0)),1),"")</f>
        <v/>
      </c>
      <c r="AP794">
        <f>IF(AO794="","",ROUND($L794*AO794,1))</f>
        <v/>
      </c>
      <c r="AQ794">
        <f>IF(OR(AO794="",$S794=""),"",ROUND($S794*(0.7+0.3*AO794),2))</f>
        <v/>
      </c>
      <c r="AR794">
        <f>IFERROR(INDEX(_ENGINE_Crisis!$E$41:$E$700,MATCH('Resilience &amp; Risk Scenario'!$B$60&amp;"|"&amp;$C794,_ENGINE_Crisis!$I$41:$I$700,0)),"")</f>
        <v/>
      </c>
      <c r="AS794">
        <f>IFERROR(INDEX(_ENGINE_Crisis!$G$41:$G$700,MATCH('Resilience &amp; Risk Scenario'!$B$60&amp;"|"&amp;$C794,_ENGINE_Crisis!$I$41:$I$700,0)),"")</f>
        <v/>
      </c>
      <c r="AT794">
        <f>IFERROR(INDEX(_ENGINE_Initiatives!$A$5:$A$532,MATCH(1,INDEX((_ENGINE_Initiatives!$B$5:$B$532=$C794)*(_ENGINE_Initiatives!$C$5:$C$532=$D794),0),0)),"")</f>
        <v/>
      </c>
      <c r="AU794">
        <f>IFERROR(INDEX(_ENGINE_Initiatives!$F$5:$F$532,MATCH(1,INDEX((_ENGINE_Initiatives!$B$5:$B$532=$C794)*(_ENGINE_Initiatives!$C$5:$C$532=$D794),0),0)),"")</f>
        <v/>
      </c>
      <c r="AV794">
        <f>IFERROR(INDEX(_ENGINE_Initiatives!$AC$5:$AC$532,MATCH(1,INDEX((_ENGINE_Initiatives!$B$5:$B$532=$C794)*(_ENGINE_Initiatives!$C$5:$C$532=$D794),0),0)),"")</f>
        <v/>
      </c>
      <c r="AW794">
        <f>IFERROR(INDEX(_ENGINE_Initiatives!$AE$5:$AE$532,MATCH(1,INDEX((_ENGINE_Initiatives!$B$5:$B$532=$C794)*(_ENGINE_Initiatives!$C$5:$C$532=$D794),0),0)),"")</f>
        <v/>
      </c>
      <c r="AX794">
        <f>IF($B794="Yes",IFERROR(IF(SUMIFS(_REF_Model_Content!$E$1:$E$613,_REF_Model_Content!$A$1:$A$613,'Company Profile'!$B$9,_REF_Model_Content!$B$1:$B$613,$C794)=0,1,SUMIFS(_REF_Model_Content!$E$1:$E$613,_REF_Model_Content!$A$1:$A$613,'Company Profile'!$B$9,_REF_Model_Content!$B$1:$B$613,$C794)),1),"")</f>
        <v/>
      </c>
      <c r="AY794">
        <f>IF($L794="","",ROUND(IF($AP794="",$L794,$AP794)*IF($AX794="",1,$AX794),2))</f>
        <v/>
      </c>
      <c r="AZ794">
        <f>IF($S794="","",ROUND(IF($AQ794="",$S794,$AQ794)*IF($AX794="",1,$AX794),2))</f>
        <v/>
      </c>
      <c r="BB794">
        <f>IF($H794="","",IFERROR(INDEX('_ENGINE_Risk'!$AE$41:$AE$920,MATCH($E794,'_ENGINE_Risk'!$A$41:$A$920,0)),"Medium"))</f>
        <v/>
      </c>
      <c r="BC794">
        <f>IF($BB794="","",IF($BB794="Fast",1.25,IF($BB794="Slow",0.85,1)))</f>
        <v/>
      </c>
      <c r="BD794">
        <f>IF(OR($AZ794="",$BC794=""),"",ROUND($AZ794*$BC794,2))</f>
        <v/>
      </c>
      <c r="BF794">
        <f>IF(OR($H794="",$J794=""),"",_xlfn.IFNA(VLOOKUP($J794,_CONFIG_Model_Settings!$D$610:$E$614,2,0),""))</f>
        <v/>
      </c>
      <c r="BG794">
        <f>IF(OR($H794="",$K794=""),"",ROUND('Company Profile'!$B$569*INDEX(_CONFIG_Model_Settings!$H$610:$H$614,MATCH($K794,_CONFIG_Model_Settings!$G$610:$G$614,0)),0))</f>
        <v/>
      </c>
      <c r="BH794">
        <f>IF(OR($BF794="",$BG794=""),"",ROUND($BF794*$BG794,1))</f>
        <v/>
      </c>
      <c r="BI794">
        <f>IF($BH794="","",IF($AO794="",$BH794,ROUND($BH794*$AO794,1)))</f>
        <v/>
      </c>
      <c r="BJ794">
        <f>IF($E794="","",IFERROR(VLOOKUP($C794,'_CONFIG_Risk_Calibration'!$A$5:$H$21,2,FALSE),3))</f>
        <v/>
      </c>
      <c r="BK794">
        <f>IF($E794="","",IFERROR(VLOOKUP($C794,'_CONFIG_Risk_Calibration'!$A$5:$H$21,3,FALSE),0))</f>
        <v/>
      </c>
      <c r="BL794">
        <f>IF($E794="","",IFERROR(VLOOKUP($C794,'_CONFIG_Risk_Calibration'!$A$5:$H$21,4,FALSE),3))</f>
        <v/>
      </c>
      <c r="BM794">
        <f>IF($E794="","",IFERROR(VLOOKUP($C794,'_CONFIG_Risk_Calibration'!$A$5:$H$21,5,FALSE),3))</f>
        <v/>
      </c>
      <c r="BN794">
        <f>IF($E794="","",IFERROR(VLOOKUP($C794,'_CONFIG_Risk_Calibration'!$A$5:$H$21,6,FALSE),"No"))</f>
        <v/>
      </c>
      <c r="BO794">
        <f>IF($E794="","",IFERROR(VLOOKUP($C794,'_CONFIG_Risk_Calibration'!$A$5:$H$21,7,FALSE),1))</f>
        <v/>
      </c>
      <c r="BP794">
        <f>IF($H794="","",MAX(1,MIN(5,((6-$H794)*0.45)+($BJ794*0.20)+('Resilience &amp; Risk Scenario'!$B$7*0.15)+($BK794*0.10)+($BL794*0.05)+(IF($BB794="Fast",5,IF($BB794="Slow",1,3))*0.05))))</f>
        <v/>
      </c>
      <c r="BQ794">
        <f>IF($H794="","",MAX(IF($BN794="Yes",$BO794,1),MIN(5,($U794*0.20)+($V794*0.15)+($W794*0.25)+($X794*0.15)+($BJ794*0.10)+($BM794*0.15))))</f>
        <v/>
      </c>
      <c r="BR794">
        <f>IF(OR($BP794="",$BQ794=""),"",ROUND($BP794*$BQ794,2))</f>
        <v/>
      </c>
      <c r="BS794">
        <f>IF($BR794="","",ROUND($BR794*IF($AO794="",1,$AO794)*IF($AX794="",1,$AX794)*(1+(($BM794-3)*0.10))*IF($BC794="",1,$BC794),2))</f>
        <v/>
      </c>
    </row>
    <row r="795" ht="69.90000000000001" customHeight="1" s="209">
      <c r="A795">
        <f>IF($BD795="","",SUMPRODUCT(ISNUMBER($BD$500:$BD$923)*($BD$500:$BD$923&gt;$BD795))+COUNTIF($BD$500:$BD795,$BD795))</f>
        <v/>
      </c>
      <c r="B795">
        <f>IF($H795="","",IF($H795&lt;5,"Yes","Maintain"))</f>
        <v/>
      </c>
      <c r="C795" t="inlineStr">
        <is>
          <t>IT Cloud DR</t>
        </is>
      </c>
      <c r="D795" t="inlineStr">
        <is>
          <t>IT inventory and architecture</t>
        </is>
      </c>
      <c r="E795" t="inlineStr">
        <is>
          <t>ITCL-004</t>
        </is>
      </c>
      <c r="F795" t="inlineStr">
        <is>
          <t>IT, cloud and disaster recovery</t>
        </is>
      </c>
      <c r="G795">
        <f>IF($H795="","",IFERROR(INDEX('_ENGINE_Risk'!$H$41:$M$920,MATCH($E795,'_ENGINE_Risk'!$A$41:$A$920,0),$H795+1),""))</f>
        <v/>
      </c>
      <c r="H795">
        <f>IFERROR(VALUE(INDEX(_DATA_Assessment_Model!$H$5:$H$884,MATCH($E795,_DATA_Assessment_Model!$A$5:$A$884,0))),"")</f>
        <v/>
      </c>
      <c r="I795">
        <f>IF($H795="","",IFERROR(INDEX(_DATA_Assessment_Model!$L$5:$L$884,MATCH($E795,_DATA_Assessment_Model!$A$5:$A$884,0)),IF($H795&lt;=1,"Critical",IF($H795=2,"High",IF($H795=3,"Medium",IF($H795=4,"Low","Resilient"))))))</f>
        <v/>
      </c>
      <c r="J795">
        <f>IF($H795="","",MIN(5,MAX(1,6-$H795)))</f>
        <v/>
      </c>
      <c r="K795">
        <f>IF($H795="","",MAX(1,MIN(5,ROUNDUP(($U795*0.45)+($W795*0.35)+($X795*0.2),0))))</f>
        <v/>
      </c>
      <c r="L795">
        <f>IF($H795="","",$J795*$K795)</f>
        <v/>
      </c>
      <c r="M795">
        <f>IF($H795="","",MAX(1,MIN(5,ROUNDUP($L795/5,0))))</f>
        <v/>
      </c>
      <c r="N795">
        <f>IF($H795="","",IFERROR(INDEX('_ENGINE_Risk'!$T$41:$Y$920,MATCH($E795,'_ENGINE_Risk'!$A$41:$A$920,0),$H795+1),""))</f>
        <v/>
      </c>
      <c r="O795">
        <f>IF($H795="","",MAX(1,MIN(5,($U795+$V795+$X795)/3)))</f>
        <v/>
      </c>
      <c r="P795">
        <f>IF($H795="","",IF($I795="Critical",5,IF($I795="High",4,IF($I795="Medium",3,IF($I795="Low",2,1)))))</f>
        <v/>
      </c>
      <c r="Q795">
        <f>IF($H795="","",MAX(1,MIN(5,((5-$H795)*0.65)+($W795*0.35))))</f>
        <v/>
      </c>
      <c r="R795">
        <f>IF($H795="","",MAX(1,MIN(5,($V795+$X795)/2)))</f>
        <v/>
      </c>
      <c r="S795">
        <f>IF(OR($H795="",$N795=""),"",ROUND(($O795+$P795+$Q795+$R795)/$N795,2))</f>
        <v/>
      </c>
      <c r="T795">
        <f>IF($H795="","",IFERROR(INDEX('_ENGINE_Risk'!$N$41:$S$920,MATCH($E795,'_ENGINE_Risk'!$A$41:$A$920,0),$H795+1),""))</f>
        <v/>
      </c>
      <c r="U795">
        <f>IFERROR(INDEX(_DATA_Assessment_Model!$G$5:$G$884,MATCH($E795,_DATA_Assessment_Model!$A$5:$A$884,0)),"")</f>
        <v/>
      </c>
      <c r="V795">
        <f>IFERROR(INDEX(_DATA_Assessment_Model!$W$5:$W$884,MATCH($E795,_DATA_Assessment_Model!$A$5:$A$884,0)),"")</f>
        <v/>
      </c>
      <c r="W795">
        <f>IFERROR(INDEX(_DATA_Assessment_Model!$X$5:$X$884,MATCH($E795,_DATA_Assessment_Model!$A$5:$A$884,0)),"")</f>
        <v/>
      </c>
      <c r="X795">
        <f>IFERROR(INDEX(_DATA_Assessment_Model!$Y$5:$Y$884,MATCH($E795,_DATA_Assessment_Model!$A$5:$A$884,0)),"")</f>
        <v/>
      </c>
      <c r="Y795" t="inlineStr">
        <is>
          <t>IT outage; Cloud outage; Data loss; Cyberattack</t>
        </is>
      </c>
      <c r="Z795" t="inlineStr">
        <is>
          <t>CIO / CTO / IT Ops</t>
        </is>
      </c>
      <c r="AA795" t="inlineStr">
        <is>
          <t>Policy/SOP; owner/RACI; system report; dashboard; contracts; test records; incident history; interview evidence related to technical single points of failure across network, identity, DNS, cloud, databases, integrations and support teams.</t>
        </is>
      </c>
      <c r="AB795">
        <f>IFERROR(INDEX(_DATA_Assessment_Model!$U$5:$U$884,MATCH($E795,_DATA_Assessment_Model!$A$5:$A$884,0)),"")</f>
        <v/>
      </c>
      <c r="AF795" t="inlineStr">
        <is>
          <t>How mature is the organization in managing technical single points of failure across network, identity, DNS, cloud, databases, integrations and support teams, including ownership, evidence, metrics, fallback procedures and crisis stress testing?</t>
        </is>
      </c>
      <c r="AO795">
        <f>IF($B795="Yes",IFERROR(INDEX(_ENGINE_Crisis!$F$501:$F$517,MATCH($C795,_ENGINE_Crisis!$A$501:$A$517,0)),1),"")</f>
        <v/>
      </c>
      <c r="AP795">
        <f>IF(AO795="","",ROUND($L795*AO795,1))</f>
        <v/>
      </c>
      <c r="AQ795">
        <f>IF(OR(AO795="",$S795=""),"",ROUND($S795*(0.7+0.3*AO795),2))</f>
        <v/>
      </c>
      <c r="AR795">
        <f>IFERROR(INDEX(_ENGINE_Crisis!$E$41:$E$700,MATCH('Resilience &amp; Risk Scenario'!$B$60&amp;"|"&amp;$C795,_ENGINE_Crisis!$I$41:$I$700,0)),"")</f>
        <v/>
      </c>
      <c r="AS795">
        <f>IFERROR(INDEX(_ENGINE_Crisis!$G$41:$G$700,MATCH('Resilience &amp; Risk Scenario'!$B$60&amp;"|"&amp;$C795,_ENGINE_Crisis!$I$41:$I$700,0)),"")</f>
        <v/>
      </c>
      <c r="AT795">
        <f>IFERROR(INDEX(_ENGINE_Initiatives!$A$5:$A$532,MATCH(1,INDEX((_ENGINE_Initiatives!$B$5:$B$532=$C795)*(_ENGINE_Initiatives!$C$5:$C$532=$D795),0),0)),"")</f>
        <v/>
      </c>
      <c r="AU795">
        <f>IFERROR(INDEX(_ENGINE_Initiatives!$F$5:$F$532,MATCH(1,INDEX((_ENGINE_Initiatives!$B$5:$B$532=$C795)*(_ENGINE_Initiatives!$C$5:$C$532=$D795),0),0)),"")</f>
        <v/>
      </c>
      <c r="AV795">
        <f>IFERROR(INDEX(_ENGINE_Initiatives!$AC$5:$AC$532,MATCH(1,INDEX((_ENGINE_Initiatives!$B$5:$B$532=$C795)*(_ENGINE_Initiatives!$C$5:$C$532=$D795),0),0)),"")</f>
        <v/>
      </c>
      <c r="AW795">
        <f>IFERROR(INDEX(_ENGINE_Initiatives!$AE$5:$AE$532,MATCH(1,INDEX((_ENGINE_Initiatives!$B$5:$B$532=$C795)*(_ENGINE_Initiatives!$C$5:$C$532=$D795),0),0)),"")</f>
        <v/>
      </c>
      <c r="AX795">
        <f>IF($B795="Yes",IFERROR(IF(SUMIFS(_REF_Model_Content!$E$1:$E$613,_REF_Model_Content!$A$1:$A$613,'Company Profile'!$B$9,_REF_Model_Content!$B$1:$B$613,$C795)=0,1,SUMIFS(_REF_Model_Content!$E$1:$E$613,_REF_Model_Content!$A$1:$A$613,'Company Profile'!$B$9,_REF_Model_Content!$B$1:$B$613,$C795)),1),"")</f>
        <v/>
      </c>
      <c r="AY795">
        <f>IF($L795="","",ROUND(IF($AP795="",$L795,$AP795)*IF($AX795="",1,$AX795),2))</f>
        <v/>
      </c>
      <c r="AZ795">
        <f>IF($S795="","",ROUND(IF($AQ795="",$S795,$AQ795)*IF($AX795="",1,$AX795),2))</f>
        <v/>
      </c>
      <c r="BB795">
        <f>IF($H795="","",IFERROR(INDEX('_ENGINE_Risk'!$AE$41:$AE$920,MATCH($E795,'_ENGINE_Risk'!$A$41:$A$920,0)),"Medium"))</f>
        <v/>
      </c>
      <c r="BC795">
        <f>IF($BB795="","",IF($BB795="Fast",1.25,IF($BB795="Slow",0.85,1)))</f>
        <v/>
      </c>
      <c r="BD795">
        <f>IF(OR($AZ795="",$BC795=""),"",ROUND($AZ795*$BC795,2))</f>
        <v/>
      </c>
      <c r="BF795">
        <f>IF(OR($H795="",$J795=""),"",_xlfn.IFNA(VLOOKUP($J795,_CONFIG_Model_Settings!$D$610:$E$614,2,0),""))</f>
        <v/>
      </c>
      <c r="BG795">
        <f>IF(OR($H795="",$K795=""),"",ROUND('Company Profile'!$B$569*INDEX(_CONFIG_Model_Settings!$H$610:$H$614,MATCH($K795,_CONFIG_Model_Settings!$G$610:$G$614,0)),0))</f>
        <v/>
      </c>
      <c r="BH795">
        <f>IF(OR($BF795="",$BG795=""),"",ROUND($BF795*$BG795,1))</f>
        <v/>
      </c>
      <c r="BI795">
        <f>IF($BH795="","",IF($AO795="",$BH795,ROUND($BH795*$AO795,1)))</f>
        <v/>
      </c>
      <c r="BJ795">
        <f>IF($E795="","",IFERROR(VLOOKUP($C795,'_CONFIG_Risk_Calibration'!$A$5:$H$21,2,FALSE),3))</f>
        <v/>
      </c>
      <c r="BK795">
        <f>IF($E795="","",IFERROR(VLOOKUP($C795,'_CONFIG_Risk_Calibration'!$A$5:$H$21,3,FALSE),0))</f>
        <v/>
      </c>
      <c r="BL795">
        <f>IF($E795="","",IFERROR(VLOOKUP($C795,'_CONFIG_Risk_Calibration'!$A$5:$H$21,4,FALSE),3))</f>
        <v/>
      </c>
      <c r="BM795">
        <f>IF($E795="","",IFERROR(VLOOKUP($C795,'_CONFIG_Risk_Calibration'!$A$5:$H$21,5,FALSE),3))</f>
        <v/>
      </c>
      <c r="BN795">
        <f>IF($E795="","",IFERROR(VLOOKUP($C795,'_CONFIG_Risk_Calibration'!$A$5:$H$21,6,FALSE),"No"))</f>
        <v/>
      </c>
      <c r="BO795">
        <f>IF($E795="","",IFERROR(VLOOKUP($C795,'_CONFIG_Risk_Calibration'!$A$5:$H$21,7,FALSE),1))</f>
        <v/>
      </c>
      <c r="BP795">
        <f>IF($H795="","",MAX(1,MIN(5,((6-$H795)*0.45)+($BJ795*0.20)+('Resilience &amp; Risk Scenario'!$B$7*0.15)+($BK795*0.10)+($BL795*0.05)+(IF($BB795="Fast",5,IF($BB795="Slow",1,3))*0.05))))</f>
        <v/>
      </c>
      <c r="BQ795">
        <f>IF($H795="","",MAX(IF($BN795="Yes",$BO795,1),MIN(5,($U795*0.20)+($V795*0.15)+($W795*0.25)+($X795*0.15)+($BJ795*0.10)+($BM795*0.15))))</f>
        <v/>
      </c>
      <c r="BR795">
        <f>IF(OR($BP795="",$BQ795=""),"",ROUND($BP795*$BQ795,2))</f>
        <v/>
      </c>
      <c r="BS795">
        <f>IF($BR795="","",ROUND($BR795*IF($AO795="",1,$AO795)*IF($AX795="",1,$AX795)*(1+(($BM795-3)*0.10))*IF($BC795="",1,$BC795),2))</f>
        <v/>
      </c>
    </row>
    <row r="796" ht="69.90000000000001" customHeight="1" s="209">
      <c r="A796">
        <f>IF($BD796="","",SUMPRODUCT(ISNUMBER($BD$500:$BD$923)*($BD$500:$BD$923&gt;$BD796))+COUNTIF($BD$500:$BD796,$BD796))</f>
        <v/>
      </c>
      <c r="B796">
        <f>IF($H796="","",IF($H796&lt;5,"Yes","Maintain"))</f>
        <v/>
      </c>
      <c r="C796" t="inlineStr">
        <is>
          <t>IT Cloud DR</t>
        </is>
      </c>
      <c r="D796" t="inlineStr">
        <is>
          <t>IT inventory and architecture</t>
        </is>
      </c>
      <c r="E796" t="inlineStr">
        <is>
          <t>ITCL-005</t>
        </is>
      </c>
      <c r="F796" t="inlineStr">
        <is>
          <t>IT, cloud and disaster recovery</t>
        </is>
      </c>
      <c r="G796">
        <f>IF($H796="","",IFERROR(INDEX('_ENGINE_Risk'!$H$41:$M$920,MATCH($E796,'_ENGINE_Risk'!$A$41:$A$920,0),$H796+1),""))</f>
        <v/>
      </c>
      <c r="H796">
        <f>IFERROR(VALUE(INDEX(_DATA_Assessment_Model!$H$5:$H$884,MATCH($E796,_DATA_Assessment_Model!$A$5:$A$884,0))),"")</f>
        <v/>
      </c>
      <c r="I796">
        <f>IF($H796="","",IFERROR(INDEX(_DATA_Assessment_Model!$L$5:$L$884,MATCH($E796,_DATA_Assessment_Model!$A$5:$A$884,0)),IF($H796&lt;=1,"Critical",IF($H796=2,"High",IF($H796=3,"Medium",IF($H796=4,"Low","Resilient"))))))</f>
        <v/>
      </c>
      <c r="J796">
        <f>IF($H796="","",MIN(5,MAX(1,6-$H796)))</f>
        <v/>
      </c>
      <c r="K796">
        <f>IF($H796="","",MAX(1,MIN(5,ROUNDUP(($U796*0.45)+($W796*0.35)+($X796*0.2),0))))</f>
        <v/>
      </c>
      <c r="L796">
        <f>IF($H796="","",$J796*$K796)</f>
        <v/>
      </c>
      <c r="M796">
        <f>IF($H796="","",MAX(1,MIN(5,ROUNDUP($L796/5,0))))</f>
        <v/>
      </c>
      <c r="N796">
        <f>IF($H796="","",IFERROR(INDEX('_ENGINE_Risk'!$T$41:$Y$920,MATCH($E796,'_ENGINE_Risk'!$A$41:$A$920,0),$H796+1),""))</f>
        <v/>
      </c>
      <c r="O796">
        <f>IF($H796="","",MAX(1,MIN(5,($U796+$V796+$X796)/3)))</f>
        <v/>
      </c>
      <c r="P796">
        <f>IF($H796="","",IF($I796="Critical",5,IF($I796="High",4,IF($I796="Medium",3,IF($I796="Low",2,1)))))</f>
        <v/>
      </c>
      <c r="Q796">
        <f>IF($H796="","",MAX(1,MIN(5,((5-$H796)*0.65)+($W796*0.35))))</f>
        <v/>
      </c>
      <c r="R796">
        <f>IF($H796="","",MAX(1,MIN(5,($V796+$X796)/2)))</f>
        <v/>
      </c>
      <c r="S796">
        <f>IF(OR($H796="",$N796=""),"",ROUND(($O796+$P796+$Q796+$R796)/$N796,2))</f>
        <v/>
      </c>
      <c r="T796">
        <f>IF($H796="","",IFERROR(INDEX('_ENGINE_Risk'!$N$41:$S$920,MATCH($E796,'_ENGINE_Risk'!$A$41:$A$920,0),$H796+1),""))</f>
        <v/>
      </c>
      <c r="U796">
        <f>IFERROR(INDEX(_DATA_Assessment_Model!$G$5:$G$884,MATCH($E796,_DATA_Assessment_Model!$A$5:$A$884,0)),"")</f>
        <v/>
      </c>
      <c r="V796">
        <f>IFERROR(INDEX(_DATA_Assessment_Model!$W$5:$W$884,MATCH($E796,_DATA_Assessment_Model!$A$5:$A$884,0)),"")</f>
        <v/>
      </c>
      <c r="W796">
        <f>IFERROR(INDEX(_DATA_Assessment_Model!$X$5:$X$884,MATCH($E796,_DATA_Assessment_Model!$A$5:$A$884,0)),"")</f>
        <v/>
      </c>
      <c r="X796">
        <f>IFERROR(INDEX(_DATA_Assessment_Model!$Y$5:$Y$884,MATCH($E796,_DATA_Assessment_Model!$A$5:$A$884,0)),"")</f>
        <v/>
      </c>
      <c r="Y796" t="inlineStr">
        <is>
          <t>IT outage; Cloud outage; Data loss; Cyberattack</t>
        </is>
      </c>
      <c r="Z796" t="inlineStr">
        <is>
          <t>CIO / CTO / IT Ops</t>
        </is>
      </c>
      <c r="AA796" t="inlineStr">
        <is>
          <t>Policy/SOP; owner/RACI; system report; dashboard; contracts; test records; incident history; interview evidence related to legacy system risk for vendor support, skills, security, integration and replacement options.</t>
        </is>
      </c>
      <c r="AB796">
        <f>IFERROR(INDEX(_DATA_Assessment_Model!$U$5:$U$884,MATCH($E796,_DATA_Assessment_Model!$A$5:$A$884,0)),"")</f>
        <v/>
      </c>
      <c r="AF796" t="inlineStr">
        <is>
          <t>How mature is the organization in managing legacy system risk for vendor support, skills, security, integration and replacement options, including ownership, evidence, metrics, fallback procedures and crisis stress testing?</t>
        </is>
      </c>
      <c r="AO796">
        <f>IF($B796="Yes",IFERROR(INDEX(_ENGINE_Crisis!$F$501:$F$517,MATCH($C796,_ENGINE_Crisis!$A$501:$A$517,0)),1),"")</f>
        <v/>
      </c>
      <c r="AP796">
        <f>IF(AO796="","",ROUND($L796*AO796,1))</f>
        <v/>
      </c>
      <c r="AQ796">
        <f>IF(OR(AO796="",$S796=""),"",ROUND($S796*(0.7+0.3*AO796),2))</f>
        <v/>
      </c>
      <c r="AR796">
        <f>IFERROR(INDEX(_ENGINE_Crisis!$E$41:$E$700,MATCH('Resilience &amp; Risk Scenario'!$B$60&amp;"|"&amp;$C796,_ENGINE_Crisis!$I$41:$I$700,0)),"")</f>
        <v/>
      </c>
      <c r="AS796">
        <f>IFERROR(INDEX(_ENGINE_Crisis!$G$41:$G$700,MATCH('Resilience &amp; Risk Scenario'!$B$60&amp;"|"&amp;$C796,_ENGINE_Crisis!$I$41:$I$700,0)),"")</f>
        <v/>
      </c>
      <c r="AT796">
        <f>IFERROR(INDEX(_ENGINE_Initiatives!$A$5:$A$532,MATCH(1,INDEX((_ENGINE_Initiatives!$B$5:$B$532=$C796)*(_ENGINE_Initiatives!$C$5:$C$532=$D796),0),0)),"")</f>
        <v/>
      </c>
      <c r="AU796">
        <f>IFERROR(INDEX(_ENGINE_Initiatives!$F$5:$F$532,MATCH(1,INDEX((_ENGINE_Initiatives!$B$5:$B$532=$C796)*(_ENGINE_Initiatives!$C$5:$C$532=$D796),0),0)),"")</f>
        <v/>
      </c>
      <c r="AV796">
        <f>IFERROR(INDEX(_ENGINE_Initiatives!$AC$5:$AC$532,MATCH(1,INDEX((_ENGINE_Initiatives!$B$5:$B$532=$C796)*(_ENGINE_Initiatives!$C$5:$C$532=$D796),0),0)),"")</f>
        <v/>
      </c>
      <c r="AW796">
        <f>IFERROR(INDEX(_ENGINE_Initiatives!$AE$5:$AE$532,MATCH(1,INDEX((_ENGINE_Initiatives!$B$5:$B$532=$C796)*(_ENGINE_Initiatives!$C$5:$C$532=$D796),0),0)),"")</f>
        <v/>
      </c>
      <c r="AX796">
        <f>IF($B796="Yes",IFERROR(IF(SUMIFS(_REF_Model_Content!$E$1:$E$613,_REF_Model_Content!$A$1:$A$613,'Company Profile'!$B$9,_REF_Model_Content!$B$1:$B$613,$C796)=0,1,SUMIFS(_REF_Model_Content!$E$1:$E$613,_REF_Model_Content!$A$1:$A$613,'Company Profile'!$B$9,_REF_Model_Content!$B$1:$B$613,$C796)),1),"")</f>
        <v/>
      </c>
      <c r="AY796">
        <f>IF($L796="","",ROUND(IF($AP796="",$L796,$AP796)*IF($AX796="",1,$AX796),2))</f>
        <v/>
      </c>
      <c r="AZ796">
        <f>IF($S796="","",ROUND(IF($AQ796="",$S796,$AQ796)*IF($AX796="",1,$AX796),2))</f>
        <v/>
      </c>
      <c r="BB796">
        <f>IF($H796="","",IFERROR(INDEX('_ENGINE_Risk'!$AE$41:$AE$920,MATCH($E796,'_ENGINE_Risk'!$A$41:$A$920,0)),"Medium"))</f>
        <v/>
      </c>
      <c r="BC796">
        <f>IF($BB796="","",IF($BB796="Fast",1.25,IF($BB796="Slow",0.85,1)))</f>
        <v/>
      </c>
      <c r="BD796">
        <f>IF(OR($AZ796="",$BC796=""),"",ROUND($AZ796*$BC796,2))</f>
        <v/>
      </c>
      <c r="BF796">
        <f>IF(OR($H796="",$J796=""),"",_xlfn.IFNA(VLOOKUP($J796,_CONFIG_Model_Settings!$D$610:$E$614,2,0),""))</f>
        <v/>
      </c>
      <c r="BG796">
        <f>IF(OR($H796="",$K796=""),"",ROUND('Company Profile'!$B$569*INDEX(_CONFIG_Model_Settings!$H$610:$H$614,MATCH($K796,_CONFIG_Model_Settings!$G$610:$G$614,0)),0))</f>
        <v/>
      </c>
      <c r="BH796">
        <f>IF(OR($BF796="",$BG796=""),"",ROUND($BF796*$BG796,1))</f>
        <v/>
      </c>
      <c r="BI796">
        <f>IF($BH796="","",IF($AO796="",$BH796,ROUND($BH796*$AO796,1)))</f>
        <v/>
      </c>
      <c r="BJ796">
        <f>IF($E796="","",IFERROR(VLOOKUP($C796,'_CONFIG_Risk_Calibration'!$A$5:$H$21,2,FALSE),3))</f>
        <v/>
      </c>
      <c r="BK796">
        <f>IF($E796="","",IFERROR(VLOOKUP($C796,'_CONFIG_Risk_Calibration'!$A$5:$H$21,3,FALSE),0))</f>
        <v/>
      </c>
      <c r="BL796">
        <f>IF($E796="","",IFERROR(VLOOKUP($C796,'_CONFIG_Risk_Calibration'!$A$5:$H$21,4,FALSE),3))</f>
        <v/>
      </c>
      <c r="BM796">
        <f>IF($E796="","",IFERROR(VLOOKUP($C796,'_CONFIG_Risk_Calibration'!$A$5:$H$21,5,FALSE),3))</f>
        <v/>
      </c>
      <c r="BN796">
        <f>IF($E796="","",IFERROR(VLOOKUP($C796,'_CONFIG_Risk_Calibration'!$A$5:$H$21,6,FALSE),"No"))</f>
        <v/>
      </c>
      <c r="BO796">
        <f>IF($E796="","",IFERROR(VLOOKUP($C796,'_CONFIG_Risk_Calibration'!$A$5:$H$21,7,FALSE),1))</f>
        <v/>
      </c>
      <c r="BP796">
        <f>IF($H796="","",MAX(1,MIN(5,((6-$H796)*0.45)+($BJ796*0.20)+('Resilience &amp; Risk Scenario'!$B$7*0.15)+($BK796*0.10)+($BL796*0.05)+(IF($BB796="Fast",5,IF($BB796="Slow",1,3))*0.05))))</f>
        <v/>
      </c>
      <c r="BQ796">
        <f>IF($H796="","",MAX(IF($BN796="Yes",$BO796,1),MIN(5,($U796*0.20)+($V796*0.15)+($W796*0.25)+($X796*0.15)+($BJ796*0.10)+($BM796*0.15))))</f>
        <v/>
      </c>
      <c r="BR796">
        <f>IF(OR($BP796="",$BQ796=""),"",ROUND($BP796*$BQ796,2))</f>
        <v/>
      </c>
      <c r="BS796">
        <f>IF($BR796="","",ROUND($BR796*IF($AO796="",1,$AO796)*IF($AX796="",1,$AX796)*(1+(($BM796-3)*0.10))*IF($BC796="",1,$BC796),2))</f>
        <v/>
      </c>
    </row>
    <row r="797" ht="69.90000000000001" customHeight="1" s="209">
      <c r="A797">
        <f>IF($BD797="","",SUMPRODUCT(ISNUMBER($BD$500:$BD$923)*($BD$500:$BD$923&gt;$BD797))+COUNTIF($BD$500:$BD797,$BD797))</f>
        <v/>
      </c>
      <c r="B797">
        <f>IF($H797="","",IF($H797&lt;5,"Yes","Maintain"))</f>
        <v/>
      </c>
      <c r="C797" t="inlineStr">
        <is>
          <t>IT Cloud DR</t>
        </is>
      </c>
      <c r="D797" t="inlineStr">
        <is>
          <t>IT inventory and architecture</t>
        </is>
      </c>
      <c r="E797" t="inlineStr">
        <is>
          <t>ITCL-006</t>
        </is>
      </c>
      <c r="F797" t="inlineStr">
        <is>
          <t>IT, cloud and disaster recovery</t>
        </is>
      </c>
      <c r="G797">
        <f>IF($H797="","",IFERROR(INDEX('_ENGINE_Risk'!$H$41:$M$920,MATCH($E797,'_ENGINE_Risk'!$A$41:$A$920,0),$H797+1),""))</f>
        <v/>
      </c>
      <c r="H797">
        <f>IFERROR(VALUE(INDEX(_DATA_Assessment_Model!$H$5:$H$884,MATCH($E797,_DATA_Assessment_Model!$A$5:$A$884,0))),"")</f>
        <v/>
      </c>
      <c r="I797">
        <f>IF($H797="","",IFERROR(INDEX(_DATA_Assessment_Model!$L$5:$L$884,MATCH($E797,_DATA_Assessment_Model!$A$5:$A$884,0)),IF($H797&lt;=1,"Critical",IF($H797=2,"High",IF($H797=3,"Medium",IF($H797=4,"Low","Resilient"))))))</f>
        <v/>
      </c>
      <c r="J797">
        <f>IF($H797="","",MIN(5,MAX(1,6-$H797)))</f>
        <v/>
      </c>
      <c r="K797">
        <f>IF($H797="","",MAX(1,MIN(5,ROUNDUP(($U797*0.45)+($W797*0.35)+($X797*0.2),0))))</f>
        <v/>
      </c>
      <c r="L797">
        <f>IF($H797="","",$J797*$K797)</f>
        <v/>
      </c>
      <c r="M797">
        <f>IF($H797="","",MAX(1,MIN(5,ROUNDUP($L797/5,0))))</f>
        <v/>
      </c>
      <c r="N797">
        <f>IF($H797="","",IFERROR(INDEX('_ENGINE_Risk'!$T$41:$Y$920,MATCH($E797,'_ENGINE_Risk'!$A$41:$A$920,0),$H797+1),""))</f>
        <v/>
      </c>
      <c r="O797">
        <f>IF($H797="","",MAX(1,MIN(5,($U797+$V797+$X797)/3)))</f>
        <v/>
      </c>
      <c r="P797">
        <f>IF($H797="","",IF($I797="Critical",5,IF($I797="High",4,IF($I797="Medium",3,IF($I797="Low",2,1)))))</f>
        <v/>
      </c>
      <c r="Q797">
        <f>IF($H797="","",MAX(1,MIN(5,((5-$H797)*0.65)+($W797*0.35))))</f>
        <v/>
      </c>
      <c r="R797">
        <f>IF($H797="","",MAX(1,MIN(5,($V797+$X797)/2)))</f>
        <v/>
      </c>
      <c r="S797">
        <f>IF(OR($H797="",$N797=""),"",ROUND(($O797+$P797+$Q797+$R797)/$N797,2))</f>
        <v/>
      </c>
      <c r="T797">
        <f>IF($H797="","",IFERROR(INDEX('_ENGINE_Risk'!$N$41:$S$920,MATCH($E797,'_ENGINE_Risk'!$A$41:$A$920,0),$H797+1),""))</f>
        <v/>
      </c>
      <c r="U797">
        <f>IFERROR(INDEX(_DATA_Assessment_Model!$G$5:$G$884,MATCH($E797,_DATA_Assessment_Model!$A$5:$A$884,0)),"")</f>
        <v/>
      </c>
      <c r="V797">
        <f>IFERROR(INDEX(_DATA_Assessment_Model!$W$5:$W$884,MATCH($E797,_DATA_Assessment_Model!$A$5:$A$884,0)),"")</f>
        <v/>
      </c>
      <c r="W797">
        <f>IFERROR(INDEX(_DATA_Assessment_Model!$X$5:$X$884,MATCH($E797,_DATA_Assessment_Model!$A$5:$A$884,0)),"")</f>
        <v/>
      </c>
      <c r="X797">
        <f>IFERROR(INDEX(_DATA_Assessment_Model!$Y$5:$Y$884,MATCH($E797,_DATA_Assessment_Model!$A$5:$A$884,0)),"")</f>
        <v/>
      </c>
      <c r="Y797" t="inlineStr">
        <is>
          <t>IT outage; Cloud outage; Data loss; Cyberattack</t>
        </is>
      </c>
      <c r="Z797" t="inlineStr">
        <is>
          <t>CIO / CTO / IT Ops</t>
        </is>
      </c>
      <c r="AA797" t="inlineStr">
        <is>
          <t>Policy/SOP; owner/RACI; system report; dashboard; contracts; test records; incident history; interview evidence related to technical debt register linked to resilience, security and business impact.</t>
        </is>
      </c>
      <c r="AB797">
        <f>IFERROR(INDEX(_DATA_Assessment_Model!$U$5:$U$884,MATCH($E797,_DATA_Assessment_Model!$A$5:$A$884,0)),"")</f>
        <v/>
      </c>
      <c r="AF797" t="inlineStr">
        <is>
          <t>How mature is the organization in managing technical debt register linked to resilience, security and business impact, including ownership, evidence, metrics, fallback procedures and crisis stress testing?</t>
        </is>
      </c>
      <c r="AO797">
        <f>IF($B797="Yes",IFERROR(INDEX(_ENGINE_Crisis!$F$501:$F$517,MATCH($C797,_ENGINE_Crisis!$A$501:$A$517,0)),1),"")</f>
        <v/>
      </c>
      <c r="AP797">
        <f>IF(AO797="","",ROUND($L797*AO797,1))</f>
        <v/>
      </c>
      <c r="AQ797">
        <f>IF(OR(AO797="",$S797=""),"",ROUND($S797*(0.7+0.3*AO797),2))</f>
        <v/>
      </c>
      <c r="AR797">
        <f>IFERROR(INDEX(_ENGINE_Crisis!$E$41:$E$700,MATCH('Resilience &amp; Risk Scenario'!$B$60&amp;"|"&amp;$C797,_ENGINE_Crisis!$I$41:$I$700,0)),"")</f>
        <v/>
      </c>
      <c r="AS797">
        <f>IFERROR(INDEX(_ENGINE_Crisis!$G$41:$G$700,MATCH('Resilience &amp; Risk Scenario'!$B$60&amp;"|"&amp;$C797,_ENGINE_Crisis!$I$41:$I$700,0)),"")</f>
        <v/>
      </c>
      <c r="AT797">
        <f>IFERROR(INDEX(_ENGINE_Initiatives!$A$5:$A$532,MATCH(1,INDEX((_ENGINE_Initiatives!$B$5:$B$532=$C797)*(_ENGINE_Initiatives!$C$5:$C$532=$D797),0),0)),"")</f>
        <v/>
      </c>
      <c r="AU797">
        <f>IFERROR(INDEX(_ENGINE_Initiatives!$F$5:$F$532,MATCH(1,INDEX((_ENGINE_Initiatives!$B$5:$B$532=$C797)*(_ENGINE_Initiatives!$C$5:$C$532=$D797),0),0)),"")</f>
        <v/>
      </c>
      <c r="AV797">
        <f>IFERROR(INDEX(_ENGINE_Initiatives!$AC$5:$AC$532,MATCH(1,INDEX((_ENGINE_Initiatives!$B$5:$B$532=$C797)*(_ENGINE_Initiatives!$C$5:$C$532=$D797),0),0)),"")</f>
        <v/>
      </c>
      <c r="AW797">
        <f>IFERROR(INDEX(_ENGINE_Initiatives!$AE$5:$AE$532,MATCH(1,INDEX((_ENGINE_Initiatives!$B$5:$B$532=$C797)*(_ENGINE_Initiatives!$C$5:$C$532=$D797),0),0)),"")</f>
        <v/>
      </c>
      <c r="AX797">
        <f>IF($B797="Yes",IFERROR(IF(SUMIFS(_REF_Model_Content!$E$1:$E$613,_REF_Model_Content!$A$1:$A$613,'Company Profile'!$B$9,_REF_Model_Content!$B$1:$B$613,$C797)=0,1,SUMIFS(_REF_Model_Content!$E$1:$E$613,_REF_Model_Content!$A$1:$A$613,'Company Profile'!$B$9,_REF_Model_Content!$B$1:$B$613,$C797)),1),"")</f>
        <v/>
      </c>
      <c r="AY797">
        <f>IF($L797="","",ROUND(IF($AP797="",$L797,$AP797)*IF($AX797="",1,$AX797),2))</f>
        <v/>
      </c>
      <c r="AZ797">
        <f>IF($S797="","",ROUND(IF($AQ797="",$S797,$AQ797)*IF($AX797="",1,$AX797),2))</f>
        <v/>
      </c>
      <c r="BB797">
        <f>IF($H797="","",IFERROR(INDEX('_ENGINE_Risk'!$AE$41:$AE$920,MATCH($E797,'_ENGINE_Risk'!$A$41:$A$920,0)),"Medium"))</f>
        <v/>
      </c>
      <c r="BC797">
        <f>IF($BB797="","",IF($BB797="Fast",1.25,IF($BB797="Slow",0.85,1)))</f>
        <v/>
      </c>
      <c r="BD797">
        <f>IF(OR($AZ797="",$BC797=""),"",ROUND($AZ797*$BC797,2))</f>
        <v/>
      </c>
      <c r="BF797">
        <f>IF(OR($H797="",$J797=""),"",_xlfn.IFNA(VLOOKUP($J797,_CONFIG_Model_Settings!$D$610:$E$614,2,0),""))</f>
        <v/>
      </c>
      <c r="BG797">
        <f>IF(OR($H797="",$K797=""),"",ROUND('Company Profile'!$B$569*INDEX(_CONFIG_Model_Settings!$H$610:$H$614,MATCH($K797,_CONFIG_Model_Settings!$G$610:$G$614,0)),0))</f>
        <v/>
      </c>
      <c r="BH797">
        <f>IF(OR($BF797="",$BG797=""),"",ROUND($BF797*$BG797,1))</f>
        <v/>
      </c>
      <c r="BI797">
        <f>IF($BH797="","",IF($AO797="",$BH797,ROUND($BH797*$AO797,1)))</f>
        <v/>
      </c>
      <c r="BJ797">
        <f>IF($E797="","",IFERROR(VLOOKUP($C797,'_CONFIG_Risk_Calibration'!$A$5:$H$21,2,FALSE),3))</f>
        <v/>
      </c>
      <c r="BK797">
        <f>IF($E797="","",IFERROR(VLOOKUP($C797,'_CONFIG_Risk_Calibration'!$A$5:$H$21,3,FALSE),0))</f>
        <v/>
      </c>
      <c r="BL797">
        <f>IF($E797="","",IFERROR(VLOOKUP($C797,'_CONFIG_Risk_Calibration'!$A$5:$H$21,4,FALSE),3))</f>
        <v/>
      </c>
      <c r="BM797">
        <f>IF($E797="","",IFERROR(VLOOKUP($C797,'_CONFIG_Risk_Calibration'!$A$5:$H$21,5,FALSE),3))</f>
        <v/>
      </c>
      <c r="BN797">
        <f>IF($E797="","",IFERROR(VLOOKUP($C797,'_CONFIG_Risk_Calibration'!$A$5:$H$21,6,FALSE),"No"))</f>
        <v/>
      </c>
      <c r="BO797">
        <f>IF($E797="","",IFERROR(VLOOKUP($C797,'_CONFIG_Risk_Calibration'!$A$5:$H$21,7,FALSE),1))</f>
        <v/>
      </c>
      <c r="BP797">
        <f>IF($H797="","",MAX(1,MIN(5,((6-$H797)*0.45)+($BJ797*0.20)+('Resilience &amp; Risk Scenario'!$B$7*0.15)+($BK797*0.10)+($BL797*0.05)+(IF($BB797="Fast",5,IF($BB797="Slow",1,3))*0.05))))</f>
        <v/>
      </c>
      <c r="BQ797">
        <f>IF($H797="","",MAX(IF($BN797="Yes",$BO797,1),MIN(5,($U797*0.20)+($V797*0.15)+($W797*0.25)+($X797*0.15)+($BJ797*0.10)+($BM797*0.15))))</f>
        <v/>
      </c>
      <c r="BR797">
        <f>IF(OR($BP797="",$BQ797=""),"",ROUND($BP797*$BQ797,2))</f>
        <v/>
      </c>
      <c r="BS797">
        <f>IF($BR797="","",ROUND($BR797*IF($AO797="",1,$AO797)*IF($AX797="",1,$AX797)*(1+(($BM797-3)*0.10))*IF($BC797="",1,$BC797),2))</f>
        <v/>
      </c>
    </row>
    <row r="798" ht="69.90000000000001" customHeight="1" s="209">
      <c r="A798">
        <f>IF($BD798="","",SUMPRODUCT(ISNUMBER($BD$500:$BD$923)*($BD$500:$BD$923&gt;$BD798))+COUNTIF($BD$500:$BD798,$BD798))</f>
        <v/>
      </c>
      <c r="B798">
        <f>IF($H798="","",IF($H798&lt;5,"Yes","Maintain"))</f>
        <v/>
      </c>
      <c r="C798" t="inlineStr">
        <is>
          <t>IT Cloud DR</t>
        </is>
      </c>
      <c r="D798" t="inlineStr">
        <is>
          <t>Cloud usage</t>
        </is>
      </c>
      <c r="E798" t="inlineStr">
        <is>
          <t>ITCL-007</t>
        </is>
      </c>
      <c r="F798" t="inlineStr">
        <is>
          <t>IT, cloud and disaster recovery</t>
        </is>
      </c>
      <c r="G798">
        <f>IF($H798="","",IFERROR(INDEX('_ENGINE_Risk'!$H$41:$M$920,MATCH($E798,'_ENGINE_Risk'!$A$41:$A$920,0),$H798+1),""))</f>
        <v/>
      </c>
      <c r="H798">
        <f>IFERROR(VALUE(INDEX(_DATA_Assessment_Model!$H$5:$H$884,MATCH($E798,_DATA_Assessment_Model!$A$5:$A$884,0))),"")</f>
        <v/>
      </c>
      <c r="I798">
        <f>IF($H798="","",IFERROR(INDEX(_DATA_Assessment_Model!$L$5:$L$884,MATCH($E798,_DATA_Assessment_Model!$A$5:$A$884,0)),IF($H798&lt;=1,"Critical",IF($H798=2,"High",IF($H798=3,"Medium",IF($H798=4,"Low","Resilient"))))))</f>
        <v/>
      </c>
      <c r="J798">
        <f>IF($H798="","",MIN(5,MAX(1,6-$H798)))</f>
        <v/>
      </c>
      <c r="K798">
        <f>IF($H798="","",MAX(1,MIN(5,ROUNDUP(($U798*0.45)+($W798*0.35)+($X798*0.2),0))))</f>
        <v/>
      </c>
      <c r="L798">
        <f>IF($H798="","",$J798*$K798)</f>
        <v/>
      </c>
      <c r="M798">
        <f>IF($H798="","",MAX(1,MIN(5,ROUNDUP($L798/5,0))))</f>
        <v/>
      </c>
      <c r="N798">
        <f>IF($H798="","",IFERROR(INDEX('_ENGINE_Risk'!$T$41:$Y$920,MATCH($E798,'_ENGINE_Risk'!$A$41:$A$920,0),$H798+1),""))</f>
        <v/>
      </c>
      <c r="O798">
        <f>IF($H798="","",MAX(1,MIN(5,($U798+$V798+$X798)/3)))</f>
        <v/>
      </c>
      <c r="P798">
        <f>IF($H798="","",IF($I798="Critical",5,IF($I798="High",4,IF($I798="Medium",3,IF($I798="Low",2,1)))))</f>
        <v/>
      </c>
      <c r="Q798">
        <f>IF($H798="","",MAX(1,MIN(5,((5-$H798)*0.65)+($W798*0.35))))</f>
        <v/>
      </c>
      <c r="R798">
        <f>IF($H798="","",MAX(1,MIN(5,($V798+$X798)/2)))</f>
        <v/>
      </c>
      <c r="S798">
        <f>IF(OR($H798="",$N798=""),"",ROUND(($O798+$P798+$Q798+$R798)/$N798,2))</f>
        <v/>
      </c>
      <c r="T798">
        <f>IF($H798="","",IFERROR(INDEX('_ENGINE_Risk'!$N$41:$S$920,MATCH($E798,'_ENGINE_Risk'!$A$41:$A$920,0),$H798+1),""))</f>
        <v/>
      </c>
      <c r="U798">
        <f>IFERROR(INDEX(_DATA_Assessment_Model!$G$5:$G$884,MATCH($E798,_DATA_Assessment_Model!$A$5:$A$884,0)),"")</f>
        <v/>
      </c>
      <c r="V798">
        <f>IFERROR(INDEX(_DATA_Assessment_Model!$W$5:$W$884,MATCH($E798,_DATA_Assessment_Model!$A$5:$A$884,0)),"")</f>
        <v/>
      </c>
      <c r="W798">
        <f>IFERROR(INDEX(_DATA_Assessment_Model!$X$5:$X$884,MATCH($E798,_DATA_Assessment_Model!$A$5:$A$884,0)),"")</f>
        <v/>
      </c>
      <c r="X798">
        <f>IFERROR(INDEX(_DATA_Assessment_Model!$Y$5:$Y$884,MATCH($E798,_DATA_Assessment_Model!$A$5:$A$884,0)),"")</f>
        <v/>
      </c>
      <c r="Y798" t="inlineStr">
        <is>
          <t>IT outage; Cloud outage; Data loss; Cyberattack</t>
        </is>
      </c>
      <c r="Z798" t="inlineStr">
        <is>
          <t>CIO / CTO / IT Ops</t>
        </is>
      </c>
      <c r="AA798" t="inlineStr">
        <is>
          <t>Policy/SOP; owner/RACI; system report; dashboard; contracts; test records; incident history; interview evidence related to cloud account, subscription or project governance with ownership, billing, IAM, tagging and guardrails.</t>
        </is>
      </c>
      <c r="AB798">
        <f>IFERROR(INDEX(_DATA_Assessment_Model!$U$5:$U$884,MATCH($E798,_DATA_Assessment_Model!$A$5:$A$884,0)),"")</f>
        <v/>
      </c>
      <c r="AF798" t="inlineStr">
        <is>
          <t>How mature is the organization in managing cloud account, subscription or project governance with ownership, billing, IAM, tagging and guardrails, including ownership, evidence, metrics, fallback procedures and crisis stress testing?</t>
        </is>
      </c>
      <c r="AO798">
        <f>IF($B798="Yes",IFERROR(INDEX(_ENGINE_Crisis!$F$501:$F$517,MATCH($C798,_ENGINE_Crisis!$A$501:$A$517,0)),1),"")</f>
        <v/>
      </c>
      <c r="AP798">
        <f>IF(AO798="","",ROUND($L798*AO798,1))</f>
        <v/>
      </c>
      <c r="AQ798">
        <f>IF(OR(AO798="",$S798=""),"",ROUND($S798*(0.7+0.3*AO798),2))</f>
        <v/>
      </c>
      <c r="AR798">
        <f>IFERROR(INDEX(_ENGINE_Crisis!$E$41:$E$700,MATCH('Resilience &amp; Risk Scenario'!$B$60&amp;"|"&amp;$C798,_ENGINE_Crisis!$I$41:$I$700,0)),"")</f>
        <v/>
      </c>
      <c r="AS798">
        <f>IFERROR(INDEX(_ENGINE_Crisis!$G$41:$G$700,MATCH('Resilience &amp; Risk Scenario'!$B$60&amp;"|"&amp;$C798,_ENGINE_Crisis!$I$41:$I$700,0)),"")</f>
        <v/>
      </c>
      <c r="AT798">
        <f>IFERROR(INDEX(_ENGINE_Initiatives!$A$5:$A$532,MATCH(1,INDEX((_ENGINE_Initiatives!$B$5:$B$532=$C798)*(_ENGINE_Initiatives!$C$5:$C$532=$D798),0),0)),"")</f>
        <v/>
      </c>
      <c r="AU798">
        <f>IFERROR(INDEX(_ENGINE_Initiatives!$F$5:$F$532,MATCH(1,INDEX((_ENGINE_Initiatives!$B$5:$B$532=$C798)*(_ENGINE_Initiatives!$C$5:$C$532=$D798),0),0)),"")</f>
        <v/>
      </c>
      <c r="AV798">
        <f>IFERROR(INDEX(_ENGINE_Initiatives!$AC$5:$AC$532,MATCH(1,INDEX((_ENGINE_Initiatives!$B$5:$B$532=$C798)*(_ENGINE_Initiatives!$C$5:$C$532=$D798),0),0)),"")</f>
        <v/>
      </c>
      <c r="AW798">
        <f>IFERROR(INDEX(_ENGINE_Initiatives!$AE$5:$AE$532,MATCH(1,INDEX((_ENGINE_Initiatives!$B$5:$B$532=$C798)*(_ENGINE_Initiatives!$C$5:$C$532=$D798),0),0)),"")</f>
        <v/>
      </c>
      <c r="AX798">
        <f>IF($B798="Yes",IFERROR(IF(SUMIFS(_REF_Model_Content!$E$1:$E$613,_REF_Model_Content!$A$1:$A$613,'Company Profile'!$B$9,_REF_Model_Content!$B$1:$B$613,$C798)=0,1,SUMIFS(_REF_Model_Content!$E$1:$E$613,_REF_Model_Content!$A$1:$A$613,'Company Profile'!$B$9,_REF_Model_Content!$B$1:$B$613,$C798)),1),"")</f>
        <v/>
      </c>
      <c r="AY798">
        <f>IF($L798="","",ROUND(IF($AP798="",$L798,$AP798)*IF($AX798="",1,$AX798),2))</f>
        <v/>
      </c>
      <c r="AZ798">
        <f>IF($S798="","",ROUND(IF($AQ798="",$S798,$AQ798)*IF($AX798="",1,$AX798),2))</f>
        <v/>
      </c>
      <c r="BB798">
        <f>IF($H798="","",IFERROR(INDEX('_ENGINE_Risk'!$AE$41:$AE$920,MATCH($E798,'_ENGINE_Risk'!$A$41:$A$920,0)),"Medium"))</f>
        <v/>
      </c>
      <c r="BC798">
        <f>IF($BB798="","",IF($BB798="Fast",1.25,IF($BB798="Slow",0.85,1)))</f>
        <v/>
      </c>
      <c r="BD798">
        <f>IF(OR($AZ798="",$BC798=""),"",ROUND($AZ798*$BC798,2))</f>
        <v/>
      </c>
      <c r="BF798">
        <f>IF(OR($H798="",$J798=""),"",_xlfn.IFNA(VLOOKUP($J798,_CONFIG_Model_Settings!$D$610:$E$614,2,0),""))</f>
        <v/>
      </c>
      <c r="BG798">
        <f>IF(OR($H798="",$K798=""),"",ROUND('Company Profile'!$B$569*INDEX(_CONFIG_Model_Settings!$H$610:$H$614,MATCH($K798,_CONFIG_Model_Settings!$G$610:$G$614,0)),0))</f>
        <v/>
      </c>
      <c r="BH798">
        <f>IF(OR($BF798="",$BG798=""),"",ROUND($BF798*$BG798,1))</f>
        <v/>
      </c>
      <c r="BI798">
        <f>IF($BH798="","",IF($AO798="",$BH798,ROUND($BH798*$AO798,1)))</f>
        <v/>
      </c>
      <c r="BJ798">
        <f>IF($E798="","",IFERROR(VLOOKUP($C798,'_CONFIG_Risk_Calibration'!$A$5:$H$21,2,FALSE),3))</f>
        <v/>
      </c>
      <c r="BK798">
        <f>IF($E798="","",IFERROR(VLOOKUP($C798,'_CONFIG_Risk_Calibration'!$A$5:$H$21,3,FALSE),0))</f>
        <v/>
      </c>
      <c r="BL798">
        <f>IF($E798="","",IFERROR(VLOOKUP($C798,'_CONFIG_Risk_Calibration'!$A$5:$H$21,4,FALSE),3))</f>
        <v/>
      </c>
      <c r="BM798">
        <f>IF($E798="","",IFERROR(VLOOKUP($C798,'_CONFIG_Risk_Calibration'!$A$5:$H$21,5,FALSE),3))</f>
        <v/>
      </c>
      <c r="BN798">
        <f>IF($E798="","",IFERROR(VLOOKUP($C798,'_CONFIG_Risk_Calibration'!$A$5:$H$21,6,FALSE),"No"))</f>
        <v/>
      </c>
      <c r="BO798">
        <f>IF($E798="","",IFERROR(VLOOKUP($C798,'_CONFIG_Risk_Calibration'!$A$5:$H$21,7,FALSE),1))</f>
        <v/>
      </c>
      <c r="BP798">
        <f>IF($H798="","",MAX(1,MIN(5,((6-$H798)*0.45)+($BJ798*0.20)+('Resilience &amp; Risk Scenario'!$B$7*0.15)+($BK798*0.10)+($BL798*0.05)+(IF($BB798="Fast",5,IF($BB798="Slow",1,3))*0.05))))</f>
        <v/>
      </c>
      <c r="BQ798">
        <f>IF($H798="","",MAX(IF($BN798="Yes",$BO798,1),MIN(5,($U798*0.20)+($V798*0.15)+($W798*0.25)+($X798*0.15)+($BJ798*0.10)+($BM798*0.15))))</f>
        <v/>
      </c>
      <c r="BR798">
        <f>IF(OR($BP798="",$BQ798=""),"",ROUND($BP798*$BQ798,2))</f>
        <v/>
      </c>
      <c r="BS798">
        <f>IF($BR798="","",ROUND($BR798*IF($AO798="",1,$AO798)*IF($AX798="",1,$AX798)*(1+(($BM798-3)*0.10))*IF($BC798="",1,$BC798),2))</f>
        <v/>
      </c>
    </row>
    <row r="799" ht="69.90000000000001" customHeight="1" s="209">
      <c r="A799">
        <f>IF($BD799="","",SUMPRODUCT(ISNUMBER($BD$500:$BD$923)*($BD$500:$BD$923&gt;$BD799))+COUNTIF($BD$500:$BD799,$BD799))</f>
        <v/>
      </c>
      <c r="B799">
        <f>IF($H799="","",IF($H799&lt;5,"Yes","Maintain"))</f>
        <v/>
      </c>
      <c r="C799" t="inlineStr">
        <is>
          <t>IT Cloud DR</t>
        </is>
      </c>
      <c r="D799" t="inlineStr">
        <is>
          <t>Cloud usage</t>
        </is>
      </c>
      <c r="E799" t="inlineStr">
        <is>
          <t>ITCL-008</t>
        </is>
      </c>
      <c r="F799" t="inlineStr">
        <is>
          <t>IT, cloud and disaster recovery</t>
        </is>
      </c>
      <c r="G799">
        <f>IF($H799="","",IFERROR(INDEX('_ENGINE_Risk'!$H$41:$M$920,MATCH($E799,'_ENGINE_Risk'!$A$41:$A$920,0),$H799+1),""))</f>
        <v/>
      </c>
      <c r="H799">
        <f>IFERROR(VALUE(INDEX(_DATA_Assessment_Model!$H$5:$H$884,MATCH($E799,_DATA_Assessment_Model!$A$5:$A$884,0))),"")</f>
        <v/>
      </c>
      <c r="I799">
        <f>IF($H799="","",IFERROR(INDEX(_DATA_Assessment_Model!$L$5:$L$884,MATCH($E799,_DATA_Assessment_Model!$A$5:$A$884,0)),IF($H799&lt;=1,"Critical",IF($H799=2,"High",IF($H799=3,"Medium",IF($H799=4,"Low","Resilient"))))))</f>
        <v/>
      </c>
      <c r="J799">
        <f>IF($H799="","",MIN(5,MAX(1,6-$H799)))</f>
        <v/>
      </c>
      <c r="K799">
        <f>IF($H799="","",MAX(1,MIN(5,ROUNDUP(($U799*0.45)+($W799*0.35)+($X799*0.2),0))))</f>
        <v/>
      </c>
      <c r="L799">
        <f>IF($H799="","",$J799*$K799)</f>
        <v/>
      </c>
      <c r="M799">
        <f>IF($H799="","",MAX(1,MIN(5,ROUNDUP($L799/5,0))))</f>
        <v/>
      </c>
      <c r="N799">
        <f>IF($H799="","",IFERROR(INDEX('_ENGINE_Risk'!$T$41:$Y$920,MATCH($E799,'_ENGINE_Risk'!$A$41:$A$920,0),$H799+1),""))</f>
        <v/>
      </c>
      <c r="O799">
        <f>IF($H799="","",MAX(1,MIN(5,($U799+$V799+$X799)/3)))</f>
        <v/>
      </c>
      <c r="P799">
        <f>IF($H799="","",IF($I799="Critical",5,IF($I799="High",4,IF($I799="Medium",3,IF($I799="Low",2,1)))))</f>
        <v/>
      </c>
      <c r="Q799">
        <f>IF($H799="","",MAX(1,MIN(5,((5-$H799)*0.65)+($W799*0.35))))</f>
        <v/>
      </c>
      <c r="R799">
        <f>IF($H799="","",MAX(1,MIN(5,($V799+$X799)/2)))</f>
        <v/>
      </c>
      <c r="S799">
        <f>IF(OR($H799="",$N799=""),"",ROUND(($O799+$P799+$Q799+$R799)/$N799,2))</f>
        <v/>
      </c>
      <c r="T799">
        <f>IF($H799="","",IFERROR(INDEX('_ENGINE_Risk'!$N$41:$S$920,MATCH($E799,'_ENGINE_Risk'!$A$41:$A$920,0),$H799+1),""))</f>
        <v/>
      </c>
      <c r="U799">
        <f>IFERROR(INDEX(_DATA_Assessment_Model!$G$5:$G$884,MATCH($E799,_DATA_Assessment_Model!$A$5:$A$884,0)),"")</f>
        <v/>
      </c>
      <c r="V799">
        <f>IFERROR(INDEX(_DATA_Assessment_Model!$W$5:$W$884,MATCH($E799,_DATA_Assessment_Model!$A$5:$A$884,0)),"")</f>
        <v/>
      </c>
      <c r="W799">
        <f>IFERROR(INDEX(_DATA_Assessment_Model!$X$5:$X$884,MATCH($E799,_DATA_Assessment_Model!$A$5:$A$884,0)),"")</f>
        <v/>
      </c>
      <c r="X799">
        <f>IFERROR(INDEX(_DATA_Assessment_Model!$Y$5:$Y$884,MATCH($E799,_DATA_Assessment_Model!$A$5:$A$884,0)),"")</f>
        <v/>
      </c>
      <c r="Y799" t="inlineStr">
        <is>
          <t>IT outage; Cloud outage; Data loss; Cyberattack</t>
        </is>
      </c>
      <c r="Z799" t="inlineStr">
        <is>
          <t>CIO / CTO / IT Ops</t>
        </is>
      </c>
      <c r="AA799" t="inlineStr">
        <is>
          <t>Policy/SOP; owner/RACI; system report; dashboard; contracts; test records; incident history; interview evidence related to cloud provider, SaaS, region and managed-service concentration risk.</t>
        </is>
      </c>
      <c r="AB799">
        <f>IFERROR(INDEX(_DATA_Assessment_Model!$U$5:$U$884,MATCH($E799,_DATA_Assessment_Model!$A$5:$A$884,0)),"")</f>
        <v/>
      </c>
      <c r="AF799" t="inlineStr">
        <is>
          <t>How mature is the organization in managing cloud provider, SaaS, region and managed-service concentration risk, including ownership, evidence, metrics, fallback procedures and crisis stress testing?</t>
        </is>
      </c>
      <c r="AO799">
        <f>IF($B799="Yes",IFERROR(INDEX(_ENGINE_Crisis!$F$501:$F$517,MATCH($C799,_ENGINE_Crisis!$A$501:$A$517,0)),1),"")</f>
        <v/>
      </c>
      <c r="AP799">
        <f>IF(AO799="","",ROUND($L799*AO799,1))</f>
        <v/>
      </c>
      <c r="AQ799">
        <f>IF(OR(AO799="",$S799=""),"",ROUND($S799*(0.7+0.3*AO799),2))</f>
        <v/>
      </c>
      <c r="AR799">
        <f>IFERROR(INDEX(_ENGINE_Crisis!$E$41:$E$700,MATCH('Resilience &amp; Risk Scenario'!$B$60&amp;"|"&amp;$C799,_ENGINE_Crisis!$I$41:$I$700,0)),"")</f>
        <v/>
      </c>
      <c r="AS799">
        <f>IFERROR(INDEX(_ENGINE_Crisis!$G$41:$G$700,MATCH('Resilience &amp; Risk Scenario'!$B$60&amp;"|"&amp;$C799,_ENGINE_Crisis!$I$41:$I$700,0)),"")</f>
        <v/>
      </c>
      <c r="AT799">
        <f>IFERROR(INDEX(_ENGINE_Initiatives!$A$5:$A$532,MATCH(1,INDEX((_ENGINE_Initiatives!$B$5:$B$532=$C799)*(_ENGINE_Initiatives!$C$5:$C$532=$D799),0),0)),"")</f>
        <v/>
      </c>
      <c r="AU799">
        <f>IFERROR(INDEX(_ENGINE_Initiatives!$F$5:$F$532,MATCH(1,INDEX((_ENGINE_Initiatives!$B$5:$B$532=$C799)*(_ENGINE_Initiatives!$C$5:$C$532=$D799),0),0)),"")</f>
        <v/>
      </c>
      <c r="AV799">
        <f>IFERROR(INDEX(_ENGINE_Initiatives!$AC$5:$AC$532,MATCH(1,INDEX((_ENGINE_Initiatives!$B$5:$B$532=$C799)*(_ENGINE_Initiatives!$C$5:$C$532=$D799),0),0)),"")</f>
        <v/>
      </c>
      <c r="AW799">
        <f>IFERROR(INDEX(_ENGINE_Initiatives!$AE$5:$AE$532,MATCH(1,INDEX((_ENGINE_Initiatives!$B$5:$B$532=$C799)*(_ENGINE_Initiatives!$C$5:$C$532=$D799),0),0)),"")</f>
        <v/>
      </c>
      <c r="AX799">
        <f>IF($B799="Yes",IFERROR(IF(SUMIFS(_REF_Model_Content!$E$1:$E$613,_REF_Model_Content!$A$1:$A$613,'Company Profile'!$B$9,_REF_Model_Content!$B$1:$B$613,$C799)=0,1,SUMIFS(_REF_Model_Content!$E$1:$E$613,_REF_Model_Content!$A$1:$A$613,'Company Profile'!$B$9,_REF_Model_Content!$B$1:$B$613,$C799)),1),"")</f>
        <v/>
      </c>
      <c r="AY799">
        <f>IF($L799="","",ROUND(IF($AP799="",$L799,$AP799)*IF($AX799="",1,$AX799),2))</f>
        <v/>
      </c>
      <c r="AZ799">
        <f>IF($S799="","",ROUND(IF($AQ799="",$S799,$AQ799)*IF($AX799="",1,$AX799),2))</f>
        <v/>
      </c>
      <c r="BB799">
        <f>IF($H799="","",IFERROR(INDEX('_ENGINE_Risk'!$AE$41:$AE$920,MATCH($E799,'_ENGINE_Risk'!$A$41:$A$920,0)),"Medium"))</f>
        <v/>
      </c>
      <c r="BC799">
        <f>IF($BB799="","",IF($BB799="Fast",1.25,IF($BB799="Slow",0.85,1)))</f>
        <v/>
      </c>
      <c r="BD799">
        <f>IF(OR($AZ799="",$BC799=""),"",ROUND($AZ799*$BC799,2))</f>
        <v/>
      </c>
      <c r="BF799">
        <f>IF(OR($H799="",$J799=""),"",_xlfn.IFNA(VLOOKUP($J799,_CONFIG_Model_Settings!$D$610:$E$614,2,0),""))</f>
        <v/>
      </c>
      <c r="BG799">
        <f>IF(OR($H799="",$K799=""),"",ROUND('Company Profile'!$B$569*INDEX(_CONFIG_Model_Settings!$H$610:$H$614,MATCH($K799,_CONFIG_Model_Settings!$G$610:$G$614,0)),0))</f>
        <v/>
      </c>
      <c r="BH799">
        <f>IF(OR($BF799="",$BG799=""),"",ROUND($BF799*$BG799,1))</f>
        <v/>
      </c>
      <c r="BI799">
        <f>IF($BH799="","",IF($AO799="",$BH799,ROUND($BH799*$AO799,1)))</f>
        <v/>
      </c>
      <c r="BJ799">
        <f>IF($E799="","",IFERROR(VLOOKUP($C799,'_CONFIG_Risk_Calibration'!$A$5:$H$21,2,FALSE),3))</f>
        <v/>
      </c>
      <c r="BK799">
        <f>IF($E799="","",IFERROR(VLOOKUP($C799,'_CONFIG_Risk_Calibration'!$A$5:$H$21,3,FALSE),0))</f>
        <v/>
      </c>
      <c r="BL799">
        <f>IF($E799="","",IFERROR(VLOOKUP($C799,'_CONFIG_Risk_Calibration'!$A$5:$H$21,4,FALSE),3))</f>
        <v/>
      </c>
      <c r="BM799">
        <f>IF($E799="","",IFERROR(VLOOKUP($C799,'_CONFIG_Risk_Calibration'!$A$5:$H$21,5,FALSE),3))</f>
        <v/>
      </c>
      <c r="BN799">
        <f>IF($E799="","",IFERROR(VLOOKUP($C799,'_CONFIG_Risk_Calibration'!$A$5:$H$21,6,FALSE),"No"))</f>
        <v/>
      </c>
      <c r="BO799">
        <f>IF($E799="","",IFERROR(VLOOKUP($C799,'_CONFIG_Risk_Calibration'!$A$5:$H$21,7,FALSE),1))</f>
        <v/>
      </c>
      <c r="BP799">
        <f>IF($H799="","",MAX(1,MIN(5,((6-$H799)*0.45)+($BJ799*0.20)+('Resilience &amp; Risk Scenario'!$B$7*0.15)+($BK799*0.10)+($BL799*0.05)+(IF($BB799="Fast",5,IF($BB799="Slow",1,3))*0.05))))</f>
        <v/>
      </c>
      <c r="BQ799">
        <f>IF($H799="","",MAX(IF($BN799="Yes",$BO799,1),MIN(5,($U799*0.20)+($V799*0.15)+($W799*0.25)+($X799*0.15)+($BJ799*0.10)+($BM799*0.15))))</f>
        <v/>
      </c>
      <c r="BR799">
        <f>IF(OR($BP799="",$BQ799=""),"",ROUND($BP799*$BQ799,2))</f>
        <v/>
      </c>
      <c r="BS799">
        <f>IF($BR799="","",ROUND($BR799*IF($AO799="",1,$AO799)*IF($AX799="",1,$AX799)*(1+(($BM799-3)*0.10))*IF($BC799="",1,$BC799),2))</f>
        <v/>
      </c>
    </row>
    <row r="800" ht="69.90000000000001" customHeight="1" s="209">
      <c r="A800">
        <f>IF($BD800="","",SUMPRODUCT(ISNUMBER($BD$500:$BD$923)*($BD$500:$BD$923&gt;$BD800))+COUNTIF($BD$500:$BD800,$BD800))</f>
        <v/>
      </c>
      <c r="B800">
        <f>IF($H800="","",IF($H800&lt;5,"Yes","Maintain"))</f>
        <v/>
      </c>
      <c r="C800" t="inlineStr">
        <is>
          <t>IT Cloud DR</t>
        </is>
      </c>
      <c r="D800" t="inlineStr">
        <is>
          <t>Cloud usage</t>
        </is>
      </c>
      <c r="E800" t="inlineStr">
        <is>
          <t>ITCL-009</t>
        </is>
      </c>
      <c r="F800" t="inlineStr">
        <is>
          <t>IT, cloud and disaster recovery</t>
        </is>
      </c>
      <c r="G800">
        <f>IF($H800="","",IFERROR(INDEX('_ENGINE_Risk'!$H$41:$M$920,MATCH($E800,'_ENGINE_Risk'!$A$41:$A$920,0),$H800+1),""))</f>
        <v/>
      </c>
      <c r="H800">
        <f>IFERROR(VALUE(INDEX(_DATA_Assessment_Model!$H$5:$H$884,MATCH($E800,_DATA_Assessment_Model!$A$5:$A$884,0))),"")</f>
        <v/>
      </c>
      <c r="I800">
        <f>IF($H800="","",IFERROR(INDEX(_DATA_Assessment_Model!$L$5:$L$884,MATCH($E800,_DATA_Assessment_Model!$A$5:$A$884,0)),IF($H800&lt;=1,"Critical",IF($H800=2,"High",IF($H800=3,"Medium",IF($H800=4,"Low","Resilient"))))))</f>
        <v/>
      </c>
      <c r="J800">
        <f>IF($H800="","",MIN(5,MAX(1,6-$H800)))</f>
        <v/>
      </c>
      <c r="K800">
        <f>IF($H800="","",MAX(1,MIN(5,ROUNDUP(($U800*0.45)+($W800*0.35)+($X800*0.2),0))))</f>
        <v/>
      </c>
      <c r="L800">
        <f>IF($H800="","",$J800*$K800)</f>
        <v/>
      </c>
      <c r="M800">
        <f>IF($H800="","",MAX(1,MIN(5,ROUNDUP($L800/5,0))))</f>
        <v/>
      </c>
      <c r="N800">
        <f>IF($H800="","",IFERROR(INDEX('_ENGINE_Risk'!$T$41:$Y$920,MATCH($E800,'_ENGINE_Risk'!$A$41:$A$920,0),$H800+1),""))</f>
        <v/>
      </c>
      <c r="O800">
        <f>IF($H800="","",MAX(1,MIN(5,($U800+$V800+$X800)/3)))</f>
        <v/>
      </c>
      <c r="P800">
        <f>IF($H800="","",IF($I800="Critical",5,IF($I800="High",4,IF($I800="Medium",3,IF($I800="Low",2,1)))))</f>
        <v/>
      </c>
      <c r="Q800">
        <f>IF($H800="","",MAX(1,MIN(5,((5-$H800)*0.65)+($W800*0.35))))</f>
        <v/>
      </c>
      <c r="R800">
        <f>IF($H800="","",MAX(1,MIN(5,($V800+$X800)/2)))</f>
        <v/>
      </c>
      <c r="S800">
        <f>IF(OR($H800="",$N800=""),"",ROUND(($O800+$P800+$Q800+$R800)/$N800,2))</f>
        <v/>
      </c>
      <c r="T800">
        <f>IF($H800="","",IFERROR(INDEX('_ENGINE_Risk'!$N$41:$S$920,MATCH($E800,'_ENGINE_Risk'!$A$41:$A$920,0),$H800+1),""))</f>
        <v/>
      </c>
      <c r="U800">
        <f>IFERROR(INDEX(_DATA_Assessment_Model!$G$5:$G$884,MATCH($E800,_DATA_Assessment_Model!$A$5:$A$884,0)),"")</f>
        <v/>
      </c>
      <c r="V800">
        <f>IFERROR(INDEX(_DATA_Assessment_Model!$W$5:$W$884,MATCH($E800,_DATA_Assessment_Model!$A$5:$A$884,0)),"")</f>
        <v/>
      </c>
      <c r="W800">
        <f>IFERROR(INDEX(_DATA_Assessment_Model!$X$5:$X$884,MATCH($E800,_DATA_Assessment_Model!$A$5:$A$884,0)),"")</f>
        <v/>
      </c>
      <c r="X800">
        <f>IFERROR(INDEX(_DATA_Assessment_Model!$Y$5:$Y$884,MATCH($E800,_DATA_Assessment_Model!$A$5:$A$884,0)),"")</f>
        <v/>
      </c>
      <c r="Y800" t="inlineStr">
        <is>
          <t>IT outage; Cloud outage; Data loss; Cyberattack</t>
        </is>
      </c>
      <c r="Z800" t="inlineStr">
        <is>
          <t>CIO / CTO / IT Ops</t>
        </is>
      </c>
      <c r="AA800" t="inlineStr">
        <is>
          <t>Policy/SOP; owner/RACI; system report; dashboard; contracts; test records; incident history; interview evidence related to multi-region, multi-zone or failover design for critical cloud services where justified.</t>
        </is>
      </c>
      <c r="AB800">
        <f>IFERROR(INDEX(_DATA_Assessment_Model!$U$5:$U$884,MATCH($E800,_DATA_Assessment_Model!$A$5:$A$884,0)),"")</f>
        <v/>
      </c>
      <c r="AF800" t="inlineStr">
        <is>
          <t>How mature is the organization in managing multi-region, multi-zone or failover design for critical cloud services where justified, including ownership, evidence, metrics, fallback procedures and crisis stress testing?</t>
        </is>
      </c>
      <c r="AO800">
        <f>IF($B800="Yes",IFERROR(INDEX(_ENGINE_Crisis!$F$501:$F$517,MATCH($C800,_ENGINE_Crisis!$A$501:$A$517,0)),1),"")</f>
        <v/>
      </c>
      <c r="AP800">
        <f>IF(AO800="","",ROUND($L800*AO800,1))</f>
        <v/>
      </c>
      <c r="AQ800">
        <f>IF(OR(AO800="",$S800=""),"",ROUND($S800*(0.7+0.3*AO800),2))</f>
        <v/>
      </c>
      <c r="AR800">
        <f>IFERROR(INDEX(_ENGINE_Crisis!$E$41:$E$700,MATCH('Resilience &amp; Risk Scenario'!$B$60&amp;"|"&amp;$C800,_ENGINE_Crisis!$I$41:$I$700,0)),"")</f>
        <v/>
      </c>
      <c r="AS800">
        <f>IFERROR(INDEX(_ENGINE_Crisis!$G$41:$G$700,MATCH('Resilience &amp; Risk Scenario'!$B$60&amp;"|"&amp;$C800,_ENGINE_Crisis!$I$41:$I$700,0)),"")</f>
        <v/>
      </c>
      <c r="AT800">
        <f>IFERROR(INDEX(_ENGINE_Initiatives!$A$5:$A$532,MATCH(1,INDEX((_ENGINE_Initiatives!$B$5:$B$532=$C800)*(_ENGINE_Initiatives!$C$5:$C$532=$D800),0),0)),"")</f>
        <v/>
      </c>
      <c r="AU800">
        <f>IFERROR(INDEX(_ENGINE_Initiatives!$F$5:$F$532,MATCH(1,INDEX((_ENGINE_Initiatives!$B$5:$B$532=$C800)*(_ENGINE_Initiatives!$C$5:$C$532=$D800),0),0)),"")</f>
        <v/>
      </c>
      <c r="AV800">
        <f>IFERROR(INDEX(_ENGINE_Initiatives!$AC$5:$AC$532,MATCH(1,INDEX((_ENGINE_Initiatives!$B$5:$B$532=$C800)*(_ENGINE_Initiatives!$C$5:$C$532=$D800),0),0)),"")</f>
        <v/>
      </c>
      <c r="AW800">
        <f>IFERROR(INDEX(_ENGINE_Initiatives!$AE$5:$AE$532,MATCH(1,INDEX((_ENGINE_Initiatives!$B$5:$B$532=$C800)*(_ENGINE_Initiatives!$C$5:$C$532=$D800),0),0)),"")</f>
        <v/>
      </c>
      <c r="AX800">
        <f>IF($B800="Yes",IFERROR(IF(SUMIFS(_REF_Model_Content!$E$1:$E$613,_REF_Model_Content!$A$1:$A$613,'Company Profile'!$B$9,_REF_Model_Content!$B$1:$B$613,$C800)=0,1,SUMIFS(_REF_Model_Content!$E$1:$E$613,_REF_Model_Content!$A$1:$A$613,'Company Profile'!$B$9,_REF_Model_Content!$B$1:$B$613,$C800)),1),"")</f>
        <v/>
      </c>
      <c r="AY800">
        <f>IF($L800="","",ROUND(IF($AP800="",$L800,$AP800)*IF($AX800="",1,$AX800),2))</f>
        <v/>
      </c>
      <c r="AZ800">
        <f>IF($S800="","",ROUND(IF($AQ800="",$S800,$AQ800)*IF($AX800="",1,$AX800),2))</f>
        <v/>
      </c>
      <c r="BB800">
        <f>IF($H800="","",IFERROR(INDEX('_ENGINE_Risk'!$AE$41:$AE$920,MATCH($E800,'_ENGINE_Risk'!$A$41:$A$920,0)),"Medium"))</f>
        <v/>
      </c>
      <c r="BC800">
        <f>IF($BB800="","",IF($BB800="Fast",1.25,IF($BB800="Slow",0.85,1)))</f>
        <v/>
      </c>
      <c r="BD800">
        <f>IF(OR($AZ800="",$BC800=""),"",ROUND($AZ800*$BC800,2))</f>
        <v/>
      </c>
      <c r="BF800">
        <f>IF(OR($H800="",$J800=""),"",_xlfn.IFNA(VLOOKUP($J800,_CONFIG_Model_Settings!$D$610:$E$614,2,0),""))</f>
        <v/>
      </c>
      <c r="BG800">
        <f>IF(OR($H800="",$K800=""),"",ROUND('Company Profile'!$B$569*INDEX(_CONFIG_Model_Settings!$H$610:$H$614,MATCH($K800,_CONFIG_Model_Settings!$G$610:$G$614,0)),0))</f>
        <v/>
      </c>
      <c r="BH800">
        <f>IF(OR($BF800="",$BG800=""),"",ROUND($BF800*$BG800,1))</f>
        <v/>
      </c>
      <c r="BI800">
        <f>IF($BH800="","",IF($AO800="",$BH800,ROUND($BH800*$AO800,1)))</f>
        <v/>
      </c>
      <c r="BJ800">
        <f>IF($E800="","",IFERROR(VLOOKUP($C800,'_CONFIG_Risk_Calibration'!$A$5:$H$21,2,FALSE),3))</f>
        <v/>
      </c>
      <c r="BK800">
        <f>IF($E800="","",IFERROR(VLOOKUP($C800,'_CONFIG_Risk_Calibration'!$A$5:$H$21,3,FALSE),0))</f>
        <v/>
      </c>
      <c r="BL800">
        <f>IF($E800="","",IFERROR(VLOOKUP($C800,'_CONFIG_Risk_Calibration'!$A$5:$H$21,4,FALSE),3))</f>
        <v/>
      </c>
      <c r="BM800">
        <f>IF($E800="","",IFERROR(VLOOKUP($C800,'_CONFIG_Risk_Calibration'!$A$5:$H$21,5,FALSE),3))</f>
        <v/>
      </c>
      <c r="BN800">
        <f>IF($E800="","",IFERROR(VLOOKUP($C800,'_CONFIG_Risk_Calibration'!$A$5:$H$21,6,FALSE),"No"))</f>
        <v/>
      </c>
      <c r="BO800">
        <f>IF($E800="","",IFERROR(VLOOKUP($C800,'_CONFIG_Risk_Calibration'!$A$5:$H$21,7,FALSE),1))</f>
        <v/>
      </c>
      <c r="BP800">
        <f>IF($H800="","",MAX(1,MIN(5,((6-$H800)*0.45)+($BJ800*0.20)+('Resilience &amp; Risk Scenario'!$B$7*0.15)+($BK800*0.10)+($BL800*0.05)+(IF($BB800="Fast",5,IF($BB800="Slow",1,3))*0.05))))</f>
        <v/>
      </c>
      <c r="BQ800">
        <f>IF($H800="","",MAX(IF($BN800="Yes",$BO800,1),MIN(5,($U800*0.20)+($V800*0.15)+($W800*0.25)+($X800*0.15)+($BJ800*0.10)+($BM800*0.15))))</f>
        <v/>
      </c>
      <c r="BR800">
        <f>IF(OR($BP800="",$BQ800=""),"",ROUND($BP800*$BQ800,2))</f>
        <v/>
      </c>
      <c r="BS800">
        <f>IF($BR800="","",ROUND($BR800*IF($AO800="",1,$AO800)*IF($AX800="",1,$AX800)*(1+(($BM800-3)*0.10))*IF($BC800="",1,$BC800),2))</f>
        <v/>
      </c>
    </row>
    <row r="801" ht="69.90000000000001" customHeight="1" s="209">
      <c r="A801">
        <f>IF($BD801="","",SUMPRODUCT(ISNUMBER($BD$500:$BD$923)*($BD$500:$BD$923&gt;$BD801))+COUNTIF($BD$500:$BD801,$BD801))</f>
        <v/>
      </c>
      <c r="B801">
        <f>IF($H801="","",IF($H801&lt;5,"Yes","Maintain"))</f>
        <v/>
      </c>
      <c r="C801" t="inlineStr">
        <is>
          <t>IT Cloud DR</t>
        </is>
      </c>
      <c r="D801" t="inlineStr">
        <is>
          <t>Cloud usage</t>
        </is>
      </c>
      <c r="E801" t="inlineStr">
        <is>
          <t>ITCL-010</t>
        </is>
      </c>
      <c r="F801" t="inlineStr">
        <is>
          <t>IT, cloud and disaster recovery</t>
        </is>
      </c>
      <c r="G801">
        <f>IF($H801="","",IFERROR(INDEX('_ENGINE_Risk'!$H$41:$M$920,MATCH($E801,'_ENGINE_Risk'!$A$41:$A$920,0),$H801+1),""))</f>
        <v/>
      </c>
      <c r="H801">
        <f>IFERROR(VALUE(INDEX(_DATA_Assessment_Model!$H$5:$H$884,MATCH($E801,_DATA_Assessment_Model!$A$5:$A$884,0))),"")</f>
        <v/>
      </c>
      <c r="I801">
        <f>IF($H801="","",IFERROR(INDEX(_DATA_Assessment_Model!$L$5:$L$884,MATCH($E801,_DATA_Assessment_Model!$A$5:$A$884,0)),IF($H801&lt;=1,"Critical",IF($H801=2,"High",IF($H801=3,"Medium",IF($H801=4,"Low","Resilient"))))))</f>
        <v/>
      </c>
      <c r="J801">
        <f>IF($H801="","",MIN(5,MAX(1,6-$H801)))</f>
        <v/>
      </c>
      <c r="K801">
        <f>IF($H801="","",MAX(1,MIN(5,ROUNDUP(($U801*0.45)+($W801*0.35)+($X801*0.2),0))))</f>
        <v/>
      </c>
      <c r="L801">
        <f>IF($H801="","",$J801*$K801)</f>
        <v/>
      </c>
      <c r="M801">
        <f>IF($H801="","",MAX(1,MIN(5,ROUNDUP($L801/5,0))))</f>
        <v/>
      </c>
      <c r="N801">
        <f>IF($H801="","",IFERROR(INDEX('_ENGINE_Risk'!$T$41:$Y$920,MATCH($E801,'_ENGINE_Risk'!$A$41:$A$920,0),$H801+1),""))</f>
        <v/>
      </c>
      <c r="O801">
        <f>IF($H801="","",MAX(1,MIN(5,($U801+$V801+$X801)/3)))</f>
        <v/>
      </c>
      <c r="P801">
        <f>IF($H801="","",IF($I801="Critical",5,IF($I801="High",4,IF($I801="Medium",3,IF($I801="Low",2,1)))))</f>
        <v/>
      </c>
      <c r="Q801">
        <f>IF($H801="","",MAX(1,MIN(5,((5-$H801)*0.65)+($W801*0.35))))</f>
        <v/>
      </c>
      <c r="R801">
        <f>IF($H801="","",MAX(1,MIN(5,($V801+$X801)/2)))</f>
        <v/>
      </c>
      <c r="S801">
        <f>IF(OR($H801="",$N801=""),"",ROUND(($O801+$P801+$Q801+$R801)/$N801,2))</f>
        <v/>
      </c>
      <c r="T801">
        <f>IF($H801="","",IFERROR(INDEX('_ENGINE_Risk'!$N$41:$S$920,MATCH($E801,'_ENGINE_Risk'!$A$41:$A$920,0),$H801+1),""))</f>
        <v/>
      </c>
      <c r="U801">
        <f>IFERROR(INDEX(_DATA_Assessment_Model!$G$5:$G$884,MATCH($E801,_DATA_Assessment_Model!$A$5:$A$884,0)),"")</f>
        <v/>
      </c>
      <c r="V801">
        <f>IFERROR(INDEX(_DATA_Assessment_Model!$W$5:$W$884,MATCH($E801,_DATA_Assessment_Model!$A$5:$A$884,0)),"")</f>
        <v/>
      </c>
      <c r="W801">
        <f>IFERROR(INDEX(_DATA_Assessment_Model!$X$5:$X$884,MATCH($E801,_DATA_Assessment_Model!$A$5:$A$884,0)),"")</f>
        <v/>
      </c>
      <c r="X801">
        <f>IFERROR(INDEX(_DATA_Assessment_Model!$Y$5:$Y$884,MATCH($E801,_DATA_Assessment_Model!$A$5:$A$884,0)),"")</f>
        <v/>
      </c>
      <c r="Y801" t="inlineStr">
        <is>
          <t>IT outage; Cloud outage; Data loss; Cyberattack</t>
        </is>
      </c>
      <c r="Z801" t="inlineStr">
        <is>
          <t>CIO / CTO / IT Ops</t>
        </is>
      </c>
      <c r="AA801" t="inlineStr">
        <is>
          <t>Policy/SOP; owner/RACI; system report; dashboard; contracts; test records; incident history; interview evidence related to cloud cost monitoring, budgets, alerts, forecasting and FinOps practices.</t>
        </is>
      </c>
      <c r="AB801">
        <f>IFERROR(INDEX(_DATA_Assessment_Model!$U$5:$U$884,MATCH($E801,_DATA_Assessment_Model!$A$5:$A$884,0)),"")</f>
        <v/>
      </c>
      <c r="AF801" t="inlineStr">
        <is>
          <t>How mature is the organization in managing cloud cost monitoring, budgets, alerts, forecasting and FinOps practices, including ownership, evidence, metrics, fallback procedures and crisis stress testing?</t>
        </is>
      </c>
      <c r="AO801">
        <f>IF($B801="Yes",IFERROR(INDEX(_ENGINE_Crisis!$F$501:$F$517,MATCH($C801,_ENGINE_Crisis!$A$501:$A$517,0)),1),"")</f>
        <v/>
      </c>
      <c r="AP801">
        <f>IF(AO801="","",ROUND($L801*AO801,1))</f>
        <v/>
      </c>
      <c r="AQ801">
        <f>IF(OR(AO801="",$S801=""),"",ROUND($S801*(0.7+0.3*AO801),2))</f>
        <v/>
      </c>
      <c r="AR801">
        <f>IFERROR(INDEX(_ENGINE_Crisis!$E$41:$E$700,MATCH('Resilience &amp; Risk Scenario'!$B$60&amp;"|"&amp;$C801,_ENGINE_Crisis!$I$41:$I$700,0)),"")</f>
        <v/>
      </c>
      <c r="AS801">
        <f>IFERROR(INDEX(_ENGINE_Crisis!$G$41:$G$700,MATCH('Resilience &amp; Risk Scenario'!$B$60&amp;"|"&amp;$C801,_ENGINE_Crisis!$I$41:$I$700,0)),"")</f>
        <v/>
      </c>
      <c r="AT801">
        <f>IFERROR(INDEX(_ENGINE_Initiatives!$A$5:$A$532,MATCH(1,INDEX((_ENGINE_Initiatives!$B$5:$B$532=$C801)*(_ENGINE_Initiatives!$C$5:$C$532=$D801),0),0)),"")</f>
        <v/>
      </c>
      <c r="AU801">
        <f>IFERROR(INDEX(_ENGINE_Initiatives!$F$5:$F$532,MATCH(1,INDEX((_ENGINE_Initiatives!$B$5:$B$532=$C801)*(_ENGINE_Initiatives!$C$5:$C$532=$D801),0),0)),"")</f>
        <v/>
      </c>
      <c r="AV801">
        <f>IFERROR(INDEX(_ENGINE_Initiatives!$AC$5:$AC$532,MATCH(1,INDEX((_ENGINE_Initiatives!$B$5:$B$532=$C801)*(_ENGINE_Initiatives!$C$5:$C$532=$D801),0),0)),"")</f>
        <v/>
      </c>
      <c r="AW801">
        <f>IFERROR(INDEX(_ENGINE_Initiatives!$AE$5:$AE$532,MATCH(1,INDEX((_ENGINE_Initiatives!$B$5:$B$532=$C801)*(_ENGINE_Initiatives!$C$5:$C$532=$D801),0),0)),"")</f>
        <v/>
      </c>
      <c r="AX801">
        <f>IF($B801="Yes",IFERROR(IF(SUMIFS(_REF_Model_Content!$E$1:$E$613,_REF_Model_Content!$A$1:$A$613,'Company Profile'!$B$9,_REF_Model_Content!$B$1:$B$613,$C801)=0,1,SUMIFS(_REF_Model_Content!$E$1:$E$613,_REF_Model_Content!$A$1:$A$613,'Company Profile'!$B$9,_REF_Model_Content!$B$1:$B$613,$C801)),1),"")</f>
        <v/>
      </c>
      <c r="AY801">
        <f>IF($L801="","",ROUND(IF($AP801="",$L801,$AP801)*IF($AX801="",1,$AX801),2))</f>
        <v/>
      </c>
      <c r="AZ801">
        <f>IF($S801="","",ROUND(IF($AQ801="",$S801,$AQ801)*IF($AX801="",1,$AX801),2))</f>
        <v/>
      </c>
      <c r="BB801">
        <f>IF($H801="","",IFERROR(INDEX('_ENGINE_Risk'!$AE$41:$AE$920,MATCH($E801,'_ENGINE_Risk'!$A$41:$A$920,0)),"Medium"))</f>
        <v/>
      </c>
      <c r="BC801">
        <f>IF($BB801="","",IF($BB801="Fast",1.25,IF($BB801="Slow",0.85,1)))</f>
        <v/>
      </c>
      <c r="BD801">
        <f>IF(OR($AZ801="",$BC801=""),"",ROUND($AZ801*$BC801,2))</f>
        <v/>
      </c>
      <c r="BF801">
        <f>IF(OR($H801="",$J801=""),"",_xlfn.IFNA(VLOOKUP($J801,_CONFIG_Model_Settings!$D$610:$E$614,2,0),""))</f>
        <v/>
      </c>
      <c r="BG801">
        <f>IF(OR($H801="",$K801=""),"",ROUND('Company Profile'!$B$569*INDEX(_CONFIG_Model_Settings!$H$610:$H$614,MATCH($K801,_CONFIG_Model_Settings!$G$610:$G$614,0)),0))</f>
        <v/>
      </c>
      <c r="BH801">
        <f>IF(OR($BF801="",$BG801=""),"",ROUND($BF801*$BG801,1))</f>
        <v/>
      </c>
      <c r="BI801">
        <f>IF($BH801="","",IF($AO801="",$BH801,ROUND($BH801*$AO801,1)))</f>
        <v/>
      </c>
      <c r="BJ801">
        <f>IF($E801="","",IFERROR(VLOOKUP($C801,'_CONFIG_Risk_Calibration'!$A$5:$H$21,2,FALSE),3))</f>
        <v/>
      </c>
      <c r="BK801">
        <f>IF($E801="","",IFERROR(VLOOKUP($C801,'_CONFIG_Risk_Calibration'!$A$5:$H$21,3,FALSE),0))</f>
        <v/>
      </c>
      <c r="BL801">
        <f>IF($E801="","",IFERROR(VLOOKUP($C801,'_CONFIG_Risk_Calibration'!$A$5:$H$21,4,FALSE),3))</f>
        <v/>
      </c>
      <c r="BM801">
        <f>IF($E801="","",IFERROR(VLOOKUP($C801,'_CONFIG_Risk_Calibration'!$A$5:$H$21,5,FALSE),3))</f>
        <v/>
      </c>
      <c r="BN801">
        <f>IF($E801="","",IFERROR(VLOOKUP($C801,'_CONFIG_Risk_Calibration'!$A$5:$H$21,6,FALSE),"No"))</f>
        <v/>
      </c>
      <c r="BO801">
        <f>IF($E801="","",IFERROR(VLOOKUP($C801,'_CONFIG_Risk_Calibration'!$A$5:$H$21,7,FALSE),1))</f>
        <v/>
      </c>
      <c r="BP801">
        <f>IF($H801="","",MAX(1,MIN(5,((6-$H801)*0.45)+($BJ801*0.20)+('Resilience &amp; Risk Scenario'!$B$7*0.15)+($BK801*0.10)+($BL801*0.05)+(IF($BB801="Fast",5,IF($BB801="Slow",1,3))*0.05))))</f>
        <v/>
      </c>
      <c r="BQ801">
        <f>IF($H801="","",MAX(IF($BN801="Yes",$BO801,1),MIN(5,($U801*0.20)+($V801*0.15)+($W801*0.25)+($X801*0.15)+($BJ801*0.10)+($BM801*0.15))))</f>
        <v/>
      </c>
      <c r="BR801">
        <f>IF(OR($BP801="",$BQ801=""),"",ROUND($BP801*$BQ801,2))</f>
        <v/>
      </c>
      <c r="BS801">
        <f>IF($BR801="","",ROUND($BR801*IF($AO801="",1,$AO801)*IF($AX801="",1,$AX801)*(1+(($BM801-3)*0.10))*IF($BC801="",1,$BC801),2))</f>
        <v/>
      </c>
    </row>
    <row r="802" ht="69.90000000000001" customHeight="1" s="209">
      <c r="A802">
        <f>IF($BD802="","",SUMPRODUCT(ISNUMBER($BD$500:$BD$923)*($BD$500:$BD$923&gt;$BD802))+COUNTIF($BD$500:$BD802,$BD802))</f>
        <v/>
      </c>
      <c r="B802">
        <f>IF($H802="","",IF($H802&lt;5,"Yes","Maintain"))</f>
        <v/>
      </c>
      <c r="C802" t="inlineStr">
        <is>
          <t>IT Cloud DR</t>
        </is>
      </c>
      <c r="D802" t="inlineStr">
        <is>
          <t>Cloud usage</t>
        </is>
      </c>
      <c r="E802" t="inlineStr">
        <is>
          <t>ITCL-012</t>
        </is>
      </c>
      <c r="F802" t="inlineStr">
        <is>
          <t>IT, cloud and disaster recovery</t>
        </is>
      </c>
      <c r="G802">
        <f>IF($H802="","",IFERROR(INDEX('_ENGINE_Risk'!$H$41:$M$920,MATCH($E802,'_ENGINE_Risk'!$A$41:$A$920,0),$H802+1),""))</f>
        <v/>
      </c>
      <c r="H802">
        <f>IFERROR(VALUE(INDEX(_DATA_Assessment_Model!$H$5:$H$884,MATCH($E802,_DATA_Assessment_Model!$A$5:$A$884,0))),"")</f>
        <v/>
      </c>
      <c r="I802">
        <f>IF($H802="","",IFERROR(INDEX(_DATA_Assessment_Model!$L$5:$L$884,MATCH($E802,_DATA_Assessment_Model!$A$5:$A$884,0)),IF($H802&lt;=1,"Critical",IF($H802=2,"High",IF($H802=3,"Medium",IF($H802=4,"Low","Resilient"))))))</f>
        <v/>
      </c>
      <c r="J802">
        <f>IF($H802="","",MIN(5,MAX(1,6-$H802)))</f>
        <v/>
      </c>
      <c r="K802">
        <f>IF($H802="","",MAX(1,MIN(5,ROUNDUP(($U802*0.45)+($W802*0.35)+($X802*0.2),0))))</f>
        <v/>
      </c>
      <c r="L802">
        <f>IF($H802="","",$J802*$K802)</f>
        <v/>
      </c>
      <c r="M802">
        <f>IF($H802="","",MAX(1,MIN(5,ROUNDUP($L802/5,0))))</f>
        <v/>
      </c>
      <c r="N802">
        <f>IF($H802="","",IFERROR(INDEX('_ENGINE_Risk'!$T$41:$Y$920,MATCH($E802,'_ENGINE_Risk'!$A$41:$A$920,0),$H802+1),""))</f>
        <v/>
      </c>
      <c r="O802">
        <f>IF($H802="","",MAX(1,MIN(5,($U802+$V802+$X802)/3)))</f>
        <v/>
      </c>
      <c r="P802">
        <f>IF($H802="","",IF($I802="Critical",5,IF($I802="High",4,IF($I802="Medium",3,IF($I802="Low",2,1)))))</f>
        <v/>
      </c>
      <c r="Q802">
        <f>IF($H802="","",MAX(1,MIN(5,((5-$H802)*0.65)+($W802*0.35))))</f>
        <v/>
      </c>
      <c r="R802">
        <f>IF($H802="","",MAX(1,MIN(5,($V802+$X802)/2)))</f>
        <v/>
      </c>
      <c r="S802">
        <f>IF(OR($H802="",$N802=""),"",ROUND(($O802+$P802+$Q802+$R802)/$N802,2))</f>
        <v/>
      </c>
      <c r="T802">
        <f>IF($H802="","",IFERROR(INDEX('_ENGINE_Risk'!$N$41:$S$920,MATCH($E802,'_ENGINE_Risk'!$A$41:$A$920,0),$H802+1),""))</f>
        <v/>
      </c>
      <c r="U802">
        <f>IFERROR(INDEX(_DATA_Assessment_Model!$G$5:$G$884,MATCH($E802,_DATA_Assessment_Model!$A$5:$A$884,0)),"")</f>
        <v/>
      </c>
      <c r="V802">
        <f>IFERROR(INDEX(_DATA_Assessment_Model!$W$5:$W$884,MATCH($E802,_DATA_Assessment_Model!$A$5:$A$884,0)),"")</f>
        <v/>
      </c>
      <c r="W802">
        <f>IFERROR(INDEX(_DATA_Assessment_Model!$X$5:$X$884,MATCH($E802,_DATA_Assessment_Model!$A$5:$A$884,0)),"")</f>
        <v/>
      </c>
      <c r="X802">
        <f>IFERROR(INDEX(_DATA_Assessment_Model!$Y$5:$Y$884,MATCH($E802,_DATA_Assessment_Model!$A$5:$A$884,0)),"")</f>
        <v/>
      </c>
      <c r="Y802" t="inlineStr">
        <is>
          <t>IT outage; Cloud outage; Data loss; Cyberattack</t>
        </is>
      </c>
      <c r="Z802" t="inlineStr">
        <is>
          <t>CIO / CTO / IT Ops</t>
        </is>
      </c>
      <c r="AA802" t="inlineStr">
        <is>
          <t>Policy/SOP; owner/RACI; system report; dashboard; contracts; test records; incident history; interview evidence related to cloud backup and restore of configurations, data, infrastructure-as-code and managed services.</t>
        </is>
      </c>
      <c r="AB802">
        <f>IFERROR(INDEX(_DATA_Assessment_Model!$U$5:$U$884,MATCH($E802,_DATA_Assessment_Model!$A$5:$A$884,0)),"")</f>
        <v/>
      </c>
      <c r="AF802" t="inlineStr">
        <is>
          <t>How mature is the organization in managing cloud backup and restore of configurations, data, infrastructure-as-code and managed services, including ownership, evidence, metrics, fallback procedures and crisis stress testing?</t>
        </is>
      </c>
      <c r="AO802">
        <f>IF($B802="Yes",IFERROR(INDEX(_ENGINE_Crisis!$F$501:$F$517,MATCH($C802,_ENGINE_Crisis!$A$501:$A$517,0)),1),"")</f>
        <v/>
      </c>
      <c r="AP802">
        <f>IF(AO802="","",ROUND($L802*AO802,1))</f>
        <v/>
      </c>
      <c r="AQ802">
        <f>IF(OR(AO802="",$S802=""),"",ROUND($S802*(0.7+0.3*AO802),2))</f>
        <v/>
      </c>
      <c r="AR802">
        <f>IFERROR(INDEX(_ENGINE_Crisis!$E$41:$E$700,MATCH('Resilience &amp; Risk Scenario'!$B$60&amp;"|"&amp;$C802,_ENGINE_Crisis!$I$41:$I$700,0)),"")</f>
        <v/>
      </c>
      <c r="AS802">
        <f>IFERROR(INDEX(_ENGINE_Crisis!$G$41:$G$700,MATCH('Resilience &amp; Risk Scenario'!$B$60&amp;"|"&amp;$C802,_ENGINE_Crisis!$I$41:$I$700,0)),"")</f>
        <v/>
      </c>
      <c r="AT802">
        <f>IFERROR(INDEX(_ENGINE_Initiatives!$A$5:$A$532,MATCH(1,INDEX((_ENGINE_Initiatives!$B$5:$B$532=$C802)*(_ENGINE_Initiatives!$C$5:$C$532=$D802),0),0)),"")</f>
        <v/>
      </c>
      <c r="AU802">
        <f>IFERROR(INDEX(_ENGINE_Initiatives!$F$5:$F$532,MATCH(1,INDEX((_ENGINE_Initiatives!$B$5:$B$532=$C802)*(_ENGINE_Initiatives!$C$5:$C$532=$D802),0),0)),"")</f>
        <v/>
      </c>
      <c r="AV802">
        <f>IFERROR(INDEX(_ENGINE_Initiatives!$AC$5:$AC$532,MATCH(1,INDEX((_ENGINE_Initiatives!$B$5:$B$532=$C802)*(_ENGINE_Initiatives!$C$5:$C$532=$D802),0),0)),"")</f>
        <v/>
      </c>
      <c r="AW802">
        <f>IFERROR(INDEX(_ENGINE_Initiatives!$AE$5:$AE$532,MATCH(1,INDEX((_ENGINE_Initiatives!$B$5:$B$532=$C802)*(_ENGINE_Initiatives!$C$5:$C$532=$D802),0),0)),"")</f>
        <v/>
      </c>
      <c r="AX802">
        <f>IF($B802="Yes",IFERROR(IF(SUMIFS(_REF_Model_Content!$E$1:$E$613,_REF_Model_Content!$A$1:$A$613,'Company Profile'!$B$9,_REF_Model_Content!$B$1:$B$613,$C802)=0,1,SUMIFS(_REF_Model_Content!$E$1:$E$613,_REF_Model_Content!$A$1:$A$613,'Company Profile'!$B$9,_REF_Model_Content!$B$1:$B$613,$C802)),1),"")</f>
        <v/>
      </c>
      <c r="AY802">
        <f>IF($L802="","",ROUND(IF($AP802="",$L802,$AP802)*IF($AX802="",1,$AX802),2))</f>
        <v/>
      </c>
      <c r="AZ802">
        <f>IF($S802="","",ROUND(IF($AQ802="",$S802,$AQ802)*IF($AX802="",1,$AX802),2))</f>
        <v/>
      </c>
      <c r="BB802">
        <f>IF($H802="","",IFERROR(INDEX('_ENGINE_Risk'!$AE$41:$AE$920,MATCH($E802,'_ENGINE_Risk'!$A$41:$A$920,0)),"Medium"))</f>
        <v/>
      </c>
      <c r="BC802">
        <f>IF($BB802="","",IF($BB802="Fast",1.25,IF($BB802="Slow",0.85,1)))</f>
        <v/>
      </c>
      <c r="BD802">
        <f>IF(OR($AZ802="",$BC802=""),"",ROUND($AZ802*$BC802,2))</f>
        <v/>
      </c>
      <c r="BF802">
        <f>IF(OR($H802="",$J802=""),"",_xlfn.IFNA(VLOOKUP($J802,_CONFIG_Model_Settings!$D$610:$E$614,2,0),""))</f>
        <v/>
      </c>
      <c r="BG802">
        <f>IF(OR($H802="",$K802=""),"",ROUND('Company Profile'!$B$569*INDEX(_CONFIG_Model_Settings!$H$610:$H$614,MATCH($K802,_CONFIG_Model_Settings!$G$610:$G$614,0)),0))</f>
        <v/>
      </c>
      <c r="BH802">
        <f>IF(OR($BF802="",$BG802=""),"",ROUND($BF802*$BG802,1))</f>
        <v/>
      </c>
      <c r="BI802">
        <f>IF($BH802="","",IF($AO802="",$BH802,ROUND($BH802*$AO802,1)))</f>
        <v/>
      </c>
      <c r="BJ802">
        <f>IF($E802="","",IFERROR(VLOOKUP($C802,'_CONFIG_Risk_Calibration'!$A$5:$H$21,2,FALSE),3))</f>
        <v/>
      </c>
      <c r="BK802">
        <f>IF($E802="","",IFERROR(VLOOKUP($C802,'_CONFIG_Risk_Calibration'!$A$5:$H$21,3,FALSE),0))</f>
        <v/>
      </c>
      <c r="BL802">
        <f>IF($E802="","",IFERROR(VLOOKUP($C802,'_CONFIG_Risk_Calibration'!$A$5:$H$21,4,FALSE),3))</f>
        <v/>
      </c>
      <c r="BM802">
        <f>IF($E802="","",IFERROR(VLOOKUP($C802,'_CONFIG_Risk_Calibration'!$A$5:$H$21,5,FALSE),3))</f>
        <v/>
      </c>
      <c r="BN802">
        <f>IF($E802="","",IFERROR(VLOOKUP($C802,'_CONFIG_Risk_Calibration'!$A$5:$H$21,6,FALSE),"No"))</f>
        <v/>
      </c>
      <c r="BO802">
        <f>IF($E802="","",IFERROR(VLOOKUP($C802,'_CONFIG_Risk_Calibration'!$A$5:$H$21,7,FALSE),1))</f>
        <v/>
      </c>
      <c r="BP802">
        <f>IF($H802="","",MAX(1,MIN(5,((6-$H802)*0.45)+($BJ802*0.20)+('Resilience &amp; Risk Scenario'!$B$7*0.15)+($BK802*0.10)+($BL802*0.05)+(IF($BB802="Fast",5,IF($BB802="Slow",1,3))*0.05))))</f>
        <v/>
      </c>
      <c r="BQ802">
        <f>IF($H802="","",MAX(IF($BN802="Yes",$BO802,1),MIN(5,($U802*0.20)+($V802*0.15)+($W802*0.25)+($X802*0.15)+($BJ802*0.10)+($BM802*0.15))))</f>
        <v/>
      </c>
      <c r="BR802">
        <f>IF(OR($BP802="",$BQ802=""),"",ROUND($BP802*$BQ802,2))</f>
        <v/>
      </c>
      <c r="BS802">
        <f>IF($BR802="","",ROUND($BR802*IF($AO802="",1,$AO802)*IF($AX802="",1,$AX802)*(1+(($BM802-3)*0.10))*IF($BC802="",1,$BC802),2))</f>
        <v/>
      </c>
    </row>
    <row r="803" ht="69.90000000000001" customHeight="1" s="209">
      <c r="A803">
        <f>IF($BD803="","",SUMPRODUCT(ISNUMBER($BD$500:$BD$923)*($BD$500:$BD$923&gt;$BD803))+COUNTIF($BD$500:$BD803,$BD803))</f>
        <v/>
      </c>
      <c r="B803">
        <f>IF($H803="","",IF($H803&lt;5,"Yes","Maintain"))</f>
        <v/>
      </c>
      <c r="C803" t="inlineStr">
        <is>
          <t>IT Cloud DR</t>
        </is>
      </c>
      <c r="D803" t="inlineStr">
        <is>
          <t>Resilience and DR</t>
        </is>
      </c>
      <c r="E803" t="inlineStr">
        <is>
          <t>ITCL-013</t>
        </is>
      </c>
      <c r="F803" t="inlineStr">
        <is>
          <t>IT, cloud and disaster recovery</t>
        </is>
      </c>
      <c r="G803">
        <f>IF($H803="","",IFERROR(INDEX('_ENGINE_Risk'!$H$41:$M$920,MATCH($E803,'_ENGINE_Risk'!$A$41:$A$920,0),$H803+1),""))</f>
        <v/>
      </c>
      <c r="H803">
        <f>IFERROR(VALUE(INDEX(_DATA_Assessment_Model!$H$5:$H$884,MATCH($E803,_DATA_Assessment_Model!$A$5:$A$884,0))),"")</f>
        <v/>
      </c>
      <c r="I803">
        <f>IF($H803="","",IFERROR(INDEX(_DATA_Assessment_Model!$L$5:$L$884,MATCH($E803,_DATA_Assessment_Model!$A$5:$A$884,0)),IF($H803&lt;=1,"Critical",IF($H803=2,"High",IF($H803=3,"Medium",IF($H803=4,"Low","Resilient"))))))</f>
        <v/>
      </c>
      <c r="J803">
        <f>IF($H803="","",MIN(5,MAX(1,6-$H803)))</f>
        <v/>
      </c>
      <c r="K803">
        <f>IF($H803="","",MAX(1,MIN(5,ROUNDUP(($U803*0.45)+($W803*0.35)+($X803*0.2),0))))</f>
        <v/>
      </c>
      <c r="L803">
        <f>IF($H803="","",$J803*$K803)</f>
        <v/>
      </c>
      <c r="M803">
        <f>IF($H803="","",MAX(1,MIN(5,ROUNDUP($L803/5,0))))</f>
        <v/>
      </c>
      <c r="N803">
        <f>IF($H803="","",IFERROR(INDEX('_ENGINE_Risk'!$T$41:$Y$920,MATCH($E803,'_ENGINE_Risk'!$A$41:$A$920,0),$H803+1),""))</f>
        <v/>
      </c>
      <c r="O803">
        <f>IF($H803="","",MAX(1,MIN(5,($U803+$V803+$X803)/3)))</f>
        <v/>
      </c>
      <c r="P803">
        <f>IF($H803="","",IF($I803="Critical",5,IF($I803="High",4,IF($I803="Medium",3,IF($I803="Low",2,1)))))</f>
        <v/>
      </c>
      <c r="Q803">
        <f>IF($H803="","",MAX(1,MIN(5,((5-$H803)*0.65)+($W803*0.35))))</f>
        <v/>
      </c>
      <c r="R803">
        <f>IF($H803="","",MAX(1,MIN(5,($V803+$X803)/2)))</f>
        <v/>
      </c>
      <c r="S803">
        <f>IF(OR($H803="",$N803=""),"",ROUND(($O803+$P803+$Q803+$R803)/$N803,2))</f>
        <v/>
      </c>
      <c r="T803">
        <f>IF($H803="","",IFERROR(INDEX('_ENGINE_Risk'!$N$41:$S$920,MATCH($E803,'_ENGINE_Risk'!$A$41:$A$920,0),$H803+1),""))</f>
        <v/>
      </c>
      <c r="U803">
        <f>IFERROR(INDEX(_DATA_Assessment_Model!$G$5:$G$884,MATCH($E803,_DATA_Assessment_Model!$A$5:$A$884,0)),"")</f>
        <v/>
      </c>
      <c r="V803">
        <f>IFERROR(INDEX(_DATA_Assessment_Model!$W$5:$W$884,MATCH($E803,_DATA_Assessment_Model!$A$5:$A$884,0)),"")</f>
        <v/>
      </c>
      <c r="W803">
        <f>IFERROR(INDEX(_DATA_Assessment_Model!$X$5:$X$884,MATCH($E803,_DATA_Assessment_Model!$A$5:$A$884,0)),"")</f>
        <v/>
      </c>
      <c r="X803">
        <f>IFERROR(INDEX(_DATA_Assessment_Model!$Y$5:$Y$884,MATCH($E803,_DATA_Assessment_Model!$A$5:$A$884,0)),"")</f>
        <v/>
      </c>
      <c r="Y803" t="inlineStr">
        <is>
          <t>IT outage; Cloud outage; Data loss; Cyberattack</t>
        </is>
      </c>
      <c r="Z803" t="inlineStr">
        <is>
          <t>CIO / CTO / IT Ops</t>
        </is>
      </c>
      <c r="AA803" t="inlineStr">
        <is>
          <t>Policy/SOP; owner/RACI; system report; dashboard; contracts; test records; incident history; interview evidence related to backup coverage for systems, databases, files, SaaS data, configurations and cloud resources.</t>
        </is>
      </c>
      <c r="AB803">
        <f>IFERROR(INDEX(_DATA_Assessment_Model!$U$5:$U$884,MATCH($E803,_DATA_Assessment_Model!$A$5:$A$884,0)),"")</f>
        <v/>
      </c>
      <c r="AF803" t="inlineStr">
        <is>
          <t>How mature is the organization in managing backup coverage for systems, databases, files, SaaS data, configurations and cloud resources, including ownership, evidence, metrics, fallback procedures and crisis stress testing?</t>
        </is>
      </c>
      <c r="AO803">
        <f>IF($B803="Yes",IFERROR(INDEX(_ENGINE_Crisis!$F$501:$F$517,MATCH($C803,_ENGINE_Crisis!$A$501:$A$517,0)),1),"")</f>
        <v/>
      </c>
      <c r="AP803">
        <f>IF(AO803="","",ROUND($L803*AO803,1))</f>
        <v/>
      </c>
      <c r="AQ803">
        <f>IF(OR(AO803="",$S803=""),"",ROUND($S803*(0.7+0.3*AO803),2))</f>
        <v/>
      </c>
      <c r="AR803">
        <f>IFERROR(INDEX(_ENGINE_Crisis!$E$41:$E$700,MATCH('Resilience &amp; Risk Scenario'!$B$60&amp;"|"&amp;$C803,_ENGINE_Crisis!$I$41:$I$700,0)),"")</f>
        <v/>
      </c>
      <c r="AS803">
        <f>IFERROR(INDEX(_ENGINE_Crisis!$G$41:$G$700,MATCH('Resilience &amp; Risk Scenario'!$B$60&amp;"|"&amp;$C803,_ENGINE_Crisis!$I$41:$I$700,0)),"")</f>
        <v/>
      </c>
      <c r="AT803">
        <f>IFERROR(INDEX(_ENGINE_Initiatives!$A$5:$A$532,MATCH(1,INDEX((_ENGINE_Initiatives!$B$5:$B$532=$C803)*(_ENGINE_Initiatives!$C$5:$C$532=$D803),0),0)),"")</f>
        <v/>
      </c>
      <c r="AU803">
        <f>IFERROR(INDEX(_ENGINE_Initiatives!$F$5:$F$532,MATCH(1,INDEX((_ENGINE_Initiatives!$B$5:$B$532=$C803)*(_ENGINE_Initiatives!$C$5:$C$532=$D803),0),0)),"")</f>
        <v/>
      </c>
      <c r="AV803">
        <f>IFERROR(INDEX(_ENGINE_Initiatives!$AC$5:$AC$532,MATCH(1,INDEX((_ENGINE_Initiatives!$B$5:$B$532=$C803)*(_ENGINE_Initiatives!$C$5:$C$532=$D803),0),0)),"")</f>
        <v/>
      </c>
      <c r="AW803">
        <f>IFERROR(INDEX(_ENGINE_Initiatives!$AE$5:$AE$532,MATCH(1,INDEX((_ENGINE_Initiatives!$B$5:$B$532=$C803)*(_ENGINE_Initiatives!$C$5:$C$532=$D803),0),0)),"")</f>
        <v/>
      </c>
      <c r="AX803">
        <f>IF($B803="Yes",IFERROR(IF(SUMIFS(_REF_Model_Content!$E$1:$E$613,_REF_Model_Content!$A$1:$A$613,'Company Profile'!$B$9,_REF_Model_Content!$B$1:$B$613,$C803)=0,1,SUMIFS(_REF_Model_Content!$E$1:$E$613,_REF_Model_Content!$A$1:$A$613,'Company Profile'!$B$9,_REF_Model_Content!$B$1:$B$613,$C803)),1),"")</f>
        <v/>
      </c>
      <c r="AY803">
        <f>IF($L803="","",ROUND(IF($AP803="",$L803,$AP803)*IF($AX803="",1,$AX803),2))</f>
        <v/>
      </c>
      <c r="AZ803">
        <f>IF($S803="","",ROUND(IF($AQ803="",$S803,$AQ803)*IF($AX803="",1,$AX803),2))</f>
        <v/>
      </c>
      <c r="BB803">
        <f>IF($H803="","",IFERROR(INDEX('_ENGINE_Risk'!$AE$41:$AE$920,MATCH($E803,'_ENGINE_Risk'!$A$41:$A$920,0)),"Medium"))</f>
        <v/>
      </c>
      <c r="BC803">
        <f>IF($BB803="","",IF($BB803="Fast",1.25,IF($BB803="Slow",0.85,1)))</f>
        <v/>
      </c>
      <c r="BD803">
        <f>IF(OR($AZ803="",$BC803=""),"",ROUND($AZ803*$BC803,2))</f>
        <v/>
      </c>
      <c r="BF803">
        <f>IF(OR($H803="",$J803=""),"",_xlfn.IFNA(VLOOKUP($J803,_CONFIG_Model_Settings!$D$610:$E$614,2,0),""))</f>
        <v/>
      </c>
      <c r="BG803">
        <f>IF(OR($H803="",$K803=""),"",ROUND('Company Profile'!$B$569*INDEX(_CONFIG_Model_Settings!$H$610:$H$614,MATCH($K803,_CONFIG_Model_Settings!$G$610:$G$614,0)),0))</f>
        <v/>
      </c>
      <c r="BH803">
        <f>IF(OR($BF803="",$BG803=""),"",ROUND($BF803*$BG803,1))</f>
        <v/>
      </c>
      <c r="BI803">
        <f>IF($BH803="","",IF($AO803="",$BH803,ROUND($BH803*$AO803,1)))</f>
        <v/>
      </c>
      <c r="BJ803">
        <f>IF($E803="","",IFERROR(VLOOKUP($C803,'_CONFIG_Risk_Calibration'!$A$5:$H$21,2,FALSE),3))</f>
        <v/>
      </c>
      <c r="BK803">
        <f>IF($E803="","",IFERROR(VLOOKUP($C803,'_CONFIG_Risk_Calibration'!$A$5:$H$21,3,FALSE),0))</f>
        <v/>
      </c>
      <c r="BL803">
        <f>IF($E803="","",IFERROR(VLOOKUP($C803,'_CONFIG_Risk_Calibration'!$A$5:$H$21,4,FALSE),3))</f>
        <v/>
      </c>
      <c r="BM803">
        <f>IF($E803="","",IFERROR(VLOOKUP($C803,'_CONFIG_Risk_Calibration'!$A$5:$H$21,5,FALSE),3))</f>
        <v/>
      </c>
      <c r="BN803">
        <f>IF($E803="","",IFERROR(VLOOKUP($C803,'_CONFIG_Risk_Calibration'!$A$5:$H$21,6,FALSE),"No"))</f>
        <v/>
      </c>
      <c r="BO803">
        <f>IF($E803="","",IFERROR(VLOOKUP($C803,'_CONFIG_Risk_Calibration'!$A$5:$H$21,7,FALSE),1))</f>
        <v/>
      </c>
      <c r="BP803">
        <f>IF($H803="","",MAX(1,MIN(5,((6-$H803)*0.45)+($BJ803*0.20)+('Resilience &amp; Risk Scenario'!$B$7*0.15)+($BK803*0.10)+($BL803*0.05)+(IF($BB803="Fast",5,IF($BB803="Slow",1,3))*0.05))))</f>
        <v/>
      </c>
      <c r="BQ803">
        <f>IF($H803="","",MAX(IF($BN803="Yes",$BO803,1),MIN(5,($U803*0.20)+($V803*0.15)+($W803*0.25)+($X803*0.15)+($BJ803*0.10)+($BM803*0.15))))</f>
        <v/>
      </c>
      <c r="BR803">
        <f>IF(OR($BP803="",$BQ803=""),"",ROUND($BP803*$BQ803,2))</f>
        <v/>
      </c>
      <c r="BS803">
        <f>IF($BR803="","",ROUND($BR803*IF($AO803="",1,$AO803)*IF($AX803="",1,$AX803)*(1+(($BM803-3)*0.10))*IF($BC803="",1,$BC803),2))</f>
        <v/>
      </c>
    </row>
    <row r="804" ht="69.90000000000001" customHeight="1" s="209">
      <c r="A804">
        <f>IF($BD804="","",SUMPRODUCT(ISNUMBER($BD$500:$BD$923)*($BD$500:$BD$923&gt;$BD804))+COUNTIF($BD$500:$BD804,$BD804))</f>
        <v/>
      </c>
      <c r="B804">
        <f>IF($H804="","",IF($H804&lt;5,"Yes","Maintain"))</f>
        <v/>
      </c>
      <c r="C804" t="inlineStr">
        <is>
          <t>IT Cloud DR</t>
        </is>
      </c>
      <c r="D804" t="inlineStr">
        <is>
          <t>Resilience and DR</t>
        </is>
      </c>
      <c r="E804" t="inlineStr">
        <is>
          <t>ITCL-014</t>
        </is>
      </c>
      <c r="F804" t="inlineStr">
        <is>
          <t>IT, cloud and disaster recovery</t>
        </is>
      </c>
      <c r="G804">
        <f>IF($H804="","",IFERROR(INDEX('_ENGINE_Risk'!$H$41:$M$920,MATCH($E804,'_ENGINE_Risk'!$A$41:$A$920,0),$H804+1),""))</f>
        <v/>
      </c>
      <c r="H804">
        <f>IFERROR(VALUE(INDEX(_DATA_Assessment_Model!$H$5:$H$884,MATCH($E804,_DATA_Assessment_Model!$A$5:$A$884,0))),"")</f>
        <v/>
      </c>
      <c r="I804">
        <f>IF($H804="","",IFERROR(INDEX(_DATA_Assessment_Model!$L$5:$L$884,MATCH($E804,_DATA_Assessment_Model!$A$5:$A$884,0)),IF($H804&lt;=1,"Critical",IF($H804=2,"High",IF($H804=3,"Medium",IF($H804=4,"Low","Resilient"))))))</f>
        <v/>
      </c>
      <c r="J804">
        <f>IF($H804="","",MIN(5,MAX(1,6-$H804)))</f>
        <v/>
      </c>
      <c r="K804">
        <f>IF($H804="","",MAX(1,MIN(5,ROUNDUP(($U804*0.45)+($W804*0.35)+($X804*0.2),0))))</f>
        <v/>
      </c>
      <c r="L804">
        <f>IF($H804="","",$J804*$K804)</f>
        <v/>
      </c>
      <c r="M804">
        <f>IF($H804="","",MAX(1,MIN(5,ROUNDUP($L804/5,0))))</f>
        <v/>
      </c>
      <c r="N804">
        <f>IF($H804="","",IFERROR(INDEX('_ENGINE_Risk'!$T$41:$Y$920,MATCH($E804,'_ENGINE_Risk'!$A$41:$A$920,0),$H804+1),""))</f>
        <v/>
      </c>
      <c r="O804">
        <f>IF($H804="","",MAX(1,MIN(5,($U804+$V804+$X804)/3)))</f>
        <v/>
      </c>
      <c r="P804">
        <f>IF($H804="","",IF($I804="Critical",5,IF($I804="High",4,IF($I804="Medium",3,IF($I804="Low",2,1)))))</f>
        <v/>
      </c>
      <c r="Q804">
        <f>IF($H804="","",MAX(1,MIN(5,((5-$H804)*0.65)+($W804*0.35))))</f>
        <v/>
      </c>
      <c r="R804">
        <f>IF($H804="","",MAX(1,MIN(5,($V804+$X804)/2)))</f>
        <v/>
      </c>
      <c r="S804">
        <f>IF(OR($H804="",$N804=""),"",ROUND(($O804+$P804+$Q804+$R804)/$N804,2))</f>
        <v/>
      </c>
      <c r="T804">
        <f>IF($H804="","",IFERROR(INDEX('_ENGINE_Risk'!$N$41:$S$920,MATCH($E804,'_ENGINE_Risk'!$A$41:$A$920,0),$H804+1),""))</f>
        <v/>
      </c>
      <c r="U804">
        <f>IFERROR(INDEX(_DATA_Assessment_Model!$G$5:$G$884,MATCH($E804,_DATA_Assessment_Model!$A$5:$A$884,0)),"")</f>
        <v/>
      </c>
      <c r="V804">
        <f>IFERROR(INDEX(_DATA_Assessment_Model!$W$5:$W$884,MATCH($E804,_DATA_Assessment_Model!$A$5:$A$884,0)),"")</f>
        <v/>
      </c>
      <c r="W804">
        <f>IFERROR(INDEX(_DATA_Assessment_Model!$X$5:$X$884,MATCH($E804,_DATA_Assessment_Model!$A$5:$A$884,0)),"")</f>
        <v/>
      </c>
      <c r="X804">
        <f>IFERROR(INDEX(_DATA_Assessment_Model!$Y$5:$Y$884,MATCH($E804,_DATA_Assessment_Model!$A$5:$A$884,0)),"")</f>
        <v/>
      </c>
      <c r="Y804" t="inlineStr">
        <is>
          <t>IT outage; Cloud outage; Data loss; Cyberattack</t>
        </is>
      </c>
      <c r="Z804" t="inlineStr">
        <is>
          <t>CIO / CTO / IT Ops</t>
        </is>
      </c>
      <c r="AA804" t="inlineStr">
        <is>
          <t>Policy/SOP; owner/RACI; system report; dashboard; contracts; test records; incident history; interview evidence related to regular restore testing against defined RTO and RPO.</t>
        </is>
      </c>
      <c r="AB804">
        <f>IFERROR(INDEX(_DATA_Assessment_Model!$U$5:$U$884,MATCH($E804,_DATA_Assessment_Model!$A$5:$A$884,0)),"")</f>
        <v/>
      </c>
      <c r="AF804" t="inlineStr">
        <is>
          <t>How mature is the organization in managing regular restore testing against defined RTO and RPO, including ownership, evidence, metrics, fallback procedures and crisis stress testing?</t>
        </is>
      </c>
      <c r="AO804">
        <f>IF($B804="Yes",IFERROR(INDEX(_ENGINE_Crisis!$F$501:$F$517,MATCH($C804,_ENGINE_Crisis!$A$501:$A$517,0)),1),"")</f>
        <v/>
      </c>
      <c r="AP804">
        <f>IF(AO804="","",ROUND($L804*AO804,1))</f>
        <v/>
      </c>
      <c r="AQ804">
        <f>IF(OR(AO804="",$S804=""),"",ROUND($S804*(0.7+0.3*AO804),2))</f>
        <v/>
      </c>
      <c r="AR804">
        <f>IFERROR(INDEX(_ENGINE_Crisis!$E$41:$E$700,MATCH('Resilience &amp; Risk Scenario'!$B$60&amp;"|"&amp;$C804,_ENGINE_Crisis!$I$41:$I$700,0)),"")</f>
        <v/>
      </c>
      <c r="AS804">
        <f>IFERROR(INDEX(_ENGINE_Crisis!$G$41:$G$700,MATCH('Resilience &amp; Risk Scenario'!$B$60&amp;"|"&amp;$C804,_ENGINE_Crisis!$I$41:$I$700,0)),"")</f>
        <v/>
      </c>
      <c r="AT804">
        <f>IFERROR(INDEX(_ENGINE_Initiatives!$A$5:$A$532,MATCH(1,INDEX((_ENGINE_Initiatives!$B$5:$B$532=$C804)*(_ENGINE_Initiatives!$C$5:$C$532=$D804),0),0)),"")</f>
        <v/>
      </c>
      <c r="AU804">
        <f>IFERROR(INDEX(_ENGINE_Initiatives!$F$5:$F$532,MATCH(1,INDEX((_ENGINE_Initiatives!$B$5:$B$532=$C804)*(_ENGINE_Initiatives!$C$5:$C$532=$D804),0),0)),"")</f>
        <v/>
      </c>
      <c r="AV804">
        <f>IFERROR(INDEX(_ENGINE_Initiatives!$AC$5:$AC$532,MATCH(1,INDEX((_ENGINE_Initiatives!$B$5:$B$532=$C804)*(_ENGINE_Initiatives!$C$5:$C$532=$D804),0),0)),"")</f>
        <v/>
      </c>
      <c r="AW804">
        <f>IFERROR(INDEX(_ENGINE_Initiatives!$AE$5:$AE$532,MATCH(1,INDEX((_ENGINE_Initiatives!$B$5:$B$532=$C804)*(_ENGINE_Initiatives!$C$5:$C$532=$D804),0),0)),"")</f>
        <v/>
      </c>
      <c r="AX804">
        <f>IF($B804="Yes",IFERROR(IF(SUMIFS(_REF_Model_Content!$E$1:$E$613,_REF_Model_Content!$A$1:$A$613,'Company Profile'!$B$9,_REF_Model_Content!$B$1:$B$613,$C804)=0,1,SUMIFS(_REF_Model_Content!$E$1:$E$613,_REF_Model_Content!$A$1:$A$613,'Company Profile'!$B$9,_REF_Model_Content!$B$1:$B$613,$C804)),1),"")</f>
        <v/>
      </c>
      <c r="AY804">
        <f>IF($L804="","",ROUND(IF($AP804="",$L804,$AP804)*IF($AX804="",1,$AX804),2))</f>
        <v/>
      </c>
      <c r="AZ804">
        <f>IF($S804="","",ROUND(IF($AQ804="",$S804,$AQ804)*IF($AX804="",1,$AX804),2))</f>
        <v/>
      </c>
      <c r="BB804">
        <f>IF($H804="","",IFERROR(INDEX('_ENGINE_Risk'!$AE$41:$AE$920,MATCH($E804,'_ENGINE_Risk'!$A$41:$A$920,0)),"Medium"))</f>
        <v/>
      </c>
      <c r="BC804">
        <f>IF($BB804="","",IF($BB804="Fast",1.25,IF($BB804="Slow",0.85,1)))</f>
        <v/>
      </c>
      <c r="BD804">
        <f>IF(OR($AZ804="",$BC804=""),"",ROUND($AZ804*$BC804,2))</f>
        <v/>
      </c>
      <c r="BF804">
        <f>IF(OR($H804="",$J804=""),"",_xlfn.IFNA(VLOOKUP($J804,_CONFIG_Model_Settings!$D$610:$E$614,2,0),""))</f>
        <v/>
      </c>
      <c r="BG804">
        <f>IF(OR($H804="",$K804=""),"",ROUND('Company Profile'!$B$569*INDEX(_CONFIG_Model_Settings!$H$610:$H$614,MATCH($K804,_CONFIG_Model_Settings!$G$610:$G$614,0)),0))</f>
        <v/>
      </c>
      <c r="BH804">
        <f>IF(OR($BF804="",$BG804=""),"",ROUND($BF804*$BG804,1))</f>
        <v/>
      </c>
      <c r="BI804">
        <f>IF($BH804="","",IF($AO804="",$BH804,ROUND($BH804*$AO804,1)))</f>
        <v/>
      </c>
      <c r="BJ804">
        <f>IF($E804="","",IFERROR(VLOOKUP($C804,'_CONFIG_Risk_Calibration'!$A$5:$H$21,2,FALSE),3))</f>
        <v/>
      </c>
      <c r="BK804">
        <f>IF($E804="","",IFERROR(VLOOKUP($C804,'_CONFIG_Risk_Calibration'!$A$5:$H$21,3,FALSE),0))</f>
        <v/>
      </c>
      <c r="BL804">
        <f>IF($E804="","",IFERROR(VLOOKUP($C804,'_CONFIG_Risk_Calibration'!$A$5:$H$21,4,FALSE),3))</f>
        <v/>
      </c>
      <c r="BM804">
        <f>IF($E804="","",IFERROR(VLOOKUP($C804,'_CONFIG_Risk_Calibration'!$A$5:$H$21,5,FALSE),3))</f>
        <v/>
      </c>
      <c r="BN804">
        <f>IF($E804="","",IFERROR(VLOOKUP($C804,'_CONFIG_Risk_Calibration'!$A$5:$H$21,6,FALSE),"No"))</f>
        <v/>
      </c>
      <c r="BO804">
        <f>IF($E804="","",IFERROR(VLOOKUP($C804,'_CONFIG_Risk_Calibration'!$A$5:$H$21,7,FALSE),1))</f>
        <v/>
      </c>
      <c r="BP804">
        <f>IF($H804="","",MAX(1,MIN(5,((6-$H804)*0.45)+($BJ804*0.20)+('Resilience &amp; Risk Scenario'!$B$7*0.15)+($BK804*0.10)+($BL804*0.05)+(IF($BB804="Fast",5,IF($BB804="Slow",1,3))*0.05))))</f>
        <v/>
      </c>
      <c r="BQ804">
        <f>IF($H804="","",MAX(IF($BN804="Yes",$BO804,1),MIN(5,($U804*0.20)+($V804*0.15)+($W804*0.25)+($X804*0.15)+($BJ804*0.10)+($BM804*0.15))))</f>
        <v/>
      </c>
      <c r="BR804">
        <f>IF(OR($BP804="",$BQ804=""),"",ROUND($BP804*$BQ804,2))</f>
        <v/>
      </c>
      <c r="BS804">
        <f>IF($BR804="","",ROUND($BR804*IF($AO804="",1,$AO804)*IF($AX804="",1,$AX804)*(1+(($BM804-3)*0.10))*IF($BC804="",1,$BC804),2))</f>
        <v/>
      </c>
    </row>
    <row r="805" ht="69.90000000000001" customHeight="1" s="209">
      <c r="A805">
        <f>IF($BD805="","",SUMPRODUCT(ISNUMBER($BD$500:$BD$923)*($BD$500:$BD$923&gt;$BD805))+COUNTIF($BD$500:$BD805,$BD805))</f>
        <v/>
      </c>
      <c r="B805">
        <f>IF($H805="","",IF($H805&lt;5,"Yes","Maintain"))</f>
        <v/>
      </c>
      <c r="C805" t="inlineStr">
        <is>
          <t>IT Cloud DR</t>
        </is>
      </c>
      <c r="D805" t="inlineStr">
        <is>
          <t>Resilience and DR</t>
        </is>
      </c>
      <c r="E805" t="inlineStr">
        <is>
          <t>ITCL-015</t>
        </is>
      </c>
      <c r="F805" t="inlineStr">
        <is>
          <t>IT, cloud and disaster recovery</t>
        </is>
      </c>
      <c r="G805">
        <f>IF($H805="","",IFERROR(INDEX('_ENGINE_Risk'!$H$41:$M$920,MATCH($E805,'_ENGINE_Risk'!$A$41:$A$920,0),$H805+1),""))</f>
        <v/>
      </c>
      <c r="H805">
        <f>IFERROR(VALUE(INDEX(_DATA_Assessment_Model!$H$5:$H$884,MATCH($E805,_DATA_Assessment_Model!$A$5:$A$884,0))),"")</f>
        <v/>
      </c>
      <c r="I805">
        <f>IF($H805="","",IFERROR(INDEX(_DATA_Assessment_Model!$L$5:$L$884,MATCH($E805,_DATA_Assessment_Model!$A$5:$A$884,0)),IF($H805&lt;=1,"Critical",IF($H805=2,"High",IF($H805=3,"Medium",IF($H805=4,"Low","Resilient"))))))</f>
        <v/>
      </c>
      <c r="J805">
        <f>IF($H805="","",MIN(5,MAX(1,6-$H805)))</f>
        <v/>
      </c>
      <c r="K805">
        <f>IF($H805="","",MAX(1,MIN(5,ROUNDUP(($U805*0.45)+($W805*0.35)+($X805*0.2),0))))</f>
        <v/>
      </c>
      <c r="L805">
        <f>IF($H805="","",$J805*$K805)</f>
        <v/>
      </c>
      <c r="M805">
        <f>IF($H805="","",MAX(1,MIN(5,ROUNDUP($L805/5,0))))</f>
        <v/>
      </c>
      <c r="N805">
        <f>IF($H805="","",IFERROR(INDEX('_ENGINE_Risk'!$T$41:$Y$920,MATCH($E805,'_ENGINE_Risk'!$A$41:$A$920,0),$H805+1),""))</f>
        <v/>
      </c>
      <c r="O805">
        <f>IF($H805="","",MAX(1,MIN(5,($U805+$V805+$X805)/3)))</f>
        <v/>
      </c>
      <c r="P805">
        <f>IF($H805="","",IF($I805="Critical",5,IF($I805="High",4,IF($I805="Medium",3,IF($I805="Low",2,1)))))</f>
        <v/>
      </c>
      <c r="Q805">
        <f>IF($H805="","",MAX(1,MIN(5,((5-$H805)*0.65)+($W805*0.35))))</f>
        <v/>
      </c>
      <c r="R805">
        <f>IF($H805="","",MAX(1,MIN(5,($V805+$X805)/2)))</f>
        <v/>
      </c>
      <c r="S805">
        <f>IF(OR($H805="",$N805=""),"",ROUND(($O805+$P805+$Q805+$R805)/$N805,2))</f>
        <v/>
      </c>
      <c r="T805">
        <f>IF($H805="","",IFERROR(INDEX('_ENGINE_Risk'!$N$41:$S$920,MATCH($E805,'_ENGINE_Risk'!$A$41:$A$920,0),$H805+1),""))</f>
        <v/>
      </c>
      <c r="U805">
        <f>IFERROR(INDEX(_DATA_Assessment_Model!$G$5:$G$884,MATCH($E805,_DATA_Assessment_Model!$A$5:$A$884,0)),"")</f>
        <v/>
      </c>
      <c r="V805">
        <f>IFERROR(INDEX(_DATA_Assessment_Model!$W$5:$W$884,MATCH($E805,_DATA_Assessment_Model!$A$5:$A$884,0)),"")</f>
        <v/>
      </c>
      <c r="W805">
        <f>IFERROR(INDEX(_DATA_Assessment_Model!$X$5:$X$884,MATCH($E805,_DATA_Assessment_Model!$A$5:$A$884,0)),"")</f>
        <v/>
      </c>
      <c r="X805">
        <f>IFERROR(INDEX(_DATA_Assessment_Model!$Y$5:$Y$884,MATCH($E805,_DATA_Assessment_Model!$A$5:$A$884,0)),"")</f>
        <v/>
      </c>
      <c r="Y805" t="inlineStr">
        <is>
          <t>IT outage; Cloud outage; Data loss; Cyberattack</t>
        </is>
      </c>
      <c r="Z805" t="inlineStr">
        <is>
          <t>CIO / CTO / IT Ops</t>
        </is>
      </c>
      <c r="AA805" t="inlineStr">
        <is>
          <t>Policy/SOP; owner/RACI; system report; dashboard; contracts; test records; incident history; interview evidence related to DR runbooks for critical systems with owners, dependencies and communication rules.</t>
        </is>
      </c>
      <c r="AB805">
        <f>IFERROR(INDEX(_DATA_Assessment_Model!$U$5:$U$884,MATCH($E805,_DATA_Assessment_Model!$A$5:$A$884,0)),"")</f>
        <v/>
      </c>
      <c r="AF805" t="inlineStr">
        <is>
          <t>How mature is the organization in managing DR runbooks for critical systems with owners, dependencies and communication rules, including ownership, evidence, metrics, fallback procedures and crisis stress testing?</t>
        </is>
      </c>
      <c r="AO805">
        <f>IF($B805="Yes",IFERROR(INDEX(_ENGINE_Crisis!$F$501:$F$517,MATCH($C805,_ENGINE_Crisis!$A$501:$A$517,0)),1),"")</f>
        <v/>
      </c>
      <c r="AP805">
        <f>IF(AO805="","",ROUND($L805*AO805,1))</f>
        <v/>
      </c>
      <c r="AQ805">
        <f>IF(OR(AO805="",$S805=""),"",ROUND($S805*(0.7+0.3*AO805),2))</f>
        <v/>
      </c>
      <c r="AR805">
        <f>IFERROR(INDEX(_ENGINE_Crisis!$E$41:$E$700,MATCH('Resilience &amp; Risk Scenario'!$B$60&amp;"|"&amp;$C805,_ENGINE_Crisis!$I$41:$I$700,0)),"")</f>
        <v/>
      </c>
      <c r="AS805">
        <f>IFERROR(INDEX(_ENGINE_Crisis!$G$41:$G$700,MATCH('Resilience &amp; Risk Scenario'!$B$60&amp;"|"&amp;$C805,_ENGINE_Crisis!$I$41:$I$700,0)),"")</f>
        <v/>
      </c>
      <c r="AT805">
        <f>IFERROR(INDEX(_ENGINE_Initiatives!$A$5:$A$532,MATCH(1,INDEX((_ENGINE_Initiatives!$B$5:$B$532=$C805)*(_ENGINE_Initiatives!$C$5:$C$532=$D805),0),0)),"")</f>
        <v/>
      </c>
      <c r="AU805">
        <f>IFERROR(INDEX(_ENGINE_Initiatives!$F$5:$F$532,MATCH(1,INDEX((_ENGINE_Initiatives!$B$5:$B$532=$C805)*(_ENGINE_Initiatives!$C$5:$C$532=$D805),0),0)),"")</f>
        <v/>
      </c>
      <c r="AV805">
        <f>IFERROR(INDEX(_ENGINE_Initiatives!$AC$5:$AC$532,MATCH(1,INDEX((_ENGINE_Initiatives!$B$5:$B$532=$C805)*(_ENGINE_Initiatives!$C$5:$C$532=$D805),0),0)),"")</f>
        <v/>
      </c>
      <c r="AW805">
        <f>IFERROR(INDEX(_ENGINE_Initiatives!$AE$5:$AE$532,MATCH(1,INDEX((_ENGINE_Initiatives!$B$5:$B$532=$C805)*(_ENGINE_Initiatives!$C$5:$C$532=$D805),0),0)),"")</f>
        <v/>
      </c>
      <c r="AX805">
        <f>IF($B805="Yes",IFERROR(IF(SUMIFS(_REF_Model_Content!$E$1:$E$613,_REF_Model_Content!$A$1:$A$613,'Company Profile'!$B$9,_REF_Model_Content!$B$1:$B$613,$C805)=0,1,SUMIFS(_REF_Model_Content!$E$1:$E$613,_REF_Model_Content!$A$1:$A$613,'Company Profile'!$B$9,_REF_Model_Content!$B$1:$B$613,$C805)),1),"")</f>
        <v/>
      </c>
      <c r="AY805">
        <f>IF($L805="","",ROUND(IF($AP805="",$L805,$AP805)*IF($AX805="",1,$AX805),2))</f>
        <v/>
      </c>
      <c r="AZ805">
        <f>IF($S805="","",ROUND(IF($AQ805="",$S805,$AQ805)*IF($AX805="",1,$AX805),2))</f>
        <v/>
      </c>
      <c r="BB805">
        <f>IF($H805="","",IFERROR(INDEX('_ENGINE_Risk'!$AE$41:$AE$920,MATCH($E805,'_ENGINE_Risk'!$A$41:$A$920,0)),"Medium"))</f>
        <v/>
      </c>
      <c r="BC805">
        <f>IF($BB805="","",IF($BB805="Fast",1.25,IF($BB805="Slow",0.85,1)))</f>
        <v/>
      </c>
      <c r="BD805">
        <f>IF(OR($AZ805="",$BC805=""),"",ROUND($AZ805*$BC805,2))</f>
        <v/>
      </c>
      <c r="BF805">
        <f>IF(OR($H805="",$J805=""),"",_xlfn.IFNA(VLOOKUP($J805,_CONFIG_Model_Settings!$D$610:$E$614,2,0),""))</f>
        <v/>
      </c>
      <c r="BG805">
        <f>IF(OR($H805="",$K805=""),"",ROUND('Company Profile'!$B$569*INDEX(_CONFIG_Model_Settings!$H$610:$H$614,MATCH($K805,_CONFIG_Model_Settings!$G$610:$G$614,0)),0))</f>
        <v/>
      </c>
      <c r="BH805">
        <f>IF(OR($BF805="",$BG805=""),"",ROUND($BF805*$BG805,1))</f>
        <v/>
      </c>
      <c r="BI805">
        <f>IF($BH805="","",IF($AO805="",$BH805,ROUND($BH805*$AO805,1)))</f>
        <v/>
      </c>
      <c r="BJ805">
        <f>IF($E805="","",IFERROR(VLOOKUP($C805,'_CONFIG_Risk_Calibration'!$A$5:$H$21,2,FALSE),3))</f>
        <v/>
      </c>
      <c r="BK805">
        <f>IF($E805="","",IFERROR(VLOOKUP($C805,'_CONFIG_Risk_Calibration'!$A$5:$H$21,3,FALSE),0))</f>
        <v/>
      </c>
      <c r="BL805">
        <f>IF($E805="","",IFERROR(VLOOKUP($C805,'_CONFIG_Risk_Calibration'!$A$5:$H$21,4,FALSE),3))</f>
        <v/>
      </c>
      <c r="BM805">
        <f>IF($E805="","",IFERROR(VLOOKUP($C805,'_CONFIG_Risk_Calibration'!$A$5:$H$21,5,FALSE),3))</f>
        <v/>
      </c>
      <c r="BN805">
        <f>IF($E805="","",IFERROR(VLOOKUP($C805,'_CONFIG_Risk_Calibration'!$A$5:$H$21,6,FALSE),"No"))</f>
        <v/>
      </c>
      <c r="BO805">
        <f>IF($E805="","",IFERROR(VLOOKUP($C805,'_CONFIG_Risk_Calibration'!$A$5:$H$21,7,FALSE),1))</f>
        <v/>
      </c>
      <c r="BP805">
        <f>IF($H805="","",MAX(1,MIN(5,((6-$H805)*0.45)+($BJ805*0.20)+('Resilience &amp; Risk Scenario'!$B$7*0.15)+($BK805*0.10)+($BL805*0.05)+(IF($BB805="Fast",5,IF($BB805="Slow",1,3))*0.05))))</f>
        <v/>
      </c>
      <c r="BQ805">
        <f>IF($H805="","",MAX(IF($BN805="Yes",$BO805,1),MIN(5,($U805*0.20)+($V805*0.15)+($W805*0.25)+($X805*0.15)+($BJ805*0.10)+($BM805*0.15))))</f>
        <v/>
      </c>
      <c r="BR805">
        <f>IF(OR($BP805="",$BQ805=""),"",ROUND($BP805*$BQ805,2))</f>
        <v/>
      </c>
      <c r="BS805">
        <f>IF($BR805="","",ROUND($BR805*IF($AO805="",1,$AO805)*IF($AX805="",1,$AX805)*(1+(($BM805-3)*0.10))*IF($BC805="",1,$BC805),2))</f>
        <v/>
      </c>
    </row>
    <row r="806" ht="69.90000000000001" customHeight="1" s="209">
      <c r="A806">
        <f>IF($BD806="","",SUMPRODUCT(ISNUMBER($BD$500:$BD$923)*($BD$500:$BD$923&gt;$BD806))+COUNTIF($BD$500:$BD806,$BD806))</f>
        <v/>
      </c>
      <c r="B806">
        <f>IF($H806="","",IF($H806&lt;5,"Yes","Maintain"))</f>
        <v/>
      </c>
      <c r="C806" t="inlineStr">
        <is>
          <t>IT Cloud DR</t>
        </is>
      </c>
      <c r="D806" t="inlineStr">
        <is>
          <t>Resilience and DR</t>
        </is>
      </c>
      <c r="E806" t="inlineStr">
        <is>
          <t>ITCL-016</t>
        </is>
      </c>
      <c r="F806" t="inlineStr">
        <is>
          <t>IT, cloud and disaster recovery</t>
        </is>
      </c>
      <c r="G806">
        <f>IF($H806="","",IFERROR(INDEX('_ENGINE_Risk'!$H$41:$M$920,MATCH($E806,'_ENGINE_Risk'!$A$41:$A$920,0),$H806+1),""))</f>
        <v/>
      </c>
      <c r="H806">
        <f>IFERROR(VALUE(INDEX(_DATA_Assessment_Model!$H$5:$H$884,MATCH($E806,_DATA_Assessment_Model!$A$5:$A$884,0))),"")</f>
        <v/>
      </c>
      <c r="I806">
        <f>IF($H806="","",IFERROR(INDEX(_DATA_Assessment_Model!$L$5:$L$884,MATCH($E806,_DATA_Assessment_Model!$A$5:$A$884,0)),IF($H806&lt;=1,"Critical",IF($H806=2,"High",IF($H806=3,"Medium",IF($H806=4,"Low","Resilient"))))))</f>
        <v/>
      </c>
      <c r="J806">
        <f>IF($H806="","",MIN(5,MAX(1,6-$H806)))</f>
        <v/>
      </c>
      <c r="K806">
        <f>IF($H806="","",MAX(1,MIN(5,ROUNDUP(($U806*0.45)+($W806*0.35)+($X806*0.2),0))))</f>
        <v/>
      </c>
      <c r="L806">
        <f>IF($H806="","",$J806*$K806)</f>
        <v/>
      </c>
      <c r="M806">
        <f>IF($H806="","",MAX(1,MIN(5,ROUNDUP($L806/5,0))))</f>
        <v/>
      </c>
      <c r="N806">
        <f>IF($H806="","",IFERROR(INDEX('_ENGINE_Risk'!$T$41:$Y$920,MATCH($E806,'_ENGINE_Risk'!$A$41:$A$920,0),$H806+1),""))</f>
        <v/>
      </c>
      <c r="O806">
        <f>IF($H806="","",MAX(1,MIN(5,($U806+$V806+$X806)/3)))</f>
        <v/>
      </c>
      <c r="P806">
        <f>IF($H806="","",IF($I806="Critical",5,IF($I806="High",4,IF($I806="Medium",3,IF($I806="Low",2,1)))))</f>
        <v/>
      </c>
      <c r="Q806">
        <f>IF($H806="","",MAX(1,MIN(5,((5-$H806)*0.65)+($W806*0.35))))</f>
        <v/>
      </c>
      <c r="R806">
        <f>IF($H806="","",MAX(1,MIN(5,($V806+$X806)/2)))</f>
        <v/>
      </c>
      <c r="S806">
        <f>IF(OR($H806="",$N806=""),"",ROUND(($O806+$P806+$Q806+$R806)/$N806,2))</f>
        <v/>
      </c>
      <c r="T806">
        <f>IF($H806="","",IFERROR(INDEX('_ENGINE_Risk'!$N$41:$S$920,MATCH($E806,'_ENGINE_Risk'!$A$41:$A$920,0),$H806+1),""))</f>
        <v/>
      </c>
      <c r="U806">
        <f>IFERROR(INDEX(_DATA_Assessment_Model!$G$5:$G$884,MATCH($E806,_DATA_Assessment_Model!$A$5:$A$884,0)),"")</f>
        <v/>
      </c>
      <c r="V806">
        <f>IFERROR(INDEX(_DATA_Assessment_Model!$W$5:$W$884,MATCH($E806,_DATA_Assessment_Model!$A$5:$A$884,0)),"")</f>
        <v/>
      </c>
      <c r="W806">
        <f>IFERROR(INDEX(_DATA_Assessment_Model!$X$5:$X$884,MATCH($E806,_DATA_Assessment_Model!$A$5:$A$884,0)),"")</f>
        <v/>
      </c>
      <c r="X806">
        <f>IFERROR(INDEX(_DATA_Assessment_Model!$Y$5:$Y$884,MATCH($E806,_DATA_Assessment_Model!$A$5:$A$884,0)),"")</f>
        <v/>
      </c>
      <c r="Y806" t="inlineStr">
        <is>
          <t>IT outage; Cloud outage; Data loss; Cyberattack</t>
        </is>
      </c>
      <c r="Z806" t="inlineStr">
        <is>
          <t>CIO / CTO / IT Ops</t>
        </is>
      </c>
      <c r="AA806" t="inlineStr">
        <is>
          <t>Policy/SOP; owner/RACI; system report; dashboard; contracts; test records; incident history; interview evidence related to DR exercises for ransomware, cloud region failure, identity outage and data corruption.</t>
        </is>
      </c>
      <c r="AB806">
        <f>IFERROR(INDEX(_DATA_Assessment_Model!$U$5:$U$884,MATCH($E806,_DATA_Assessment_Model!$A$5:$A$884,0)),"")</f>
        <v/>
      </c>
      <c r="AF806" t="inlineStr">
        <is>
          <t>How mature is the organization in managing DR exercises for ransomware, cloud region failure, identity outage and data corruption, including ownership, evidence, metrics, fallback procedures and crisis stress testing?</t>
        </is>
      </c>
      <c r="AO806">
        <f>IF($B806="Yes",IFERROR(INDEX(_ENGINE_Crisis!$F$501:$F$517,MATCH($C806,_ENGINE_Crisis!$A$501:$A$517,0)),1),"")</f>
        <v/>
      </c>
      <c r="AP806">
        <f>IF(AO806="","",ROUND($L806*AO806,1))</f>
        <v/>
      </c>
      <c r="AQ806">
        <f>IF(OR(AO806="",$S806=""),"",ROUND($S806*(0.7+0.3*AO806),2))</f>
        <v/>
      </c>
      <c r="AR806">
        <f>IFERROR(INDEX(_ENGINE_Crisis!$E$41:$E$700,MATCH('Resilience &amp; Risk Scenario'!$B$60&amp;"|"&amp;$C806,_ENGINE_Crisis!$I$41:$I$700,0)),"")</f>
        <v/>
      </c>
      <c r="AS806">
        <f>IFERROR(INDEX(_ENGINE_Crisis!$G$41:$G$700,MATCH('Resilience &amp; Risk Scenario'!$B$60&amp;"|"&amp;$C806,_ENGINE_Crisis!$I$41:$I$700,0)),"")</f>
        <v/>
      </c>
      <c r="AT806">
        <f>IFERROR(INDEX(_ENGINE_Initiatives!$A$5:$A$532,MATCH(1,INDEX((_ENGINE_Initiatives!$B$5:$B$532=$C806)*(_ENGINE_Initiatives!$C$5:$C$532=$D806),0),0)),"")</f>
        <v/>
      </c>
      <c r="AU806">
        <f>IFERROR(INDEX(_ENGINE_Initiatives!$F$5:$F$532,MATCH(1,INDEX((_ENGINE_Initiatives!$B$5:$B$532=$C806)*(_ENGINE_Initiatives!$C$5:$C$532=$D806),0),0)),"")</f>
        <v/>
      </c>
      <c r="AV806">
        <f>IFERROR(INDEX(_ENGINE_Initiatives!$AC$5:$AC$532,MATCH(1,INDEX((_ENGINE_Initiatives!$B$5:$B$532=$C806)*(_ENGINE_Initiatives!$C$5:$C$532=$D806),0),0)),"")</f>
        <v/>
      </c>
      <c r="AW806">
        <f>IFERROR(INDEX(_ENGINE_Initiatives!$AE$5:$AE$532,MATCH(1,INDEX((_ENGINE_Initiatives!$B$5:$B$532=$C806)*(_ENGINE_Initiatives!$C$5:$C$532=$D806),0),0)),"")</f>
        <v/>
      </c>
      <c r="AX806">
        <f>IF($B806="Yes",IFERROR(IF(SUMIFS(_REF_Model_Content!$E$1:$E$613,_REF_Model_Content!$A$1:$A$613,'Company Profile'!$B$9,_REF_Model_Content!$B$1:$B$613,$C806)=0,1,SUMIFS(_REF_Model_Content!$E$1:$E$613,_REF_Model_Content!$A$1:$A$613,'Company Profile'!$B$9,_REF_Model_Content!$B$1:$B$613,$C806)),1),"")</f>
        <v/>
      </c>
      <c r="AY806">
        <f>IF($L806="","",ROUND(IF($AP806="",$L806,$AP806)*IF($AX806="",1,$AX806),2))</f>
        <v/>
      </c>
      <c r="AZ806">
        <f>IF($S806="","",ROUND(IF($AQ806="",$S806,$AQ806)*IF($AX806="",1,$AX806),2))</f>
        <v/>
      </c>
      <c r="BB806">
        <f>IF($H806="","",IFERROR(INDEX('_ENGINE_Risk'!$AE$41:$AE$920,MATCH($E806,'_ENGINE_Risk'!$A$41:$A$920,0)),"Medium"))</f>
        <v/>
      </c>
      <c r="BC806">
        <f>IF($BB806="","",IF($BB806="Fast",1.25,IF($BB806="Slow",0.85,1)))</f>
        <v/>
      </c>
      <c r="BD806">
        <f>IF(OR($AZ806="",$BC806=""),"",ROUND($AZ806*$BC806,2))</f>
        <v/>
      </c>
      <c r="BF806">
        <f>IF(OR($H806="",$J806=""),"",_xlfn.IFNA(VLOOKUP($J806,_CONFIG_Model_Settings!$D$610:$E$614,2,0),""))</f>
        <v/>
      </c>
      <c r="BG806">
        <f>IF(OR($H806="",$K806=""),"",ROUND('Company Profile'!$B$569*INDEX(_CONFIG_Model_Settings!$H$610:$H$614,MATCH($K806,_CONFIG_Model_Settings!$G$610:$G$614,0)),0))</f>
        <v/>
      </c>
      <c r="BH806">
        <f>IF(OR($BF806="",$BG806=""),"",ROUND($BF806*$BG806,1))</f>
        <v/>
      </c>
      <c r="BI806">
        <f>IF($BH806="","",IF($AO806="",$BH806,ROUND($BH806*$AO806,1)))</f>
        <v/>
      </c>
      <c r="BJ806">
        <f>IF($E806="","",IFERROR(VLOOKUP($C806,'_CONFIG_Risk_Calibration'!$A$5:$H$21,2,FALSE),3))</f>
        <v/>
      </c>
      <c r="BK806">
        <f>IF($E806="","",IFERROR(VLOOKUP($C806,'_CONFIG_Risk_Calibration'!$A$5:$H$21,3,FALSE),0))</f>
        <v/>
      </c>
      <c r="BL806">
        <f>IF($E806="","",IFERROR(VLOOKUP($C806,'_CONFIG_Risk_Calibration'!$A$5:$H$21,4,FALSE),3))</f>
        <v/>
      </c>
      <c r="BM806">
        <f>IF($E806="","",IFERROR(VLOOKUP($C806,'_CONFIG_Risk_Calibration'!$A$5:$H$21,5,FALSE),3))</f>
        <v/>
      </c>
      <c r="BN806">
        <f>IF($E806="","",IFERROR(VLOOKUP($C806,'_CONFIG_Risk_Calibration'!$A$5:$H$21,6,FALSE),"No"))</f>
        <v/>
      </c>
      <c r="BO806">
        <f>IF($E806="","",IFERROR(VLOOKUP($C806,'_CONFIG_Risk_Calibration'!$A$5:$H$21,7,FALSE),1))</f>
        <v/>
      </c>
      <c r="BP806">
        <f>IF($H806="","",MAX(1,MIN(5,((6-$H806)*0.45)+($BJ806*0.20)+('Resilience &amp; Risk Scenario'!$B$7*0.15)+($BK806*0.10)+($BL806*0.05)+(IF($BB806="Fast",5,IF($BB806="Slow",1,3))*0.05))))</f>
        <v/>
      </c>
      <c r="BQ806">
        <f>IF($H806="","",MAX(IF($BN806="Yes",$BO806,1),MIN(5,($U806*0.20)+($V806*0.15)+($W806*0.25)+($X806*0.15)+($BJ806*0.10)+($BM806*0.15))))</f>
        <v/>
      </c>
      <c r="BR806">
        <f>IF(OR($BP806="",$BQ806=""),"",ROUND($BP806*$BQ806,2))</f>
        <v/>
      </c>
      <c r="BS806">
        <f>IF($BR806="","",ROUND($BR806*IF($AO806="",1,$AO806)*IF($AX806="",1,$AX806)*(1+(($BM806-3)*0.10))*IF($BC806="",1,$BC806),2))</f>
        <v/>
      </c>
    </row>
    <row r="807" ht="69.90000000000001" customHeight="1" s="209">
      <c r="A807">
        <f>IF($BD807="","",SUMPRODUCT(ISNUMBER($BD$500:$BD$923)*($BD$500:$BD$923&gt;$BD807))+COUNTIF($BD$500:$BD807,$BD807))</f>
        <v/>
      </c>
      <c r="B807">
        <f>IF($H807="","",IF($H807&lt;5,"Yes","Maintain"))</f>
        <v/>
      </c>
      <c r="C807" t="inlineStr">
        <is>
          <t>IT Cloud DR</t>
        </is>
      </c>
      <c r="D807" t="inlineStr">
        <is>
          <t>Resilience and DR</t>
        </is>
      </c>
      <c r="E807" t="inlineStr">
        <is>
          <t>ITCL-017</t>
        </is>
      </c>
      <c r="F807" t="inlineStr">
        <is>
          <t>IT, cloud and disaster recovery</t>
        </is>
      </c>
      <c r="G807">
        <f>IF($H807="","",IFERROR(INDEX('_ENGINE_Risk'!$H$41:$M$920,MATCH($E807,'_ENGINE_Risk'!$A$41:$A$920,0),$H807+1),""))</f>
        <v/>
      </c>
      <c r="H807">
        <f>IFERROR(VALUE(INDEX(_DATA_Assessment_Model!$H$5:$H$884,MATCH($E807,_DATA_Assessment_Model!$A$5:$A$884,0))),"")</f>
        <v/>
      </c>
      <c r="I807">
        <f>IF($H807="","",IFERROR(INDEX(_DATA_Assessment_Model!$L$5:$L$884,MATCH($E807,_DATA_Assessment_Model!$A$5:$A$884,0)),IF($H807&lt;=1,"Critical",IF($H807=2,"High",IF($H807=3,"Medium",IF($H807=4,"Low","Resilient"))))))</f>
        <v/>
      </c>
      <c r="J807">
        <f>IF($H807="","",MIN(5,MAX(1,6-$H807)))</f>
        <v/>
      </c>
      <c r="K807">
        <f>IF($H807="","",MAX(1,MIN(5,ROUNDUP(($U807*0.45)+($W807*0.35)+($X807*0.2),0))))</f>
        <v/>
      </c>
      <c r="L807">
        <f>IF($H807="","",$J807*$K807)</f>
        <v/>
      </c>
      <c r="M807">
        <f>IF($H807="","",MAX(1,MIN(5,ROUNDUP($L807/5,0))))</f>
        <v/>
      </c>
      <c r="N807">
        <f>IF($H807="","",IFERROR(INDEX('_ENGINE_Risk'!$T$41:$Y$920,MATCH($E807,'_ENGINE_Risk'!$A$41:$A$920,0),$H807+1),""))</f>
        <v/>
      </c>
      <c r="O807">
        <f>IF($H807="","",MAX(1,MIN(5,($U807+$V807+$X807)/3)))</f>
        <v/>
      </c>
      <c r="P807">
        <f>IF($H807="","",IF($I807="Critical",5,IF($I807="High",4,IF($I807="Medium",3,IF($I807="Low",2,1)))))</f>
        <v/>
      </c>
      <c r="Q807">
        <f>IF($H807="","",MAX(1,MIN(5,((5-$H807)*0.65)+($W807*0.35))))</f>
        <v/>
      </c>
      <c r="R807">
        <f>IF($H807="","",MAX(1,MIN(5,($V807+$X807)/2)))</f>
        <v/>
      </c>
      <c r="S807">
        <f>IF(OR($H807="",$N807=""),"",ROUND(($O807+$P807+$Q807+$R807)/$N807,2))</f>
        <v/>
      </c>
      <c r="T807">
        <f>IF($H807="","",IFERROR(INDEX('_ENGINE_Risk'!$N$41:$S$920,MATCH($E807,'_ENGINE_Risk'!$A$41:$A$920,0),$H807+1),""))</f>
        <v/>
      </c>
      <c r="U807">
        <f>IFERROR(INDEX(_DATA_Assessment_Model!$G$5:$G$884,MATCH($E807,_DATA_Assessment_Model!$A$5:$A$884,0)),"")</f>
        <v/>
      </c>
      <c r="V807">
        <f>IFERROR(INDEX(_DATA_Assessment_Model!$W$5:$W$884,MATCH($E807,_DATA_Assessment_Model!$A$5:$A$884,0)),"")</f>
        <v/>
      </c>
      <c r="W807">
        <f>IFERROR(INDEX(_DATA_Assessment_Model!$X$5:$X$884,MATCH($E807,_DATA_Assessment_Model!$A$5:$A$884,0)),"")</f>
        <v/>
      </c>
      <c r="X807">
        <f>IFERROR(INDEX(_DATA_Assessment_Model!$Y$5:$Y$884,MATCH($E807,_DATA_Assessment_Model!$A$5:$A$884,0)),"")</f>
        <v/>
      </c>
      <c r="Y807" t="inlineStr">
        <is>
          <t>IT outage; Cloud outage; Data loss; Cyberattack</t>
        </is>
      </c>
      <c r="Z807" t="inlineStr">
        <is>
          <t>CIO / CTO / IT Ops</t>
        </is>
      </c>
      <c r="AA807" t="inlineStr">
        <is>
          <t>Policy/SOP; owner/RACI; system report; dashboard; contracts; test records; incident history; interview evidence related to manual fallback for critical IT-dependent business processes.</t>
        </is>
      </c>
      <c r="AB807">
        <f>IFERROR(INDEX(_DATA_Assessment_Model!$U$5:$U$884,MATCH($E807,_DATA_Assessment_Model!$A$5:$A$884,0)),"")</f>
        <v/>
      </c>
      <c r="AF807" t="inlineStr">
        <is>
          <t>How mature is the organization in managing manual fallback for critical IT-dependent business processes, including ownership, evidence, metrics, fallback procedures and crisis stress testing?</t>
        </is>
      </c>
      <c r="AO807">
        <f>IF($B807="Yes",IFERROR(INDEX(_ENGINE_Crisis!$F$501:$F$517,MATCH($C807,_ENGINE_Crisis!$A$501:$A$517,0)),1),"")</f>
        <v/>
      </c>
      <c r="AP807">
        <f>IF(AO807="","",ROUND($L807*AO807,1))</f>
        <v/>
      </c>
      <c r="AQ807">
        <f>IF(OR(AO807="",$S807=""),"",ROUND($S807*(0.7+0.3*AO807),2))</f>
        <v/>
      </c>
      <c r="AR807">
        <f>IFERROR(INDEX(_ENGINE_Crisis!$E$41:$E$700,MATCH('Resilience &amp; Risk Scenario'!$B$60&amp;"|"&amp;$C807,_ENGINE_Crisis!$I$41:$I$700,0)),"")</f>
        <v/>
      </c>
      <c r="AS807">
        <f>IFERROR(INDEX(_ENGINE_Crisis!$G$41:$G$700,MATCH('Resilience &amp; Risk Scenario'!$B$60&amp;"|"&amp;$C807,_ENGINE_Crisis!$I$41:$I$700,0)),"")</f>
        <v/>
      </c>
      <c r="AT807">
        <f>IFERROR(INDEX(_ENGINE_Initiatives!$A$5:$A$532,MATCH(1,INDEX((_ENGINE_Initiatives!$B$5:$B$532=$C807)*(_ENGINE_Initiatives!$C$5:$C$532=$D807),0),0)),"")</f>
        <v/>
      </c>
      <c r="AU807">
        <f>IFERROR(INDEX(_ENGINE_Initiatives!$F$5:$F$532,MATCH(1,INDEX((_ENGINE_Initiatives!$B$5:$B$532=$C807)*(_ENGINE_Initiatives!$C$5:$C$532=$D807),0),0)),"")</f>
        <v/>
      </c>
      <c r="AV807">
        <f>IFERROR(INDEX(_ENGINE_Initiatives!$AC$5:$AC$532,MATCH(1,INDEX((_ENGINE_Initiatives!$B$5:$B$532=$C807)*(_ENGINE_Initiatives!$C$5:$C$532=$D807),0),0)),"")</f>
        <v/>
      </c>
      <c r="AW807">
        <f>IFERROR(INDEX(_ENGINE_Initiatives!$AE$5:$AE$532,MATCH(1,INDEX((_ENGINE_Initiatives!$B$5:$B$532=$C807)*(_ENGINE_Initiatives!$C$5:$C$532=$D807),0),0)),"")</f>
        <v/>
      </c>
      <c r="AX807">
        <f>IF($B807="Yes",IFERROR(IF(SUMIFS(_REF_Model_Content!$E$1:$E$613,_REF_Model_Content!$A$1:$A$613,'Company Profile'!$B$9,_REF_Model_Content!$B$1:$B$613,$C807)=0,1,SUMIFS(_REF_Model_Content!$E$1:$E$613,_REF_Model_Content!$A$1:$A$613,'Company Profile'!$B$9,_REF_Model_Content!$B$1:$B$613,$C807)),1),"")</f>
        <v/>
      </c>
      <c r="AY807">
        <f>IF($L807="","",ROUND(IF($AP807="",$L807,$AP807)*IF($AX807="",1,$AX807),2))</f>
        <v/>
      </c>
      <c r="AZ807">
        <f>IF($S807="","",ROUND(IF($AQ807="",$S807,$AQ807)*IF($AX807="",1,$AX807),2))</f>
        <v/>
      </c>
      <c r="BB807">
        <f>IF($H807="","",IFERROR(INDEX('_ENGINE_Risk'!$AE$41:$AE$920,MATCH($E807,'_ENGINE_Risk'!$A$41:$A$920,0)),"Medium"))</f>
        <v/>
      </c>
      <c r="BC807">
        <f>IF($BB807="","",IF($BB807="Fast",1.25,IF($BB807="Slow",0.85,1)))</f>
        <v/>
      </c>
      <c r="BD807">
        <f>IF(OR($AZ807="",$BC807=""),"",ROUND($AZ807*$BC807,2))</f>
        <v/>
      </c>
      <c r="BF807">
        <f>IF(OR($H807="",$J807=""),"",_xlfn.IFNA(VLOOKUP($J807,_CONFIG_Model_Settings!$D$610:$E$614,2,0),""))</f>
        <v/>
      </c>
      <c r="BG807">
        <f>IF(OR($H807="",$K807=""),"",ROUND('Company Profile'!$B$569*INDEX(_CONFIG_Model_Settings!$H$610:$H$614,MATCH($K807,_CONFIG_Model_Settings!$G$610:$G$614,0)),0))</f>
        <v/>
      </c>
      <c r="BH807">
        <f>IF(OR($BF807="",$BG807=""),"",ROUND($BF807*$BG807,1))</f>
        <v/>
      </c>
      <c r="BI807">
        <f>IF($BH807="","",IF($AO807="",$BH807,ROUND($BH807*$AO807,1)))</f>
        <v/>
      </c>
      <c r="BJ807">
        <f>IF($E807="","",IFERROR(VLOOKUP($C807,'_CONFIG_Risk_Calibration'!$A$5:$H$21,2,FALSE),3))</f>
        <v/>
      </c>
      <c r="BK807">
        <f>IF($E807="","",IFERROR(VLOOKUP($C807,'_CONFIG_Risk_Calibration'!$A$5:$H$21,3,FALSE),0))</f>
        <v/>
      </c>
      <c r="BL807">
        <f>IF($E807="","",IFERROR(VLOOKUP($C807,'_CONFIG_Risk_Calibration'!$A$5:$H$21,4,FALSE),3))</f>
        <v/>
      </c>
      <c r="BM807">
        <f>IF($E807="","",IFERROR(VLOOKUP($C807,'_CONFIG_Risk_Calibration'!$A$5:$H$21,5,FALSE),3))</f>
        <v/>
      </c>
      <c r="BN807">
        <f>IF($E807="","",IFERROR(VLOOKUP($C807,'_CONFIG_Risk_Calibration'!$A$5:$H$21,6,FALSE),"No"))</f>
        <v/>
      </c>
      <c r="BO807">
        <f>IF($E807="","",IFERROR(VLOOKUP($C807,'_CONFIG_Risk_Calibration'!$A$5:$H$21,7,FALSE),1))</f>
        <v/>
      </c>
      <c r="BP807">
        <f>IF($H807="","",MAX(1,MIN(5,((6-$H807)*0.45)+($BJ807*0.20)+('Resilience &amp; Risk Scenario'!$B$7*0.15)+($BK807*0.10)+($BL807*0.05)+(IF($BB807="Fast",5,IF($BB807="Slow",1,3))*0.05))))</f>
        <v/>
      </c>
      <c r="BQ807">
        <f>IF($H807="","",MAX(IF($BN807="Yes",$BO807,1),MIN(5,($U807*0.20)+($V807*0.15)+($W807*0.25)+($X807*0.15)+($BJ807*0.10)+($BM807*0.15))))</f>
        <v/>
      </c>
      <c r="BR807">
        <f>IF(OR($BP807="",$BQ807=""),"",ROUND($BP807*$BQ807,2))</f>
        <v/>
      </c>
      <c r="BS807">
        <f>IF($BR807="","",ROUND($BR807*IF($AO807="",1,$AO807)*IF($AX807="",1,$AX807)*(1+(($BM807-3)*0.10))*IF($BC807="",1,$BC807),2))</f>
        <v/>
      </c>
    </row>
    <row r="808" ht="69.90000000000001" customHeight="1" s="209">
      <c r="A808">
        <f>IF($BD808="","",SUMPRODUCT(ISNUMBER($BD$500:$BD$923)*($BD$500:$BD$923&gt;$BD808))+COUNTIF($BD$500:$BD808,$BD808))</f>
        <v/>
      </c>
      <c r="B808">
        <f>IF($H808="","",IF($H808&lt;5,"Yes","Maintain"))</f>
        <v/>
      </c>
      <c r="C808" t="inlineStr">
        <is>
          <t>IT Cloud DR</t>
        </is>
      </c>
      <c r="D808" t="inlineStr">
        <is>
          <t>Resilience and DR</t>
        </is>
      </c>
      <c r="E808" t="inlineStr">
        <is>
          <t>ITCL-018</t>
        </is>
      </c>
      <c r="F808" t="inlineStr">
        <is>
          <t>IT, cloud and disaster recovery</t>
        </is>
      </c>
      <c r="G808">
        <f>IF($H808="","",IFERROR(INDEX('_ENGINE_Risk'!$H$41:$M$920,MATCH($E808,'_ENGINE_Risk'!$A$41:$A$920,0),$H808+1),""))</f>
        <v/>
      </c>
      <c r="H808">
        <f>IFERROR(VALUE(INDEX(_DATA_Assessment_Model!$H$5:$H$884,MATCH($E808,_DATA_Assessment_Model!$A$5:$A$884,0))),"")</f>
        <v/>
      </c>
      <c r="I808">
        <f>IF($H808="","",IFERROR(INDEX(_DATA_Assessment_Model!$L$5:$L$884,MATCH($E808,_DATA_Assessment_Model!$A$5:$A$884,0)),IF($H808&lt;=1,"Critical",IF($H808=2,"High",IF($H808=3,"Medium",IF($H808=4,"Low","Resilient"))))))</f>
        <v/>
      </c>
      <c r="J808">
        <f>IF($H808="","",MIN(5,MAX(1,6-$H808)))</f>
        <v/>
      </c>
      <c r="K808">
        <f>IF($H808="","",MAX(1,MIN(5,ROUNDUP(($U808*0.45)+($W808*0.35)+($X808*0.2),0))))</f>
        <v/>
      </c>
      <c r="L808">
        <f>IF($H808="","",$J808*$K808)</f>
        <v/>
      </c>
      <c r="M808">
        <f>IF($H808="","",MAX(1,MIN(5,ROUNDUP($L808/5,0))))</f>
        <v/>
      </c>
      <c r="N808">
        <f>IF($H808="","",IFERROR(INDEX('_ENGINE_Risk'!$T$41:$Y$920,MATCH($E808,'_ENGINE_Risk'!$A$41:$A$920,0),$H808+1),""))</f>
        <v/>
      </c>
      <c r="O808">
        <f>IF($H808="","",MAX(1,MIN(5,($U808+$V808+$X808)/3)))</f>
        <v/>
      </c>
      <c r="P808">
        <f>IF($H808="","",IF($I808="Critical",5,IF($I808="High",4,IF($I808="Medium",3,IF($I808="Low",2,1)))))</f>
        <v/>
      </c>
      <c r="Q808">
        <f>IF($H808="","",MAX(1,MIN(5,((5-$H808)*0.65)+($W808*0.35))))</f>
        <v/>
      </c>
      <c r="R808">
        <f>IF($H808="","",MAX(1,MIN(5,($V808+$X808)/2)))</f>
        <v/>
      </c>
      <c r="S808">
        <f>IF(OR($H808="",$N808=""),"",ROUND(($O808+$P808+$Q808+$R808)/$N808,2))</f>
        <v/>
      </c>
      <c r="T808">
        <f>IF($H808="","",IFERROR(INDEX('_ENGINE_Risk'!$N$41:$S$920,MATCH($E808,'_ENGINE_Risk'!$A$41:$A$920,0),$H808+1),""))</f>
        <v/>
      </c>
      <c r="U808">
        <f>IFERROR(INDEX(_DATA_Assessment_Model!$G$5:$G$884,MATCH($E808,_DATA_Assessment_Model!$A$5:$A$884,0)),"")</f>
        <v/>
      </c>
      <c r="V808">
        <f>IFERROR(INDEX(_DATA_Assessment_Model!$W$5:$W$884,MATCH($E808,_DATA_Assessment_Model!$A$5:$A$884,0)),"")</f>
        <v/>
      </c>
      <c r="W808">
        <f>IFERROR(INDEX(_DATA_Assessment_Model!$X$5:$X$884,MATCH($E808,_DATA_Assessment_Model!$A$5:$A$884,0)),"")</f>
        <v/>
      </c>
      <c r="X808">
        <f>IFERROR(INDEX(_DATA_Assessment_Model!$Y$5:$Y$884,MATCH($E808,_DATA_Assessment_Model!$A$5:$A$884,0)),"")</f>
        <v/>
      </c>
      <c r="Y808" t="inlineStr">
        <is>
          <t>IT outage; Cloud outage; Data loss; Cyberattack</t>
        </is>
      </c>
      <c r="Z808" t="inlineStr">
        <is>
          <t>CIO / CTO / IT Ops</t>
        </is>
      </c>
      <c r="AA808" t="inlineStr">
        <is>
          <t>Policy/SOP; owner/RACI; system report; dashboard; contracts; test records; incident history; interview evidence related to on-call coverage, escalation and vendor support for critical systems.</t>
        </is>
      </c>
      <c r="AB808">
        <f>IFERROR(INDEX(_DATA_Assessment_Model!$U$5:$U$884,MATCH($E808,_DATA_Assessment_Model!$A$5:$A$884,0)),"")</f>
        <v/>
      </c>
      <c r="AF808" t="inlineStr">
        <is>
          <t>How mature is the organization in managing on-call coverage, escalation and vendor support for critical systems, including ownership, evidence, metrics, fallback procedures and crisis stress testing?</t>
        </is>
      </c>
      <c r="AO808">
        <f>IF($B808="Yes",IFERROR(INDEX(_ENGINE_Crisis!$F$501:$F$517,MATCH($C808,_ENGINE_Crisis!$A$501:$A$517,0)),1),"")</f>
        <v/>
      </c>
      <c r="AP808">
        <f>IF(AO808="","",ROUND($L808*AO808,1))</f>
        <v/>
      </c>
      <c r="AQ808">
        <f>IF(OR(AO808="",$S808=""),"",ROUND($S808*(0.7+0.3*AO808),2))</f>
        <v/>
      </c>
      <c r="AR808">
        <f>IFERROR(INDEX(_ENGINE_Crisis!$E$41:$E$700,MATCH('Resilience &amp; Risk Scenario'!$B$60&amp;"|"&amp;$C808,_ENGINE_Crisis!$I$41:$I$700,0)),"")</f>
        <v/>
      </c>
      <c r="AS808">
        <f>IFERROR(INDEX(_ENGINE_Crisis!$G$41:$G$700,MATCH('Resilience &amp; Risk Scenario'!$B$60&amp;"|"&amp;$C808,_ENGINE_Crisis!$I$41:$I$700,0)),"")</f>
        <v/>
      </c>
      <c r="AT808">
        <f>IFERROR(INDEX(_ENGINE_Initiatives!$A$5:$A$532,MATCH(1,INDEX((_ENGINE_Initiatives!$B$5:$B$532=$C808)*(_ENGINE_Initiatives!$C$5:$C$532=$D808),0),0)),"")</f>
        <v/>
      </c>
      <c r="AU808">
        <f>IFERROR(INDEX(_ENGINE_Initiatives!$F$5:$F$532,MATCH(1,INDEX((_ENGINE_Initiatives!$B$5:$B$532=$C808)*(_ENGINE_Initiatives!$C$5:$C$532=$D808),0),0)),"")</f>
        <v/>
      </c>
      <c r="AV808">
        <f>IFERROR(INDEX(_ENGINE_Initiatives!$AC$5:$AC$532,MATCH(1,INDEX((_ENGINE_Initiatives!$B$5:$B$532=$C808)*(_ENGINE_Initiatives!$C$5:$C$532=$D808),0),0)),"")</f>
        <v/>
      </c>
      <c r="AW808">
        <f>IFERROR(INDEX(_ENGINE_Initiatives!$AE$5:$AE$532,MATCH(1,INDEX((_ENGINE_Initiatives!$B$5:$B$532=$C808)*(_ENGINE_Initiatives!$C$5:$C$532=$D808),0),0)),"")</f>
        <v/>
      </c>
      <c r="AX808">
        <f>IF($B808="Yes",IFERROR(IF(SUMIFS(_REF_Model_Content!$E$1:$E$613,_REF_Model_Content!$A$1:$A$613,'Company Profile'!$B$9,_REF_Model_Content!$B$1:$B$613,$C808)=0,1,SUMIFS(_REF_Model_Content!$E$1:$E$613,_REF_Model_Content!$A$1:$A$613,'Company Profile'!$B$9,_REF_Model_Content!$B$1:$B$613,$C808)),1),"")</f>
        <v/>
      </c>
      <c r="AY808">
        <f>IF($L808="","",ROUND(IF($AP808="",$L808,$AP808)*IF($AX808="",1,$AX808),2))</f>
        <v/>
      </c>
      <c r="AZ808">
        <f>IF($S808="","",ROUND(IF($AQ808="",$S808,$AQ808)*IF($AX808="",1,$AX808),2))</f>
        <v/>
      </c>
      <c r="BB808">
        <f>IF($H808="","",IFERROR(INDEX('_ENGINE_Risk'!$AE$41:$AE$920,MATCH($E808,'_ENGINE_Risk'!$A$41:$A$920,0)),"Medium"))</f>
        <v/>
      </c>
      <c r="BC808">
        <f>IF($BB808="","",IF($BB808="Fast",1.25,IF($BB808="Slow",0.85,1)))</f>
        <v/>
      </c>
      <c r="BD808">
        <f>IF(OR($AZ808="",$BC808=""),"",ROUND($AZ808*$BC808,2))</f>
        <v/>
      </c>
      <c r="BF808">
        <f>IF(OR($H808="",$J808=""),"",_xlfn.IFNA(VLOOKUP($J808,_CONFIG_Model_Settings!$D$610:$E$614,2,0),""))</f>
        <v/>
      </c>
      <c r="BG808">
        <f>IF(OR($H808="",$K808=""),"",ROUND('Company Profile'!$B$569*INDEX(_CONFIG_Model_Settings!$H$610:$H$614,MATCH($K808,_CONFIG_Model_Settings!$G$610:$G$614,0)),0))</f>
        <v/>
      </c>
      <c r="BH808">
        <f>IF(OR($BF808="",$BG808=""),"",ROUND($BF808*$BG808,1))</f>
        <v/>
      </c>
      <c r="BI808">
        <f>IF($BH808="","",IF($AO808="",$BH808,ROUND($BH808*$AO808,1)))</f>
        <v/>
      </c>
      <c r="BJ808">
        <f>IF($E808="","",IFERROR(VLOOKUP($C808,'_CONFIG_Risk_Calibration'!$A$5:$H$21,2,FALSE),3))</f>
        <v/>
      </c>
      <c r="BK808">
        <f>IF($E808="","",IFERROR(VLOOKUP($C808,'_CONFIG_Risk_Calibration'!$A$5:$H$21,3,FALSE),0))</f>
        <v/>
      </c>
      <c r="BL808">
        <f>IF($E808="","",IFERROR(VLOOKUP($C808,'_CONFIG_Risk_Calibration'!$A$5:$H$21,4,FALSE),3))</f>
        <v/>
      </c>
      <c r="BM808">
        <f>IF($E808="","",IFERROR(VLOOKUP($C808,'_CONFIG_Risk_Calibration'!$A$5:$H$21,5,FALSE),3))</f>
        <v/>
      </c>
      <c r="BN808">
        <f>IF($E808="","",IFERROR(VLOOKUP($C808,'_CONFIG_Risk_Calibration'!$A$5:$H$21,6,FALSE),"No"))</f>
        <v/>
      </c>
      <c r="BO808">
        <f>IF($E808="","",IFERROR(VLOOKUP($C808,'_CONFIG_Risk_Calibration'!$A$5:$H$21,7,FALSE),1))</f>
        <v/>
      </c>
      <c r="BP808">
        <f>IF($H808="","",MAX(1,MIN(5,((6-$H808)*0.45)+($BJ808*0.20)+('Resilience &amp; Risk Scenario'!$B$7*0.15)+($BK808*0.10)+($BL808*0.05)+(IF($BB808="Fast",5,IF($BB808="Slow",1,3))*0.05))))</f>
        <v/>
      </c>
      <c r="BQ808">
        <f>IF($H808="","",MAX(IF($BN808="Yes",$BO808,1),MIN(5,($U808*0.20)+($V808*0.15)+($W808*0.25)+($X808*0.15)+($BJ808*0.10)+($BM808*0.15))))</f>
        <v/>
      </c>
      <c r="BR808">
        <f>IF(OR($BP808="",$BQ808=""),"",ROUND($BP808*$BQ808,2))</f>
        <v/>
      </c>
      <c r="BS808">
        <f>IF($BR808="","",ROUND($BR808*IF($AO808="",1,$AO808)*IF($AX808="",1,$AX808)*(1+(($BM808-3)*0.10))*IF($BC808="",1,$BC808),2))</f>
        <v/>
      </c>
    </row>
    <row r="809" ht="69.90000000000001" customHeight="1" s="209">
      <c r="A809">
        <f>IF($BD809="","",SUMPRODUCT(ISNUMBER($BD$500:$BD$923)*($BD$500:$BD$923&gt;$BD809))+COUNTIF($BD$500:$BD809,$BD809))</f>
        <v/>
      </c>
      <c r="B809">
        <f>IF($H809="","",IF($H809&lt;5,"Yes","Maintain"))</f>
        <v/>
      </c>
      <c r="C809" t="inlineStr">
        <is>
          <t>IT Cloud DR</t>
        </is>
      </c>
      <c r="D809" t="inlineStr">
        <is>
          <t>Operations</t>
        </is>
      </c>
      <c r="E809" t="inlineStr">
        <is>
          <t>ITCL-019</t>
        </is>
      </c>
      <c r="F809" t="inlineStr">
        <is>
          <t>IT, cloud and disaster recovery</t>
        </is>
      </c>
      <c r="G809">
        <f>IF($H809="","",IFERROR(INDEX('_ENGINE_Risk'!$H$41:$M$920,MATCH($E809,'_ENGINE_Risk'!$A$41:$A$920,0),$H809+1),""))</f>
        <v/>
      </c>
      <c r="H809">
        <f>IFERROR(VALUE(INDEX(_DATA_Assessment_Model!$H$5:$H$884,MATCH($E809,_DATA_Assessment_Model!$A$5:$A$884,0))),"")</f>
        <v/>
      </c>
      <c r="I809">
        <f>IF($H809="","",IFERROR(INDEX(_DATA_Assessment_Model!$L$5:$L$884,MATCH($E809,_DATA_Assessment_Model!$A$5:$A$884,0)),IF($H809&lt;=1,"Critical",IF($H809=2,"High",IF($H809=3,"Medium",IF($H809=4,"Low","Resilient"))))))</f>
        <v/>
      </c>
      <c r="J809">
        <f>IF($H809="","",MIN(5,MAX(1,6-$H809)))</f>
        <v/>
      </c>
      <c r="K809">
        <f>IF($H809="","",MAX(1,MIN(5,ROUNDUP(($U809*0.45)+($W809*0.35)+($X809*0.2),0))))</f>
        <v/>
      </c>
      <c r="L809">
        <f>IF($H809="","",$J809*$K809)</f>
        <v/>
      </c>
      <c r="M809">
        <f>IF($H809="","",MAX(1,MIN(5,ROUNDUP($L809/5,0))))</f>
        <v/>
      </c>
      <c r="N809">
        <f>IF($H809="","",IFERROR(INDEX('_ENGINE_Risk'!$T$41:$Y$920,MATCH($E809,'_ENGINE_Risk'!$A$41:$A$920,0),$H809+1),""))</f>
        <v/>
      </c>
      <c r="O809">
        <f>IF($H809="","",MAX(1,MIN(5,($U809+$V809+$X809)/3)))</f>
        <v/>
      </c>
      <c r="P809">
        <f>IF($H809="","",IF($I809="Critical",5,IF($I809="High",4,IF($I809="Medium",3,IF($I809="Low",2,1)))))</f>
        <v/>
      </c>
      <c r="Q809">
        <f>IF($H809="","",MAX(1,MIN(5,((5-$H809)*0.65)+($W809*0.35))))</f>
        <v/>
      </c>
      <c r="R809">
        <f>IF($H809="","",MAX(1,MIN(5,($V809+$X809)/2)))</f>
        <v/>
      </c>
      <c r="S809">
        <f>IF(OR($H809="",$N809=""),"",ROUND(($O809+$P809+$Q809+$R809)/$N809,2))</f>
        <v/>
      </c>
      <c r="T809">
        <f>IF($H809="","",IFERROR(INDEX('_ENGINE_Risk'!$N$41:$S$920,MATCH($E809,'_ENGINE_Risk'!$A$41:$A$920,0),$H809+1),""))</f>
        <v/>
      </c>
      <c r="U809">
        <f>IFERROR(INDEX(_DATA_Assessment_Model!$G$5:$G$884,MATCH($E809,_DATA_Assessment_Model!$A$5:$A$884,0)),"")</f>
        <v/>
      </c>
      <c r="V809">
        <f>IFERROR(INDEX(_DATA_Assessment_Model!$W$5:$W$884,MATCH($E809,_DATA_Assessment_Model!$A$5:$A$884,0)),"")</f>
        <v/>
      </c>
      <c r="W809">
        <f>IFERROR(INDEX(_DATA_Assessment_Model!$X$5:$X$884,MATCH($E809,_DATA_Assessment_Model!$A$5:$A$884,0)),"")</f>
        <v/>
      </c>
      <c r="X809">
        <f>IFERROR(INDEX(_DATA_Assessment_Model!$Y$5:$Y$884,MATCH($E809,_DATA_Assessment_Model!$A$5:$A$884,0)),"")</f>
        <v/>
      </c>
      <c r="Y809" t="inlineStr">
        <is>
          <t>IT outage; Cloud outage; Data loss; Cyberattack</t>
        </is>
      </c>
      <c r="Z809" t="inlineStr">
        <is>
          <t>CIO / CTO / IT Ops</t>
        </is>
      </c>
      <c r="AA809" t="inlineStr">
        <is>
          <t>Policy/SOP; owner/RACI; system report; dashboard; contracts; test records; incident history; interview evidence related to IT service management for incidents, requests, problems, changes and assets.</t>
        </is>
      </c>
      <c r="AB809">
        <f>IFERROR(INDEX(_DATA_Assessment_Model!$U$5:$U$884,MATCH($E809,_DATA_Assessment_Model!$A$5:$A$884,0)),"")</f>
        <v/>
      </c>
      <c r="AF809" t="inlineStr">
        <is>
          <t>How mature is the organization in managing IT service management for incidents, requests, problems, changes and assets, including ownership, evidence, metrics, fallback procedures and crisis stress testing?</t>
        </is>
      </c>
      <c r="AO809">
        <f>IF($B809="Yes",IFERROR(INDEX(_ENGINE_Crisis!$F$501:$F$517,MATCH($C809,_ENGINE_Crisis!$A$501:$A$517,0)),1),"")</f>
        <v/>
      </c>
      <c r="AP809">
        <f>IF(AO809="","",ROUND($L809*AO809,1))</f>
        <v/>
      </c>
      <c r="AQ809">
        <f>IF(OR(AO809="",$S809=""),"",ROUND($S809*(0.7+0.3*AO809),2))</f>
        <v/>
      </c>
      <c r="AR809">
        <f>IFERROR(INDEX(_ENGINE_Crisis!$E$41:$E$700,MATCH('Resilience &amp; Risk Scenario'!$B$60&amp;"|"&amp;$C809,_ENGINE_Crisis!$I$41:$I$700,0)),"")</f>
        <v/>
      </c>
      <c r="AS809">
        <f>IFERROR(INDEX(_ENGINE_Crisis!$G$41:$G$700,MATCH('Resilience &amp; Risk Scenario'!$B$60&amp;"|"&amp;$C809,_ENGINE_Crisis!$I$41:$I$700,0)),"")</f>
        <v/>
      </c>
      <c r="AT809">
        <f>IFERROR(INDEX(_ENGINE_Initiatives!$A$5:$A$532,MATCH(1,INDEX((_ENGINE_Initiatives!$B$5:$B$532=$C809)*(_ENGINE_Initiatives!$C$5:$C$532=$D809),0),0)),"")</f>
        <v/>
      </c>
      <c r="AU809">
        <f>IFERROR(INDEX(_ENGINE_Initiatives!$F$5:$F$532,MATCH(1,INDEX((_ENGINE_Initiatives!$B$5:$B$532=$C809)*(_ENGINE_Initiatives!$C$5:$C$532=$D809),0),0)),"")</f>
        <v/>
      </c>
      <c r="AV809">
        <f>IFERROR(INDEX(_ENGINE_Initiatives!$AC$5:$AC$532,MATCH(1,INDEX((_ENGINE_Initiatives!$B$5:$B$532=$C809)*(_ENGINE_Initiatives!$C$5:$C$532=$D809),0),0)),"")</f>
        <v/>
      </c>
      <c r="AW809">
        <f>IFERROR(INDEX(_ENGINE_Initiatives!$AE$5:$AE$532,MATCH(1,INDEX((_ENGINE_Initiatives!$B$5:$B$532=$C809)*(_ENGINE_Initiatives!$C$5:$C$532=$D809),0),0)),"")</f>
        <v/>
      </c>
      <c r="AX809">
        <f>IF($B809="Yes",IFERROR(IF(SUMIFS(_REF_Model_Content!$E$1:$E$613,_REF_Model_Content!$A$1:$A$613,'Company Profile'!$B$9,_REF_Model_Content!$B$1:$B$613,$C809)=0,1,SUMIFS(_REF_Model_Content!$E$1:$E$613,_REF_Model_Content!$A$1:$A$613,'Company Profile'!$B$9,_REF_Model_Content!$B$1:$B$613,$C809)),1),"")</f>
        <v/>
      </c>
      <c r="AY809">
        <f>IF($L809="","",ROUND(IF($AP809="",$L809,$AP809)*IF($AX809="",1,$AX809),2))</f>
        <v/>
      </c>
      <c r="AZ809">
        <f>IF($S809="","",ROUND(IF($AQ809="",$S809,$AQ809)*IF($AX809="",1,$AX809),2))</f>
        <v/>
      </c>
      <c r="BB809">
        <f>IF($H809="","",IFERROR(INDEX('_ENGINE_Risk'!$AE$41:$AE$920,MATCH($E809,'_ENGINE_Risk'!$A$41:$A$920,0)),"Medium"))</f>
        <v/>
      </c>
      <c r="BC809">
        <f>IF($BB809="","",IF($BB809="Fast",1.25,IF($BB809="Slow",0.85,1)))</f>
        <v/>
      </c>
      <c r="BD809">
        <f>IF(OR($AZ809="",$BC809=""),"",ROUND($AZ809*$BC809,2))</f>
        <v/>
      </c>
      <c r="BF809">
        <f>IF(OR($H809="",$J809=""),"",_xlfn.IFNA(VLOOKUP($J809,_CONFIG_Model_Settings!$D$610:$E$614,2,0),""))</f>
        <v/>
      </c>
      <c r="BG809">
        <f>IF(OR($H809="",$K809=""),"",ROUND('Company Profile'!$B$569*INDEX(_CONFIG_Model_Settings!$H$610:$H$614,MATCH($K809,_CONFIG_Model_Settings!$G$610:$G$614,0)),0))</f>
        <v/>
      </c>
      <c r="BH809">
        <f>IF(OR($BF809="",$BG809=""),"",ROUND($BF809*$BG809,1))</f>
        <v/>
      </c>
      <c r="BI809">
        <f>IF($BH809="","",IF($AO809="",$BH809,ROUND($BH809*$AO809,1)))</f>
        <v/>
      </c>
      <c r="BJ809">
        <f>IF($E809="","",IFERROR(VLOOKUP($C809,'_CONFIG_Risk_Calibration'!$A$5:$H$21,2,FALSE),3))</f>
        <v/>
      </c>
      <c r="BK809">
        <f>IF($E809="","",IFERROR(VLOOKUP($C809,'_CONFIG_Risk_Calibration'!$A$5:$H$21,3,FALSE),0))</f>
        <v/>
      </c>
      <c r="BL809">
        <f>IF($E809="","",IFERROR(VLOOKUP($C809,'_CONFIG_Risk_Calibration'!$A$5:$H$21,4,FALSE),3))</f>
        <v/>
      </c>
      <c r="BM809">
        <f>IF($E809="","",IFERROR(VLOOKUP($C809,'_CONFIG_Risk_Calibration'!$A$5:$H$21,5,FALSE),3))</f>
        <v/>
      </c>
      <c r="BN809">
        <f>IF($E809="","",IFERROR(VLOOKUP($C809,'_CONFIG_Risk_Calibration'!$A$5:$H$21,6,FALSE),"No"))</f>
        <v/>
      </c>
      <c r="BO809">
        <f>IF($E809="","",IFERROR(VLOOKUP($C809,'_CONFIG_Risk_Calibration'!$A$5:$H$21,7,FALSE),1))</f>
        <v/>
      </c>
      <c r="BP809">
        <f>IF($H809="","",MAX(1,MIN(5,((6-$H809)*0.45)+($BJ809*0.20)+('Resilience &amp; Risk Scenario'!$B$7*0.15)+($BK809*0.10)+($BL809*0.05)+(IF($BB809="Fast",5,IF($BB809="Slow",1,3))*0.05))))</f>
        <v/>
      </c>
      <c r="BQ809">
        <f>IF($H809="","",MAX(IF($BN809="Yes",$BO809,1),MIN(5,($U809*0.20)+($V809*0.15)+($W809*0.25)+($X809*0.15)+($BJ809*0.10)+($BM809*0.15))))</f>
        <v/>
      </c>
      <c r="BR809">
        <f>IF(OR($BP809="",$BQ809=""),"",ROUND($BP809*$BQ809,2))</f>
        <v/>
      </c>
      <c r="BS809">
        <f>IF($BR809="","",ROUND($BR809*IF($AO809="",1,$AO809)*IF($AX809="",1,$AX809)*(1+(($BM809-3)*0.10))*IF($BC809="",1,$BC809),2))</f>
        <v/>
      </c>
    </row>
    <row r="810" ht="69.90000000000001" customHeight="1" s="209">
      <c r="A810">
        <f>IF($BD810="","",SUMPRODUCT(ISNUMBER($BD$500:$BD$923)*($BD$500:$BD$923&gt;$BD810))+COUNTIF($BD$500:$BD810,$BD810))</f>
        <v/>
      </c>
      <c r="B810">
        <f>IF($H810="","",IF($H810&lt;5,"Yes","Maintain"))</f>
        <v/>
      </c>
      <c r="C810" t="inlineStr">
        <is>
          <t>IT Cloud DR</t>
        </is>
      </c>
      <c r="D810" t="inlineStr">
        <is>
          <t>Operations</t>
        </is>
      </c>
      <c r="E810" t="inlineStr">
        <is>
          <t>ITCL-020</t>
        </is>
      </c>
      <c r="F810" t="inlineStr">
        <is>
          <t>IT, cloud and disaster recovery</t>
        </is>
      </c>
      <c r="G810">
        <f>IF($H810="","",IFERROR(INDEX('_ENGINE_Risk'!$H$41:$M$920,MATCH($E810,'_ENGINE_Risk'!$A$41:$A$920,0),$H810+1),""))</f>
        <v/>
      </c>
      <c r="H810">
        <f>IFERROR(VALUE(INDEX(_DATA_Assessment_Model!$H$5:$H$884,MATCH($E810,_DATA_Assessment_Model!$A$5:$A$884,0))),"")</f>
        <v/>
      </c>
      <c r="I810">
        <f>IF($H810="","",IFERROR(INDEX(_DATA_Assessment_Model!$L$5:$L$884,MATCH($E810,_DATA_Assessment_Model!$A$5:$A$884,0)),IF($H810&lt;=1,"Critical",IF($H810=2,"High",IF($H810=3,"Medium",IF($H810=4,"Low","Resilient"))))))</f>
        <v/>
      </c>
      <c r="J810">
        <f>IF($H810="","",MIN(5,MAX(1,6-$H810)))</f>
        <v/>
      </c>
      <c r="K810">
        <f>IF($H810="","",MAX(1,MIN(5,ROUNDUP(($U810*0.45)+($W810*0.35)+($X810*0.2),0))))</f>
        <v/>
      </c>
      <c r="L810">
        <f>IF($H810="","",$J810*$K810)</f>
        <v/>
      </c>
      <c r="M810">
        <f>IF($H810="","",MAX(1,MIN(5,ROUNDUP($L810/5,0))))</f>
        <v/>
      </c>
      <c r="N810">
        <f>IF($H810="","",IFERROR(INDEX('_ENGINE_Risk'!$T$41:$Y$920,MATCH($E810,'_ENGINE_Risk'!$A$41:$A$920,0),$H810+1),""))</f>
        <v/>
      </c>
      <c r="O810">
        <f>IF($H810="","",MAX(1,MIN(5,($U810+$V810+$X810)/3)))</f>
        <v/>
      </c>
      <c r="P810">
        <f>IF($H810="","",IF($I810="Critical",5,IF($I810="High",4,IF($I810="Medium",3,IF($I810="Low",2,1)))))</f>
        <v/>
      </c>
      <c r="Q810">
        <f>IF($H810="","",MAX(1,MIN(5,((5-$H810)*0.65)+($W810*0.35))))</f>
        <v/>
      </c>
      <c r="R810">
        <f>IF($H810="","",MAX(1,MIN(5,($V810+$X810)/2)))</f>
        <v/>
      </c>
      <c r="S810">
        <f>IF(OR($H810="",$N810=""),"",ROUND(($O810+$P810+$Q810+$R810)/$N810,2))</f>
        <v/>
      </c>
      <c r="T810">
        <f>IF($H810="","",IFERROR(INDEX('_ENGINE_Risk'!$N$41:$S$920,MATCH($E810,'_ENGINE_Risk'!$A$41:$A$920,0),$H810+1),""))</f>
        <v/>
      </c>
      <c r="U810">
        <f>IFERROR(INDEX(_DATA_Assessment_Model!$G$5:$G$884,MATCH($E810,_DATA_Assessment_Model!$A$5:$A$884,0)),"")</f>
        <v/>
      </c>
      <c r="V810">
        <f>IFERROR(INDEX(_DATA_Assessment_Model!$W$5:$W$884,MATCH($E810,_DATA_Assessment_Model!$A$5:$A$884,0)),"")</f>
        <v/>
      </c>
      <c r="W810">
        <f>IFERROR(INDEX(_DATA_Assessment_Model!$X$5:$X$884,MATCH($E810,_DATA_Assessment_Model!$A$5:$A$884,0)),"")</f>
        <v/>
      </c>
      <c r="X810">
        <f>IFERROR(INDEX(_DATA_Assessment_Model!$Y$5:$Y$884,MATCH($E810,_DATA_Assessment_Model!$A$5:$A$884,0)),"")</f>
        <v/>
      </c>
      <c r="Y810" t="inlineStr">
        <is>
          <t>IT outage; Cloud outage; Data loss; Cyberattack</t>
        </is>
      </c>
      <c r="Z810" t="inlineStr">
        <is>
          <t>CIO / CTO / IT Ops</t>
        </is>
      </c>
      <c r="AA810" t="inlineStr">
        <is>
          <t>Policy/SOP; owner/RACI; system report; dashboard; contracts; test records; incident history; interview evidence related to monitoring and alerting for availability, performance, capacity, security and user impact.</t>
        </is>
      </c>
      <c r="AB810">
        <f>IFERROR(INDEX(_DATA_Assessment_Model!$U$5:$U$884,MATCH($E810,_DATA_Assessment_Model!$A$5:$A$884,0)),"")</f>
        <v/>
      </c>
      <c r="AF810" t="inlineStr">
        <is>
          <t>How mature is the organization in managing monitoring and alerting for availability, performance, capacity, security and user impact, including ownership, evidence, metrics, fallback procedures and crisis stress testing?</t>
        </is>
      </c>
      <c r="AO810">
        <f>IF($B810="Yes",IFERROR(INDEX(_ENGINE_Crisis!$F$501:$F$517,MATCH($C810,_ENGINE_Crisis!$A$501:$A$517,0)),1),"")</f>
        <v/>
      </c>
      <c r="AP810">
        <f>IF(AO810="","",ROUND($L810*AO810,1))</f>
        <v/>
      </c>
      <c r="AQ810">
        <f>IF(OR(AO810="",$S810=""),"",ROUND($S810*(0.7+0.3*AO810),2))</f>
        <v/>
      </c>
      <c r="AR810">
        <f>IFERROR(INDEX(_ENGINE_Crisis!$E$41:$E$700,MATCH('Resilience &amp; Risk Scenario'!$B$60&amp;"|"&amp;$C810,_ENGINE_Crisis!$I$41:$I$700,0)),"")</f>
        <v/>
      </c>
      <c r="AS810">
        <f>IFERROR(INDEX(_ENGINE_Crisis!$G$41:$G$700,MATCH('Resilience &amp; Risk Scenario'!$B$60&amp;"|"&amp;$C810,_ENGINE_Crisis!$I$41:$I$700,0)),"")</f>
        <v/>
      </c>
      <c r="AT810">
        <f>IFERROR(INDEX(_ENGINE_Initiatives!$A$5:$A$532,MATCH(1,INDEX((_ENGINE_Initiatives!$B$5:$B$532=$C810)*(_ENGINE_Initiatives!$C$5:$C$532=$D810),0),0)),"")</f>
        <v/>
      </c>
      <c r="AU810">
        <f>IFERROR(INDEX(_ENGINE_Initiatives!$F$5:$F$532,MATCH(1,INDEX((_ENGINE_Initiatives!$B$5:$B$532=$C810)*(_ENGINE_Initiatives!$C$5:$C$532=$D810),0),0)),"")</f>
        <v/>
      </c>
      <c r="AV810">
        <f>IFERROR(INDEX(_ENGINE_Initiatives!$AC$5:$AC$532,MATCH(1,INDEX((_ENGINE_Initiatives!$B$5:$B$532=$C810)*(_ENGINE_Initiatives!$C$5:$C$532=$D810),0),0)),"")</f>
        <v/>
      </c>
      <c r="AW810">
        <f>IFERROR(INDEX(_ENGINE_Initiatives!$AE$5:$AE$532,MATCH(1,INDEX((_ENGINE_Initiatives!$B$5:$B$532=$C810)*(_ENGINE_Initiatives!$C$5:$C$532=$D810),0),0)),"")</f>
        <v/>
      </c>
      <c r="AX810">
        <f>IF($B810="Yes",IFERROR(IF(SUMIFS(_REF_Model_Content!$E$1:$E$613,_REF_Model_Content!$A$1:$A$613,'Company Profile'!$B$9,_REF_Model_Content!$B$1:$B$613,$C810)=0,1,SUMIFS(_REF_Model_Content!$E$1:$E$613,_REF_Model_Content!$A$1:$A$613,'Company Profile'!$B$9,_REF_Model_Content!$B$1:$B$613,$C810)),1),"")</f>
        <v/>
      </c>
      <c r="AY810">
        <f>IF($L810="","",ROUND(IF($AP810="",$L810,$AP810)*IF($AX810="",1,$AX810),2))</f>
        <v/>
      </c>
      <c r="AZ810">
        <f>IF($S810="","",ROUND(IF($AQ810="",$S810,$AQ810)*IF($AX810="",1,$AX810),2))</f>
        <v/>
      </c>
      <c r="BB810">
        <f>IF($H810="","",IFERROR(INDEX('_ENGINE_Risk'!$AE$41:$AE$920,MATCH($E810,'_ENGINE_Risk'!$A$41:$A$920,0)),"Medium"))</f>
        <v/>
      </c>
      <c r="BC810">
        <f>IF($BB810="","",IF($BB810="Fast",1.25,IF($BB810="Slow",0.85,1)))</f>
        <v/>
      </c>
      <c r="BD810">
        <f>IF(OR($AZ810="",$BC810=""),"",ROUND($AZ810*$BC810,2))</f>
        <v/>
      </c>
      <c r="BF810">
        <f>IF(OR($H810="",$J810=""),"",_xlfn.IFNA(VLOOKUP($J810,_CONFIG_Model_Settings!$D$610:$E$614,2,0),""))</f>
        <v/>
      </c>
      <c r="BG810">
        <f>IF(OR($H810="",$K810=""),"",ROUND('Company Profile'!$B$569*INDEX(_CONFIG_Model_Settings!$H$610:$H$614,MATCH($K810,_CONFIG_Model_Settings!$G$610:$G$614,0)),0))</f>
        <v/>
      </c>
      <c r="BH810">
        <f>IF(OR($BF810="",$BG810=""),"",ROUND($BF810*$BG810,1))</f>
        <v/>
      </c>
      <c r="BI810">
        <f>IF($BH810="","",IF($AO810="",$BH810,ROUND($BH810*$AO810,1)))</f>
        <v/>
      </c>
      <c r="BJ810">
        <f>IF($E810="","",IFERROR(VLOOKUP($C810,'_CONFIG_Risk_Calibration'!$A$5:$H$21,2,FALSE),3))</f>
        <v/>
      </c>
      <c r="BK810">
        <f>IF($E810="","",IFERROR(VLOOKUP($C810,'_CONFIG_Risk_Calibration'!$A$5:$H$21,3,FALSE),0))</f>
        <v/>
      </c>
      <c r="BL810">
        <f>IF($E810="","",IFERROR(VLOOKUP($C810,'_CONFIG_Risk_Calibration'!$A$5:$H$21,4,FALSE),3))</f>
        <v/>
      </c>
      <c r="BM810">
        <f>IF($E810="","",IFERROR(VLOOKUP($C810,'_CONFIG_Risk_Calibration'!$A$5:$H$21,5,FALSE),3))</f>
        <v/>
      </c>
      <c r="BN810">
        <f>IF($E810="","",IFERROR(VLOOKUP($C810,'_CONFIG_Risk_Calibration'!$A$5:$H$21,6,FALSE),"No"))</f>
        <v/>
      </c>
      <c r="BO810">
        <f>IF($E810="","",IFERROR(VLOOKUP($C810,'_CONFIG_Risk_Calibration'!$A$5:$H$21,7,FALSE),1))</f>
        <v/>
      </c>
      <c r="BP810">
        <f>IF($H810="","",MAX(1,MIN(5,((6-$H810)*0.45)+($BJ810*0.20)+('Resilience &amp; Risk Scenario'!$B$7*0.15)+($BK810*0.10)+($BL810*0.05)+(IF($BB810="Fast",5,IF($BB810="Slow",1,3))*0.05))))</f>
        <v/>
      </c>
      <c r="BQ810">
        <f>IF($H810="","",MAX(IF($BN810="Yes",$BO810,1),MIN(5,($U810*0.20)+($V810*0.15)+($W810*0.25)+($X810*0.15)+($BJ810*0.10)+($BM810*0.15))))</f>
        <v/>
      </c>
      <c r="BR810">
        <f>IF(OR($BP810="",$BQ810=""),"",ROUND($BP810*$BQ810,2))</f>
        <v/>
      </c>
      <c r="BS810">
        <f>IF($BR810="","",ROUND($BR810*IF($AO810="",1,$AO810)*IF($AX810="",1,$AX810)*(1+(($BM810-3)*0.10))*IF($BC810="",1,$BC810),2))</f>
        <v/>
      </c>
    </row>
    <row r="811" ht="69.90000000000001" customHeight="1" s="209">
      <c r="A811">
        <f>IF($BD811="","",SUMPRODUCT(ISNUMBER($BD$500:$BD$923)*($BD$500:$BD$923&gt;$BD811))+COUNTIF($BD$500:$BD811,$BD811))</f>
        <v/>
      </c>
      <c r="B811">
        <f>IF($H811="","",IF($H811&lt;5,"Yes","Maintain"))</f>
        <v/>
      </c>
      <c r="C811" t="inlineStr">
        <is>
          <t>IT Cloud DR</t>
        </is>
      </c>
      <c r="D811" t="inlineStr">
        <is>
          <t>Operations</t>
        </is>
      </c>
      <c r="E811" t="inlineStr">
        <is>
          <t>ITCL-021</t>
        </is>
      </c>
      <c r="F811" t="inlineStr">
        <is>
          <t>IT, cloud and disaster recovery</t>
        </is>
      </c>
      <c r="G811">
        <f>IF($H811="","",IFERROR(INDEX('_ENGINE_Risk'!$H$41:$M$920,MATCH($E811,'_ENGINE_Risk'!$A$41:$A$920,0),$H811+1),""))</f>
        <v/>
      </c>
      <c r="H811">
        <f>IFERROR(VALUE(INDEX(_DATA_Assessment_Model!$H$5:$H$884,MATCH($E811,_DATA_Assessment_Model!$A$5:$A$884,0))),"")</f>
        <v/>
      </c>
      <c r="I811">
        <f>IF($H811="","",IFERROR(INDEX(_DATA_Assessment_Model!$L$5:$L$884,MATCH($E811,_DATA_Assessment_Model!$A$5:$A$884,0)),IF($H811&lt;=1,"Critical",IF($H811=2,"High",IF($H811=3,"Medium",IF($H811=4,"Low","Resilient"))))))</f>
        <v/>
      </c>
      <c r="J811">
        <f>IF($H811="","",MIN(5,MAX(1,6-$H811)))</f>
        <v/>
      </c>
      <c r="K811">
        <f>IF($H811="","",MAX(1,MIN(5,ROUNDUP(($U811*0.45)+($W811*0.35)+($X811*0.2),0))))</f>
        <v/>
      </c>
      <c r="L811">
        <f>IF($H811="","",$J811*$K811)</f>
        <v/>
      </c>
      <c r="M811">
        <f>IF($H811="","",MAX(1,MIN(5,ROUNDUP($L811/5,0))))</f>
        <v/>
      </c>
      <c r="N811">
        <f>IF($H811="","",IFERROR(INDEX('_ENGINE_Risk'!$T$41:$Y$920,MATCH($E811,'_ENGINE_Risk'!$A$41:$A$920,0),$H811+1),""))</f>
        <v/>
      </c>
      <c r="O811">
        <f>IF($H811="","",MAX(1,MIN(5,($U811+$V811+$X811)/3)))</f>
        <v/>
      </c>
      <c r="P811">
        <f>IF($H811="","",IF($I811="Critical",5,IF($I811="High",4,IF($I811="Medium",3,IF($I811="Low",2,1)))))</f>
        <v/>
      </c>
      <c r="Q811">
        <f>IF($H811="","",MAX(1,MIN(5,((5-$H811)*0.65)+($W811*0.35))))</f>
        <v/>
      </c>
      <c r="R811">
        <f>IF($H811="","",MAX(1,MIN(5,($V811+$X811)/2)))</f>
        <v/>
      </c>
      <c r="S811">
        <f>IF(OR($H811="",$N811=""),"",ROUND(($O811+$P811+$Q811+$R811)/$N811,2))</f>
        <v/>
      </c>
      <c r="T811">
        <f>IF($H811="","",IFERROR(INDEX('_ENGINE_Risk'!$N$41:$S$920,MATCH($E811,'_ENGINE_Risk'!$A$41:$A$920,0),$H811+1),""))</f>
        <v/>
      </c>
      <c r="U811">
        <f>IFERROR(INDEX(_DATA_Assessment_Model!$G$5:$G$884,MATCH($E811,_DATA_Assessment_Model!$A$5:$A$884,0)),"")</f>
        <v/>
      </c>
      <c r="V811">
        <f>IFERROR(INDEX(_DATA_Assessment_Model!$W$5:$W$884,MATCH($E811,_DATA_Assessment_Model!$A$5:$A$884,0)),"")</f>
        <v/>
      </c>
      <c r="W811">
        <f>IFERROR(INDEX(_DATA_Assessment_Model!$X$5:$X$884,MATCH($E811,_DATA_Assessment_Model!$A$5:$A$884,0)),"")</f>
        <v/>
      </c>
      <c r="X811">
        <f>IFERROR(INDEX(_DATA_Assessment_Model!$Y$5:$Y$884,MATCH($E811,_DATA_Assessment_Model!$A$5:$A$884,0)),"")</f>
        <v/>
      </c>
      <c r="Y811" t="inlineStr">
        <is>
          <t>IT outage; Cloud outage; Data loss; Cyberattack</t>
        </is>
      </c>
      <c r="Z811" t="inlineStr">
        <is>
          <t>CIO / CTO / IT Ops</t>
        </is>
      </c>
      <c r="AA811" t="inlineStr">
        <is>
          <t>Policy/SOP; owner/RACI; system report; dashboard; contracts; test records; incident history; interview evidence related to network resilience for internet, DNS, firewalls, VPN/ZTNA, routing and telecom.</t>
        </is>
      </c>
      <c r="AB811">
        <f>IFERROR(INDEX(_DATA_Assessment_Model!$U$5:$U$884,MATCH($E811,_DATA_Assessment_Model!$A$5:$A$884,0)),"")</f>
        <v/>
      </c>
      <c r="AF811" t="inlineStr">
        <is>
          <t>How mature is the organization in managing network resilience for internet, DNS, firewalls, VPN/ZTNA, routing and telecom, including ownership, evidence, metrics, fallback procedures and crisis stress testing?</t>
        </is>
      </c>
      <c r="AO811">
        <f>IF($B811="Yes",IFERROR(INDEX(_ENGINE_Crisis!$F$501:$F$517,MATCH($C811,_ENGINE_Crisis!$A$501:$A$517,0)),1),"")</f>
        <v/>
      </c>
      <c r="AP811">
        <f>IF(AO811="","",ROUND($L811*AO811,1))</f>
        <v/>
      </c>
      <c r="AQ811">
        <f>IF(OR(AO811="",$S811=""),"",ROUND($S811*(0.7+0.3*AO811),2))</f>
        <v/>
      </c>
      <c r="AR811">
        <f>IFERROR(INDEX(_ENGINE_Crisis!$E$41:$E$700,MATCH('Resilience &amp; Risk Scenario'!$B$60&amp;"|"&amp;$C811,_ENGINE_Crisis!$I$41:$I$700,0)),"")</f>
        <v/>
      </c>
      <c r="AS811">
        <f>IFERROR(INDEX(_ENGINE_Crisis!$G$41:$G$700,MATCH('Resilience &amp; Risk Scenario'!$B$60&amp;"|"&amp;$C811,_ENGINE_Crisis!$I$41:$I$700,0)),"")</f>
        <v/>
      </c>
      <c r="AT811">
        <f>IFERROR(INDEX(_ENGINE_Initiatives!$A$5:$A$532,MATCH(1,INDEX((_ENGINE_Initiatives!$B$5:$B$532=$C811)*(_ENGINE_Initiatives!$C$5:$C$532=$D811),0),0)),"")</f>
        <v/>
      </c>
      <c r="AU811">
        <f>IFERROR(INDEX(_ENGINE_Initiatives!$F$5:$F$532,MATCH(1,INDEX((_ENGINE_Initiatives!$B$5:$B$532=$C811)*(_ENGINE_Initiatives!$C$5:$C$532=$D811),0),0)),"")</f>
        <v/>
      </c>
      <c r="AV811">
        <f>IFERROR(INDEX(_ENGINE_Initiatives!$AC$5:$AC$532,MATCH(1,INDEX((_ENGINE_Initiatives!$B$5:$B$532=$C811)*(_ENGINE_Initiatives!$C$5:$C$532=$D811),0),0)),"")</f>
        <v/>
      </c>
      <c r="AW811">
        <f>IFERROR(INDEX(_ENGINE_Initiatives!$AE$5:$AE$532,MATCH(1,INDEX((_ENGINE_Initiatives!$B$5:$B$532=$C811)*(_ENGINE_Initiatives!$C$5:$C$532=$D811),0),0)),"")</f>
        <v/>
      </c>
      <c r="AX811">
        <f>IF($B811="Yes",IFERROR(IF(SUMIFS(_REF_Model_Content!$E$1:$E$613,_REF_Model_Content!$A$1:$A$613,'Company Profile'!$B$9,_REF_Model_Content!$B$1:$B$613,$C811)=0,1,SUMIFS(_REF_Model_Content!$E$1:$E$613,_REF_Model_Content!$A$1:$A$613,'Company Profile'!$B$9,_REF_Model_Content!$B$1:$B$613,$C811)),1),"")</f>
        <v/>
      </c>
      <c r="AY811">
        <f>IF($L811="","",ROUND(IF($AP811="",$L811,$AP811)*IF($AX811="",1,$AX811),2))</f>
        <v/>
      </c>
      <c r="AZ811">
        <f>IF($S811="","",ROUND(IF($AQ811="",$S811,$AQ811)*IF($AX811="",1,$AX811),2))</f>
        <v/>
      </c>
      <c r="BB811">
        <f>IF($H811="","",IFERROR(INDEX('_ENGINE_Risk'!$AE$41:$AE$920,MATCH($E811,'_ENGINE_Risk'!$A$41:$A$920,0)),"Medium"))</f>
        <v/>
      </c>
      <c r="BC811">
        <f>IF($BB811="","",IF($BB811="Fast",1.25,IF($BB811="Slow",0.85,1)))</f>
        <v/>
      </c>
      <c r="BD811">
        <f>IF(OR($AZ811="",$BC811=""),"",ROUND($AZ811*$BC811,2))</f>
        <v/>
      </c>
      <c r="BF811">
        <f>IF(OR($H811="",$J811=""),"",_xlfn.IFNA(VLOOKUP($J811,_CONFIG_Model_Settings!$D$610:$E$614,2,0),""))</f>
        <v/>
      </c>
      <c r="BG811">
        <f>IF(OR($H811="",$K811=""),"",ROUND('Company Profile'!$B$569*INDEX(_CONFIG_Model_Settings!$H$610:$H$614,MATCH($K811,_CONFIG_Model_Settings!$G$610:$G$614,0)),0))</f>
        <v/>
      </c>
      <c r="BH811">
        <f>IF(OR($BF811="",$BG811=""),"",ROUND($BF811*$BG811,1))</f>
        <v/>
      </c>
      <c r="BI811">
        <f>IF($BH811="","",IF($AO811="",$BH811,ROUND($BH811*$AO811,1)))</f>
        <v/>
      </c>
      <c r="BJ811">
        <f>IF($E811="","",IFERROR(VLOOKUP($C811,'_CONFIG_Risk_Calibration'!$A$5:$H$21,2,FALSE),3))</f>
        <v/>
      </c>
      <c r="BK811">
        <f>IF($E811="","",IFERROR(VLOOKUP($C811,'_CONFIG_Risk_Calibration'!$A$5:$H$21,3,FALSE),0))</f>
        <v/>
      </c>
      <c r="BL811">
        <f>IF($E811="","",IFERROR(VLOOKUP($C811,'_CONFIG_Risk_Calibration'!$A$5:$H$21,4,FALSE),3))</f>
        <v/>
      </c>
      <c r="BM811">
        <f>IF($E811="","",IFERROR(VLOOKUP($C811,'_CONFIG_Risk_Calibration'!$A$5:$H$21,5,FALSE),3))</f>
        <v/>
      </c>
      <c r="BN811">
        <f>IF($E811="","",IFERROR(VLOOKUP($C811,'_CONFIG_Risk_Calibration'!$A$5:$H$21,6,FALSE),"No"))</f>
        <v/>
      </c>
      <c r="BO811">
        <f>IF($E811="","",IFERROR(VLOOKUP($C811,'_CONFIG_Risk_Calibration'!$A$5:$H$21,7,FALSE),1))</f>
        <v/>
      </c>
      <c r="BP811">
        <f>IF($H811="","",MAX(1,MIN(5,((6-$H811)*0.45)+($BJ811*0.20)+('Resilience &amp; Risk Scenario'!$B$7*0.15)+($BK811*0.10)+($BL811*0.05)+(IF($BB811="Fast",5,IF($BB811="Slow",1,3))*0.05))))</f>
        <v/>
      </c>
      <c r="BQ811">
        <f>IF($H811="","",MAX(IF($BN811="Yes",$BO811,1),MIN(5,($U811*0.20)+($V811*0.15)+($W811*0.25)+($X811*0.15)+($BJ811*0.10)+($BM811*0.15))))</f>
        <v/>
      </c>
      <c r="BR811">
        <f>IF(OR($BP811="",$BQ811=""),"",ROUND($BP811*$BQ811,2))</f>
        <v/>
      </c>
      <c r="BS811">
        <f>IF($BR811="","",ROUND($BR811*IF($AO811="",1,$AO811)*IF($AX811="",1,$AX811)*(1+(($BM811-3)*0.10))*IF($BC811="",1,$BC811),2))</f>
        <v/>
      </c>
    </row>
    <row r="812" ht="69.90000000000001" customHeight="1" s="209">
      <c r="A812">
        <f>IF($BD812="","",SUMPRODUCT(ISNUMBER($BD$500:$BD$923)*($BD$500:$BD$923&gt;$BD812))+COUNTIF($BD$500:$BD812,$BD812))</f>
        <v/>
      </c>
      <c r="B812">
        <f>IF($H812="","",IF($H812&lt;5,"Yes","Maintain"))</f>
        <v/>
      </c>
      <c r="C812" t="inlineStr">
        <is>
          <t>IT Cloud DR</t>
        </is>
      </c>
      <c r="D812" t="inlineStr">
        <is>
          <t>Operations</t>
        </is>
      </c>
      <c r="E812" t="inlineStr">
        <is>
          <t>ITCL-022</t>
        </is>
      </c>
      <c r="F812" t="inlineStr">
        <is>
          <t>IT, cloud and disaster recovery</t>
        </is>
      </c>
      <c r="G812">
        <f>IF($H812="","",IFERROR(INDEX('_ENGINE_Risk'!$H$41:$M$920,MATCH($E812,'_ENGINE_Risk'!$A$41:$A$920,0),$H812+1),""))</f>
        <v/>
      </c>
      <c r="H812">
        <f>IFERROR(VALUE(INDEX(_DATA_Assessment_Model!$H$5:$H$884,MATCH($E812,_DATA_Assessment_Model!$A$5:$A$884,0))),"")</f>
        <v/>
      </c>
      <c r="I812">
        <f>IF($H812="","",IFERROR(INDEX(_DATA_Assessment_Model!$L$5:$L$884,MATCH($E812,_DATA_Assessment_Model!$A$5:$A$884,0)),IF($H812&lt;=1,"Critical",IF($H812=2,"High",IF($H812=3,"Medium",IF($H812=4,"Low","Resilient"))))))</f>
        <v/>
      </c>
      <c r="J812">
        <f>IF($H812="","",MIN(5,MAX(1,6-$H812)))</f>
        <v/>
      </c>
      <c r="K812">
        <f>IF($H812="","",MAX(1,MIN(5,ROUNDUP(($U812*0.45)+($W812*0.35)+($X812*0.2),0))))</f>
        <v/>
      </c>
      <c r="L812">
        <f>IF($H812="","",$J812*$K812)</f>
        <v/>
      </c>
      <c r="M812">
        <f>IF($H812="","",MAX(1,MIN(5,ROUNDUP($L812/5,0))))</f>
        <v/>
      </c>
      <c r="N812">
        <f>IF($H812="","",IFERROR(INDEX('_ENGINE_Risk'!$T$41:$Y$920,MATCH($E812,'_ENGINE_Risk'!$A$41:$A$920,0),$H812+1),""))</f>
        <v/>
      </c>
      <c r="O812">
        <f>IF($H812="","",MAX(1,MIN(5,($U812+$V812+$X812)/3)))</f>
        <v/>
      </c>
      <c r="P812">
        <f>IF($H812="","",IF($I812="Critical",5,IF($I812="High",4,IF($I812="Medium",3,IF($I812="Low",2,1)))))</f>
        <v/>
      </c>
      <c r="Q812">
        <f>IF($H812="","",MAX(1,MIN(5,((5-$H812)*0.65)+($W812*0.35))))</f>
        <v/>
      </c>
      <c r="R812">
        <f>IF($H812="","",MAX(1,MIN(5,($V812+$X812)/2)))</f>
        <v/>
      </c>
      <c r="S812">
        <f>IF(OR($H812="",$N812=""),"",ROUND(($O812+$P812+$Q812+$R812)/$N812,2))</f>
        <v/>
      </c>
      <c r="T812">
        <f>IF($H812="","",IFERROR(INDEX('_ENGINE_Risk'!$N$41:$S$920,MATCH($E812,'_ENGINE_Risk'!$A$41:$A$920,0),$H812+1),""))</f>
        <v/>
      </c>
      <c r="U812">
        <f>IFERROR(INDEX(_DATA_Assessment_Model!$G$5:$G$884,MATCH($E812,_DATA_Assessment_Model!$A$5:$A$884,0)),"")</f>
        <v/>
      </c>
      <c r="V812">
        <f>IFERROR(INDEX(_DATA_Assessment_Model!$W$5:$W$884,MATCH($E812,_DATA_Assessment_Model!$A$5:$A$884,0)),"")</f>
        <v/>
      </c>
      <c r="W812">
        <f>IFERROR(INDEX(_DATA_Assessment_Model!$X$5:$X$884,MATCH($E812,_DATA_Assessment_Model!$A$5:$A$884,0)),"")</f>
        <v/>
      </c>
      <c r="X812">
        <f>IFERROR(INDEX(_DATA_Assessment_Model!$Y$5:$Y$884,MATCH($E812,_DATA_Assessment_Model!$A$5:$A$884,0)),"")</f>
        <v/>
      </c>
      <c r="Y812" t="inlineStr">
        <is>
          <t>IT outage; Cloud outage; Data loss; Cyberattack</t>
        </is>
      </c>
      <c r="Z812" t="inlineStr">
        <is>
          <t>CIO / CTO / IT Ops</t>
        </is>
      </c>
      <c r="AA812" t="inlineStr">
        <is>
          <t>Policy/SOP; owner/RACI; system report; dashboard; contracts; test records; incident history; interview evidence related to secure remote access for critical users during remote-only operations.</t>
        </is>
      </c>
      <c r="AB812">
        <f>IFERROR(INDEX(_DATA_Assessment_Model!$U$5:$U$884,MATCH($E812,_DATA_Assessment_Model!$A$5:$A$884,0)),"")</f>
        <v/>
      </c>
      <c r="AF812" t="inlineStr">
        <is>
          <t>How mature is the organization in managing secure remote access for critical users during remote-only operations, including ownership, evidence, metrics, fallback procedures and crisis stress testing?</t>
        </is>
      </c>
      <c r="AO812">
        <f>IF($B812="Yes",IFERROR(INDEX(_ENGINE_Crisis!$F$501:$F$517,MATCH($C812,_ENGINE_Crisis!$A$501:$A$517,0)),1),"")</f>
        <v/>
      </c>
      <c r="AP812">
        <f>IF(AO812="","",ROUND($L812*AO812,1))</f>
        <v/>
      </c>
      <c r="AQ812">
        <f>IF(OR(AO812="",$S812=""),"",ROUND($S812*(0.7+0.3*AO812),2))</f>
        <v/>
      </c>
      <c r="AR812">
        <f>IFERROR(INDEX(_ENGINE_Crisis!$E$41:$E$700,MATCH('Resilience &amp; Risk Scenario'!$B$60&amp;"|"&amp;$C812,_ENGINE_Crisis!$I$41:$I$700,0)),"")</f>
        <v/>
      </c>
      <c r="AS812">
        <f>IFERROR(INDEX(_ENGINE_Crisis!$G$41:$G$700,MATCH('Resilience &amp; Risk Scenario'!$B$60&amp;"|"&amp;$C812,_ENGINE_Crisis!$I$41:$I$700,0)),"")</f>
        <v/>
      </c>
      <c r="AT812">
        <f>IFERROR(INDEX(_ENGINE_Initiatives!$A$5:$A$532,MATCH(1,INDEX((_ENGINE_Initiatives!$B$5:$B$532=$C812)*(_ENGINE_Initiatives!$C$5:$C$532=$D812),0),0)),"")</f>
        <v/>
      </c>
      <c r="AU812">
        <f>IFERROR(INDEX(_ENGINE_Initiatives!$F$5:$F$532,MATCH(1,INDEX((_ENGINE_Initiatives!$B$5:$B$532=$C812)*(_ENGINE_Initiatives!$C$5:$C$532=$D812),0),0)),"")</f>
        <v/>
      </c>
      <c r="AV812">
        <f>IFERROR(INDEX(_ENGINE_Initiatives!$AC$5:$AC$532,MATCH(1,INDEX((_ENGINE_Initiatives!$B$5:$B$532=$C812)*(_ENGINE_Initiatives!$C$5:$C$532=$D812),0),0)),"")</f>
        <v/>
      </c>
      <c r="AW812">
        <f>IFERROR(INDEX(_ENGINE_Initiatives!$AE$5:$AE$532,MATCH(1,INDEX((_ENGINE_Initiatives!$B$5:$B$532=$C812)*(_ENGINE_Initiatives!$C$5:$C$532=$D812),0),0)),"")</f>
        <v/>
      </c>
      <c r="AX812">
        <f>IF($B812="Yes",IFERROR(IF(SUMIFS(_REF_Model_Content!$E$1:$E$613,_REF_Model_Content!$A$1:$A$613,'Company Profile'!$B$9,_REF_Model_Content!$B$1:$B$613,$C812)=0,1,SUMIFS(_REF_Model_Content!$E$1:$E$613,_REF_Model_Content!$A$1:$A$613,'Company Profile'!$B$9,_REF_Model_Content!$B$1:$B$613,$C812)),1),"")</f>
        <v/>
      </c>
      <c r="AY812">
        <f>IF($L812="","",ROUND(IF($AP812="",$L812,$AP812)*IF($AX812="",1,$AX812),2))</f>
        <v/>
      </c>
      <c r="AZ812">
        <f>IF($S812="","",ROUND(IF($AQ812="",$S812,$AQ812)*IF($AX812="",1,$AX812),2))</f>
        <v/>
      </c>
      <c r="BB812">
        <f>IF($H812="","",IFERROR(INDEX('_ENGINE_Risk'!$AE$41:$AE$920,MATCH($E812,'_ENGINE_Risk'!$A$41:$A$920,0)),"Medium"))</f>
        <v/>
      </c>
      <c r="BC812">
        <f>IF($BB812="","",IF($BB812="Fast",1.25,IF($BB812="Slow",0.85,1)))</f>
        <v/>
      </c>
      <c r="BD812">
        <f>IF(OR($AZ812="",$BC812=""),"",ROUND($AZ812*$BC812,2))</f>
        <v/>
      </c>
      <c r="BF812">
        <f>IF(OR($H812="",$J812=""),"",_xlfn.IFNA(VLOOKUP($J812,_CONFIG_Model_Settings!$D$610:$E$614,2,0),""))</f>
        <v/>
      </c>
      <c r="BG812">
        <f>IF(OR($H812="",$K812=""),"",ROUND('Company Profile'!$B$569*INDEX(_CONFIG_Model_Settings!$H$610:$H$614,MATCH($K812,_CONFIG_Model_Settings!$G$610:$G$614,0)),0))</f>
        <v/>
      </c>
      <c r="BH812">
        <f>IF(OR($BF812="",$BG812=""),"",ROUND($BF812*$BG812,1))</f>
        <v/>
      </c>
      <c r="BI812">
        <f>IF($BH812="","",IF($AO812="",$BH812,ROUND($BH812*$AO812,1)))</f>
        <v/>
      </c>
      <c r="BJ812">
        <f>IF($E812="","",IFERROR(VLOOKUP($C812,'_CONFIG_Risk_Calibration'!$A$5:$H$21,2,FALSE),3))</f>
        <v/>
      </c>
      <c r="BK812">
        <f>IF($E812="","",IFERROR(VLOOKUP($C812,'_CONFIG_Risk_Calibration'!$A$5:$H$21,3,FALSE),0))</f>
        <v/>
      </c>
      <c r="BL812">
        <f>IF($E812="","",IFERROR(VLOOKUP($C812,'_CONFIG_Risk_Calibration'!$A$5:$H$21,4,FALSE),3))</f>
        <v/>
      </c>
      <c r="BM812">
        <f>IF($E812="","",IFERROR(VLOOKUP($C812,'_CONFIG_Risk_Calibration'!$A$5:$H$21,5,FALSE),3))</f>
        <v/>
      </c>
      <c r="BN812">
        <f>IF($E812="","",IFERROR(VLOOKUP($C812,'_CONFIG_Risk_Calibration'!$A$5:$H$21,6,FALSE),"No"))</f>
        <v/>
      </c>
      <c r="BO812">
        <f>IF($E812="","",IFERROR(VLOOKUP($C812,'_CONFIG_Risk_Calibration'!$A$5:$H$21,7,FALSE),1))</f>
        <v/>
      </c>
      <c r="BP812">
        <f>IF($H812="","",MAX(1,MIN(5,((6-$H812)*0.45)+($BJ812*0.20)+('Resilience &amp; Risk Scenario'!$B$7*0.15)+($BK812*0.10)+($BL812*0.05)+(IF($BB812="Fast",5,IF($BB812="Slow",1,3))*0.05))))</f>
        <v/>
      </c>
      <c r="BQ812">
        <f>IF($H812="","",MAX(IF($BN812="Yes",$BO812,1),MIN(5,($U812*0.20)+($V812*0.15)+($W812*0.25)+($X812*0.15)+($BJ812*0.10)+($BM812*0.15))))</f>
        <v/>
      </c>
      <c r="BR812">
        <f>IF(OR($BP812="",$BQ812=""),"",ROUND($BP812*$BQ812,2))</f>
        <v/>
      </c>
      <c r="BS812">
        <f>IF($BR812="","",ROUND($BR812*IF($AO812="",1,$AO812)*IF($AX812="",1,$AX812)*(1+(($BM812-3)*0.10))*IF($BC812="",1,$BC812),2))</f>
        <v/>
      </c>
    </row>
    <row r="813" ht="69.90000000000001" customHeight="1" s="209">
      <c r="A813">
        <f>IF($BD813="","",SUMPRODUCT(ISNUMBER($BD$500:$BD$923)*($BD$500:$BD$923&gt;$BD813))+COUNTIF($BD$500:$BD813,$BD813))</f>
        <v/>
      </c>
      <c r="B813">
        <f>IF($H813="","",IF($H813&lt;5,"Yes","Maintain"))</f>
        <v/>
      </c>
      <c r="C813" t="inlineStr">
        <is>
          <t>IT Cloud DR</t>
        </is>
      </c>
      <c r="D813" t="inlineStr">
        <is>
          <t>Operations</t>
        </is>
      </c>
      <c r="E813" t="inlineStr">
        <is>
          <t>ITCL-023</t>
        </is>
      </c>
      <c r="F813" t="inlineStr">
        <is>
          <t>IT, cloud and disaster recovery</t>
        </is>
      </c>
      <c r="G813">
        <f>IF($H813="","",IFERROR(INDEX('_ENGINE_Risk'!$H$41:$M$920,MATCH($E813,'_ENGINE_Risk'!$A$41:$A$920,0),$H813+1),""))</f>
        <v/>
      </c>
      <c r="H813">
        <f>IFERROR(VALUE(INDEX(_DATA_Assessment_Model!$H$5:$H$884,MATCH($E813,_DATA_Assessment_Model!$A$5:$A$884,0))),"")</f>
        <v/>
      </c>
      <c r="I813">
        <f>IF($H813="","",IFERROR(INDEX(_DATA_Assessment_Model!$L$5:$L$884,MATCH($E813,_DATA_Assessment_Model!$A$5:$A$884,0)),IF($H813&lt;=1,"Critical",IF($H813=2,"High",IF($H813=3,"Medium",IF($H813=4,"Low","Resilient"))))))</f>
        <v/>
      </c>
      <c r="J813">
        <f>IF($H813="","",MIN(5,MAX(1,6-$H813)))</f>
        <v/>
      </c>
      <c r="K813">
        <f>IF($H813="","",MAX(1,MIN(5,ROUNDUP(($U813*0.45)+($W813*0.35)+($X813*0.2),0))))</f>
        <v/>
      </c>
      <c r="L813">
        <f>IF($H813="","",$J813*$K813)</f>
        <v/>
      </c>
      <c r="M813">
        <f>IF($H813="","",MAX(1,MIN(5,ROUNDUP($L813/5,0))))</f>
        <v/>
      </c>
      <c r="N813">
        <f>IF($H813="","",IFERROR(INDEX('_ENGINE_Risk'!$T$41:$Y$920,MATCH($E813,'_ENGINE_Risk'!$A$41:$A$920,0),$H813+1),""))</f>
        <v/>
      </c>
      <c r="O813">
        <f>IF($H813="","",MAX(1,MIN(5,($U813+$V813+$X813)/3)))</f>
        <v/>
      </c>
      <c r="P813">
        <f>IF($H813="","",IF($I813="Critical",5,IF($I813="High",4,IF($I813="Medium",3,IF($I813="Low",2,1)))))</f>
        <v/>
      </c>
      <c r="Q813">
        <f>IF($H813="","",MAX(1,MIN(5,((5-$H813)*0.65)+($W813*0.35))))</f>
        <v/>
      </c>
      <c r="R813">
        <f>IF($H813="","",MAX(1,MIN(5,($V813+$X813)/2)))</f>
        <v/>
      </c>
      <c r="S813">
        <f>IF(OR($H813="",$N813=""),"",ROUND(($O813+$P813+$Q813+$R813)/$N813,2))</f>
        <v/>
      </c>
      <c r="T813">
        <f>IF($H813="","",IFERROR(INDEX('_ENGINE_Risk'!$N$41:$S$920,MATCH($E813,'_ENGINE_Risk'!$A$41:$A$920,0),$H813+1),""))</f>
        <v/>
      </c>
      <c r="U813">
        <f>IFERROR(INDEX(_DATA_Assessment_Model!$G$5:$G$884,MATCH($E813,_DATA_Assessment_Model!$A$5:$A$884,0)),"")</f>
        <v/>
      </c>
      <c r="V813">
        <f>IFERROR(INDEX(_DATA_Assessment_Model!$W$5:$W$884,MATCH($E813,_DATA_Assessment_Model!$A$5:$A$884,0)),"")</f>
        <v/>
      </c>
      <c r="W813">
        <f>IFERROR(INDEX(_DATA_Assessment_Model!$X$5:$X$884,MATCH($E813,_DATA_Assessment_Model!$A$5:$A$884,0)),"")</f>
        <v/>
      </c>
      <c r="X813">
        <f>IFERROR(INDEX(_DATA_Assessment_Model!$Y$5:$Y$884,MATCH($E813,_DATA_Assessment_Model!$A$5:$A$884,0)),"")</f>
        <v/>
      </c>
      <c r="Y813" t="inlineStr">
        <is>
          <t>IT outage; Cloud outage; Data loss; Cyberattack</t>
        </is>
      </c>
      <c r="Z813" t="inlineStr">
        <is>
          <t>CIO / CTO / IT Ops</t>
        </is>
      </c>
      <c r="AA813" t="inlineStr">
        <is>
          <t>Policy/SOP; owner/RACI; system report; dashboard; contracts; test records; incident history; interview evidence related to endpoint inventory, patching, encryption, backup and remote management.</t>
        </is>
      </c>
      <c r="AB813">
        <f>IFERROR(INDEX(_DATA_Assessment_Model!$U$5:$U$884,MATCH($E813,_DATA_Assessment_Model!$A$5:$A$884,0)),"")</f>
        <v/>
      </c>
      <c r="AF813" t="inlineStr">
        <is>
          <t>How mature is the organization in managing endpoint inventory, patching, encryption, backup and remote management, including ownership, evidence, metrics, fallback procedures and crisis stress testing?</t>
        </is>
      </c>
      <c r="AO813">
        <f>IF($B813="Yes",IFERROR(INDEX(_ENGINE_Crisis!$F$501:$F$517,MATCH($C813,_ENGINE_Crisis!$A$501:$A$517,0)),1),"")</f>
        <v/>
      </c>
      <c r="AP813">
        <f>IF(AO813="","",ROUND($L813*AO813,1))</f>
        <v/>
      </c>
      <c r="AQ813">
        <f>IF(OR(AO813="",$S813=""),"",ROUND($S813*(0.7+0.3*AO813),2))</f>
        <v/>
      </c>
      <c r="AR813">
        <f>IFERROR(INDEX(_ENGINE_Crisis!$E$41:$E$700,MATCH('Resilience &amp; Risk Scenario'!$B$60&amp;"|"&amp;$C813,_ENGINE_Crisis!$I$41:$I$700,0)),"")</f>
        <v/>
      </c>
      <c r="AS813">
        <f>IFERROR(INDEX(_ENGINE_Crisis!$G$41:$G$700,MATCH('Resilience &amp; Risk Scenario'!$B$60&amp;"|"&amp;$C813,_ENGINE_Crisis!$I$41:$I$700,0)),"")</f>
        <v/>
      </c>
      <c r="AT813">
        <f>IFERROR(INDEX(_ENGINE_Initiatives!$A$5:$A$532,MATCH(1,INDEX((_ENGINE_Initiatives!$B$5:$B$532=$C813)*(_ENGINE_Initiatives!$C$5:$C$532=$D813),0),0)),"")</f>
        <v/>
      </c>
      <c r="AU813">
        <f>IFERROR(INDEX(_ENGINE_Initiatives!$F$5:$F$532,MATCH(1,INDEX((_ENGINE_Initiatives!$B$5:$B$532=$C813)*(_ENGINE_Initiatives!$C$5:$C$532=$D813),0),0)),"")</f>
        <v/>
      </c>
      <c r="AV813">
        <f>IFERROR(INDEX(_ENGINE_Initiatives!$AC$5:$AC$532,MATCH(1,INDEX((_ENGINE_Initiatives!$B$5:$B$532=$C813)*(_ENGINE_Initiatives!$C$5:$C$532=$D813),0),0)),"")</f>
        <v/>
      </c>
      <c r="AW813">
        <f>IFERROR(INDEX(_ENGINE_Initiatives!$AE$5:$AE$532,MATCH(1,INDEX((_ENGINE_Initiatives!$B$5:$B$532=$C813)*(_ENGINE_Initiatives!$C$5:$C$532=$D813),0),0)),"")</f>
        <v/>
      </c>
      <c r="AX813">
        <f>IF($B813="Yes",IFERROR(IF(SUMIFS(_REF_Model_Content!$E$1:$E$613,_REF_Model_Content!$A$1:$A$613,'Company Profile'!$B$9,_REF_Model_Content!$B$1:$B$613,$C813)=0,1,SUMIFS(_REF_Model_Content!$E$1:$E$613,_REF_Model_Content!$A$1:$A$613,'Company Profile'!$B$9,_REF_Model_Content!$B$1:$B$613,$C813)),1),"")</f>
        <v/>
      </c>
      <c r="AY813">
        <f>IF($L813="","",ROUND(IF($AP813="",$L813,$AP813)*IF($AX813="",1,$AX813),2))</f>
        <v/>
      </c>
      <c r="AZ813">
        <f>IF($S813="","",ROUND(IF($AQ813="",$S813,$AQ813)*IF($AX813="",1,$AX813),2))</f>
        <v/>
      </c>
      <c r="BB813">
        <f>IF($H813="","",IFERROR(INDEX('_ENGINE_Risk'!$AE$41:$AE$920,MATCH($E813,'_ENGINE_Risk'!$A$41:$A$920,0)),"Medium"))</f>
        <v/>
      </c>
      <c r="BC813">
        <f>IF($BB813="","",IF($BB813="Fast",1.25,IF($BB813="Slow",0.85,1)))</f>
        <v/>
      </c>
      <c r="BD813">
        <f>IF(OR($AZ813="",$BC813=""),"",ROUND($AZ813*$BC813,2))</f>
        <v/>
      </c>
      <c r="BF813">
        <f>IF(OR($H813="",$J813=""),"",_xlfn.IFNA(VLOOKUP($J813,_CONFIG_Model_Settings!$D$610:$E$614,2,0),""))</f>
        <v/>
      </c>
      <c r="BG813">
        <f>IF(OR($H813="",$K813=""),"",ROUND('Company Profile'!$B$569*INDEX(_CONFIG_Model_Settings!$H$610:$H$614,MATCH($K813,_CONFIG_Model_Settings!$G$610:$G$614,0)),0))</f>
        <v/>
      </c>
      <c r="BH813">
        <f>IF(OR($BF813="",$BG813=""),"",ROUND($BF813*$BG813,1))</f>
        <v/>
      </c>
      <c r="BI813">
        <f>IF($BH813="","",IF($AO813="",$BH813,ROUND($BH813*$AO813,1)))</f>
        <v/>
      </c>
      <c r="BJ813">
        <f>IF($E813="","",IFERROR(VLOOKUP($C813,'_CONFIG_Risk_Calibration'!$A$5:$H$21,2,FALSE),3))</f>
        <v/>
      </c>
      <c r="BK813">
        <f>IF($E813="","",IFERROR(VLOOKUP($C813,'_CONFIG_Risk_Calibration'!$A$5:$H$21,3,FALSE),0))</f>
        <v/>
      </c>
      <c r="BL813">
        <f>IF($E813="","",IFERROR(VLOOKUP($C813,'_CONFIG_Risk_Calibration'!$A$5:$H$21,4,FALSE),3))</f>
        <v/>
      </c>
      <c r="BM813">
        <f>IF($E813="","",IFERROR(VLOOKUP($C813,'_CONFIG_Risk_Calibration'!$A$5:$H$21,5,FALSE),3))</f>
        <v/>
      </c>
      <c r="BN813">
        <f>IF($E813="","",IFERROR(VLOOKUP($C813,'_CONFIG_Risk_Calibration'!$A$5:$H$21,6,FALSE),"No"))</f>
        <v/>
      </c>
      <c r="BO813">
        <f>IF($E813="","",IFERROR(VLOOKUP($C813,'_CONFIG_Risk_Calibration'!$A$5:$H$21,7,FALSE),1))</f>
        <v/>
      </c>
      <c r="BP813">
        <f>IF($H813="","",MAX(1,MIN(5,((6-$H813)*0.45)+($BJ813*0.20)+('Resilience &amp; Risk Scenario'!$B$7*0.15)+($BK813*0.10)+($BL813*0.05)+(IF($BB813="Fast",5,IF($BB813="Slow",1,3))*0.05))))</f>
        <v/>
      </c>
      <c r="BQ813">
        <f>IF($H813="","",MAX(IF($BN813="Yes",$BO813,1),MIN(5,($U813*0.20)+($V813*0.15)+($W813*0.25)+($X813*0.15)+($BJ813*0.10)+($BM813*0.15))))</f>
        <v/>
      </c>
      <c r="BR813">
        <f>IF(OR($BP813="",$BQ813=""),"",ROUND($BP813*$BQ813,2))</f>
        <v/>
      </c>
      <c r="BS813">
        <f>IF($BR813="","",ROUND($BR813*IF($AO813="",1,$AO813)*IF($AX813="",1,$AX813)*(1+(($BM813-3)*0.10))*IF($BC813="",1,$BC813),2))</f>
        <v/>
      </c>
    </row>
    <row r="814" ht="69.90000000000001" customHeight="1" s="209">
      <c r="A814">
        <f>IF($BD814="","",SUMPRODUCT(ISNUMBER($BD$500:$BD$923)*($BD$500:$BD$923&gt;$BD814))+COUNTIF($BD$500:$BD814,$BD814))</f>
        <v/>
      </c>
      <c r="B814">
        <f>IF($H814="","",IF($H814&lt;5,"Yes","Maintain"))</f>
        <v/>
      </c>
      <c r="C814" t="inlineStr">
        <is>
          <t>IT Cloud DR</t>
        </is>
      </c>
      <c r="D814" t="inlineStr">
        <is>
          <t>Operations</t>
        </is>
      </c>
      <c r="E814" t="inlineStr">
        <is>
          <t>ITCL-024</t>
        </is>
      </c>
      <c r="F814" t="inlineStr">
        <is>
          <t>IT, cloud and disaster recovery</t>
        </is>
      </c>
      <c r="G814">
        <f>IF($H814="","",IFERROR(INDEX('_ENGINE_Risk'!$H$41:$M$920,MATCH($E814,'_ENGINE_Risk'!$A$41:$A$920,0),$H814+1),""))</f>
        <v/>
      </c>
      <c r="H814">
        <f>IFERROR(VALUE(INDEX(_DATA_Assessment_Model!$H$5:$H$884,MATCH($E814,_DATA_Assessment_Model!$A$5:$A$884,0))),"")</f>
        <v/>
      </c>
      <c r="I814">
        <f>IF($H814="","",IFERROR(INDEX(_DATA_Assessment_Model!$L$5:$L$884,MATCH($E814,_DATA_Assessment_Model!$A$5:$A$884,0)),IF($H814&lt;=1,"Critical",IF($H814=2,"High",IF($H814=3,"Medium",IF($H814=4,"Low","Resilient"))))))</f>
        <v/>
      </c>
      <c r="J814">
        <f>IF($H814="","",MIN(5,MAX(1,6-$H814)))</f>
        <v/>
      </c>
      <c r="K814">
        <f>IF($H814="","",MAX(1,MIN(5,ROUNDUP(($U814*0.45)+($W814*0.35)+($X814*0.2),0))))</f>
        <v/>
      </c>
      <c r="L814">
        <f>IF($H814="","",$J814*$K814)</f>
        <v/>
      </c>
      <c r="M814">
        <f>IF($H814="","",MAX(1,MIN(5,ROUNDUP($L814/5,0))))</f>
        <v/>
      </c>
      <c r="N814">
        <f>IF($H814="","",IFERROR(INDEX('_ENGINE_Risk'!$T$41:$Y$920,MATCH($E814,'_ENGINE_Risk'!$A$41:$A$920,0),$H814+1),""))</f>
        <v/>
      </c>
      <c r="O814">
        <f>IF($H814="","",MAX(1,MIN(5,($U814+$V814+$X814)/3)))</f>
        <v/>
      </c>
      <c r="P814">
        <f>IF($H814="","",IF($I814="Critical",5,IF($I814="High",4,IF($I814="Medium",3,IF($I814="Low",2,1)))))</f>
        <v/>
      </c>
      <c r="Q814">
        <f>IF($H814="","",MAX(1,MIN(5,((5-$H814)*0.65)+($W814*0.35))))</f>
        <v/>
      </c>
      <c r="R814">
        <f>IF($H814="","",MAX(1,MIN(5,($V814+$X814)/2)))</f>
        <v/>
      </c>
      <c r="S814">
        <f>IF(OR($H814="",$N814=""),"",ROUND(($O814+$P814+$Q814+$R814)/$N814,2))</f>
        <v/>
      </c>
      <c r="T814">
        <f>IF($H814="","",IFERROR(INDEX('_ENGINE_Risk'!$N$41:$S$920,MATCH($E814,'_ENGINE_Risk'!$A$41:$A$920,0),$H814+1),""))</f>
        <v/>
      </c>
      <c r="U814">
        <f>IFERROR(INDEX(_DATA_Assessment_Model!$G$5:$G$884,MATCH($E814,_DATA_Assessment_Model!$A$5:$A$884,0)),"")</f>
        <v/>
      </c>
      <c r="V814">
        <f>IFERROR(INDEX(_DATA_Assessment_Model!$W$5:$W$884,MATCH($E814,_DATA_Assessment_Model!$A$5:$A$884,0)),"")</f>
        <v/>
      </c>
      <c r="W814">
        <f>IFERROR(INDEX(_DATA_Assessment_Model!$X$5:$X$884,MATCH($E814,_DATA_Assessment_Model!$A$5:$A$884,0)),"")</f>
        <v/>
      </c>
      <c r="X814">
        <f>IFERROR(INDEX(_DATA_Assessment_Model!$Y$5:$Y$884,MATCH($E814,_DATA_Assessment_Model!$A$5:$A$884,0)),"")</f>
        <v/>
      </c>
      <c r="Y814" t="inlineStr">
        <is>
          <t>IT outage; Cloud outage; Data loss; Cyberattack</t>
        </is>
      </c>
      <c r="Z814" t="inlineStr">
        <is>
          <t>CIO / CTO / IT Ops</t>
        </is>
      </c>
      <c r="AA814" t="inlineStr">
        <is>
          <t>Policy/SOP; owner/RACI; system report; dashboard; contracts; test records; incident history; interview evidence related to license continuity for software, cloud services and critical SaaS tools.</t>
        </is>
      </c>
      <c r="AB814">
        <f>IFERROR(INDEX(_DATA_Assessment_Model!$U$5:$U$884,MATCH($E814,_DATA_Assessment_Model!$A$5:$A$884,0)),"")</f>
        <v/>
      </c>
      <c r="AF814" t="inlineStr">
        <is>
          <t>How mature is the organization in managing license continuity for software, cloud services and critical SaaS tools, including ownership, evidence, metrics, fallback procedures and crisis stress testing?</t>
        </is>
      </c>
      <c r="AO814">
        <f>IF($B814="Yes",IFERROR(INDEX(_ENGINE_Crisis!$F$501:$F$517,MATCH($C814,_ENGINE_Crisis!$A$501:$A$517,0)),1),"")</f>
        <v/>
      </c>
      <c r="AP814">
        <f>IF(AO814="","",ROUND($L814*AO814,1))</f>
        <v/>
      </c>
      <c r="AQ814">
        <f>IF(OR(AO814="",$S814=""),"",ROUND($S814*(0.7+0.3*AO814),2))</f>
        <v/>
      </c>
      <c r="AR814">
        <f>IFERROR(INDEX(_ENGINE_Crisis!$E$41:$E$700,MATCH('Resilience &amp; Risk Scenario'!$B$60&amp;"|"&amp;$C814,_ENGINE_Crisis!$I$41:$I$700,0)),"")</f>
        <v/>
      </c>
      <c r="AS814">
        <f>IFERROR(INDEX(_ENGINE_Crisis!$G$41:$G$700,MATCH('Resilience &amp; Risk Scenario'!$B$60&amp;"|"&amp;$C814,_ENGINE_Crisis!$I$41:$I$700,0)),"")</f>
        <v/>
      </c>
      <c r="AT814">
        <f>IFERROR(INDEX(_ENGINE_Initiatives!$A$5:$A$532,MATCH(1,INDEX((_ENGINE_Initiatives!$B$5:$B$532=$C814)*(_ENGINE_Initiatives!$C$5:$C$532=$D814),0),0)),"")</f>
        <v/>
      </c>
      <c r="AU814">
        <f>IFERROR(INDEX(_ENGINE_Initiatives!$F$5:$F$532,MATCH(1,INDEX((_ENGINE_Initiatives!$B$5:$B$532=$C814)*(_ENGINE_Initiatives!$C$5:$C$532=$D814),0),0)),"")</f>
        <v/>
      </c>
      <c r="AV814">
        <f>IFERROR(INDEX(_ENGINE_Initiatives!$AC$5:$AC$532,MATCH(1,INDEX((_ENGINE_Initiatives!$B$5:$B$532=$C814)*(_ENGINE_Initiatives!$C$5:$C$532=$D814),0),0)),"")</f>
        <v/>
      </c>
      <c r="AW814">
        <f>IFERROR(INDEX(_ENGINE_Initiatives!$AE$5:$AE$532,MATCH(1,INDEX((_ENGINE_Initiatives!$B$5:$B$532=$C814)*(_ENGINE_Initiatives!$C$5:$C$532=$D814),0),0)),"")</f>
        <v/>
      </c>
      <c r="AX814">
        <f>IF($B814="Yes",IFERROR(IF(SUMIFS(_REF_Model_Content!$E$1:$E$613,_REF_Model_Content!$A$1:$A$613,'Company Profile'!$B$9,_REF_Model_Content!$B$1:$B$613,$C814)=0,1,SUMIFS(_REF_Model_Content!$E$1:$E$613,_REF_Model_Content!$A$1:$A$613,'Company Profile'!$B$9,_REF_Model_Content!$B$1:$B$613,$C814)),1),"")</f>
        <v/>
      </c>
      <c r="AY814">
        <f>IF($L814="","",ROUND(IF($AP814="",$L814,$AP814)*IF($AX814="",1,$AX814),2))</f>
        <v/>
      </c>
      <c r="AZ814">
        <f>IF($S814="","",ROUND(IF($AQ814="",$S814,$AQ814)*IF($AX814="",1,$AX814),2))</f>
        <v/>
      </c>
      <c r="BB814">
        <f>IF($H814="","",IFERROR(INDEX('_ENGINE_Risk'!$AE$41:$AE$920,MATCH($E814,'_ENGINE_Risk'!$A$41:$A$920,0)),"Medium"))</f>
        <v/>
      </c>
      <c r="BC814">
        <f>IF($BB814="","",IF($BB814="Fast",1.25,IF($BB814="Slow",0.85,1)))</f>
        <v/>
      </c>
      <c r="BD814">
        <f>IF(OR($AZ814="",$BC814=""),"",ROUND($AZ814*$BC814,2))</f>
        <v/>
      </c>
      <c r="BF814">
        <f>IF(OR($H814="",$J814=""),"",_xlfn.IFNA(VLOOKUP($J814,_CONFIG_Model_Settings!$D$610:$E$614,2,0),""))</f>
        <v/>
      </c>
      <c r="BG814">
        <f>IF(OR($H814="",$K814=""),"",ROUND('Company Profile'!$B$569*INDEX(_CONFIG_Model_Settings!$H$610:$H$614,MATCH($K814,_CONFIG_Model_Settings!$G$610:$G$614,0)),0))</f>
        <v/>
      </c>
      <c r="BH814">
        <f>IF(OR($BF814="",$BG814=""),"",ROUND($BF814*$BG814,1))</f>
        <v/>
      </c>
      <c r="BI814">
        <f>IF($BH814="","",IF($AO814="",$BH814,ROUND($BH814*$AO814,1)))</f>
        <v/>
      </c>
      <c r="BJ814">
        <f>IF($E814="","",IFERROR(VLOOKUP($C814,'_CONFIG_Risk_Calibration'!$A$5:$H$21,2,FALSE),3))</f>
        <v/>
      </c>
      <c r="BK814">
        <f>IF($E814="","",IFERROR(VLOOKUP($C814,'_CONFIG_Risk_Calibration'!$A$5:$H$21,3,FALSE),0))</f>
        <v/>
      </c>
      <c r="BL814">
        <f>IF($E814="","",IFERROR(VLOOKUP($C814,'_CONFIG_Risk_Calibration'!$A$5:$H$21,4,FALSE),3))</f>
        <v/>
      </c>
      <c r="BM814">
        <f>IF($E814="","",IFERROR(VLOOKUP($C814,'_CONFIG_Risk_Calibration'!$A$5:$H$21,5,FALSE),3))</f>
        <v/>
      </c>
      <c r="BN814">
        <f>IF($E814="","",IFERROR(VLOOKUP($C814,'_CONFIG_Risk_Calibration'!$A$5:$H$21,6,FALSE),"No"))</f>
        <v/>
      </c>
      <c r="BO814">
        <f>IF($E814="","",IFERROR(VLOOKUP($C814,'_CONFIG_Risk_Calibration'!$A$5:$H$21,7,FALSE),1))</f>
        <v/>
      </c>
      <c r="BP814">
        <f>IF($H814="","",MAX(1,MIN(5,((6-$H814)*0.45)+($BJ814*0.20)+('Resilience &amp; Risk Scenario'!$B$7*0.15)+($BK814*0.10)+($BL814*0.05)+(IF($BB814="Fast",5,IF($BB814="Slow",1,3))*0.05))))</f>
        <v/>
      </c>
      <c r="BQ814">
        <f>IF($H814="","",MAX(IF($BN814="Yes",$BO814,1),MIN(5,($U814*0.20)+($V814*0.15)+($W814*0.25)+($X814*0.15)+($BJ814*0.10)+($BM814*0.15))))</f>
        <v/>
      </c>
      <c r="BR814">
        <f>IF(OR($BP814="",$BQ814=""),"",ROUND($BP814*$BQ814,2))</f>
        <v/>
      </c>
      <c r="BS814">
        <f>IF($BR814="","",ROUND($BR814*IF($AO814="",1,$AO814)*IF($AX814="",1,$AX814)*(1+(($BM814-3)*0.10))*IF($BC814="",1,$BC814),2))</f>
        <v/>
      </c>
    </row>
    <row r="815" ht="69.90000000000001" customHeight="1" s="209">
      <c r="A815">
        <f>IF($BD815="","",SUMPRODUCT(ISNUMBER($BD$500:$BD$923)*($BD$500:$BD$923&gt;$BD815))+COUNTIF($BD$500:$BD815,$BD815))</f>
        <v/>
      </c>
      <c r="B815">
        <f>IF($H815="","",IF($H815&lt;5,"Yes","Maintain"))</f>
        <v/>
      </c>
      <c r="C815" t="inlineStr">
        <is>
          <t>IT Cloud DR</t>
        </is>
      </c>
      <c r="D815" t="inlineStr">
        <is>
          <t>SaaS and integrations</t>
        </is>
      </c>
      <c r="E815" t="inlineStr">
        <is>
          <t>ITCL-025</t>
        </is>
      </c>
      <c r="F815" t="inlineStr">
        <is>
          <t>IT, cloud and disaster recovery</t>
        </is>
      </c>
      <c r="G815">
        <f>IF($H815="","",IFERROR(INDEX('_ENGINE_Risk'!$H$41:$M$920,MATCH($E815,'_ENGINE_Risk'!$A$41:$A$920,0),$H815+1),""))</f>
        <v/>
      </c>
      <c r="H815">
        <f>IFERROR(VALUE(INDEX(_DATA_Assessment_Model!$H$5:$H$884,MATCH($E815,_DATA_Assessment_Model!$A$5:$A$884,0))),"")</f>
        <v/>
      </c>
      <c r="I815">
        <f>IF($H815="","",IFERROR(INDEX(_DATA_Assessment_Model!$L$5:$L$884,MATCH($E815,_DATA_Assessment_Model!$A$5:$A$884,0)),IF($H815&lt;=1,"Critical",IF($H815=2,"High",IF($H815=3,"Medium",IF($H815=4,"Low","Resilient"))))))</f>
        <v/>
      </c>
      <c r="J815">
        <f>IF($H815="","",MIN(5,MAX(1,6-$H815)))</f>
        <v/>
      </c>
      <c r="K815">
        <f>IF($H815="","",MAX(1,MIN(5,ROUNDUP(($U815*0.45)+($W815*0.35)+($X815*0.2),0))))</f>
        <v/>
      </c>
      <c r="L815">
        <f>IF($H815="","",$J815*$K815)</f>
        <v/>
      </c>
      <c r="M815">
        <f>IF($H815="","",MAX(1,MIN(5,ROUNDUP($L815/5,0))))</f>
        <v/>
      </c>
      <c r="N815">
        <f>IF($H815="","",IFERROR(INDEX('_ENGINE_Risk'!$T$41:$Y$920,MATCH($E815,'_ENGINE_Risk'!$A$41:$A$920,0),$H815+1),""))</f>
        <v/>
      </c>
      <c r="O815">
        <f>IF($H815="","",MAX(1,MIN(5,($U815+$V815+$X815)/3)))</f>
        <v/>
      </c>
      <c r="P815">
        <f>IF($H815="","",IF($I815="Critical",5,IF($I815="High",4,IF($I815="Medium",3,IF($I815="Low",2,1)))))</f>
        <v/>
      </c>
      <c r="Q815">
        <f>IF($H815="","",MAX(1,MIN(5,((5-$H815)*0.65)+($W815*0.35))))</f>
        <v/>
      </c>
      <c r="R815">
        <f>IF($H815="","",MAX(1,MIN(5,($V815+$X815)/2)))</f>
        <v/>
      </c>
      <c r="S815">
        <f>IF(OR($H815="",$N815=""),"",ROUND(($O815+$P815+$Q815+$R815)/$N815,2))</f>
        <v/>
      </c>
      <c r="T815">
        <f>IF($H815="","",IFERROR(INDEX('_ENGINE_Risk'!$N$41:$S$920,MATCH($E815,'_ENGINE_Risk'!$A$41:$A$920,0),$H815+1),""))</f>
        <v/>
      </c>
      <c r="U815">
        <f>IFERROR(INDEX(_DATA_Assessment_Model!$G$5:$G$884,MATCH($E815,_DATA_Assessment_Model!$A$5:$A$884,0)),"")</f>
        <v/>
      </c>
      <c r="V815">
        <f>IFERROR(INDEX(_DATA_Assessment_Model!$W$5:$W$884,MATCH($E815,_DATA_Assessment_Model!$A$5:$A$884,0)),"")</f>
        <v/>
      </c>
      <c r="W815">
        <f>IFERROR(INDEX(_DATA_Assessment_Model!$X$5:$X$884,MATCH($E815,_DATA_Assessment_Model!$A$5:$A$884,0)),"")</f>
        <v/>
      </c>
      <c r="X815">
        <f>IFERROR(INDEX(_DATA_Assessment_Model!$Y$5:$Y$884,MATCH($E815,_DATA_Assessment_Model!$A$5:$A$884,0)),"")</f>
        <v/>
      </c>
      <c r="Y815" t="inlineStr">
        <is>
          <t>IT outage; Cloud outage; Data loss; Cyberattack</t>
        </is>
      </c>
      <c r="Z815" t="inlineStr">
        <is>
          <t>CIO / CTO / IT Ops</t>
        </is>
      </c>
      <c r="AA815" t="inlineStr">
        <is>
          <t>Policy/SOP; owner/RACI; system report; dashboard; contracts; test records; incident history; interview evidence related to critical SaaS assessment for availability, export, backup, admin access, integrations and contract continuity.</t>
        </is>
      </c>
      <c r="AB815">
        <f>IFERROR(INDEX(_DATA_Assessment_Model!$U$5:$U$884,MATCH($E815,_DATA_Assessment_Model!$A$5:$A$884,0)),"")</f>
        <v/>
      </c>
      <c r="AF815" t="inlineStr">
        <is>
          <t>How mature is the organization in managing critical SaaS assessment for availability, export, backup, admin access, integrations and contract continuity, including ownership, evidence, metrics, fallback procedures and crisis stress testing?</t>
        </is>
      </c>
      <c r="AO815">
        <f>IF($B815="Yes",IFERROR(INDEX(_ENGINE_Crisis!$F$501:$F$517,MATCH($C815,_ENGINE_Crisis!$A$501:$A$517,0)),1),"")</f>
        <v/>
      </c>
      <c r="AP815">
        <f>IF(AO815="","",ROUND($L815*AO815,1))</f>
        <v/>
      </c>
      <c r="AQ815">
        <f>IF(OR(AO815="",$S815=""),"",ROUND($S815*(0.7+0.3*AO815),2))</f>
        <v/>
      </c>
      <c r="AR815">
        <f>IFERROR(INDEX(_ENGINE_Crisis!$E$41:$E$700,MATCH('Resilience &amp; Risk Scenario'!$B$60&amp;"|"&amp;$C815,_ENGINE_Crisis!$I$41:$I$700,0)),"")</f>
        <v/>
      </c>
      <c r="AS815">
        <f>IFERROR(INDEX(_ENGINE_Crisis!$G$41:$G$700,MATCH('Resilience &amp; Risk Scenario'!$B$60&amp;"|"&amp;$C815,_ENGINE_Crisis!$I$41:$I$700,0)),"")</f>
        <v/>
      </c>
      <c r="AT815">
        <f>IFERROR(INDEX(_ENGINE_Initiatives!$A$5:$A$532,MATCH(1,INDEX((_ENGINE_Initiatives!$B$5:$B$532=$C815)*(_ENGINE_Initiatives!$C$5:$C$532=$D815),0),0)),"")</f>
        <v/>
      </c>
      <c r="AU815">
        <f>IFERROR(INDEX(_ENGINE_Initiatives!$F$5:$F$532,MATCH(1,INDEX((_ENGINE_Initiatives!$B$5:$B$532=$C815)*(_ENGINE_Initiatives!$C$5:$C$532=$D815),0),0)),"")</f>
        <v/>
      </c>
      <c r="AV815">
        <f>IFERROR(INDEX(_ENGINE_Initiatives!$AC$5:$AC$532,MATCH(1,INDEX((_ENGINE_Initiatives!$B$5:$B$532=$C815)*(_ENGINE_Initiatives!$C$5:$C$532=$D815),0),0)),"")</f>
        <v/>
      </c>
      <c r="AW815">
        <f>IFERROR(INDEX(_ENGINE_Initiatives!$AE$5:$AE$532,MATCH(1,INDEX((_ENGINE_Initiatives!$B$5:$B$532=$C815)*(_ENGINE_Initiatives!$C$5:$C$532=$D815),0),0)),"")</f>
        <v/>
      </c>
      <c r="AX815">
        <f>IF($B815="Yes",IFERROR(IF(SUMIFS(_REF_Model_Content!$E$1:$E$613,_REF_Model_Content!$A$1:$A$613,'Company Profile'!$B$9,_REF_Model_Content!$B$1:$B$613,$C815)=0,1,SUMIFS(_REF_Model_Content!$E$1:$E$613,_REF_Model_Content!$A$1:$A$613,'Company Profile'!$B$9,_REF_Model_Content!$B$1:$B$613,$C815)),1),"")</f>
        <v/>
      </c>
      <c r="AY815">
        <f>IF($L815="","",ROUND(IF($AP815="",$L815,$AP815)*IF($AX815="",1,$AX815),2))</f>
        <v/>
      </c>
      <c r="AZ815">
        <f>IF($S815="","",ROUND(IF($AQ815="",$S815,$AQ815)*IF($AX815="",1,$AX815),2))</f>
        <v/>
      </c>
      <c r="BB815">
        <f>IF($H815="","",IFERROR(INDEX('_ENGINE_Risk'!$AE$41:$AE$920,MATCH($E815,'_ENGINE_Risk'!$A$41:$A$920,0)),"Medium"))</f>
        <v/>
      </c>
      <c r="BC815">
        <f>IF($BB815="","",IF($BB815="Fast",1.25,IF($BB815="Slow",0.85,1)))</f>
        <v/>
      </c>
      <c r="BD815">
        <f>IF(OR($AZ815="",$BC815=""),"",ROUND($AZ815*$BC815,2))</f>
        <v/>
      </c>
      <c r="BF815">
        <f>IF(OR($H815="",$J815=""),"",_xlfn.IFNA(VLOOKUP($J815,_CONFIG_Model_Settings!$D$610:$E$614,2,0),""))</f>
        <v/>
      </c>
      <c r="BG815">
        <f>IF(OR($H815="",$K815=""),"",ROUND('Company Profile'!$B$569*INDEX(_CONFIG_Model_Settings!$H$610:$H$614,MATCH($K815,_CONFIG_Model_Settings!$G$610:$G$614,0)),0))</f>
        <v/>
      </c>
      <c r="BH815">
        <f>IF(OR($BF815="",$BG815=""),"",ROUND($BF815*$BG815,1))</f>
        <v/>
      </c>
      <c r="BI815">
        <f>IF($BH815="","",IF($AO815="",$BH815,ROUND($BH815*$AO815,1)))</f>
        <v/>
      </c>
      <c r="BJ815">
        <f>IF($E815="","",IFERROR(VLOOKUP($C815,'_CONFIG_Risk_Calibration'!$A$5:$H$21,2,FALSE),3))</f>
        <v/>
      </c>
      <c r="BK815">
        <f>IF($E815="","",IFERROR(VLOOKUP($C815,'_CONFIG_Risk_Calibration'!$A$5:$H$21,3,FALSE),0))</f>
        <v/>
      </c>
      <c r="BL815">
        <f>IF($E815="","",IFERROR(VLOOKUP($C815,'_CONFIG_Risk_Calibration'!$A$5:$H$21,4,FALSE),3))</f>
        <v/>
      </c>
      <c r="BM815">
        <f>IF($E815="","",IFERROR(VLOOKUP($C815,'_CONFIG_Risk_Calibration'!$A$5:$H$21,5,FALSE),3))</f>
        <v/>
      </c>
      <c r="BN815">
        <f>IF($E815="","",IFERROR(VLOOKUP($C815,'_CONFIG_Risk_Calibration'!$A$5:$H$21,6,FALSE),"No"))</f>
        <v/>
      </c>
      <c r="BO815">
        <f>IF($E815="","",IFERROR(VLOOKUP($C815,'_CONFIG_Risk_Calibration'!$A$5:$H$21,7,FALSE),1))</f>
        <v/>
      </c>
      <c r="BP815">
        <f>IF($H815="","",MAX(1,MIN(5,((6-$H815)*0.45)+($BJ815*0.20)+('Resilience &amp; Risk Scenario'!$B$7*0.15)+($BK815*0.10)+($BL815*0.05)+(IF($BB815="Fast",5,IF($BB815="Slow",1,3))*0.05))))</f>
        <v/>
      </c>
      <c r="BQ815">
        <f>IF($H815="","",MAX(IF($BN815="Yes",$BO815,1),MIN(5,($U815*0.20)+($V815*0.15)+($W815*0.25)+($X815*0.15)+($BJ815*0.10)+($BM815*0.15))))</f>
        <v/>
      </c>
      <c r="BR815">
        <f>IF(OR($BP815="",$BQ815=""),"",ROUND($BP815*$BQ815,2))</f>
        <v/>
      </c>
      <c r="BS815">
        <f>IF($BR815="","",ROUND($BR815*IF($AO815="",1,$AO815)*IF($AX815="",1,$AX815)*(1+(($BM815-3)*0.10))*IF($BC815="",1,$BC815),2))</f>
        <v/>
      </c>
    </row>
    <row r="816" ht="69.90000000000001" customHeight="1" s="209">
      <c r="A816">
        <f>IF($BD816="","",SUMPRODUCT(ISNUMBER($BD$500:$BD$923)*($BD$500:$BD$923&gt;$BD816))+COUNTIF($BD$500:$BD816,$BD816))</f>
        <v/>
      </c>
      <c r="B816">
        <f>IF($H816="","",IF($H816&lt;5,"Yes","Maintain"))</f>
        <v/>
      </c>
      <c r="C816" t="inlineStr">
        <is>
          <t>IT Cloud DR</t>
        </is>
      </c>
      <c r="D816" t="inlineStr">
        <is>
          <t>SaaS and integrations</t>
        </is>
      </c>
      <c r="E816" t="inlineStr">
        <is>
          <t>ITCL-026</t>
        </is>
      </c>
      <c r="F816" t="inlineStr">
        <is>
          <t>IT, cloud and disaster recovery</t>
        </is>
      </c>
      <c r="G816">
        <f>IF($H816="","",IFERROR(INDEX('_ENGINE_Risk'!$H$41:$M$920,MATCH($E816,'_ENGINE_Risk'!$A$41:$A$920,0),$H816+1),""))</f>
        <v/>
      </c>
      <c r="H816">
        <f>IFERROR(VALUE(INDEX(_DATA_Assessment_Model!$H$5:$H$884,MATCH($E816,_DATA_Assessment_Model!$A$5:$A$884,0))),"")</f>
        <v/>
      </c>
      <c r="I816">
        <f>IF($H816="","",IFERROR(INDEX(_DATA_Assessment_Model!$L$5:$L$884,MATCH($E816,_DATA_Assessment_Model!$A$5:$A$884,0)),IF($H816&lt;=1,"Critical",IF($H816=2,"High",IF($H816=3,"Medium",IF($H816=4,"Low","Resilient"))))))</f>
        <v/>
      </c>
      <c r="J816">
        <f>IF($H816="","",MIN(5,MAX(1,6-$H816)))</f>
        <v/>
      </c>
      <c r="K816">
        <f>IF($H816="","",MAX(1,MIN(5,ROUNDUP(($U816*0.45)+($W816*0.35)+($X816*0.2),0))))</f>
        <v/>
      </c>
      <c r="L816">
        <f>IF($H816="","",$J816*$K816)</f>
        <v/>
      </c>
      <c r="M816">
        <f>IF($H816="","",MAX(1,MIN(5,ROUNDUP($L816/5,0))))</f>
        <v/>
      </c>
      <c r="N816">
        <f>IF($H816="","",IFERROR(INDEX('_ENGINE_Risk'!$T$41:$Y$920,MATCH($E816,'_ENGINE_Risk'!$A$41:$A$920,0),$H816+1),""))</f>
        <v/>
      </c>
      <c r="O816">
        <f>IF($H816="","",MAX(1,MIN(5,($U816+$V816+$X816)/3)))</f>
        <v/>
      </c>
      <c r="P816">
        <f>IF($H816="","",IF($I816="Critical",5,IF($I816="High",4,IF($I816="Medium",3,IF($I816="Low",2,1)))))</f>
        <v/>
      </c>
      <c r="Q816">
        <f>IF($H816="","",MAX(1,MIN(5,((5-$H816)*0.65)+($W816*0.35))))</f>
        <v/>
      </c>
      <c r="R816">
        <f>IF($H816="","",MAX(1,MIN(5,($V816+$X816)/2)))</f>
        <v/>
      </c>
      <c r="S816">
        <f>IF(OR($H816="",$N816=""),"",ROUND(($O816+$P816+$Q816+$R816)/$N816,2))</f>
        <v/>
      </c>
      <c r="T816">
        <f>IF($H816="","",IFERROR(INDEX('_ENGINE_Risk'!$N$41:$S$920,MATCH($E816,'_ENGINE_Risk'!$A$41:$A$920,0),$H816+1),""))</f>
        <v/>
      </c>
      <c r="U816">
        <f>IFERROR(INDEX(_DATA_Assessment_Model!$G$5:$G$884,MATCH($E816,_DATA_Assessment_Model!$A$5:$A$884,0)),"")</f>
        <v/>
      </c>
      <c r="V816">
        <f>IFERROR(INDEX(_DATA_Assessment_Model!$W$5:$W$884,MATCH($E816,_DATA_Assessment_Model!$A$5:$A$884,0)),"")</f>
        <v/>
      </c>
      <c r="W816">
        <f>IFERROR(INDEX(_DATA_Assessment_Model!$X$5:$X$884,MATCH($E816,_DATA_Assessment_Model!$A$5:$A$884,0)),"")</f>
        <v/>
      </c>
      <c r="X816">
        <f>IFERROR(INDEX(_DATA_Assessment_Model!$Y$5:$Y$884,MATCH($E816,_DATA_Assessment_Model!$A$5:$A$884,0)),"")</f>
        <v/>
      </c>
      <c r="Y816" t="inlineStr">
        <is>
          <t>IT outage; Cloud outage; Data loss; Cyberattack</t>
        </is>
      </c>
      <c r="Z816" t="inlineStr">
        <is>
          <t>CIO / CTO / IT Ops</t>
        </is>
      </c>
      <c r="AA816" t="inlineStr">
        <is>
          <t>Policy/SOP; owner/RACI; system report; dashboard; contracts; test records; incident history; interview evidence related to SaaS data backup or exportability if provider or account becomes unavailable.</t>
        </is>
      </c>
      <c r="AB816">
        <f>IFERROR(INDEX(_DATA_Assessment_Model!$U$5:$U$884,MATCH($E816,_DATA_Assessment_Model!$A$5:$A$884,0)),"")</f>
        <v/>
      </c>
      <c r="AF816" t="inlineStr">
        <is>
          <t>How mature is the organization in managing SaaS data backup or exportability if provider or account becomes unavailable, including ownership, evidence, metrics, fallback procedures and crisis stress testing?</t>
        </is>
      </c>
      <c r="AO816">
        <f>IF($B816="Yes",IFERROR(INDEX(_ENGINE_Crisis!$F$501:$F$517,MATCH($C816,_ENGINE_Crisis!$A$501:$A$517,0)),1),"")</f>
        <v/>
      </c>
      <c r="AP816">
        <f>IF(AO816="","",ROUND($L816*AO816,1))</f>
        <v/>
      </c>
      <c r="AQ816">
        <f>IF(OR(AO816="",$S816=""),"",ROUND($S816*(0.7+0.3*AO816),2))</f>
        <v/>
      </c>
      <c r="AR816">
        <f>IFERROR(INDEX(_ENGINE_Crisis!$E$41:$E$700,MATCH('Resilience &amp; Risk Scenario'!$B$60&amp;"|"&amp;$C816,_ENGINE_Crisis!$I$41:$I$700,0)),"")</f>
        <v/>
      </c>
      <c r="AS816">
        <f>IFERROR(INDEX(_ENGINE_Crisis!$G$41:$G$700,MATCH('Resilience &amp; Risk Scenario'!$B$60&amp;"|"&amp;$C816,_ENGINE_Crisis!$I$41:$I$700,0)),"")</f>
        <v/>
      </c>
      <c r="AT816">
        <f>IFERROR(INDEX(_ENGINE_Initiatives!$A$5:$A$532,MATCH(1,INDEX((_ENGINE_Initiatives!$B$5:$B$532=$C816)*(_ENGINE_Initiatives!$C$5:$C$532=$D816),0),0)),"")</f>
        <v/>
      </c>
      <c r="AU816">
        <f>IFERROR(INDEX(_ENGINE_Initiatives!$F$5:$F$532,MATCH(1,INDEX((_ENGINE_Initiatives!$B$5:$B$532=$C816)*(_ENGINE_Initiatives!$C$5:$C$532=$D816),0),0)),"")</f>
        <v/>
      </c>
      <c r="AV816">
        <f>IFERROR(INDEX(_ENGINE_Initiatives!$AC$5:$AC$532,MATCH(1,INDEX((_ENGINE_Initiatives!$B$5:$B$532=$C816)*(_ENGINE_Initiatives!$C$5:$C$532=$D816),0),0)),"")</f>
        <v/>
      </c>
      <c r="AW816">
        <f>IFERROR(INDEX(_ENGINE_Initiatives!$AE$5:$AE$532,MATCH(1,INDEX((_ENGINE_Initiatives!$B$5:$B$532=$C816)*(_ENGINE_Initiatives!$C$5:$C$532=$D816),0),0)),"")</f>
        <v/>
      </c>
      <c r="AX816">
        <f>IF($B816="Yes",IFERROR(IF(SUMIFS(_REF_Model_Content!$E$1:$E$613,_REF_Model_Content!$A$1:$A$613,'Company Profile'!$B$9,_REF_Model_Content!$B$1:$B$613,$C816)=0,1,SUMIFS(_REF_Model_Content!$E$1:$E$613,_REF_Model_Content!$A$1:$A$613,'Company Profile'!$B$9,_REF_Model_Content!$B$1:$B$613,$C816)),1),"")</f>
        <v/>
      </c>
      <c r="AY816">
        <f>IF($L816="","",ROUND(IF($AP816="",$L816,$AP816)*IF($AX816="",1,$AX816),2))</f>
        <v/>
      </c>
      <c r="AZ816">
        <f>IF($S816="","",ROUND(IF($AQ816="",$S816,$AQ816)*IF($AX816="",1,$AX816),2))</f>
        <v/>
      </c>
      <c r="BB816">
        <f>IF($H816="","",IFERROR(INDEX('_ENGINE_Risk'!$AE$41:$AE$920,MATCH($E816,'_ENGINE_Risk'!$A$41:$A$920,0)),"Medium"))</f>
        <v/>
      </c>
      <c r="BC816">
        <f>IF($BB816="","",IF($BB816="Fast",1.25,IF($BB816="Slow",0.85,1)))</f>
        <v/>
      </c>
      <c r="BD816">
        <f>IF(OR($AZ816="",$BC816=""),"",ROUND($AZ816*$BC816,2))</f>
        <v/>
      </c>
      <c r="BF816">
        <f>IF(OR($H816="",$J816=""),"",_xlfn.IFNA(VLOOKUP($J816,_CONFIG_Model_Settings!$D$610:$E$614,2,0),""))</f>
        <v/>
      </c>
      <c r="BG816">
        <f>IF(OR($H816="",$K816=""),"",ROUND('Company Profile'!$B$569*INDEX(_CONFIG_Model_Settings!$H$610:$H$614,MATCH($K816,_CONFIG_Model_Settings!$G$610:$G$614,0)),0))</f>
        <v/>
      </c>
      <c r="BH816">
        <f>IF(OR($BF816="",$BG816=""),"",ROUND($BF816*$BG816,1))</f>
        <v/>
      </c>
      <c r="BI816">
        <f>IF($BH816="","",IF($AO816="",$BH816,ROUND($BH816*$AO816,1)))</f>
        <v/>
      </c>
      <c r="BJ816">
        <f>IF($E816="","",IFERROR(VLOOKUP($C816,'_CONFIG_Risk_Calibration'!$A$5:$H$21,2,FALSE),3))</f>
        <v/>
      </c>
      <c r="BK816">
        <f>IF($E816="","",IFERROR(VLOOKUP($C816,'_CONFIG_Risk_Calibration'!$A$5:$H$21,3,FALSE),0))</f>
        <v/>
      </c>
      <c r="BL816">
        <f>IF($E816="","",IFERROR(VLOOKUP($C816,'_CONFIG_Risk_Calibration'!$A$5:$H$21,4,FALSE),3))</f>
        <v/>
      </c>
      <c r="BM816">
        <f>IF($E816="","",IFERROR(VLOOKUP($C816,'_CONFIG_Risk_Calibration'!$A$5:$H$21,5,FALSE),3))</f>
        <v/>
      </c>
      <c r="BN816">
        <f>IF($E816="","",IFERROR(VLOOKUP($C816,'_CONFIG_Risk_Calibration'!$A$5:$H$21,6,FALSE),"No"))</f>
        <v/>
      </c>
      <c r="BO816">
        <f>IF($E816="","",IFERROR(VLOOKUP($C816,'_CONFIG_Risk_Calibration'!$A$5:$H$21,7,FALSE),1))</f>
        <v/>
      </c>
      <c r="BP816">
        <f>IF($H816="","",MAX(1,MIN(5,((6-$H816)*0.45)+($BJ816*0.20)+('Resilience &amp; Risk Scenario'!$B$7*0.15)+($BK816*0.10)+($BL816*0.05)+(IF($BB816="Fast",5,IF($BB816="Slow",1,3))*0.05))))</f>
        <v/>
      </c>
      <c r="BQ816">
        <f>IF($H816="","",MAX(IF($BN816="Yes",$BO816,1),MIN(5,($U816*0.20)+($V816*0.15)+($W816*0.25)+($X816*0.15)+($BJ816*0.10)+($BM816*0.15))))</f>
        <v/>
      </c>
      <c r="BR816">
        <f>IF(OR($BP816="",$BQ816=""),"",ROUND($BP816*$BQ816,2))</f>
        <v/>
      </c>
      <c r="BS816">
        <f>IF($BR816="","",ROUND($BR816*IF($AO816="",1,$AO816)*IF($AX816="",1,$AX816)*(1+(($BM816-3)*0.10))*IF($BC816="",1,$BC816),2))</f>
        <v/>
      </c>
    </row>
    <row r="817" ht="69.90000000000001" customHeight="1" s="209">
      <c r="A817">
        <f>IF($BD817="","",SUMPRODUCT(ISNUMBER($BD$500:$BD$923)*($BD$500:$BD$923&gt;$BD817))+COUNTIF($BD$500:$BD817,$BD817))</f>
        <v/>
      </c>
      <c r="B817">
        <f>IF($H817="","",IF($H817&lt;5,"Yes","Maintain"))</f>
        <v/>
      </c>
      <c r="C817" t="inlineStr">
        <is>
          <t>IT Cloud DR</t>
        </is>
      </c>
      <c r="D817" t="inlineStr">
        <is>
          <t>SaaS and integrations</t>
        </is>
      </c>
      <c r="E817" t="inlineStr">
        <is>
          <t>ITCL-027</t>
        </is>
      </c>
      <c r="F817" t="inlineStr">
        <is>
          <t>IT, cloud and disaster recovery</t>
        </is>
      </c>
      <c r="G817">
        <f>IF($H817="","",IFERROR(INDEX('_ENGINE_Risk'!$H$41:$M$920,MATCH($E817,'_ENGINE_Risk'!$A$41:$A$920,0),$H817+1),""))</f>
        <v/>
      </c>
      <c r="H817">
        <f>IFERROR(VALUE(INDEX(_DATA_Assessment_Model!$H$5:$H$884,MATCH($E817,_DATA_Assessment_Model!$A$5:$A$884,0))),"")</f>
        <v/>
      </c>
      <c r="I817">
        <f>IF($H817="","",IFERROR(INDEX(_DATA_Assessment_Model!$L$5:$L$884,MATCH($E817,_DATA_Assessment_Model!$A$5:$A$884,0)),IF($H817&lt;=1,"Critical",IF($H817=2,"High",IF($H817=3,"Medium",IF($H817=4,"Low","Resilient"))))))</f>
        <v/>
      </c>
      <c r="J817">
        <f>IF($H817="","",MIN(5,MAX(1,6-$H817)))</f>
        <v/>
      </c>
      <c r="K817">
        <f>IF($H817="","",MAX(1,MIN(5,ROUNDUP(($U817*0.45)+($W817*0.35)+($X817*0.2),0))))</f>
        <v/>
      </c>
      <c r="L817">
        <f>IF($H817="","",$J817*$K817)</f>
        <v/>
      </c>
      <c r="M817">
        <f>IF($H817="","",MAX(1,MIN(5,ROUNDUP($L817/5,0))))</f>
        <v/>
      </c>
      <c r="N817">
        <f>IF($H817="","",IFERROR(INDEX('_ENGINE_Risk'!$T$41:$Y$920,MATCH($E817,'_ENGINE_Risk'!$A$41:$A$920,0),$H817+1),""))</f>
        <v/>
      </c>
      <c r="O817">
        <f>IF($H817="","",MAX(1,MIN(5,($U817+$V817+$X817)/3)))</f>
        <v/>
      </c>
      <c r="P817">
        <f>IF($H817="","",IF($I817="Critical",5,IF($I817="High",4,IF($I817="Medium",3,IF($I817="Low",2,1)))))</f>
        <v/>
      </c>
      <c r="Q817">
        <f>IF($H817="","",MAX(1,MIN(5,((5-$H817)*0.65)+($W817*0.35))))</f>
        <v/>
      </c>
      <c r="R817">
        <f>IF($H817="","",MAX(1,MIN(5,($V817+$X817)/2)))</f>
        <v/>
      </c>
      <c r="S817">
        <f>IF(OR($H817="",$N817=""),"",ROUND(($O817+$P817+$Q817+$R817)/$N817,2))</f>
        <v/>
      </c>
      <c r="T817">
        <f>IF($H817="","",IFERROR(INDEX('_ENGINE_Risk'!$N$41:$S$920,MATCH($E817,'_ENGINE_Risk'!$A$41:$A$920,0),$H817+1),""))</f>
        <v/>
      </c>
      <c r="U817">
        <f>IFERROR(INDEX(_DATA_Assessment_Model!$G$5:$G$884,MATCH($E817,_DATA_Assessment_Model!$A$5:$A$884,0)),"")</f>
        <v/>
      </c>
      <c r="V817">
        <f>IFERROR(INDEX(_DATA_Assessment_Model!$W$5:$W$884,MATCH($E817,_DATA_Assessment_Model!$A$5:$A$884,0)),"")</f>
        <v/>
      </c>
      <c r="W817">
        <f>IFERROR(INDEX(_DATA_Assessment_Model!$X$5:$X$884,MATCH($E817,_DATA_Assessment_Model!$A$5:$A$884,0)),"")</f>
        <v/>
      </c>
      <c r="X817">
        <f>IFERROR(INDEX(_DATA_Assessment_Model!$Y$5:$Y$884,MATCH($E817,_DATA_Assessment_Model!$A$5:$A$884,0)),"")</f>
        <v/>
      </c>
      <c r="Y817" t="inlineStr">
        <is>
          <t>IT outage; Cloud outage; Data loss; Cyberattack</t>
        </is>
      </c>
      <c r="Z817" t="inlineStr">
        <is>
          <t>CIO / CTO / IT Ops</t>
        </is>
      </c>
      <c r="AA817" t="inlineStr">
        <is>
          <t>Policy/SOP; owner/RACI; system report; dashboard; contracts; test records; incident history; interview evidence related to API, ETL, middleware, file exchange and manual integration catalog.</t>
        </is>
      </c>
      <c r="AB817">
        <f>IFERROR(INDEX(_DATA_Assessment_Model!$U$5:$U$884,MATCH($E817,_DATA_Assessment_Model!$A$5:$A$884,0)),"")</f>
        <v/>
      </c>
      <c r="AF817" t="inlineStr">
        <is>
          <t>How mature is the organization in managing API, ETL, middleware, file exchange and manual integration catalog, including ownership, evidence, metrics, fallback procedures and crisis stress testing?</t>
        </is>
      </c>
      <c r="AO817">
        <f>IF($B817="Yes",IFERROR(INDEX(_ENGINE_Crisis!$F$501:$F$517,MATCH($C817,_ENGINE_Crisis!$A$501:$A$517,0)),1),"")</f>
        <v/>
      </c>
      <c r="AP817">
        <f>IF(AO817="","",ROUND($L817*AO817,1))</f>
        <v/>
      </c>
      <c r="AQ817">
        <f>IF(OR(AO817="",$S817=""),"",ROUND($S817*(0.7+0.3*AO817),2))</f>
        <v/>
      </c>
      <c r="AR817">
        <f>IFERROR(INDEX(_ENGINE_Crisis!$E$41:$E$700,MATCH('Resilience &amp; Risk Scenario'!$B$60&amp;"|"&amp;$C817,_ENGINE_Crisis!$I$41:$I$700,0)),"")</f>
        <v/>
      </c>
      <c r="AS817">
        <f>IFERROR(INDEX(_ENGINE_Crisis!$G$41:$G$700,MATCH('Resilience &amp; Risk Scenario'!$B$60&amp;"|"&amp;$C817,_ENGINE_Crisis!$I$41:$I$700,0)),"")</f>
        <v/>
      </c>
      <c r="AT817">
        <f>IFERROR(INDEX(_ENGINE_Initiatives!$A$5:$A$532,MATCH(1,INDEX((_ENGINE_Initiatives!$B$5:$B$532=$C817)*(_ENGINE_Initiatives!$C$5:$C$532=$D817),0),0)),"")</f>
        <v/>
      </c>
      <c r="AU817">
        <f>IFERROR(INDEX(_ENGINE_Initiatives!$F$5:$F$532,MATCH(1,INDEX((_ENGINE_Initiatives!$B$5:$B$532=$C817)*(_ENGINE_Initiatives!$C$5:$C$532=$D817),0),0)),"")</f>
        <v/>
      </c>
      <c r="AV817">
        <f>IFERROR(INDEX(_ENGINE_Initiatives!$AC$5:$AC$532,MATCH(1,INDEX((_ENGINE_Initiatives!$B$5:$B$532=$C817)*(_ENGINE_Initiatives!$C$5:$C$532=$D817),0),0)),"")</f>
        <v/>
      </c>
      <c r="AW817">
        <f>IFERROR(INDEX(_ENGINE_Initiatives!$AE$5:$AE$532,MATCH(1,INDEX((_ENGINE_Initiatives!$B$5:$B$532=$C817)*(_ENGINE_Initiatives!$C$5:$C$532=$D817),0),0)),"")</f>
        <v/>
      </c>
      <c r="AX817">
        <f>IF($B817="Yes",IFERROR(IF(SUMIFS(_REF_Model_Content!$E$1:$E$613,_REF_Model_Content!$A$1:$A$613,'Company Profile'!$B$9,_REF_Model_Content!$B$1:$B$613,$C817)=0,1,SUMIFS(_REF_Model_Content!$E$1:$E$613,_REF_Model_Content!$A$1:$A$613,'Company Profile'!$B$9,_REF_Model_Content!$B$1:$B$613,$C817)),1),"")</f>
        <v/>
      </c>
      <c r="AY817">
        <f>IF($L817="","",ROUND(IF($AP817="",$L817,$AP817)*IF($AX817="",1,$AX817),2))</f>
        <v/>
      </c>
      <c r="AZ817">
        <f>IF($S817="","",ROUND(IF($AQ817="",$S817,$AQ817)*IF($AX817="",1,$AX817),2))</f>
        <v/>
      </c>
      <c r="BB817">
        <f>IF($H817="","",IFERROR(INDEX('_ENGINE_Risk'!$AE$41:$AE$920,MATCH($E817,'_ENGINE_Risk'!$A$41:$A$920,0)),"Medium"))</f>
        <v/>
      </c>
      <c r="BC817">
        <f>IF($BB817="","",IF($BB817="Fast",1.25,IF($BB817="Slow",0.85,1)))</f>
        <v/>
      </c>
      <c r="BD817">
        <f>IF(OR($AZ817="",$BC817=""),"",ROUND($AZ817*$BC817,2))</f>
        <v/>
      </c>
      <c r="BF817">
        <f>IF(OR($H817="",$J817=""),"",_xlfn.IFNA(VLOOKUP($J817,_CONFIG_Model_Settings!$D$610:$E$614,2,0),""))</f>
        <v/>
      </c>
      <c r="BG817">
        <f>IF(OR($H817="",$K817=""),"",ROUND('Company Profile'!$B$569*INDEX(_CONFIG_Model_Settings!$H$610:$H$614,MATCH($K817,_CONFIG_Model_Settings!$G$610:$G$614,0)),0))</f>
        <v/>
      </c>
      <c r="BH817">
        <f>IF(OR($BF817="",$BG817=""),"",ROUND($BF817*$BG817,1))</f>
        <v/>
      </c>
      <c r="BI817">
        <f>IF($BH817="","",IF($AO817="",$BH817,ROUND($BH817*$AO817,1)))</f>
        <v/>
      </c>
      <c r="BJ817">
        <f>IF($E817="","",IFERROR(VLOOKUP($C817,'_CONFIG_Risk_Calibration'!$A$5:$H$21,2,FALSE),3))</f>
        <v/>
      </c>
      <c r="BK817">
        <f>IF($E817="","",IFERROR(VLOOKUP($C817,'_CONFIG_Risk_Calibration'!$A$5:$H$21,3,FALSE),0))</f>
        <v/>
      </c>
      <c r="BL817">
        <f>IF($E817="","",IFERROR(VLOOKUP($C817,'_CONFIG_Risk_Calibration'!$A$5:$H$21,4,FALSE),3))</f>
        <v/>
      </c>
      <c r="BM817">
        <f>IF($E817="","",IFERROR(VLOOKUP($C817,'_CONFIG_Risk_Calibration'!$A$5:$H$21,5,FALSE),3))</f>
        <v/>
      </c>
      <c r="BN817">
        <f>IF($E817="","",IFERROR(VLOOKUP($C817,'_CONFIG_Risk_Calibration'!$A$5:$H$21,6,FALSE),"No"))</f>
        <v/>
      </c>
      <c r="BO817">
        <f>IF($E817="","",IFERROR(VLOOKUP($C817,'_CONFIG_Risk_Calibration'!$A$5:$H$21,7,FALSE),1))</f>
        <v/>
      </c>
      <c r="BP817">
        <f>IF($H817="","",MAX(1,MIN(5,((6-$H817)*0.45)+($BJ817*0.20)+('Resilience &amp; Risk Scenario'!$B$7*0.15)+($BK817*0.10)+($BL817*0.05)+(IF($BB817="Fast",5,IF($BB817="Slow",1,3))*0.05))))</f>
        <v/>
      </c>
      <c r="BQ817">
        <f>IF($H817="","",MAX(IF($BN817="Yes",$BO817,1),MIN(5,($U817*0.20)+($V817*0.15)+($W817*0.25)+($X817*0.15)+($BJ817*0.10)+($BM817*0.15))))</f>
        <v/>
      </c>
      <c r="BR817">
        <f>IF(OR($BP817="",$BQ817=""),"",ROUND($BP817*$BQ817,2))</f>
        <v/>
      </c>
      <c r="BS817">
        <f>IF($BR817="","",ROUND($BR817*IF($AO817="",1,$AO817)*IF($AX817="",1,$AX817)*(1+(($BM817-3)*0.10))*IF($BC817="",1,$BC817),2))</f>
        <v/>
      </c>
    </row>
    <row r="818" ht="69.90000000000001" customHeight="1" s="209">
      <c r="A818">
        <f>IF($BD818="","",SUMPRODUCT(ISNUMBER($BD$500:$BD$923)*($BD$500:$BD$923&gt;$BD818))+COUNTIF($BD$500:$BD818,$BD818))</f>
        <v/>
      </c>
      <c r="B818">
        <f>IF($H818="","",IF($H818&lt;5,"Yes","Maintain"))</f>
        <v/>
      </c>
      <c r="C818" t="inlineStr">
        <is>
          <t>IT Cloud DR</t>
        </is>
      </c>
      <c r="D818" t="inlineStr">
        <is>
          <t>SaaS and integrations</t>
        </is>
      </c>
      <c r="E818" t="inlineStr">
        <is>
          <t>ITCL-028</t>
        </is>
      </c>
      <c r="F818" t="inlineStr">
        <is>
          <t>IT, cloud and disaster recovery</t>
        </is>
      </c>
      <c r="G818">
        <f>IF($H818="","",IFERROR(INDEX('_ENGINE_Risk'!$H$41:$M$920,MATCH($E818,'_ENGINE_Risk'!$A$41:$A$920,0),$H818+1),""))</f>
        <v/>
      </c>
      <c r="H818">
        <f>IFERROR(VALUE(INDEX(_DATA_Assessment_Model!$H$5:$H$884,MATCH($E818,_DATA_Assessment_Model!$A$5:$A$884,0))),"")</f>
        <v/>
      </c>
      <c r="I818">
        <f>IF($H818="","",IFERROR(INDEX(_DATA_Assessment_Model!$L$5:$L$884,MATCH($E818,_DATA_Assessment_Model!$A$5:$A$884,0)),IF($H818&lt;=1,"Critical",IF($H818=2,"High",IF($H818=3,"Medium",IF($H818=4,"Low","Resilient"))))))</f>
        <v/>
      </c>
      <c r="J818">
        <f>IF($H818="","",MIN(5,MAX(1,6-$H818)))</f>
        <v/>
      </c>
      <c r="K818">
        <f>IF($H818="","",MAX(1,MIN(5,ROUNDUP(($U818*0.45)+($W818*0.35)+($X818*0.2),0))))</f>
        <v/>
      </c>
      <c r="L818">
        <f>IF($H818="","",$J818*$K818)</f>
        <v/>
      </c>
      <c r="M818">
        <f>IF($H818="","",MAX(1,MIN(5,ROUNDUP($L818/5,0))))</f>
        <v/>
      </c>
      <c r="N818">
        <f>IF($H818="","",IFERROR(INDEX('_ENGINE_Risk'!$T$41:$Y$920,MATCH($E818,'_ENGINE_Risk'!$A$41:$A$920,0),$H818+1),""))</f>
        <v/>
      </c>
      <c r="O818">
        <f>IF($H818="","",MAX(1,MIN(5,($U818+$V818+$X818)/3)))</f>
        <v/>
      </c>
      <c r="P818">
        <f>IF($H818="","",IF($I818="Critical",5,IF($I818="High",4,IF($I818="Medium",3,IF($I818="Low",2,1)))))</f>
        <v/>
      </c>
      <c r="Q818">
        <f>IF($H818="","",MAX(1,MIN(5,((5-$H818)*0.65)+($W818*0.35))))</f>
        <v/>
      </c>
      <c r="R818">
        <f>IF($H818="","",MAX(1,MIN(5,($V818+$X818)/2)))</f>
        <v/>
      </c>
      <c r="S818">
        <f>IF(OR($H818="",$N818=""),"",ROUND(($O818+$P818+$Q818+$R818)/$N818,2))</f>
        <v/>
      </c>
      <c r="T818">
        <f>IF($H818="","",IFERROR(INDEX('_ENGINE_Risk'!$N$41:$S$920,MATCH($E818,'_ENGINE_Risk'!$A$41:$A$920,0),$H818+1),""))</f>
        <v/>
      </c>
      <c r="U818">
        <f>IFERROR(INDEX(_DATA_Assessment_Model!$G$5:$G$884,MATCH($E818,_DATA_Assessment_Model!$A$5:$A$884,0)),"")</f>
        <v/>
      </c>
      <c r="V818">
        <f>IFERROR(INDEX(_DATA_Assessment_Model!$W$5:$W$884,MATCH($E818,_DATA_Assessment_Model!$A$5:$A$884,0)),"")</f>
        <v/>
      </c>
      <c r="W818">
        <f>IFERROR(INDEX(_DATA_Assessment_Model!$X$5:$X$884,MATCH($E818,_DATA_Assessment_Model!$A$5:$A$884,0)),"")</f>
        <v/>
      </c>
      <c r="X818">
        <f>IFERROR(INDEX(_DATA_Assessment_Model!$Y$5:$Y$884,MATCH($E818,_DATA_Assessment_Model!$A$5:$A$884,0)),"")</f>
        <v/>
      </c>
      <c r="Y818" t="inlineStr">
        <is>
          <t>IT outage; Cloud outage; Data loss; Cyberattack</t>
        </is>
      </c>
      <c r="Z818" t="inlineStr">
        <is>
          <t>CIO / CTO / IT Ops</t>
        </is>
      </c>
      <c r="AA818" t="inlineStr">
        <is>
          <t>Policy/SOP; owner/RACI; system report; dashboard; contracts; test records; incident history; interview evidence related to integration monitoring, retry, queue, reconciliation and fallback procedures.</t>
        </is>
      </c>
      <c r="AB818">
        <f>IFERROR(INDEX(_DATA_Assessment_Model!$U$5:$U$884,MATCH($E818,_DATA_Assessment_Model!$A$5:$A$884,0)),"")</f>
        <v/>
      </c>
      <c r="AF818" t="inlineStr">
        <is>
          <t>How mature is the organization in managing integration monitoring, retry, queue, reconciliation and fallback procedures, including ownership, evidence, metrics, fallback procedures and crisis stress testing?</t>
        </is>
      </c>
      <c r="AO818">
        <f>IF($B818="Yes",IFERROR(INDEX(_ENGINE_Crisis!$F$501:$F$517,MATCH($C818,_ENGINE_Crisis!$A$501:$A$517,0)),1),"")</f>
        <v/>
      </c>
      <c r="AP818">
        <f>IF(AO818="","",ROUND($L818*AO818,1))</f>
        <v/>
      </c>
      <c r="AQ818">
        <f>IF(OR(AO818="",$S818=""),"",ROUND($S818*(0.7+0.3*AO818),2))</f>
        <v/>
      </c>
      <c r="AR818">
        <f>IFERROR(INDEX(_ENGINE_Crisis!$E$41:$E$700,MATCH('Resilience &amp; Risk Scenario'!$B$60&amp;"|"&amp;$C818,_ENGINE_Crisis!$I$41:$I$700,0)),"")</f>
        <v/>
      </c>
      <c r="AS818">
        <f>IFERROR(INDEX(_ENGINE_Crisis!$G$41:$G$700,MATCH('Resilience &amp; Risk Scenario'!$B$60&amp;"|"&amp;$C818,_ENGINE_Crisis!$I$41:$I$700,0)),"")</f>
        <v/>
      </c>
      <c r="AT818">
        <f>IFERROR(INDEX(_ENGINE_Initiatives!$A$5:$A$532,MATCH(1,INDEX((_ENGINE_Initiatives!$B$5:$B$532=$C818)*(_ENGINE_Initiatives!$C$5:$C$532=$D818),0),0)),"")</f>
        <v/>
      </c>
      <c r="AU818">
        <f>IFERROR(INDEX(_ENGINE_Initiatives!$F$5:$F$532,MATCH(1,INDEX((_ENGINE_Initiatives!$B$5:$B$532=$C818)*(_ENGINE_Initiatives!$C$5:$C$532=$D818),0),0)),"")</f>
        <v/>
      </c>
      <c r="AV818">
        <f>IFERROR(INDEX(_ENGINE_Initiatives!$AC$5:$AC$532,MATCH(1,INDEX((_ENGINE_Initiatives!$B$5:$B$532=$C818)*(_ENGINE_Initiatives!$C$5:$C$532=$D818),0),0)),"")</f>
        <v/>
      </c>
      <c r="AW818">
        <f>IFERROR(INDEX(_ENGINE_Initiatives!$AE$5:$AE$532,MATCH(1,INDEX((_ENGINE_Initiatives!$B$5:$B$532=$C818)*(_ENGINE_Initiatives!$C$5:$C$532=$D818),0),0)),"")</f>
        <v/>
      </c>
      <c r="AX818">
        <f>IF($B818="Yes",IFERROR(IF(SUMIFS(_REF_Model_Content!$E$1:$E$613,_REF_Model_Content!$A$1:$A$613,'Company Profile'!$B$9,_REF_Model_Content!$B$1:$B$613,$C818)=0,1,SUMIFS(_REF_Model_Content!$E$1:$E$613,_REF_Model_Content!$A$1:$A$613,'Company Profile'!$B$9,_REF_Model_Content!$B$1:$B$613,$C818)),1),"")</f>
        <v/>
      </c>
      <c r="AY818">
        <f>IF($L818="","",ROUND(IF($AP818="",$L818,$AP818)*IF($AX818="",1,$AX818),2))</f>
        <v/>
      </c>
      <c r="AZ818">
        <f>IF($S818="","",ROUND(IF($AQ818="",$S818,$AQ818)*IF($AX818="",1,$AX818),2))</f>
        <v/>
      </c>
      <c r="BB818">
        <f>IF($H818="","",IFERROR(INDEX('_ENGINE_Risk'!$AE$41:$AE$920,MATCH($E818,'_ENGINE_Risk'!$A$41:$A$920,0)),"Medium"))</f>
        <v/>
      </c>
      <c r="BC818">
        <f>IF($BB818="","",IF($BB818="Fast",1.25,IF($BB818="Slow",0.85,1)))</f>
        <v/>
      </c>
      <c r="BD818">
        <f>IF(OR($AZ818="",$BC818=""),"",ROUND($AZ818*$BC818,2))</f>
        <v/>
      </c>
      <c r="BF818">
        <f>IF(OR($H818="",$J818=""),"",_xlfn.IFNA(VLOOKUP($J818,_CONFIG_Model_Settings!$D$610:$E$614,2,0),""))</f>
        <v/>
      </c>
      <c r="BG818">
        <f>IF(OR($H818="",$K818=""),"",ROUND('Company Profile'!$B$569*INDEX(_CONFIG_Model_Settings!$H$610:$H$614,MATCH($K818,_CONFIG_Model_Settings!$G$610:$G$614,0)),0))</f>
        <v/>
      </c>
      <c r="BH818">
        <f>IF(OR($BF818="",$BG818=""),"",ROUND($BF818*$BG818,1))</f>
        <v/>
      </c>
      <c r="BI818">
        <f>IF($BH818="","",IF($AO818="",$BH818,ROUND($BH818*$AO818,1)))</f>
        <v/>
      </c>
      <c r="BJ818">
        <f>IF($E818="","",IFERROR(VLOOKUP($C818,'_CONFIG_Risk_Calibration'!$A$5:$H$21,2,FALSE),3))</f>
        <v/>
      </c>
      <c r="BK818">
        <f>IF($E818="","",IFERROR(VLOOKUP($C818,'_CONFIG_Risk_Calibration'!$A$5:$H$21,3,FALSE),0))</f>
        <v/>
      </c>
      <c r="BL818">
        <f>IF($E818="","",IFERROR(VLOOKUP($C818,'_CONFIG_Risk_Calibration'!$A$5:$H$21,4,FALSE),3))</f>
        <v/>
      </c>
      <c r="BM818">
        <f>IF($E818="","",IFERROR(VLOOKUP($C818,'_CONFIG_Risk_Calibration'!$A$5:$H$21,5,FALSE),3))</f>
        <v/>
      </c>
      <c r="BN818">
        <f>IF($E818="","",IFERROR(VLOOKUP($C818,'_CONFIG_Risk_Calibration'!$A$5:$H$21,6,FALSE),"No"))</f>
        <v/>
      </c>
      <c r="BO818">
        <f>IF($E818="","",IFERROR(VLOOKUP($C818,'_CONFIG_Risk_Calibration'!$A$5:$H$21,7,FALSE),1))</f>
        <v/>
      </c>
      <c r="BP818">
        <f>IF($H818="","",MAX(1,MIN(5,((6-$H818)*0.45)+($BJ818*0.20)+('Resilience &amp; Risk Scenario'!$B$7*0.15)+($BK818*0.10)+($BL818*0.05)+(IF($BB818="Fast",5,IF($BB818="Slow",1,3))*0.05))))</f>
        <v/>
      </c>
      <c r="BQ818">
        <f>IF($H818="","",MAX(IF($BN818="Yes",$BO818,1),MIN(5,($U818*0.20)+($V818*0.15)+($W818*0.25)+($X818*0.15)+($BJ818*0.10)+($BM818*0.15))))</f>
        <v/>
      </c>
      <c r="BR818">
        <f>IF(OR($BP818="",$BQ818=""),"",ROUND($BP818*$BQ818,2))</f>
        <v/>
      </c>
      <c r="BS818">
        <f>IF($BR818="","",ROUND($BR818*IF($AO818="",1,$AO818)*IF($AX818="",1,$AX818)*(1+(($BM818-3)*0.10))*IF($BC818="",1,$BC818),2))</f>
        <v/>
      </c>
    </row>
    <row r="819" ht="69.90000000000001" customHeight="1" s="209">
      <c r="A819">
        <f>IF($BD819="","",SUMPRODUCT(ISNUMBER($BD$500:$BD$923)*($BD$500:$BD$923&gt;$BD819))+COUNTIF($BD$500:$BD819,$BD819))</f>
        <v/>
      </c>
      <c r="B819">
        <f>IF($H819="","",IF($H819&lt;5,"Yes","Maintain"))</f>
        <v/>
      </c>
      <c r="C819" t="inlineStr">
        <is>
          <t>IT Cloud DR</t>
        </is>
      </c>
      <c r="D819" t="inlineStr">
        <is>
          <t>SaaS and integrations</t>
        </is>
      </c>
      <c r="E819" t="inlineStr">
        <is>
          <t>ITCL-029</t>
        </is>
      </c>
      <c r="F819" t="inlineStr">
        <is>
          <t>IT, cloud and disaster recovery</t>
        </is>
      </c>
      <c r="G819">
        <f>IF($H819="","",IFERROR(INDEX('_ENGINE_Risk'!$H$41:$M$920,MATCH($E819,'_ENGINE_Risk'!$A$41:$A$920,0),$H819+1),""))</f>
        <v/>
      </c>
      <c r="H819">
        <f>IFERROR(VALUE(INDEX(_DATA_Assessment_Model!$H$5:$H$884,MATCH($E819,_DATA_Assessment_Model!$A$5:$A$884,0))),"")</f>
        <v/>
      </c>
      <c r="I819">
        <f>IF($H819="","",IFERROR(INDEX(_DATA_Assessment_Model!$L$5:$L$884,MATCH($E819,_DATA_Assessment_Model!$A$5:$A$884,0)),IF($H819&lt;=1,"Critical",IF($H819=2,"High",IF($H819=3,"Medium",IF($H819=4,"Low","Resilient"))))))</f>
        <v/>
      </c>
      <c r="J819">
        <f>IF($H819="","",MIN(5,MAX(1,6-$H819)))</f>
        <v/>
      </c>
      <c r="K819">
        <f>IF($H819="","",MAX(1,MIN(5,ROUNDUP(($U819*0.45)+($W819*0.35)+($X819*0.2),0))))</f>
        <v/>
      </c>
      <c r="L819">
        <f>IF($H819="","",$J819*$K819)</f>
        <v/>
      </c>
      <c r="M819">
        <f>IF($H819="","",MAX(1,MIN(5,ROUNDUP($L819/5,0))))</f>
        <v/>
      </c>
      <c r="N819">
        <f>IF($H819="","",IFERROR(INDEX('_ENGINE_Risk'!$T$41:$Y$920,MATCH($E819,'_ENGINE_Risk'!$A$41:$A$920,0),$H819+1),""))</f>
        <v/>
      </c>
      <c r="O819">
        <f>IF($H819="","",MAX(1,MIN(5,($U819+$V819+$X819)/3)))</f>
        <v/>
      </c>
      <c r="P819">
        <f>IF($H819="","",IF($I819="Critical",5,IF($I819="High",4,IF($I819="Medium",3,IF($I819="Low",2,1)))))</f>
        <v/>
      </c>
      <c r="Q819">
        <f>IF($H819="","",MAX(1,MIN(5,((5-$H819)*0.65)+($W819*0.35))))</f>
        <v/>
      </c>
      <c r="R819">
        <f>IF($H819="","",MAX(1,MIN(5,($V819+$X819)/2)))</f>
        <v/>
      </c>
      <c r="S819">
        <f>IF(OR($H819="",$N819=""),"",ROUND(($O819+$P819+$Q819+$R819)/$N819,2))</f>
        <v/>
      </c>
      <c r="T819">
        <f>IF($H819="","",IFERROR(INDEX('_ENGINE_Risk'!$N$41:$S$920,MATCH($E819,'_ENGINE_Risk'!$A$41:$A$920,0),$H819+1),""))</f>
        <v/>
      </c>
      <c r="U819">
        <f>IFERROR(INDEX(_DATA_Assessment_Model!$G$5:$G$884,MATCH($E819,_DATA_Assessment_Model!$A$5:$A$884,0)),"")</f>
        <v/>
      </c>
      <c r="V819">
        <f>IFERROR(INDEX(_DATA_Assessment_Model!$W$5:$W$884,MATCH($E819,_DATA_Assessment_Model!$A$5:$A$884,0)),"")</f>
        <v/>
      </c>
      <c r="W819">
        <f>IFERROR(INDEX(_DATA_Assessment_Model!$X$5:$X$884,MATCH($E819,_DATA_Assessment_Model!$A$5:$A$884,0)),"")</f>
        <v/>
      </c>
      <c r="X819">
        <f>IFERROR(INDEX(_DATA_Assessment_Model!$Y$5:$Y$884,MATCH($E819,_DATA_Assessment_Model!$A$5:$A$884,0)),"")</f>
        <v/>
      </c>
      <c r="Y819" t="inlineStr">
        <is>
          <t>IT outage; Cloud outage; Data loss; Cyberattack</t>
        </is>
      </c>
      <c r="Z819" t="inlineStr">
        <is>
          <t>CIO / CTO / IT Ops</t>
        </is>
      </c>
      <c r="AA819" t="inlineStr">
        <is>
          <t>Policy/SOP; owner/RACI; system report; dashboard; contracts; test records; incident history; interview evidence related to configuration management and version control for infrastructure, cloud and applications.</t>
        </is>
      </c>
      <c r="AB819">
        <f>IFERROR(INDEX(_DATA_Assessment_Model!$U$5:$U$884,MATCH($E819,_DATA_Assessment_Model!$A$5:$A$884,0)),"")</f>
        <v/>
      </c>
      <c r="AF819" t="inlineStr">
        <is>
          <t>How mature is the organization in managing configuration management and version control for infrastructure, cloud and applications, including ownership, evidence, metrics, fallback procedures and crisis stress testing?</t>
        </is>
      </c>
      <c r="AO819">
        <f>IF($B819="Yes",IFERROR(INDEX(_ENGINE_Crisis!$F$501:$F$517,MATCH($C819,_ENGINE_Crisis!$A$501:$A$517,0)),1),"")</f>
        <v/>
      </c>
      <c r="AP819">
        <f>IF(AO819="","",ROUND($L819*AO819,1))</f>
        <v/>
      </c>
      <c r="AQ819">
        <f>IF(OR(AO819="",$S819=""),"",ROUND($S819*(0.7+0.3*AO819),2))</f>
        <v/>
      </c>
      <c r="AR819">
        <f>IFERROR(INDEX(_ENGINE_Crisis!$E$41:$E$700,MATCH('Resilience &amp; Risk Scenario'!$B$60&amp;"|"&amp;$C819,_ENGINE_Crisis!$I$41:$I$700,0)),"")</f>
        <v/>
      </c>
      <c r="AS819">
        <f>IFERROR(INDEX(_ENGINE_Crisis!$G$41:$G$700,MATCH('Resilience &amp; Risk Scenario'!$B$60&amp;"|"&amp;$C819,_ENGINE_Crisis!$I$41:$I$700,0)),"")</f>
        <v/>
      </c>
      <c r="AT819">
        <f>IFERROR(INDEX(_ENGINE_Initiatives!$A$5:$A$532,MATCH(1,INDEX((_ENGINE_Initiatives!$B$5:$B$532=$C819)*(_ENGINE_Initiatives!$C$5:$C$532=$D819),0),0)),"")</f>
        <v/>
      </c>
      <c r="AU819">
        <f>IFERROR(INDEX(_ENGINE_Initiatives!$F$5:$F$532,MATCH(1,INDEX((_ENGINE_Initiatives!$B$5:$B$532=$C819)*(_ENGINE_Initiatives!$C$5:$C$532=$D819),0),0)),"")</f>
        <v/>
      </c>
      <c r="AV819">
        <f>IFERROR(INDEX(_ENGINE_Initiatives!$AC$5:$AC$532,MATCH(1,INDEX((_ENGINE_Initiatives!$B$5:$B$532=$C819)*(_ENGINE_Initiatives!$C$5:$C$532=$D819),0),0)),"")</f>
        <v/>
      </c>
      <c r="AW819">
        <f>IFERROR(INDEX(_ENGINE_Initiatives!$AE$5:$AE$532,MATCH(1,INDEX((_ENGINE_Initiatives!$B$5:$B$532=$C819)*(_ENGINE_Initiatives!$C$5:$C$532=$D819),0),0)),"")</f>
        <v/>
      </c>
      <c r="AX819">
        <f>IF($B819="Yes",IFERROR(IF(SUMIFS(_REF_Model_Content!$E$1:$E$613,_REF_Model_Content!$A$1:$A$613,'Company Profile'!$B$9,_REF_Model_Content!$B$1:$B$613,$C819)=0,1,SUMIFS(_REF_Model_Content!$E$1:$E$613,_REF_Model_Content!$A$1:$A$613,'Company Profile'!$B$9,_REF_Model_Content!$B$1:$B$613,$C819)),1),"")</f>
        <v/>
      </c>
      <c r="AY819">
        <f>IF($L819="","",ROUND(IF($AP819="",$L819,$AP819)*IF($AX819="",1,$AX819),2))</f>
        <v/>
      </c>
      <c r="AZ819">
        <f>IF($S819="","",ROUND(IF($AQ819="",$S819,$AQ819)*IF($AX819="",1,$AX819),2))</f>
        <v/>
      </c>
      <c r="BB819">
        <f>IF($H819="","",IFERROR(INDEX('_ENGINE_Risk'!$AE$41:$AE$920,MATCH($E819,'_ENGINE_Risk'!$A$41:$A$920,0)),"Medium"))</f>
        <v/>
      </c>
      <c r="BC819">
        <f>IF($BB819="","",IF($BB819="Fast",1.25,IF($BB819="Slow",0.85,1)))</f>
        <v/>
      </c>
      <c r="BD819">
        <f>IF(OR($AZ819="",$BC819=""),"",ROUND($AZ819*$BC819,2))</f>
        <v/>
      </c>
      <c r="BF819">
        <f>IF(OR($H819="",$J819=""),"",_xlfn.IFNA(VLOOKUP($J819,_CONFIG_Model_Settings!$D$610:$E$614,2,0),""))</f>
        <v/>
      </c>
      <c r="BG819">
        <f>IF(OR($H819="",$K819=""),"",ROUND('Company Profile'!$B$569*INDEX(_CONFIG_Model_Settings!$H$610:$H$614,MATCH($K819,_CONFIG_Model_Settings!$G$610:$G$614,0)),0))</f>
        <v/>
      </c>
      <c r="BH819">
        <f>IF(OR($BF819="",$BG819=""),"",ROUND($BF819*$BG819,1))</f>
        <v/>
      </c>
      <c r="BI819">
        <f>IF($BH819="","",IF($AO819="",$BH819,ROUND($BH819*$AO819,1)))</f>
        <v/>
      </c>
      <c r="BJ819">
        <f>IF($E819="","",IFERROR(VLOOKUP($C819,'_CONFIG_Risk_Calibration'!$A$5:$H$21,2,FALSE),3))</f>
        <v/>
      </c>
      <c r="BK819">
        <f>IF($E819="","",IFERROR(VLOOKUP($C819,'_CONFIG_Risk_Calibration'!$A$5:$H$21,3,FALSE),0))</f>
        <v/>
      </c>
      <c r="BL819">
        <f>IF($E819="","",IFERROR(VLOOKUP($C819,'_CONFIG_Risk_Calibration'!$A$5:$H$21,4,FALSE),3))</f>
        <v/>
      </c>
      <c r="BM819">
        <f>IF($E819="","",IFERROR(VLOOKUP($C819,'_CONFIG_Risk_Calibration'!$A$5:$H$21,5,FALSE),3))</f>
        <v/>
      </c>
      <c r="BN819">
        <f>IF($E819="","",IFERROR(VLOOKUP($C819,'_CONFIG_Risk_Calibration'!$A$5:$H$21,6,FALSE),"No"))</f>
        <v/>
      </c>
      <c r="BO819">
        <f>IF($E819="","",IFERROR(VLOOKUP($C819,'_CONFIG_Risk_Calibration'!$A$5:$H$21,7,FALSE),1))</f>
        <v/>
      </c>
      <c r="BP819">
        <f>IF($H819="","",MAX(1,MIN(5,((6-$H819)*0.45)+($BJ819*0.20)+('Resilience &amp; Risk Scenario'!$B$7*0.15)+($BK819*0.10)+($BL819*0.05)+(IF($BB819="Fast",5,IF($BB819="Slow",1,3))*0.05))))</f>
        <v/>
      </c>
      <c r="BQ819">
        <f>IF($H819="","",MAX(IF($BN819="Yes",$BO819,1),MIN(5,($U819*0.20)+($V819*0.15)+($W819*0.25)+($X819*0.15)+($BJ819*0.10)+($BM819*0.15))))</f>
        <v/>
      </c>
      <c r="BR819">
        <f>IF(OR($BP819="",$BQ819=""),"",ROUND($BP819*$BQ819,2))</f>
        <v/>
      </c>
      <c r="BS819">
        <f>IF($BR819="","",ROUND($BR819*IF($AO819="",1,$AO819)*IF($AX819="",1,$AX819)*(1+(($BM819-3)*0.10))*IF($BC819="",1,$BC819),2))</f>
        <v/>
      </c>
    </row>
    <row r="820" ht="69.90000000000001" customHeight="1" s="209">
      <c r="A820">
        <f>IF($BD820="","",SUMPRODUCT(ISNUMBER($BD$500:$BD$923)*($BD$500:$BD$923&gt;$BD820))+COUNTIF($BD$500:$BD820,$BD820))</f>
        <v/>
      </c>
      <c r="B820">
        <f>IF($H820="","",IF($H820&lt;5,"Yes","Maintain"))</f>
        <v/>
      </c>
      <c r="C820" t="inlineStr">
        <is>
          <t>Business Systems</t>
        </is>
      </c>
      <c r="D820" t="inlineStr">
        <is>
          <t>ERP</t>
        </is>
      </c>
      <c r="E820" t="inlineStr">
        <is>
          <t>BUSI-001</t>
        </is>
      </c>
      <c r="F820" t="inlineStr">
        <is>
          <t>Enterprise systems and application continuity</t>
        </is>
      </c>
      <c r="G820">
        <f>IF($H820="","",IFERROR(INDEX('_ENGINE_Risk'!$H$41:$M$920,MATCH($E820,'_ENGINE_Risk'!$A$41:$A$920,0),$H820+1),""))</f>
        <v/>
      </c>
      <c r="H820">
        <f>IFERROR(VALUE(INDEX(_DATA_Assessment_Model!$H$5:$H$884,MATCH($E820,_DATA_Assessment_Model!$A$5:$A$884,0))),"")</f>
        <v/>
      </c>
      <c r="I820">
        <f>IF($H820="","",IFERROR(INDEX(_DATA_Assessment_Model!$L$5:$L$884,MATCH($E820,_DATA_Assessment_Model!$A$5:$A$884,0)),IF($H820&lt;=1,"Critical",IF($H820=2,"High",IF($H820=3,"Medium",IF($H820=4,"Low","Resilient"))))))</f>
        <v/>
      </c>
      <c r="J820">
        <f>IF($H820="","",MIN(5,MAX(1,6-$H820)))</f>
        <v/>
      </c>
      <c r="K820">
        <f>IF($H820="","",MAX(1,MIN(5,ROUNDUP(($U820*0.45)+($W820*0.35)+($X820*0.2),0))))</f>
        <v/>
      </c>
      <c r="L820">
        <f>IF($H820="","",$J820*$K820)</f>
        <v/>
      </c>
      <c r="M820">
        <f>IF($H820="","",MAX(1,MIN(5,ROUNDUP($L820/5,0))))</f>
        <v/>
      </c>
      <c r="N820">
        <f>IF($H820="","",IFERROR(INDEX('_ENGINE_Risk'!$T$41:$Y$920,MATCH($E820,'_ENGINE_Risk'!$A$41:$A$920,0),$H820+1),""))</f>
        <v/>
      </c>
      <c r="O820">
        <f>IF($H820="","",MAX(1,MIN(5,($U820+$V820+$X820)/3)))</f>
        <v/>
      </c>
      <c r="P820">
        <f>IF($H820="","",IF($I820="Critical",5,IF($I820="High",4,IF($I820="Medium",3,IF($I820="Low",2,1)))))</f>
        <v/>
      </c>
      <c r="Q820">
        <f>IF($H820="","",MAX(1,MIN(5,((5-$H820)*0.65)+($W820*0.35))))</f>
        <v/>
      </c>
      <c r="R820">
        <f>IF($H820="","",MAX(1,MIN(5,($V820+$X820)/2)))</f>
        <v/>
      </c>
      <c r="S820">
        <f>IF(OR($H820="",$N820=""),"",ROUND(($O820+$P820+$Q820+$R820)/$N820,2))</f>
        <v/>
      </c>
      <c r="T820">
        <f>IF($H820="","",IFERROR(INDEX('_ENGINE_Risk'!$N$41:$S$920,MATCH($E820,'_ENGINE_Risk'!$A$41:$A$920,0),$H820+1),""))</f>
        <v/>
      </c>
      <c r="U820">
        <f>IFERROR(INDEX(_DATA_Assessment_Model!$G$5:$G$884,MATCH($E820,_DATA_Assessment_Model!$A$5:$A$884,0)),"")</f>
        <v/>
      </c>
      <c r="V820">
        <f>IFERROR(INDEX(_DATA_Assessment_Model!$W$5:$W$884,MATCH($E820,_DATA_Assessment_Model!$A$5:$A$884,0)),"")</f>
        <v/>
      </c>
      <c r="W820">
        <f>IFERROR(INDEX(_DATA_Assessment_Model!$X$5:$X$884,MATCH($E820,_DATA_Assessment_Model!$A$5:$A$884,0)),"")</f>
        <v/>
      </c>
      <c r="X820">
        <f>IFERROR(INDEX(_DATA_Assessment_Model!$Y$5:$Y$884,MATCH($E820,_DATA_Assessment_Model!$A$5:$A$884,0)),"")</f>
        <v/>
      </c>
      <c r="Y820" t="inlineStr">
        <is>
          <t>IT outage; Decision failure; Process disruption</t>
        </is>
      </c>
      <c r="Z820" t="inlineStr">
        <is>
          <t>CIO / Business Systems</t>
        </is>
      </c>
      <c r="AA820" t="inlineStr">
        <is>
          <t>Policy/SOP; owner/RACI; system report; dashboard; contracts; test records; incident history; interview evidence related to ERP process coverage for finance, procurement, inventory, orders, production or project accounting.</t>
        </is>
      </c>
      <c r="AB820">
        <f>IFERROR(INDEX(_DATA_Assessment_Model!$U$5:$U$884,MATCH($E820,_DATA_Assessment_Model!$A$5:$A$884,0)),"")</f>
        <v/>
      </c>
      <c r="AF820" t="inlineStr">
        <is>
          <t>How mature is the organization in managing ERP process coverage for finance, procurement, inventory, orders, production or project accounting, including ownership, evidence, metrics, fallback procedures and crisis stress testing?</t>
        </is>
      </c>
      <c r="AO820">
        <f>IF($B820="Yes",IFERROR(INDEX(_ENGINE_Crisis!$F$501:$F$517,MATCH($C820,_ENGINE_Crisis!$A$501:$A$517,0)),1),"")</f>
        <v/>
      </c>
      <c r="AP820">
        <f>IF(AO820="","",ROUND($L820*AO820,1))</f>
        <v/>
      </c>
      <c r="AQ820">
        <f>IF(OR(AO820="",$S820=""),"",ROUND($S820*(0.7+0.3*AO820),2))</f>
        <v/>
      </c>
      <c r="AR820">
        <f>IFERROR(INDEX(_ENGINE_Crisis!$E$41:$E$700,MATCH('Resilience &amp; Risk Scenario'!$B$60&amp;"|"&amp;$C820,_ENGINE_Crisis!$I$41:$I$700,0)),"")</f>
        <v/>
      </c>
      <c r="AS820">
        <f>IFERROR(INDEX(_ENGINE_Crisis!$G$41:$G$700,MATCH('Resilience &amp; Risk Scenario'!$B$60&amp;"|"&amp;$C820,_ENGINE_Crisis!$I$41:$I$700,0)),"")</f>
        <v/>
      </c>
      <c r="AT820">
        <f>IFERROR(INDEX(_ENGINE_Initiatives!$A$5:$A$532,MATCH(1,INDEX((_ENGINE_Initiatives!$B$5:$B$532=$C820)*(_ENGINE_Initiatives!$C$5:$C$532=$D820),0),0)),"")</f>
        <v/>
      </c>
      <c r="AU820">
        <f>IFERROR(INDEX(_ENGINE_Initiatives!$F$5:$F$532,MATCH(1,INDEX((_ENGINE_Initiatives!$B$5:$B$532=$C820)*(_ENGINE_Initiatives!$C$5:$C$532=$D820),0),0)),"")</f>
        <v/>
      </c>
      <c r="AV820">
        <f>IFERROR(INDEX(_ENGINE_Initiatives!$AC$5:$AC$532,MATCH(1,INDEX((_ENGINE_Initiatives!$B$5:$B$532=$C820)*(_ENGINE_Initiatives!$C$5:$C$532=$D820),0),0)),"")</f>
        <v/>
      </c>
      <c r="AW820">
        <f>IFERROR(INDEX(_ENGINE_Initiatives!$AE$5:$AE$532,MATCH(1,INDEX((_ENGINE_Initiatives!$B$5:$B$532=$C820)*(_ENGINE_Initiatives!$C$5:$C$532=$D820),0),0)),"")</f>
        <v/>
      </c>
      <c r="AX820">
        <f>IF($B820="Yes",IFERROR(IF(SUMIFS(_REF_Model_Content!$E$1:$E$613,_REF_Model_Content!$A$1:$A$613,'Company Profile'!$B$9,_REF_Model_Content!$B$1:$B$613,$C820)=0,1,SUMIFS(_REF_Model_Content!$E$1:$E$613,_REF_Model_Content!$A$1:$A$613,'Company Profile'!$B$9,_REF_Model_Content!$B$1:$B$613,$C820)),1),"")</f>
        <v/>
      </c>
      <c r="AY820">
        <f>IF($L820="","",ROUND(IF($AP820="",$L820,$AP820)*IF($AX820="",1,$AX820),2))</f>
        <v/>
      </c>
      <c r="AZ820">
        <f>IF($S820="","",ROUND(IF($AQ820="",$S820,$AQ820)*IF($AX820="",1,$AX820),2))</f>
        <v/>
      </c>
      <c r="BB820">
        <f>IF($H820="","",IFERROR(INDEX('_ENGINE_Risk'!$AE$41:$AE$920,MATCH($E820,'_ENGINE_Risk'!$A$41:$A$920,0)),"Medium"))</f>
        <v/>
      </c>
      <c r="BC820">
        <f>IF($BB820="","",IF($BB820="Fast",1.25,IF($BB820="Slow",0.85,1)))</f>
        <v/>
      </c>
      <c r="BD820">
        <f>IF(OR($AZ820="",$BC820=""),"",ROUND($AZ820*$BC820,2))</f>
        <v/>
      </c>
      <c r="BF820">
        <f>IF(OR($H820="",$J820=""),"",_xlfn.IFNA(VLOOKUP($J820,_CONFIG_Model_Settings!$D$610:$E$614,2,0),""))</f>
        <v/>
      </c>
      <c r="BG820">
        <f>IF(OR($H820="",$K820=""),"",ROUND('Company Profile'!$B$569*INDEX(_CONFIG_Model_Settings!$H$610:$H$614,MATCH($K820,_CONFIG_Model_Settings!$G$610:$G$614,0)),0))</f>
        <v/>
      </c>
      <c r="BH820">
        <f>IF(OR($BF820="",$BG820=""),"",ROUND($BF820*$BG820,1))</f>
        <v/>
      </c>
      <c r="BI820">
        <f>IF($BH820="","",IF($AO820="",$BH820,ROUND($BH820*$AO820,1)))</f>
        <v/>
      </c>
      <c r="BJ820">
        <f>IF($E820="","",IFERROR(VLOOKUP($C820,'_CONFIG_Risk_Calibration'!$A$5:$H$21,2,FALSE),3))</f>
        <v/>
      </c>
      <c r="BK820">
        <f>IF($E820="","",IFERROR(VLOOKUP($C820,'_CONFIG_Risk_Calibration'!$A$5:$H$21,3,FALSE),0))</f>
        <v/>
      </c>
      <c r="BL820">
        <f>IF($E820="","",IFERROR(VLOOKUP($C820,'_CONFIG_Risk_Calibration'!$A$5:$H$21,4,FALSE),3))</f>
        <v/>
      </c>
      <c r="BM820">
        <f>IF($E820="","",IFERROR(VLOOKUP($C820,'_CONFIG_Risk_Calibration'!$A$5:$H$21,5,FALSE),3))</f>
        <v/>
      </c>
      <c r="BN820">
        <f>IF($E820="","",IFERROR(VLOOKUP($C820,'_CONFIG_Risk_Calibration'!$A$5:$H$21,6,FALSE),"No"))</f>
        <v/>
      </c>
      <c r="BO820">
        <f>IF($E820="","",IFERROR(VLOOKUP($C820,'_CONFIG_Risk_Calibration'!$A$5:$H$21,7,FALSE),1))</f>
        <v/>
      </c>
      <c r="BP820">
        <f>IF($H820="","",MAX(1,MIN(5,((6-$H820)*0.45)+($BJ820*0.20)+('Resilience &amp; Risk Scenario'!$B$7*0.15)+($BK820*0.10)+($BL820*0.05)+(IF($BB820="Fast",5,IF($BB820="Slow",1,3))*0.05))))</f>
        <v/>
      </c>
      <c r="BQ820">
        <f>IF($H820="","",MAX(IF($BN820="Yes",$BO820,1),MIN(5,($U820*0.20)+($V820*0.15)+($W820*0.25)+($X820*0.15)+($BJ820*0.10)+($BM820*0.15))))</f>
        <v/>
      </c>
      <c r="BR820">
        <f>IF(OR($BP820="",$BQ820=""),"",ROUND($BP820*$BQ820,2))</f>
        <v/>
      </c>
      <c r="BS820">
        <f>IF($BR820="","",ROUND($BR820*IF($AO820="",1,$AO820)*IF($AX820="",1,$AX820)*(1+(($BM820-3)*0.10))*IF($BC820="",1,$BC820),2))</f>
        <v/>
      </c>
    </row>
    <row r="821" ht="69.90000000000001" customHeight="1" s="209">
      <c r="A821">
        <f>IF($BD821="","",SUMPRODUCT(ISNUMBER($BD$500:$BD$923)*($BD$500:$BD$923&gt;$BD821))+COUNTIF($BD$500:$BD821,$BD821))</f>
        <v/>
      </c>
      <c r="B821">
        <f>IF($H821="","",IF($H821&lt;5,"Yes","Maintain"))</f>
        <v/>
      </c>
      <c r="C821" t="inlineStr">
        <is>
          <t>Business Systems</t>
        </is>
      </c>
      <c r="D821" t="inlineStr">
        <is>
          <t>ERP</t>
        </is>
      </c>
      <c r="E821" t="inlineStr">
        <is>
          <t>BUSI-002</t>
        </is>
      </c>
      <c r="F821" t="inlineStr">
        <is>
          <t>Enterprise systems and application continuity</t>
        </is>
      </c>
      <c r="G821">
        <f>IF($H821="","",IFERROR(INDEX('_ENGINE_Risk'!$H$41:$M$920,MATCH($E821,'_ENGINE_Risk'!$A$41:$A$920,0),$H821+1),""))</f>
        <v/>
      </c>
      <c r="H821">
        <f>IFERROR(VALUE(INDEX(_DATA_Assessment_Model!$H$5:$H$884,MATCH($E821,_DATA_Assessment_Model!$A$5:$A$884,0))),"")</f>
        <v/>
      </c>
      <c r="I821">
        <f>IF($H821="","",IFERROR(INDEX(_DATA_Assessment_Model!$L$5:$L$884,MATCH($E821,_DATA_Assessment_Model!$A$5:$A$884,0)),IF($H821&lt;=1,"Critical",IF($H821=2,"High",IF($H821=3,"Medium",IF($H821=4,"Low","Resilient"))))))</f>
        <v/>
      </c>
      <c r="J821">
        <f>IF($H821="","",MIN(5,MAX(1,6-$H821)))</f>
        <v/>
      </c>
      <c r="K821">
        <f>IF($H821="","",MAX(1,MIN(5,ROUNDUP(($U821*0.45)+($W821*0.35)+($X821*0.2),0))))</f>
        <v/>
      </c>
      <c r="L821">
        <f>IF($H821="","",$J821*$K821)</f>
        <v/>
      </c>
      <c r="M821">
        <f>IF($H821="","",MAX(1,MIN(5,ROUNDUP($L821/5,0))))</f>
        <v/>
      </c>
      <c r="N821">
        <f>IF($H821="","",IFERROR(INDEX('_ENGINE_Risk'!$T$41:$Y$920,MATCH($E821,'_ENGINE_Risk'!$A$41:$A$920,0),$H821+1),""))</f>
        <v/>
      </c>
      <c r="O821">
        <f>IF($H821="","",MAX(1,MIN(5,($U821+$V821+$X821)/3)))</f>
        <v/>
      </c>
      <c r="P821">
        <f>IF($H821="","",IF($I821="Critical",5,IF($I821="High",4,IF($I821="Medium",3,IF($I821="Low",2,1)))))</f>
        <v/>
      </c>
      <c r="Q821">
        <f>IF($H821="","",MAX(1,MIN(5,((5-$H821)*0.65)+($W821*0.35))))</f>
        <v/>
      </c>
      <c r="R821">
        <f>IF($H821="","",MAX(1,MIN(5,($V821+$X821)/2)))</f>
        <v/>
      </c>
      <c r="S821">
        <f>IF(OR($H821="",$N821=""),"",ROUND(($O821+$P821+$Q821+$R821)/$N821,2))</f>
        <v/>
      </c>
      <c r="T821">
        <f>IF($H821="","",IFERROR(INDEX('_ENGINE_Risk'!$N$41:$S$920,MATCH($E821,'_ENGINE_Risk'!$A$41:$A$920,0),$H821+1),""))</f>
        <v/>
      </c>
      <c r="U821">
        <f>IFERROR(INDEX(_DATA_Assessment_Model!$G$5:$G$884,MATCH($E821,_DATA_Assessment_Model!$A$5:$A$884,0)),"")</f>
        <v/>
      </c>
      <c r="V821">
        <f>IFERROR(INDEX(_DATA_Assessment_Model!$W$5:$W$884,MATCH($E821,_DATA_Assessment_Model!$A$5:$A$884,0)),"")</f>
        <v/>
      </c>
      <c r="W821">
        <f>IFERROR(INDEX(_DATA_Assessment_Model!$X$5:$X$884,MATCH($E821,_DATA_Assessment_Model!$A$5:$A$884,0)),"")</f>
        <v/>
      </c>
      <c r="X821">
        <f>IFERROR(INDEX(_DATA_Assessment_Model!$Y$5:$Y$884,MATCH($E821,_DATA_Assessment_Model!$A$5:$A$884,0)),"")</f>
        <v/>
      </c>
      <c r="Y821" t="inlineStr">
        <is>
          <t>IT outage; Decision failure; Process disruption</t>
        </is>
      </c>
      <c r="Z821" t="inlineStr">
        <is>
          <t>CIO / Business Systems</t>
        </is>
      </c>
      <c r="AA821" t="inlineStr">
        <is>
          <t>Policy/SOP; owner/RACI; system report; dashboard; contracts; test records; incident history; interview evidence related to ERP master data governance for customers, suppliers, items, BOMs, chart of accounts, cost centers and pricing.</t>
        </is>
      </c>
      <c r="AB821">
        <f>IFERROR(INDEX(_DATA_Assessment_Model!$U$5:$U$884,MATCH($E821,_DATA_Assessment_Model!$A$5:$A$884,0)),"")</f>
        <v/>
      </c>
      <c r="AF821" t="inlineStr">
        <is>
          <t>How mature is the organization in managing ERP master data governance for customers, suppliers, items, BOMs, chart of accounts, cost centers and pricing, including ownership, evidence, metrics, fallback procedures and crisis stress testing?</t>
        </is>
      </c>
      <c r="AO821">
        <f>IF($B821="Yes",IFERROR(INDEX(_ENGINE_Crisis!$F$501:$F$517,MATCH($C821,_ENGINE_Crisis!$A$501:$A$517,0)),1),"")</f>
        <v/>
      </c>
      <c r="AP821">
        <f>IF(AO821="","",ROUND($L821*AO821,1))</f>
        <v/>
      </c>
      <c r="AQ821">
        <f>IF(OR(AO821="",$S821=""),"",ROUND($S821*(0.7+0.3*AO821),2))</f>
        <v/>
      </c>
      <c r="AR821">
        <f>IFERROR(INDEX(_ENGINE_Crisis!$E$41:$E$700,MATCH('Resilience &amp; Risk Scenario'!$B$60&amp;"|"&amp;$C821,_ENGINE_Crisis!$I$41:$I$700,0)),"")</f>
        <v/>
      </c>
      <c r="AS821">
        <f>IFERROR(INDEX(_ENGINE_Crisis!$G$41:$G$700,MATCH('Resilience &amp; Risk Scenario'!$B$60&amp;"|"&amp;$C821,_ENGINE_Crisis!$I$41:$I$700,0)),"")</f>
        <v/>
      </c>
      <c r="AT821">
        <f>IFERROR(INDEX(_ENGINE_Initiatives!$A$5:$A$532,MATCH(1,INDEX((_ENGINE_Initiatives!$B$5:$B$532=$C821)*(_ENGINE_Initiatives!$C$5:$C$532=$D821),0),0)),"")</f>
        <v/>
      </c>
      <c r="AU821">
        <f>IFERROR(INDEX(_ENGINE_Initiatives!$F$5:$F$532,MATCH(1,INDEX((_ENGINE_Initiatives!$B$5:$B$532=$C821)*(_ENGINE_Initiatives!$C$5:$C$532=$D821),0),0)),"")</f>
        <v/>
      </c>
      <c r="AV821">
        <f>IFERROR(INDEX(_ENGINE_Initiatives!$AC$5:$AC$532,MATCH(1,INDEX((_ENGINE_Initiatives!$B$5:$B$532=$C821)*(_ENGINE_Initiatives!$C$5:$C$532=$D821),0),0)),"")</f>
        <v/>
      </c>
      <c r="AW821">
        <f>IFERROR(INDEX(_ENGINE_Initiatives!$AE$5:$AE$532,MATCH(1,INDEX((_ENGINE_Initiatives!$B$5:$B$532=$C821)*(_ENGINE_Initiatives!$C$5:$C$532=$D821),0),0)),"")</f>
        <v/>
      </c>
      <c r="AX821">
        <f>IF($B821="Yes",IFERROR(IF(SUMIFS(_REF_Model_Content!$E$1:$E$613,_REF_Model_Content!$A$1:$A$613,'Company Profile'!$B$9,_REF_Model_Content!$B$1:$B$613,$C821)=0,1,SUMIFS(_REF_Model_Content!$E$1:$E$613,_REF_Model_Content!$A$1:$A$613,'Company Profile'!$B$9,_REF_Model_Content!$B$1:$B$613,$C821)),1),"")</f>
        <v/>
      </c>
      <c r="AY821">
        <f>IF($L821="","",ROUND(IF($AP821="",$L821,$AP821)*IF($AX821="",1,$AX821),2))</f>
        <v/>
      </c>
      <c r="AZ821">
        <f>IF($S821="","",ROUND(IF($AQ821="",$S821,$AQ821)*IF($AX821="",1,$AX821),2))</f>
        <v/>
      </c>
      <c r="BB821">
        <f>IF($H821="","",IFERROR(INDEX('_ENGINE_Risk'!$AE$41:$AE$920,MATCH($E821,'_ENGINE_Risk'!$A$41:$A$920,0)),"Medium"))</f>
        <v/>
      </c>
      <c r="BC821">
        <f>IF($BB821="","",IF($BB821="Fast",1.25,IF($BB821="Slow",0.85,1)))</f>
        <v/>
      </c>
      <c r="BD821">
        <f>IF(OR($AZ821="",$BC821=""),"",ROUND($AZ821*$BC821,2))</f>
        <v/>
      </c>
      <c r="BF821">
        <f>IF(OR($H821="",$J821=""),"",_xlfn.IFNA(VLOOKUP($J821,_CONFIG_Model_Settings!$D$610:$E$614,2,0),""))</f>
        <v/>
      </c>
      <c r="BG821">
        <f>IF(OR($H821="",$K821=""),"",ROUND('Company Profile'!$B$569*INDEX(_CONFIG_Model_Settings!$H$610:$H$614,MATCH($K821,_CONFIG_Model_Settings!$G$610:$G$614,0)),0))</f>
        <v/>
      </c>
      <c r="BH821">
        <f>IF(OR($BF821="",$BG821=""),"",ROUND($BF821*$BG821,1))</f>
        <v/>
      </c>
      <c r="BI821">
        <f>IF($BH821="","",IF($AO821="",$BH821,ROUND($BH821*$AO821,1)))</f>
        <v/>
      </c>
      <c r="BJ821">
        <f>IF($E821="","",IFERROR(VLOOKUP($C821,'_CONFIG_Risk_Calibration'!$A$5:$H$21,2,FALSE),3))</f>
        <v/>
      </c>
      <c r="BK821">
        <f>IF($E821="","",IFERROR(VLOOKUP($C821,'_CONFIG_Risk_Calibration'!$A$5:$H$21,3,FALSE),0))</f>
        <v/>
      </c>
      <c r="BL821">
        <f>IF($E821="","",IFERROR(VLOOKUP($C821,'_CONFIG_Risk_Calibration'!$A$5:$H$21,4,FALSE),3))</f>
        <v/>
      </c>
      <c r="BM821">
        <f>IF($E821="","",IFERROR(VLOOKUP($C821,'_CONFIG_Risk_Calibration'!$A$5:$H$21,5,FALSE),3))</f>
        <v/>
      </c>
      <c r="BN821">
        <f>IF($E821="","",IFERROR(VLOOKUP($C821,'_CONFIG_Risk_Calibration'!$A$5:$H$21,6,FALSE),"No"))</f>
        <v/>
      </c>
      <c r="BO821">
        <f>IF($E821="","",IFERROR(VLOOKUP($C821,'_CONFIG_Risk_Calibration'!$A$5:$H$21,7,FALSE),1))</f>
        <v/>
      </c>
      <c r="BP821">
        <f>IF($H821="","",MAX(1,MIN(5,((6-$H821)*0.45)+($BJ821*0.20)+('Resilience &amp; Risk Scenario'!$B$7*0.15)+($BK821*0.10)+($BL821*0.05)+(IF($BB821="Fast",5,IF($BB821="Slow",1,3))*0.05))))</f>
        <v/>
      </c>
      <c r="BQ821">
        <f>IF($H821="","",MAX(IF($BN821="Yes",$BO821,1),MIN(5,($U821*0.20)+($V821*0.15)+($W821*0.25)+($X821*0.15)+($BJ821*0.10)+($BM821*0.15))))</f>
        <v/>
      </c>
      <c r="BR821">
        <f>IF(OR($BP821="",$BQ821=""),"",ROUND($BP821*$BQ821,2))</f>
        <v/>
      </c>
      <c r="BS821">
        <f>IF($BR821="","",ROUND($BR821*IF($AO821="",1,$AO821)*IF($AX821="",1,$AX821)*(1+(($BM821-3)*0.10))*IF($BC821="",1,$BC821),2))</f>
        <v/>
      </c>
    </row>
    <row r="822" ht="69.90000000000001" customHeight="1" s="209">
      <c r="A822">
        <f>IF($BD822="","",SUMPRODUCT(ISNUMBER($BD$500:$BD$923)*($BD$500:$BD$923&gt;$BD822))+COUNTIF($BD$500:$BD822,$BD822))</f>
        <v/>
      </c>
      <c r="B822">
        <f>IF($H822="","",IF($H822&lt;5,"Yes","Maintain"))</f>
        <v/>
      </c>
      <c r="C822" t="inlineStr">
        <is>
          <t>Business Systems</t>
        </is>
      </c>
      <c r="D822" t="inlineStr">
        <is>
          <t>ERP</t>
        </is>
      </c>
      <c r="E822" t="inlineStr">
        <is>
          <t>BUSI-003</t>
        </is>
      </c>
      <c r="F822" t="inlineStr">
        <is>
          <t>Enterprise systems and application continuity</t>
        </is>
      </c>
      <c r="G822">
        <f>IF($H822="","",IFERROR(INDEX('_ENGINE_Risk'!$H$41:$M$920,MATCH($E822,'_ENGINE_Risk'!$A$41:$A$920,0),$H822+1),""))</f>
        <v/>
      </c>
      <c r="H822">
        <f>IFERROR(VALUE(INDEX(_DATA_Assessment_Model!$H$5:$H$884,MATCH($E822,_DATA_Assessment_Model!$A$5:$A$884,0))),"")</f>
        <v/>
      </c>
      <c r="I822">
        <f>IF($H822="","",IFERROR(INDEX(_DATA_Assessment_Model!$L$5:$L$884,MATCH($E822,_DATA_Assessment_Model!$A$5:$A$884,0)),IF($H822&lt;=1,"Critical",IF($H822=2,"High",IF($H822=3,"Medium",IF($H822=4,"Low","Resilient"))))))</f>
        <v/>
      </c>
      <c r="J822">
        <f>IF($H822="","",MIN(5,MAX(1,6-$H822)))</f>
        <v/>
      </c>
      <c r="K822">
        <f>IF($H822="","",MAX(1,MIN(5,ROUNDUP(($U822*0.45)+($W822*0.35)+($X822*0.2),0))))</f>
        <v/>
      </c>
      <c r="L822">
        <f>IF($H822="","",$J822*$K822)</f>
        <v/>
      </c>
      <c r="M822">
        <f>IF($H822="","",MAX(1,MIN(5,ROUNDUP($L822/5,0))))</f>
        <v/>
      </c>
      <c r="N822">
        <f>IF($H822="","",IFERROR(INDEX('_ENGINE_Risk'!$T$41:$Y$920,MATCH($E822,'_ENGINE_Risk'!$A$41:$A$920,0),$H822+1),""))</f>
        <v/>
      </c>
      <c r="O822">
        <f>IF($H822="","",MAX(1,MIN(5,($U822+$V822+$X822)/3)))</f>
        <v/>
      </c>
      <c r="P822">
        <f>IF($H822="","",IF($I822="Critical",5,IF($I822="High",4,IF($I822="Medium",3,IF($I822="Low",2,1)))))</f>
        <v/>
      </c>
      <c r="Q822">
        <f>IF($H822="","",MAX(1,MIN(5,((5-$H822)*0.65)+($W822*0.35))))</f>
        <v/>
      </c>
      <c r="R822">
        <f>IF($H822="","",MAX(1,MIN(5,($V822+$X822)/2)))</f>
        <v/>
      </c>
      <c r="S822">
        <f>IF(OR($H822="",$N822=""),"",ROUND(($O822+$P822+$Q822+$R822)/$N822,2))</f>
        <v/>
      </c>
      <c r="T822">
        <f>IF($H822="","",IFERROR(INDEX('_ENGINE_Risk'!$N$41:$S$920,MATCH($E822,'_ENGINE_Risk'!$A$41:$A$920,0),$H822+1),""))</f>
        <v/>
      </c>
      <c r="U822">
        <f>IFERROR(INDEX(_DATA_Assessment_Model!$G$5:$G$884,MATCH($E822,_DATA_Assessment_Model!$A$5:$A$884,0)),"")</f>
        <v/>
      </c>
      <c r="V822">
        <f>IFERROR(INDEX(_DATA_Assessment_Model!$W$5:$W$884,MATCH($E822,_DATA_Assessment_Model!$A$5:$A$884,0)),"")</f>
        <v/>
      </c>
      <c r="W822">
        <f>IFERROR(INDEX(_DATA_Assessment_Model!$X$5:$X$884,MATCH($E822,_DATA_Assessment_Model!$A$5:$A$884,0)),"")</f>
        <v/>
      </c>
      <c r="X822">
        <f>IFERROR(INDEX(_DATA_Assessment_Model!$Y$5:$Y$884,MATCH($E822,_DATA_Assessment_Model!$A$5:$A$884,0)),"")</f>
        <v/>
      </c>
      <c r="Y822" t="inlineStr">
        <is>
          <t>IT outage; Decision failure; Process disruption</t>
        </is>
      </c>
      <c r="Z822" t="inlineStr">
        <is>
          <t>CIO / Business Systems</t>
        </is>
      </c>
      <c r="AA822" t="inlineStr">
        <is>
          <t>Policy/SOP; owner/RACI; system report; dashboard; contracts; test records; incident history; interview evidence related to ERP access controls, approvals and segregation of duties.</t>
        </is>
      </c>
      <c r="AB822">
        <f>IFERROR(INDEX(_DATA_Assessment_Model!$U$5:$U$884,MATCH($E822,_DATA_Assessment_Model!$A$5:$A$884,0)),"")</f>
        <v/>
      </c>
      <c r="AF822" t="inlineStr">
        <is>
          <t>How mature is the organization in managing ERP access controls, approvals and segregation of duties, including ownership, evidence, metrics, fallback procedures and crisis stress testing?</t>
        </is>
      </c>
      <c r="AO822">
        <f>IF($B822="Yes",IFERROR(INDEX(_ENGINE_Crisis!$F$501:$F$517,MATCH($C822,_ENGINE_Crisis!$A$501:$A$517,0)),1),"")</f>
        <v/>
      </c>
      <c r="AP822">
        <f>IF(AO822="","",ROUND($L822*AO822,1))</f>
        <v/>
      </c>
      <c r="AQ822">
        <f>IF(OR(AO822="",$S822=""),"",ROUND($S822*(0.7+0.3*AO822),2))</f>
        <v/>
      </c>
      <c r="AR822">
        <f>IFERROR(INDEX(_ENGINE_Crisis!$E$41:$E$700,MATCH('Resilience &amp; Risk Scenario'!$B$60&amp;"|"&amp;$C822,_ENGINE_Crisis!$I$41:$I$700,0)),"")</f>
        <v/>
      </c>
      <c r="AS822">
        <f>IFERROR(INDEX(_ENGINE_Crisis!$G$41:$G$700,MATCH('Resilience &amp; Risk Scenario'!$B$60&amp;"|"&amp;$C822,_ENGINE_Crisis!$I$41:$I$700,0)),"")</f>
        <v/>
      </c>
      <c r="AT822">
        <f>IFERROR(INDEX(_ENGINE_Initiatives!$A$5:$A$532,MATCH(1,INDEX((_ENGINE_Initiatives!$B$5:$B$532=$C822)*(_ENGINE_Initiatives!$C$5:$C$532=$D822),0),0)),"")</f>
        <v/>
      </c>
      <c r="AU822">
        <f>IFERROR(INDEX(_ENGINE_Initiatives!$F$5:$F$532,MATCH(1,INDEX((_ENGINE_Initiatives!$B$5:$B$532=$C822)*(_ENGINE_Initiatives!$C$5:$C$532=$D822),0),0)),"")</f>
        <v/>
      </c>
      <c r="AV822">
        <f>IFERROR(INDEX(_ENGINE_Initiatives!$AC$5:$AC$532,MATCH(1,INDEX((_ENGINE_Initiatives!$B$5:$B$532=$C822)*(_ENGINE_Initiatives!$C$5:$C$532=$D822),0),0)),"")</f>
        <v/>
      </c>
      <c r="AW822">
        <f>IFERROR(INDEX(_ENGINE_Initiatives!$AE$5:$AE$532,MATCH(1,INDEX((_ENGINE_Initiatives!$B$5:$B$532=$C822)*(_ENGINE_Initiatives!$C$5:$C$532=$D822),0),0)),"")</f>
        <v/>
      </c>
      <c r="AX822">
        <f>IF($B822="Yes",IFERROR(IF(SUMIFS(_REF_Model_Content!$E$1:$E$613,_REF_Model_Content!$A$1:$A$613,'Company Profile'!$B$9,_REF_Model_Content!$B$1:$B$613,$C822)=0,1,SUMIFS(_REF_Model_Content!$E$1:$E$613,_REF_Model_Content!$A$1:$A$613,'Company Profile'!$B$9,_REF_Model_Content!$B$1:$B$613,$C822)),1),"")</f>
        <v/>
      </c>
      <c r="AY822">
        <f>IF($L822="","",ROUND(IF($AP822="",$L822,$AP822)*IF($AX822="",1,$AX822),2))</f>
        <v/>
      </c>
      <c r="AZ822">
        <f>IF($S822="","",ROUND(IF($AQ822="",$S822,$AQ822)*IF($AX822="",1,$AX822),2))</f>
        <v/>
      </c>
      <c r="BB822">
        <f>IF($H822="","",IFERROR(INDEX('_ENGINE_Risk'!$AE$41:$AE$920,MATCH($E822,'_ENGINE_Risk'!$A$41:$A$920,0)),"Medium"))</f>
        <v/>
      </c>
      <c r="BC822">
        <f>IF($BB822="","",IF($BB822="Fast",1.25,IF($BB822="Slow",0.85,1)))</f>
        <v/>
      </c>
      <c r="BD822">
        <f>IF(OR($AZ822="",$BC822=""),"",ROUND($AZ822*$BC822,2))</f>
        <v/>
      </c>
      <c r="BF822">
        <f>IF(OR($H822="",$J822=""),"",_xlfn.IFNA(VLOOKUP($J822,_CONFIG_Model_Settings!$D$610:$E$614,2,0),""))</f>
        <v/>
      </c>
      <c r="BG822">
        <f>IF(OR($H822="",$K822=""),"",ROUND('Company Profile'!$B$569*INDEX(_CONFIG_Model_Settings!$H$610:$H$614,MATCH($K822,_CONFIG_Model_Settings!$G$610:$G$614,0)),0))</f>
        <v/>
      </c>
      <c r="BH822">
        <f>IF(OR($BF822="",$BG822=""),"",ROUND($BF822*$BG822,1))</f>
        <v/>
      </c>
      <c r="BI822">
        <f>IF($BH822="","",IF($AO822="",$BH822,ROUND($BH822*$AO822,1)))</f>
        <v/>
      </c>
      <c r="BJ822">
        <f>IF($E822="","",IFERROR(VLOOKUP($C822,'_CONFIG_Risk_Calibration'!$A$5:$H$21,2,FALSE),3))</f>
        <v/>
      </c>
      <c r="BK822">
        <f>IF($E822="","",IFERROR(VLOOKUP($C822,'_CONFIG_Risk_Calibration'!$A$5:$H$21,3,FALSE),0))</f>
        <v/>
      </c>
      <c r="BL822">
        <f>IF($E822="","",IFERROR(VLOOKUP($C822,'_CONFIG_Risk_Calibration'!$A$5:$H$21,4,FALSE),3))</f>
        <v/>
      </c>
      <c r="BM822">
        <f>IF($E822="","",IFERROR(VLOOKUP($C822,'_CONFIG_Risk_Calibration'!$A$5:$H$21,5,FALSE),3))</f>
        <v/>
      </c>
      <c r="BN822">
        <f>IF($E822="","",IFERROR(VLOOKUP($C822,'_CONFIG_Risk_Calibration'!$A$5:$H$21,6,FALSE),"No"))</f>
        <v/>
      </c>
      <c r="BO822">
        <f>IF($E822="","",IFERROR(VLOOKUP($C822,'_CONFIG_Risk_Calibration'!$A$5:$H$21,7,FALSE),1))</f>
        <v/>
      </c>
      <c r="BP822">
        <f>IF($H822="","",MAX(1,MIN(5,((6-$H822)*0.45)+($BJ822*0.20)+('Resilience &amp; Risk Scenario'!$B$7*0.15)+($BK822*0.10)+($BL822*0.05)+(IF($BB822="Fast",5,IF($BB822="Slow",1,3))*0.05))))</f>
        <v/>
      </c>
      <c r="BQ822">
        <f>IF($H822="","",MAX(IF($BN822="Yes",$BO822,1),MIN(5,($U822*0.20)+($V822*0.15)+($W822*0.25)+($X822*0.15)+($BJ822*0.10)+($BM822*0.15))))</f>
        <v/>
      </c>
      <c r="BR822">
        <f>IF(OR($BP822="",$BQ822=""),"",ROUND($BP822*$BQ822,2))</f>
        <v/>
      </c>
      <c r="BS822">
        <f>IF($BR822="","",ROUND($BR822*IF($AO822="",1,$AO822)*IF($AX822="",1,$AX822)*(1+(($BM822-3)*0.10))*IF($BC822="",1,$BC822),2))</f>
        <v/>
      </c>
    </row>
    <row r="823" ht="69.90000000000001" customHeight="1" s="209">
      <c r="A823">
        <f>IF($BD823="","",SUMPRODUCT(ISNUMBER($BD$500:$BD$923)*($BD$500:$BD$923&gt;$BD823))+COUNTIF($BD$500:$BD823,$BD823))</f>
        <v/>
      </c>
      <c r="B823">
        <f>IF($H823="","",IF($H823&lt;5,"Yes","Maintain"))</f>
        <v/>
      </c>
      <c r="C823" t="inlineStr">
        <is>
          <t>Business Systems</t>
        </is>
      </c>
      <c r="D823" t="inlineStr">
        <is>
          <t>ERP</t>
        </is>
      </c>
      <c r="E823" t="inlineStr">
        <is>
          <t>BUSI-004</t>
        </is>
      </c>
      <c r="F823" t="inlineStr">
        <is>
          <t>Enterprise systems and application continuity</t>
        </is>
      </c>
      <c r="G823">
        <f>IF($H823="","",IFERROR(INDEX('_ENGINE_Risk'!$H$41:$M$920,MATCH($E823,'_ENGINE_Risk'!$A$41:$A$920,0),$H823+1),""))</f>
        <v/>
      </c>
      <c r="H823">
        <f>IFERROR(VALUE(INDEX(_DATA_Assessment_Model!$H$5:$H$884,MATCH($E823,_DATA_Assessment_Model!$A$5:$A$884,0))),"")</f>
        <v/>
      </c>
      <c r="I823">
        <f>IF($H823="","",IFERROR(INDEX(_DATA_Assessment_Model!$L$5:$L$884,MATCH($E823,_DATA_Assessment_Model!$A$5:$A$884,0)),IF($H823&lt;=1,"Critical",IF($H823=2,"High",IF($H823=3,"Medium",IF($H823=4,"Low","Resilient"))))))</f>
        <v/>
      </c>
      <c r="J823">
        <f>IF($H823="","",MIN(5,MAX(1,6-$H823)))</f>
        <v/>
      </c>
      <c r="K823">
        <f>IF($H823="","",MAX(1,MIN(5,ROUNDUP(($U823*0.45)+($W823*0.35)+($X823*0.2),0))))</f>
        <v/>
      </c>
      <c r="L823">
        <f>IF($H823="","",$J823*$K823)</f>
        <v/>
      </c>
      <c r="M823">
        <f>IF($H823="","",MAX(1,MIN(5,ROUNDUP($L823/5,0))))</f>
        <v/>
      </c>
      <c r="N823">
        <f>IF($H823="","",IFERROR(INDEX('_ENGINE_Risk'!$T$41:$Y$920,MATCH($E823,'_ENGINE_Risk'!$A$41:$A$920,0),$H823+1),""))</f>
        <v/>
      </c>
      <c r="O823">
        <f>IF($H823="","",MAX(1,MIN(5,($U823+$V823+$X823)/3)))</f>
        <v/>
      </c>
      <c r="P823">
        <f>IF($H823="","",IF($I823="Critical",5,IF($I823="High",4,IF($I823="Medium",3,IF($I823="Low",2,1)))))</f>
        <v/>
      </c>
      <c r="Q823">
        <f>IF($H823="","",MAX(1,MIN(5,((5-$H823)*0.65)+($W823*0.35))))</f>
        <v/>
      </c>
      <c r="R823">
        <f>IF($H823="","",MAX(1,MIN(5,($V823+$X823)/2)))</f>
        <v/>
      </c>
      <c r="S823">
        <f>IF(OR($H823="",$N823=""),"",ROUND(($O823+$P823+$Q823+$R823)/$N823,2))</f>
        <v/>
      </c>
      <c r="T823">
        <f>IF($H823="","",IFERROR(INDEX('_ENGINE_Risk'!$N$41:$S$920,MATCH($E823,'_ENGINE_Risk'!$A$41:$A$920,0),$H823+1),""))</f>
        <v/>
      </c>
      <c r="U823">
        <f>IFERROR(INDEX(_DATA_Assessment_Model!$G$5:$G$884,MATCH($E823,_DATA_Assessment_Model!$A$5:$A$884,0)),"")</f>
        <v/>
      </c>
      <c r="V823">
        <f>IFERROR(INDEX(_DATA_Assessment_Model!$W$5:$W$884,MATCH($E823,_DATA_Assessment_Model!$A$5:$A$884,0)),"")</f>
        <v/>
      </c>
      <c r="W823">
        <f>IFERROR(INDEX(_DATA_Assessment_Model!$X$5:$X$884,MATCH($E823,_DATA_Assessment_Model!$A$5:$A$884,0)),"")</f>
        <v/>
      </c>
      <c r="X823">
        <f>IFERROR(INDEX(_DATA_Assessment_Model!$Y$5:$Y$884,MATCH($E823,_DATA_Assessment_Model!$A$5:$A$884,0)),"")</f>
        <v/>
      </c>
      <c r="Y823" t="inlineStr">
        <is>
          <t>IT outage; Decision failure; Process disruption</t>
        </is>
      </c>
      <c r="Z823" t="inlineStr">
        <is>
          <t>CIO / Business Systems</t>
        </is>
      </c>
      <c r="AA823" t="inlineStr">
        <is>
          <t>Policy/SOP; owner/RACI; system report; dashboard; contracts; test records; incident history; interview evidence related to ERP continuity with RTO, RPO, backup, vendor support and manual fallback.</t>
        </is>
      </c>
      <c r="AB823">
        <f>IFERROR(INDEX(_DATA_Assessment_Model!$U$5:$U$884,MATCH($E823,_DATA_Assessment_Model!$A$5:$A$884,0)),"")</f>
        <v/>
      </c>
      <c r="AF823" t="inlineStr">
        <is>
          <t>How mature is the organization in managing ERP continuity with RTO, RPO, backup, vendor support and manual fallback, including ownership, evidence, metrics, fallback procedures and crisis stress testing?</t>
        </is>
      </c>
      <c r="AO823">
        <f>IF($B823="Yes",IFERROR(INDEX(_ENGINE_Crisis!$F$501:$F$517,MATCH($C823,_ENGINE_Crisis!$A$501:$A$517,0)),1),"")</f>
        <v/>
      </c>
      <c r="AP823">
        <f>IF(AO823="","",ROUND($L823*AO823,1))</f>
        <v/>
      </c>
      <c r="AQ823">
        <f>IF(OR(AO823="",$S823=""),"",ROUND($S823*(0.7+0.3*AO823),2))</f>
        <v/>
      </c>
      <c r="AR823">
        <f>IFERROR(INDEX(_ENGINE_Crisis!$E$41:$E$700,MATCH('Resilience &amp; Risk Scenario'!$B$60&amp;"|"&amp;$C823,_ENGINE_Crisis!$I$41:$I$700,0)),"")</f>
        <v/>
      </c>
      <c r="AS823">
        <f>IFERROR(INDEX(_ENGINE_Crisis!$G$41:$G$700,MATCH('Resilience &amp; Risk Scenario'!$B$60&amp;"|"&amp;$C823,_ENGINE_Crisis!$I$41:$I$700,0)),"")</f>
        <v/>
      </c>
      <c r="AT823">
        <f>IFERROR(INDEX(_ENGINE_Initiatives!$A$5:$A$532,MATCH(1,INDEX((_ENGINE_Initiatives!$B$5:$B$532=$C823)*(_ENGINE_Initiatives!$C$5:$C$532=$D823),0),0)),"")</f>
        <v/>
      </c>
      <c r="AU823">
        <f>IFERROR(INDEX(_ENGINE_Initiatives!$F$5:$F$532,MATCH(1,INDEX((_ENGINE_Initiatives!$B$5:$B$532=$C823)*(_ENGINE_Initiatives!$C$5:$C$532=$D823),0),0)),"")</f>
        <v/>
      </c>
      <c r="AV823">
        <f>IFERROR(INDEX(_ENGINE_Initiatives!$AC$5:$AC$532,MATCH(1,INDEX((_ENGINE_Initiatives!$B$5:$B$532=$C823)*(_ENGINE_Initiatives!$C$5:$C$532=$D823),0),0)),"")</f>
        <v/>
      </c>
      <c r="AW823">
        <f>IFERROR(INDEX(_ENGINE_Initiatives!$AE$5:$AE$532,MATCH(1,INDEX((_ENGINE_Initiatives!$B$5:$B$532=$C823)*(_ENGINE_Initiatives!$C$5:$C$532=$D823),0),0)),"")</f>
        <v/>
      </c>
      <c r="AX823">
        <f>IF($B823="Yes",IFERROR(IF(SUMIFS(_REF_Model_Content!$E$1:$E$613,_REF_Model_Content!$A$1:$A$613,'Company Profile'!$B$9,_REF_Model_Content!$B$1:$B$613,$C823)=0,1,SUMIFS(_REF_Model_Content!$E$1:$E$613,_REF_Model_Content!$A$1:$A$613,'Company Profile'!$B$9,_REF_Model_Content!$B$1:$B$613,$C823)),1),"")</f>
        <v/>
      </c>
      <c r="AY823">
        <f>IF($L823="","",ROUND(IF($AP823="",$L823,$AP823)*IF($AX823="",1,$AX823),2))</f>
        <v/>
      </c>
      <c r="AZ823">
        <f>IF($S823="","",ROUND(IF($AQ823="",$S823,$AQ823)*IF($AX823="",1,$AX823),2))</f>
        <v/>
      </c>
      <c r="BB823">
        <f>IF($H823="","",IFERROR(INDEX('_ENGINE_Risk'!$AE$41:$AE$920,MATCH($E823,'_ENGINE_Risk'!$A$41:$A$920,0)),"Medium"))</f>
        <v/>
      </c>
      <c r="BC823">
        <f>IF($BB823="","",IF($BB823="Fast",1.25,IF($BB823="Slow",0.85,1)))</f>
        <v/>
      </c>
      <c r="BD823">
        <f>IF(OR($AZ823="",$BC823=""),"",ROUND($AZ823*$BC823,2))</f>
        <v/>
      </c>
      <c r="BF823">
        <f>IF(OR($H823="",$J823=""),"",_xlfn.IFNA(VLOOKUP($J823,_CONFIG_Model_Settings!$D$610:$E$614,2,0),""))</f>
        <v/>
      </c>
      <c r="BG823">
        <f>IF(OR($H823="",$K823=""),"",ROUND('Company Profile'!$B$569*INDEX(_CONFIG_Model_Settings!$H$610:$H$614,MATCH($K823,_CONFIG_Model_Settings!$G$610:$G$614,0)),0))</f>
        <v/>
      </c>
      <c r="BH823">
        <f>IF(OR($BF823="",$BG823=""),"",ROUND($BF823*$BG823,1))</f>
        <v/>
      </c>
      <c r="BI823">
        <f>IF($BH823="","",IF($AO823="",$BH823,ROUND($BH823*$AO823,1)))</f>
        <v/>
      </c>
      <c r="BJ823">
        <f>IF($E823="","",IFERROR(VLOOKUP($C823,'_CONFIG_Risk_Calibration'!$A$5:$H$21,2,FALSE),3))</f>
        <v/>
      </c>
      <c r="BK823">
        <f>IF($E823="","",IFERROR(VLOOKUP($C823,'_CONFIG_Risk_Calibration'!$A$5:$H$21,3,FALSE),0))</f>
        <v/>
      </c>
      <c r="BL823">
        <f>IF($E823="","",IFERROR(VLOOKUP($C823,'_CONFIG_Risk_Calibration'!$A$5:$H$21,4,FALSE),3))</f>
        <v/>
      </c>
      <c r="BM823">
        <f>IF($E823="","",IFERROR(VLOOKUP($C823,'_CONFIG_Risk_Calibration'!$A$5:$H$21,5,FALSE),3))</f>
        <v/>
      </c>
      <c r="BN823">
        <f>IF($E823="","",IFERROR(VLOOKUP($C823,'_CONFIG_Risk_Calibration'!$A$5:$H$21,6,FALSE),"No"))</f>
        <v/>
      </c>
      <c r="BO823">
        <f>IF($E823="","",IFERROR(VLOOKUP($C823,'_CONFIG_Risk_Calibration'!$A$5:$H$21,7,FALSE),1))</f>
        <v/>
      </c>
      <c r="BP823">
        <f>IF($H823="","",MAX(1,MIN(5,((6-$H823)*0.45)+($BJ823*0.20)+('Resilience &amp; Risk Scenario'!$B$7*0.15)+($BK823*0.10)+($BL823*0.05)+(IF($BB823="Fast",5,IF($BB823="Slow",1,3))*0.05))))</f>
        <v/>
      </c>
      <c r="BQ823">
        <f>IF($H823="","",MAX(IF($BN823="Yes",$BO823,1),MIN(5,($U823*0.20)+($V823*0.15)+($W823*0.25)+($X823*0.15)+($BJ823*0.10)+($BM823*0.15))))</f>
        <v/>
      </c>
      <c r="BR823">
        <f>IF(OR($BP823="",$BQ823=""),"",ROUND($BP823*$BQ823,2))</f>
        <v/>
      </c>
      <c r="BS823">
        <f>IF($BR823="","",ROUND($BR823*IF($AO823="",1,$AO823)*IF($AX823="",1,$AX823)*(1+(($BM823-3)*0.10))*IF($BC823="",1,$BC823),2))</f>
        <v/>
      </c>
    </row>
    <row r="824" ht="69.90000000000001" customHeight="1" s="209">
      <c r="A824">
        <f>IF($BD824="","",SUMPRODUCT(ISNUMBER($BD$500:$BD$923)*($BD$500:$BD$923&gt;$BD824))+COUNTIF($BD$500:$BD824,$BD824))</f>
        <v/>
      </c>
      <c r="B824">
        <f>IF($H824="","",IF($H824&lt;5,"Yes","Maintain"))</f>
        <v/>
      </c>
      <c r="C824" t="inlineStr">
        <is>
          <t>Business Systems</t>
        </is>
      </c>
      <c r="D824" t="inlineStr">
        <is>
          <t>ERP</t>
        </is>
      </c>
      <c r="E824" t="inlineStr">
        <is>
          <t>BUSI-005</t>
        </is>
      </c>
      <c r="F824" t="inlineStr">
        <is>
          <t>Enterprise systems and application continuity</t>
        </is>
      </c>
      <c r="G824">
        <f>IF($H824="","",IFERROR(INDEX('_ENGINE_Risk'!$H$41:$M$920,MATCH($E824,'_ENGINE_Risk'!$A$41:$A$920,0),$H824+1),""))</f>
        <v/>
      </c>
      <c r="H824">
        <f>IFERROR(VALUE(INDEX(_DATA_Assessment_Model!$H$5:$H$884,MATCH($E824,_DATA_Assessment_Model!$A$5:$A$884,0))),"")</f>
        <v/>
      </c>
      <c r="I824">
        <f>IF($H824="","",IFERROR(INDEX(_DATA_Assessment_Model!$L$5:$L$884,MATCH($E824,_DATA_Assessment_Model!$A$5:$A$884,0)),IF($H824&lt;=1,"Critical",IF($H824=2,"High",IF($H824=3,"Medium",IF($H824=4,"Low","Resilient"))))))</f>
        <v/>
      </c>
      <c r="J824">
        <f>IF($H824="","",MIN(5,MAX(1,6-$H824)))</f>
        <v/>
      </c>
      <c r="K824">
        <f>IF($H824="","",MAX(1,MIN(5,ROUNDUP(($U824*0.45)+($W824*0.35)+($X824*0.2),0))))</f>
        <v/>
      </c>
      <c r="L824">
        <f>IF($H824="","",$J824*$K824)</f>
        <v/>
      </c>
      <c r="M824">
        <f>IF($H824="","",MAX(1,MIN(5,ROUNDUP($L824/5,0))))</f>
        <v/>
      </c>
      <c r="N824">
        <f>IF($H824="","",IFERROR(INDEX('_ENGINE_Risk'!$T$41:$Y$920,MATCH($E824,'_ENGINE_Risk'!$A$41:$A$920,0),$H824+1),""))</f>
        <v/>
      </c>
      <c r="O824">
        <f>IF($H824="","",MAX(1,MIN(5,($U824+$V824+$X824)/3)))</f>
        <v/>
      </c>
      <c r="P824">
        <f>IF($H824="","",IF($I824="Critical",5,IF($I824="High",4,IF($I824="Medium",3,IF($I824="Low",2,1)))))</f>
        <v/>
      </c>
      <c r="Q824">
        <f>IF($H824="","",MAX(1,MIN(5,((5-$H824)*0.65)+($W824*0.35))))</f>
        <v/>
      </c>
      <c r="R824">
        <f>IF($H824="","",MAX(1,MIN(5,($V824+$X824)/2)))</f>
        <v/>
      </c>
      <c r="S824">
        <f>IF(OR($H824="",$N824=""),"",ROUND(($O824+$P824+$Q824+$R824)/$N824,2))</f>
        <v/>
      </c>
      <c r="T824">
        <f>IF($H824="","",IFERROR(INDEX('_ENGINE_Risk'!$N$41:$S$920,MATCH($E824,'_ENGINE_Risk'!$A$41:$A$920,0),$H824+1),""))</f>
        <v/>
      </c>
      <c r="U824">
        <f>IFERROR(INDEX(_DATA_Assessment_Model!$G$5:$G$884,MATCH($E824,_DATA_Assessment_Model!$A$5:$A$884,0)),"")</f>
        <v/>
      </c>
      <c r="V824">
        <f>IFERROR(INDEX(_DATA_Assessment_Model!$W$5:$W$884,MATCH($E824,_DATA_Assessment_Model!$A$5:$A$884,0)),"")</f>
        <v/>
      </c>
      <c r="W824">
        <f>IFERROR(INDEX(_DATA_Assessment_Model!$X$5:$X$884,MATCH($E824,_DATA_Assessment_Model!$A$5:$A$884,0)),"")</f>
        <v/>
      </c>
      <c r="X824">
        <f>IFERROR(INDEX(_DATA_Assessment_Model!$Y$5:$Y$884,MATCH($E824,_DATA_Assessment_Model!$A$5:$A$884,0)),"")</f>
        <v/>
      </c>
      <c r="Y824" t="inlineStr">
        <is>
          <t>IT outage; Decision failure; Process disruption</t>
        </is>
      </c>
      <c r="Z824" t="inlineStr">
        <is>
          <t>CIO / Business Systems</t>
        </is>
      </c>
      <c r="AA824" t="inlineStr">
        <is>
          <t>Policy/SOP; owner/RACI; system report; dashboard; contracts; test records; incident history; interview evidence related to ERP workflow for procure-to-pay, order-to-cash, record-to-report and plan-to-produce where relevant.</t>
        </is>
      </c>
      <c r="AB824">
        <f>IFERROR(INDEX(_DATA_Assessment_Model!$U$5:$U$884,MATCH($E824,_DATA_Assessment_Model!$A$5:$A$884,0)),"")</f>
        <v/>
      </c>
      <c r="AF824" t="inlineStr">
        <is>
          <t>How mature is the organization in managing ERP workflow for procure-to-pay, order-to-cash, record-to-report and plan-to-produce where relevant, including ownership, evidence, metrics, fallback procedures and crisis stress testing?</t>
        </is>
      </c>
      <c r="AO824">
        <f>IF($B824="Yes",IFERROR(INDEX(_ENGINE_Crisis!$F$501:$F$517,MATCH($C824,_ENGINE_Crisis!$A$501:$A$517,0)),1),"")</f>
        <v/>
      </c>
      <c r="AP824">
        <f>IF(AO824="","",ROUND($L824*AO824,1))</f>
        <v/>
      </c>
      <c r="AQ824">
        <f>IF(OR(AO824="",$S824=""),"",ROUND($S824*(0.7+0.3*AO824),2))</f>
        <v/>
      </c>
      <c r="AR824">
        <f>IFERROR(INDEX(_ENGINE_Crisis!$E$41:$E$700,MATCH('Resilience &amp; Risk Scenario'!$B$60&amp;"|"&amp;$C824,_ENGINE_Crisis!$I$41:$I$700,0)),"")</f>
        <v/>
      </c>
      <c r="AS824">
        <f>IFERROR(INDEX(_ENGINE_Crisis!$G$41:$G$700,MATCH('Resilience &amp; Risk Scenario'!$B$60&amp;"|"&amp;$C824,_ENGINE_Crisis!$I$41:$I$700,0)),"")</f>
        <v/>
      </c>
      <c r="AT824">
        <f>IFERROR(INDEX(_ENGINE_Initiatives!$A$5:$A$532,MATCH(1,INDEX((_ENGINE_Initiatives!$B$5:$B$532=$C824)*(_ENGINE_Initiatives!$C$5:$C$532=$D824),0),0)),"")</f>
        <v/>
      </c>
      <c r="AU824">
        <f>IFERROR(INDEX(_ENGINE_Initiatives!$F$5:$F$532,MATCH(1,INDEX((_ENGINE_Initiatives!$B$5:$B$532=$C824)*(_ENGINE_Initiatives!$C$5:$C$532=$D824),0),0)),"")</f>
        <v/>
      </c>
      <c r="AV824">
        <f>IFERROR(INDEX(_ENGINE_Initiatives!$AC$5:$AC$532,MATCH(1,INDEX((_ENGINE_Initiatives!$B$5:$B$532=$C824)*(_ENGINE_Initiatives!$C$5:$C$532=$D824),0),0)),"")</f>
        <v/>
      </c>
      <c r="AW824">
        <f>IFERROR(INDEX(_ENGINE_Initiatives!$AE$5:$AE$532,MATCH(1,INDEX((_ENGINE_Initiatives!$B$5:$B$532=$C824)*(_ENGINE_Initiatives!$C$5:$C$532=$D824),0),0)),"")</f>
        <v/>
      </c>
      <c r="AX824">
        <f>IF($B824="Yes",IFERROR(IF(SUMIFS(_REF_Model_Content!$E$1:$E$613,_REF_Model_Content!$A$1:$A$613,'Company Profile'!$B$9,_REF_Model_Content!$B$1:$B$613,$C824)=0,1,SUMIFS(_REF_Model_Content!$E$1:$E$613,_REF_Model_Content!$A$1:$A$613,'Company Profile'!$B$9,_REF_Model_Content!$B$1:$B$613,$C824)),1),"")</f>
        <v/>
      </c>
      <c r="AY824">
        <f>IF($L824="","",ROUND(IF($AP824="",$L824,$AP824)*IF($AX824="",1,$AX824),2))</f>
        <v/>
      </c>
      <c r="AZ824">
        <f>IF($S824="","",ROUND(IF($AQ824="",$S824,$AQ824)*IF($AX824="",1,$AX824),2))</f>
        <v/>
      </c>
      <c r="BB824">
        <f>IF($H824="","",IFERROR(INDEX('_ENGINE_Risk'!$AE$41:$AE$920,MATCH($E824,'_ENGINE_Risk'!$A$41:$A$920,0)),"Medium"))</f>
        <v/>
      </c>
      <c r="BC824">
        <f>IF($BB824="","",IF($BB824="Fast",1.25,IF($BB824="Slow",0.85,1)))</f>
        <v/>
      </c>
      <c r="BD824">
        <f>IF(OR($AZ824="",$BC824=""),"",ROUND($AZ824*$BC824,2))</f>
        <v/>
      </c>
      <c r="BF824">
        <f>IF(OR($H824="",$J824=""),"",_xlfn.IFNA(VLOOKUP($J824,_CONFIG_Model_Settings!$D$610:$E$614,2,0),""))</f>
        <v/>
      </c>
      <c r="BG824">
        <f>IF(OR($H824="",$K824=""),"",ROUND('Company Profile'!$B$569*INDEX(_CONFIG_Model_Settings!$H$610:$H$614,MATCH($K824,_CONFIG_Model_Settings!$G$610:$G$614,0)),0))</f>
        <v/>
      </c>
      <c r="BH824">
        <f>IF(OR($BF824="",$BG824=""),"",ROUND($BF824*$BG824,1))</f>
        <v/>
      </c>
      <c r="BI824">
        <f>IF($BH824="","",IF($AO824="",$BH824,ROUND($BH824*$AO824,1)))</f>
        <v/>
      </c>
      <c r="BJ824">
        <f>IF($E824="","",IFERROR(VLOOKUP($C824,'_CONFIG_Risk_Calibration'!$A$5:$H$21,2,FALSE),3))</f>
        <v/>
      </c>
      <c r="BK824">
        <f>IF($E824="","",IFERROR(VLOOKUP($C824,'_CONFIG_Risk_Calibration'!$A$5:$H$21,3,FALSE),0))</f>
        <v/>
      </c>
      <c r="BL824">
        <f>IF($E824="","",IFERROR(VLOOKUP($C824,'_CONFIG_Risk_Calibration'!$A$5:$H$21,4,FALSE),3))</f>
        <v/>
      </c>
      <c r="BM824">
        <f>IF($E824="","",IFERROR(VLOOKUP($C824,'_CONFIG_Risk_Calibration'!$A$5:$H$21,5,FALSE),3))</f>
        <v/>
      </c>
      <c r="BN824">
        <f>IF($E824="","",IFERROR(VLOOKUP($C824,'_CONFIG_Risk_Calibration'!$A$5:$H$21,6,FALSE),"No"))</f>
        <v/>
      </c>
      <c r="BO824">
        <f>IF($E824="","",IFERROR(VLOOKUP($C824,'_CONFIG_Risk_Calibration'!$A$5:$H$21,7,FALSE),1))</f>
        <v/>
      </c>
      <c r="BP824">
        <f>IF($H824="","",MAX(1,MIN(5,((6-$H824)*0.45)+($BJ824*0.20)+('Resilience &amp; Risk Scenario'!$B$7*0.15)+($BK824*0.10)+($BL824*0.05)+(IF($BB824="Fast",5,IF($BB824="Slow",1,3))*0.05))))</f>
        <v/>
      </c>
      <c r="BQ824">
        <f>IF($H824="","",MAX(IF($BN824="Yes",$BO824,1),MIN(5,($U824*0.20)+($V824*0.15)+($W824*0.25)+($X824*0.15)+($BJ824*0.10)+($BM824*0.15))))</f>
        <v/>
      </c>
      <c r="BR824">
        <f>IF(OR($BP824="",$BQ824=""),"",ROUND($BP824*$BQ824,2))</f>
        <v/>
      </c>
      <c r="BS824">
        <f>IF($BR824="","",ROUND($BR824*IF($AO824="",1,$AO824)*IF($AX824="",1,$AX824)*(1+(($BM824-3)*0.10))*IF($BC824="",1,$BC824),2))</f>
        <v/>
      </c>
    </row>
    <row r="825" ht="69.90000000000001" customHeight="1" s="209">
      <c r="A825">
        <f>IF($BD825="","",SUMPRODUCT(ISNUMBER($BD$500:$BD$923)*($BD$500:$BD$923&gt;$BD825))+COUNTIF($BD$500:$BD825,$BD825))</f>
        <v/>
      </c>
      <c r="B825">
        <f>IF($H825="","",IF($H825&lt;5,"Yes","Maintain"))</f>
        <v/>
      </c>
      <c r="C825" t="inlineStr">
        <is>
          <t>Business Systems</t>
        </is>
      </c>
      <c r="D825" t="inlineStr">
        <is>
          <t>CRM and commerce</t>
        </is>
      </c>
      <c r="E825" t="inlineStr">
        <is>
          <t>BUSI-006</t>
        </is>
      </c>
      <c r="F825" t="inlineStr">
        <is>
          <t>Enterprise systems and application continuity</t>
        </is>
      </c>
      <c r="G825">
        <f>IF($H825="","",IFERROR(INDEX('_ENGINE_Risk'!$H$41:$M$920,MATCH($E825,'_ENGINE_Risk'!$A$41:$A$920,0),$H825+1),""))</f>
        <v/>
      </c>
      <c r="H825">
        <f>IFERROR(VALUE(INDEX(_DATA_Assessment_Model!$H$5:$H$884,MATCH($E825,_DATA_Assessment_Model!$A$5:$A$884,0))),"")</f>
        <v/>
      </c>
      <c r="I825">
        <f>IF($H825="","",IFERROR(INDEX(_DATA_Assessment_Model!$L$5:$L$884,MATCH($E825,_DATA_Assessment_Model!$A$5:$A$884,0)),IF($H825&lt;=1,"Critical",IF($H825=2,"High",IF($H825=3,"Medium",IF($H825=4,"Low","Resilient"))))))</f>
        <v/>
      </c>
      <c r="J825">
        <f>IF($H825="","",MIN(5,MAX(1,6-$H825)))</f>
        <v/>
      </c>
      <c r="K825">
        <f>IF($H825="","",MAX(1,MIN(5,ROUNDUP(($U825*0.45)+($W825*0.35)+($X825*0.2),0))))</f>
        <v/>
      </c>
      <c r="L825">
        <f>IF($H825="","",$J825*$K825)</f>
        <v/>
      </c>
      <c r="M825">
        <f>IF($H825="","",MAX(1,MIN(5,ROUNDUP($L825/5,0))))</f>
        <v/>
      </c>
      <c r="N825">
        <f>IF($H825="","",IFERROR(INDEX('_ENGINE_Risk'!$T$41:$Y$920,MATCH($E825,'_ENGINE_Risk'!$A$41:$A$920,0),$H825+1),""))</f>
        <v/>
      </c>
      <c r="O825">
        <f>IF($H825="","",MAX(1,MIN(5,($U825+$V825+$X825)/3)))</f>
        <v/>
      </c>
      <c r="P825">
        <f>IF($H825="","",IF($I825="Critical",5,IF($I825="High",4,IF($I825="Medium",3,IF($I825="Low",2,1)))))</f>
        <v/>
      </c>
      <c r="Q825">
        <f>IF($H825="","",MAX(1,MIN(5,((5-$H825)*0.65)+($W825*0.35))))</f>
        <v/>
      </c>
      <c r="R825">
        <f>IF($H825="","",MAX(1,MIN(5,($V825+$X825)/2)))</f>
        <v/>
      </c>
      <c r="S825">
        <f>IF(OR($H825="",$N825=""),"",ROUND(($O825+$P825+$Q825+$R825)/$N825,2))</f>
        <v/>
      </c>
      <c r="T825">
        <f>IF($H825="","",IFERROR(INDEX('_ENGINE_Risk'!$N$41:$S$920,MATCH($E825,'_ENGINE_Risk'!$A$41:$A$920,0),$H825+1),""))</f>
        <v/>
      </c>
      <c r="U825">
        <f>IFERROR(INDEX(_DATA_Assessment_Model!$G$5:$G$884,MATCH($E825,_DATA_Assessment_Model!$A$5:$A$884,0)),"")</f>
        <v/>
      </c>
      <c r="V825">
        <f>IFERROR(INDEX(_DATA_Assessment_Model!$W$5:$W$884,MATCH($E825,_DATA_Assessment_Model!$A$5:$A$884,0)),"")</f>
        <v/>
      </c>
      <c r="W825">
        <f>IFERROR(INDEX(_DATA_Assessment_Model!$X$5:$X$884,MATCH($E825,_DATA_Assessment_Model!$A$5:$A$884,0)),"")</f>
        <v/>
      </c>
      <c r="X825">
        <f>IFERROR(INDEX(_DATA_Assessment_Model!$Y$5:$Y$884,MATCH($E825,_DATA_Assessment_Model!$A$5:$A$884,0)),"")</f>
        <v/>
      </c>
      <c r="Y825" t="inlineStr">
        <is>
          <t>IT outage; Decision failure; Process disruption</t>
        </is>
      </c>
      <c r="Z825" t="inlineStr">
        <is>
          <t>CIO / Business Systems</t>
        </is>
      </c>
      <c r="AA825" t="inlineStr">
        <is>
          <t>Policy/SOP; owner/RACI; system report; dashboard; contracts; test records; incident history; interview evidence related to CRM process coverage for lead-to-cash, customer ownership, pipeline, forecast and account management.</t>
        </is>
      </c>
      <c r="AB825">
        <f>IFERROR(INDEX(_DATA_Assessment_Model!$U$5:$U$884,MATCH($E825,_DATA_Assessment_Model!$A$5:$A$884,0)),"")</f>
        <v/>
      </c>
      <c r="AF825" t="inlineStr">
        <is>
          <t>How mature is the organization in managing CRM process coverage for lead-to-cash, customer ownership, pipeline, forecast and account management, including ownership, evidence, metrics, fallback procedures and crisis stress testing?</t>
        </is>
      </c>
      <c r="AO825">
        <f>IF($B825="Yes",IFERROR(INDEX(_ENGINE_Crisis!$F$501:$F$517,MATCH($C825,_ENGINE_Crisis!$A$501:$A$517,0)),1),"")</f>
        <v/>
      </c>
      <c r="AP825">
        <f>IF(AO825="","",ROUND($L825*AO825,1))</f>
        <v/>
      </c>
      <c r="AQ825">
        <f>IF(OR(AO825="",$S825=""),"",ROUND($S825*(0.7+0.3*AO825),2))</f>
        <v/>
      </c>
      <c r="AR825">
        <f>IFERROR(INDEX(_ENGINE_Crisis!$E$41:$E$700,MATCH('Resilience &amp; Risk Scenario'!$B$60&amp;"|"&amp;$C825,_ENGINE_Crisis!$I$41:$I$700,0)),"")</f>
        <v/>
      </c>
      <c r="AS825">
        <f>IFERROR(INDEX(_ENGINE_Crisis!$G$41:$G$700,MATCH('Resilience &amp; Risk Scenario'!$B$60&amp;"|"&amp;$C825,_ENGINE_Crisis!$I$41:$I$700,0)),"")</f>
        <v/>
      </c>
      <c r="AT825">
        <f>IFERROR(INDEX(_ENGINE_Initiatives!$A$5:$A$532,MATCH(1,INDEX((_ENGINE_Initiatives!$B$5:$B$532=$C825)*(_ENGINE_Initiatives!$C$5:$C$532=$D825),0),0)),"")</f>
        <v/>
      </c>
      <c r="AU825">
        <f>IFERROR(INDEX(_ENGINE_Initiatives!$F$5:$F$532,MATCH(1,INDEX((_ENGINE_Initiatives!$B$5:$B$532=$C825)*(_ENGINE_Initiatives!$C$5:$C$532=$D825),0),0)),"")</f>
        <v/>
      </c>
      <c r="AV825">
        <f>IFERROR(INDEX(_ENGINE_Initiatives!$AC$5:$AC$532,MATCH(1,INDEX((_ENGINE_Initiatives!$B$5:$B$532=$C825)*(_ENGINE_Initiatives!$C$5:$C$532=$D825),0),0)),"")</f>
        <v/>
      </c>
      <c r="AW825">
        <f>IFERROR(INDEX(_ENGINE_Initiatives!$AE$5:$AE$532,MATCH(1,INDEX((_ENGINE_Initiatives!$B$5:$B$532=$C825)*(_ENGINE_Initiatives!$C$5:$C$532=$D825),0),0)),"")</f>
        <v/>
      </c>
      <c r="AX825">
        <f>IF($B825="Yes",IFERROR(IF(SUMIFS(_REF_Model_Content!$E$1:$E$613,_REF_Model_Content!$A$1:$A$613,'Company Profile'!$B$9,_REF_Model_Content!$B$1:$B$613,$C825)=0,1,SUMIFS(_REF_Model_Content!$E$1:$E$613,_REF_Model_Content!$A$1:$A$613,'Company Profile'!$B$9,_REF_Model_Content!$B$1:$B$613,$C825)),1),"")</f>
        <v/>
      </c>
      <c r="AY825">
        <f>IF($L825="","",ROUND(IF($AP825="",$L825,$AP825)*IF($AX825="",1,$AX825),2))</f>
        <v/>
      </c>
      <c r="AZ825">
        <f>IF($S825="","",ROUND(IF($AQ825="",$S825,$AQ825)*IF($AX825="",1,$AX825),2))</f>
        <v/>
      </c>
      <c r="BB825">
        <f>IF($H825="","",IFERROR(INDEX('_ENGINE_Risk'!$AE$41:$AE$920,MATCH($E825,'_ENGINE_Risk'!$A$41:$A$920,0)),"Medium"))</f>
        <v/>
      </c>
      <c r="BC825">
        <f>IF($BB825="","",IF($BB825="Fast",1.25,IF($BB825="Slow",0.85,1)))</f>
        <v/>
      </c>
      <c r="BD825">
        <f>IF(OR($AZ825="",$BC825=""),"",ROUND($AZ825*$BC825,2))</f>
        <v/>
      </c>
      <c r="BF825">
        <f>IF(OR($H825="",$J825=""),"",_xlfn.IFNA(VLOOKUP($J825,_CONFIG_Model_Settings!$D$610:$E$614,2,0),""))</f>
        <v/>
      </c>
      <c r="BG825">
        <f>IF(OR($H825="",$K825=""),"",ROUND('Company Profile'!$B$569*INDEX(_CONFIG_Model_Settings!$H$610:$H$614,MATCH($K825,_CONFIG_Model_Settings!$G$610:$G$614,0)),0))</f>
        <v/>
      </c>
      <c r="BH825">
        <f>IF(OR($BF825="",$BG825=""),"",ROUND($BF825*$BG825,1))</f>
        <v/>
      </c>
      <c r="BI825">
        <f>IF($BH825="","",IF($AO825="",$BH825,ROUND($BH825*$AO825,1)))</f>
        <v/>
      </c>
      <c r="BJ825">
        <f>IF($E825="","",IFERROR(VLOOKUP($C825,'_CONFIG_Risk_Calibration'!$A$5:$H$21,2,FALSE),3))</f>
        <v/>
      </c>
      <c r="BK825">
        <f>IF($E825="","",IFERROR(VLOOKUP($C825,'_CONFIG_Risk_Calibration'!$A$5:$H$21,3,FALSE),0))</f>
        <v/>
      </c>
      <c r="BL825">
        <f>IF($E825="","",IFERROR(VLOOKUP($C825,'_CONFIG_Risk_Calibration'!$A$5:$H$21,4,FALSE),3))</f>
        <v/>
      </c>
      <c r="BM825">
        <f>IF($E825="","",IFERROR(VLOOKUP($C825,'_CONFIG_Risk_Calibration'!$A$5:$H$21,5,FALSE),3))</f>
        <v/>
      </c>
      <c r="BN825">
        <f>IF($E825="","",IFERROR(VLOOKUP($C825,'_CONFIG_Risk_Calibration'!$A$5:$H$21,6,FALSE),"No"))</f>
        <v/>
      </c>
      <c r="BO825">
        <f>IF($E825="","",IFERROR(VLOOKUP($C825,'_CONFIG_Risk_Calibration'!$A$5:$H$21,7,FALSE),1))</f>
        <v/>
      </c>
      <c r="BP825">
        <f>IF($H825="","",MAX(1,MIN(5,((6-$H825)*0.45)+($BJ825*0.20)+('Resilience &amp; Risk Scenario'!$B$7*0.15)+($BK825*0.10)+($BL825*0.05)+(IF($BB825="Fast",5,IF($BB825="Slow",1,3))*0.05))))</f>
        <v/>
      </c>
      <c r="BQ825">
        <f>IF($H825="","",MAX(IF($BN825="Yes",$BO825,1),MIN(5,($U825*0.20)+($V825*0.15)+($W825*0.25)+($X825*0.15)+($BJ825*0.10)+($BM825*0.15))))</f>
        <v/>
      </c>
      <c r="BR825">
        <f>IF(OR($BP825="",$BQ825=""),"",ROUND($BP825*$BQ825,2))</f>
        <v/>
      </c>
      <c r="BS825">
        <f>IF($BR825="","",ROUND($BR825*IF($AO825="",1,$AO825)*IF($AX825="",1,$AX825)*(1+(($BM825-3)*0.10))*IF($BC825="",1,$BC825),2))</f>
        <v/>
      </c>
    </row>
    <row r="826" ht="69.90000000000001" customHeight="1" s="209">
      <c r="A826">
        <f>IF($BD826="","",SUMPRODUCT(ISNUMBER($BD$500:$BD$923)*($BD$500:$BD$923&gt;$BD826))+COUNTIF($BD$500:$BD826,$BD826))</f>
        <v/>
      </c>
      <c r="B826">
        <f>IF($H826="","",IF($H826&lt;5,"Yes","Maintain"))</f>
        <v/>
      </c>
      <c r="C826" t="inlineStr">
        <is>
          <t>Business Systems</t>
        </is>
      </c>
      <c r="D826" t="inlineStr">
        <is>
          <t>CRM and commerce</t>
        </is>
      </c>
      <c r="E826" t="inlineStr">
        <is>
          <t>BUSI-007</t>
        </is>
      </c>
      <c r="F826" t="inlineStr">
        <is>
          <t>Enterprise systems and application continuity</t>
        </is>
      </c>
      <c r="G826">
        <f>IF($H826="","",IFERROR(INDEX('_ENGINE_Risk'!$H$41:$M$920,MATCH($E826,'_ENGINE_Risk'!$A$41:$A$920,0),$H826+1),""))</f>
        <v/>
      </c>
      <c r="H826">
        <f>IFERROR(VALUE(INDEX(_DATA_Assessment_Model!$H$5:$H$884,MATCH($E826,_DATA_Assessment_Model!$A$5:$A$884,0))),"")</f>
        <v/>
      </c>
      <c r="I826">
        <f>IF($H826="","",IFERROR(INDEX(_DATA_Assessment_Model!$L$5:$L$884,MATCH($E826,_DATA_Assessment_Model!$A$5:$A$884,0)),IF($H826&lt;=1,"Critical",IF($H826=2,"High",IF($H826=3,"Medium",IF($H826=4,"Low","Resilient"))))))</f>
        <v/>
      </c>
      <c r="J826">
        <f>IF($H826="","",MIN(5,MAX(1,6-$H826)))</f>
        <v/>
      </c>
      <c r="K826">
        <f>IF($H826="","",MAX(1,MIN(5,ROUNDUP(($U826*0.45)+($W826*0.35)+($X826*0.2),0))))</f>
        <v/>
      </c>
      <c r="L826">
        <f>IF($H826="","",$J826*$K826)</f>
        <v/>
      </c>
      <c r="M826">
        <f>IF($H826="","",MAX(1,MIN(5,ROUNDUP($L826/5,0))))</f>
        <v/>
      </c>
      <c r="N826">
        <f>IF($H826="","",IFERROR(INDEX('_ENGINE_Risk'!$T$41:$Y$920,MATCH($E826,'_ENGINE_Risk'!$A$41:$A$920,0),$H826+1),""))</f>
        <v/>
      </c>
      <c r="O826">
        <f>IF($H826="","",MAX(1,MIN(5,($U826+$V826+$X826)/3)))</f>
        <v/>
      </c>
      <c r="P826">
        <f>IF($H826="","",IF($I826="Critical",5,IF($I826="High",4,IF($I826="Medium",3,IF($I826="Low",2,1)))))</f>
        <v/>
      </c>
      <c r="Q826">
        <f>IF($H826="","",MAX(1,MIN(5,((5-$H826)*0.65)+($W826*0.35))))</f>
        <v/>
      </c>
      <c r="R826">
        <f>IF($H826="","",MAX(1,MIN(5,($V826+$X826)/2)))</f>
        <v/>
      </c>
      <c r="S826">
        <f>IF(OR($H826="",$N826=""),"",ROUND(($O826+$P826+$Q826+$R826)/$N826,2))</f>
        <v/>
      </c>
      <c r="T826">
        <f>IF($H826="","",IFERROR(INDEX('_ENGINE_Risk'!$N$41:$S$920,MATCH($E826,'_ENGINE_Risk'!$A$41:$A$920,0),$H826+1),""))</f>
        <v/>
      </c>
      <c r="U826">
        <f>IFERROR(INDEX(_DATA_Assessment_Model!$G$5:$G$884,MATCH($E826,_DATA_Assessment_Model!$A$5:$A$884,0)),"")</f>
        <v/>
      </c>
      <c r="V826">
        <f>IFERROR(INDEX(_DATA_Assessment_Model!$W$5:$W$884,MATCH($E826,_DATA_Assessment_Model!$A$5:$A$884,0)),"")</f>
        <v/>
      </c>
      <c r="W826">
        <f>IFERROR(INDEX(_DATA_Assessment_Model!$X$5:$X$884,MATCH($E826,_DATA_Assessment_Model!$A$5:$A$884,0)),"")</f>
        <v/>
      </c>
      <c r="X826">
        <f>IFERROR(INDEX(_DATA_Assessment_Model!$Y$5:$Y$884,MATCH($E826,_DATA_Assessment_Model!$A$5:$A$884,0)),"")</f>
        <v/>
      </c>
      <c r="Y826" t="inlineStr">
        <is>
          <t>IT outage; Decision failure; Process disruption</t>
        </is>
      </c>
      <c r="Z826" t="inlineStr">
        <is>
          <t>CIO / Business Systems</t>
        </is>
      </c>
      <c r="AA826" t="inlineStr">
        <is>
          <t>Policy/SOP; owner/RACI; system report; dashboard; contracts; test records; incident history; interview evidence related to CRM integration with ERP, billing, support, ecommerce and marketing automation.</t>
        </is>
      </c>
      <c r="AB826">
        <f>IFERROR(INDEX(_DATA_Assessment_Model!$U$5:$U$884,MATCH($E826,_DATA_Assessment_Model!$A$5:$A$884,0)),"")</f>
        <v/>
      </c>
      <c r="AF826" t="inlineStr">
        <is>
          <t>How mature is the organization in managing CRM integration with ERP, billing, support, ecommerce and marketing automation, including ownership, evidence, metrics, fallback procedures and crisis stress testing?</t>
        </is>
      </c>
      <c r="AO826">
        <f>IF($B826="Yes",IFERROR(INDEX(_ENGINE_Crisis!$F$501:$F$517,MATCH($C826,_ENGINE_Crisis!$A$501:$A$517,0)),1),"")</f>
        <v/>
      </c>
      <c r="AP826">
        <f>IF(AO826="","",ROUND($L826*AO826,1))</f>
        <v/>
      </c>
      <c r="AQ826">
        <f>IF(OR(AO826="",$S826=""),"",ROUND($S826*(0.7+0.3*AO826),2))</f>
        <v/>
      </c>
      <c r="AR826">
        <f>IFERROR(INDEX(_ENGINE_Crisis!$E$41:$E$700,MATCH('Resilience &amp; Risk Scenario'!$B$60&amp;"|"&amp;$C826,_ENGINE_Crisis!$I$41:$I$700,0)),"")</f>
        <v/>
      </c>
      <c r="AS826">
        <f>IFERROR(INDEX(_ENGINE_Crisis!$G$41:$G$700,MATCH('Resilience &amp; Risk Scenario'!$B$60&amp;"|"&amp;$C826,_ENGINE_Crisis!$I$41:$I$700,0)),"")</f>
        <v/>
      </c>
      <c r="AT826">
        <f>IFERROR(INDEX(_ENGINE_Initiatives!$A$5:$A$532,MATCH(1,INDEX((_ENGINE_Initiatives!$B$5:$B$532=$C826)*(_ENGINE_Initiatives!$C$5:$C$532=$D826),0),0)),"")</f>
        <v/>
      </c>
      <c r="AU826">
        <f>IFERROR(INDEX(_ENGINE_Initiatives!$F$5:$F$532,MATCH(1,INDEX((_ENGINE_Initiatives!$B$5:$B$532=$C826)*(_ENGINE_Initiatives!$C$5:$C$532=$D826),0),0)),"")</f>
        <v/>
      </c>
      <c r="AV826">
        <f>IFERROR(INDEX(_ENGINE_Initiatives!$AC$5:$AC$532,MATCH(1,INDEX((_ENGINE_Initiatives!$B$5:$B$532=$C826)*(_ENGINE_Initiatives!$C$5:$C$532=$D826),0),0)),"")</f>
        <v/>
      </c>
      <c r="AW826">
        <f>IFERROR(INDEX(_ENGINE_Initiatives!$AE$5:$AE$532,MATCH(1,INDEX((_ENGINE_Initiatives!$B$5:$B$532=$C826)*(_ENGINE_Initiatives!$C$5:$C$532=$D826),0),0)),"")</f>
        <v/>
      </c>
      <c r="AX826">
        <f>IF($B826="Yes",IFERROR(IF(SUMIFS(_REF_Model_Content!$E$1:$E$613,_REF_Model_Content!$A$1:$A$613,'Company Profile'!$B$9,_REF_Model_Content!$B$1:$B$613,$C826)=0,1,SUMIFS(_REF_Model_Content!$E$1:$E$613,_REF_Model_Content!$A$1:$A$613,'Company Profile'!$B$9,_REF_Model_Content!$B$1:$B$613,$C826)),1),"")</f>
        <v/>
      </c>
      <c r="AY826">
        <f>IF($L826="","",ROUND(IF($AP826="",$L826,$AP826)*IF($AX826="",1,$AX826),2))</f>
        <v/>
      </c>
      <c r="AZ826">
        <f>IF($S826="","",ROUND(IF($AQ826="",$S826,$AQ826)*IF($AX826="",1,$AX826),2))</f>
        <v/>
      </c>
      <c r="BB826">
        <f>IF($H826="","",IFERROR(INDEX('_ENGINE_Risk'!$AE$41:$AE$920,MATCH($E826,'_ENGINE_Risk'!$A$41:$A$920,0)),"Medium"))</f>
        <v/>
      </c>
      <c r="BC826">
        <f>IF($BB826="","",IF($BB826="Fast",1.25,IF($BB826="Slow",0.85,1)))</f>
        <v/>
      </c>
      <c r="BD826">
        <f>IF(OR($AZ826="",$BC826=""),"",ROUND($AZ826*$BC826,2))</f>
        <v/>
      </c>
      <c r="BF826">
        <f>IF(OR($H826="",$J826=""),"",_xlfn.IFNA(VLOOKUP($J826,_CONFIG_Model_Settings!$D$610:$E$614,2,0),""))</f>
        <v/>
      </c>
      <c r="BG826">
        <f>IF(OR($H826="",$K826=""),"",ROUND('Company Profile'!$B$569*INDEX(_CONFIG_Model_Settings!$H$610:$H$614,MATCH($K826,_CONFIG_Model_Settings!$G$610:$G$614,0)),0))</f>
        <v/>
      </c>
      <c r="BH826">
        <f>IF(OR($BF826="",$BG826=""),"",ROUND($BF826*$BG826,1))</f>
        <v/>
      </c>
      <c r="BI826">
        <f>IF($BH826="","",IF($AO826="",$BH826,ROUND($BH826*$AO826,1)))</f>
        <v/>
      </c>
      <c r="BJ826">
        <f>IF($E826="","",IFERROR(VLOOKUP($C826,'_CONFIG_Risk_Calibration'!$A$5:$H$21,2,FALSE),3))</f>
        <v/>
      </c>
      <c r="BK826">
        <f>IF($E826="","",IFERROR(VLOOKUP($C826,'_CONFIG_Risk_Calibration'!$A$5:$H$21,3,FALSE),0))</f>
        <v/>
      </c>
      <c r="BL826">
        <f>IF($E826="","",IFERROR(VLOOKUP($C826,'_CONFIG_Risk_Calibration'!$A$5:$H$21,4,FALSE),3))</f>
        <v/>
      </c>
      <c r="BM826">
        <f>IF($E826="","",IFERROR(VLOOKUP($C826,'_CONFIG_Risk_Calibration'!$A$5:$H$21,5,FALSE),3))</f>
        <v/>
      </c>
      <c r="BN826">
        <f>IF($E826="","",IFERROR(VLOOKUP($C826,'_CONFIG_Risk_Calibration'!$A$5:$H$21,6,FALSE),"No"))</f>
        <v/>
      </c>
      <c r="BO826">
        <f>IF($E826="","",IFERROR(VLOOKUP($C826,'_CONFIG_Risk_Calibration'!$A$5:$H$21,7,FALSE),1))</f>
        <v/>
      </c>
      <c r="BP826">
        <f>IF($H826="","",MAX(1,MIN(5,((6-$H826)*0.45)+($BJ826*0.20)+('Resilience &amp; Risk Scenario'!$B$7*0.15)+($BK826*0.10)+($BL826*0.05)+(IF($BB826="Fast",5,IF($BB826="Slow",1,3))*0.05))))</f>
        <v/>
      </c>
      <c r="BQ826">
        <f>IF($H826="","",MAX(IF($BN826="Yes",$BO826,1),MIN(5,($U826*0.20)+($V826*0.15)+($W826*0.25)+($X826*0.15)+($BJ826*0.10)+($BM826*0.15))))</f>
        <v/>
      </c>
      <c r="BR826">
        <f>IF(OR($BP826="",$BQ826=""),"",ROUND($BP826*$BQ826,2))</f>
        <v/>
      </c>
      <c r="BS826">
        <f>IF($BR826="","",ROUND($BR826*IF($AO826="",1,$AO826)*IF($AX826="",1,$AX826)*(1+(($BM826-3)*0.10))*IF($BC826="",1,$BC826),2))</f>
        <v/>
      </c>
    </row>
    <row r="827" ht="69.90000000000001" customHeight="1" s="209">
      <c r="A827">
        <f>IF($BD827="","",SUMPRODUCT(ISNUMBER($BD$500:$BD$923)*($BD$500:$BD$923&gt;$BD827))+COUNTIF($BD$500:$BD827,$BD827))</f>
        <v/>
      </c>
      <c r="B827">
        <f>IF($H827="","",IF($H827&lt;5,"Yes","Maintain"))</f>
        <v/>
      </c>
      <c r="C827" t="inlineStr">
        <is>
          <t>Business Systems</t>
        </is>
      </c>
      <c r="D827" t="inlineStr">
        <is>
          <t>CRM and commerce</t>
        </is>
      </c>
      <c r="E827" t="inlineStr">
        <is>
          <t>BUSI-009</t>
        </is>
      </c>
      <c r="F827" t="inlineStr">
        <is>
          <t>Enterprise systems and application continuity</t>
        </is>
      </c>
      <c r="G827">
        <f>IF($H827="","",IFERROR(INDEX('_ENGINE_Risk'!$H$41:$M$920,MATCH($E827,'_ENGINE_Risk'!$A$41:$A$920,0),$H827+1),""))</f>
        <v/>
      </c>
      <c r="H827">
        <f>IFERROR(VALUE(INDEX(_DATA_Assessment_Model!$H$5:$H$884,MATCH($E827,_DATA_Assessment_Model!$A$5:$A$884,0))),"")</f>
        <v/>
      </c>
      <c r="I827">
        <f>IF($H827="","",IFERROR(INDEX(_DATA_Assessment_Model!$L$5:$L$884,MATCH($E827,_DATA_Assessment_Model!$A$5:$A$884,0)),IF($H827&lt;=1,"Critical",IF($H827=2,"High",IF($H827=3,"Medium",IF($H827=4,"Low","Resilient"))))))</f>
        <v/>
      </c>
      <c r="J827">
        <f>IF($H827="","",MIN(5,MAX(1,6-$H827)))</f>
        <v/>
      </c>
      <c r="K827">
        <f>IF($H827="","",MAX(1,MIN(5,ROUNDUP(($U827*0.45)+($W827*0.35)+($X827*0.2),0))))</f>
        <v/>
      </c>
      <c r="L827">
        <f>IF($H827="","",$J827*$K827)</f>
        <v/>
      </c>
      <c r="M827">
        <f>IF($H827="","",MAX(1,MIN(5,ROUNDUP($L827/5,0))))</f>
        <v/>
      </c>
      <c r="N827">
        <f>IF($H827="","",IFERROR(INDEX('_ENGINE_Risk'!$T$41:$Y$920,MATCH($E827,'_ENGINE_Risk'!$A$41:$A$920,0),$H827+1),""))</f>
        <v/>
      </c>
      <c r="O827">
        <f>IF($H827="","",MAX(1,MIN(5,($U827+$V827+$X827)/3)))</f>
        <v/>
      </c>
      <c r="P827">
        <f>IF($H827="","",IF($I827="Critical",5,IF($I827="High",4,IF($I827="Medium",3,IF($I827="Low",2,1)))))</f>
        <v/>
      </c>
      <c r="Q827">
        <f>IF($H827="","",MAX(1,MIN(5,((5-$H827)*0.65)+($W827*0.35))))</f>
        <v/>
      </c>
      <c r="R827">
        <f>IF($H827="","",MAX(1,MIN(5,($V827+$X827)/2)))</f>
        <v/>
      </c>
      <c r="S827">
        <f>IF(OR($H827="",$N827=""),"",ROUND(($O827+$P827+$Q827+$R827)/$N827,2))</f>
        <v/>
      </c>
      <c r="T827">
        <f>IF($H827="","",IFERROR(INDEX('_ENGINE_Risk'!$N$41:$S$920,MATCH($E827,'_ENGINE_Risk'!$A$41:$A$920,0),$H827+1),""))</f>
        <v/>
      </c>
      <c r="U827">
        <f>IFERROR(INDEX(_DATA_Assessment_Model!$G$5:$G$884,MATCH($E827,_DATA_Assessment_Model!$A$5:$A$884,0)),"")</f>
        <v/>
      </c>
      <c r="V827">
        <f>IFERROR(INDEX(_DATA_Assessment_Model!$W$5:$W$884,MATCH($E827,_DATA_Assessment_Model!$A$5:$A$884,0)),"")</f>
        <v/>
      </c>
      <c r="W827">
        <f>IFERROR(INDEX(_DATA_Assessment_Model!$X$5:$X$884,MATCH($E827,_DATA_Assessment_Model!$A$5:$A$884,0)),"")</f>
        <v/>
      </c>
      <c r="X827">
        <f>IFERROR(INDEX(_DATA_Assessment_Model!$Y$5:$Y$884,MATCH($E827,_DATA_Assessment_Model!$A$5:$A$884,0)),"")</f>
        <v/>
      </c>
      <c r="Y827" t="inlineStr">
        <is>
          <t>IT outage; Decision failure; Process disruption</t>
        </is>
      </c>
      <c r="Z827" t="inlineStr">
        <is>
          <t>CIO / Business Systems</t>
        </is>
      </c>
      <c r="AA827" t="inlineStr">
        <is>
          <t>Policy/SOP; owner/RACI; system report; dashboard; contracts; test records; incident history; interview evidence related to customer portal availability and data accuracy during disruption.</t>
        </is>
      </c>
      <c r="AB827">
        <f>IFERROR(INDEX(_DATA_Assessment_Model!$U$5:$U$884,MATCH($E827,_DATA_Assessment_Model!$A$5:$A$884,0)),"")</f>
        <v/>
      </c>
      <c r="AF827" t="inlineStr">
        <is>
          <t>How mature is the organization in managing customer portal availability and data accuracy during disruption, including ownership, evidence, metrics, fallback procedures and crisis stress testing?</t>
        </is>
      </c>
      <c r="AO827">
        <f>IF($B827="Yes",IFERROR(INDEX(_ENGINE_Crisis!$F$501:$F$517,MATCH($C827,_ENGINE_Crisis!$A$501:$A$517,0)),1),"")</f>
        <v/>
      </c>
      <c r="AP827">
        <f>IF(AO827="","",ROUND($L827*AO827,1))</f>
        <v/>
      </c>
      <c r="AQ827">
        <f>IF(OR(AO827="",$S827=""),"",ROUND($S827*(0.7+0.3*AO827),2))</f>
        <v/>
      </c>
      <c r="AR827">
        <f>IFERROR(INDEX(_ENGINE_Crisis!$E$41:$E$700,MATCH('Resilience &amp; Risk Scenario'!$B$60&amp;"|"&amp;$C827,_ENGINE_Crisis!$I$41:$I$700,0)),"")</f>
        <v/>
      </c>
      <c r="AS827">
        <f>IFERROR(INDEX(_ENGINE_Crisis!$G$41:$G$700,MATCH('Resilience &amp; Risk Scenario'!$B$60&amp;"|"&amp;$C827,_ENGINE_Crisis!$I$41:$I$700,0)),"")</f>
        <v/>
      </c>
      <c r="AT827">
        <f>IFERROR(INDEX(_ENGINE_Initiatives!$A$5:$A$532,MATCH(1,INDEX((_ENGINE_Initiatives!$B$5:$B$532=$C827)*(_ENGINE_Initiatives!$C$5:$C$532=$D827),0),0)),"")</f>
        <v/>
      </c>
      <c r="AU827">
        <f>IFERROR(INDEX(_ENGINE_Initiatives!$F$5:$F$532,MATCH(1,INDEX((_ENGINE_Initiatives!$B$5:$B$532=$C827)*(_ENGINE_Initiatives!$C$5:$C$532=$D827),0),0)),"")</f>
        <v/>
      </c>
      <c r="AV827">
        <f>IFERROR(INDEX(_ENGINE_Initiatives!$AC$5:$AC$532,MATCH(1,INDEX((_ENGINE_Initiatives!$B$5:$B$532=$C827)*(_ENGINE_Initiatives!$C$5:$C$532=$D827),0),0)),"")</f>
        <v/>
      </c>
      <c r="AW827">
        <f>IFERROR(INDEX(_ENGINE_Initiatives!$AE$5:$AE$532,MATCH(1,INDEX((_ENGINE_Initiatives!$B$5:$B$532=$C827)*(_ENGINE_Initiatives!$C$5:$C$532=$D827),0),0)),"")</f>
        <v/>
      </c>
      <c r="AX827">
        <f>IF($B827="Yes",IFERROR(IF(SUMIFS(_REF_Model_Content!$E$1:$E$613,_REF_Model_Content!$A$1:$A$613,'Company Profile'!$B$9,_REF_Model_Content!$B$1:$B$613,$C827)=0,1,SUMIFS(_REF_Model_Content!$E$1:$E$613,_REF_Model_Content!$A$1:$A$613,'Company Profile'!$B$9,_REF_Model_Content!$B$1:$B$613,$C827)),1),"")</f>
        <v/>
      </c>
      <c r="AY827">
        <f>IF($L827="","",ROUND(IF($AP827="",$L827,$AP827)*IF($AX827="",1,$AX827),2))</f>
        <v/>
      </c>
      <c r="AZ827">
        <f>IF($S827="","",ROUND(IF($AQ827="",$S827,$AQ827)*IF($AX827="",1,$AX827),2))</f>
        <v/>
      </c>
      <c r="BB827">
        <f>IF($H827="","",IFERROR(INDEX('_ENGINE_Risk'!$AE$41:$AE$920,MATCH($E827,'_ENGINE_Risk'!$A$41:$A$920,0)),"Medium"))</f>
        <v/>
      </c>
      <c r="BC827">
        <f>IF($BB827="","",IF($BB827="Fast",1.25,IF($BB827="Slow",0.85,1)))</f>
        <v/>
      </c>
      <c r="BD827">
        <f>IF(OR($AZ827="",$BC827=""),"",ROUND($AZ827*$BC827,2))</f>
        <v/>
      </c>
      <c r="BF827">
        <f>IF(OR($H827="",$J827=""),"",_xlfn.IFNA(VLOOKUP($J827,_CONFIG_Model_Settings!$D$610:$E$614,2,0),""))</f>
        <v/>
      </c>
      <c r="BG827">
        <f>IF(OR($H827="",$K827=""),"",ROUND('Company Profile'!$B$569*INDEX(_CONFIG_Model_Settings!$H$610:$H$614,MATCH($K827,_CONFIG_Model_Settings!$G$610:$G$614,0)),0))</f>
        <v/>
      </c>
      <c r="BH827">
        <f>IF(OR($BF827="",$BG827=""),"",ROUND($BF827*$BG827,1))</f>
        <v/>
      </c>
      <c r="BI827">
        <f>IF($BH827="","",IF($AO827="",$BH827,ROUND($BH827*$AO827,1)))</f>
        <v/>
      </c>
      <c r="BJ827">
        <f>IF($E827="","",IFERROR(VLOOKUP($C827,'_CONFIG_Risk_Calibration'!$A$5:$H$21,2,FALSE),3))</f>
        <v/>
      </c>
      <c r="BK827">
        <f>IF($E827="","",IFERROR(VLOOKUP($C827,'_CONFIG_Risk_Calibration'!$A$5:$H$21,3,FALSE),0))</f>
        <v/>
      </c>
      <c r="BL827">
        <f>IF($E827="","",IFERROR(VLOOKUP($C827,'_CONFIG_Risk_Calibration'!$A$5:$H$21,4,FALSE),3))</f>
        <v/>
      </c>
      <c r="BM827">
        <f>IF($E827="","",IFERROR(VLOOKUP($C827,'_CONFIG_Risk_Calibration'!$A$5:$H$21,5,FALSE),3))</f>
        <v/>
      </c>
      <c r="BN827">
        <f>IF($E827="","",IFERROR(VLOOKUP($C827,'_CONFIG_Risk_Calibration'!$A$5:$H$21,6,FALSE),"No"))</f>
        <v/>
      </c>
      <c r="BO827">
        <f>IF($E827="","",IFERROR(VLOOKUP($C827,'_CONFIG_Risk_Calibration'!$A$5:$H$21,7,FALSE),1))</f>
        <v/>
      </c>
      <c r="BP827">
        <f>IF($H827="","",MAX(1,MIN(5,((6-$H827)*0.45)+($BJ827*0.20)+('Resilience &amp; Risk Scenario'!$B$7*0.15)+($BK827*0.10)+($BL827*0.05)+(IF($BB827="Fast",5,IF($BB827="Slow",1,3))*0.05))))</f>
        <v/>
      </c>
      <c r="BQ827">
        <f>IF($H827="","",MAX(IF($BN827="Yes",$BO827,1),MIN(5,($U827*0.20)+($V827*0.15)+($W827*0.25)+($X827*0.15)+($BJ827*0.10)+($BM827*0.15))))</f>
        <v/>
      </c>
      <c r="BR827">
        <f>IF(OR($BP827="",$BQ827=""),"",ROUND($BP827*$BQ827,2))</f>
        <v/>
      </c>
      <c r="BS827">
        <f>IF($BR827="","",ROUND($BR827*IF($AO827="",1,$AO827)*IF($AX827="",1,$AX827)*(1+(($BM827-3)*0.10))*IF($BC827="",1,$BC827),2))</f>
        <v/>
      </c>
    </row>
    <row r="828" ht="69.90000000000001" customHeight="1" s="209">
      <c r="A828">
        <f>IF($BD828="","",SUMPRODUCT(ISNUMBER($BD$500:$BD$923)*($BD$500:$BD$923&gt;$BD828))+COUNTIF($BD$500:$BD828,$BD828))</f>
        <v/>
      </c>
      <c r="B828">
        <f>IF($H828="","",IF($H828&lt;5,"Yes","Maintain"))</f>
        <v/>
      </c>
      <c r="C828" t="inlineStr">
        <is>
          <t>Business Systems</t>
        </is>
      </c>
      <c r="D828" t="inlineStr">
        <is>
          <t>MES WMS TMS</t>
        </is>
      </c>
      <c r="E828" t="inlineStr">
        <is>
          <t>BUSI-010</t>
        </is>
      </c>
      <c r="F828" t="inlineStr">
        <is>
          <t>Enterprise systems and application continuity</t>
        </is>
      </c>
      <c r="G828">
        <f>IF($H828="","",IFERROR(INDEX('_ENGINE_Risk'!$H$41:$M$920,MATCH($E828,'_ENGINE_Risk'!$A$41:$A$920,0),$H828+1),""))</f>
        <v/>
      </c>
      <c r="H828">
        <f>IFERROR(VALUE(INDEX(_DATA_Assessment_Model!$H$5:$H$884,MATCH($E828,_DATA_Assessment_Model!$A$5:$A$884,0))),"")</f>
        <v/>
      </c>
      <c r="I828">
        <f>IF($H828="","",IFERROR(INDEX(_DATA_Assessment_Model!$L$5:$L$884,MATCH($E828,_DATA_Assessment_Model!$A$5:$A$884,0)),IF($H828&lt;=1,"Critical",IF($H828=2,"High",IF($H828=3,"Medium",IF($H828=4,"Low","Resilient"))))))</f>
        <v/>
      </c>
      <c r="J828">
        <f>IF($H828="","",MIN(5,MAX(1,6-$H828)))</f>
        <v/>
      </c>
      <c r="K828">
        <f>IF($H828="","",MAX(1,MIN(5,ROUNDUP(($U828*0.45)+($W828*0.35)+($X828*0.2),0))))</f>
        <v/>
      </c>
      <c r="L828">
        <f>IF($H828="","",$J828*$K828)</f>
        <v/>
      </c>
      <c r="M828">
        <f>IF($H828="","",MAX(1,MIN(5,ROUNDUP($L828/5,0))))</f>
        <v/>
      </c>
      <c r="N828">
        <f>IF($H828="","",IFERROR(INDEX('_ENGINE_Risk'!$T$41:$Y$920,MATCH($E828,'_ENGINE_Risk'!$A$41:$A$920,0),$H828+1),""))</f>
        <v/>
      </c>
      <c r="O828">
        <f>IF($H828="","",MAX(1,MIN(5,($U828+$V828+$X828)/3)))</f>
        <v/>
      </c>
      <c r="P828">
        <f>IF($H828="","",IF($I828="Critical",5,IF($I828="High",4,IF($I828="Medium",3,IF($I828="Low",2,1)))))</f>
        <v/>
      </c>
      <c r="Q828">
        <f>IF($H828="","",MAX(1,MIN(5,((5-$H828)*0.65)+($W828*0.35))))</f>
        <v/>
      </c>
      <c r="R828">
        <f>IF($H828="","",MAX(1,MIN(5,($V828+$X828)/2)))</f>
        <v/>
      </c>
      <c r="S828">
        <f>IF(OR($H828="",$N828=""),"",ROUND(($O828+$P828+$Q828+$R828)/$N828,2))</f>
        <v/>
      </c>
      <c r="T828">
        <f>IF($H828="","",IFERROR(INDEX('_ENGINE_Risk'!$N$41:$S$920,MATCH($E828,'_ENGINE_Risk'!$A$41:$A$920,0),$H828+1),""))</f>
        <v/>
      </c>
      <c r="U828">
        <f>IFERROR(INDEX(_DATA_Assessment_Model!$G$5:$G$884,MATCH($E828,_DATA_Assessment_Model!$A$5:$A$884,0)),"")</f>
        <v/>
      </c>
      <c r="V828">
        <f>IFERROR(INDEX(_DATA_Assessment_Model!$W$5:$W$884,MATCH($E828,_DATA_Assessment_Model!$A$5:$A$884,0)),"")</f>
        <v/>
      </c>
      <c r="W828">
        <f>IFERROR(INDEX(_DATA_Assessment_Model!$X$5:$X$884,MATCH($E828,_DATA_Assessment_Model!$A$5:$A$884,0)),"")</f>
        <v/>
      </c>
      <c r="X828">
        <f>IFERROR(INDEX(_DATA_Assessment_Model!$Y$5:$Y$884,MATCH($E828,_DATA_Assessment_Model!$A$5:$A$884,0)),"")</f>
        <v/>
      </c>
      <c r="Y828" t="inlineStr">
        <is>
          <t>IT outage; Decision failure; Process disruption</t>
        </is>
      </c>
      <c r="Z828" t="inlineStr">
        <is>
          <t>CIO / Business Systems</t>
        </is>
      </c>
      <c r="AA828" t="inlineStr">
        <is>
          <t>Policy/SOP; owner/RACI; system report; dashboard; contracts; test records; incident history; interview evidence related to MES support for production orders, execution, traceability, downtime, quality and labor.</t>
        </is>
      </c>
      <c r="AB828">
        <f>IFERROR(INDEX(_DATA_Assessment_Model!$U$5:$U$884,MATCH($E828,_DATA_Assessment_Model!$A$5:$A$884,0)),"")</f>
        <v/>
      </c>
      <c r="AF828" t="inlineStr">
        <is>
          <t>How mature is the organization in managing MES support for production orders, execution, traceability, downtime, quality and labor, including ownership, evidence, metrics, fallback procedures and crisis stress testing?</t>
        </is>
      </c>
      <c r="AO828">
        <f>IF($B828="Yes",IFERROR(INDEX(_ENGINE_Crisis!$F$501:$F$517,MATCH($C828,_ENGINE_Crisis!$A$501:$A$517,0)),1),"")</f>
        <v/>
      </c>
      <c r="AP828">
        <f>IF(AO828="","",ROUND($L828*AO828,1))</f>
        <v/>
      </c>
      <c r="AQ828">
        <f>IF(OR(AO828="",$S828=""),"",ROUND($S828*(0.7+0.3*AO828),2))</f>
        <v/>
      </c>
      <c r="AR828">
        <f>IFERROR(INDEX(_ENGINE_Crisis!$E$41:$E$700,MATCH('Resilience &amp; Risk Scenario'!$B$60&amp;"|"&amp;$C828,_ENGINE_Crisis!$I$41:$I$700,0)),"")</f>
        <v/>
      </c>
      <c r="AS828">
        <f>IFERROR(INDEX(_ENGINE_Crisis!$G$41:$G$700,MATCH('Resilience &amp; Risk Scenario'!$B$60&amp;"|"&amp;$C828,_ENGINE_Crisis!$I$41:$I$700,0)),"")</f>
        <v/>
      </c>
      <c r="AT828">
        <f>IFERROR(INDEX(_ENGINE_Initiatives!$A$5:$A$532,MATCH(1,INDEX((_ENGINE_Initiatives!$B$5:$B$532=$C828)*(_ENGINE_Initiatives!$C$5:$C$532=$D828),0),0)),"")</f>
        <v/>
      </c>
      <c r="AU828">
        <f>IFERROR(INDEX(_ENGINE_Initiatives!$F$5:$F$532,MATCH(1,INDEX((_ENGINE_Initiatives!$B$5:$B$532=$C828)*(_ENGINE_Initiatives!$C$5:$C$532=$D828),0),0)),"")</f>
        <v/>
      </c>
      <c r="AV828">
        <f>IFERROR(INDEX(_ENGINE_Initiatives!$AC$5:$AC$532,MATCH(1,INDEX((_ENGINE_Initiatives!$B$5:$B$532=$C828)*(_ENGINE_Initiatives!$C$5:$C$532=$D828),0),0)),"")</f>
        <v/>
      </c>
      <c r="AW828">
        <f>IFERROR(INDEX(_ENGINE_Initiatives!$AE$5:$AE$532,MATCH(1,INDEX((_ENGINE_Initiatives!$B$5:$B$532=$C828)*(_ENGINE_Initiatives!$C$5:$C$532=$D828),0),0)),"")</f>
        <v/>
      </c>
      <c r="AX828">
        <f>IF($B828="Yes",IFERROR(IF(SUMIFS(_REF_Model_Content!$E$1:$E$613,_REF_Model_Content!$A$1:$A$613,'Company Profile'!$B$9,_REF_Model_Content!$B$1:$B$613,$C828)=0,1,SUMIFS(_REF_Model_Content!$E$1:$E$613,_REF_Model_Content!$A$1:$A$613,'Company Profile'!$B$9,_REF_Model_Content!$B$1:$B$613,$C828)),1),"")</f>
        <v/>
      </c>
      <c r="AY828">
        <f>IF($L828="","",ROUND(IF($AP828="",$L828,$AP828)*IF($AX828="",1,$AX828),2))</f>
        <v/>
      </c>
      <c r="AZ828">
        <f>IF($S828="","",ROUND(IF($AQ828="",$S828,$AQ828)*IF($AX828="",1,$AX828),2))</f>
        <v/>
      </c>
      <c r="BB828">
        <f>IF($H828="","",IFERROR(INDEX('_ENGINE_Risk'!$AE$41:$AE$920,MATCH($E828,'_ENGINE_Risk'!$A$41:$A$920,0)),"Medium"))</f>
        <v/>
      </c>
      <c r="BC828">
        <f>IF($BB828="","",IF($BB828="Fast",1.25,IF($BB828="Slow",0.85,1)))</f>
        <v/>
      </c>
      <c r="BD828">
        <f>IF(OR($AZ828="",$BC828=""),"",ROUND($AZ828*$BC828,2))</f>
        <v/>
      </c>
      <c r="BF828">
        <f>IF(OR($H828="",$J828=""),"",_xlfn.IFNA(VLOOKUP($J828,_CONFIG_Model_Settings!$D$610:$E$614,2,0),""))</f>
        <v/>
      </c>
      <c r="BG828">
        <f>IF(OR($H828="",$K828=""),"",ROUND('Company Profile'!$B$569*INDEX(_CONFIG_Model_Settings!$H$610:$H$614,MATCH($K828,_CONFIG_Model_Settings!$G$610:$G$614,0)),0))</f>
        <v/>
      </c>
      <c r="BH828">
        <f>IF(OR($BF828="",$BG828=""),"",ROUND($BF828*$BG828,1))</f>
        <v/>
      </c>
      <c r="BI828">
        <f>IF($BH828="","",IF($AO828="",$BH828,ROUND($BH828*$AO828,1)))</f>
        <v/>
      </c>
      <c r="BJ828">
        <f>IF($E828="","",IFERROR(VLOOKUP($C828,'_CONFIG_Risk_Calibration'!$A$5:$H$21,2,FALSE),3))</f>
        <v/>
      </c>
      <c r="BK828">
        <f>IF($E828="","",IFERROR(VLOOKUP($C828,'_CONFIG_Risk_Calibration'!$A$5:$H$21,3,FALSE),0))</f>
        <v/>
      </c>
      <c r="BL828">
        <f>IF($E828="","",IFERROR(VLOOKUP($C828,'_CONFIG_Risk_Calibration'!$A$5:$H$21,4,FALSE),3))</f>
        <v/>
      </c>
      <c r="BM828">
        <f>IF($E828="","",IFERROR(VLOOKUP($C828,'_CONFIG_Risk_Calibration'!$A$5:$H$21,5,FALSE),3))</f>
        <v/>
      </c>
      <c r="BN828">
        <f>IF($E828="","",IFERROR(VLOOKUP($C828,'_CONFIG_Risk_Calibration'!$A$5:$H$21,6,FALSE),"No"))</f>
        <v/>
      </c>
      <c r="BO828">
        <f>IF($E828="","",IFERROR(VLOOKUP($C828,'_CONFIG_Risk_Calibration'!$A$5:$H$21,7,FALSE),1))</f>
        <v/>
      </c>
      <c r="BP828">
        <f>IF($H828="","",MAX(1,MIN(5,((6-$H828)*0.45)+($BJ828*0.20)+('Resilience &amp; Risk Scenario'!$B$7*0.15)+($BK828*0.10)+($BL828*0.05)+(IF($BB828="Fast",5,IF($BB828="Slow",1,3))*0.05))))</f>
        <v/>
      </c>
      <c r="BQ828">
        <f>IF($H828="","",MAX(IF($BN828="Yes",$BO828,1),MIN(5,($U828*0.20)+($V828*0.15)+($W828*0.25)+($X828*0.15)+($BJ828*0.10)+($BM828*0.15))))</f>
        <v/>
      </c>
      <c r="BR828">
        <f>IF(OR($BP828="",$BQ828=""),"",ROUND($BP828*$BQ828,2))</f>
        <v/>
      </c>
      <c r="BS828">
        <f>IF($BR828="","",ROUND($BR828*IF($AO828="",1,$AO828)*IF($AX828="",1,$AX828)*(1+(($BM828-3)*0.10))*IF($BC828="",1,$BC828),2))</f>
        <v/>
      </c>
    </row>
    <row r="829" ht="69.90000000000001" customHeight="1" s="209">
      <c r="A829">
        <f>IF($BD829="","",SUMPRODUCT(ISNUMBER($BD$500:$BD$923)*($BD$500:$BD$923&gt;$BD829))+COUNTIF($BD$500:$BD829,$BD829))</f>
        <v/>
      </c>
      <c r="B829">
        <f>IF($H829="","",IF($H829&lt;5,"Yes","Maintain"))</f>
        <v/>
      </c>
      <c r="C829" t="inlineStr">
        <is>
          <t>Business Systems</t>
        </is>
      </c>
      <c r="D829" t="inlineStr">
        <is>
          <t>MES WMS TMS</t>
        </is>
      </c>
      <c r="E829" t="inlineStr">
        <is>
          <t>BUSI-011</t>
        </is>
      </c>
      <c r="F829" t="inlineStr">
        <is>
          <t>Enterprise systems and application continuity</t>
        </is>
      </c>
      <c r="G829">
        <f>IF($H829="","",IFERROR(INDEX('_ENGINE_Risk'!$H$41:$M$920,MATCH($E829,'_ENGINE_Risk'!$A$41:$A$920,0),$H829+1),""))</f>
        <v/>
      </c>
      <c r="H829">
        <f>IFERROR(VALUE(INDEX(_DATA_Assessment_Model!$H$5:$H$884,MATCH($E829,_DATA_Assessment_Model!$A$5:$A$884,0))),"")</f>
        <v/>
      </c>
      <c r="I829">
        <f>IF($H829="","",IFERROR(INDEX(_DATA_Assessment_Model!$L$5:$L$884,MATCH($E829,_DATA_Assessment_Model!$A$5:$A$884,0)),IF($H829&lt;=1,"Critical",IF($H829=2,"High",IF($H829=3,"Medium",IF($H829=4,"Low","Resilient"))))))</f>
        <v/>
      </c>
      <c r="J829">
        <f>IF($H829="","",MIN(5,MAX(1,6-$H829)))</f>
        <v/>
      </c>
      <c r="K829">
        <f>IF($H829="","",MAX(1,MIN(5,ROUNDUP(($U829*0.45)+($W829*0.35)+($X829*0.2),0))))</f>
        <v/>
      </c>
      <c r="L829">
        <f>IF($H829="","",$J829*$K829)</f>
        <v/>
      </c>
      <c r="M829">
        <f>IF($H829="","",MAX(1,MIN(5,ROUNDUP($L829/5,0))))</f>
        <v/>
      </c>
      <c r="N829">
        <f>IF($H829="","",IFERROR(INDEX('_ENGINE_Risk'!$T$41:$Y$920,MATCH($E829,'_ENGINE_Risk'!$A$41:$A$920,0),$H829+1),""))</f>
        <v/>
      </c>
      <c r="O829">
        <f>IF($H829="","",MAX(1,MIN(5,($U829+$V829+$X829)/3)))</f>
        <v/>
      </c>
      <c r="P829">
        <f>IF($H829="","",IF($I829="Critical",5,IF($I829="High",4,IF($I829="Medium",3,IF($I829="Low",2,1)))))</f>
        <v/>
      </c>
      <c r="Q829">
        <f>IF($H829="","",MAX(1,MIN(5,((5-$H829)*0.65)+($W829*0.35))))</f>
        <v/>
      </c>
      <c r="R829">
        <f>IF($H829="","",MAX(1,MIN(5,($V829+$X829)/2)))</f>
        <v/>
      </c>
      <c r="S829">
        <f>IF(OR($H829="",$N829=""),"",ROUND(($O829+$P829+$Q829+$R829)/$N829,2))</f>
        <v/>
      </c>
      <c r="T829">
        <f>IF($H829="","",IFERROR(INDEX('_ENGINE_Risk'!$N$41:$S$920,MATCH($E829,'_ENGINE_Risk'!$A$41:$A$920,0),$H829+1),""))</f>
        <v/>
      </c>
      <c r="U829">
        <f>IFERROR(INDEX(_DATA_Assessment_Model!$G$5:$G$884,MATCH($E829,_DATA_Assessment_Model!$A$5:$A$884,0)),"")</f>
        <v/>
      </c>
      <c r="V829">
        <f>IFERROR(INDEX(_DATA_Assessment_Model!$W$5:$W$884,MATCH($E829,_DATA_Assessment_Model!$A$5:$A$884,0)),"")</f>
        <v/>
      </c>
      <c r="W829">
        <f>IFERROR(INDEX(_DATA_Assessment_Model!$X$5:$X$884,MATCH($E829,_DATA_Assessment_Model!$A$5:$A$884,0)),"")</f>
        <v/>
      </c>
      <c r="X829">
        <f>IFERROR(INDEX(_DATA_Assessment_Model!$Y$5:$Y$884,MATCH($E829,_DATA_Assessment_Model!$A$5:$A$884,0)),"")</f>
        <v/>
      </c>
      <c r="Y829" t="inlineStr">
        <is>
          <t>IT outage; Decision failure; Process disruption</t>
        </is>
      </c>
      <c r="Z829" t="inlineStr">
        <is>
          <t>CIO / Business Systems</t>
        </is>
      </c>
      <c r="AA829" t="inlineStr">
        <is>
          <t>Policy/SOP; owner/RACI; system report; dashboard; contracts; test records; incident history; interview evidence related to MES-ERP integration for orders, inventory consumption, output and quality data.</t>
        </is>
      </c>
      <c r="AB829">
        <f>IFERROR(INDEX(_DATA_Assessment_Model!$U$5:$U$884,MATCH($E829,_DATA_Assessment_Model!$A$5:$A$884,0)),"")</f>
        <v/>
      </c>
      <c r="AF829" t="inlineStr">
        <is>
          <t>How mature is the organization in managing MES-ERP integration for orders, inventory consumption, output and quality data, including ownership, evidence, metrics, fallback procedures and crisis stress testing?</t>
        </is>
      </c>
      <c r="AO829">
        <f>IF($B829="Yes",IFERROR(INDEX(_ENGINE_Crisis!$F$501:$F$517,MATCH($C829,_ENGINE_Crisis!$A$501:$A$517,0)),1),"")</f>
        <v/>
      </c>
      <c r="AP829">
        <f>IF(AO829="","",ROUND($L829*AO829,1))</f>
        <v/>
      </c>
      <c r="AQ829">
        <f>IF(OR(AO829="",$S829=""),"",ROUND($S829*(0.7+0.3*AO829),2))</f>
        <v/>
      </c>
      <c r="AR829">
        <f>IFERROR(INDEX(_ENGINE_Crisis!$E$41:$E$700,MATCH('Resilience &amp; Risk Scenario'!$B$60&amp;"|"&amp;$C829,_ENGINE_Crisis!$I$41:$I$700,0)),"")</f>
        <v/>
      </c>
      <c r="AS829">
        <f>IFERROR(INDEX(_ENGINE_Crisis!$G$41:$G$700,MATCH('Resilience &amp; Risk Scenario'!$B$60&amp;"|"&amp;$C829,_ENGINE_Crisis!$I$41:$I$700,0)),"")</f>
        <v/>
      </c>
      <c r="AT829">
        <f>IFERROR(INDEX(_ENGINE_Initiatives!$A$5:$A$532,MATCH(1,INDEX((_ENGINE_Initiatives!$B$5:$B$532=$C829)*(_ENGINE_Initiatives!$C$5:$C$532=$D829),0),0)),"")</f>
        <v/>
      </c>
      <c r="AU829">
        <f>IFERROR(INDEX(_ENGINE_Initiatives!$F$5:$F$532,MATCH(1,INDEX((_ENGINE_Initiatives!$B$5:$B$532=$C829)*(_ENGINE_Initiatives!$C$5:$C$532=$D829),0),0)),"")</f>
        <v/>
      </c>
      <c r="AV829">
        <f>IFERROR(INDEX(_ENGINE_Initiatives!$AC$5:$AC$532,MATCH(1,INDEX((_ENGINE_Initiatives!$B$5:$B$532=$C829)*(_ENGINE_Initiatives!$C$5:$C$532=$D829),0),0)),"")</f>
        <v/>
      </c>
      <c r="AW829">
        <f>IFERROR(INDEX(_ENGINE_Initiatives!$AE$5:$AE$532,MATCH(1,INDEX((_ENGINE_Initiatives!$B$5:$B$532=$C829)*(_ENGINE_Initiatives!$C$5:$C$532=$D829),0),0)),"")</f>
        <v/>
      </c>
      <c r="AX829">
        <f>IF($B829="Yes",IFERROR(IF(SUMIFS(_REF_Model_Content!$E$1:$E$613,_REF_Model_Content!$A$1:$A$613,'Company Profile'!$B$9,_REF_Model_Content!$B$1:$B$613,$C829)=0,1,SUMIFS(_REF_Model_Content!$E$1:$E$613,_REF_Model_Content!$A$1:$A$613,'Company Profile'!$B$9,_REF_Model_Content!$B$1:$B$613,$C829)),1),"")</f>
        <v/>
      </c>
      <c r="AY829">
        <f>IF($L829="","",ROUND(IF($AP829="",$L829,$AP829)*IF($AX829="",1,$AX829),2))</f>
        <v/>
      </c>
      <c r="AZ829">
        <f>IF($S829="","",ROUND(IF($AQ829="",$S829,$AQ829)*IF($AX829="",1,$AX829),2))</f>
        <v/>
      </c>
      <c r="BB829">
        <f>IF($H829="","",IFERROR(INDEX('_ENGINE_Risk'!$AE$41:$AE$920,MATCH($E829,'_ENGINE_Risk'!$A$41:$A$920,0)),"Medium"))</f>
        <v/>
      </c>
      <c r="BC829">
        <f>IF($BB829="","",IF($BB829="Fast",1.25,IF($BB829="Slow",0.85,1)))</f>
        <v/>
      </c>
      <c r="BD829">
        <f>IF(OR($AZ829="",$BC829=""),"",ROUND($AZ829*$BC829,2))</f>
        <v/>
      </c>
      <c r="BF829">
        <f>IF(OR($H829="",$J829=""),"",_xlfn.IFNA(VLOOKUP($J829,_CONFIG_Model_Settings!$D$610:$E$614,2,0),""))</f>
        <v/>
      </c>
      <c r="BG829">
        <f>IF(OR($H829="",$K829=""),"",ROUND('Company Profile'!$B$569*INDEX(_CONFIG_Model_Settings!$H$610:$H$614,MATCH($K829,_CONFIG_Model_Settings!$G$610:$G$614,0)),0))</f>
        <v/>
      </c>
      <c r="BH829">
        <f>IF(OR($BF829="",$BG829=""),"",ROUND($BF829*$BG829,1))</f>
        <v/>
      </c>
      <c r="BI829">
        <f>IF($BH829="","",IF($AO829="",$BH829,ROUND($BH829*$AO829,1)))</f>
        <v/>
      </c>
      <c r="BJ829">
        <f>IF($E829="","",IFERROR(VLOOKUP($C829,'_CONFIG_Risk_Calibration'!$A$5:$H$21,2,FALSE),3))</f>
        <v/>
      </c>
      <c r="BK829">
        <f>IF($E829="","",IFERROR(VLOOKUP($C829,'_CONFIG_Risk_Calibration'!$A$5:$H$21,3,FALSE),0))</f>
        <v/>
      </c>
      <c r="BL829">
        <f>IF($E829="","",IFERROR(VLOOKUP($C829,'_CONFIG_Risk_Calibration'!$A$5:$H$21,4,FALSE),3))</f>
        <v/>
      </c>
      <c r="BM829">
        <f>IF($E829="","",IFERROR(VLOOKUP($C829,'_CONFIG_Risk_Calibration'!$A$5:$H$21,5,FALSE),3))</f>
        <v/>
      </c>
      <c r="BN829">
        <f>IF($E829="","",IFERROR(VLOOKUP($C829,'_CONFIG_Risk_Calibration'!$A$5:$H$21,6,FALSE),"No"))</f>
        <v/>
      </c>
      <c r="BO829">
        <f>IF($E829="","",IFERROR(VLOOKUP($C829,'_CONFIG_Risk_Calibration'!$A$5:$H$21,7,FALSE),1))</f>
        <v/>
      </c>
      <c r="BP829">
        <f>IF($H829="","",MAX(1,MIN(5,((6-$H829)*0.45)+($BJ829*0.20)+('Resilience &amp; Risk Scenario'!$B$7*0.15)+($BK829*0.10)+($BL829*0.05)+(IF($BB829="Fast",5,IF($BB829="Slow",1,3))*0.05))))</f>
        <v/>
      </c>
      <c r="BQ829">
        <f>IF($H829="","",MAX(IF($BN829="Yes",$BO829,1),MIN(5,($U829*0.20)+($V829*0.15)+($W829*0.25)+($X829*0.15)+($BJ829*0.10)+($BM829*0.15))))</f>
        <v/>
      </c>
      <c r="BR829">
        <f>IF(OR($BP829="",$BQ829=""),"",ROUND($BP829*$BQ829,2))</f>
        <v/>
      </c>
      <c r="BS829">
        <f>IF($BR829="","",ROUND($BR829*IF($AO829="",1,$AO829)*IF($AX829="",1,$AX829)*(1+(($BM829-3)*0.10))*IF($BC829="",1,$BC829),2))</f>
        <v/>
      </c>
    </row>
    <row r="830" ht="69.90000000000001" customHeight="1" s="209">
      <c r="A830">
        <f>IF($BD830="","",SUMPRODUCT(ISNUMBER($BD$500:$BD$923)*($BD$500:$BD$923&gt;$BD830))+COUNTIF($BD$500:$BD830,$BD830))</f>
        <v/>
      </c>
      <c r="B830">
        <f>IF($H830="","",IF($H830&lt;5,"Yes","Maintain"))</f>
        <v/>
      </c>
      <c r="C830" t="inlineStr">
        <is>
          <t>Business Systems</t>
        </is>
      </c>
      <c r="D830" t="inlineStr">
        <is>
          <t>MES WMS TMS</t>
        </is>
      </c>
      <c r="E830" t="inlineStr">
        <is>
          <t>BUSI-012</t>
        </is>
      </c>
      <c r="F830" t="inlineStr">
        <is>
          <t>Enterprise systems and application continuity</t>
        </is>
      </c>
      <c r="G830">
        <f>IF($H830="","",IFERROR(INDEX('_ENGINE_Risk'!$H$41:$M$920,MATCH($E830,'_ENGINE_Risk'!$A$41:$A$920,0),$H830+1),""))</f>
        <v/>
      </c>
      <c r="H830">
        <f>IFERROR(VALUE(INDEX(_DATA_Assessment_Model!$H$5:$H$884,MATCH($E830,_DATA_Assessment_Model!$A$5:$A$884,0))),"")</f>
        <v/>
      </c>
      <c r="I830">
        <f>IF($H830="","",IFERROR(INDEX(_DATA_Assessment_Model!$L$5:$L$884,MATCH($E830,_DATA_Assessment_Model!$A$5:$A$884,0)),IF($H830&lt;=1,"Critical",IF($H830=2,"High",IF($H830=3,"Medium",IF($H830=4,"Low","Resilient"))))))</f>
        <v/>
      </c>
      <c r="J830">
        <f>IF($H830="","",MIN(5,MAX(1,6-$H830)))</f>
        <v/>
      </c>
      <c r="K830">
        <f>IF($H830="","",MAX(1,MIN(5,ROUNDUP(($U830*0.45)+($W830*0.35)+($X830*0.2),0))))</f>
        <v/>
      </c>
      <c r="L830">
        <f>IF($H830="","",$J830*$K830)</f>
        <v/>
      </c>
      <c r="M830">
        <f>IF($H830="","",MAX(1,MIN(5,ROUNDUP($L830/5,0))))</f>
        <v/>
      </c>
      <c r="N830">
        <f>IF($H830="","",IFERROR(INDEX('_ENGINE_Risk'!$T$41:$Y$920,MATCH($E830,'_ENGINE_Risk'!$A$41:$A$920,0),$H830+1),""))</f>
        <v/>
      </c>
      <c r="O830">
        <f>IF($H830="","",MAX(1,MIN(5,($U830+$V830+$X830)/3)))</f>
        <v/>
      </c>
      <c r="P830">
        <f>IF($H830="","",IF($I830="Critical",5,IF($I830="High",4,IF($I830="Medium",3,IF($I830="Low",2,1)))))</f>
        <v/>
      </c>
      <c r="Q830">
        <f>IF($H830="","",MAX(1,MIN(5,((5-$H830)*0.65)+($W830*0.35))))</f>
        <v/>
      </c>
      <c r="R830">
        <f>IF($H830="","",MAX(1,MIN(5,($V830+$X830)/2)))</f>
        <v/>
      </c>
      <c r="S830">
        <f>IF(OR($H830="",$N830=""),"",ROUND(($O830+$P830+$Q830+$R830)/$N830,2))</f>
        <v/>
      </c>
      <c r="T830">
        <f>IF($H830="","",IFERROR(INDEX('_ENGINE_Risk'!$N$41:$S$920,MATCH($E830,'_ENGINE_Risk'!$A$41:$A$920,0),$H830+1),""))</f>
        <v/>
      </c>
      <c r="U830">
        <f>IFERROR(INDEX(_DATA_Assessment_Model!$G$5:$G$884,MATCH($E830,_DATA_Assessment_Model!$A$5:$A$884,0)),"")</f>
        <v/>
      </c>
      <c r="V830">
        <f>IFERROR(INDEX(_DATA_Assessment_Model!$W$5:$W$884,MATCH($E830,_DATA_Assessment_Model!$A$5:$A$884,0)),"")</f>
        <v/>
      </c>
      <c r="W830">
        <f>IFERROR(INDEX(_DATA_Assessment_Model!$X$5:$X$884,MATCH($E830,_DATA_Assessment_Model!$A$5:$A$884,0)),"")</f>
        <v/>
      </c>
      <c r="X830">
        <f>IFERROR(INDEX(_DATA_Assessment_Model!$Y$5:$Y$884,MATCH($E830,_DATA_Assessment_Model!$A$5:$A$884,0)),"")</f>
        <v/>
      </c>
      <c r="Y830" t="inlineStr">
        <is>
          <t>IT outage; Decision failure; Process disruption</t>
        </is>
      </c>
      <c r="Z830" t="inlineStr">
        <is>
          <t>CIO / Business Systems</t>
        </is>
      </c>
      <c r="AA830" t="inlineStr">
        <is>
          <t>Policy/SOP; owner/RACI; system report; dashboard; contracts; test records; incident history; interview evidence related to WMS support for inventory movement, location, status, batch, picking, packing and cycle counts.</t>
        </is>
      </c>
      <c r="AB830">
        <f>IFERROR(INDEX(_DATA_Assessment_Model!$U$5:$U$884,MATCH($E830,_DATA_Assessment_Model!$A$5:$A$884,0)),"")</f>
        <v/>
      </c>
      <c r="AF830" t="inlineStr">
        <is>
          <t>How mature is the organization in managing WMS support for inventory movement, location, status, batch, picking, packing and cycle counts, including ownership, evidence, metrics, fallback procedures and crisis stress testing?</t>
        </is>
      </c>
      <c r="AO830">
        <f>IF($B830="Yes",IFERROR(INDEX(_ENGINE_Crisis!$F$501:$F$517,MATCH($C830,_ENGINE_Crisis!$A$501:$A$517,0)),1),"")</f>
        <v/>
      </c>
      <c r="AP830">
        <f>IF(AO830="","",ROUND($L830*AO830,1))</f>
        <v/>
      </c>
      <c r="AQ830">
        <f>IF(OR(AO830="",$S830=""),"",ROUND($S830*(0.7+0.3*AO830),2))</f>
        <v/>
      </c>
      <c r="AR830">
        <f>IFERROR(INDEX(_ENGINE_Crisis!$E$41:$E$700,MATCH('Resilience &amp; Risk Scenario'!$B$60&amp;"|"&amp;$C830,_ENGINE_Crisis!$I$41:$I$700,0)),"")</f>
        <v/>
      </c>
      <c r="AS830">
        <f>IFERROR(INDEX(_ENGINE_Crisis!$G$41:$G$700,MATCH('Resilience &amp; Risk Scenario'!$B$60&amp;"|"&amp;$C830,_ENGINE_Crisis!$I$41:$I$700,0)),"")</f>
        <v/>
      </c>
      <c r="AT830">
        <f>IFERROR(INDEX(_ENGINE_Initiatives!$A$5:$A$532,MATCH(1,INDEX((_ENGINE_Initiatives!$B$5:$B$532=$C830)*(_ENGINE_Initiatives!$C$5:$C$532=$D830),0),0)),"")</f>
        <v/>
      </c>
      <c r="AU830">
        <f>IFERROR(INDEX(_ENGINE_Initiatives!$F$5:$F$532,MATCH(1,INDEX((_ENGINE_Initiatives!$B$5:$B$532=$C830)*(_ENGINE_Initiatives!$C$5:$C$532=$D830),0),0)),"")</f>
        <v/>
      </c>
      <c r="AV830">
        <f>IFERROR(INDEX(_ENGINE_Initiatives!$AC$5:$AC$532,MATCH(1,INDEX((_ENGINE_Initiatives!$B$5:$B$532=$C830)*(_ENGINE_Initiatives!$C$5:$C$532=$D830),0),0)),"")</f>
        <v/>
      </c>
      <c r="AW830">
        <f>IFERROR(INDEX(_ENGINE_Initiatives!$AE$5:$AE$532,MATCH(1,INDEX((_ENGINE_Initiatives!$B$5:$B$532=$C830)*(_ENGINE_Initiatives!$C$5:$C$532=$D830),0),0)),"")</f>
        <v/>
      </c>
      <c r="AX830">
        <f>IF($B830="Yes",IFERROR(IF(SUMIFS(_REF_Model_Content!$E$1:$E$613,_REF_Model_Content!$A$1:$A$613,'Company Profile'!$B$9,_REF_Model_Content!$B$1:$B$613,$C830)=0,1,SUMIFS(_REF_Model_Content!$E$1:$E$613,_REF_Model_Content!$A$1:$A$613,'Company Profile'!$B$9,_REF_Model_Content!$B$1:$B$613,$C830)),1),"")</f>
        <v/>
      </c>
      <c r="AY830">
        <f>IF($L830="","",ROUND(IF($AP830="",$L830,$AP830)*IF($AX830="",1,$AX830),2))</f>
        <v/>
      </c>
      <c r="AZ830">
        <f>IF($S830="","",ROUND(IF($AQ830="",$S830,$AQ830)*IF($AX830="",1,$AX830),2))</f>
        <v/>
      </c>
      <c r="BB830">
        <f>IF($H830="","",IFERROR(INDEX('_ENGINE_Risk'!$AE$41:$AE$920,MATCH($E830,'_ENGINE_Risk'!$A$41:$A$920,0)),"Medium"))</f>
        <v/>
      </c>
      <c r="BC830">
        <f>IF($BB830="","",IF($BB830="Fast",1.25,IF($BB830="Slow",0.85,1)))</f>
        <v/>
      </c>
      <c r="BD830">
        <f>IF(OR($AZ830="",$BC830=""),"",ROUND($AZ830*$BC830,2))</f>
        <v/>
      </c>
      <c r="BF830">
        <f>IF(OR($H830="",$J830=""),"",_xlfn.IFNA(VLOOKUP($J830,_CONFIG_Model_Settings!$D$610:$E$614,2,0),""))</f>
        <v/>
      </c>
      <c r="BG830">
        <f>IF(OR($H830="",$K830=""),"",ROUND('Company Profile'!$B$569*INDEX(_CONFIG_Model_Settings!$H$610:$H$614,MATCH($K830,_CONFIG_Model_Settings!$G$610:$G$614,0)),0))</f>
        <v/>
      </c>
      <c r="BH830">
        <f>IF(OR($BF830="",$BG830=""),"",ROUND($BF830*$BG830,1))</f>
        <v/>
      </c>
      <c r="BI830">
        <f>IF($BH830="","",IF($AO830="",$BH830,ROUND($BH830*$AO830,1)))</f>
        <v/>
      </c>
      <c r="BJ830">
        <f>IF($E830="","",IFERROR(VLOOKUP($C830,'_CONFIG_Risk_Calibration'!$A$5:$H$21,2,FALSE),3))</f>
        <v/>
      </c>
      <c r="BK830">
        <f>IF($E830="","",IFERROR(VLOOKUP($C830,'_CONFIG_Risk_Calibration'!$A$5:$H$21,3,FALSE),0))</f>
        <v/>
      </c>
      <c r="BL830">
        <f>IF($E830="","",IFERROR(VLOOKUP($C830,'_CONFIG_Risk_Calibration'!$A$5:$H$21,4,FALSE),3))</f>
        <v/>
      </c>
      <c r="BM830">
        <f>IF($E830="","",IFERROR(VLOOKUP($C830,'_CONFIG_Risk_Calibration'!$A$5:$H$21,5,FALSE),3))</f>
        <v/>
      </c>
      <c r="BN830">
        <f>IF($E830="","",IFERROR(VLOOKUP($C830,'_CONFIG_Risk_Calibration'!$A$5:$H$21,6,FALSE),"No"))</f>
        <v/>
      </c>
      <c r="BO830">
        <f>IF($E830="","",IFERROR(VLOOKUP($C830,'_CONFIG_Risk_Calibration'!$A$5:$H$21,7,FALSE),1))</f>
        <v/>
      </c>
      <c r="BP830">
        <f>IF($H830="","",MAX(1,MIN(5,((6-$H830)*0.45)+($BJ830*0.20)+('Resilience &amp; Risk Scenario'!$B$7*0.15)+($BK830*0.10)+($BL830*0.05)+(IF($BB830="Fast",5,IF($BB830="Slow",1,3))*0.05))))</f>
        <v/>
      </c>
      <c r="BQ830">
        <f>IF($H830="","",MAX(IF($BN830="Yes",$BO830,1),MIN(5,($U830*0.20)+($V830*0.15)+($W830*0.25)+($X830*0.15)+($BJ830*0.10)+($BM830*0.15))))</f>
        <v/>
      </c>
      <c r="BR830">
        <f>IF(OR($BP830="",$BQ830=""),"",ROUND($BP830*$BQ830,2))</f>
        <v/>
      </c>
      <c r="BS830">
        <f>IF($BR830="","",ROUND($BR830*IF($AO830="",1,$AO830)*IF($AX830="",1,$AX830)*(1+(($BM830-3)*0.10))*IF($BC830="",1,$BC830),2))</f>
        <v/>
      </c>
    </row>
    <row r="831" ht="69.90000000000001" customHeight="1" s="209">
      <c r="A831">
        <f>IF($BD831="","",SUMPRODUCT(ISNUMBER($BD$500:$BD$923)*($BD$500:$BD$923&gt;$BD831))+COUNTIF($BD$500:$BD831,$BD831))</f>
        <v/>
      </c>
      <c r="B831">
        <f>IF($H831="","",IF($H831&lt;5,"Yes","Maintain"))</f>
        <v/>
      </c>
      <c r="C831" t="inlineStr">
        <is>
          <t>Business Systems</t>
        </is>
      </c>
      <c r="D831" t="inlineStr">
        <is>
          <t>MES WMS TMS</t>
        </is>
      </c>
      <c r="E831" t="inlineStr">
        <is>
          <t>BUSI-013</t>
        </is>
      </c>
      <c r="F831" t="inlineStr">
        <is>
          <t>Enterprise systems and application continuity</t>
        </is>
      </c>
      <c r="G831">
        <f>IF($H831="","",IFERROR(INDEX('_ENGINE_Risk'!$H$41:$M$920,MATCH($E831,'_ENGINE_Risk'!$A$41:$A$920,0),$H831+1),""))</f>
        <v/>
      </c>
      <c r="H831">
        <f>IFERROR(VALUE(INDEX(_DATA_Assessment_Model!$H$5:$H$884,MATCH($E831,_DATA_Assessment_Model!$A$5:$A$884,0))),"")</f>
        <v/>
      </c>
      <c r="I831">
        <f>IF($H831="","",IFERROR(INDEX(_DATA_Assessment_Model!$L$5:$L$884,MATCH($E831,_DATA_Assessment_Model!$A$5:$A$884,0)),IF($H831&lt;=1,"Critical",IF($H831=2,"High",IF($H831=3,"Medium",IF($H831=4,"Low","Resilient"))))))</f>
        <v/>
      </c>
      <c r="J831">
        <f>IF($H831="","",MIN(5,MAX(1,6-$H831)))</f>
        <v/>
      </c>
      <c r="K831">
        <f>IF($H831="","",MAX(1,MIN(5,ROUNDUP(($U831*0.45)+($W831*0.35)+($X831*0.2),0))))</f>
        <v/>
      </c>
      <c r="L831">
        <f>IF($H831="","",$J831*$K831)</f>
        <v/>
      </c>
      <c r="M831">
        <f>IF($H831="","",MAX(1,MIN(5,ROUNDUP($L831/5,0))))</f>
        <v/>
      </c>
      <c r="N831">
        <f>IF($H831="","",IFERROR(INDEX('_ENGINE_Risk'!$T$41:$Y$920,MATCH($E831,'_ENGINE_Risk'!$A$41:$A$920,0),$H831+1),""))</f>
        <v/>
      </c>
      <c r="O831">
        <f>IF($H831="","",MAX(1,MIN(5,($U831+$V831+$X831)/3)))</f>
        <v/>
      </c>
      <c r="P831">
        <f>IF($H831="","",IF($I831="Critical",5,IF($I831="High",4,IF($I831="Medium",3,IF($I831="Low",2,1)))))</f>
        <v/>
      </c>
      <c r="Q831">
        <f>IF($H831="","",MAX(1,MIN(5,((5-$H831)*0.65)+($W831*0.35))))</f>
        <v/>
      </c>
      <c r="R831">
        <f>IF($H831="","",MAX(1,MIN(5,($V831+$X831)/2)))</f>
        <v/>
      </c>
      <c r="S831">
        <f>IF(OR($H831="",$N831=""),"",ROUND(($O831+$P831+$Q831+$R831)/$N831,2))</f>
        <v/>
      </c>
      <c r="T831">
        <f>IF($H831="","",IFERROR(INDEX('_ENGINE_Risk'!$N$41:$S$920,MATCH($E831,'_ENGINE_Risk'!$A$41:$A$920,0),$H831+1),""))</f>
        <v/>
      </c>
      <c r="U831">
        <f>IFERROR(INDEX(_DATA_Assessment_Model!$G$5:$G$884,MATCH($E831,_DATA_Assessment_Model!$A$5:$A$884,0)),"")</f>
        <v/>
      </c>
      <c r="V831">
        <f>IFERROR(INDEX(_DATA_Assessment_Model!$W$5:$W$884,MATCH($E831,_DATA_Assessment_Model!$A$5:$A$884,0)),"")</f>
        <v/>
      </c>
      <c r="W831">
        <f>IFERROR(INDEX(_DATA_Assessment_Model!$X$5:$X$884,MATCH($E831,_DATA_Assessment_Model!$A$5:$A$884,0)),"")</f>
        <v/>
      </c>
      <c r="X831">
        <f>IFERROR(INDEX(_DATA_Assessment_Model!$Y$5:$Y$884,MATCH($E831,_DATA_Assessment_Model!$A$5:$A$884,0)),"")</f>
        <v/>
      </c>
      <c r="Y831" t="inlineStr">
        <is>
          <t>IT outage; Decision failure; Process disruption</t>
        </is>
      </c>
      <c r="Z831" t="inlineStr">
        <is>
          <t>CIO / Business Systems</t>
        </is>
      </c>
      <c r="AA831" t="inlineStr">
        <is>
          <t>Policy/SOP; owner/RACI; system report; dashboard; contracts; test records; incident history; interview evidence related to TMS support for carrier booking, route planning, tracking and delivery visibility.</t>
        </is>
      </c>
      <c r="AB831">
        <f>IFERROR(INDEX(_DATA_Assessment_Model!$U$5:$U$884,MATCH($E831,_DATA_Assessment_Model!$A$5:$A$884,0)),"")</f>
        <v/>
      </c>
      <c r="AF831" t="inlineStr">
        <is>
          <t>How mature is the organization in managing TMS support for carrier booking, route planning, tracking and delivery visibility, including ownership, evidence, metrics, fallback procedures and crisis stress testing?</t>
        </is>
      </c>
      <c r="AO831">
        <f>IF($B831="Yes",IFERROR(INDEX(_ENGINE_Crisis!$F$501:$F$517,MATCH($C831,_ENGINE_Crisis!$A$501:$A$517,0)),1),"")</f>
        <v/>
      </c>
      <c r="AP831">
        <f>IF(AO831="","",ROUND($L831*AO831,1))</f>
        <v/>
      </c>
      <c r="AQ831">
        <f>IF(OR(AO831="",$S831=""),"",ROUND($S831*(0.7+0.3*AO831),2))</f>
        <v/>
      </c>
      <c r="AR831">
        <f>IFERROR(INDEX(_ENGINE_Crisis!$E$41:$E$700,MATCH('Resilience &amp; Risk Scenario'!$B$60&amp;"|"&amp;$C831,_ENGINE_Crisis!$I$41:$I$700,0)),"")</f>
        <v/>
      </c>
      <c r="AS831">
        <f>IFERROR(INDEX(_ENGINE_Crisis!$G$41:$G$700,MATCH('Resilience &amp; Risk Scenario'!$B$60&amp;"|"&amp;$C831,_ENGINE_Crisis!$I$41:$I$700,0)),"")</f>
        <v/>
      </c>
      <c r="AT831">
        <f>IFERROR(INDEX(_ENGINE_Initiatives!$A$5:$A$532,MATCH(1,INDEX((_ENGINE_Initiatives!$B$5:$B$532=$C831)*(_ENGINE_Initiatives!$C$5:$C$532=$D831),0),0)),"")</f>
        <v/>
      </c>
      <c r="AU831">
        <f>IFERROR(INDEX(_ENGINE_Initiatives!$F$5:$F$532,MATCH(1,INDEX((_ENGINE_Initiatives!$B$5:$B$532=$C831)*(_ENGINE_Initiatives!$C$5:$C$532=$D831),0),0)),"")</f>
        <v/>
      </c>
      <c r="AV831">
        <f>IFERROR(INDEX(_ENGINE_Initiatives!$AC$5:$AC$532,MATCH(1,INDEX((_ENGINE_Initiatives!$B$5:$B$532=$C831)*(_ENGINE_Initiatives!$C$5:$C$532=$D831),0),0)),"")</f>
        <v/>
      </c>
      <c r="AW831">
        <f>IFERROR(INDEX(_ENGINE_Initiatives!$AE$5:$AE$532,MATCH(1,INDEX((_ENGINE_Initiatives!$B$5:$B$532=$C831)*(_ENGINE_Initiatives!$C$5:$C$532=$D831),0),0)),"")</f>
        <v/>
      </c>
      <c r="AX831">
        <f>IF($B831="Yes",IFERROR(IF(SUMIFS(_REF_Model_Content!$E$1:$E$613,_REF_Model_Content!$A$1:$A$613,'Company Profile'!$B$9,_REF_Model_Content!$B$1:$B$613,$C831)=0,1,SUMIFS(_REF_Model_Content!$E$1:$E$613,_REF_Model_Content!$A$1:$A$613,'Company Profile'!$B$9,_REF_Model_Content!$B$1:$B$613,$C831)),1),"")</f>
        <v/>
      </c>
      <c r="AY831">
        <f>IF($L831="","",ROUND(IF($AP831="",$L831,$AP831)*IF($AX831="",1,$AX831),2))</f>
        <v/>
      </c>
      <c r="AZ831">
        <f>IF($S831="","",ROUND(IF($AQ831="",$S831,$AQ831)*IF($AX831="",1,$AX831),2))</f>
        <v/>
      </c>
      <c r="BB831">
        <f>IF($H831="","",IFERROR(INDEX('_ENGINE_Risk'!$AE$41:$AE$920,MATCH($E831,'_ENGINE_Risk'!$A$41:$A$920,0)),"Medium"))</f>
        <v/>
      </c>
      <c r="BC831">
        <f>IF($BB831="","",IF($BB831="Fast",1.25,IF($BB831="Slow",0.85,1)))</f>
        <v/>
      </c>
      <c r="BD831">
        <f>IF(OR($AZ831="",$BC831=""),"",ROUND($AZ831*$BC831,2))</f>
        <v/>
      </c>
      <c r="BF831">
        <f>IF(OR($H831="",$J831=""),"",_xlfn.IFNA(VLOOKUP($J831,_CONFIG_Model_Settings!$D$610:$E$614,2,0),""))</f>
        <v/>
      </c>
      <c r="BG831">
        <f>IF(OR($H831="",$K831=""),"",ROUND('Company Profile'!$B$569*INDEX(_CONFIG_Model_Settings!$H$610:$H$614,MATCH($K831,_CONFIG_Model_Settings!$G$610:$G$614,0)),0))</f>
        <v/>
      </c>
      <c r="BH831">
        <f>IF(OR($BF831="",$BG831=""),"",ROUND($BF831*$BG831,1))</f>
        <v/>
      </c>
      <c r="BI831">
        <f>IF($BH831="","",IF($AO831="",$BH831,ROUND($BH831*$AO831,1)))</f>
        <v/>
      </c>
      <c r="BJ831">
        <f>IF($E831="","",IFERROR(VLOOKUP($C831,'_CONFIG_Risk_Calibration'!$A$5:$H$21,2,FALSE),3))</f>
        <v/>
      </c>
      <c r="BK831">
        <f>IF($E831="","",IFERROR(VLOOKUP($C831,'_CONFIG_Risk_Calibration'!$A$5:$H$21,3,FALSE),0))</f>
        <v/>
      </c>
      <c r="BL831">
        <f>IF($E831="","",IFERROR(VLOOKUP($C831,'_CONFIG_Risk_Calibration'!$A$5:$H$21,4,FALSE),3))</f>
        <v/>
      </c>
      <c r="BM831">
        <f>IF($E831="","",IFERROR(VLOOKUP($C831,'_CONFIG_Risk_Calibration'!$A$5:$H$21,5,FALSE),3))</f>
        <v/>
      </c>
      <c r="BN831">
        <f>IF($E831="","",IFERROR(VLOOKUP($C831,'_CONFIG_Risk_Calibration'!$A$5:$H$21,6,FALSE),"No"))</f>
        <v/>
      </c>
      <c r="BO831">
        <f>IF($E831="","",IFERROR(VLOOKUP($C831,'_CONFIG_Risk_Calibration'!$A$5:$H$21,7,FALSE),1))</f>
        <v/>
      </c>
      <c r="BP831">
        <f>IF($H831="","",MAX(1,MIN(5,((6-$H831)*0.45)+($BJ831*0.20)+('Resilience &amp; Risk Scenario'!$B$7*0.15)+($BK831*0.10)+($BL831*0.05)+(IF($BB831="Fast",5,IF($BB831="Slow",1,3))*0.05))))</f>
        <v/>
      </c>
      <c r="BQ831">
        <f>IF($H831="","",MAX(IF($BN831="Yes",$BO831,1),MIN(5,($U831*0.20)+($V831*0.15)+($W831*0.25)+($X831*0.15)+($BJ831*0.10)+($BM831*0.15))))</f>
        <v/>
      </c>
      <c r="BR831">
        <f>IF(OR($BP831="",$BQ831=""),"",ROUND($BP831*$BQ831,2))</f>
        <v/>
      </c>
      <c r="BS831">
        <f>IF($BR831="","",ROUND($BR831*IF($AO831="",1,$AO831)*IF($AX831="",1,$AX831)*(1+(($BM831-3)*0.10))*IF($BC831="",1,$BC831),2))</f>
        <v/>
      </c>
    </row>
    <row r="832" ht="69.90000000000001" customHeight="1" s="209">
      <c r="A832">
        <f>IF($BD832="","",SUMPRODUCT(ISNUMBER($BD$500:$BD$923)*($BD$500:$BD$923&gt;$BD832))+COUNTIF($BD$500:$BD832,$BD832))</f>
        <v/>
      </c>
      <c r="B832">
        <f>IF($H832="","",IF($H832&lt;5,"Yes","Maintain"))</f>
        <v/>
      </c>
      <c r="C832" t="inlineStr">
        <is>
          <t>Business Systems</t>
        </is>
      </c>
      <c r="D832" t="inlineStr">
        <is>
          <t>HRMS and finance systems</t>
        </is>
      </c>
      <c r="E832" t="inlineStr">
        <is>
          <t>BUSI-014</t>
        </is>
      </c>
      <c r="F832" t="inlineStr">
        <is>
          <t>Enterprise systems and application continuity</t>
        </is>
      </c>
      <c r="G832">
        <f>IF($H832="","",IFERROR(INDEX('_ENGINE_Risk'!$H$41:$M$920,MATCH($E832,'_ENGINE_Risk'!$A$41:$A$920,0),$H832+1),""))</f>
        <v/>
      </c>
      <c r="H832">
        <f>IFERROR(VALUE(INDEX(_DATA_Assessment_Model!$H$5:$H$884,MATCH($E832,_DATA_Assessment_Model!$A$5:$A$884,0))),"")</f>
        <v/>
      </c>
      <c r="I832">
        <f>IF($H832="","",IFERROR(INDEX(_DATA_Assessment_Model!$L$5:$L$884,MATCH($E832,_DATA_Assessment_Model!$A$5:$A$884,0)),IF($H832&lt;=1,"Critical",IF($H832=2,"High",IF($H832=3,"Medium",IF($H832=4,"Low","Resilient"))))))</f>
        <v/>
      </c>
      <c r="J832">
        <f>IF($H832="","",MIN(5,MAX(1,6-$H832)))</f>
        <v/>
      </c>
      <c r="K832">
        <f>IF($H832="","",MAX(1,MIN(5,ROUNDUP(($U832*0.45)+($W832*0.35)+($X832*0.2),0))))</f>
        <v/>
      </c>
      <c r="L832">
        <f>IF($H832="","",$J832*$K832)</f>
        <v/>
      </c>
      <c r="M832">
        <f>IF($H832="","",MAX(1,MIN(5,ROUNDUP($L832/5,0))))</f>
        <v/>
      </c>
      <c r="N832">
        <f>IF($H832="","",IFERROR(INDEX('_ENGINE_Risk'!$T$41:$Y$920,MATCH($E832,'_ENGINE_Risk'!$A$41:$A$920,0),$H832+1),""))</f>
        <v/>
      </c>
      <c r="O832">
        <f>IF($H832="","",MAX(1,MIN(5,($U832+$V832+$X832)/3)))</f>
        <v/>
      </c>
      <c r="P832">
        <f>IF($H832="","",IF($I832="Critical",5,IF($I832="High",4,IF($I832="Medium",3,IF($I832="Low",2,1)))))</f>
        <v/>
      </c>
      <c r="Q832">
        <f>IF($H832="","",MAX(1,MIN(5,((5-$H832)*0.65)+($W832*0.35))))</f>
        <v/>
      </c>
      <c r="R832">
        <f>IF($H832="","",MAX(1,MIN(5,($V832+$X832)/2)))</f>
        <v/>
      </c>
      <c r="S832">
        <f>IF(OR($H832="",$N832=""),"",ROUND(($O832+$P832+$Q832+$R832)/$N832,2))</f>
        <v/>
      </c>
      <c r="T832">
        <f>IF($H832="","",IFERROR(INDEX('_ENGINE_Risk'!$N$41:$S$920,MATCH($E832,'_ENGINE_Risk'!$A$41:$A$920,0),$H832+1),""))</f>
        <v/>
      </c>
      <c r="U832">
        <f>IFERROR(INDEX(_DATA_Assessment_Model!$G$5:$G$884,MATCH($E832,_DATA_Assessment_Model!$A$5:$A$884,0)),"")</f>
        <v/>
      </c>
      <c r="V832">
        <f>IFERROR(INDEX(_DATA_Assessment_Model!$W$5:$W$884,MATCH($E832,_DATA_Assessment_Model!$A$5:$A$884,0)),"")</f>
        <v/>
      </c>
      <c r="W832">
        <f>IFERROR(INDEX(_DATA_Assessment_Model!$X$5:$X$884,MATCH($E832,_DATA_Assessment_Model!$A$5:$A$884,0)),"")</f>
        <v/>
      </c>
      <c r="X832">
        <f>IFERROR(INDEX(_DATA_Assessment_Model!$Y$5:$Y$884,MATCH($E832,_DATA_Assessment_Model!$A$5:$A$884,0)),"")</f>
        <v/>
      </c>
      <c r="Y832" t="inlineStr">
        <is>
          <t>IT outage; Decision failure; Process disruption</t>
        </is>
      </c>
      <c r="Z832" t="inlineStr">
        <is>
          <t>CIO / Business Systems</t>
        </is>
      </c>
      <c r="AA832" t="inlineStr">
        <is>
          <t>Policy/SOP; owner/RACI; system report; dashboard; contracts; test records; incident history; interview evidence related to HRMS coverage for employee records, roles, skills, absence, payroll inputs and emergency contacts.</t>
        </is>
      </c>
      <c r="AB832">
        <f>IFERROR(INDEX(_DATA_Assessment_Model!$U$5:$U$884,MATCH($E832,_DATA_Assessment_Model!$A$5:$A$884,0)),"")</f>
        <v/>
      </c>
      <c r="AF832" t="inlineStr">
        <is>
          <t>How mature is the organization in managing HRMS coverage for employee records, roles, skills, absence, payroll inputs and emergency contacts, including ownership, evidence, metrics, fallback procedures and crisis stress testing?</t>
        </is>
      </c>
      <c r="AO832">
        <f>IF($B832="Yes",IFERROR(INDEX(_ENGINE_Crisis!$F$501:$F$517,MATCH($C832,_ENGINE_Crisis!$A$501:$A$517,0)),1),"")</f>
        <v/>
      </c>
      <c r="AP832">
        <f>IF(AO832="","",ROUND($L832*AO832,1))</f>
        <v/>
      </c>
      <c r="AQ832">
        <f>IF(OR(AO832="",$S832=""),"",ROUND($S832*(0.7+0.3*AO832),2))</f>
        <v/>
      </c>
      <c r="AR832">
        <f>IFERROR(INDEX(_ENGINE_Crisis!$E$41:$E$700,MATCH('Resilience &amp; Risk Scenario'!$B$60&amp;"|"&amp;$C832,_ENGINE_Crisis!$I$41:$I$700,0)),"")</f>
        <v/>
      </c>
      <c r="AS832">
        <f>IFERROR(INDEX(_ENGINE_Crisis!$G$41:$G$700,MATCH('Resilience &amp; Risk Scenario'!$B$60&amp;"|"&amp;$C832,_ENGINE_Crisis!$I$41:$I$700,0)),"")</f>
        <v/>
      </c>
      <c r="AT832">
        <f>IFERROR(INDEX(_ENGINE_Initiatives!$A$5:$A$532,MATCH(1,INDEX((_ENGINE_Initiatives!$B$5:$B$532=$C832)*(_ENGINE_Initiatives!$C$5:$C$532=$D832),0),0)),"")</f>
        <v/>
      </c>
      <c r="AU832">
        <f>IFERROR(INDEX(_ENGINE_Initiatives!$F$5:$F$532,MATCH(1,INDEX((_ENGINE_Initiatives!$B$5:$B$532=$C832)*(_ENGINE_Initiatives!$C$5:$C$532=$D832),0),0)),"")</f>
        <v/>
      </c>
      <c r="AV832">
        <f>IFERROR(INDEX(_ENGINE_Initiatives!$AC$5:$AC$532,MATCH(1,INDEX((_ENGINE_Initiatives!$B$5:$B$532=$C832)*(_ENGINE_Initiatives!$C$5:$C$532=$D832),0),0)),"")</f>
        <v/>
      </c>
      <c r="AW832">
        <f>IFERROR(INDEX(_ENGINE_Initiatives!$AE$5:$AE$532,MATCH(1,INDEX((_ENGINE_Initiatives!$B$5:$B$532=$C832)*(_ENGINE_Initiatives!$C$5:$C$532=$D832),0),0)),"")</f>
        <v/>
      </c>
      <c r="AX832">
        <f>IF($B832="Yes",IFERROR(IF(SUMIFS(_REF_Model_Content!$E$1:$E$613,_REF_Model_Content!$A$1:$A$613,'Company Profile'!$B$9,_REF_Model_Content!$B$1:$B$613,$C832)=0,1,SUMIFS(_REF_Model_Content!$E$1:$E$613,_REF_Model_Content!$A$1:$A$613,'Company Profile'!$B$9,_REF_Model_Content!$B$1:$B$613,$C832)),1),"")</f>
        <v/>
      </c>
      <c r="AY832">
        <f>IF($L832="","",ROUND(IF($AP832="",$L832,$AP832)*IF($AX832="",1,$AX832),2))</f>
        <v/>
      </c>
      <c r="AZ832">
        <f>IF($S832="","",ROUND(IF($AQ832="",$S832,$AQ832)*IF($AX832="",1,$AX832),2))</f>
        <v/>
      </c>
      <c r="BB832">
        <f>IF($H832="","",IFERROR(INDEX('_ENGINE_Risk'!$AE$41:$AE$920,MATCH($E832,'_ENGINE_Risk'!$A$41:$A$920,0)),"Medium"))</f>
        <v/>
      </c>
      <c r="BC832">
        <f>IF($BB832="","",IF($BB832="Fast",1.25,IF($BB832="Slow",0.85,1)))</f>
        <v/>
      </c>
      <c r="BD832">
        <f>IF(OR($AZ832="",$BC832=""),"",ROUND($AZ832*$BC832,2))</f>
        <v/>
      </c>
      <c r="BF832">
        <f>IF(OR($H832="",$J832=""),"",_xlfn.IFNA(VLOOKUP($J832,_CONFIG_Model_Settings!$D$610:$E$614,2,0),""))</f>
        <v/>
      </c>
      <c r="BG832">
        <f>IF(OR($H832="",$K832=""),"",ROUND('Company Profile'!$B$569*INDEX(_CONFIG_Model_Settings!$H$610:$H$614,MATCH($K832,_CONFIG_Model_Settings!$G$610:$G$614,0)),0))</f>
        <v/>
      </c>
      <c r="BH832">
        <f>IF(OR($BF832="",$BG832=""),"",ROUND($BF832*$BG832,1))</f>
        <v/>
      </c>
      <c r="BI832">
        <f>IF($BH832="","",IF($AO832="",$BH832,ROUND($BH832*$AO832,1)))</f>
        <v/>
      </c>
      <c r="BJ832">
        <f>IF($E832="","",IFERROR(VLOOKUP($C832,'_CONFIG_Risk_Calibration'!$A$5:$H$21,2,FALSE),3))</f>
        <v/>
      </c>
      <c r="BK832">
        <f>IF($E832="","",IFERROR(VLOOKUP($C832,'_CONFIG_Risk_Calibration'!$A$5:$H$21,3,FALSE),0))</f>
        <v/>
      </c>
      <c r="BL832">
        <f>IF($E832="","",IFERROR(VLOOKUP($C832,'_CONFIG_Risk_Calibration'!$A$5:$H$21,4,FALSE),3))</f>
        <v/>
      </c>
      <c r="BM832">
        <f>IF($E832="","",IFERROR(VLOOKUP($C832,'_CONFIG_Risk_Calibration'!$A$5:$H$21,5,FALSE),3))</f>
        <v/>
      </c>
      <c r="BN832">
        <f>IF($E832="","",IFERROR(VLOOKUP($C832,'_CONFIG_Risk_Calibration'!$A$5:$H$21,6,FALSE),"No"))</f>
        <v/>
      </c>
      <c r="BO832">
        <f>IF($E832="","",IFERROR(VLOOKUP($C832,'_CONFIG_Risk_Calibration'!$A$5:$H$21,7,FALSE),1))</f>
        <v/>
      </c>
      <c r="BP832">
        <f>IF($H832="","",MAX(1,MIN(5,((6-$H832)*0.45)+($BJ832*0.20)+('Resilience &amp; Risk Scenario'!$B$7*0.15)+($BK832*0.10)+($BL832*0.05)+(IF($BB832="Fast",5,IF($BB832="Slow",1,3))*0.05))))</f>
        <v/>
      </c>
      <c r="BQ832">
        <f>IF($H832="","",MAX(IF($BN832="Yes",$BO832,1),MIN(5,($U832*0.20)+($V832*0.15)+($W832*0.25)+($X832*0.15)+($BJ832*0.10)+($BM832*0.15))))</f>
        <v/>
      </c>
      <c r="BR832">
        <f>IF(OR($BP832="",$BQ832=""),"",ROUND($BP832*$BQ832,2))</f>
        <v/>
      </c>
      <c r="BS832">
        <f>IF($BR832="","",ROUND($BR832*IF($AO832="",1,$AO832)*IF($AX832="",1,$AX832)*(1+(($BM832-3)*0.10))*IF($BC832="",1,$BC832),2))</f>
        <v/>
      </c>
    </row>
    <row r="833" ht="69.90000000000001" customHeight="1" s="209">
      <c r="A833">
        <f>IF($BD833="","",SUMPRODUCT(ISNUMBER($BD$500:$BD$923)*($BD$500:$BD$923&gt;$BD833))+COUNTIF($BD$500:$BD833,$BD833))</f>
        <v/>
      </c>
      <c r="B833">
        <f>IF($H833="","",IF($H833&lt;5,"Yes","Maintain"))</f>
        <v/>
      </c>
      <c r="C833" t="inlineStr">
        <is>
          <t>Business Systems</t>
        </is>
      </c>
      <c r="D833" t="inlineStr">
        <is>
          <t>HRMS and finance systems</t>
        </is>
      </c>
      <c r="E833" t="inlineStr">
        <is>
          <t>BUSI-015</t>
        </is>
      </c>
      <c r="F833" t="inlineStr">
        <is>
          <t>Enterprise systems and application continuity</t>
        </is>
      </c>
      <c r="G833">
        <f>IF($H833="","",IFERROR(INDEX('_ENGINE_Risk'!$H$41:$M$920,MATCH($E833,'_ENGINE_Risk'!$A$41:$A$920,0),$H833+1),""))</f>
        <v/>
      </c>
      <c r="H833">
        <f>IFERROR(VALUE(INDEX(_DATA_Assessment_Model!$H$5:$H$884,MATCH($E833,_DATA_Assessment_Model!$A$5:$A$884,0))),"")</f>
        <v/>
      </c>
      <c r="I833">
        <f>IF($H833="","",IFERROR(INDEX(_DATA_Assessment_Model!$L$5:$L$884,MATCH($E833,_DATA_Assessment_Model!$A$5:$A$884,0)),IF($H833&lt;=1,"Critical",IF($H833=2,"High",IF($H833=3,"Medium",IF($H833=4,"Low","Resilient"))))))</f>
        <v/>
      </c>
      <c r="J833">
        <f>IF($H833="","",MIN(5,MAX(1,6-$H833)))</f>
        <v/>
      </c>
      <c r="K833">
        <f>IF($H833="","",MAX(1,MIN(5,ROUNDUP(($U833*0.45)+($W833*0.35)+($X833*0.2),0))))</f>
        <v/>
      </c>
      <c r="L833">
        <f>IF($H833="","",$J833*$K833)</f>
        <v/>
      </c>
      <c r="M833">
        <f>IF($H833="","",MAX(1,MIN(5,ROUNDUP($L833/5,0))))</f>
        <v/>
      </c>
      <c r="N833">
        <f>IF($H833="","",IFERROR(INDEX('_ENGINE_Risk'!$T$41:$Y$920,MATCH($E833,'_ENGINE_Risk'!$A$41:$A$920,0),$H833+1),""))</f>
        <v/>
      </c>
      <c r="O833">
        <f>IF($H833="","",MAX(1,MIN(5,($U833+$V833+$X833)/3)))</f>
        <v/>
      </c>
      <c r="P833">
        <f>IF($H833="","",IF($I833="Critical",5,IF($I833="High",4,IF($I833="Medium",3,IF($I833="Low",2,1)))))</f>
        <v/>
      </c>
      <c r="Q833">
        <f>IF($H833="","",MAX(1,MIN(5,((5-$H833)*0.65)+($W833*0.35))))</f>
        <v/>
      </c>
      <c r="R833">
        <f>IF($H833="","",MAX(1,MIN(5,($V833+$X833)/2)))</f>
        <v/>
      </c>
      <c r="S833">
        <f>IF(OR($H833="",$N833=""),"",ROUND(($O833+$P833+$Q833+$R833)/$N833,2))</f>
        <v/>
      </c>
      <c r="T833">
        <f>IF($H833="","",IFERROR(INDEX('_ENGINE_Risk'!$N$41:$S$920,MATCH($E833,'_ENGINE_Risk'!$A$41:$A$920,0),$H833+1),""))</f>
        <v/>
      </c>
      <c r="U833">
        <f>IFERROR(INDEX(_DATA_Assessment_Model!$G$5:$G$884,MATCH($E833,_DATA_Assessment_Model!$A$5:$A$884,0)),"")</f>
        <v/>
      </c>
      <c r="V833">
        <f>IFERROR(INDEX(_DATA_Assessment_Model!$W$5:$W$884,MATCH($E833,_DATA_Assessment_Model!$A$5:$A$884,0)),"")</f>
        <v/>
      </c>
      <c r="W833">
        <f>IFERROR(INDEX(_DATA_Assessment_Model!$X$5:$X$884,MATCH($E833,_DATA_Assessment_Model!$A$5:$A$884,0)),"")</f>
        <v/>
      </c>
      <c r="X833">
        <f>IFERROR(INDEX(_DATA_Assessment_Model!$Y$5:$Y$884,MATCH($E833,_DATA_Assessment_Model!$A$5:$A$884,0)),"")</f>
        <v/>
      </c>
      <c r="Y833" t="inlineStr">
        <is>
          <t>IT outage; Decision failure; Process disruption</t>
        </is>
      </c>
      <c r="Z833" t="inlineStr">
        <is>
          <t>CIO / Business Systems</t>
        </is>
      </c>
      <c r="AA833" t="inlineStr">
        <is>
          <t>Policy/SOP; owner/RACI; system report; dashboard; contracts; test records; incident history; interview evidence related to HRMS data quality for employee location, manager, emergency contacts and criticality.</t>
        </is>
      </c>
      <c r="AB833">
        <f>IFERROR(INDEX(_DATA_Assessment_Model!$U$5:$U$884,MATCH($E833,_DATA_Assessment_Model!$A$5:$A$884,0)),"")</f>
        <v/>
      </c>
      <c r="AF833" t="inlineStr">
        <is>
          <t>How mature is the organization in managing HRMS data quality for employee location, manager, emergency contacts and criticality, including ownership, evidence, metrics, fallback procedures and crisis stress testing?</t>
        </is>
      </c>
      <c r="AO833">
        <f>IF($B833="Yes",IFERROR(INDEX(_ENGINE_Crisis!$F$501:$F$517,MATCH($C833,_ENGINE_Crisis!$A$501:$A$517,0)),1),"")</f>
        <v/>
      </c>
      <c r="AP833">
        <f>IF(AO833="","",ROUND($L833*AO833,1))</f>
        <v/>
      </c>
      <c r="AQ833">
        <f>IF(OR(AO833="",$S833=""),"",ROUND($S833*(0.7+0.3*AO833),2))</f>
        <v/>
      </c>
      <c r="AR833">
        <f>IFERROR(INDEX(_ENGINE_Crisis!$E$41:$E$700,MATCH('Resilience &amp; Risk Scenario'!$B$60&amp;"|"&amp;$C833,_ENGINE_Crisis!$I$41:$I$700,0)),"")</f>
        <v/>
      </c>
      <c r="AS833">
        <f>IFERROR(INDEX(_ENGINE_Crisis!$G$41:$G$700,MATCH('Resilience &amp; Risk Scenario'!$B$60&amp;"|"&amp;$C833,_ENGINE_Crisis!$I$41:$I$700,0)),"")</f>
        <v/>
      </c>
      <c r="AT833">
        <f>IFERROR(INDEX(_ENGINE_Initiatives!$A$5:$A$532,MATCH(1,INDEX((_ENGINE_Initiatives!$B$5:$B$532=$C833)*(_ENGINE_Initiatives!$C$5:$C$532=$D833),0),0)),"")</f>
        <v/>
      </c>
      <c r="AU833">
        <f>IFERROR(INDEX(_ENGINE_Initiatives!$F$5:$F$532,MATCH(1,INDEX((_ENGINE_Initiatives!$B$5:$B$532=$C833)*(_ENGINE_Initiatives!$C$5:$C$532=$D833),0),0)),"")</f>
        <v/>
      </c>
      <c r="AV833">
        <f>IFERROR(INDEX(_ENGINE_Initiatives!$AC$5:$AC$532,MATCH(1,INDEX((_ENGINE_Initiatives!$B$5:$B$532=$C833)*(_ENGINE_Initiatives!$C$5:$C$532=$D833),0),0)),"")</f>
        <v/>
      </c>
      <c r="AW833">
        <f>IFERROR(INDEX(_ENGINE_Initiatives!$AE$5:$AE$532,MATCH(1,INDEX((_ENGINE_Initiatives!$B$5:$B$532=$C833)*(_ENGINE_Initiatives!$C$5:$C$532=$D833),0),0)),"")</f>
        <v/>
      </c>
      <c r="AX833">
        <f>IF($B833="Yes",IFERROR(IF(SUMIFS(_REF_Model_Content!$E$1:$E$613,_REF_Model_Content!$A$1:$A$613,'Company Profile'!$B$9,_REF_Model_Content!$B$1:$B$613,$C833)=0,1,SUMIFS(_REF_Model_Content!$E$1:$E$613,_REF_Model_Content!$A$1:$A$613,'Company Profile'!$B$9,_REF_Model_Content!$B$1:$B$613,$C833)),1),"")</f>
        <v/>
      </c>
      <c r="AY833">
        <f>IF($L833="","",ROUND(IF($AP833="",$L833,$AP833)*IF($AX833="",1,$AX833),2))</f>
        <v/>
      </c>
      <c r="AZ833">
        <f>IF($S833="","",ROUND(IF($AQ833="",$S833,$AQ833)*IF($AX833="",1,$AX833),2))</f>
        <v/>
      </c>
      <c r="BB833">
        <f>IF($H833="","",IFERROR(INDEX('_ENGINE_Risk'!$AE$41:$AE$920,MATCH($E833,'_ENGINE_Risk'!$A$41:$A$920,0)),"Medium"))</f>
        <v/>
      </c>
      <c r="BC833">
        <f>IF($BB833="","",IF($BB833="Fast",1.25,IF($BB833="Slow",0.85,1)))</f>
        <v/>
      </c>
      <c r="BD833">
        <f>IF(OR($AZ833="",$BC833=""),"",ROUND($AZ833*$BC833,2))</f>
        <v/>
      </c>
      <c r="BF833">
        <f>IF(OR($H833="",$J833=""),"",_xlfn.IFNA(VLOOKUP($J833,_CONFIG_Model_Settings!$D$610:$E$614,2,0),""))</f>
        <v/>
      </c>
      <c r="BG833">
        <f>IF(OR($H833="",$K833=""),"",ROUND('Company Profile'!$B$569*INDEX(_CONFIG_Model_Settings!$H$610:$H$614,MATCH($K833,_CONFIG_Model_Settings!$G$610:$G$614,0)),0))</f>
        <v/>
      </c>
      <c r="BH833">
        <f>IF(OR($BF833="",$BG833=""),"",ROUND($BF833*$BG833,1))</f>
        <v/>
      </c>
      <c r="BI833">
        <f>IF($BH833="","",IF($AO833="",$BH833,ROUND($BH833*$AO833,1)))</f>
        <v/>
      </c>
      <c r="BJ833">
        <f>IF($E833="","",IFERROR(VLOOKUP($C833,'_CONFIG_Risk_Calibration'!$A$5:$H$21,2,FALSE),3))</f>
        <v/>
      </c>
      <c r="BK833">
        <f>IF($E833="","",IFERROR(VLOOKUP($C833,'_CONFIG_Risk_Calibration'!$A$5:$H$21,3,FALSE),0))</f>
        <v/>
      </c>
      <c r="BL833">
        <f>IF($E833="","",IFERROR(VLOOKUP($C833,'_CONFIG_Risk_Calibration'!$A$5:$H$21,4,FALSE),3))</f>
        <v/>
      </c>
      <c r="BM833">
        <f>IF($E833="","",IFERROR(VLOOKUP($C833,'_CONFIG_Risk_Calibration'!$A$5:$H$21,5,FALSE),3))</f>
        <v/>
      </c>
      <c r="BN833">
        <f>IF($E833="","",IFERROR(VLOOKUP($C833,'_CONFIG_Risk_Calibration'!$A$5:$H$21,6,FALSE),"No"))</f>
        <v/>
      </c>
      <c r="BO833">
        <f>IF($E833="","",IFERROR(VLOOKUP($C833,'_CONFIG_Risk_Calibration'!$A$5:$H$21,7,FALSE),1))</f>
        <v/>
      </c>
      <c r="BP833">
        <f>IF($H833="","",MAX(1,MIN(5,((6-$H833)*0.45)+($BJ833*0.20)+('Resilience &amp; Risk Scenario'!$B$7*0.15)+($BK833*0.10)+($BL833*0.05)+(IF($BB833="Fast",5,IF($BB833="Slow",1,3))*0.05))))</f>
        <v/>
      </c>
      <c r="BQ833">
        <f>IF($H833="","",MAX(IF($BN833="Yes",$BO833,1),MIN(5,($U833*0.20)+($V833*0.15)+($W833*0.25)+($X833*0.15)+($BJ833*0.10)+($BM833*0.15))))</f>
        <v/>
      </c>
      <c r="BR833">
        <f>IF(OR($BP833="",$BQ833=""),"",ROUND($BP833*$BQ833,2))</f>
        <v/>
      </c>
      <c r="BS833">
        <f>IF($BR833="","",ROUND($BR833*IF($AO833="",1,$AO833)*IF($AX833="",1,$AX833)*(1+(($BM833-3)*0.10))*IF($BC833="",1,$BC833),2))</f>
        <v/>
      </c>
    </row>
    <row r="834" ht="69.90000000000001" customHeight="1" s="209">
      <c r="A834">
        <f>IF($BD834="","",SUMPRODUCT(ISNUMBER($BD$500:$BD$923)*($BD$500:$BD$923&gt;$BD834))+COUNTIF($BD$500:$BD834,$BD834))</f>
        <v/>
      </c>
      <c r="B834">
        <f>IF($H834="","",IF($H834&lt;5,"Yes","Maintain"))</f>
        <v/>
      </c>
      <c r="C834" t="inlineStr">
        <is>
          <t>Business Systems</t>
        </is>
      </c>
      <c r="D834" t="inlineStr">
        <is>
          <t>HRMS and finance systems</t>
        </is>
      </c>
      <c r="E834" t="inlineStr">
        <is>
          <t>BUSI-016</t>
        </is>
      </c>
      <c r="F834" t="inlineStr">
        <is>
          <t>Enterprise systems and application continuity</t>
        </is>
      </c>
      <c r="G834">
        <f>IF($H834="","",IFERROR(INDEX('_ENGINE_Risk'!$H$41:$M$920,MATCH($E834,'_ENGINE_Risk'!$A$41:$A$920,0),$H834+1),""))</f>
        <v/>
      </c>
      <c r="H834">
        <f>IFERROR(VALUE(INDEX(_DATA_Assessment_Model!$H$5:$H$884,MATCH($E834,_DATA_Assessment_Model!$A$5:$A$884,0))),"")</f>
        <v/>
      </c>
      <c r="I834">
        <f>IF($H834="","",IFERROR(INDEX(_DATA_Assessment_Model!$L$5:$L$884,MATCH($E834,_DATA_Assessment_Model!$A$5:$A$884,0)),IF($H834&lt;=1,"Critical",IF($H834=2,"High",IF($H834=3,"Medium",IF($H834=4,"Low","Resilient"))))))</f>
        <v/>
      </c>
      <c r="J834">
        <f>IF($H834="","",MIN(5,MAX(1,6-$H834)))</f>
        <v/>
      </c>
      <c r="K834">
        <f>IF($H834="","",MAX(1,MIN(5,ROUNDUP(($U834*0.45)+($W834*0.35)+($X834*0.2),0))))</f>
        <v/>
      </c>
      <c r="L834">
        <f>IF($H834="","",$J834*$K834)</f>
        <v/>
      </c>
      <c r="M834">
        <f>IF($H834="","",MAX(1,MIN(5,ROUNDUP($L834/5,0))))</f>
        <v/>
      </c>
      <c r="N834">
        <f>IF($H834="","",IFERROR(INDEX('_ENGINE_Risk'!$T$41:$Y$920,MATCH($E834,'_ENGINE_Risk'!$A$41:$A$920,0),$H834+1),""))</f>
        <v/>
      </c>
      <c r="O834">
        <f>IF($H834="","",MAX(1,MIN(5,($U834+$V834+$X834)/3)))</f>
        <v/>
      </c>
      <c r="P834">
        <f>IF($H834="","",IF($I834="Critical",5,IF($I834="High",4,IF($I834="Medium",3,IF($I834="Low",2,1)))))</f>
        <v/>
      </c>
      <c r="Q834">
        <f>IF($H834="","",MAX(1,MIN(5,((5-$H834)*0.65)+($W834*0.35))))</f>
        <v/>
      </c>
      <c r="R834">
        <f>IF($H834="","",MAX(1,MIN(5,($V834+$X834)/2)))</f>
        <v/>
      </c>
      <c r="S834">
        <f>IF(OR($H834="",$N834=""),"",ROUND(($O834+$P834+$Q834+$R834)/$N834,2))</f>
        <v/>
      </c>
      <c r="T834">
        <f>IF($H834="","",IFERROR(INDEX('_ENGINE_Risk'!$N$41:$S$920,MATCH($E834,'_ENGINE_Risk'!$A$41:$A$920,0),$H834+1),""))</f>
        <v/>
      </c>
      <c r="U834">
        <f>IFERROR(INDEX(_DATA_Assessment_Model!$G$5:$G$884,MATCH($E834,_DATA_Assessment_Model!$A$5:$A$884,0)),"")</f>
        <v/>
      </c>
      <c r="V834">
        <f>IFERROR(INDEX(_DATA_Assessment_Model!$W$5:$W$884,MATCH($E834,_DATA_Assessment_Model!$A$5:$A$884,0)),"")</f>
        <v/>
      </c>
      <c r="W834">
        <f>IFERROR(INDEX(_DATA_Assessment_Model!$X$5:$X$884,MATCH($E834,_DATA_Assessment_Model!$A$5:$A$884,0)),"")</f>
        <v/>
      </c>
      <c r="X834">
        <f>IFERROR(INDEX(_DATA_Assessment_Model!$Y$5:$Y$884,MATCH($E834,_DATA_Assessment_Model!$A$5:$A$884,0)),"")</f>
        <v/>
      </c>
      <c r="Y834" t="inlineStr">
        <is>
          <t>IT outage; Decision failure; Process disruption</t>
        </is>
      </c>
      <c r="Z834" t="inlineStr">
        <is>
          <t>CIO / Business Systems</t>
        </is>
      </c>
      <c r="AA834" t="inlineStr">
        <is>
          <t>Policy/SOP; owner/RACI; system report; dashboard; contracts; test records; incident history; interview evidence related to finance, banking, expense, payroll and procurement system integration or reconciliation.</t>
        </is>
      </c>
      <c r="AB834">
        <f>IFERROR(INDEX(_DATA_Assessment_Model!$U$5:$U$884,MATCH($E834,_DATA_Assessment_Model!$A$5:$A$884,0)),"")</f>
        <v/>
      </c>
      <c r="AF834" t="inlineStr">
        <is>
          <t>How mature is the organization in managing finance, banking, expense, payroll and procurement system integration or reconciliation, including ownership, evidence, metrics, fallback procedures and crisis stress testing?</t>
        </is>
      </c>
      <c r="AO834">
        <f>IF($B834="Yes",IFERROR(INDEX(_ENGINE_Crisis!$F$501:$F$517,MATCH($C834,_ENGINE_Crisis!$A$501:$A$517,0)),1),"")</f>
        <v/>
      </c>
      <c r="AP834">
        <f>IF(AO834="","",ROUND($L834*AO834,1))</f>
        <v/>
      </c>
      <c r="AQ834">
        <f>IF(OR(AO834="",$S834=""),"",ROUND($S834*(0.7+0.3*AO834),2))</f>
        <v/>
      </c>
      <c r="AR834">
        <f>IFERROR(INDEX(_ENGINE_Crisis!$E$41:$E$700,MATCH('Resilience &amp; Risk Scenario'!$B$60&amp;"|"&amp;$C834,_ENGINE_Crisis!$I$41:$I$700,0)),"")</f>
        <v/>
      </c>
      <c r="AS834">
        <f>IFERROR(INDEX(_ENGINE_Crisis!$G$41:$G$700,MATCH('Resilience &amp; Risk Scenario'!$B$60&amp;"|"&amp;$C834,_ENGINE_Crisis!$I$41:$I$700,0)),"")</f>
        <v/>
      </c>
      <c r="AT834">
        <f>IFERROR(INDEX(_ENGINE_Initiatives!$A$5:$A$532,MATCH(1,INDEX((_ENGINE_Initiatives!$B$5:$B$532=$C834)*(_ENGINE_Initiatives!$C$5:$C$532=$D834),0),0)),"")</f>
        <v/>
      </c>
      <c r="AU834">
        <f>IFERROR(INDEX(_ENGINE_Initiatives!$F$5:$F$532,MATCH(1,INDEX((_ENGINE_Initiatives!$B$5:$B$532=$C834)*(_ENGINE_Initiatives!$C$5:$C$532=$D834),0),0)),"")</f>
        <v/>
      </c>
      <c r="AV834">
        <f>IFERROR(INDEX(_ENGINE_Initiatives!$AC$5:$AC$532,MATCH(1,INDEX((_ENGINE_Initiatives!$B$5:$B$532=$C834)*(_ENGINE_Initiatives!$C$5:$C$532=$D834),0),0)),"")</f>
        <v/>
      </c>
      <c r="AW834">
        <f>IFERROR(INDEX(_ENGINE_Initiatives!$AE$5:$AE$532,MATCH(1,INDEX((_ENGINE_Initiatives!$B$5:$B$532=$C834)*(_ENGINE_Initiatives!$C$5:$C$532=$D834),0),0)),"")</f>
        <v/>
      </c>
      <c r="AX834">
        <f>IF($B834="Yes",IFERROR(IF(SUMIFS(_REF_Model_Content!$E$1:$E$613,_REF_Model_Content!$A$1:$A$613,'Company Profile'!$B$9,_REF_Model_Content!$B$1:$B$613,$C834)=0,1,SUMIFS(_REF_Model_Content!$E$1:$E$613,_REF_Model_Content!$A$1:$A$613,'Company Profile'!$B$9,_REF_Model_Content!$B$1:$B$613,$C834)),1),"")</f>
        <v/>
      </c>
      <c r="AY834">
        <f>IF($L834="","",ROUND(IF($AP834="",$L834,$AP834)*IF($AX834="",1,$AX834),2))</f>
        <v/>
      </c>
      <c r="AZ834">
        <f>IF($S834="","",ROUND(IF($AQ834="",$S834,$AQ834)*IF($AX834="",1,$AX834),2))</f>
        <v/>
      </c>
      <c r="BB834">
        <f>IF($H834="","",IFERROR(INDEX('_ENGINE_Risk'!$AE$41:$AE$920,MATCH($E834,'_ENGINE_Risk'!$A$41:$A$920,0)),"Medium"))</f>
        <v/>
      </c>
      <c r="BC834">
        <f>IF($BB834="","",IF($BB834="Fast",1.25,IF($BB834="Slow",0.85,1)))</f>
        <v/>
      </c>
      <c r="BD834">
        <f>IF(OR($AZ834="",$BC834=""),"",ROUND($AZ834*$BC834,2))</f>
        <v/>
      </c>
      <c r="BF834">
        <f>IF(OR($H834="",$J834=""),"",_xlfn.IFNA(VLOOKUP($J834,_CONFIG_Model_Settings!$D$610:$E$614,2,0),""))</f>
        <v/>
      </c>
      <c r="BG834">
        <f>IF(OR($H834="",$K834=""),"",ROUND('Company Profile'!$B$569*INDEX(_CONFIG_Model_Settings!$H$610:$H$614,MATCH($K834,_CONFIG_Model_Settings!$G$610:$G$614,0)),0))</f>
        <v/>
      </c>
      <c r="BH834">
        <f>IF(OR($BF834="",$BG834=""),"",ROUND($BF834*$BG834,1))</f>
        <v/>
      </c>
      <c r="BI834">
        <f>IF($BH834="","",IF($AO834="",$BH834,ROUND($BH834*$AO834,1)))</f>
        <v/>
      </c>
      <c r="BJ834">
        <f>IF($E834="","",IFERROR(VLOOKUP($C834,'_CONFIG_Risk_Calibration'!$A$5:$H$21,2,FALSE),3))</f>
        <v/>
      </c>
      <c r="BK834">
        <f>IF($E834="","",IFERROR(VLOOKUP($C834,'_CONFIG_Risk_Calibration'!$A$5:$H$21,3,FALSE),0))</f>
        <v/>
      </c>
      <c r="BL834">
        <f>IF($E834="","",IFERROR(VLOOKUP($C834,'_CONFIG_Risk_Calibration'!$A$5:$H$21,4,FALSE),3))</f>
        <v/>
      </c>
      <c r="BM834">
        <f>IF($E834="","",IFERROR(VLOOKUP($C834,'_CONFIG_Risk_Calibration'!$A$5:$H$21,5,FALSE),3))</f>
        <v/>
      </c>
      <c r="BN834">
        <f>IF($E834="","",IFERROR(VLOOKUP($C834,'_CONFIG_Risk_Calibration'!$A$5:$H$21,6,FALSE),"No"))</f>
        <v/>
      </c>
      <c r="BO834">
        <f>IF($E834="","",IFERROR(VLOOKUP($C834,'_CONFIG_Risk_Calibration'!$A$5:$H$21,7,FALSE),1))</f>
        <v/>
      </c>
      <c r="BP834">
        <f>IF($H834="","",MAX(1,MIN(5,((6-$H834)*0.45)+($BJ834*0.20)+('Resilience &amp; Risk Scenario'!$B$7*0.15)+($BK834*0.10)+($BL834*0.05)+(IF($BB834="Fast",5,IF($BB834="Slow",1,3))*0.05))))</f>
        <v/>
      </c>
      <c r="BQ834">
        <f>IF($H834="","",MAX(IF($BN834="Yes",$BO834,1),MIN(5,($U834*0.20)+($V834*0.15)+($W834*0.25)+($X834*0.15)+($BJ834*0.10)+($BM834*0.15))))</f>
        <v/>
      </c>
      <c r="BR834">
        <f>IF(OR($BP834="",$BQ834=""),"",ROUND($BP834*$BQ834,2))</f>
        <v/>
      </c>
      <c r="BS834">
        <f>IF($BR834="","",ROUND($BR834*IF($AO834="",1,$AO834)*IF($AX834="",1,$AX834)*(1+(($BM834-3)*0.10))*IF($BC834="",1,$BC834),2))</f>
        <v/>
      </c>
    </row>
    <row r="835" ht="69.90000000000001" customHeight="1" s="209">
      <c r="A835">
        <f>IF($BD835="","",SUMPRODUCT(ISNUMBER($BD$500:$BD$923)*($BD$500:$BD$923&gt;$BD835))+COUNTIF($BD$500:$BD835,$BD835))</f>
        <v/>
      </c>
      <c r="B835">
        <f>IF($H835="","",IF($H835&lt;5,"Yes","Maintain"))</f>
        <v/>
      </c>
      <c r="C835" t="inlineStr">
        <is>
          <t>Business Systems</t>
        </is>
      </c>
      <c r="D835" t="inlineStr">
        <is>
          <t>Governance and lifecycle</t>
        </is>
      </c>
      <c r="E835" t="inlineStr">
        <is>
          <t>BUSI-018</t>
        </is>
      </c>
      <c r="F835" t="inlineStr">
        <is>
          <t>Enterprise systems and application continuity</t>
        </is>
      </c>
      <c r="G835">
        <f>IF($H835="","",IFERROR(INDEX('_ENGINE_Risk'!$H$41:$M$920,MATCH($E835,'_ENGINE_Risk'!$A$41:$A$920,0),$H835+1),""))</f>
        <v/>
      </c>
      <c r="H835">
        <f>IFERROR(VALUE(INDEX(_DATA_Assessment_Model!$H$5:$H$884,MATCH($E835,_DATA_Assessment_Model!$A$5:$A$884,0))),"")</f>
        <v/>
      </c>
      <c r="I835">
        <f>IF($H835="","",IFERROR(INDEX(_DATA_Assessment_Model!$L$5:$L$884,MATCH($E835,_DATA_Assessment_Model!$A$5:$A$884,0)),IF($H835&lt;=1,"Critical",IF($H835=2,"High",IF($H835=3,"Medium",IF($H835=4,"Low","Resilient"))))))</f>
        <v/>
      </c>
      <c r="J835">
        <f>IF($H835="","",MIN(5,MAX(1,6-$H835)))</f>
        <v/>
      </c>
      <c r="K835">
        <f>IF($H835="","",MAX(1,MIN(5,ROUNDUP(($U835*0.45)+($W835*0.35)+($X835*0.2),0))))</f>
        <v/>
      </c>
      <c r="L835">
        <f>IF($H835="","",$J835*$K835)</f>
        <v/>
      </c>
      <c r="M835">
        <f>IF($H835="","",MAX(1,MIN(5,ROUNDUP($L835/5,0))))</f>
        <v/>
      </c>
      <c r="N835">
        <f>IF($H835="","",IFERROR(INDEX('_ENGINE_Risk'!$T$41:$Y$920,MATCH($E835,'_ENGINE_Risk'!$A$41:$A$920,0),$H835+1),""))</f>
        <v/>
      </c>
      <c r="O835">
        <f>IF($H835="","",MAX(1,MIN(5,($U835+$V835+$X835)/3)))</f>
        <v/>
      </c>
      <c r="P835">
        <f>IF($H835="","",IF($I835="Critical",5,IF($I835="High",4,IF($I835="Medium",3,IF($I835="Low",2,1)))))</f>
        <v/>
      </c>
      <c r="Q835">
        <f>IF($H835="","",MAX(1,MIN(5,((5-$H835)*0.65)+($W835*0.35))))</f>
        <v/>
      </c>
      <c r="R835">
        <f>IF($H835="","",MAX(1,MIN(5,($V835+$X835)/2)))</f>
        <v/>
      </c>
      <c r="S835">
        <f>IF(OR($H835="",$N835=""),"",ROUND(($O835+$P835+$Q835+$R835)/$N835,2))</f>
        <v/>
      </c>
      <c r="T835">
        <f>IF($H835="","",IFERROR(INDEX('_ENGINE_Risk'!$N$41:$S$920,MATCH($E835,'_ENGINE_Risk'!$A$41:$A$920,0),$H835+1),""))</f>
        <v/>
      </c>
      <c r="U835">
        <f>IFERROR(INDEX(_DATA_Assessment_Model!$G$5:$G$884,MATCH($E835,_DATA_Assessment_Model!$A$5:$A$884,0)),"")</f>
        <v/>
      </c>
      <c r="V835">
        <f>IFERROR(INDEX(_DATA_Assessment_Model!$W$5:$W$884,MATCH($E835,_DATA_Assessment_Model!$A$5:$A$884,0)),"")</f>
        <v/>
      </c>
      <c r="W835">
        <f>IFERROR(INDEX(_DATA_Assessment_Model!$X$5:$X$884,MATCH($E835,_DATA_Assessment_Model!$A$5:$A$884,0)),"")</f>
        <v/>
      </c>
      <c r="X835">
        <f>IFERROR(INDEX(_DATA_Assessment_Model!$Y$5:$Y$884,MATCH($E835,_DATA_Assessment_Model!$A$5:$A$884,0)),"")</f>
        <v/>
      </c>
      <c r="Y835" t="inlineStr">
        <is>
          <t>IT outage; Decision failure; Process disruption</t>
        </is>
      </c>
      <c r="Z835" t="inlineStr">
        <is>
          <t>CIO / Business Systems</t>
        </is>
      </c>
      <c r="AA835" t="inlineStr">
        <is>
          <t>Policy/SOP; owner/RACI; system report; dashboard; contracts; test records; incident history; interview evidence related to system ownership with business owner, technical owner, data owner and support owner.</t>
        </is>
      </c>
      <c r="AB835">
        <f>IFERROR(INDEX(_DATA_Assessment_Model!$U$5:$U$884,MATCH($E835,_DATA_Assessment_Model!$A$5:$A$884,0)),"")</f>
        <v/>
      </c>
      <c r="AF835" t="inlineStr">
        <is>
          <t>How mature is the organization in managing system ownership with business owner, technical owner, data owner and support owner, including ownership, evidence, metrics, fallback procedures and crisis stress testing?</t>
        </is>
      </c>
      <c r="AO835">
        <f>IF($B835="Yes",IFERROR(INDEX(_ENGINE_Crisis!$F$501:$F$517,MATCH($C835,_ENGINE_Crisis!$A$501:$A$517,0)),1),"")</f>
        <v/>
      </c>
      <c r="AP835">
        <f>IF(AO835="","",ROUND($L835*AO835,1))</f>
        <v/>
      </c>
      <c r="AQ835">
        <f>IF(OR(AO835="",$S835=""),"",ROUND($S835*(0.7+0.3*AO835),2))</f>
        <v/>
      </c>
      <c r="AR835">
        <f>IFERROR(INDEX(_ENGINE_Crisis!$E$41:$E$700,MATCH('Resilience &amp; Risk Scenario'!$B$60&amp;"|"&amp;$C835,_ENGINE_Crisis!$I$41:$I$700,0)),"")</f>
        <v/>
      </c>
      <c r="AS835">
        <f>IFERROR(INDEX(_ENGINE_Crisis!$G$41:$G$700,MATCH('Resilience &amp; Risk Scenario'!$B$60&amp;"|"&amp;$C835,_ENGINE_Crisis!$I$41:$I$700,0)),"")</f>
        <v/>
      </c>
      <c r="AT835">
        <f>IFERROR(INDEX(_ENGINE_Initiatives!$A$5:$A$532,MATCH(1,INDEX((_ENGINE_Initiatives!$B$5:$B$532=$C835)*(_ENGINE_Initiatives!$C$5:$C$532=$D835),0),0)),"")</f>
        <v/>
      </c>
      <c r="AU835">
        <f>IFERROR(INDEX(_ENGINE_Initiatives!$F$5:$F$532,MATCH(1,INDEX((_ENGINE_Initiatives!$B$5:$B$532=$C835)*(_ENGINE_Initiatives!$C$5:$C$532=$D835),0),0)),"")</f>
        <v/>
      </c>
      <c r="AV835">
        <f>IFERROR(INDEX(_ENGINE_Initiatives!$AC$5:$AC$532,MATCH(1,INDEX((_ENGINE_Initiatives!$B$5:$B$532=$C835)*(_ENGINE_Initiatives!$C$5:$C$532=$D835),0),0)),"")</f>
        <v/>
      </c>
      <c r="AW835">
        <f>IFERROR(INDEX(_ENGINE_Initiatives!$AE$5:$AE$532,MATCH(1,INDEX((_ENGINE_Initiatives!$B$5:$B$532=$C835)*(_ENGINE_Initiatives!$C$5:$C$532=$D835),0),0)),"")</f>
        <v/>
      </c>
      <c r="AX835">
        <f>IF($B835="Yes",IFERROR(IF(SUMIFS(_REF_Model_Content!$E$1:$E$613,_REF_Model_Content!$A$1:$A$613,'Company Profile'!$B$9,_REF_Model_Content!$B$1:$B$613,$C835)=0,1,SUMIFS(_REF_Model_Content!$E$1:$E$613,_REF_Model_Content!$A$1:$A$613,'Company Profile'!$B$9,_REF_Model_Content!$B$1:$B$613,$C835)),1),"")</f>
        <v/>
      </c>
      <c r="AY835">
        <f>IF($L835="","",ROUND(IF($AP835="",$L835,$AP835)*IF($AX835="",1,$AX835),2))</f>
        <v/>
      </c>
      <c r="AZ835">
        <f>IF($S835="","",ROUND(IF($AQ835="",$S835,$AQ835)*IF($AX835="",1,$AX835),2))</f>
        <v/>
      </c>
      <c r="BB835">
        <f>IF($H835="","",IFERROR(INDEX('_ENGINE_Risk'!$AE$41:$AE$920,MATCH($E835,'_ENGINE_Risk'!$A$41:$A$920,0)),"Medium"))</f>
        <v/>
      </c>
      <c r="BC835">
        <f>IF($BB835="","",IF($BB835="Fast",1.25,IF($BB835="Slow",0.85,1)))</f>
        <v/>
      </c>
      <c r="BD835">
        <f>IF(OR($AZ835="",$BC835=""),"",ROUND($AZ835*$BC835,2))</f>
        <v/>
      </c>
      <c r="BF835">
        <f>IF(OR($H835="",$J835=""),"",_xlfn.IFNA(VLOOKUP($J835,_CONFIG_Model_Settings!$D$610:$E$614,2,0),""))</f>
        <v/>
      </c>
      <c r="BG835">
        <f>IF(OR($H835="",$K835=""),"",ROUND('Company Profile'!$B$569*INDEX(_CONFIG_Model_Settings!$H$610:$H$614,MATCH($K835,_CONFIG_Model_Settings!$G$610:$G$614,0)),0))</f>
        <v/>
      </c>
      <c r="BH835">
        <f>IF(OR($BF835="",$BG835=""),"",ROUND($BF835*$BG835,1))</f>
        <v/>
      </c>
      <c r="BI835">
        <f>IF($BH835="","",IF($AO835="",$BH835,ROUND($BH835*$AO835,1)))</f>
        <v/>
      </c>
      <c r="BJ835">
        <f>IF($E835="","",IFERROR(VLOOKUP($C835,'_CONFIG_Risk_Calibration'!$A$5:$H$21,2,FALSE),3))</f>
        <v/>
      </c>
      <c r="BK835">
        <f>IF($E835="","",IFERROR(VLOOKUP($C835,'_CONFIG_Risk_Calibration'!$A$5:$H$21,3,FALSE),0))</f>
        <v/>
      </c>
      <c r="BL835">
        <f>IF($E835="","",IFERROR(VLOOKUP($C835,'_CONFIG_Risk_Calibration'!$A$5:$H$21,4,FALSE),3))</f>
        <v/>
      </c>
      <c r="BM835">
        <f>IF($E835="","",IFERROR(VLOOKUP($C835,'_CONFIG_Risk_Calibration'!$A$5:$H$21,5,FALSE),3))</f>
        <v/>
      </c>
      <c r="BN835">
        <f>IF($E835="","",IFERROR(VLOOKUP($C835,'_CONFIG_Risk_Calibration'!$A$5:$H$21,6,FALSE),"No"))</f>
        <v/>
      </c>
      <c r="BO835">
        <f>IF($E835="","",IFERROR(VLOOKUP($C835,'_CONFIG_Risk_Calibration'!$A$5:$H$21,7,FALSE),1))</f>
        <v/>
      </c>
      <c r="BP835">
        <f>IF($H835="","",MAX(1,MIN(5,((6-$H835)*0.45)+($BJ835*0.20)+('Resilience &amp; Risk Scenario'!$B$7*0.15)+($BK835*0.10)+($BL835*0.05)+(IF($BB835="Fast",5,IF($BB835="Slow",1,3))*0.05))))</f>
        <v/>
      </c>
      <c r="BQ835">
        <f>IF($H835="","",MAX(IF($BN835="Yes",$BO835,1),MIN(5,($U835*0.20)+($V835*0.15)+($W835*0.25)+($X835*0.15)+($BJ835*0.10)+($BM835*0.15))))</f>
        <v/>
      </c>
      <c r="BR835">
        <f>IF(OR($BP835="",$BQ835=""),"",ROUND($BP835*$BQ835,2))</f>
        <v/>
      </c>
      <c r="BS835">
        <f>IF($BR835="","",ROUND($BR835*IF($AO835="",1,$AO835)*IF($AX835="",1,$AX835)*(1+(($BM835-3)*0.10))*IF($BC835="",1,$BC835),2))</f>
        <v/>
      </c>
    </row>
    <row r="836" ht="69.90000000000001" customHeight="1" s="209">
      <c r="A836">
        <f>IF($BD836="","",SUMPRODUCT(ISNUMBER($BD$500:$BD$923)*($BD$500:$BD$923&gt;$BD836))+COUNTIF($BD$500:$BD836,$BD836))</f>
        <v/>
      </c>
      <c r="B836">
        <f>IF($H836="","",IF($H836&lt;5,"Yes","Maintain"))</f>
        <v/>
      </c>
      <c r="C836" t="inlineStr">
        <is>
          <t>Business Systems</t>
        </is>
      </c>
      <c r="D836" t="inlineStr">
        <is>
          <t>Governance and lifecycle</t>
        </is>
      </c>
      <c r="E836" t="inlineStr">
        <is>
          <t>BUSI-019</t>
        </is>
      </c>
      <c r="F836" t="inlineStr">
        <is>
          <t>Enterprise systems and application continuity</t>
        </is>
      </c>
      <c r="G836">
        <f>IF($H836="","",IFERROR(INDEX('_ENGINE_Risk'!$H$41:$M$920,MATCH($E836,'_ENGINE_Risk'!$A$41:$A$920,0),$H836+1),""))</f>
        <v/>
      </c>
      <c r="H836">
        <f>IFERROR(VALUE(INDEX(_DATA_Assessment_Model!$H$5:$H$884,MATCH($E836,_DATA_Assessment_Model!$A$5:$A$884,0))),"")</f>
        <v/>
      </c>
      <c r="I836">
        <f>IF($H836="","",IFERROR(INDEX(_DATA_Assessment_Model!$L$5:$L$884,MATCH($E836,_DATA_Assessment_Model!$A$5:$A$884,0)),IF($H836&lt;=1,"Critical",IF($H836=2,"High",IF($H836=3,"Medium",IF($H836=4,"Low","Resilient"))))))</f>
        <v/>
      </c>
      <c r="J836">
        <f>IF($H836="","",MIN(5,MAX(1,6-$H836)))</f>
        <v/>
      </c>
      <c r="K836">
        <f>IF($H836="","",MAX(1,MIN(5,ROUNDUP(($U836*0.45)+($W836*0.35)+($X836*0.2),0))))</f>
        <v/>
      </c>
      <c r="L836">
        <f>IF($H836="","",$J836*$K836)</f>
        <v/>
      </c>
      <c r="M836">
        <f>IF($H836="","",MAX(1,MIN(5,ROUNDUP($L836/5,0))))</f>
        <v/>
      </c>
      <c r="N836">
        <f>IF($H836="","",IFERROR(INDEX('_ENGINE_Risk'!$T$41:$Y$920,MATCH($E836,'_ENGINE_Risk'!$A$41:$A$920,0),$H836+1),""))</f>
        <v/>
      </c>
      <c r="O836">
        <f>IF($H836="","",MAX(1,MIN(5,($U836+$V836+$X836)/3)))</f>
        <v/>
      </c>
      <c r="P836">
        <f>IF($H836="","",IF($I836="Critical",5,IF($I836="High",4,IF($I836="Medium",3,IF($I836="Low",2,1)))))</f>
        <v/>
      </c>
      <c r="Q836">
        <f>IF($H836="","",MAX(1,MIN(5,((5-$H836)*0.65)+($W836*0.35))))</f>
        <v/>
      </c>
      <c r="R836">
        <f>IF($H836="","",MAX(1,MIN(5,($V836+$X836)/2)))</f>
        <v/>
      </c>
      <c r="S836">
        <f>IF(OR($H836="",$N836=""),"",ROUND(($O836+$P836+$Q836+$R836)/$N836,2))</f>
        <v/>
      </c>
      <c r="T836">
        <f>IF($H836="","",IFERROR(INDEX('_ENGINE_Risk'!$N$41:$S$920,MATCH($E836,'_ENGINE_Risk'!$A$41:$A$920,0),$H836+1),""))</f>
        <v/>
      </c>
      <c r="U836">
        <f>IFERROR(INDEX(_DATA_Assessment_Model!$G$5:$G$884,MATCH($E836,_DATA_Assessment_Model!$A$5:$A$884,0)),"")</f>
        <v/>
      </c>
      <c r="V836">
        <f>IFERROR(INDEX(_DATA_Assessment_Model!$W$5:$W$884,MATCH($E836,_DATA_Assessment_Model!$A$5:$A$884,0)),"")</f>
        <v/>
      </c>
      <c r="W836">
        <f>IFERROR(INDEX(_DATA_Assessment_Model!$X$5:$X$884,MATCH($E836,_DATA_Assessment_Model!$A$5:$A$884,0)),"")</f>
        <v/>
      </c>
      <c r="X836">
        <f>IFERROR(INDEX(_DATA_Assessment_Model!$Y$5:$Y$884,MATCH($E836,_DATA_Assessment_Model!$A$5:$A$884,0)),"")</f>
        <v/>
      </c>
      <c r="Y836" t="inlineStr">
        <is>
          <t>IT outage; Decision failure; Process disruption</t>
        </is>
      </c>
      <c r="Z836" t="inlineStr">
        <is>
          <t>CIO / Business Systems</t>
        </is>
      </c>
      <c r="AA836" t="inlineStr">
        <is>
          <t>Policy/SOP; owner/RACI; system report; dashboard; contracts; test records; incident history; interview evidence related to critical system lifecycle review for fit, cost, risk, security, scalability and replacement needs.</t>
        </is>
      </c>
      <c r="AB836">
        <f>IFERROR(INDEX(_DATA_Assessment_Model!$U$5:$U$884,MATCH($E836,_DATA_Assessment_Model!$A$5:$A$884,0)),"")</f>
        <v/>
      </c>
      <c r="AF836" t="inlineStr">
        <is>
          <t>How mature is the organization in managing critical system lifecycle review for fit, cost, risk, security, scalability and replacement needs, including ownership, evidence, metrics, fallback procedures and crisis stress testing?</t>
        </is>
      </c>
      <c r="AO836">
        <f>IF($B836="Yes",IFERROR(INDEX(_ENGINE_Crisis!$F$501:$F$517,MATCH($C836,_ENGINE_Crisis!$A$501:$A$517,0)),1),"")</f>
        <v/>
      </c>
      <c r="AP836">
        <f>IF(AO836="","",ROUND($L836*AO836,1))</f>
        <v/>
      </c>
      <c r="AQ836">
        <f>IF(OR(AO836="",$S836=""),"",ROUND($S836*(0.7+0.3*AO836),2))</f>
        <v/>
      </c>
      <c r="AR836">
        <f>IFERROR(INDEX(_ENGINE_Crisis!$E$41:$E$700,MATCH('Resilience &amp; Risk Scenario'!$B$60&amp;"|"&amp;$C836,_ENGINE_Crisis!$I$41:$I$700,0)),"")</f>
        <v/>
      </c>
      <c r="AS836">
        <f>IFERROR(INDEX(_ENGINE_Crisis!$G$41:$G$700,MATCH('Resilience &amp; Risk Scenario'!$B$60&amp;"|"&amp;$C836,_ENGINE_Crisis!$I$41:$I$700,0)),"")</f>
        <v/>
      </c>
      <c r="AT836">
        <f>IFERROR(INDEX(_ENGINE_Initiatives!$A$5:$A$532,MATCH(1,INDEX((_ENGINE_Initiatives!$B$5:$B$532=$C836)*(_ENGINE_Initiatives!$C$5:$C$532=$D836),0),0)),"")</f>
        <v/>
      </c>
      <c r="AU836">
        <f>IFERROR(INDEX(_ENGINE_Initiatives!$F$5:$F$532,MATCH(1,INDEX((_ENGINE_Initiatives!$B$5:$B$532=$C836)*(_ENGINE_Initiatives!$C$5:$C$532=$D836),0),0)),"")</f>
        <v/>
      </c>
      <c r="AV836">
        <f>IFERROR(INDEX(_ENGINE_Initiatives!$AC$5:$AC$532,MATCH(1,INDEX((_ENGINE_Initiatives!$B$5:$B$532=$C836)*(_ENGINE_Initiatives!$C$5:$C$532=$D836),0),0)),"")</f>
        <v/>
      </c>
      <c r="AW836">
        <f>IFERROR(INDEX(_ENGINE_Initiatives!$AE$5:$AE$532,MATCH(1,INDEX((_ENGINE_Initiatives!$B$5:$B$532=$C836)*(_ENGINE_Initiatives!$C$5:$C$532=$D836),0),0)),"")</f>
        <v/>
      </c>
      <c r="AX836">
        <f>IF($B836="Yes",IFERROR(IF(SUMIFS(_REF_Model_Content!$E$1:$E$613,_REF_Model_Content!$A$1:$A$613,'Company Profile'!$B$9,_REF_Model_Content!$B$1:$B$613,$C836)=0,1,SUMIFS(_REF_Model_Content!$E$1:$E$613,_REF_Model_Content!$A$1:$A$613,'Company Profile'!$B$9,_REF_Model_Content!$B$1:$B$613,$C836)),1),"")</f>
        <v/>
      </c>
      <c r="AY836">
        <f>IF($L836="","",ROUND(IF($AP836="",$L836,$AP836)*IF($AX836="",1,$AX836),2))</f>
        <v/>
      </c>
      <c r="AZ836">
        <f>IF($S836="","",ROUND(IF($AQ836="",$S836,$AQ836)*IF($AX836="",1,$AX836),2))</f>
        <v/>
      </c>
      <c r="BB836">
        <f>IF($H836="","",IFERROR(INDEX('_ENGINE_Risk'!$AE$41:$AE$920,MATCH($E836,'_ENGINE_Risk'!$A$41:$A$920,0)),"Medium"))</f>
        <v/>
      </c>
      <c r="BC836">
        <f>IF($BB836="","",IF($BB836="Fast",1.25,IF($BB836="Slow",0.85,1)))</f>
        <v/>
      </c>
      <c r="BD836">
        <f>IF(OR($AZ836="",$BC836=""),"",ROUND($AZ836*$BC836,2))</f>
        <v/>
      </c>
      <c r="BF836">
        <f>IF(OR($H836="",$J836=""),"",_xlfn.IFNA(VLOOKUP($J836,_CONFIG_Model_Settings!$D$610:$E$614,2,0),""))</f>
        <v/>
      </c>
      <c r="BG836">
        <f>IF(OR($H836="",$K836=""),"",ROUND('Company Profile'!$B$569*INDEX(_CONFIG_Model_Settings!$H$610:$H$614,MATCH($K836,_CONFIG_Model_Settings!$G$610:$G$614,0)),0))</f>
        <v/>
      </c>
      <c r="BH836">
        <f>IF(OR($BF836="",$BG836=""),"",ROUND($BF836*$BG836,1))</f>
        <v/>
      </c>
      <c r="BI836">
        <f>IF($BH836="","",IF($AO836="",$BH836,ROUND($BH836*$AO836,1)))</f>
        <v/>
      </c>
      <c r="BJ836">
        <f>IF($E836="","",IFERROR(VLOOKUP($C836,'_CONFIG_Risk_Calibration'!$A$5:$H$21,2,FALSE),3))</f>
        <v/>
      </c>
      <c r="BK836">
        <f>IF($E836="","",IFERROR(VLOOKUP($C836,'_CONFIG_Risk_Calibration'!$A$5:$H$21,3,FALSE),0))</f>
        <v/>
      </c>
      <c r="BL836">
        <f>IF($E836="","",IFERROR(VLOOKUP($C836,'_CONFIG_Risk_Calibration'!$A$5:$H$21,4,FALSE),3))</f>
        <v/>
      </c>
      <c r="BM836">
        <f>IF($E836="","",IFERROR(VLOOKUP($C836,'_CONFIG_Risk_Calibration'!$A$5:$H$21,5,FALSE),3))</f>
        <v/>
      </c>
      <c r="BN836">
        <f>IF($E836="","",IFERROR(VLOOKUP($C836,'_CONFIG_Risk_Calibration'!$A$5:$H$21,6,FALSE),"No"))</f>
        <v/>
      </c>
      <c r="BO836">
        <f>IF($E836="","",IFERROR(VLOOKUP($C836,'_CONFIG_Risk_Calibration'!$A$5:$H$21,7,FALSE),1))</f>
        <v/>
      </c>
      <c r="BP836">
        <f>IF($H836="","",MAX(1,MIN(5,((6-$H836)*0.45)+($BJ836*0.20)+('Resilience &amp; Risk Scenario'!$B$7*0.15)+($BK836*0.10)+($BL836*0.05)+(IF($BB836="Fast",5,IF($BB836="Slow",1,3))*0.05))))</f>
        <v/>
      </c>
      <c r="BQ836">
        <f>IF($H836="","",MAX(IF($BN836="Yes",$BO836,1),MIN(5,($U836*0.20)+($V836*0.15)+($W836*0.25)+($X836*0.15)+($BJ836*0.10)+($BM836*0.15))))</f>
        <v/>
      </c>
      <c r="BR836">
        <f>IF(OR($BP836="",$BQ836=""),"",ROUND($BP836*$BQ836,2))</f>
        <v/>
      </c>
      <c r="BS836">
        <f>IF($BR836="","",ROUND($BR836*IF($AO836="",1,$AO836)*IF($AX836="",1,$AX836)*(1+(($BM836-3)*0.10))*IF($BC836="",1,$BC836),2))</f>
        <v/>
      </c>
    </row>
    <row r="837" ht="69.90000000000001" customHeight="1" s="209">
      <c r="A837">
        <f>IF($BD837="","",SUMPRODUCT(ISNUMBER($BD$500:$BD$923)*($BD$500:$BD$923&gt;$BD837))+COUNTIF($BD$500:$BD837,$BD837))</f>
        <v/>
      </c>
      <c r="B837">
        <f>IF($H837="","",IF($H837&lt;5,"Yes","Maintain"))</f>
        <v/>
      </c>
      <c r="C837" t="inlineStr">
        <is>
          <t>Business Systems</t>
        </is>
      </c>
      <c r="D837" t="inlineStr">
        <is>
          <t>Governance and lifecycle</t>
        </is>
      </c>
      <c r="E837" t="inlineStr">
        <is>
          <t>BUSI-020</t>
        </is>
      </c>
      <c r="F837" t="inlineStr">
        <is>
          <t>Enterprise systems and application continuity</t>
        </is>
      </c>
      <c r="G837">
        <f>IF($H837="","",IFERROR(INDEX('_ENGINE_Risk'!$H$41:$M$920,MATCH($E837,'_ENGINE_Risk'!$A$41:$A$920,0),$H837+1),""))</f>
        <v/>
      </c>
      <c r="H837">
        <f>IFERROR(VALUE(INDEX(_DATA_Assessment_Model!$H$5:$H$884,MATCH($E837,_DATA_Assessment_Model!$A$5:$A$884,0))),"")</f>
        <v/>
      </c>
      <c r="I837">
        <f>IF($H837="","",IFERROR(INDEX(_DATA_Assessment_Model!$L$5:$L$884,MATCH($E837,_DATA_Assessment_Model!$A$5:$A$884,0)),IF($H837&lt;=1,"Critical",IF($H837=2,"High",IF($H837=3,"Medium",IF($H837=4,"Low","Resilient"))))))</f>
        <v/>
      </c>
      <c r="J837">
        <f>IF($H837="","",MIN(5,MAX(1,6-$H837)))</f>
        <v/>
      </c>
      <c r="K837">
        <f>IF($H837="","",MAX(1,MIN(5,ROUNDUP(($U837*0.45)+($W837*0.35)+($X837*0.2),0))))</f>
        <v/>
      </c>
      <c r="L837">
        <f>IF($H837="","",$J837*$K837)</f>
        <v/>
      </c>
      <c r="M837">
        <f>IF($H837="","",MAX(1,MIN(5,ROUNDUP($L837/5,0))))</f>
        <v/>
      </c>
      <c r="N837">
        <f>IF($H837="","",IFERROR(INDEX('_ENGINE_Risk'!$T$41:$Y$920,MATCH($E837,'_ENGINE_Risk'!$A$41:$A$920,0),$H837+1),""))</f>
        <v/>
      </c>
      <c r="O837">
        <f>IF($H837="","",MAX(1,MIN(5,($U837+$V837+$X837)/3)))</f>
        <v/>
      </c>
      <c r="P837">
        <f>IF($H837="","",IF($I837="Critical",5,IF($I837="High",4,IF($I837="Medium",3,IF($I837="Low",2,1)))))</f>
        <v/>
      </c>
      <c r="Q837">
        <f>IF($H837="","",MAX(1,MIN(5,((5-$H837)*0.65)+($W837*0.35))))</f>
        <v/>
      </c>
      <c r="R837">
        <f>IF($H837="","",MAX(1,MIN(5,($V837+$X837)/2)))</f>
        <v/>
      </c>
      <c r="S837">
        <f>IF(OR($H837="",$N837=""),"",ROUND(($O837+$P837+$Q837+$R837)/$N837,2))</f>
        <v/>
      </c>
      <c r="T837">
        <f>IF($H837="","",IFERROR(INDEX('_ENGINE_Risk'!$N$41:$S$920,MATCH($E837,'_ENGINE_Risk'!$A$41:$A$920,0),$H837+1),""))</f>
        <v/>
      </c>
      <c r="U837">
        <f>IFERROR(INDEX(_DATA_Assessment_Model!$G$5:$G$884,MATCH($E837,_DATA_Assessment_Model!$A$5:$A$884,0)),"")</f>
        <v/>
      </c>
      <c r="V837">
        <f>IFERROR(INDEX(_DATA_Assessment_Model!$W$5:$W$884,MATCH($E837,_DATA_Assessment_Model!$A$5:$A$884,0)),"")</f>
        <v/>
      </c>
      <c r="W837">
        <f>IFERROR(INDEX(_DATA_Assessment_Model!$X$5:$X$884,MATCH($E837,_DATA_Assessment_Model!$A$5:$A$884,0)),"")</f>
        <v/>
      </c>
      <c r="X837">
        <f>IFERROR(INDEX(_DATA_Assessment_Model!$Y$5:$Y$884,MATCH($E837,_DATA_Assessment_Model!$A$5:$A$884,0)),"")</f>
        <v/>
      </c>
      <c r="Y837" t="inlineStr">
        <is>
          <t>IT outage; Decision failure; Process disruption</t>
        </is>
      </c>
      <c r="Z837" t="inlineStr">
        <is>
          <t>CIO / Business Systems</t>
        </is>
      </c>
      <c r="AA837" t="inlineStr">
        <is>
          <t>Policy/SOP; owner/RACI; system report; dashboard; contracts; test records; incident history; interview evidence related to shadow IT inventory for business-critical spreadsheets, scripts, low-code apps and unmanaged SaaS.</t>
        </is>
      </c>
      <c r="AB837">
        <f>IFERROR(INDEX(_DATA_Assessment_Model!$U$5:$U$884,MATCH($E837,_DATA_Assessment_Model!$A$5:$A$884,0)),"")</f>
        <v/>
      </c>
      <c r="AF837" t="inlineStr">
        <is>
          <t>How mature is the organization in managing shadow IT inventory for business-critical spreadsheets, scripts, low-code apps and unmanaged SaaS, including ownership, evidence, metrics, fallback procedures and crisis stress testing?</t>
        </is>
      </c>
      <c r="AO837">
        <f>IF($B837="Yes",IFERROR(INDEX(_ENGINE_Crisis!$F$501:$F$517,MATCH($C837,_ENGINE_Crisis!$A$501:$A$517,0)),1),"")</f>
        <v/>
      </c>
      <c r="AP837">
        <f>IF(AO837="","",ROUND($L837*AO837,1))</f>
        <v/>
      </c>
      <c r="AQ837">
        <f>IF(OR(AO837="",$S837=""),"",ROUND($S837*(0.7+0.3*AO837),2))</f>
        <v/>
      </c>
      <c r="AR837">
        <f>IFERROR(INDEX(_ENGINE_Crisis!$E$41:$E$700,MATCH('Resilience &amp; Risk Scenario'!$B$60&amp;"|"&amp;$C837,_ENGINE_Crisis!$I$41:$I$700,0)),"")</f>
        <v/>
      </c>
      <c r="AS837">
        <f>IFERROR(INDEX(_ENGINE_Crisis!$G$41:$G$700,MATCH('Resilience &amp; Risk Scenario'!$B$60&amp;"|"&amp;$C837,_ENGINE_Crisis!$I$41:$I$700,0)),"")</f>
        <v/>
      </c>
      <c r="AT837">
        <f>IFERROR(INDEX(_ENGINE_Initiatives!$A$5:$A$532,MATCH(1,INDEX((_ENGINE_Initiatives!$B$5:$B$532=$C837)*(_ENGINE_Initiatives!$C$5:$C$532=$D837),0),0)),"")</f>
        <v/>
      </c>
      <c r="AU837">
        <f>IFERROR(INDEX(_ENGINE_Initiatives!$F$5:$F$532,MATCH(1,INDEX((_ENGINE_Initiatives!$B$5:$B$532=$C837)*(_ENGINE_Initiatives!$C$5:$C$532=$D837),0),0)),"")</f>
        <v/>
      </c>
      <c r="AV837">
        <f>IFERROR(INDEX(_ENGINE_Initiatives!$AC$5:$AC$532,MATCH(1,INDEX((_ENGINE_Initiatives!$B$5:$B$532=$C837)*(_ENGINE_Initiatives!$C$5:$C$532=$D837),0),0)),"")</f>
        <v/>
      </c>
      <c r="AW837">
        <f>IFERROR(INDEX(_ENGINE_Initiatives!$AE$5:$AE$532,MATCH(1,INDEX((_ENGINE_Initiatives!$B$5:$B$532=$C837)*(_ENGINE_Initiatives!$C$5:$C$532=$D837),0),0)),"")</f>
        <v/>
      </c>
      <c r="AX837">
        <f>IF($B837="Yes",IFERROR(IF(SUMIFS(_REF_Model_Content!$E$1:$E$613,_REF_Model_Content!$A$1:$A$613,'Company Profile'!$B$9,_REF_Model_Content!$B$1:$B$613,$C837)=0,1,SUMIFS(_REF_Model_Content!$E$1:$E$613,_REF_Model_Content!$A$1:$A$613,'Company Profile'!$B$9,_REF_Model_Content!$B$1:$B$613,$C837)),1),"")</f>
        <v/>
      </c>
      <c r="AY837">
        <f>IF($L837="","",ROUND(IF($AP837="",$L837,$AP837)*IF($AX837="",1,$AX837),2))</f>
        <v/>
      </c>
      <c r="AZ837">
        <f>IF($S837="","",ROUND(IF($AQ837="",$S837,$AQ837)*IF($AX837="",1,$AX837),2))</f>
        <v/>
      </c>
      <c r="BB837">
        <f>IF($H837="","",IFERROR(INDEX('_ENGINE_Risk'!$AE$41:$AE$920,MATCH($E837,'_ENGINE_Risk'!$A$41:$A$920,0)),"Medium"))</f>
        <v/>
      </c>
      <c r="BC837">
        <f>IF($BB837="","",IF($BB837="Fast",1.25,IF($BB837="Slow",0.85,1)))</f>
        <v/>
      </c>
      <c r="BD837">
        <f>IF(OR($AZ837="",$BC837=""),"",ROUND($AZ837*$BC837,2))</f>
        <v/>
      </c>
      <c r="BF837">
        <f>IF(OR($H837="",$J837=""),"",_xlfn.IFNA(VLOOKUP($J837,_CONFIG_Model_Settings!$D$610:$E$614,2,0),""))</f>
        <v/>
      </c>
      <c r="BG837">
        <f>IF(OR($H837="",$K837=""),"",ROUND('Company Profile'!$B$569*INDEX(_CONFIG_Model_Settings!$H$610:$H$614,MATCH($K837,_CONFIG_Model_Settings!$G$610:$G$614,0)),0))</f>
        <v/>
      </c>
      <c r="BH837">
        <f>IF(OR($BF837="",$BG837=""),"",ROUND($BF837*$BG837,1))</f>
        <v/>
      </c>
      <c r="BI837">
        <f>IF($BH837="","",IF($AO837="",$BH837,ROUND($BH837*$AO837,1)))</f>
        <v/>
      </c>
      <c r="BJ837">
        <f>IF($E837="","",IFERROR(VLOOKUP($C837,'_CONFIG_Risk_Calibration'!$A$5:$H$21,2,FALSE),3))</f>
        <v/>
      </c>
      <c r="BK837">
        <f>IF($E837="","",IFERROR(VLOOKUP($C837,'_CONFIG_Risk_Calibration'!$A$5:$H$21,3,FALSE),0))</f>
        <v/>
      </c>
      <c r="BL837">
        <f>IF($E837="","",IFERROR(VLOOKUP($C837,'_CONFIG_Risk_Calibration'!$A$5:$H$21,4,FALSE),3))</f>
        <v/>
      </c>
      <c r="BM837">
        <f>IF($E837="","",IFERROR(VLOOKUP($C837,'_CONFIG_Risk_Calibration'!$A$5:$H$21,5,FALSE),3))</f>
        <v/>
      </c>
      <c r="BN837">
        <f>IF($E837="","",IFERROR(VLOOKUP($C837,'_CONFIG_Risk_Calibration'!$A$5:$H$21,6,FALSE),"No"))</f>
        <v/>
      </c>
      <c r="BO837">
        <f>IF($E837="","",IFERROR(VLOOKUP($C837,'_CONFIG_Risk_Calibration'!$A$5:$H$21,7,FALSE),1))</f>
        <v/>
      </c>
      <c r="BP837">
        <f>IF($H837="","",MAX(1,MIN(5,((6-$H837)*0.45)+($BJ837*0.20)+('Resilience &amp; Risk Scenario'!$B$7*0.15)+($BK837*0.10)+($BL837*0.05)+(IF($BB837="Fast",5,IF($BB837="Slow",1,3))*0.05))))</f>
        <v/>
      </c>
      <c r="BQ837">
        <f>IF($H837="","",MAX(IF($BN837="Yes",$BO837,1),MIN(5,($U837*0.20)+($V837*0.15)+($W837*0.25)+($X837*0.15)+($BJ837*0.10)+($BM837*0.15))))</f>
        <v/>
      </c>
      <c r="BR837">
        <f>IF(OR($BP837="",$BQ837=""),"",ROUND($BP837*$BQ837,2))</f>
        <v/>
      </c>
      <c r="BS837">
        <f>IF($BR837="","",ROUND($BR837*IF($AO837="",1,$AO837)*IF($AX837="",1,$AX837)*(1+(($BM837-3)*0.10))*IF($BC837="",1,$BC837),2))</f>
        <v/>
      </c>
    </row>
    <row r="838" ht="69.90000000000001" customHeight="1" s="209">
      <c r="A838">
        <f>IF($BD838="","",SUMPRODUCT(ISNUMBER($BD$500:$BD$923)*($BD$500:$BD$923&gt;$BD838))+COUNTIF($BD$500:$BD838,$BD838))</f>
        <v/>
      </c>
      <c r="B838">
        <f>IF($H838="","",IF($H838&lt;5,"Yes","Maintain"))</f>
        <v/>
      </c>
      <c r="C838" t="inlineStr">
        <is>
          <t>Business Systems</t>
        </is>
      </c>
      <c r="D838" t="inlineStr">
        <is>
          <t>Governance and lifecycle</t>
        </is>
      </c>
      <c r="E838" t="inlineStr">
        <is>
          <t>BUSI-021</t>
        </is>
      </c>
      <c r="F838" t="inlineStr">
        <is>
          <t>Enterprise systems and application continuity</t>
        </is>
      </c>
      <c r="G838">
        <f>IF($H838="","",IFERROR(INDEX('_ENGINE_Risk'!$H$41:$M$920,MATCH($E838,'_ENGINE_Risk'!$A$41:$A$920,0),$H838+1),""))</f>
        <v/>
      </c>
      <c r="H838">
        <f>IFERROR(VALUE(INDEX(_DATA_Assessment_Model!$H$5:$H$884,MATCH($E838,_DATA_Assessment_Model!$A$5:$A$884,0))),"")</f>
        <v/>
      </c>
      <c r="I838">
        <f>IF($H838="","",IFERROR(INDEX(_DATA_Assessment_Model!$L$5:$L$884,MATCH($E838,_DATA_Assessment_Model!$A$5:$A$884,0)),IF($H838&lt;=1,"Critical",IF($H838=2,"High",IF($H838=3,"Medium",IF($H838=4,"Low","Resilient"))))))</f>
        <v/>
      </c>
      <c r="J838">
        <f>IF($H838="","",MIN(5,MAX(1,6-$H838)))</f>
        <v/>
      </c>
      <c r="K838">
        <f>IF($H838="","",MAX(1,MIN(5,ROUNDUP(($U838*0.45)+($W838*0.35)+($X838*0.2),0))))</f>
        <v/>
      </c>
      <c r="L838">
        <f>IF($H838="","",$J838*$K838)</f>
        <v/>
      </c>
      <c r="M838">
        <f>IF($H838="","",MAX(1,MIN(5,ROUNDUP($L838/5,0))))</f>
        <v/>
      </c>
      <c r="N838">
        <f>IF($H838="","",IFERROR(INDEX('_ENGINE_Risk'!$T$41:$Y$920,MATCH($E838,'_ENGINE_Risk'!$A$41:$A$920,0),$H838+1),""))</f>
        <v/>
      </c>
      <c r="O838">
        <f>IF($H838="","",MAX(1,MIN(5,($U838+$V838+$X838)/3)))</f>
        <v/>
      </c>
      <c r="P838">
        <f>IF($H838="","",IF($I838="Critical",5,IF($I838="High",4,IF($I838="Medium",3,IF($I838="Low",2,1)))))</f>
        <v/>
      </c>
      <c r="Q838">
        <f>IF($H838="","",MAX(1,MIN(5,((5-$H838)*0.65)+($W838*0.35))))</f>
        <v/>
      </c>
      <c r="R838">
        <f>IF($H838="","",MAX(1,MIN(5,($V838+$X838)/2)))</f>
        <v/>
      </c>
      <c r="S838">
        <f>IF(OR($H838="",$N838=""),"",ROUND(($O838+$P838+$Q838+$R838)/$N838,2))</f>
        <v/>
      </c>
      <c r="T838">
        <f>IF($H838="","",IFERROR(INDEX('_ENGINE_Risk'!$N$41:$S$920,MATCH($E838,'_ENGINE_Risk'!$A$41:$A$920,0),$H838+1),""))</f>
        <v/>
      </c>
      <c r="U838">
        <f>IFERROR(INDEX(_DATA_Assessment_Model!$G$5:$G$884,MATCH($E838,_DATA_Assessment_Model!$A$5:$A$884,0)),"")</f>
        <v/>
      </c>
      <c r="V838">
        <f>IFERROR(INDEX(_DATA_Assessment_Model!$W$5:$W$884,MATCH($E838,_DATA_Assessment_Model!$A$5:$A$884,0)),"")</f>
        <v/>
      </c>
      <c r="W838">
        <f>IFERROR(INDEX(_DATA_Assessment_Model!$X$5:$X$884,MATCH($E838,_DATA_Assessment_Model!$A$5:$A$884,0)),"")</f>
        <v/>
      </c>
      <c r="X838">
        <f>IFERROR(INDEX(_DATA_Assessment_Model!$Y$5:$Y$884,MATCH($E838,_DATA_Assessment_Model!$A$5:$A$884,0)),"")</f>
        <v/>
      </c>
      <c r="Y838" t="inlineStr">
        <is>
          <t>IT outage; Decision failure; Process disruption</t>
        </is>
      </c>
      <c r="Z838" t="inlineStr">
        <is>
          <t>CIO / Business Systems</t>
        </is>
      </c>
      <c r="AA838" t="inlineStr">
        <is>
          <t>Policy/SOP; owner/RACI; system report; dashboard; contracts; test records; incident history; interview evidence related to admin account governance across ERP, CRM, HRMS, MES, BI and SaaS tools.</t>
        </is>
      </c>
      <c r="AB838">
        <f>IFERROR(INDEX(_DATA_Assessment_Model!$U$5:$U$884,MATCH($E838,_DATA_Assessment_Model!$A$5:$A$884,0)),"")</f>
        <v/>
      </c>
      <c r="AF838" t="inlineStr">
        <is>
          <t>How mature is the organization in managing admin account governance across ERP, CRM, HRMS, MES, BI and SaaS tools, including ownership, evidence, metrics, fallback procedures and crisis stress testing?</t>
        </is>
      </c>
      <c r="AO838">
        <f>IF($B838="Yes",IFERROR(INDEX(_ENGINE_Crisis!$F$501:$F$517,MATCH($C838,_ENGINE_Crisis!$A$501:$A$517,0)),1),"")</f>
        <v/>
      </c>
      <c r="AP838">
        <f>IF(AO838="","",ROUND($L838*AO838,1))</f>
        <v/>
      </c>
      <c r="AQ838">
        <f>IF(OR(AO838="",$S838=""),"",ROUND($S838*(0.7+0.3*AO838),2))</f>
        <v/>
      </c>
      <c r="AR838">
        <f>IFERROR(INDEX(_ENGINE_Crisis!$E$41:$E$700,MATCH('Resilience &amp; Risk Scenario'!$B$60&amp;"|"&amp;$C838,_ENGINE_Crisis!$I$41:$I$700,0)),"")</f>
        <v/>
      </c>
      <c r="AS838">
        <f>IFERROR(INDEX(_ENGINE_Crisis!$G$41:$G$700,MATCH('Resilience &amp; Risk Scenario'!$B$60&amp;"|"&amp;$C838,_ENGINE_Crisis!$I$41:$I$700,0)),"")</f>
        <v/>
      </c>
      <c r="AT838">
        <f>IFERROR(INDEX(_ENGINE_Initiatives!$A$5:$A$532,MATCH(1,INDEX((_ENGINE_Initiatives!$B$5:$B$532=$C838)*(_ENGINE_Initiatives!$C$5:$C$532=$D838),0),0)),"")</f>
        <v/>
      </c>
      <c r="AU838">
        <f>IFERROR(INDEX(_ENGINE_Initiatives!$F$5:$F$532,MATCH(1,INDEX((_ENGINE_Initiatives!$B$5:$B$532=$C838)*(_ENGINE_Initiatives!$C$5:$C$532=$D838),0),0)),"")</f>
        <v/>
      </c>
      <c r="AV838">
        <f>IFERROR(INDEX(_ENGINE_Initiatives!$AC$5:$AC$532,MATCH(1,INDEX((_ENGINE_Initiatives!$B$5:$B$532=$C838)*(_ENGINE_Initiatives!$C$5:$C$532=$D838),0),0)),"")</f>
        <v/>
      </c>
      <c r="AW838">
        <f>IFERROR(INDEX(_ENGINE_Initiatives!$AE$5:$AE$532,MATCH(1,INDEX((_ENGINE_Initiatives!$B$5:$B$532=$C838)*(_ENGINE_Initiatives!$C$5:$C$532=$D838),0),0)),"")</f>
        <v/>
      </c>
      <c r="AX838">
        <f>IF($B838="Yes",IFERROR(IF(SUMIFS(_REF_Model_Content!$E$1:$E$613,_REF_Model_Content!$A$1:$A$613,'Company Profile'!$B$9,_REF_Model_Content!$B$1:$B$613,$C838)=0,1,SUMIFS(_REF_Model_Content!$E$1:$E$613,_REF_Model_Content!$A$1:$A$613,'Company Profile'!$B$9,_REF_Model_Content!$B$1:$B$613,$C838)),1),"")</f>
        <v/>
      </c>
      <c r="AY838">
        <f>IF($L838="","",ROUND(IF($AP838="",$L838,$AP838)*IF($AX838="",1,$AX838),2))</f>
        <v/>
      </c>
      <c r="AZ838">
        <f>IF($S838="","",ROUND(IF($AQ838="",$S838,$AQ838)*IF($AX838="",1,$AX838),2))</f>
        <v/>
      </c>
      <c r="BB838">
        <f>IF($H838="","",IFERROR(INDEX('_ENGINE_Risk'!$AE$41:$AE$920,MATCH($E838,'_ENGINE_Risk'!$A$41:$A$920,0)),"Medium"))</f>
        <v/>
      </c>
      <c r="BC838">
        <f>IF($BB838="","",IF($BB838="Fast",1.25,IF($BB838="Slow",0.85,1)))</f>
        <v/>
      </c>
      <c r="BD838">
        <f>IF(OR($AZ838="",$BC838=""),"",ROUND($AZ838*$BC838,2))</f>
        <v/>
      </c>
      <c r="BF838">
        <f>IF(OR($H838="",$J838=""),"",_xlfn.IFNA(VLOOKUP($J838,_CONFIG_Model_Settings!$D$610:$E$614,2,0),""))</f>
        <v/>
      </c>
      <c r="BG838">
        <f>IF(OR($H838="",$K838=""),"",ROUND('Company Profile'!$B$569*INDEX(_CONFIG_Model_Settings!$H$610:$H$614,MATCH($K838,_CONFIG_Model_Settings!$G$610:$G$614,0)),0))</f>
        <v/>
      </c>
      <c r="BH838">
        <f>IF(OR($BF838="",$BG838=""),"",ROUND($BF838*$BG838,1))</f>
        <v/>
      </c>
      <c r="BI838">
        <f>IF($BH838="","",IF($AO838="",$BH838,ROUND($BH838*$AO838,1)))</f>
        <v/>
      </c>
      <c r="BJ838">
        <f>IF($E838="","",IFERROR(VLOOKUP($C838,'_CONFIG_Risk_Calibration'!$A$5:$H$21,2,FALSE),3))</f>
        <v/>
      </c>
      <c r="BK838">
        <f>IF($E838="","",IFERROR(VLOOKUP($C838,'_CONFIG_Risk_Calibration'!$A$5:$H$21,3,FALSE),0))</f>
        <v/>
      </c>
      <c r="BL838">
        <f>IF($E838="","",IFERROR(VLOOKUP($C838,'_CONFIG_Risk_Calibration'!$A$5:$H$21,4,FALSE),3))</f>
        <v/>
      </c>
      <c r="BM838">
        <f>IF($E838="","",IFERROR(VLOOKUP($C838,'_CONFIG_Risk_Calibration'!$A$5:$H$21,5,FALSE),3))</f>
        <v/>
      </c>
      <c r="BN838">
        <f>IF($E838="","",IFERROR(VLOOKUP($C838,'_CONFIG_Risk_Calibration'!$A$5:$H$21,6,FALSE),"No"))</f>
        <v/>
      </c>
      <c r="BO838">
        <f>IF($E838="","",IFERROR(VLOOKUP($C838,'_CONFIG_Risk_Calibration'!$A$5:$H$21,7,FALSE),1))</f>
        <v/>
      </c>
      <c r="BP838">
        <f>IF($H838="","",MAX(1,MIN(5,((6-$H838)*0.45)+($BJ838*0.20)+('Resilience &amp; Risk Scenario'!$B$7*0.15)+($BK838*0.10)+($BL838*0.05)+(IF($BB838="Fast",5,IF($BB838="Slow",1,3))*0.05))))</f>
        <v/>
      </c>
      <c r="BQ838">
        <f>IF($H838="","",MAX(IF($BN838="Yes",$BO838,1),MIN(5,($U838*0.20)+($V838*0.15)+($W838*0.25)+($X838*0.15)+($BJ838*0.10)+($BM838*0.15))))</f>
        <v/>
      </c>
      <c r="BR838">
        <f>IF(OR($BP838="",$BQ838=""),"",ROUND($BP838*$BQ838,2))</f>
        <v/>
      </c>
      <c r="BS838">
        <f>IF($BR838="","",ROUND($BR838*IF($AO838="",1,$AO838)*IF($AX838="",1,$AX838)*(1+(($BM838-3)*0.10))*IF($BC838="",1,$BC838),2))</f>
        <v/>
      </c>
    </row>
    <row r="839" ht="69.90000000000001" customHeight="1" s="209">
      <c r="A839">
        <f>IF($BD839="","",SUMPRODUCT(ISNUMBER($BD$500:$BD$923)*($BD$500:$BD$923&gt;$BD839))+COUNTIF($BD$500:$BD839,$BD839))</f>
        <v/>
      </c>
      <c r="B839">
        <f>IF($H839="","",IF($H839&lt;5,"Yes","Maintain"))</f>
        <v/>
      </c>
      <c r="C839" t="inlineStr">
        <is>
          <t>Business Systems</t>
        </is>
      </c>
      <c r="D839" t="inlineStr">
        <is>
          <t>Governance and lifecycle</t>
        </is>
      </c>
      <c r="E839" t="inlineStr">
        <is>
          <t>BUSI-022</t>
        </is>
      </c>
      <c r="F839" t="inlineStr">
        <is>
          <t>Enterprise systems and application continuity</t>
        </is>
      </c>
      <c r="G839">
        <f>IF($H839="","",IFERROR(INDEX('_ENGINE_Risk'!$H$41:$M$920,MATCH($E839,'_ENGINE_Risk'!$A$41:$A$920,0),$H839+1),""))</f>
        <v/>
      </c>
      <c r="H839">
        <f>IFERROR(VALUE(INDEX(_DATA_Assessment_Model!$H$5:$H$884,MATCH($E839,_DATA_Assessment_Model!$A$5:$A$884,0))),"")</f>
        <v/>
      </c>
      <c r="I839">
        <f>IF($H839="","",IFERROR(INDEX(_DATA_Assessment_Model!$L$5:$L$884,MATCH($E839,_DATA_Assessment_Model!$A$5:$A$884,0)),IF($H839&lt;=1,"Critical",IF($H839=2,"High",IF($H839=3,"Medium",IF($H839=4,"Low","Resilient"))))))</f>
        <v/>
      </c>
      <c r="J839">
        <f>IF($H839="","",MIN(5,MAX(1,6-$H839)))</f>
        <v/>
      </c>
      <c r="K839">
        <f>IF($H839="","",MAX(1,MIN(5,ROUNDUP(($U839*0.45)+($W839*0.35)+($X839*0.2),0))))</f>
        <v/>
      </c>
      <c r="L839">
        <f>IF($H839="","",$J839*$K839)</f>
        <v/>
      </c>
      <c r="M839">
        <f>IF($H839="","",MAX(1,MIN(5,ROUNDUP($L839/5,0))))</f>
        <v/>
      </c>
      <c r="N839">
        <f>IF($H839="","",IFERROR(INDEX('_ENGINE_Risk'!$T$41:$Y$920,MATCH($E839,'_ENGINE_Risk'!$A$41:$A$920,0),$H839+1),""))</f>
        <v/>
      </c>
      <c r="O839">
        <f>IF($H839="","",MAX(1,MIN(5,($U839+$V839+$X839)/3)))</f>
        <v/>
      </c>
      <c r="P839">
        <f>IF($H839="","",IF($I839="Critical",5,IF($I839="High",4,IF($I839="Medium",3,IF($I839="Low",2,1)))))</f>
        <v/>
      </c>
      <c r="Q839">
        <f>IF($H839="","",MAX(1,MIN(5,((5-$H839)*0.65)+($W839*0.35))))</f>
        <v/>
      </c>
      <c r="R839">
        <f>IF($H839="","",MAX(1,MIN(5,($V839+$X839)/2)))</f>
        <v/>
      </c>
      <c r="S839">
        <f>IF(OR($H839="",$N839=""),"",ROUND(($O839+$P839+$Q839+$R839)/$N839,2))</f>
        <v/>
      </c>
      <c r="T839">
        <f>IF($H839="","",IFERROR(INDEX('_ENGINE_Risk'!$N$41:$S$920,MATCH($E839,'_ENGINE_Risk'!$A$41:$A$920,0),$H839+1),""))</f>
        <v/>
      </c>
      <c r="U839">
        <f>IFERROR(INDEX(_DATA_Assessment_Model!$G$5:$G$884,MATCH($E839,_DATA_Assessment_Model!$A$5:$A$884,0)),"")</f>
        <v/>
      </c>
      <c r="V839">
        <f>IFERROR(INDEX(_DATA_Assessment_Model!$W$5:$W$884,MATCH($E839,_DATA_Assessment_Model!$A$5:$A$884,0)),"")</f>
        <v/>
      </c>
      <c r="W839">
        <f>IFERROR(INDEX(_DATA_Assessment_Model!$X$5:$X$884,MATCH($E839,_DATA_Assessment_Model!$A$5:$A$884,0)),"")</f>
        <v/>
      </c>
      <c r="X839">
        <f>IFERROR(INDEX(_DATA_Assessment_Model!$Y$5:$Y$884,MATCH($E839,_DATA_Assessment_Model!$A$5:$A$884,0)),"")</f>
        <v/>
      </c>
      <c r="Y839" t="inlineStr">
        <is>
          <t>IT outage; Decision failure; Process disruption</t>
        </is>
      </c>
      <c r="Z839" t="inlineStr">
        <is>
          <t>CIO / Business Systems</t>
        </is>
      </c>
      <c r="AA839" t="inlineStr">
        <is>
          <t>Policy/SOP; owner/RACI; system report; dashboard; contracts; test records; incident history; interview evidence related to data portability and export procedures for critical systems.</t>
        </is>
      </c>
      <c r="AB839">
        <f>IFERROR(INDEX(_DATA_Assessment_Model!$U$5:$U$884,MATCH($E839,_DATA_Assessment_Model!$A$5:$A$884,0)),"")</f>
        <v/>
      </c>
      <c r="AF839" t="inlineStr">
        <is>
          <t>How mature is the organization in managing data portability and export procedures for critical systems, including ownership, evidence, metrics, fallback procedures and crisis stress testing?</t>
        </is>
      </c>
      <c r="AO839">
        <f>IF($B839="Yes",IFERROR(INDEX(_ENGINE_Crisis!$F$501:$F$517,MATCH($C839,_ENGINE_Crisis!$A$501:$A$517,0)),1),"")</f>
        <v/>
      </c>
      <c r="AP839">
        <f>IF(AO839="","",ROUND($L839*AO839,1))</f>
        <v/>
      </c>
      <c r="AQ839">
        <f>IF(OR(AO839="",$S839=""),"",ROUND($S839*(0.7+0.3*AO839),2))</f>
        <v/>
      </c>
      <c r="AR839">
        <f>IFERROR(INDEX(_ENGINE_Crisis!$E$41:$E$700,MATCH('Resilience &amp; Risk Scenario'!$B$60&amp;"|"&amp;$C839,_ENGINE_Crisis!$I$41:$I$700,0)),"")</f>
        <v/>
      </c>
      <c r="AS839">
        <f>IFERROR(INDEX(_ENGINE_Crisis!$G$41:$G$700,MATCH('Resilience &amp; Risk Scenario'!$B$60&amp;"|"&amp;$C839,_ENGINE_Crisis!$I$41:$I$700,0)),"")</f>
        <v/>
      </c>
      <c r="AT839">
        <f>IFERROR(INDEX(_ENGINE_Initiatives!$A$5:$A$532,MATCH(1,INDEX((_ENGINE_Initiatives!$B$5:$B$532=$C839)*(_ENGINE_Initiatives!$C$5:$C$532=$D839),0),0)),"")</f>
        <v/>
      </c>
      <c r="AU839">
        <f>IFERROR(INDEX(_ENGINE_Initiatives!$F$5:$F$532,MATCH(1,INDEX((_ENGINE_Initiatives!$B$5:$B$532=$C839)*(_ENGINE_Initiatives!$C$5:$C$532=$D839),0),0)),"")</f>
        <v/>
      </c>
      <c r="AV839">
        <f>IFERROR(INDEX(_ENGINE_Initiatives!$AC$5:$AC$532,MATCH(1,INDEX((_ENGINE_Initiatives!$B$5:$B$532=$C839)*(_ENGINE_Initiatives!$C$5:$C$532=$D839),0),0)),"")</f>
        <v/>
      </c>
      <c r="AW839">
        <f>IFERROR(INDEX(_ENGINE_Initiatives!$AE$5:$AE$532,MATCH(1,INDEX((_ENGINE_Initiatives!$B$5:$B$532=$C839)*(_ENGINE_Initiatives!$C$5:$C$532=$D839),0),0)),"")</f>
        <v/>
      </c>
      <c r="AX839">
        <f>IF($B839="Yes",IFERROR(IF(SUMIFS(_REF_Model_Content!$E$1:$E$613,_REF_Model_Content!$A$1:$A$613,'Company Profile'!$B$9,_REF_Model_Content!$B$1:$B$613,$C839)=0,1,SUMIFS(_REF_Model_Content!$E$1:$E$613,_REF_Model_Content!$A$1:$A$613,'Company Profile'!$B$9,_REF_Model_Content!$B$1:$B$613,$C839)),1),"")</f>
        <v/>
      </c>
      <c r="AY839">
        <f>IF($L839="","",ROUND(IF($AP839="",$L839,$AP839)*IF($AX839="",1,$AX839),2))</f>
        <v/>
      </c>
      <c r="AZ839">
        <f>IF($S839="","",ROUND(IF($AQ839="",$S839,$AQ839)*IF($AX839="",1,$AX839),2))</f>
        <v/>
      </c>
      <c r="BB839">
        <f>IF($H839="","",IFERROR(INDEX('_ENGINE_Risk'!$AE$41:$AE$920,MATCH($E839,'_ENGINE_Risk'!$A$41:$A$920,0)),"Medium"))</f>
        <v/>
      </c>
      <c r="BC839">
        <f>IF($BB839="","",IF($BB839="Fast",1.25,IF($BB839="Slow",0.85,1)))</f>
        <v/>
      </c>
      <c r="BD839">
        <f>IF(OR($AZ839="",$BC839=""),"",ROUND($AZ839*$BC839,2))</f>
        <v/>
      </c>
      <c r="BF839">
        <f>IF(OR($H839="",$J839=""),"",_xlfn.IFNA(VLOOKUP($J839,_CONFIG_Model_Settings!$D$610:$E$614,2,0),""))</f>
        <v/>
      </c>
      <c r="BG839">
        <f>IF(OR($H839="",$K839=""),"",ROUND('Company Profile'!$B$569*INDEX(_CONFIG_Model_Settings!$H$610:$H$614,MATCH($K839,_CONFIG_Model_Settings!$G$610:$G$614,0)),0))</f>
        <v/>
      </c>
      <c r="BH839">
        <f>IF(OR($BF839="",$BG839=""),"",ROUND($BF839*$BG839,1))</f>
        <v/>
      </c>
      <c r="BI839">
        <f>IF($BH839="","",IF($AO839="",$BH839,ROUND($BH839*$AO839,1)))</f>
        <v/>
      </c>
      <c r="BJ839">
        <f>IF($E839="","",IFERROR(VLOOKUP($C839,'_CONFIG_Risk_Calibration'!$A$5:$H$21,2,FALSE),3))</f>
        <v/>
      </c>
      <c r="BK839">
        <f>IF($E839="","",IFERROR(VLOOKUP($C839,'_CONFIG_Risk_Calibration'!$A$5:$H$21,3,FALSE),0))</f>
        <v/>
      </c>
      <c r="BL839">
        <f>IF($E839="","",IFERROR(VLOOKUP($C839,'_CONFIG_Risk_Calibration'!$A$5:$H$21,4,FALSE),3))</f>
        <v/>
      </c>
      <c r="BM839">
        <f>IF($E839="","",IFERROR(VLOOKUP($C839,'_CONFIG_Risk_Calibration'!$A$5:$H$21,5,FALSE),3))</f>
        <v/>
      </c>
      <c r="BN839">
        <f>IF($E839="","",IFERROR(VLOOKUP($C839,'_CONFIG_Risk_Calibration'!$A$5:$H$21,6,FALSE),"No"))</f>
        <v/>
      </c>
      <c r="BO839">
        <f>IF($E839="","",IFERROR(VLOOKUP($C839,'_CONFIG_Risk_Calibration'!$A$5:$H$21,7,FALSE),1))</f>
        <v/>
      </c>
      <c r="BP839">
        <f>IF($H839="","",MAX(1,MIN(5,((6-$H839)*0.45)+($BJ839*0.20)+('Resilience &amp; Risk Scenario'!$B$7*0.15)+($BK839*0.10)+($BL839*0.05)+(IF($BB839="Fast",5,IF($BB839="Slow",1,3))*0.05))))</f>
        <v/>
      </c>
      <c r="BQ839">
        <f>IF($H839="","",MAX(IF($BN839="Yes",$BO839,1),MIN(5,($U839*0.20)+($V839*0.15)+($W839*0.25)+($X839*0.15)+($BJ839*0.10)+($BM839*0.15))))</f>
        <v/>
      </c>
      <c r="BR839">
        <f>IF(OR($BP839="",$BQ839=""),"",ROUND($BP839*$BQ839,2))</f>
        <v/>
      </c>
      <c r="BS839">
        <f>IF($BR839="","",ROUND($BR839*IF($AO839="",1,$AO839)*IF($AX839="",1,$AX839)*(1+(($BM839-3)*0.10))*IF($BC839="",1,$BC839),2))</f>
        <v/>
      </c>
    </row>
    <row r="840" ht="69.90000000000001" customHeight="1" s="209">
      <c r="A840">
        <f>IF($BD840="","",SUMPRODUCT(ISNUMBER($BD$500:$BD$923)*($BD$500:$BD$923&gt;$BD840))+COUNTIF($BD$500:$BD840,$BD840))</f>
        <v/>
      </c>
      <c r="B840">
        <f>IF($H840="","",IF($H840&lt;5,"Yes","Maintain"))</f>
        <v/>
      </c>
      <c r="C840" t="inlineStr">
        <is>
          <t>Business Systems</t>
        </is>
      </c>
      <c r="D840" t="inlineStr">
        <is>
          <t>Governance and lifecycle</t>
        </is>
      </c>
      <c r="E840" t="inlineStr">
        <is>
          <t>BUSI-023</t>
        </is>
      </c>
      <c r="F840" t="inlineStr">
        <is>
          <t>Enterprise systems and application continuity</t>
        </is>
      </c>
      <c r="G840">
        <f>IF($H840="","",IFERROR(INDEX('_ENGINE_Risk'!$H$41:$M$920,MATCH($E840,'_ENGINE_Risk'!$A$41:$A$920,0),$H840+1),""))</f>
        <v/>
      </c>
      <c r="H840">
        <f>IFERROR(VALUE(INDEX(_DATA_Assessment_Model!$H$5:$H$884,MATCH($E840,_DATA_Assessment_Model!$A$5:$A$884,0))),"")</f>
        <v/>
      </c>
      <c r="I840">
        <f>IF($H840="","",IFERROR(INDEX(_DATA_Assessment_Model!$L$5:$L$884,MATCH($E840,_DATA_Assessment_Model!$A$5:$A$884,0)),IF($H840&lt;=1,"Critical",IF($H840=2,"High",IF($H840=3,"Medium",IF($H840=4,"Low","Resilient"))))))</f>
        <v/>
      </c>
      <c r="J840">
        <f>IF($H840="","",MIN(5,MAX(1,6-$H840)))</f>
        <v/>
      </c>
      <c r="K840">
        <f>IF($H840="","",MAX(1,MIN(5,ROUNDUP(($U840*0.45)+($W840*0.35)+($X840*0.2),0))))</f>
        <v/>
      </c>
      <c r="L840">
        <f>IF($H840="","",$J840*$K840)</f>
        <v/>
      </c>
      <c r="M840">
        <f>IF($H840="","",MAX(1,MIN(5,ROUNDUP($L840/5,0))))</f>
        <v/>
      </c>
      <c r="N840">
        <f>IF($H840="","",IFERROR(INDEX('_ENGINE_Risk'!$T$41:$Y$920,MATCH($E840,'_ENGINE_Risk'!$A$41:$A$920,0),$H840+1),""))</f>
        <v/>
      </c>
      <c r="O840">
        <f>IF($H840="","",MAX(1,MIN(5,($U840+$V840+$X840)/3)))</f>
        <v/>
      </c>
      <c r="P840">
        <f>IF($H840="","",IF($I840="Critical",5,IF($I840="High",4,IF($I840="Medium",3,IF($I840="Low",2,1)))))</f>
        <v/>
      </c>
      <c r="Q840">
        <f>IF($H840="","",MAX(1,MIN(5,((5-$H840)*0.65)+($W840*0.35))))</f>
        <v/>
      </c>
      <c r="R840">
        <f>IF($H840="","",MAX(1,MIN(5,($V840+$X840)/2)))</f>
        <v/>
      </c>
      <c r="S840">
        <f>IF(OR($H840="",$N840=""),"",ROUND(($O840+$P840+$Q840+$R840)/$N840,2))</f>
        <v/>
      </c>
      <c r="T840">
        <f>IF($H840="","",IFERROR(INDEX('_ENGINE_Risk'!$N$41:$S$920,MATCH($E840,'_ENGINE_Risk'!$A$41:$A$920,0),$H840+1),""))</f>
        <v/>
      </c>
      <c r="U840">
        <f>IFERROR(INDEX(_DATA_Assessment_Model!$G$5:$G$884,MATCH($E840,_DATA_Assessment_Model!$A$5:$A$884,0)),"")</f>
        <v/>
      </c>
      <c r="V840">
        <f>IFERROR(INDEX(_DATA_Assessment_Model!$W$5:$W$884,MATCH($E840,_DATA_Assessment_Model!$A$5:$A$884,0)),"")</f>
        <v/>
      </c>
      <c r="W840">
        <f>IFERROR(INDEX(_DATA_Assessment_Model!$X$5:$X$884,MATCH($E840,_DATA_Assessment_Model!$A$5:$A$884,0)),"")</f>
        <v/>
      </c>
      <c r="X840">
        <f>IFERROR(INDEX(_DATA_Assessment_Model!$Y$5:$Y$884,MATCH($E840,_DATA_Assessment_Model!$A$5:$A$884,0)),"")</f>
        <v/>
      </c>
      <c r="Y840" t="inlineStr">
        <is>
          <t>IT outage; Decision failure; Process disruption</t>
        </is>
      </c>
      <c r="Z840" t="inlineStr">
        <is>
          <t>CIO / Business Systems</t>
        </is>
      </c>
      <c r="AA840" t="inlineStr">
        <is>
          <t>Policy/SOP; owner/RACI; system report; dashboard; contracts; test records; incident history; interview evidence related to configuration and customization documentation for critical business systems.</t>
        </is>
      </c>
      <c r="AB840">
        <f>IFERROR(INDEX(_DATA_Assessment_Model!$U$5:$U$884,MATCH($E840,_DATA_Assessment_Model!$A$5:$A$884,0)),"")</f>
        <v/>
      </c>
      <c r="AF840" t="inlineStr">
        <is>
          <t>How mature is the organization in managing configuration and customization documentation for critical business systems, including ownership, evidence, metrics, fallback procedures and crisis stress testing?</t>
        </is>
      </c>
      <c r="AO840">
        <f>IF($B840="Yes",IFERROR(INDEX(_ENGINE_Crisis!$F$501:$F$517,MATCH($C840,_ENGINE_Crisis!$A$501:$A$517,0)),1),"")</f>
        <v/>
      </c>
      <c r="AP840">
        <f>IF(AO840="","",ROUND($L840*AO840,1))</f>
        <v/>
      </c>
      <c r="AQ840">
        <f>IF(OR(AO840="",$S840=""),"",ROUND($S840*(0.7+0.3*AO840),2))</f>
        <v/>
      </c>
      <c r="AR840">
        <f>IFERROR(INDEX(_ENGINE_Crisis!$E$41:$E$700,MATCH('Resilience &amp; Risk Scenario'!$B$60&amp;"|"&amp;$C840,_ENGINE_Crisis!$I$41:$I$700,0)),"")</f>
        <v/>
      </c>
      <c r="AS840">
        <f>IFERROR(INDEX(_ENGINE_Crisis!$G$41:$G$700,MATCH('Resilience &amp; Risk Scenario'!$B$60&amp;"|"&amp;$C840,_ENGINE_Crisis!$I$41:$I$700,0)),"")</f>
        <v/>
      </c>
      <c r="AT840">
        <f>IFERROR(INDEX(_ENGINE_Initiatives!$A$5:$A$532,MATCH(1,INDEX((_ENGINE_Initiatives!$B$5:$B$532=$C840)*(_ENGINE_Initiatives!$C$5:$C$532=$D840),0),0)),"")</f>
        <v/>
      </c>
      <c r="AU840">
        <f>IFERROR(INDEX(_ENGINE_Initiatives!$F$5:$F$532,MATCH(1,INDEX((_ENGINE_Initiatives!$B$5:$B$532=$C840)*(_ENGINE_Initiatives!$C$5:$C$532=$D840),0),0)),"")</f>
        <v/>
      </c>
      <c r="AV840">
        <f>IFERROR(INDEX(_ENGINE_Initiatives!$AC$5:$AC$532,MATCH(1,INDEX((_ENGINE_Initiatives!$B$5:$B$532=$C840)*(_ENGINE_Initiatives!$C$5:$C$532=$D840),0),0)),"")</f>
        <v/>
      </c>
      <c r="AW840">
        <f>IFERROR(INDEX(_ENGINE_Initiatives!$AE$5:$AE$532,MATCH(1,INDEX((_ENGINE_Initiatives!$B$5:$B$532=$C840)*(_ENGINE_Initiatives!$C$5:$C$532=$D840),0),0)),"")</f>
        <v/>
      </c>
      <c r="AX840">
        <f>IF($B840="Yes",IFERROR(IF(SUMIFS(_REF_Model_Content!$E$1:$E$613,_REF_Model_Content!$A$1:$A$613,'Company Profile'!$B$9,_REF_Model_Content!$B$1:$B$613,$C840)=0,1,SUMIFS(_REF_Model_Content!$E$1:$E$613,_REF_Model_Content!$A$1:$A$613,'Company Profile'!$B$9,_REF_Model_Content!$B$1:$B$613,$C840)),1),"")</f>
        <v/>
      </c>
      <c r="AY840">
        <f>IF($L840="","",ROUND(IF($AP840="",$L840,$AP840)*IF($AX840="",1,$AX840),2))</f>
        <v/>
      </c>
      <c r="AZ840">
        <f>IF($S840="","",ROUND(IF($AQ840="",$S840,$AQ840)*IF($AX840="",1,$AX840),2))</f>
        <v/>
      </c>
      <c r="BB840">
        <f>IF($H840="","",IFERROR(INDEX('_ENGINE_Risk'!$AE$41:$AE$920,MATCH($E840,'_ENGINE_Risk'!$A$41:$A$920,0)),"Medium"))</f>
        <v/>
      </c>
      <c r="BC840">
        <f>IF($BB840="","",IF($BB840="Fast",1.25,IF($BB840="Slow",0.85,1)))</f>
        <v/>
      </c>
      <c r="BD840">
        <f>IF(OR($AZ840="",$BC840=""),"",ROUND($AZ840*$BC840,2))</f>
        <v/>
      </c>
      <c r="BF840">
        <f>IF(OR($H840="",$J840=""),"",_xlfn.IFNA(VLOOKUP($J840,_CONFIG_Model_Settings!$D$610:$E$614,2,0),""))</f>
        <v/>
      </c>
      <c r="BG840">
        <f>IF(OR($H840="",$K840=""),"",ROUND('Company Profile'!$B$569*INDEX(_CONFIG_Model_Settings!$H$610:$H$614,MATCH($K840,_CONFIG_Model_Settings!$G$610:$G$614,0)),0))</f>
        <v/>
      </c>
      <c r="BH840">
        <f>IF(OR($BF840="",$BG840=""),"",ROUND($BF840*$BG840,1))</f>
        <v/>
      </c>
      <c r="BI840">
        <f>IF($BH840="","",IF($AO840="",$BH840,ROUND($BH840*$AO840,1)))</f>
        <v/>
      </c>
      <c r="BJ840">
        <f>IF($E840="","",IFERROR(VLOOKUP($C840,'_CONFIG_Risk_Calibration'!$A$5:$H$21,2,FALSE),3))</f>
        <v/>
      </c>
      <c r="BK840">
        <f>IF($E840="","",IFERROR(VLOOKUP($C840,'_CONFIG_Risk_Calibration'!$A$5:$H$21,3,FALSE),0))</f>
        <v/>
      </c>
      <c r="BL840">
        <f>IF($E840="","",IFERROR(VLOOKUP($C840,'_CONFIG_Risk_Calibration'!$A$5:$H$21,4,FALSE),3))</f>
        <v/>
      </c>
      <c r="BM840">
        <f>IF($E840="","",IFERROR(VLOOKUP($C840,'_CONFIG_Risk_Calibration'!$A$5:$H$21,5,FALSE),3))</f>
        <v/>
      </c>
      <c r="BN840">
        <f>IF($E840="","",IFERROR(VLOOKUP($C840,'_CONFIG_Risk_Calibration'!$A$5:$H$21,6,FALSE),"No"))</f>
        <v/>
      </c>
      <c r="BO840">
        <f>IF($E840="","",IFERROR(VLOOKUP($C840,'_CONFIG_Risk_Calibration'!$A$5:$H$21,7,FALSE),1))</f>
        <v/>
      </c>
      <c r="BP840">
        <f>IF($H840="","",MAX(1,MIN(5,((6-$H840)*0.45)+($BJ840*0.20)+('Resilience &amp; Risk Scenario'!$B$7*0.15)+($BK840*0.10)+($BL840*0.05)+(IF($BB840="Fast",5,IF($BB840="Slow",1,3))*0.05))))</f>
        <v/>
      </c>
      <c r="BQ840">
        <f>IF($H840="","",MAX(IF($BN840="Yes",$BO840,1),MIN(5,($U840*0.20)+($V840*0.15)+($W840*0.25)+($X840*0.15)+($BJ840*0.10)+($BM840*0.15))))</f>
        <v/>
      </c>
      <c r="BR840">
        <f>IF(OR($BP840="",$BQ840=""),"",ROUND($BP840*$BQ840,2))</f>
        <v/>
      </c>
      <c r="BS840">
        <f>IF($BR840="","",ROUND($BR840*IF($AO840="",1,$AO840)*IF($AX840="",1,$AX840)*(1+(($BM840-3)*0.10))*IF($BC840="",1,$BC840),2))</f>
        <v/>
      </c>
    </row>
    <row r="841" ht="69.90000000000001" customHeight="1" s="209">
      <c r="A841">
        <f>IF($BD841="","",SUMPRODUCT(ISNUMBER($BD$500:$BD$923)*($BD$500:$BD$923&gt;$BD841))+COUNTIF($BD$500:$BD841,$BD841))</f>
        <v/>
      </c>
      <c r="B841">
        <f>IF($H841="","",IF($H841&lt;5,"Yes","Maintain"))</f>
        <v/>
      </c>
      <c r="C841" t="inlineStr">
        <is>
          <t>Data BI AI</t>
        </is>
      </c>
      <c r="D841" t="inlineStr">
        <is>
          <t>Data governance</t>
        </is>
      </c>
      <c r="E841" t="inlineStr">
        <is>
          <t>DATA-001</t>
        </is>
      </c>
      <c r="F841" t="inlineStr">
        <is>
          <t>Data, BI, analytics and AI governance</t>
        </is>
      </c>
      <c r="G841">
        <f>IF($H841="","",IFERROR(INDEX('_ENGINE_Risk'!$H$41:$M$920,MATCH($E841,'_ENGINE_Risk'!$A$41:$A$920,0),$H841+1),""))</f>
        <v/>
      </c>
      <c r="H841">
        <f>IFERROR(VALUE(INDEX(_DATA_Assessment_Model!$H$5:$H$884,MATCH($E841,_DATA_Assessment_Model!$A$5:$A$884,0))),"")</f>
        <v/>
      </c>
      <c r="I841">
        <f>IF($H841="","",IFERROR(INDEX(_DATA_Assessment_Model!$L$5:$L$884,MATCH($E841,_DATA_Assessment_Model!$A$5:$A$884,0)),IF($H841&lt;=1,"Critical",IF($H841=2,"High",IF($H841=3,"Medium",IF($H841=4,"Low","Resilient"))))))</f>
        <v/>
      </c>
      <c r="J841">
        <f>IF($H841="","",MIN(5,MAX(1,6-$H841)))</f>
        <v/>
      </c>
      <c r="K841">
        <f>IF($H841="","",MAX(1,MIN(5,ROUNDUP(($U841*0.45)+($W841*0.35)+($X841*0.2),0))))</f>
        <v/>
      </c>
      <c r="L841">
        <f>IF($H841="","",$J841*$K841)</f>
        <v/>
      </c>
      <c r="M841">
        <f>IF($H841="","",MAX(1,MIN(5,ROUNDUP($L841/5,0))))</f>
        <v/>
      </c>
      <c r="N841">
        <f>IF($H841="","",IFERROR(INDEX('_ENGINE_Risk'!$T$41:$Y$920,MATCH($E841,'_ENGINE_Risk'!$A$41:$A$920,0),$H841+1),""))</f>
        <v/>
      </c>
      <c r="O841">
        <f>IF($H841="","",MAX(1,MIN(5,($U841+$V841+$X841)/3)))</f>
        <v/>
      </c>
      <c r="P841">
        <f>IF($H841="","",IF($I841="Critical",5,IF($I841="High",4,IF($I841="Medium",3,IF($I841="Low",2,1)))))</f>
        <v/>
      </c>
      <c r="Q841">
        <f>IF($H841="","",MAX(1,MIN(5,((5-$H841)*0.65)+($W841*0.35))))</f>
        <v/>
      </c>
      <c r="R841">
        <f>IF($H841="","",MAX(1,MIN(5,($V841+$X841)/2)))</f>
        <v/>
      </c>
      <c r="S841">
        <f>IF(OR($H841="",$N841=""),"",ROUND(($O841+$P841+$Q841+$R841)/$N841,2))</f>
        <v/>
      </c>
      <c r="T841">
        <f>IF($H841="","",IFERROR(INDEX('_ENGINE_Risk'!$N$41:$S$920,MATCH($E841,'_ENGINE_Risk'!$A$41:$A$920,0),$H841+1),""))</f>
        <v/>
      </c>
      <c r="U841">
        <f>IFERROR(INDEX(_DATA_Assessment_Model!$G$5:$G$884,MATCH($E841,_DATA_Assessment_Model!$A$5:$A$884,0)),"")</f>
        <v/>
      </c>
      <c r="V841">
        <f>IFERROR(INDEX(_DATA_Assessment_Model!$W$5:$W$884,MATCH($E841,_DATA_Assessment_Model!$A$5:$A$884,0)),"")</f>
        <v/>
      </c>
      <c r="W841">
        <f>IFERROR(INDEX(_DATA_Assessment_Model!$X$5:$X$884,MATCH($E841,_DATA_Assessment_Model!$A$5:$A$884,0)),"")</f>
        <v/>
      </c>
      <c r="X841">
        <f>IFERROR(INDEX(_DATA_Assessment_Model!$Y$5:$Y$884,MATCH($E841,_DATA_Assessment_Model!$A$5:$A$884,0)),"")</f>
        <v/>
      </c>
      <c r="Y841" t="inlineStr">
        <is>
          <t>Decision failure; Data loss; Regulatory/legal shock</t>
        </is>
      </c>
      <c r="Z841" t="inlineStr">
        <is>
          <t>CDO / BI / Analytics</t>
        </is>
      </c>
      <c r="AA841" t="inlineStr">
        <is>
          <t>Policy/SOP; owner/RACI; system report; dashboard; contracts; test records; incident history; interview evidence related to data owners and stewards for critical data domains.</t>
        </is>
      </c>
      <c r="AB841">
        <f>IFERROR(INDEX(_DATA_Assessment_Model!$U$5:$U$884,MATCH($E841,_DATA_Assessment_Model!$A$5:$A$884,0)),"")</f>
        <v/>
      </c>
      <c r="AF841" t="inlineStr">
        <is>
          <t>How mature is the organization in managing data owners and stewards for critical data domains, including ownership, evidence, metrics, fallback procedures and crisis stress testing?</t>
        </is>
      </c>
      <c r="AO841">
        <f>IF($B841="Yes",IFERROR(INDEX(_ENGINE_Crisis!$F$501:$F$517,MATCH($C841,_ENGINE_Crisis!$A$501:$A$517,0)),1),"")</f>
        <v/>
      </c>
      <c r="AP841">
        <f>IF(AO841="","",ROUND($L841*AO841,1))</f>
        <v/>
      </c>
      <c r="AQ841">
        <f>IF(OR(AO841="",$S841=""),"",ROUND($S841*(0.7+0.3*AO841),2))</f>
        <v/>
      </c>
      <c r="AR841">
        <f>IFERROR(INDEX(_ENGINE_Crisis!$E$41:$E$700,MATCH('Resilience &amp; Risk Scenario'!$B$60&amp;"|"&amp;$C841,_ENGINE_Crisis!$I$41:$I$700,0)),"")</f>
        <v/>
      </c>
      <c r="AS841">
        <f>IFERROR(INDEX(_ENGINE_Crisis!$G$41:$G$700,MATCH('Resilience &amp; Risk Scenario'!$B$60&amp;"|"&amp;$C841,_ENGINE_Crisis!$I$41:$I$700,0)),"")</f>
        <v/>
      </c>
      <c r="AT841">
        <f>IFERROR(INDEX(_ENGINE_Initiatives!$A$5:$A$532,MATCH(1,INDEX((_ENGINE_Initiatives!$B$5:$B$532=$C841)*(_ENGINE_Initiatives!$C$5:$C$532=$D841),0),0)),"")</f>
        <v/>
      </c>
      <c r="AU841">
        <f>IFERROR(INDEX(_ENGINE_Initiatives!$F$5:$F$532,MATCH(1,INDEX((_ENGINE_Initiatives!$B$5:$B$532=$C841)*(_ENGINE_Initiatives!$C$5:$C$532=$D841),0),0)),"")</f>
        <v/>
      </c>
      <c r="AV841">
        <f>IFERROR(INDEX(_ENGINE_Initiatives!$AC$5:$AC$532,MATCH(1,INDEX((_ENGINE_Initiatives!$B$5:$B$532=$C841)*(_ENGINE_Initiatives!$C$5:$C$532=$D841),0),0)),"")</f>
        <v/>
      </c>
      <c r="AW841">
        <f>IFERROR(INDEX(_ENGINE_Initiatives!$AE$5:$AE$532,MATCH(1,INDEX((_ENGINE_Initiatives!$B$5:$B$532=$C841)*(_ENGINE_Initiatives!$C$5:$C$532=$D841),0),0)),"")</f>
        <v/>
      </c>
      <c r="AX841">
        <f>IF($B841="Yes",IFERROR(IF(SUMIFS(_REF_Model_Content!$E$1:$E$613,_REF_Model_Content!$A$1:$A$613,'Company Profile'!$B$9,_REF_Model_Content!$B$1:$B$613,$C841)=0,1,SUMIFS(_REF_Model_Content!$E$1:$E$613,_REF_Model_Content!$A$1:$A$613,'Company Profile'!$B$9,_REF_Model_Content!$B$1:$B$613,$C841)),1),"")</f>
        <v/>
      </c>
      <c r="AY841">
        <f>IF($L841="","",ROUND(IF($AP841="",$L841,$AP841)*IF($AX841="",1,$AX841),2))</f>
        <v/>
      </c>
      <c r="AZ841">
        <f>IF($S841="","",ROUND(IF($AQ841="",$S841,$AQ841)*IF($AX841="",1,$AX841),2))</f>
        <v/>
      </c>
      <c r="BB841">
        <f>IF($H841="","",IFERROR(INDEX('_ENGINE_Risk'!$AE$41:$AE$920,MATCH($E841,'_ENGINE_Risk'!$A$41:$A$920,0)),"Medium"))</f>
        <v/>
      </c>
      <c r="BC841">
        <f>IF($BB841="","",IF($BB841="Fast",1.25,IF($BB841="Slow",0.85,1)))</f>
        <v/>
      </c>
      <c r="BD841">
        <f>IF(OR($AZ841="",$BC841=""),"",ROUND($AZ841*$BC841,2))</f>
        <v/>
      </c>
      <c r="BF841">
        <f>IF(OR($H841="",$J841=""),"",_xlfn.IFNA(VLOOKUP($J841,_CONFIG_Model_Settings!$D$610:$E$614,2,0),""))</f>
        <v/>
      </c>
      <c r="BG841">
        <f>IF(OR($H841="",$K841=""),"",ROUND('Company Profile'!$B$569*INDEX(_CONFIG_Model_Settings!$H$610:$H$614,MATCH($K841,_CONFIG_Model_Settings!$G$610:$G$614,0)),0))</f>
        <v/>
      </c>
      <c r="BH841">
        <f>IF(OR($BF841="",$BG841=""),"",ROUND($BF841*$BG841,1))</f>
        <v/>
      </c>
      <c r="BI841">
        <f>IF($BH841="","",IF($AO841="",$BH841,ROUND($BH841*$AO841,1)))</f>
        <v/>
      </c>
      <c r="BJ841">
        <f>IF($E841="","",IFERROR(VLOOKUP($C841,'_CONFIG_Risk_Calibration'!$A$5:$H$21,2,FALSE),3))</f>
        <v/>
      </c>
      <c r="BK841">
        <f>IF($E841="","",IFERROR(VLOOKUP($C841,'_CONFIG_Risk_Calibration'!$A$5:$H$21,3,FALSE),0))</f>
        <v/>
      </c>
      <c r="BL841">
        <f>IF($E841="","",IFERROR(VLOOKUP($C841,'_CONFIG_Risk_Calibration'!$A$5:$H$21,4,FALSE),3))</f>
        <v/>
      </c>
      <c r="BM841">
        <f>IF($E841="","",IFERROR(VLOOKUP($C841,'_CONFIG_Risk_Calibration'!$A$5:$H$21,5,FALSE),3))</f>
        <v/>
      </c>
      <c r="BN841">
        <f>IF($E841="","",IFERROR(VLOOKUP($C841,'_CONFIG_Risk_Calibration'!$A$5:$H$21,6,FALSE),"No"))</f>
        <v/>
      </c>
      <c r="BO841">
        <f>IF($E841="","",IFERROR(VLOOKUP($C841,'_CONFIG_Risk_Calibration'!$A$5:$H$21,7,FALSE),1))</f>
        <v/>
      </c>
      <c r="BP841">
        <f>IF($H841="","",MAX(1,MIN(5,((6-$H841)*0.45)+($BJ841*0.20)+('Resilience &amp; Risk Scenario'!$B$7*0.15)+($BK841*0.10)+($BL841*0.05)+(IF($BB841="Fast",5,IF($BB841="Slow",1,3))*0.05))))</f>
        <v/>
      </c>
      <c r="BQ841">
        <f>IF($H841="","",MAX(IF($BN841="Yes",$BO841,1),MIN(5,($U841*0.20)+($V841*0.15)+($W841*0.25)+($X841*0.15)+($BJ841*0.10)+($BM841*0.15))))</f>
        <v/>
      </c>
      <c r="BR841">
        <f>IF(OR($BP841="",$BQ841=""),"",ROUND($BP841*$BQ841,2))</f>
        <v/>
      </c>
      <c r="BS841">
        <f>IF($BR841="","",ROUND($BR841*IF($AO841="",1,$AO841)*IF($AX841="",1,$AX841)*(1+(($BM841-3)*0.10))*IF($BC841="",1,$BC841),2))</f>
        <v/>
      </c>
    </row>
    <row r="842" ht="69.90000000000001" customHeight="1" s="209">
      <c r="A842">
        <f>IF($BD842="","",SUMPRODUCT(ISNUMBER($BD$500:$BD$923)*($BD$500:$BD$923&gt;$BD842))+COUNTIF($BD$500:$BD842,$BD842))</f>
        <v/>
      </c>
      <c r="B842">
        <f>IF($H842="","",IF($H842&lt;5,"Yes","Maintain"))</f>
        <v/>
      </c>
      <c r="C842" t="inlineStr">
        <is>
          <t>Data BI AI</t>
        </is>
      </c>
      <c r="D842" t="inlineStr">
        <is>
          <t>Data governance</t>
        </is>
      </c>
      <c r="E842" t="inlineStr">
        <is>
          <t>DATA-002</t>
        </is>
      </c>
      <c r="F842" t="inlineStr">
        <is>
          <t>Data, BI, analytics and AI governance</t>
        </is>
      </c>
      <c r="G842">
        <f>IF($H842="","",IFERROR(INDEX('_ENGINE_Risk'!$H$41:$M$920,MATCH($E842,'_ENGINE_Risk'!$A$41:$A$920,0),$H842+1),""))</f>
        <v/>
      </c>
      <c r="H842">
        <f>IFERROR(VALUE(INDEX(_DATA_Assessment_Model!$H$5:$H$884,MATCH($E842,_DATA_Assessment_Model!$A$5:$A$884,0))),"")</f>
        <v/>
      </c>
      <c r="I842">
        <f>IF($H842="","",IFERROR(INDEX(_DATA_Assessment_Model!$L$5:$L$884,MATCH($E842,_DATA_Assessment_Model!$A$5:$A$884,0)),IF($H842&lt;=1,"Critical",IF($H842=2,"High",IF($H842=3,"Medium",IF($H842=4,"Low","Resilient"))))))</f>
        <v/>
      </c>
      <c r="J842">
        <f>IF($H842="","",MIN(5,MAX(1,6-$H842)))</f>
        <v/>
      </c>
      <c r="K842">
        <f>IF($H842="","",MAX(1,MIN(5,ROUNDUP(($U842*0.45)+($W842*0.35)+($X842*0.2),0))))</f>
        <v/>
      </c>
      <c r="L842">
        <f>IF($H842="","",$J842*$K842)</f>
        <v/>
      </c>
      <c r="M842">
        <f>IF($H842="","",MAX(1,MIN(5,ROUNDUP($L842/5,0))))</f>
        <v/>
      </c>
      <c r="N842">
        <f>IF($H842="","",IFERROR(INDEX('_ENGINE_Risk'!$T$41:$Y$920,MATCH($E842,'_ENGINE_Risk'!$A$41:$A$920,0),$H842+1),""))</f>
        <v/>
      </c>
      <c r="O842">
        <f>IF($H842="","",MAX(1,MIN(5,($U842+$V842+$X842)/3)))</f>
        <v/>
      </c>
      <c r="P842">
        <f>IF($H842="","",IF($I842="Critical",5,IF($I842="High",4,IF($I842="Medium",3,IF($I842="Low",2,1)))))</f>
        <v/>
      </c>
      <c r="Q842">
        <f>IF($H842="","",MAX(1,MIN(5,((5-$H842)*0.65)+($W842*0.35))))</f>
        <v/>
      </c>
      <c r="R842">
        <f>IF($H842="","",MAX(1,MIN(5,($V842+$X842)/2)))</f>
        <v/>
      </c>
      <c r="S842">
        <f>IF(OR($H842="",$N842=""),"",ROUND(($O842+$P842+$Q842+$R842)/$N842,2))</f>
        <v/>
      </c>
      <c r="T842">
        <f>IF($H842="","",IFERROR(INDEX('_ENGINE_Risk'!$N$41:$S$920,MATCH($E842,'_ENGINE_Risk'!$A$41:$A$920,0),$H842+1),""))</f>
        <v/>
      </c>
      <c r="U842">
        <f>IFERROR(INDEX(_DATA_Assessment_Model!$G$5:$G$884,MATCH($E842,_DATA_Assessment_Model!$A$5:$A$884,0)),"")</f>
        <v/>
      </c>
      <c r="V842">
        <f>IFERROR(INDEX(_DATA_Assessment_Model!$W$5:$W$884,MATCH($E842,_DATA_Assessment_Model!$A$5:$A$884,0)),"")</f>
        <v/>
      </c>
      <c r="W842">
        <f>IFERROR(INDEX(_DATA_Assessment_Model!$X$5:$X$884,MATCH($E842,_DATA_Assessment_Model!$A$5:$A$884,0)),"")</f>
        <v/>
      </c>
      <c r="X842">
        <f>IFERROR(INDEX(_DATA_Assessment_Model!$Y$5:$Y$884,MATCH($E842,_DATA_Assessment_Model!$A$5:$A$884,0)),"")</f>
        <v/>
      </c>
      <c r="Y842" t="inlineStr">
        <is>
          <t>Decision failure; Data loss; Regulatory/legal shock</t>
        </is>
      </c>
      <c r="Z842" t="inlineStr">
        <is>
          <t>CDO / BI / Analytics</t>
        </is>
      </c>
      <c r="AA842" t="inlineStr">
        <is>
          <t>Policy/SOP; owner/RACI; system report; dashboard; contracts; test records; incident history; interview evidence related to data catalog of critical datasets, reports, dashboards, data sources and users.</t>
        </is>
      </c>
      <c r="AB842">
        <f>IFERROR(INDEX(_DATA_Assessment_Model!$U$5:$U$884,MATCH($E842,_DATA_Assessment_Model!$A$5:$A$884,0)),"")</f>
        <v/>
      </c>
      <c r="AF842" t="inlineStr">
        <is>
          <t>How mature is the organization in managing data catalog of critical datasets, reports, dashboards, data sources and users, including ownership, evidence, metrics, fallback procedures and crisis stress testing?</t>
        </is>
      </c>
      <c r="AO842">
        <f>IF($B842="Yes",IFERROR(INDEX(_ENGINE_Crisis!$F$501:$F$517,MATCH($C842,_ENGINE_Crisis!$A$501:$A$517,0)),1),"")</f>
        <v/>
      </c>
      <c r="AP842">
        <f>IF(AO842="","",ROUND($L842*AO842,1))</f>
        <v/>
      </c>
      <c r="AQ842">
        <f>IF(OR(AO842="",$S842=""),"",ROUND($S842*(0.7+0.3*AO842),2))</f>
        <v/>
      </c>
      <c r="AR842">
        <f>IFERROR(INDEX(_ENGINE_Crisis!$E$41:$E$700,MATCH('Resilience &amp; Risk Scenario'!$B$60&amp;"|"&amp;$C842,_ENGINE_Crisis!$I$41:$I$700,0)),"")</f>
        <v/>
      </c>
      <c r="AS842">
        <f>IFERROR(INDEX(_ENGINE_Crisis!$G$41:$G$700,MATCH('Resilience &amp; Risk Scenario'!$B$60&amp;"|"&amp;$C842,_ENGINE_Crisis!$I$41:$I$700,0)),"")</f>
        <v/>
      </c>
      <c r="AT842">
        <f>IFERROR(INDEX(_ENGINE_Initiatives!$A$5:$A$532,MATCH(1,INDEX((_ENGINE_Initiatives!$B$5:$B$532=$C842)*(_ENGINE_Initiatives!$C$5:$C$532=$D842),0),0)),"")</f>
        <v/>
      </c>
      <c r="AU842">
        <f>IFERROR(INDEX(_ENGINE_Initiatives!$F$5:$F$532,MATCH(1,INDEX((_ENGINE_Initiatives!$B$5:$B$532=$C842)*(_ENGINE_Initiatives!$C$5:$C$532=$D842),0),0)),"")</f>
        <v/>
      </c>
      <c r="AV842">
        <f>IFERROR(INDEX(_ENGINE_Initiatives!$AC$5:$AC$532,MATCH(1,INDEX((_ENGINE_Initiatives!$B$5:$B$532=$C842)*(_ENGINE_Initiatives!$C$5:$C$532=$D842),0),0)),"")</f>
        <v/>
      </c>
      <c r="AW842">
        <f>IFERROR(INDEX(_ENGINE_Initiatives!$AE$5:$AE$532,MATCH(1,INDEX((_ENGINE_Initiatives!$B$5:$B$532=$C842)*(_ENGINE_Initiatives!$C$5:$C$532=$D842),0),0)),"")</f>
        <v/>
      </c>
      <c r="AX842">
        <f>IF($B842="Yes",IFERROR(IF(SUMIFS(_REF_Model_Content!$E$1:$E$613,_REF_Model_Content!$A$1:$A$613,'Company Profile'!$B$9,_REF_Model_Content!$B$1:$B$613,$C842)=0,1,SUMIFS(_REF_Model_Content!$E$1:$E$613,_REF_Model_Content!$A$1:$A$613,'Company Profile'!$B$9,_REF_Model_Content!$B$1:$B$613,$C842)),1),"")</f>
        <v/>
      </c>
      <c r="AY842">
        <f>IF($L842="","",ROUND(IF($AP842="",$L842,$AP842)*IF($AX842="",1,$AX842),2))</f>
        <v/>
      </c>
      <c r="AZ842">
        <f>IF($S842="","",ROUND(IF($AQ842="",$S842,$AQ842)*IF($AX842="",1,$AX842),2))</f>
        <v/>
      </c>
      <c r="BB842">
        <f>IF($H842="","",IFERROR(INDEX('_ENGINE_Risk'!$AE$41:$AE$920,MATCH($E842,'_ENGINE_Risk'!$A$41:$A$920,0)),"Medium"))</f>
        <v/>
      </c>
      <c r="BC842">
        <f>IF($BB842="","",IF($BB842="Fast",1.25,IF($BB842="Slow",0.85,1)))</f>
        <v/>
      </c>
      <c r="BD842">
        <f>IF(OR($AZ842="",$BC842=""),"",ROUND($AZ842*$BC842,2))</f>
        <v/>
      </c>
      <c r="BF842">
        <f>IF(OR($H842="",$J842=""),"",_xlfn.IFNA(VLOOKUP($J842,_CONFIG_Model_Settings!$D$610:$E$614,2,0),""))</f>
        <v/>
      </c>
      <c r="BG842">
        <f>IF(OR($H842="",$K842=""),"",ROUND('Company Profile'!$B$569*INDEX(_CONFIG_Model_Settings!$H$610:$H$614,MATCH($K842,_CONFIG_Model_Settings!$G$610:$G$614,0)),0))</f>
        <v/>
      </c>
      <c r="BH842">
        <f>IF(OR($BF842="",$BG842=""),"",ROUND($BF842*$BG842,1))</f>
        <v/>
      </c>
      <c r="BI842">
        <f>IF($BH842="","",IF($AO842="",$BH842,ROUND($BH842*$AO842,1)))</f>
        <v/>
      </c>
      <c r="BJ842">
        <f>IF($E842="","",IFERROR(VLOOKUP($C842,'_CONFIG_Risk_Calibration'!$A$5:$H$21,2,FALSE),3))</f>
        <v/>
      </c>
      <c r="BK842">
        <f>IF($E842="","",IFERROR(VLOOKUP($C842,'_CONFIG_Risk_Calibration'!$A$5:$H$21,3,FALSE),0))</f>
        <v/>
      </c>
      <c r="BL842">
        <f>IF($E842="","",IFERROR(VLOOKUP($C842,'_CONFIG_Risk_Calibration'!$A$5:$H$21,4,FALSE),3))</f>
        <v/>
      </c>
      <c r="BM842">
        <f>IF($E842="","",IFERROR(VLOOKUP($C842,'_CONFIG_Risk_Calibration'!$A$5:$H$21,5,FALSE),3))</f>
        <v/>
      </c>
      <c r="BN842">
        <f>IF($E842="","",IFERROR(VLOOKUP($C842,'_CONFIG_Risk_Calibration'!$A$5:$H$21,6,FALSE),"No"))</f>
        <v/>
      </c>
      <c r="BO842">
        <f>IF($E842="","",IFERROR(VLOOKUP($C842,'_CONFIG_Risk_Calibration'!$A$5:$H$21,7,FALSE),1))</f>
        <v/>
      </c>
      <c r="BP842">
        <f>IF($H842="","",MAX(1,MIN(5,((6-$H842)*0.45)+($BJ842*0.20)+('Resilience &amp; Risk Scenario'!$B$7*0.15)+($BK842*0.10)+($BL842*0.05)+(IF($BB842="Fast",5,IF($BB842="Slow",1,3))*0.05))))</f>
        <v/>
      </c>
      <c r="BQ842">
        <f>IF($H842="","",MAX(IF($BN842="Yes",$BO842,1),MIN(5,($U842*0.20)+($V842*0.15)+($W842*0.25)+($X842*0.15)+($BJ842*0.10)+($BM842*0.15))))</f>
        <v/>
      </c>
      <c r="BR842">
        <f>IF(OR($BP842="",$BQ842=""),"",ROUND($BP842*$BQ842,2))</f>
        <v/>
      </c>
      <c r="BS842">
        <f>IF($BR842="","",ROUND($BR842*IF($AO842="",1,$AO842)*IF($AX842="",1,$AX842)*(1+(($BM842-3)*0.10))*IF($BC842="",1,$BC842),2))</f>
        <v/>
      </c>
    </row>
    <row r="843" ht="69.90000000000001" customHeight="1" s="209">
      <c r="A843">
        <f>IF($BD843="","",SUMPRODUCT(ISNUMBER($BD$500:$BD$923)*($BD$500:$BD$923&gt;$BD843))+COUNTIF($BD$500:$BD843,$BD843))</f>
        <v/>
      </c>
      <c r="B843">
        <f>IF($H843="","",IF($H843&lt;5,"Yes","Maintain"))</f>
        <v/>
      </c>
      <c r="C843" t="inlineStr">
        <is>
          <t>Data BI AI</t>
        </is>
      </c>
      <c r="D843" t="inlineStr">
        <is>
          <t>Data governance</t>
        </is>
      </c>
      <c r="E843" t="inlineStr">
        <is>
          <t>DATA-003</t>
        </is>
      </c>
      <c r="F843" t="inlineStr">
        <is>
          <t>Data, BI, analytics and AI governance</t>
        </is>
      </c>
      <c r="G843">
        <f>IF($H843="","",IFERROR(INDEX('_ENGINE_Risk'!$H$41:$M$920,MATCH($E843,'_ENGINE_Risk'!$A$41:$A$920,0),$H843+1),""))</f>
        <v/>
      </c>
      <c r="H843">
        <f>IFERROR(VALUE(INDEX(_DATA_Assessment_Model!$H$5:$H$884,MATCH($E843,_DATA_Assessment_Model!$A$5:$A$884,0))),"")</f>
        <v/>
      </c>
      <c r="I843">
        <f>IF($H843="","",IFERROR(INDEX(_DATA_Assessment_Model!$L$5:$L$884,MATCH($E843,_DATA_Assessment_Model!$A$5:$A$884,0)),IF($H843&lt;=1,"Critical",IF($H843=2,"High",IF($H843=3,"Medium",IF($H843=4,"Low","Resilient"))))))</f>
        <v/>
      </c>
      <c r="J843">
        <f>IF($H843="","",MIN(5,MAX(1,6-$H843)))</f>
        <v/>
      </c>
      <c r="K843">
        <f>IF($H843="","",MAX(1,MIN(5,ROUNDUP(($U843*0.45)+($W843*0.35)+($X843*0.2),0))))</f>
        <v/>
      </c>
      <c r="L843">
        <f>IF($H843="","",$J843*$K843)</f>
        <v/>
      </c>
      <c r="M843">
        <f>IF($H843="","",MAX(1,MIN(5,ROUNDUP($L843/5,0))))</f>
        <v/>
      </c>
      <c r="N843">
        <f>IF($H843="","",IFERROR(INDEX('_ENGINE_Risk'!$T$41:$Y$920,MATCH($E843,'_ENGINE_Risk'!$A$41:$A$920,0),$H843+1),""))</f>
        <v/>
      </c>
      <c r="O843">
        <f>IF($H843="","",MAX(1,MIN(5,($U843+$V843+$X843)/3)))</f>
        <v/>
      </c>
      <c r="P843">
        <f>IF($H843="","",IF($I843="Critical",5,IF($I843="High",4,IF($I843="Medium",3,IF($I843="Low",2,1)))))</f>
        <v/>
      </c>
      <c r="Q843">
        <f>IF($H843="","",MAX(1,MIN(5,((5-$H843)*0.65)+($W843*0.35))))</f>
        <v/>
      </c>
      <c r="R843">
        <f>IF($H843="","",MAX(1,MIN(5,($V843+$X843)/2)))</f>
        <v/>
      </c>
      <c r="S843">
        <f>IF(OR($H843="",$N843=""),"",ROUND(($O843+$P843+$Q843+$R843)/$N843,2))</f>
        <v/>
      </c>
      <c r="T843">
        <f>IF($H843="","",IFERROR(INDEX('_ENGINE_Risk'!$N$41:$S$920,MATCH($E843,'_ENGINE_Risk'!$A$41:$A$920,0),$H843+1),""))</f>
        <v/>
      </c>
      <c r="U843">
        <f>IFERROR(INDEX(_DATA_Assessment_Model!$G$5:$G$884,MATCH($E843,_DATA_Assessment_Model!$A$5:$A$884,0)),"")</f>
        <v/>
      </c>
      <c r="V843">
        <f>IFERROR(INDEX(_DATA_Assessment_Model!$W$5:$W$884,MATCH($E843,_DATA_Assessment_Model!$A$5:$A$884,0)),"")</f>
        <v/>
      </c>
      <c r="W843">
        <f>IFERROR(INDEX(_DATA_Assessment_Model!$X$5:$X$884,MATCH($E843,_DATA_Assessment_Model!$A$5:$A$884,0)),"")</f>
        <v/>
      </c>
      <c r="X843">
        <f>IFERROR(INDEX(_DATA_Assessment_Model!$Y$5:$Y$884,MATCH($E843,_DATA_Assessment_Model!$A$5:$A$884,0)),"")</f>
        <v/>
      </c>
      <c r="Y843" t="inlineStr">
        <is>
          <t>Decision failure; Data loss; Regulatory/legal shock</t>
        </is>
      </c>
      <c r="Z843" t="inlineStr">
        <is>
          <t>CDO / BI / Analytics</t>
        </is>
      </c>
      <c r="AA843" t="inlineStr">
        <is>
          <t>Policy/SOP; owner/RACI; system report; dashboard; contracts; test records; incident history; interview evidence related to consistent metric definitions across finance, sales, operations, HR, supply chain and manufacturing.</t>
        </is>
      </c>
      <c r="AB843">
        <f>IFERROR(INDEX(_DATA_Assessment_Model!$U$5:$U$884,MATCH($E843,_DATA_Assessment_Model!$A$5:$A$884,0)),"")</f>
        <v/>
      </c>
      <c r="AF843" t="inlineStr">
        <is>
          <t>How mature is the organization in managing consistent metric definitions across finance, sales, operations, HR, supply chain and manufacturing, including ownership, evidence, metrics, fallback procedures and crisis stress testing?</t>
        </is>
      </c>
      <c r="AO843">
        <f>IF($B843="Yes",IFERROR(INDEX(_ENGINE_Crisis!$F$501:$F$517,MATCH($C843,_ENGINE_Crisis!$A$501:$A$517,0)),1),"")</f>
        <v/>
      </c>
      <c r="AP843">
        <f>IF(AO843="","",ROUND($L843*AO843,1))</f>
        <v/>
      </c>
      <c r="AQ843">
        <f>IF(OR(AO843="",$S843=""),"",ROUND($S843*(0.7+0.3*AO843),2))</f>
        <v/>
      </c>
      <c r="AR843">
        <f>IFERROR(INDEX(_ENGINE_Crisis!$E$41:$E$700,MATCH('Resilience &amp; Risk Scenario'!$B$60&amp;"|"&amp;$C843,_ENGINE_Crisis!$I$41:$I$700,0)),"")</f>
        <v/>
      </c>
      <c r="AS843">
        <f>IFERROR(INDEX(_ENGINE_Crisis!$G$41:$G$700,MATCH('Resilience &amp; Risk Scenario'!$B$60&amp;"|"&amp;$C843,_ENGINE_Crisis!$I$41:$I$700,0)),"")</f>
        <v/>
      </c>
      <c r="AT843">
        <f>IFERROR(INDEX(_ENGINE_Initiatives!$A$5:$A$532,MATCH(1,INDEX((_ENGINE_Initiatives!$B$5:$B$532=$C843)*(_ENGINE_Initiatives!$C$5:$C$532=$D843),0),0)),"")</f>
        <v/>
      </c>
      <c r="AU843">
        <f>IFERROR(INDEX(_ENGINE_Initiatives!$F$5:$F$532,MATCH(1,INDEX((_ENGINE_Initiatives!$B$5:$B$532=$C843)*(_ENGINE_Initiatives!$C$5:$C$532=$D843),0),0)),"")</f>
        <v/>
      </c>
      <c r="AV843">
        <f>IFERROR(INDEX(_ENGINE_Initiatives!$AC$5:$AC$532,MATCH(1,INDEX((_ENGINE_Initiatives!$B$5:$B$532=$C843)*(_ENGINE_Initiatives!$C$5:$C$532=$D843),0),0)),"")</f>
        <v/>
      </c>
      <c r="AW843">
        <f>IFERROR(INDEX(_ENGINE_Initiatives!$AE$5:$AE$532,MATCH(1,INDEX((_ENGINE_Initiatives!$B$5:$B$532=$C843)*(_ENGINE_Initiatives!$C$5:$C$532=$D843),0),0)),"")</f>
        <v/>
      </c>
      <c r="AX843">
        <f>IF($B843="Yes",IFERROR(IF(SUMIFS(_REF_Model_Content!$E$1:$E$613,_REF_Model_Content!$A$1:$A$613,'Company Profile'!$B$9,_REF_Model_Content!$B$1:$B$613,$C843)=0,1,SUMIFS(_REF_Model_Content!$E$1:$E$613,_REF_Model_Content!$A$1:$A$613,'Company Profile'!$B$9,_REF_Model_Content!$B$1:$B$613,$C843)),1),"")</f>
        <v/>
      </c>
      <c r="AY843">
        <f>IF($L843="","",ROUND(IF($AP843="",$L843,$AP843)*IF($AX843="",1,$AX843),2))</f>
        <v/>
      </c>
      <c r="AZ843">
        <f>IF($S843="","",ROUND(IF($AQ843="",$S843,$AQ843)*IF($AX843="",1,$AX843),2))</f>
        <v/>
      </c>
      <c r="BB843">
        <f>IF($H843="","",IFERROR(INDEX('_ENGINE_Risk'!$AE$41:$AE$920,MATCH($E843,'_ENGINE_Risk'!$A$41:$A$920,0)),"Medium"))</f>
        <v/>
      </c>
      <c r="BC843">
        <f>IF($BB843="","",IF($BB843="Fast",1.25,IF($BB843="Slow",0.85,1)))</f>
        <v/>
      </c>
      <c r="BD843">
        <f>IF(OR($AZ843="",$BC843=""),"",ROUND($AZ843*$BC843,2))</f>
        <v/>
      </c>
      <c r="BF843">
        <f>IF(OR($H843="",$J843=""),"",_xlfn.IFNA(VLOOKUP($J843,_CONFIG_Model_Settings!$D$610:$E$614,2,0),""))</f>
        <v/>
      </c>
      <c r="BG843">
        <f>IF(OR($H843="",$K843=""),"",ROUND('Company Profile'!$B$569*INDEX(_CONFIG_Model_Settings!$H$610:$H$614,MATCH($K843,_CONFIG_Model_Settings!$G$610:$G$614,0)),0))</f>
        <v/>
      </c>
      <c r="BH843">
        <f>IF(OR($BF843="",$BG843=""),"",ROUND($BF843*$BG843,1))</f>
        <v/>
      </c>
      <c r="BI843">
        <f>IF($BH843="","",IF($AO843="",$BH843,ROUND($BH843*$AO843,1)))</f>
        <v/>
      </c>
      <c r="BJ843">
        <f>IF($E843="","",IFERROR(VLOOKUP($C843,'_CONFIG_Risk_Calibration'!$A$5:$H$21,2,FALSE),3))</f>
        <v/>
      </c>
      <c r="BK843">
        <f>IF($E843="","",IFERROR(VLOOKUP($C843,'_CONFIG_Risk_Calibration'!$A$5:$H$21,3,FALSE),0))</f>
        <v/>
      </c>
      <c r="BL843">
        <f>IF($E843="","",IFERROR(VLOOKUP($C843,'_CONFIG_Risk_Calibration'!$A$5:$H$21,4,FALSE),3))</f>
        <v/>
      </c>
      <c r="BM843">
        <f>IF($E843="","",IFERROR(VLOOKUP($C843,'_CONFIG_Risk_Calibration'!$A$5:$H$21,5,FALSE),3))</f>
        <v/>
      </c>
      <c r="BN843">
        <f>IF($E843="","",IFERROR(VLOOKUP($C843,'_CONFIG_Risk_Calibration'!$A$5:$H$21,6,FALSE),"No"))</f>
        <v/>
      </c>
      <c r="BO843">
        <f>IF($E843="","",IFERROR(VLOOKUP($C843,'_CONFIG_Risk_Calibration'!$A$5:$H$21,7,FALSE),1))</f>
        <v/>
      </c>
      <c r="BP843">
        <f>IF($H843="","",MAX(1,MIN(5,((6-$H843)*0.45)+($BJ843*0.20)+('Resilience &amp; Risk Scenario'!$B$7*0.15)+($BK843*0.10)+($BL843*0.05)+(IF($BB843="Fast",5,IF($BB843="Slow",1,3))*0.05))))</f>
        <v/>
      </c>
      <c r="BQ843">
        <f>IF($H843="","",MAX(IF($BN843="Yes",$BO843,1),MIN(5,($U843*0.20)+($V843*0.15)+($W843*0.25)+($X843*0.15)+($BJ843*0.10)+($BM843*0.15))))</f>
        <v/>
      </c>
      <c r="BR843">
        <f>IF(OR($BP843="",$BQ843=""),"",ROUND($BP843*$BQ843,2))</f>
        <v/>
      </c>
      <c r="BS843">
        <f>IF($BR843="","",ROUND($BR843*IF($AO843="",1,$AO843)*IF($AX843="",1,$AX843)*(1+(($BM843-3)*0.10))*IF($BC843="",1,$BC843),2))</f>
        <v/>
      </c>
    </row>
    <row r="844" ht="69.90000000000001" customHeight="1" s="209">
      <c r="A844">
        <f>IF($BD844="","",SUMPRODUCT(ISNUMBER($BD$500:$BD$923)*($BD$500:$BD$923&gt;$BD844))+COUNTIF($BD$500:$BD844,$BD844))</f>
        <v/>
      </c>
      <c r="B844">
        <f>IF($H844="","",IF($H844&lt;5,"Yes","Maintain"))</f>
        <v/>
      </c>
      <c r="C844" t="inlineStr">
        <is>
          <t>Data BI AI</t>
        </is>
      </c>
      <c r="D844" t="inlineStr">
        <is>
          <t>Data governance</t>
        </is>
      </c>
      <c r="E844" t="inlineStr">
        <is>
          <t>DATA-004</t>
        </is>
      </c>
      <c r="F844" t="inlineStr">
        <is>
          <t>Data, BI, analytics and AI governance</t>
        </is>
      </c>
      <c r="G844">
        <f>IF($H844="","",IFERROR(INDEX('_ENGINE_Risk'!$H$41:$M$920,MATCH($E844,'_ENGINE_Risk'!$A$41:$A$920,0),$H844+1),""))</f>
        <v/>
      </c>
      <c r="H844">
        <f>IFERROR(VALUE(INDEX(_DATA_Assessment_Model!$H$5:$H$884,MATCH($E844,_DATA_Assessment_Model!$A$5:$A$884,0))),"")</f>
        <v/>
      </c>
      <c r="I844">
        <f>IF($H844="","",IFERROR(INDEX(_DATA_Assessment_Model!$L$5:$L$884,MATCH($E844,_DATA_Assessment_Model!$A$5:$A$884,0)),IF($H844&lt;=1,"Critical",IF($H844=2,"High",IF($H844=3,"Medium",IF($H844=4,"Low","Resilient"))))))</f>
        <v/>
      </c>
      <c r="J844">
        <f>IF($H844="","",MIN(5,MAX(1,6-$H844)))</f>
        <v/>
      </c>
      <c r="K844">
        <f>IF($H844="","",MAX(1,MIN(5,ROUNDUP(($U844*0.45)+($W844*0.35)+($X844*0.2),0))))</f>
        <v/>
      </c>
      <c r="L844">
        <f>IF($H844="","",$J844*$K844)</f>
        <v/>
      </c>
      <c r="M844">
        <f>IF($H844="","",MAX(1,MIN(5,ROUNDUP($L844/5,0))))</f>
        <v/>
      </c>
      <c r="N844">
        <f>IF($H844="","",IFERROR(INDEX('_ENGINE_Risk'!$T$41:$Y$920,MATCH($E844,'_ENGINE_Risk'!$A$41:$A$920,0),$H844+1),""))</f>
        <v/>
      </c>
      <c r="O844">
        <f>IF($H844="","",MAX(1,MIN(5,($U844+$V844+$X844)/3)))</f>
        <v/>
      </c>
      <c r="P844">
        <f>IF($H844="","",IF($I844="Critical",5,IF($I844="High",4,IF($I844="Medium",3,IF($I844="Low",2,1)))))</f>
        <v/>
      </c>
      <c r="Q844">
        <f>IF($H844="","",MAX(1,MIN(5,((5-$H844)*0.65)+($W844*0.35))))</f>
        <v/>
      </c>
      <c r="R844">
        <f>IF($H844="","",MAX(1,MIN(5,($V844+$X844)/2)))</f>
        <v/>
      </c>
      <c r="S844">
        <f>IF(OR($H844="",$N844=""),"",ROUND(($O844+$P844+$Q844+$R844)/$N844,2))</f>
        <v/>
      </c>
      <c r="T844">
        <f>IF($H844="","",IFERROR(INDEX('_ENGINE_Risk'!$N$41:$S$920,MATCH($E844,'_ENGINE_Risk'!$A$41:$A$920,0),$H844+1),""))</f>
        <v/>
      </c>
      <c r="U844">
        <f>IFERROR(INDEX(_DATA_Assessment_Model!$G$5:$G$884,MATCH($E844,_DATA_Assessment_Model!$A$5:$A$884,0)),"")</f>
        <v/>
      </c>
      <c r="V844">
        <f>IFERROR(INDEX(_DATA_Assessment_Model!$W$5:$W$884,MATCH($E844,_DATA_Assessment_Model!$A$5:$A$884,0)),"")</f>
        <v/>
      </c>
      <c r="W844">
        <f>IFERROR(INDEX(_DATA_Assessment_Model!$X$5:$X$884,MATCH($E844,_DATA_Assessment_Model!$A$5:$A$884,0)),"")</f>
        <v/>
      </c>
      <c r="X844">
        <f>IFERROR(INDEX(_DATA_Assessment_Model!$Y$5:$Y$884,MATCH($E844,_DATA_Assessment_Model!$A$5:$A$884,0)),"")</f>
        <v/>
      </c>
      <c r="Y844" t="inlineStr">
        <is>
          <t>Decision failure; Data loss; Regulatory/legal shock</t>
        </is>
      </c>
      <c r="Z844" t="inlineStr">
        <is>
          <t>CDO / BI / Analytics</t>
        </is>
      </c>
      <c r="AA844" t="inlineStr">
        <is>
          <t>Policy/SOP; owner/RACI; system report; dashboard; contracts; test records; incident history; interview evidence related to data quality rules, monitoring and issue resolution process.</t>
        </is>
      </c>
      <c r="AB844">
        <f>IFERROR(INDEX(_DATA_Assessment_Model!$U$5:$U$884,MATCH($E844,_DATA_Assessment_Model!$A$5:$A$884,0)),"")</f>
        <v/>
      </c>
      <c r="AF844" t="inlineStr">
        <is>
          <t>How mature is the organization in managing data quality rules, monitoring and issue resolution process, including ownership, evidence, metrics, fallback procedures and crisis stress testing?</t>
        </is>
      </c>
      <c r="AO844">
        <f>IF($B844="Yes",IFERROR(INDEX(_ENGINE_Crisis!$F$501:$F$517,MATCH($C844,_ENGINE_Crisis!$A$501:$A$517,0)),1),"")</f>
        <v/>
      </c>
      <c r="AP844">
        <f>IF(AO844="","",ROUND($L844*AO844,1))</f>
        <v/>
      </c>
      <c r="AQ844">
        <f>IF(OR(AO844="",$S844=""),"",ROUND($S844*(0.7+0.3*AO844),2))</f>
        <v/>
      </c>
      <c r="AR844">
        <f>IFERROR(INDEX(_ENGINE_Crisis!$E$41:$E$700,MATCH('Resilience &amp; Risk Scenario'!$B$60&amp;"|"&amp;$C844,_ENGINE_Crisis!$I$41:$I$700,0)),"")</f>
        <v/>
      </c>
      <c r="AS844">
        <f>IFERROR(INDEX(_ENGINE_Crisis!$G$41:$G$700,MATCH('Resilience &amp; Risk Scenario'!$B$60&amp;"|"&amp;$C844,_ENGINE_Crisis!$I$41:$I$700,0)),"")</f>
        <v/>
      </c>
      <c r="AT844">
        <f>IFERROR(INDEX(_ENGINE_Initiatives!$A$5:$A$532,MATCH(1,INDEX((_ENGINE_Initiatives!$B$5:$B$532=$C844)*(_ENGINE_Initiatives!$C$5:$C$532=$D844),0),0)),"")</f>
        <v/>
      </c>
      <c r="AU844">
        <f>IFERROR(INDEX(_ENGINE_Initiatives!$F$5:$F$532,MATCH(1,INDEX((_ENGINE_Initiatives!$B$5:$B$532=$C844)*(_ENGINE_Initiatives!$C$5:$C$532=$D844),0),0)),"")</f>
        <v/>
      </c>
      <c r="AV844">
        <f>IFERROR(INDEX(_ENGINE_Initiatives!$AC$5:$AC$532,MATCH(1,INDEX((_ENGINE_Initiatives!$B$5:$B$532=$C844)*(_ENGINE_Initiatives!$C$5:$C$532=$D844),0),0)),"")</f>
        <v/>
      </c>
      <c r="AW844">
        <f>IFERROR(INDEX(_ENGINE_Initiatives!$AE$5:$AE$532,MATCH(1,INDEX((_ENGINE_Initiatives!$B$5:$B$532=$C844)*(_ENGINE_Initiatives!$C$5:$C$532=$D844),0),0)),"")</f>
        <v/>
      </c>
      <c r="AX844">
        <f>IF($B844="Yes",IFERROR(IF(SUMIFS(_REF_Model_Content!$E$1:$E$613,_REF_Model_Content!$A$1:$A$613,'Company Profile'!$B$9,_REF_Model_Content!$B$1:$B$613,$C844)=0,1,SUMIFS(_REF_Model_Content!$E$1:$E$613,_REF_Model_Content!$A$1:$A$613,'Company Profile'!$B$9,_REF_Model_Content!$B$1:$B$613,$C844)),1),"")</f>
        <v/>
      </c>
      <c r="AY844">
        <f>IF($L844="","",ROUND(IF($AP844="",$L844,$AP844)*IF($AX844="",1,$AX844),2))</f>
        <v/>
      </c>
      <c r="AZ844">
        <f>IF($S844="","",ROUND(IF($AQ844="",$S844,$AQ844)*IF($AX844="",1,$AX844),2))</f>
        <v/>
      </c>
      <c r="BB844">
        <f>IF($H844="","",IFERROR(INDEX('_ENGINE_Risk'!$AE$41:$AE$920,MATCH($E844,'_ENGINE_Risk'!$A$41:$A$920,0)),"Medium"))</f>
        <v/>
      </c>
      <c r="BC844">
        <f>IF($BB844="","",IF($BB844="Fast",1.25,IF($BB844="Slow",0.85,1)))</f>
        <v/>
      </c>
      <c r="BD844">
        <f>IF(OR($AZ844="",$BC844=""),"",ROUND($AZ844*$BC844,2))</f>
        <v/>
      </c>
      <c r="BF844">
        <f>IF(OR($H844="",$J844=""),"",_xlfn.IFNA(VLOOKUP($J844,_CONFIG_Model_Settings!$D$610:$E$614,2,0),""))</f>
        <v/>
      </c>
      <c r="BG844">
        <f>IF(OR($H844="",$K844=""),"",ROUND('Company Profile'!$B$569*INDEX(_CONFIG_Model_Settings!$H$610:$H$614,MATCH($K844,_CONFIG_Model_Settings!$G$610:$G$614,0)),0))</f>
        <v/>
      </c>
      <c r="BH844">
        <f>IF(OR($BF844="",$BG844=""),"",ROUND($BF844*$BG844,1))</f>
        <v/>
      </c>
      <c r="BI844">
        <f>IF($BH844="","",IF($AO844="",$BH844,ROUND($BH844*$AO844,1)))</f>
        <v/>
      </c>
      <c r="BJ844">
        <f>IF($E844="","",IFERROR(VLOOKUP($C844,'_CONFIG_Risk_Calibration'!$A$5:$H$21,2,FALSE),3))</f>
        <v/>
      </c>
      <c r="BK844">
        <f>IF($E844="","",IFERROR(VLOOKUP($C844,'_CONFIG_Risk_Calibration'!$A$5:$H$21,3,FALSE),0))</f>
        <v/>
      </c>
      <c r="BL844">
        <f>IF($E844="","",IFERROR(VLOOKUP($C844,'_CONFIG_Risk_Calibration'!$A$5:$H$21,4,FALSE),3))</f>
        <v/>
      </c>
      <c r="BM844">
        <f>IF($E844="","",IFERROR(VLOOKUP($C844,'_CONFIG_Risk_Calibration'!$A$5:$H$21,5,FALSE),3))</f>
        <v/>
      </c>
      <c r="BN844">
        <f>IF($E844="","",IFERROR(VLOOKUP($C844,'_CONFIG_Risk_Calibration'!$A$5:$H$21,6,FALSE),"No"))</f>
        <v/>
      </c>
      <c r="BO844">
        <f>IF($E844="","",IFERROR(VLOOKUP($C844,'_CONFIG_Risk_Calibration'!$A$5:$H$21,7,FALSE),1))</f>
        <v/>
      </c>
      <c r="BP844">
        <f>IF($H844="","",MAX(1,MIN(5,((6-$H844)*0.45)+($BJ844*0.20)+('Resilience &amp; Risk Scenario'!$B$7*0.15)+($BK844*0.10)+($BL844*0.05)+(IF($BB844="Fast",5,IF($BB844="Slow",1,3))*0.05))))</f>
        <v/>
      </c>
      <c r="BQ844">
        <f>IF($H844="","",MAX(IF($BN844="Yes",$BO844,1),MIN(5,($U844*0.20)+($V844*0.15)+($W844*0.25)+($X844*0.15)+($BJ844*0.10)+($BM844*0.15))))</f>
        <v/>
      </c>
      <c r="BR844">
        <f>IF(OR($BP844="",$BQ844=""),"",ROUND($BP844*$BQ844,2))</f>
        <v/>
      </c>
      <c r="BS844">
        <f>IF($BR844="","",ROUND($BR844*IF($AO844="",1,$AO844)*IF($AX844="",1,$AX844)*(1+(($BM844-3)*0.10))*IF($BC844="",1,$BC844),2))</f>
        <v/>
      </c>
    </row>
    <row r="845" ht="69.90000000000001" customHeight="1" s="209">
      <c r="A845">
        <f>IF($BD845="","",SUMPRODUCT(ISNUMBER($BD$500:$BD$923)*($BD$500:$BD$923&gt;$BD845))+COUNTIF($BD$500:$BD845,$BD845))</f>
        <v/>
      </c>
      <c r="B845">
        <f>IF($H845="","",IF($H845&lt;5,"Yes","Maintain"))</f>
        <v/>
      </c>
      <c r="C845" t="inlineStr">
        <is>
          <t>Data BI AI</t>
        </is>
      </c>
      <c r="D845" t="inlineStr">
        <is>
          <t>Data governance</t>
        </is>
      </c>
      <c r="E845" t="inlineStr">
        <is>
          <t>DATA-005</t>
        </is>
      </c>
      <c r="F845" t="inlineStr">
        <is>
          <t>Data, BI, analytics and AI governance</t>
        </is>
      </c>
      <c r="G845">
        <f>IF($H845="","",IFERROR(INDEX('_ENGINE_Risk'!$H$41:$M$920,MATCH($E845,'_ENGINE_Risk'!$A$41:$A$920,0),$H845+1),""))</f>
        <v/>
      </c>
      <c r="H845">
        <f>IFERROR(VALUE(INDEX(_DATA_Assessment_Model!$H$5:$H$884,MATCH($E845,_DATA_Assessment_Model!$A$5:$A$884,0))),"")</f>
        <v/>
      </c>
      <c r="I845">
        <f>IF($H845="","",IFERROR(INDEX(_DATA_Assessment_Model!$L$5:$L$884,MATCH($E845,_DATA_Assessment_Model!$A$5:$A$884,0)),IF($H845&lt;=1,"Critical",IF($H845=2,"High",IF($H845=3,"Medium",IF($H845=4,"Low","Resilient"))))))</f>
        <v/>
      </c>
      <c r="J845">
        <f>IF($H845="","",MIN(5,MAX(1,6-$H845)))</f>
        <v/>
      </c>
      <c r="K845">
        <f>IF($H845="","",MAX(1,MIN(5,ROUNDUP(($U845*0.45)+($W845*0.35)+($X845*0.2),0))))</f>
        <v/>
      </c>
      <c r="L845">
        <f>IF($H845="","",$J845*$K845)</f>
        <v/>
      </c>
      <c r="M845">
        <f>IF($H845="","",MAX(1,MIN(5,ROUNDUP($L845/5,0))))</f>
        <v/>
      </c>
      <c r="N845">
        <f>IF($H845="","",IFERROR(INDEX('_ENGINE_Risk'!$T$41:$Y$920,MATCH($E845,'_ENGINE_Risk'!$A$41:$A$920,0),$H845+1),""))</f>
        <v/>
      </c>
      <c r="O845">
        <f>IF($H845="","",MAX(1,MIN(5,($U845+$V845+$X845)/3)))</f>
        <v/>
      </c>
      <c r="P845">
        <f>IF($H845="","",IF($I845="Critical",5,IF($I845="High",4,IF($I845="Medium",3,IF($I845="Low",2,1)))))</f>
        <v/>
      </c>
      <c r="Q845">
        <f>IF($H845="","",MAX(1,MIN(5,((5-$H845)*0.65)+($W845*0.35))))</f>
        <v/>
      </c>
      <c r="R845">
        <f>IF($H845="","",MAX(1,MIN(5,($V845+$X845)/2)))</f>
        <v/>
      </c>
      <c r="S845">
        <f>IF(OR($H845="",$N845=""),"",ROUND(($O845+$P845+$Q845+$R845)/$N845,2))</f>
        <v/>
      </c>
      <c r="T845">
        <f>IF($H845="","",IFERROR(INDEX('_ENGINE_Risk'!$N$41:$S$920,MATCH($E845,'_ENGINE_Risk'!$A$41:$A$920,0),$H845+1),""))</f>
        <v/>
      </c>
      <c r="U845">
        <f>IFERROR(INDEX(_DATA_Assessment_Model!$G$5:$G$884,MATCH($E845,_DATA_Assessment_Model!$A$5:$A$884,0)),"")</f>
        <v/>
      </c>
      <c r="V845">
        <f>IFERROR(INDEX(_DATA_Assessment_Model!$W$5:$W$884,MATCH($E845,_DATA_Assessment_Model!$A$5:$A$884,0)),"")</f>
        <v/>
      </c>
      <c r="W845">
        <f>IFERROR(INDEX(_DATA_Assessment_Model!$X$5:$X$884,MATCH($E845,_DATA_Assessment_Model!$A$5:$A$884,0)),"")</f>
        <v/>
      </c>
      <c r="X845">
        <f>IFERROR(INDEX(_DATA_Assessment_Model!$Y$5:$Y$884,MATCH($E845,_DATA_Assessment_Model!$A$5:$A$884,0)),"")</f>
        <v/>
      </c>
      <c r="Y845" t="inlineStr">
        <is>
          <t>Decision failure; Data loss; Regulatory/legal shock</t>
        </is>
      </c>
      <c r="Z845" t="inlineStr">
        <is>
          <t>CDO / BI / Analytics</t>
        </is>
      </c>
      <c r="AA845" t="inlineStr">
        <is>
          <t>Policy/SOP; owner/RACI; system report; dashboard; contracts; test records; incident history; interview evidence related to data classification by sensitivity, business criticality, privacy and retention requirement.</t>
        </is>
      </c>
      <c r="AB845">
        <f>IFERROR(INDEX(_DATA_Assessment_Model!$U$5:$U$884,MATCH($E845,_DATA_Assessment_Model!$A$5:$A$884,0)),"")</f>
        <v/>
      </c>
      <c r="AF845" t="inlineStr">
        <is>
          <t>How mature is the organization in managing data classification by sensitivity, business criticality, privacy and retention requirement, including ownership, evidence, metrics, fallback procedures and crisis stress testing?</t>
        </is>
      </c>
      <c r="AO845">
        <f>IF($B845="Yes",IFERROR(INDEX(_ENGINE_Crisis!$F$501:$F$517,MATCH($C845,_ENGINE_Crisis!$A$501:$A$517,0)),1),"")</f>
        <v/>
      </c>
      <c r="AP845">
        <f>IF(AO845="","",ROUND($L845*AO845,1))</f>
        <v/>
      </c>
      <c r="AQ845">
        <f>IF(OR(AO845="",$S845=""),"",ROUND($S845*(0.7+0.3*AO845),2))</f>
        <v/>
      </c>
      <c r="AR845">
        <f>IFERROR(INDEX(_ENGINE_Crisis!$E$41:$E$700,MATCH('Resilience &amp; Risk Scenario'!$B$60&amp;"|"&amp;$C845,_ENGINE_Crisis!$I$41:$I$700,0)),"")</f>
        <v/>
      </c>
      <c r="AS845">
        <f>IFERROR(INDEX(_ENGINE_Crisis!$G$41:$G$700,MATCH('Resilience &amp; Risk Scenario'!$B$60&amp;"|"&amp;$C845,_ENGINE_Crisis!$I$41:$I$700,0)),"")</f>
        <v/>
      </c>
      <c r="AT845">
        <f>IFERROR(INDEX(_ENGINE_Initiatives!$A$5:$A$532,MATCH(1,INDEX((_ENGINE_Initiatives!$B$5:$B$532=$C845)*(_ENGINE_Initiatives!$C$5:$C$532=$D845),0),0)),"")</f>
        <v/>
      </c>
      <c r="AU845">
        <f>IFERROR(INDEX(_ENGINE_Initiatives!$F$5:$F$532,MATCH(1,INDEX((_ENGINE_Initiatives!$B$5:$B$532=$C845)*(_ENGINE_Initiatives!$C$5:$C$532=$D845),0),0)),"")</f>
        <v/>
      </c>
      <c r="AV845">
        <f>IFERROR(INDEX(_ENGINE_Initiatives!$AC$5:$AC$532,MATCH(1,INDEX((_ENGINE_Initiatives!$B$5:$B$532=$C845)*(_ENGINE_Initiatives!$C$5:$C$532=$D845),0),0)),"")</f>
        <v/>
      </c>
      <c r="AW845">
        <f>IFERROR(INDEX(_ENGINE_Initiatives!$AE$5:$AE$532,MATCH(1,INDEX((_ENGINE_Initiatives!$B$5:$B$532=$C845)*(_ENGINE_Initiatives!$C$5:$C$532=$D845),0),0)),"")</f>
        <v/>
      </c>
      <c r="AX845">
        <f>IF($B845="Yes",IFERROR(IF(SUMIFS(_REF_Model_Content!$E$1:$E$613,_REF_Model_Content!$A$1:$A$613,'Company Profile'!$B$9,_REF_Model_Content!$B$1:$B$613,$C845)=0,1,SUMIFS(_REF_Model_Content!$E$1:$E$613,_REF_Model_Content!$A$1:$A$613,'Company Profile'!$B$9,_REF_Model_Content!$B$1:$B$613,$C845)),1),"")</f>
        <v/>
      </c>
      <c r="AY845">
        <f>IF($L845="","",ROUND(IF($AP845="",$L845,$AP845)*IF($AX845="",1,$AX845),2))</f>
        <v/>
      </c>
      <c r="AZ845">
        <f>IF($S845="","",ROUND(IF($AQ845="",$S845,$AQ845)*IF($AX845="",1,$AX845),2))</f>
        <v/>
      </c>
      <c r="BB845">
        <f>IF($H845="","",IFERROR(INDEX('_ENGINE_Risk'!$AE$41:$AE$920,MATCH($E845,'_ENGINE_Risk'!$A$41:$A$920,0)),"Medium"))</f>
        <v/>
      </c>
      <c r="BC845">
        <f>IF($BB845="","",IF($BB845="Fast",1.25,IF($BB845="Slow",0.85,1)))</f>
        <v/>
      </c>
      <c r="BD845">
        <f>IF(OR($AZ845="",$BC845=""),"",ROUND($AZ845*$BC845,2))</f>
        <v/>
      </c>
      <c r="BF845">
        <f>IF(OR($H845="",$J845=""),"",_xlfn.IFNA(VLOOKUP($J845,_CONFIG_Model_Settings!$D$610:$E$614,2,0),""))</f>
        <v/>
      </c>
      <c r="BG845">
        <f>IF(OR($H845="",$K845=""),"",ROUND('Company Profile'!$B$569*INDEX(_CONFIG_Model_Settings!$H$610:$H$614,MATCH($K845,_CONFIG_Model_Settings!$G$610:$G$614,0)),0))</f>
        <v/>
      </c>
      <c r="BH845">
        <f>IF(OR($BF845="",$BG845=""),"",ROUND($BF845*$BG845,1))</f>
        <v/>
      </c>
      <c r="BI845">
        <f>IF($BH845="","",IF($AO845="",$BH845,ROUND($BH845*$AO845,1)))</f>
        <v/>
      </c>
      <c r="BJ845">
        <f>IF($E845="","",IFERROR(VLOOKUP($C845,'_CONFIG_Risk_Calibration'!$A$5:$H$21,2,FALSE),3))</f>
        <v/>
      </c>
      <c r="BK845">
        <f>IF($E845="","",IFERROR(VLOOKUP($C845,'_CONFIG_Risk_Calibration'!$A$5:$H$21,3,FALSE),0))</f>
        <v/>
      </c>
      <c r="BL845">
        <f>IF($E845="","",IFERROR(VLOOKUP($C845,'_CONFIG_Risk_Calibration'!$A$5:$H$21,4,FALSE),3))</f>
        <v/>
      </c>
      <c r="BM845">
        <f>IF($E845="","",IFERROR(VLOOKUP($C845,'_CONFIG_Risk_Calibration'!$A$5:$H$21,5,FALSE),3))</f>
        <v/>
      </c>
      <c r="BN845">
        <f>IF($E845="","",IFERROR(VLOOKUP($C845,'_CONFIG_Risk_Calibration'!$A$5:$H$21,6,FALSE),"No"))</f>
        <v/>
      </c>
      <c r="BO845">
        <f>IF($E845="","",IFERROR(VLOOKUP($C845,'_CONFIG_Risk_Calibration'!$A$5:$H$21,7,FALSE),1))</f>
        <v/>
      </c>
      <c r="BP845">
        <f>IF($H845="","",MAX(1,MIN(5,((6-$H845)*0.45)+($BJ845*0.20)+('Resilience &amp; Risk Scenario'!$B$7*0.15)+($BK845*0.10)+($BL845*0.05)+(IF($BB845="Fast",5,IF($BB845="Slow",1,3))*0.05))))</f>
        <v/>
      </c>
      <c r="BQ845">
        <f>IF($H845="","",MAX(IF($BN845="Yes",$BO845,1),MIN(5,($U845*0.20)+($V845*0.15)+($W845*0.25)+($X845*0.15)+($BJ845*0.10)+($BM845*0.15))))</f>
        <v/>
      </c>
      <c r="BR845">
        <f>IF(OR($BP845="",$BQ845=""),"",ROUND($BP845*$BQ845,2))</f>
        <v/>
      </c>
      <c r="BS845">
        <f>IF($BR845="","",ROUND($BR845*IF($AO845="",1,$AO845)*IF($AX845="",1,$AX845)*(1+(($BM845-3)*0.10))*IF($BC845="",1,$BC845),2))</f>
        <v/>
      </c>
    </row>
    <row r="846" ht="69.90000000000001" customHeight="1" s="209">
      <c r="A846">
        <f>IF($BD846="","",SUMPRODUCT(ISNUMBER($BD$500:$BD$923)*($BD$500:$BD$923&gt;$BD846))+COUNTIF($BD$500:$BD846,$BD846))</f>
        <v/>
      </c>
      <c r="B846">
        <f>IF($H846="","",IF($H846&lt;5,"Yes","Maintain"))</f>
        <v/>
      </c>
      <c r="C846" t="inlineStr">
        <is>
          <t>Data BI AI</t>
        </is>
      </c>
      <c r="D846" t="inlineStr">
        <is>
          <t>Data governance</t>
        </is>
      </c>
      <c r="E846" t="inlineStr">
        <is>
          <t>DATA-006</t>
        </is>
      </c>
      <c r="F846" t="inlineStr">
        <is>
          <t>Data, BI, analytics and AI governance</t>
        </is>
      </c>
      <c r="G846">
        <f>IF($H846="","",IFERROR(INDEX('_ENGINE_Risk'!$H$41:$M$920,MATCH($E846,'_ENGINE_Risk'!$A$41:$A$920,0),$H846+1),""))</f>
        <v/>
      </c>
      <c r="H846">
        <f>IFERROR(VALUE(INDEX(_DATA_Assessment_Model!$H$5:$H$884,MATCH($E846,_DATA_Assessment_Model!$A$5:$A$884,0))),"")</f>
        <v/>
      </c>
      <c r="I846">
        <f>IF($H846="","",IFERROR(INDEX(_DATA_Assessment_Model!$L$5:$L$884,MATCH($E846,_DATA_Assessment_Model!$A$5:$A$884,0)),IF($H846&lt;=1,"Critical",IF($H846=2,"High",IF($H846=3,"Medium",IF($H846=4,"Low","Resilient"))))))</f>
        <v/>
      </c>
      <c r="J846">
        <f>IF($H846="","",MIN(5,MAX(1,6-$H846)))</f>
        <v/>
      </c>
      <c r="K846">
        <f>IF($H846="","",MAX(1,MIN(5,ROUNDUP(($U846*0.45)+($W846*0.35)+($X846*0.2),0))))</f>
        <v/>
      </c>
      <c r="L846">
        <f>IF($H846="","",$J846*$K846)</f>
        <v/>
      </c>
      <c r="M846">
        <f>IF($H846="","",MAX(1,MIN(5,ROUNDUP($L846/5,0))))</f>
        <v/>
      </c>
      <c r="N846">
        <f>IF($H846="","",IFERROR(INDEX('_ENGINE_Risk'!$T$41:$Y$920,MATCH($E846,'_ENGINE_Risk'!$A$41:$A$920,0),$H846+1),""))</f>
        <v/>
      </c>
      <c r="O846">
        <f>IF($H846="","",MAX(1,MIN(5,($U846+$V846+$X846)/3)))</f>
        <v/>
      </c>
      <c r="P846">
        <f>IF($H846="","",IF($I846="Critical",5,IF($I846="High",4,IF($I846="Medium",3,IF($I846="Low",2,1)))))</f>
        <v/>
      </c>
      <c r="Q846">
        <f>IF($H846="","",MAX(1,MIN(5,((5-$H846)*0.65)+($W846*0.35))))</f>
        <v/>
      </c>
      <c r="R846">
        <f>IF($H846="","",MAX(1,MIN(5,($V846+$X846)/2)))</f>
        <v/>
      </c>
      <c r="S846">
        <f>IF(OR($H846="",$N846=""),"",ROUND(($O846+$P846+$Q846+$R846)/$N846,2))</f>
        <v/>
      </c>
      <c r="T846">
        <f>IF($H846="","",IFERROR(INDEX('_ENGINE_Risk'!$N$41:$S$920,MATCH($E846,'_ENGINE_Risk'!$A$41:$A$920,0),$H846+1),""))</f>
        <v/>
      </c>
      <c r="U846">
        <f>IFERROR(INDEX(_DATA_Assessment_Model!$G$5:$G$884,MATCH($E846,_DATA_Assessment_Model!$A$5:$A$884,0)),"")</f>
        <v/>
      </c>
      <c r="V846">
        <f>IFERROR(INDEX(_DATA_Assessment_Model!$W$5:$W$884,MATCH($E846,_DATA_Assessment_Model!$A$5:$A$884,0)),"")</f>
        <v/>
      </c>
      <c r="W846">
        <f>IFERROR(INDEX(_DATA_Assessment_Model!$X$5:$X$884,MATCH($E846,_DATA_Assessment_Model!$A$5:$A$884,0)),"")</f>
        <v/>
      </c>
      <c r="X846">
        <f>IFERROR(INDEX(_DATA_Assessment_Model!$Y$5:$Y$884,MATCH($E846,_DATA_Assessment_Model!$A$5:$A$884,0)),"")</f>
        <v/>
      </c>
      <c r="Y846" t="inlineStr">
        <is>
          <t>Decision failure; Data loss; Regulatory/legal shock</t>
        </is>
      </c>
      <c r="Z846" t="inlineStr">
        <is>
          <t>CDO / BI / Analytics</t>
        </is>
      </c>
      <c r="AA846" t="inlineStr">
        <is>
          <t>Policy/SOP; owner/RACI; system report; dashboard; contracts; test records; incident history; interview evidence related to data access governance for datasets, warehouses, BI reports and analytics workspaces.</t>
        </is>
      </c>
      <c r="AB846">
        <f>IFERROR(INDEX(_DATA_Assessment_Model!$U$5:$U$884,MATCH($E846,_DATA_Assessment_Model!$A$5:$A$884,0)),"")</f>
        <v/>
      </c>
      <c r="AF846" t="inlineStr">
        <is>
          <t>How mature is the organization in managing data access governance for datasets, warehouses, BI reports and analytics workspaces, including ownership, evidence, metrics, fallback procedures and crisis stress testing?</t>
        </is>
      </c>
      <c r="AO846">
        <f>IF($B846="Yes",IFERROR(INDEX(_ENGINE_Crisis!$F$501:$F$517,MATCH($C846,_ENGINE_Crisis!$A$501:$A$517,0)),1),"")</f>
        <v/>
      </c>
      <c r="AP846">
        <f>IF(AO846="","",ROUND($L846*AO846,1))</f>
        <v/>
      </c>
      <c r="AQ846">
        <f>IF(OR(AO846="",$S846=""),"",ROUND($S846*(0.7+0.3*AO846),2))</f>
        <v/>
      </c>
      <c r="AR846">
        <f>IFERROR(INDEX(_ENGINE_Crisis!$E$41:$E$700,MATCH('Resilience &amp; Risk Scenario'!$B$60&amp;"|"&amp;$C846,_ENGINE_Crisis!$I$41:$I$700,0)),"")</f>
        <v/>
      </c>
      <c r="AS846">
        <f>IFERROR(INDEX(_ENGINE_Crisis!$G$41:$G$700,MATCH('Resilience &amp; Risk Scenario'!$B$60&amp;"|"&amp;$C846,_ENGINE_Crisis!$I$41:$I$700,0)),"")</f>
        <v/>
      </c>
      <c r="AT846">
        <f>IFERROR(INDEX(_ENGINE_Initiatives!$A$5:$A$532,MATCH(1,INDEX((_ENGINE_Initiatives!$B$5:$B$532=$C846)*(_ENGINE_Initiatives!$C$5:$C$532=$D846),0),0)),"")</f>
        <v/>
      </c>
      <c r="AU846">
        <f>IFERROR(INDEX(_ENGINE_Initiatives!$F$5:$F$532,MATCH(1,INDEX((_ENGINE_Initiatives!$B$5:$B$532=$C846)*(_ENGINE_Initiatives!$C$5:$C$532=$D846),0),0)),"")</f>
        <v/>
      </c>
      <c r="AV846">
        <f>IFERROR(INDEX(_ENGINE_Initiatives!$AC$5:$AC$532,MATCH(1,INDEX((_ENGINE_Initiatives!$B$5:$B$532=$C846)*(_ENGINE_Initiatives!$C$5:$C$532=$D846),0),0)),"")</f>
        <v/>
      </c>
      <c r="AW846">
        <f>IFERROR(INDEX(_ENGINE_Initiatives!$AE$5:$AE$532,MATCH(1,INDEX((_ENGINE_Initiatives!$B$5:$B$532=$C846)*(_ENGINE_Initiatives!$C$5:$C$532=$D846),0),0)),"")</f>
        <v/>
      </c>
      <c r="AX846">
        <f>IF($B846="Yes",IFERROR(IF(SUMIFS(_REF_Model_Content!$E$1:$E$613,_REF_Model_Content!$A$1:$A$613,'Company Profile'!$B$9,_REF_Model_Content!$B$1:$B$613,$C846)=0,1,SUMIFS(_REF_Model_Content!$E$1:$E$613,_REF_Model_Content!$A$1:$A$613,'Company Profile'!$B$9,_REF_Model_Content!$B$1:$B$613,$C846)),1),"")</f>
        <v/>
      </c>
      <c r="AY846">
        <f>IF($L846="","",ROUND(IF($AP846="",$L846,$AP846)*IF($AX846="",1,$AX846),2))</f>
        <v/>
      </c>
      <c r="AZ846">
        <f>IF($S846="","",ROUND(IF($AQ846="",$S846,$AQ846)*IF($AX846="",1,$AX846),2))</f>
        <v/>
      </c>
      <c r="BB846">
        <f>IF($H846="","",IFERROR(INDEX('_ENGINE_Risk'!$AE$41:$AE$920,MATCH($E846,'_ENGINE_Risk'!$A$41:$A$920,0)),"Medium"))</f>
        <v/>
      </c>
      <c r="BC846">
        <f>IF($BB846="","",IF($BB846="Fast",1.25,IF($BB846="Slow",0.85,1)))</f>
        <v/>
      </c>
      <c r="BD846">
        <f>IF(OR($AZ846="",$BC846=""),"",ROUND($AZ846*$BC846,2))</f>
        <v/>
      </c>
      <c r="BF846">
        <f>IF(OR($H846="",$J846=""),"",_xlfn.IFNA(VLOOKUP($J846,_CONFIG_Model_Settings!$D$610:$E$614,2,0),""))</f>
        <v/>
      </c>
      <c r="BG846">
        <f>IF(OR($H846="",$K846=""),"",ROUND('Company Profile'!$B$569*INDEX(_CONFIG_Model_Settings!$H$610:$H$614,MATCH($K846,_CONFIG_Model_Settings!$G$610:$G$614,0)),0))</f>
        <v/>
      </c>
      <c r="BH846">
        <f>IF(OR($BF846="",$BG846=""),"",ROUND($BF846*$BG846,1))</f>
        <v/>
      </c>
      <c r="BI846">
        <f>IF($BH846="","",IF($AO846="",$BH846,ROUND($BH846*$AO846,1)))</f>
        <v/>
      </c>
      <c r="BJ846">
        <f>IF($E846="","",IFERROR(VLOOKUP($C846,'_CONFIG_Risk_Calibration'!$A$5:$H$21,2,FALSE),3))</f>
        <v/>
      </c>
      <c r="BK846">
        <f>IF($E846="","",IFERROR(VLOOKUP($C846,'_CONFIG_Risk_Calibration'!$A$5:$H$21,3,FALSE),0))</f>
        <v/>
      </c>
      <c r="BL846">
        <f>IF($E846="","",IFERROR(VLOOKUP($C846,'_CONFIG_Risk_Calibration'!$A$5:$H$21,4,FALSE),3))</f>
        <v/>
      </c>
      <c r="BM846">
        <f>IF($E846="","",IFERROR(VLOOKUP($C846,'_CONFIG_Risk_Calibration'!$A$5:$H$21,5,FALSE),3))</f>
        <v/>
      </c>
      <c r="BN846">
        <f>IF($E846="","",IFERROR(VLOOKUP($C846,'_CONFIG_Risk_Calibration'!$A$5:$H$21,6,FALSE),"No"))</f>
        <v/>
      </c>
      <c r="BO846">
        <f>IF($E846="","",IFERROR(VLOOKUP($C846,'_CONFIG_Risk_Calibration'!$A$5:$H$21,7,FALSE),1))</f>
        <v/>
      </c>
      <c r="BP846">
        <f>IF($H846="","",MAX(1,MIN(5,((6-$H846)*0.45)+($BJ846*0.20)+('Resilience &amp; Risk Scenario'!$B$7*0.15)+($BK846*0.10)+($BL846*0.05)+(IF($BB846="Fast",5,IF($BB846="Slow",1,3))*0.05))))</f>
        <v/>
      </c>
      <c r="BQ846">
        <f>IF($H846="","",MAX(IF($BN846="Yes",$BO846,1),MIN(5,($U846*0.20)+($V846*0.15)+($W846*0.25)+($X846*0.15)+($BJ846*0.10)+($BM846*0.15))))</f>
        <v/>
      </c>
      <c r="BR846">
        <f>IF(OR($BP846="",$BQ846=""),"",ROUND($BP846*$BQ846,2))</f>
        <v/>
      </c>
      <c r="BS846">
        <f>IF($BR846="","",ROUND($BR846*IF($AO846="",1,$AO846)*IF($AX846="",1,$AX846)*(1+(($BM846-3)*0.10))*IF($BC846="",1,$BC846),2))</f>
        <v/>
      </c>
    </row>
    <row r="847" ht="69.90000000000001" customHeight="1" s="209">
      <c r="A847">
        <f>IF($BD847="","",SUMPRODUCT(ISNUMBER($BD$500:$BD$923)*($BD$500:$BD$923&gt;$BD847))+COUNTIF($BD$500:$BD847,$BD847))</f>
        <v/>
      </c>
      <c r="B847">
        <f>IF($H847="","",IF($H847&lt;5,"Yes","Maintain"))</f>
        <v/>
      </c>
      <c r="C847" t="inlineStr">
        <is>
          <t>Data BI AI</t>
        </is>
      </c>
      <c r="D847" t="inlineStr">
        <is>
          <t>Data architecture</t>
        </is>
      </c>
      <c r="E847" t="inlineStr">
        <is>
          <t>DATA-007</t>
        </is>
      </c>
      <c r="F847" t="inlineStr">
        <is>
          <t>Data, BI, analytics and AI governance</t>
        </is>
      </c>
      <c r="G847">
        <f>IF($H847="","",IFERROR(INDEX('_ENGINE_Risk'!$H$41:$M$920,MATCH($E847,'_ENGINE_Risk'!$A$41:$A$920,0),$H847+1),""))</f>
        <v/>
      </c>
      <c r="H847">
        <f>IFERROR(VALUE(INDEX(_DATA_Assessment_Model!$H$5:$H$884,MATCH($E847,_DATA_Assessment_Model!$A$5:$A$884,0))),"")</f>
        <v/>
      </c>
      <c r="I847">
        <f>IF($H847="","",IFERROR(INDEX(_DATA_Assessment_Model!$L$5:$L$884,MATCH($E847,_DATA_Assessment_Model!$A$5:$A$884,0)),IF($H847&lt;=1,"Critical",IF($H847=2,"High",IF($H847=3,"Medium",IF($H847=4,"Low","Resilient"))))))</f>
        <v/>
      </c>
      <c r="J847">
        <f>IF($H847="","",MIN(5,MAX(1,6-$H847)))</f>
        <v/>
      </c>
      <c r="K847">
        <f>IF($H847="","",MAX(1,MIN(5,ROUNDUP(($U847*0.45)+($W847*0.35)+($X847*0.2),0))))</f>
        <v/>
      </c>
      <c r="L847">
        <f>IF($H847="","",$J847*$K847)</f>
        <v/>
      </c>
      <c r="M847">
        <f>IF($H847="","",MAX(1,MIN(5,ROUNDUP($L847/5,0))))</f>
        <v/>
      </c>
      <c r="N847">
        <f>IF($H847="","",IFERROR(INDEX('_ENGINE_Risk'!$T$41:$Y$920,MATCH($E847,'_ENGINE_Risk'!$A$41:$A$920,0),$H847+1),""))</f>
        <v/>
      </c>
      <c r="O847">
        <f>IF($H847="","",MAX(1,MIN(5,($U847+$V847+$X847)/3)))</f>
        <v/>
      </c>
      <c r="P847">
        <f>IF($H847="","",IF($I847="Critical",5,IF($I847="High",4,IF($I847="Medium",3,IF($I847="Low",2,1)))))</f>
        <v/>
      </c>
      <c r="Q847">
        <f>IF($H847="","",MAX(1,MIN(5,((5-$H847)*0.65)+($W847*0.35))))</f>
        <v/>
      </c>
      <c r="R847">
        <f>IF($H847="","",MAX(1,MIN(5,($V847+$X847)/2)))</f>
        <v/>
      </c>
      <c r="S847">
        <f>IF(OR($H847="",$N847=""),"",ROUND(($O847+$P847+$Q847+$R847)/$N847,2))</f>
        <v/>
      </c>
      <c r="T847">
        <f>IF($H847="","",IFERROR(INDEX('_ENGINE_Risk'!$N$41:$S$920,MATCH($E847,'_ENGINE_Risk'!$A$41:$A$920,0),$H847+1),""))</f>
        <v/>
      </c>
      <c r="U847">
        <f>IFERROR(INDEX(_DATA_Assessment_Model!$G$5:$G$884,MATCH($E847,_DATA_Assessment_Model!$A$5:$A$884,0)),"")</f>
        <v/>
      </c>
      <c r="V847">
        <f>IFERROR(INDEX(_DATA_Assessment_Model!$W$5:$W$884,MATCH($E847,_DATA_Assessment_Model!$A$5:$A$884,0)),"")</f>
        <v/>
      </c>
      <c r="W847">
        <f>IFERROR(INDEX(_DATA_Assessment_Model!$X$5:$X$884,MATCH($E847,_DATA_Assessment_Model!$A$5:$A$884,0)),"")</f>
        <v/>
      </c>
      <c r="X847">
        <f>IFERROR(INDEX(_DATA_Assessment_Model!$Y$5:$Y$884,MATCH($E847,_DATA_Assessment_Model!$A$5:$A$884,0)),"")</f>
        <v/>
      </c>
      <c r="Y847" t="inlineStr">
        <is>
          <t>Decision failure; Data loss; Regulatory/legal shock</t>
        </is>
      </c>
      <c r="Z847" t="inlineStr">
        <is>
          <t>CDO / BI / Analytics</t>
        </is>
      </c>
      <c r="AA847" t="inlineStr">
        <is>
          <t>Policy/SOP; owner/RACI; system report; dashboard; contracts; test records; incident history; interview evidence related to data architecture from source systems to warehouse, lake, BI, AI models and reports.</t>
        </is>
      </c>
      <c r="AB847">
        <f>IFERROR(INDEX(_DATA_Assessment_Model!$U$5:$U$884,MATCH($E847,_DATA_Assessment_Model!$A$5:$A$884,0)),"")</f>
        <v/>
      </c>
      <c r="AF847" t="inlineStr">
        <is>
          <t>How mature is the organization in managing data architecture from source systems to warehouse, lake, BI, AI models and reports, including ownership, evidence, metrics, fallback procedures and crisis stress testing?</t>
        </is>
      </c>
      <c r="AO847">
        <f>IF($B847="Yes",IFERROR(INDEX(_ENGINE_Crisis!$F$501:$F$517,MATCH($C847,_ENGINE_Crisis!$A$501:$A$517,0)),1),"")</f>
        <v/>
      </c>
      <c r="AP847">
        <f>IF(AO847="","",ROUND($L847*AO847,1))</f>
        <v/>
      </c>
      <c r="AQ847">
        <f>IF(OR(AO847="",$S847=""),"",ROUND($S847*(0.7+0.3*AO847),2))</f>
        <v/>
      </c>
      <c r="AR847">
        <f>IFERROR(INDEX(_ENGINE_Crisis!$E$41:$E$700,MATCH('Resilience &amp; Risk Scenario'!$B$60&amp;"|"&amp;$C847,_ENGINE_Crisis!$I$41:$I$700,0)),"")</f>
        <v/>
      </c>
      <c r="AS847">
        <f>IFERROR(INDEX(_ENGINE_Crisis!$G$41:$G$700,MATCH('Resilience &amp; Risk Scenario'!$B$60&amp;"|"&amp;$C847,_ENGINE_Crisis!$I$41:$I$700,0)),"")</f>
        <v/>
      </c>
      <c r="AT847">
        <f>IFERROR(INDEX(_ENGINE_Initiatives!$A$5:$A$532,MATCH(1,INDEX((_ENGINE_Initiatives!$B$5:$B$532=$C847)*(_ENGINE_Initiatives!$C$5:$C$532=$D847),0),0)),"")</f>
        <v/>
      </c>
      <c r="AU847">
        <f>IFERROR(INDEX(_ENGINE_Initiatives!$F$5:$F$532,MATCH(1,INDEX((_ENGINE_Initiatives!$B$5:$B$532=$C847)*(_ENGINE_Initiatives!$C$5:$C$532=$D847),0),0)),"")</f>
        <v/>
      </c>
      <c r="AV847">
        <f>IFERROR(INDEX(_ENGINE_Initiatives!$AC$5:$AC$532,MATCH(1,INDEX((_ENGINE_Initiatives!$B$5:$B$532=$C847)*(_ENGINE_Initiatives!$C$5:$C$532=$D847),0),0)),"")</f>
        <v/>
      </c>
      <c r="AW847">
        <f>IFERROR(INDEX(_ENGINE_Initiatives!$AE$5:$AE$532,MATCH(1,INDEX((_ENGINE_Initiatives!$B$5:$B$532=$C847)*(_ENGINE_Initiatives!$C$5:$C$532=$D847),0),0)),"")</f>
        <v/>
      </c>
      <c r="AX847">
        <f>IF($B847="Yes",IFERROR(IF(SUMIFS(_REF_Model_Content!$E$1:$E$613,_REF_Model_Content!$A$1:$A$613,'Company Profile'!$B$9,_REF_Model_Content!$B$1:$B$613,$C847)=0,1,SUMIFS(_REF_Model_Content!$E$1:$E$613,_REF_Model_Content!$A$1:$A$613,'Company Profile'!$B$9,_REF_Model_Content!$B$1:$B$613,$C847)),1),"")</f>
        <v/>
      </c>
      <c r="AY847">
        <f>IF($L847="","",ROUND(IF($AP847="",$L847,$AP847)*IF($AX847="",1,$AX847),2))</f>
        <v/>
      </c>
      <c r="AZ847">
        <f>IF($S847="","",ROUND(IF($AQ847="",$S847,$AQ847)*IF($AX847="",1,$AX847),2))</f>
        <v/>
      </c>
      <c r="BB847">
        <f>IF($H847="","",IFERROR(INDEX('_ENGINE_Risk'!$AE$41:$AE$920,MATCH($E847,'_ENGINE_Risk'!$A$41:$A$920,0)),"Medium"))</f>
        <v/>
      </c>
      <c r="BC847">
        <f>IF($BB847="","",IF($BB847="Fast",1.25,IF($BB847="Slow",0.85,1)))</f>
        <v/>
      </c>
      <c r="BD847">
        <f>IF(OR($AZ847="",$BC847=""),"",ROUND($AZ847*$BC847,2))</f>
        <v/>
      </c>
      <c r="BF847">
        <f>IF(OR($H847="",$J847=""),"",_xlfn.IFNA(VLOOKUP($J847,_CONFIG_Model_Settings!$D$610:$E$614,2,0),""))</f>
        <v/>
      </c>
      <c r="BG847">
        <f>IF(OR($H847="",$K847=""),"",ROUND('Company Profile'!$B$569*INDEX(_CONFIG_Model_Settings!$H$610:$H$614,MATCH($K847,_CONFIG_Model_Settings!$G$610:$G$614,0)),0))</f>
        <v/>
      </c>
      <c r="BH847">
        <f>IF(OR($BF847="",$BG847=""),"",ROUND($BF847*$BG847,1))</f>
        <v/>
      </c>
      <c r="BI847">
        <f>IF($BH847="","",IF($AO847="",$BH847,ROUND($BH847*$AO847,1)))</f>
        <v/>
      </c>
      <c r="BJ847">
        <f>IF($E847="","",IFERROR(VLOOKUP($C847,'_CONFIG_Risk_Calibration'!$A$5:$H$21,2,FALSE),3))</f>
        <v/>
      </c>
      <c r="BK847">
        <f>IF($E847="","",IFERROR(VLOOKUP($C847,'_CONFIG_Risk_Calibration'!$A$5:$H$21,3,FALSE),0))</f>
        <v/>
      </c>
      <c r="BL847">
        <f>IF($E847="","",IFERROR(VLOOKUP($C847,'_CONFIG_Risk_Calibration'!$A$5:$H$21,4,FALSE),3))</f>
        <v/>
      </c>
      <c r="BM847">
        <f>IF($E847="","",IFERROR(VLOOKUP($C847,'_CONFIG_Risk_Calibration'!$A$5:$H$21,5,FALSE),3))</f>
        <v/>
      </c>
      <c r="BN847">
        <f>IF($E847="","",IFERROR(VLOOKUP($C847,'_CONFIG_Risk_Calibration'!$A$5:$H$21,6,FALSE),"No"))</f>
        <v/>
      </c>
      <c r="BO847">
        <f>IF($E847="","",IFERROR(VLOOKUP($C847,'_CONFIG_Risk_Calibration'!$A$5:$H$21,7,FALSE),1))</f>
        <v/>
      </c>
      <c r="BP847">
        <f>IF($H847="","",MAX(1,MIN(5,((6-$H847)*0.45)+($BJ847*0.20)+('Resilience &amp; Risk Scenario'!$B$7*0.15)+($BK847*0.10)+($BL847*0.05)+(IF($BB847="Fast",5,IF($BB847="Slow",1,3))*0.05))))</f>
        <v/>
      </c>
      <c r="BQ847">
        <f>IF($H847="","",MAX(IF($BN847="Yes",$BO847,1),MIN(5,($U847*0.20)+($V847*0.15)+($W847*0.25)+($X847*0.15)+($BJ847*0.10)+($BM847*0.15))))</f>
        <v/>
      </c>
      <c r="BR847">
        <f>IF(OR($BP847="",$BQ847=""),"",ROUND($BP847*$BQ847,2))</f>
        <v/>
      </c>
      <c r="BS847">
        <f>IF($BR847="","",ROUND($BR847*IF($AO847="",1,$AO847)*IF($AX847="",1,$AX847)*(1+(($BM847-3)*0.10))*IF($BC847="",1,$BC847),2))</f>
        <v/>
      </c>
    </row>
    <row r="848" ht="69.90000000000001" customHeight="1" s="209">
      <c r="A848">
        <f>IF($BD848="","",SUMPRODUCT(ISNUMBER($BD$500:$BD$923)*($BD$500:$BD$923&gt;$BD848))+COUNTIF($BD$500:$BD848,$BD848))</f>
        <v/>
      </c>
      <c r="B848">
        <f>IF($H848="","",IF($H848&lt;5,"Yes","Maintain"))</f>
        <v/>
      </c>
      <c r="C848" t="inlineStr">
        <is>
          <t>Data BI AI</t>
        </is>
      </c>
      <c r="D848" t="inlineStr">
        <is>
          <t>Data architecture</t>
        </is>
      </c>
      <c r="E848" t="inlineStr">
        <is>
          <t>DATA-008</t>
        </is>
      </c>
      <c r="F848" t="inlineStr">
        <is>
          <t>Data, BI, analytics and AI governance</t>
        </is>
      </c>
      <c r="G848">
        <f>IF($H848="","",IFERROR(INDEX('_ENGINE_Risk'!$H$41:$M$920,MATCH($E848,'_ENGINE_Risk'!$A$41:$A$920,0),$H848+1),""))</f>
        <v/>
      </c>
      <c r="H848">
        <f>IFERROR(VALUE(INDEX(_DATA_Assessment_Model!$H$5:$H$884,MATCH($E848,_DATA_Assessment_Model!$A$5:$A$884,0))),"")</f>
        <v/>
      </c>
      <c r="I848">
        <f>IF($H848="","",IFERROR(INDEX(_DATA_Assessment_Model!$L$5:$L$884,MATCH($E848,_DATA_Assessment_Model!$A$5:$A$884,0)),IF($H848&lt;=1,"Critical",IF($H848=2,"High",IF($H848=3,"Medium",IF($H848=4,"Low","Resilient"))))))</f>
        <v/>
      </c>
      <c r="J848">
        <f>IF($H848="","",MIN(5,MAX(1,6-$H848)))</f>
        <v/>
      </c>
      <c r="K848">
        <f>IF($H848="","",MAX(1,MIN(5,ROUNDUP(($U848*0.45)+($W848*0.35)+($X848*0.2),0))))</f>
        <v/>
      </c>
      <c r="L848">
        <f>IF($H848="","",$J848*$K848)</f>
        <v/>
      </c>
      <c r="M848">
        <f>IF($H848="","",MAX(1,MIN(5,ROUNDUP($L848/5,0))))</f>
        <v/>
      </c>
      <c r="N848">
        <f>IF($H848="","",IFERROR(INDEX('_ENGINE_Risk'!$T$41:$Y$920,MATCH($E848,'_ENGINE_Risk'!$A$41:$A$920,0),$H848+1),""))</f>
        <v/>
      </c>
      <c r="O848">
        <f>IF($H848="","",MAX(1,MIN(5,($U848+$V848+$X848)/3)))</f>
        <v/>
      </c>
      <c r="P848">
        <f>IF($H848="","",IF($I848="Critical",5,IF($I848="High",4,IF($I848="Medium",3,IF($I848="Low",2,1)))))</f>
        <v/>
      </c>
      <c r="Q848">
        <f>IF($H848="","",MAX(1,MIN(5,((5-$H848)*0.65)+($W848*0.35))))</f>
        <v/>
      </c>
      <c r="R848">
        <f>IF($H848="","",MAX(1,MIN(5,($V848+$X848)/2)))</f>
        <v/>
      </c>
      <c r="S848">
        <f>IF(OR($H848="",$N848=""),"",ROUND(($O848+$P848+$Q848+$R848)/$N848,2))</f>
        <v/>
      </c>
      <c r="T848">
        <f>IF($H848="","",IFERROR(INDEX('_ENGINE_Risk'!$N$41:$S$920,MATCH($E848,'_ENGINE_Risk'!$A$41:$A$920,0),$H848+1),""))</f>
        <v/>
      </c>
      <c r="U848">
        <f>IFERROR(INDEX(_DATA_Assessment_Model!$G$5:$G$884,MATCH($E848,_DATA_Assessment_Model!$A$5:$A$884,0)),"")</f>
        <v/>
      </c>
      <c r="V848">
        <f>IFERROR(INDEX(_DATA_Assessment_Model!$W$5:$W$884,MATCH($E848,_DATA_Assessment_Model!$A$5:$A$884,0)),"")</f>
        <v/>
      </c>
      <c r="W848">
        <f>IFERROR(INDEX(_DATA_Assessment_Model!$X$5:$X$884,MATCH($E848,_DATA_Assessment_Model!$A$5:$A$884,0)),"")</f>
        <v/>
      </c>
      <c r="X848">
        <f>IFERROR(INDEX(_DATA_Assessment_Model!$Y$5:$Y$884,MATCH($E848,_DATA_Assessment_Model!$A$5:$A$884,0)),"")</f>
        <v/>
      </c>
      <c r="Y848" t="inlineStr">
        <is>
          <t>Decision failure; Data loss; Regulatory/legal shock</t>
        </is>
      </c>
      <c r="Z848" t="inlineStr">
        <is>
          <t>CDO / BI / Analytics</t>
        </is>
      </c>
      <c r="AA848" t="inlineStr">
        <is>
          <t>Policy/SOP; owner/RACI; system report; dashboard; contracts; test records; incident history; interview evidence related to ETL or ELT monitoring for failures, latency, completeness and reconciliation.</t>
        </is>
      </c>
      <c r="AB848">
        <f>IFERROR(INDEX(_DATA_Assessment_Model!$U$5:$U$884,MATCH($E848,_DATA_Assessment_Model!$A$5:$A$884,0)),"")</f>
        <v/>
      </c>
      <c r="AF848" t="inlineStr">
        <is>
          <t>How mature is the organization in managing ETL or ELT monitoring for failures, latency, completeness and reconciliation, including ownership, evidence, metrics, fallback procedures and crisis stress testing?</t>
        </is>
      </c>
      <c r="AO848">
        <f>IF($B848="Yes",IFERROR(INDEX(_ENGINE_Crisis!$F$501:$F$517,MATCH($C848,_ENGINE_Crisis!$A$501:$A$517,0)),1),"")</f>
        <v/>
      </c>
      <c r="AP848">
        <f>IF(AO848="","",ROUND($L848*AO848,1))</f>
        <v/>
      </c>
      <c r="AQ848">
        <f>IF(OR(AO848="",$S848=""),"",ROUND($S848*(0.7+0.3*AO848),2))</f>
        <v/>
      </c>
      <c r="AR848">
        <f>IFERROR(INDEX(_ENGINE_Crisis!$E$41:$E$700,MATCH('Resilience &amp; Risk Scenario'!$B$60&amp;"|"&amp;$C848,_ENGINE_Crisis!$I$41:$I$700,0)),"")</f>
        <v/>
      </c>
      <c r="AS848">
        <f>IFERROR(INDEX(_ENGINE_Crisis!$G$41:$G$700,MATCH('Resilience &amp; Risk Scenario'!$B$60&amp;"|"&amp;$C848,_ENGINE_Crisis!$I$41:$I$700,0)),"")</f>
        <v/>
      </c>
      <c r="AT848">
        <f>IFERROR(INDEX(_ENGINE_Initiatives!$A$5:$A$532,MATCH(1,INDEX((_ENGINE_Initiatives!$B$5:$B$532=$C848)*(_ENGINE_Initiatives!$C$5:$C$532=$D848),0),0)),"")</f>
        <v/>
      </c>
      <c r="AU848">
        <f>IFERROR(INDEX(_ENGINE_Initiatives!$F$5:$F$532,MATCH(1,INDEX((_ENGINE_Initiatives!$B$5:$B$532=$C848)*(_ENGINE_Initiatives!$C$5:$C$532=$D848),0),0)),"")</f>
        <v/>
      </c>
      <c r="AV848">
        <f>IFERROR(INDEX(_ENGINE_Initiatives!$AC$5:$AC$532,MATCH(1,INDEX((_ENGINE_Initiatives!$B$5:$B$532=$C848)*(_ENGINE_Initiatives!$C$5:$C$532=$D848),0),0)),"")</f>
        <v/>
      </c>
      <c r="AW848">
        <f>IFERROR(INDEX(_ENGINE_Initiatives!$AE$5:$AE$532,MATCH(1,INDEX((_ENGINE_Initiatives!$B$5:$B$532=$C848)*(_ENGINE_Initiatives!$C$5:$C$532=$D848),0),0)),"")</f>
        <v/>
      </c>
      <c r="AX848">
        <f>IF($B848="Yes",IFERROR(IF(SUMIFS(_REF_Model_Content!$E$1:$E$613,_REF_Model_Content!$A$1:$A$613,'Company Profile'!$B$9,_REF_Model_Content!$B$1:$B$613,$C848)=0,1,SUMIFS(_REF_Model_Content!$E$1:$E$613,_REF_Model_Content!$A$1:$A$613,'Company Profile'!$B$9,_REF_Model_Content!$B$1:$B$613,$C848)),1),"")</f>
        <v/>
      </c>
      <c r="AY848">
        <f>IF($L848="","",ROUND(IF($AP848="",$L848,$AP848)*IF($AX848="",1,$AX848),2))</f>
        <v/>
      </c>
      <c r="AZ848">
        <f>IF($S848="","",ROUND(IF($AQ848="",$S848,$AQ848)*IF($AX848="",1,$AX848),2))</f>
        <v/>
      </c>
      <c r="BB848">
        <f>IF($H848="","",IFERROR(INDEX('_ENGINE_Risk'!$AE$41:$AE$920,MATCH($E848,'_ENGINE_Risk'!$A$41:$A$920,0)),"Medium"))</f>
        <v/>
      </c>
      <c r="BC848">
        <f>IF($BB848="","",IF($BB848="Fast",1.25,IF($BB848="Slow",0.85,1)))</f>
        <v/>
      </c>
      <c r="BD848">
        <f>IF(OR($AZ848="",$BC848=""),"",ROUND($AZ848*$BC848,2))</f>
        <v/>
      </c>
      <c r="BF848">
        <f>IF(OR($H848="",$J848=""),"",_xlfn.IFNA(VLOOKUP($J848,_CONFIG_Model_Settings!$D$610:$E$614,2,0),""))</f>
        <v/>
      </c>
      <c r="BG848">
        <f>IF(OR($H848="",$K848=""),"",ROUND('Company Profile'!$B$569*INDEX(_CONFIG_Model_Settings!$H$610:$H$614,MATCH($K848,_CONFIG_Model_Settings!$G$610:$G$614,0)),0))</f>
        <v/>
      </c>
      <c r="BH848">
        <f>IF(OR($BF848="",$BG848=""),"",ROUND($BF848*$BG848,1))</f>
        <v/>
      </c>
      <c r="BI848">
        <f>IF($BH848="","",IF($AO848="",$BH848,ROUND($BH848*$AO848,1)))</f>
        <v/>
      </c>
      <c r="BJ848">
        <f>IF($E848="","",IFERROR(VLOOKUP($C848,'_CONFIG_Risk_Calibration'!$A$5:$H$21,2,FALSE),3))</f>
        <v/>
      </c>
      <c r="BK848">
        <f>IF($E848="","",IFERROR(VLOOKUP($C848,'_CONFIG_Risk_Calibration'!$A$5:$H$21,3,FALSE),0))</f>
        <v/>
      </c>
      <c r="BL848">
        <f>IF($E848="","",IFERROR(VLOOKUP($C848,'_CONFIG_Risk_Calibration'!$A$5:$H$21,4,FALSE),3))</f>
        <v/>
      </c>
      <c r="BM848">
        <f>IF($E848="","",IFERROR(VLOOKUP($C848,'_CONFIG_Risk_Calibration'!$A$5:$H$21,5,FALSE),3))</f>
        <v/>
      </c>
      <c r="BN848">
        <f>IF($E848="","",IFERROR(VLOOKUP($C848,'_CONFIG_Risk_Calibration'!$A$5:$H$21,6,FALSE),"No"))</f>
        <v/>
      </c>
      <c r="BO848">
        <f>IF($E848="","",IFERROR(VLOOKUP($C848,'_CONFIG_Risk_Calibration'!$A$5:$H$21,7,FALSE),1))</f>
        <v/>
      </c>
      <c r="BP848">
        <f>IF($H848="","",MAX(1,MIN(5,((6-$H848)*0.45)+($BJ848*0.20)+('Resilience &amp; Risk Scenario'!$B$7*0.15)+($BK848*0.10)+($BL848*0.05)+(IF($BB848="Fast",5,IF($BB848="Slow",1,3))*0.05))))</f>
        <v/>
      </c>
      <c r="BQ848">
        <f>IF($H848="","",MAX(IF($BN848="Yes",$BO848,1),MIN(5,($U848*0.20)+($V848*0.15)+($W848*0.25)+($X848*0.15)+($BJ848*0.10)+($BM848*0.15))))</f>
        <v/>
      </c>
      <c r="BR848">
        <f>IF(OR($BP848="",$BQ848=""),"",ROUND($BP848*$BQ848,2))</f>
        <v/>
      </c>
      <c r="BS848">
        <f>IF($BR848="","",ROUND($BR848*IF($AO848="",1,$AO848)*IF($AX848="",1,$AX848)*(1+(($BM848-3)*0.10))*IF($BC848="",1,$BC848),2))</f>
        <v/>
      </c>
    </row>
    <row r="849" ht="69.90000000000001" customHeight="1" s="209">
      <c r="A849">
        <f>IF($BD849="","",SUMPRODUCT(ISNUMBER($BD$500:$BD$923)*($BD$500:$BD$923&gt;$BD849))+COUNTIF($BD$500:$BD849,$BD849))</f>
        <v/>
      </c>
      <c r="B849">
        <f>IF($H849="","",IF($H849&lt;5,"Yes","Maintain"))</f>
        <v/>
      </c>
      <c r="C849" t="inlineStr">
        <is>
          <t>Data BI AI</t>
        </is>
      </c>
      <c r="D849" t="inlineStr">
        <is>
          <t>Data architecture</t>
        </is>
      </c>
      <c r="E849" t="inlineStr">
        <is>
          <t>DATA-009</t>
        </is>
      </c>
      <c r="F849" t="inlineStr">
        <is>
          <t>Data, BI, analytics and AI governance</t>
        </is>
      </c>
      <c r="G849">
        <f>IF($H849="","",IFERROR(INDEX('_ENGINE_Risk'!$H$41:$M$920,MATCH($E849,'_ENGINE_Risk'!$A$41:$A$920,0),$H849+1),""))</f>
        <v/>
      </c>
      <c r="H849">
        <f>IFERROR(VALUE(INDEX(_DATA_Assessment_Model!$H$5:$H$884,MATCH($E849,_DATA_Assessment_Model!$A$5:$A$884,0))),"")</f>
        <v/>
      </c>
      <c r="I849">
        <f>IF($H849="","",IFERROR(INDEX(_DATA_Assessment_Model!$L$5:$L$884,MATCH($E849,_DATA_Assessment_Model!$A$5:$A$884,0)),IF($H849&lt;=1,"Critical",IF($H849=2,"High",IF($H849=3,"Medium",IF($H849=4,"Low","Resilient"))))))</f>
        <v/>
      </c>
      <c r="J849">
        <f>IF($H849="","",MIN(5,MAX(1,6-$H849)))</f>
        <v/>
      </c>
      <c r="K849">
        <f>IF($H849="","",MAX(1,MIN(5,ROUNDUP(($U849*0.45)+($W849*0.35)+($X849*0.2),0))))</f>
        <v/>
      </c>
      <c r="L849">
        <f>IF($H849="","",$J849*$K849)</f>
        <v/>
      </c>
      <c r="M849">
        <f>IF($H849="","",MAX(1,MIN(5,ROUNDUP($L849/5,0))))</f>
        <v/>
      </c>
      <c r="N849">
        <f>IF($H849="","",IFERROR(INDEX('_ENGINE_Risk'!$T$41:$Y$920,MATCH($E849,'_ENGINE_Risk'!$A$41:$A$920,0),$H849+1),""))</f>
        <v/>
      </c>
      <c r="O849">
        <f>IF($H849="","",MAX(1,MIN(5,($U849+$V849+$X849)/3)))</f>
        <v/>
      </c>
      <c r="P849">
        <f>IF($H849="","",IF($I849="Critical",5,IF($I849="High",4,IF($I849="Medium",3,IF($I849="Low",2,1)))))</f>
        <v/>
      </c>
      <c r="Q849">
        <f>IF($H849="","",MAX(1,MIN(5,((5-$H849)*0.65)+($W849*0.35))))</f>
        <v/>
      </c>
      <c r="R849">
        <f>IF($H849="","",MAX(1,MIN(5,($V849+$X849)/2)))</f>
        <v/>
      </c>
      <c r="S849">
        <f>IF(OR($H849="",$N849=""),"",ROUND(($O849+$P849+$Q849+$R849)/$N849,2))</f>
        <v/>
      </c>
      <c r="T849">
        <f>IF($H849="","",IFERROR(INDEX('_ENGINE_Risk'!$N$41:$S$920,MATCH($E849,'_ENGINE_Risk'!$A$41:$A$920,0),$H849+1),""))</f>
        <v/>
      </c>
      <c r="U849">
        <f>IFERROR(INDEX(_DATA_Assessment_Model!$G$5:$G$884,MATCH($E849,_DATA_Assessment_Model!$A$5:$A$884,0)),"")</f>
        <v/>
      </c>
      <c r="V849">
        <f>IFERROR(INDEX(_DATA_Assessment_Model!$W$5:$W$884,MATCH($E849,_DATA_Assessment_Model!$A$5:$A$884,0)),"")</f>
        <v/>
      </c>
      <c r="W849">
        <f>IFERROR(INDEX(_DATA_Assessment_Model!$X$5:$X$884,MATCH($E849,_DATA_Assessment_Model!$A$5:$A$884,0)),"")</f>
        <v/>
      </c>
      <c r="X849">
        <f>IFERROR(INDEX(_DATA_Assessment_Model!$Y$5:$Y$884,MATCH($E849,_DATA_Assessment_Model!$A$5:$A$884,0)),"")</f>
        <v/>
      </c>
      <c r="Y849" t="inlineStr">
        <is>
          <t>Decision failure; Data loss; Regulatory/legal shock</t>
        </is>
      </c>
      <c r="Z849" t="inlineStr">
        <is>
          <t>CDO / BI / Analytics</t>
        </is>
      </c>
      <c r="AA849" t="inlineStr">
        <is>
          <t>Policy/SOP; owner/RACI; system report; dashboard; contracts; test records; incident history; interview evidence related to data lineage for critical KPIs, regulatory reports and board dashboards.</t>
        </is>
      </c>
      <c r="AB849">
        <f>IFERROR(INDEX(_DATA_Assessment_Model!$U$5:$U$884,MATCH($E849,_DATA_Assessment_Model!$A$5:$A$884,0)),"")</f>
        <v/>
      </c>
      <c r="AF849" t="inlineStr">
        <is>
          <t>How mature is the organization in managing data lineage for critical KPIs, regulatory reports and board dashboards, including ownership, evidence, metrics, fallback procedures and crisis stress testing?</t>
        </is>
      </c>
      <c r="AO849">
        <f>IF($B849="Yes",IFERROR(INDEX(_ENGINE_Crisis!$F$501:$F$517,MATCH($C849,_ENGINE_Crisis!$A$501:$A$517,0)),1),"")</f>
        <v/>
      </c>
      <c r="AP849">
        <f>IF(AO849="","",ROUND($L849*AO849,1))</f>
        <v/>
      </c>
      <c r="AQ849">
        <f>IF(OR(AO849="",$S849=""),"",ROUND($S849*(0.7+0.3*AO849),2))</f>
        <v/>
      </c>
      <c r="AR849">
        <f>IFERROR(INDEX(_ENGINE_Crisis!$E$41:$E$700,MATCH('Resilience &amp; Risk Scenario'!$B$60&amp;"|"&amp;$C849,_ENGINE_Crisis!$I$41:$I$700,0)),"")</f>
        <v/>
      </c>
      <c r="AS849">
        <f>IFERROR(INDEX(_ENGINE_Crisis!$G$41:$G$700,MATCH('Resilience &amp; Risk Scenario'!$B$60&amp;"|"&amp;$C849,_ENGINE_Crisis!$I$41:$I$700,0)),"")</f>
        <v/>
      </c>
      <c r="AT849">
        <f>IFERROR(INDEX(_ENGINE_Initiatives!$A$5:$A$532,MATCH(1,INDEX((_ENGINE_Initiatives!$B$5:$B$532=$C849)*(_ENGINE_Initiatives!$C$5:$C$532=$D849),0),0)),"")</f>
        <v/>
      </c>
      <c r="AU849">
        <f>IFERROR(INDEX(_ENGINE_Initiatives!$F$5:$F$532,MATCH(1,INDEX((_ENGINE_Initiatives!$B$5:$B$532=$C849)*(_ENGINE_Initiatives!$C$5:$C$532=$D849),0),0)),"")</f>
        <v/>
      </c>
      <c r="AV849">
        <f>IFERROR(INDEX(_ENGINE_Initiatives!$AC$5:$AC$532,MATCH(1,INDEX((_ENGINE_Initiatives!$B$5:$B$532=$C849)*(_ENGINE_Initiatives!$C$5:$C$532=$D849),0),0)),"")</f>
        <v/>
      </c>
      <c r="AW849">
        <f>IFERROR(INDEX(_ENGINE_Initiatives!$AE$5:$AE$532,MATCH(1,INDEX((_ENGINE_Initiatives!$B$5:$B$532=$C849)*(_ENGINE_Initiatives!$C$5:$C$532=$D849),0),0)),"")</f>
        <v/>
      </c>
      <c r="AX849">
        <f>IF($B849="Yes",IFERROR(IF(SUMIFS(_REF_Model_Content!$E$1:$E$613,_REF_Model_Content!$A$1:$A$613,'Company Profile'!$B$9,_REF_Model_Content!$B$1:$B$613,$C849)=0,1,SUMIFS(_REF_Model_Content!$E$1:$E$613,_REF_Model_Content!$A$1:$A$613,'Company Profile'!$B$9,_REF_Model_Content!$B$1:$B$613,$C849)),1),"")</f>
        <v/>
      </c>
      <c r="AY849">
        <f>IF($L849="","",ROUND(IF($AP849="",$L849,$AP849)*IF($AX849="",1,$AX849),2))</f>
        <v/>
      </c>
      <c r="AZ849">
        <f>IF($S849="","",ROUND(IF($AQ849="",$S849,$AQ849)*IF($AX849="",1,$AX849),2))</f>
        <v/>
      </c>
      <c r="BB849">
        <f>IF($H849="","",IFERROR(INDEX('_ENGINE_Risk'!$AE$41:$AE$920,MATCH($E849,'_ENGINE_Risk'!$A$41:$A$920,0)),"Medium"))</f>
        <v/>
      </c>
      <c r="BC849">
        <f>IF($BB849="","",IF($BB849="Fast",1.25,IF($BB849="Slow",0.85,1)))</f>
        <v/>
      </c>
      <c r="BD849">
        <f>IF(OR($AZ849="",$BC849=""),"",ROUND($AZ849*$BC849,2))</f>
        <v/>
      </c>
      <c r="BF849">
        <f>IF(OR($H849="",$J849=""),"",_xlfn.IFNA(VLOOKUP($J849,_CONFIG_Model_Settings!$D$610:$E$614,2,0),""))</f>
        <v/>
      </c>
      <c r="BG849">
        <f>IF(OR($H849="",$K849=""),"",ROUND('Company Profile'!$B$569*INDEX(_CONFIG_Model_Settings!$H$610:$H$614,MATCH($K849,_CONFIG_Model_Settings!$G$610:$G$614,0)),0))</f>
        <v/>
      </c>
      <c r="BH849">
        <f>IF(OR($BF849="",$BG849=""),"",ROUND($BF849*$BG849,1))</f>
        <v/>
      </c>
      <c r="BI849">
        <f>IF($BH849="","",IF($AO849="",$BH849,ROUND($BH849*$AO849,1)))</f>
        <v/>
      </c>
      <c r="BJ849">
        <f>IF($E849="","",IFERROR(VLOOKUP($C849,'_CONFIG_Risk_Calibration'!$A$5:$H$21,2,FALSE),3))</f>
        <v/>
      </c>
      <c r="BK849">
        <f>IF($E849="","",IFERROR(VLOOKUP($C849,'_CONFIG_Risk_Calibration'!$A$5:$H$21,3,FALSE),0))</f>
        <v/>
      </c>
      <c r="BL849">
        <f>IF($E849="","",IFERROR(VLOOKUP($C849,'_CONFIG_Risk_Calibration'!$A$5:$H$21,4,FALSE),3))</f>
        <v/>
      </c>
      <c r="BM849">
        <f>IF($E849="","",IFERROR(VLOOKUP($C849,'_CONFIG_Risk_Calibration'!$A$5:$H$21,5,FALSE),3))</f>
        <v/>
      </c>
      <c r="BN849">
        <f>IF($E849="","",IFERROR(VLOOKUP($C849,'_CONFIG_Risk_Calibration'!$A$5:$H$21,6,FALSE),"No"))</f>
        <v/>
      </c>
      <c r="BO849">
        <f>IF($E849="","",IFERROR(VLOOKUP($C849,'_CONFIG_Risk_Calibration'!$A$5:$H$21,7,FALSE),1))</f>
        <v/>
      </c>
      <c r="BP849">
        <f>IF($H849="","",MAX(1,MIN(5,((6-$H849)*0.45)+($BJ849*0.20)+('Resilience &amp; Risk Scenario'!$B$7*0.15)+($BK849*0.10)+($BL849*0.05)+(IF($BB849="Fast",5,IF($BB849="Slow",1,3))*0.05))))</f>
        <v/>
      </c>
      <c r="BQ849">
        <f>IF($H849="","",MAX(IF($BN849="Yes",$BO849,1),MIN(5,($U849*0.20)+($V849*0.15)+($W849*0.25)+($X849*0.15)+($BJ849*0.10)+($BM849*0.15))))</f>
        <v/>
      </c>
      <c r="BR849">
        <f>IF(OR($BP849="",$BQ849=""),"",ROUND($BP849*$BQ849,2))</f>
        <v/>
      </c>
      <c r="BS849">
        <f>IF($BR849="","",ROUND($BR849*IF($AO849="",1,$AO849)*IF($AX849="",1,$AX849)*(1+(($BM849-3)*0.10))*IF($BC849="",1,$BC849),2))</f>
        <v/>
      </c>
    </row>
    <row r="850" ht="69.90000000000001" customHeight="1" s="209">
      <c r="A850">
        <f>IF($BD850="","",SUMPRODUCT(ISNUMBER($BD$500:$BD$923)*($BD$500:$BD$923&gt;$BD850))+COUNTIF($BD$500:$BD850,$BD850))</f>
        <v/>
      </c>
      <c r="B850">
        <f>IF($H850="","",IF($H850&lt;5,"Yes","Maintain"))</f>
        <v/>
      </c>
      <c r="C850" t="inlineStr">
        <is>
          <t>Data BI AI</t>
        </is>
      </c>
      <c r="D850" t="inlineStr">
        <is>
          <t>Data architecture</t>
        </is>
      </c>
      <c r="E850" t="inlineStr">
        <is>
          <t>DATA-010</t>
        </is>
      </c>
      <c r="F850" t="inlineStr">
        <is>
          <t>Data, BI, analytics and AI governance</t>
        </is>
      </c>
      <c r="G850">
        <f>IF($H850="","",IFERROR(INDEX('_ENGINE_Risk'!$H$41:$M$920,MATCH($E850,'_ENGINE_Risk'!$A$41:$A$920,0),$H850+1),""))</f>
        <v/>
      </c>
      <c r="H850">
        <f>IFERROR(VALUE(INDEX(_DATA_Assessment_Model!$H$5:$H$884,MATCH($E850,_DATA_Assessment_Model!$A$5:$A$884,0))),"")</f>
        <v/>
      </c>
      <c r="I850">
        <f>IF($H850="","",IFERROR(INDEX(_DATA_Assessment_Model!$L$5:$L$884,MATCH($E850,_DATA_Assessment_Model!$A$5:$A$884,0)),IF($H850&lt;=1,"Critical",IF($H850=2,"High",IF($H850=3,"Medium",IF($H850=4,"Low","Resilient"))))))</f>
        <v/>
      </c>
      <c r="J850">
        <f>IF($H850="","",MIN(5,MAX(1,6-$H850)))</f>
        <v/>
      </c>
      <c r="K850">
        <f>IF($H850="","",MAX(1,MIN(5,ROUNDUP(($U850*0.45)+($W850*0.35)+($X850*0.2),0))))</f>
        <v/>
      </c>
      <c r="L850">
        <f>IF($H850="","",$J850*$K850)</f>
        <v/>
      </c>
      <c r="M850">
        <f>IF($H850="","",MAX(1,MIN(5,ROUNDUP($L850/5,0))))</f>
        <v/>
      </c>
      <c r="N850">
        <f>IF($H850="","",IFERROR(INDEX('_ENGINE_Risk'!$T$41:$Y$920,MATCH($E850,'_ENGINE_Risk'!$A$41:$A$920,0),$H850+1),""))</f>
        <v/>
      </c>
      <c r="O850">
        <f>IF($H850="","",MAX(1,MIN(5,($U850+$V850+$X850)/3)))</f>
        <v/>
      </c>
      <c r="P850">
        <f>IF($H850="","",IF($I850="Critical",5,IF($I850="High",4,IF($I850="Medium",3,IF($I850="Low",2,1)))))</f>
        <v/>
      </c>
      <c r="Q850">
        <f>IF($H850="","",MAX(1,MIN(5,((5-$H850)*0.65)+($W850*0.35))))</f>
        <v/>
      </c>
      <c r="R850">
        <f>IF($H850="","",MAX(1,MIN(5,($V850+$X850)/2)))</f>
        <v/>
      </c>
      <c r="S850">
        <f>IF(OR($H850="",$N850=""),"",ROUND(($O850+$P850+$Q850+$R850)/$N850,2))</f>
        <v/>
      </c>
      <c r="T850">
        <f>IF($H850="","",IFERROR(INDEX('_ENGINE_Risk'!$N$41:$S$920,MATCH($E850,'_ENGINE_Risk'!$A$41:$A$920,0),$H850+1),""))</f>
        <v/>
      </c>
      <c r="U850">
        <f>IFERROR(INDEX(_DATA_Assessment_Model!$G$5:$G$884,MATCH($E850,_DATA_Assessment_Model!$A$5:$A$884,0)),"")</f>
        <v/>
      </c>
      <c r="V850">
        <f>IFERROR(INDEX(_DATA_Assessment_Model!$W$5:$W$884,MATCH($E850,_DATA_Assessment_Model!$A$5:$A$884,0)),"")</f>
        <v/>
      </c>
      <c r="W850">
        <f>IFERROR(INDEX(_DATA_Assessment_Model!$X$5:$X$884,MATCH($E850,_DATA_Assessment_Model!$A$5:$A$884,0)),"")</f>
        <v/>
      </c>
      <c r="X850">
        <f>IFERROR(INDEX(_DATA_Assessment_Model!$Y$5:$Y$884,MATCH($E850,_DATA_Assessment_Model!$A$5:$A$884,0)),"")</f>
        <v/>
      </c>
      <c r="Y850" t="inlineStr">
        <is>
          <t>Decision failure; Data loss; Regulatory/legal shock</t>
        </is>
      </c>
      <c r="Z850" t="inlineStr">
        <is>
          <t>CDO / BI / Analytics</t>
        </is>
      </c>
      <c r="AA850" t="inlineStr">
        <is>
          <t>Policy/SOP; owner/RACI; system report; dashboard; contracts; test records; incident history; interview evidence related to backup and recovery for critical datasets, warehouses, BI content and analytics code.</t>
        </is>
      </c>
      <c r="AB850">
        <f>IFERROR(INDEX(_DATA_Assessment_Model!$U$5:$U$884,MATCH($E850,_DATA_Assessment_Model!$A$5:$A$884,0)),"")</f>
        <v/>
      </c>
      <c r="AF850" t="inlineStr">
        <is>
          <t>How mature is the organization in managing backup and recovery for critical datasets, warehouses, BI content and analytics code, including ownership, evidence, metrics, fallback procedures and crisis stress testing?</t>
        </is>
      </c>
      <c r="AO850">
        <f>IF($B850="Yes",IFERROR(INDEX(_ENGINE_Crisis!$F$501:$F$517,MATCH($C850,_ENGINE_Crisis!$A$501:$A$517,0)),1),"")</f>
        <v/>
      </c>
      <c r="AP850">
        <f>IF(AO850="","",ROUND($L850*AO850,1))</f>
        <v/>
      </c>
      <c r="AQ850">
        <f>IF(OR(AO850="",$S850=""),"",ROUND($S850*(0.7+0.3*AO850),2))</f>
        <v/>
      </c>
      <c r="AR850">
        <f>IFERROR(INDEX(_ENGINE_Crisis!$E$41:$E$700,MATCH('Resilience &amp; Risk Scenario'!$B$60&amp;"|"&amp;$C850,_ENGINE_Crisis!$I$41:$I$700,0)),"")</f>
        <v/>
      </c>
      <c r="AS850">
        <f>IFERROR(INDEX(_ENGINE_Crisis!$G$41:$G$700,MATCH('Resilience &amp; Risk Scenario'!$B$60&amp;"|"&amp;$C850,_ENGINE_Crisis!$I$41:$I$700,0)),"")</f>
        <v/>
      </c>
      <c r="AT850">
        <f>IFERROR(INDEX(_ENGINE_Initiatives!$A$5:$A$532,MATCH(1,INDEX((_ENGINE_Initiatives!$B$5:$B$532=$C850)*(_ENGINE_Initiatives!$C$5:$C$532=$D850),0),0)),"")</f>
        <v/>
      </c>
      <c r="AU850">
        <f>IFERROR(INDEX(_ENGINE_Initiatives!$F$5:$F$532,MATCH(1,INDEX((_ENGINE_Initiatives!$B$5:$B$532=$C850)*(_ENGINE_Initiatives!$C$5:$C$532=$D850),0),0)),"")</f>
        <v/>
      </c>
      <c r="AV850">
        <f>IFERROR(INDEX(_ENGINE_Initiatives!$AC$5:$AC$532,MATCH(1,INDEX((_ENGINE_Initiatives!$B$5:$B$532=$C850)*(_ENGINE_Initiatives!$C$5:$C$532=$D850),0),0)),"")</f>
        <v/>
      </c>
      <c r="AW850">
        <f>IFERROR(INDEX(_ENGINE_Initiatives!$AE$5:$AE$532,MATCH(1,INDEX((_ENGINE_Initiatives!$B$5:$B$532=$C850)*(_ENGINE_Initiatives!$C$5:$C$532=$D850),0),0)),"")</f>
        <v/>
      </c>
      <c r="AX850">
        <f>IF($B850="Yes",IFERROR(IF(SUMIFS(_REF_Model_Content!$E$1:$E$613,_REF_Model_Content!$A$1:$A$613,'Company Profile'!$B$9,_REF_Model_Content!$B$1:$B$613,$C850)=0,1,SUMIFS(_REF_Model_Content!$E$1:$E$613,_REF_Model_Content!$A$1:$A$613,'Company Profile'!$B$9,_REF_Model_Content!$B$1:$B$613,$C850)),1),"")</f>
        <v/>
      </c>
      <c r="AY850">
        <f>IF($L850="","",ROUND(IF($AP850="",$L850,$AP850)*IF($AX850="",1,$AX850),2))</f>
        <v/>
      </c>
      <c r="AZ850">
        <f>IF($S850="","",ROUND(IF($AQ850="",$S850,$AQ850)*IF($AX850="",1,$AX850),2))</f>
        <v/>
      </c>
      <c r="BB850">
        <f>IF($H850="","",IFERROR(INDEX('_ENGINE_Risk'!$AE$41:$AE$920,MATCH($E850,'_ENGINE_Risk'!$A$41:$A$920,0)),"Medium"))</f>
        <v/>
      </c>
      <c r="BC850">
        <f>IF($BB850="","",IF($BB850="Fast",1.25,IF($BB850="Slow",0.85,1)))</f>
        <v/>
      </c>
      <c r="BD850">
        <f>IF(OR($AZ850="",$BC850=""),"",ROUND($AZ850*$BC850,2))</f>
        <v/>
      </c>
      <c r="BF850">
        <f>IF(OR($H850="",$J850=""),"",_xlfn.IFNA(VLOOKUP($J850,_CONFIG_Model_Settings!$D$610:$E$614,2,0),""))</f>
        <v/>
      </c>
      <c r="BG850">
        <f>IF(OR($H850="",$K850=""),"",ROUND('Company Profile'!$B$569*INDEX(_CONFIG_Model_Settings!$H$610:$H$614,MATCH($K850,_CONFIG_Model_Settings!$G$610:$G$614,0)),0))</f>
        <v/>
      </c>
      <c r="BH850">
        <f>IF(OR($BF850="",$BG850=""),"",ROUND($BF850*$BG850,1))</f>
        <v/>
      </c>
      <c r="BI850">
        <f>IF($BH850="","",IF($AO850="",$BH850,ROUND($BH850*$AO850,1)))</f>
        <v/>
      </c>
      <c r="BJ850">
        <f>IF($E850="","",IFERROR(VLOOKUP($C850,'_CONFIG_Risk_Calibration'!$A$5:$H$21,2,FALSE),3))</f>
        <v/>
      </c>
      <c r="BK850">
        <f>IF($E850="","",IFERROR(VLOOKUP($C850,'_CONFIG_Risk_Calibration'!$A$5:$H$21,3,FALSE),0))</f>
        <v/>
      </c>
      <c r="BL850">
        <f>IF($E850="","",IFERROR(VLOOKUP($C850,'_CONFIG_Risk_Calibration'!$A$5:$H$21,4,FALSE),3))</f>
        <v/>
      </c>
      <c r="BM850">
        <f>IF($E850="","",IFERROR(VLOOKUP($C850,'_CONFIG_Risk_Calibration'!$A$5:$H$21,5,FALSE),3))</f>
        <v/>
      </c>
      <c r="BN850">
        <f>IF($E850="","",IFERROR(VLOOKUP($C850,'_CONFIG_Risk_Calibration'!$A$5:$H$21,6,FALSE),"No"))</f>
        <v/>
      </c>
      <c r="BO850">
        <f>IF($E850="","",IFERROR(VLOOKUP($C850,'_CONFIG_Risk_Calibration'!$A$5:$H$21,7,FALSE),1))</f>
        <v/>
      </c>
      <c r="BP850">
        <f>IF($H850="","",MAX(1,MIN(5,((6-$H850)*0.45)+($BJ850*0.20)+('Resilience &amp; Risk Scenario'!$B$7*0.15)+($BK850*0.10)+($BL850*0.05)+(IF($BB850="Fast",5,IF($BB850="Slow",1,3))*0.05))))</f>
        <v/>
      </c>
      <c r="BQ850">
        <f>IF($H850="","",MAX(IF($BN850="Yes",$BO850,1),MIN(5,($U850*0.20)+($V850*0.15)+($W850*0.25)+($X850*0.15)+($BJ850*0.10)+($BM850*0.15))))</f>
        <v/>
      </c>
      <c r="BR850">
        <f>IF(OR($BP850="",$BQ850=""),"",ROUND($BP850*$BQ850,2))</f>
        <v/>
      </c>
      <c r="BS850">
        <f>IF($BR850="","",ROUND($BR850*IF($AO850="",1,$AO850)*IF($AX850="",1,$AX850)*(1+(($BM850-3)*0.10))*IF($BC850="",1,$BC850),2))</f>
        <v/>
      </c>
    </row>
    <row r="851" ht="69.90000000000001" customHeight="1" s="209">
      <c r="A851">
        <f>IF($BD851="","",SUMPRODUCT(ISNUMBER($BD$500:$BD$923)*($BD$500:$BD$923&gt;$BD851))+COUNTIF($BD$500:$BD851,$BD851))</f>
        <v/>
      </c>
      <c r="B851">
        <f>IF($H851="","",IF($H851&lt;5,"Yes","Maintain"))</f>
        <v/>
      </c>
      <c r="C851" t="inlineStr">
        <is>
          <t>Data BI AI</t>
        </is>
      </c>
      <c r="D851" t="inlineStr">
        <is>
          <t>Data architecture</t>
        </is>
      </c>
      <c r="E851" t="inlineStr">
        <is>
          <t>DATA-011</t>
        </is>
      </c>
      <c r="F851" t="inlineStr">
        <is>
          <t>Data, BI, analytics and AI governance</t>
        </is>
      </c>
      <c r="G851">
        <f>IF($H851="","",IFERROR(INDEX('_ENGINE_Risk'!$H$41:$M$920,MATCH($E851,'_ENGINE_Risk'!$A$41:$A$920,0),$H851+1),""))</f>
        <v/>
      </c>
      <c r="H851">
        <f>IFERROR(VALUE(INDEX(_DATA_Assessment_Model!$H$5:$H$884,MATCH($E851,_DATA_Assessment_Model!$A$5:$A$884,0))),"")</f>
        <v/>
      </c>
      <c r="I851">
        <f>IF($H851="","",IFERROR(INDEX(_DATA_Assessment_Model!$L$5:$L$884,MATCH($E851,_DATA_Assessment_Model!$A$5:$A$884,0)),IF($H851&lt;=1,"Critical",IF($H851=2,"High",IF($H851=3,"Medium",IF($H851=4,"Low","Resilient"))))))</f>
        <v/>
      </c>
      <c r="J851">
        <f>IF($H851="","",MIN(5,MAX(1,6-$H851)))</f>
        <v/>
      </c>
      <c r="K851">
        <f>IF($H851="","",MAX(1,MIN(5,ROUNDUP(($U851*0.45)+($W851*0.35)+($X851*0.2),0))))</f>
        <v/>
      </c>
      <c r="L851">
        <f>IF($H851="","",$J851*$K851)</f>
        <v/>
      </c>
      <c r="M851">
        <f>IF($H851="","",MAX(1,MIN(5,ROUNDUP($L851/5,0))))</f>
        <v/>
      </c>
      <c r="N851">
        <f>IF($H851="","",IFERROR(INDEX('_ENGINE_Risk'!$T$41:$Y$920,MATCH($E851,'_ENGINE_Risk'!$A$41:$A$920,0),$H851+1),""))</f>
        <v/>
      </c>
      <c r="O851">
        <f>IF($H851="","",MAX(1,MIN(5,($U851+$V851+$X851)/3)))</f>
        <v/>
      </c>
      <c r="P851">
        <f>IF($H851="","",IF($I851="Critical",5,IF($I851="High",4,IF($I851="Medium",3,IF($I851="Low",2,1)))))</f>
        <v/>
      </c>
      <c r="Q851">
        <f>IF($H851="","",MAX(1,MIN(5,((5-$H851)*0.65)+($W851*0.35))))</f>
        <v/>
      </c>
      <c r="R851">
        <f>IF($H851="","",MAX(1,MIN(5,($V851+$X851)/2)))</f>
        <v/>
      </c>
      <c r="S851">
        <f>IF(OR($H851="",$N851=""),"",ROUND(($O851+$P851+$Q851+$R851)/$N851,2))</f>
        <v/>
      </c>
      <c r="T851">
        <f>IF($H851="","",IFERROR(INDEX('_ENGINE_Risk'!$N$41:$S$920,MATCH($E851,'_ENGINE_Risk'!$A$41:$A$920,0),$H851+1),""))</f>
        <v/>
      </c>
      <c r="U851">
        <f>IFERROR(INDEX(_DATA_Assessment_Model!$G$5:$G$884,MATCH($E851,_DATA_Assessment_Model!$A$5:$A$884,0)),"")</f>
        <v/>
      </c>
      <c r="V851">
        <f>IFERROR(INDEX(_DATA_Assessment_Model!$W$5:$W$884,MATCH($E851,_DATA_Assessment_Model!$A$5:$A$884,0)),"")</f>
        <v/>
      </c>
      <c r="W851">
        <f>IFERROR(INDEX(_DATA_Assessment_Model!$X$5:$X$884,MATCH($E851,_DATA_Assessment_Model!$A$5:$A$884,0)),"")</f>
        <v/>
      </c>
      <c r="X851">
        <f>IFERROR(INDEX(_DATA_Assessment_Model!$Y$5:$Y$884,MATCH($E851,_DATA_Assessment_Model!$A$5:$A$884,0)),"")</f>
        <v/>
      </c>
      <c r="Y851" t="inlineStr">
        <is>
          <t>Decision failure; Data loss; Regulatory/legal shock</t>
        </is>
      </c>
      <c r="Z851" t="inlineStr">
        <is>
          <t>CDO / BI / Analytics</t>
        </is>
      </c>
      <c r="AA851" t="inlineStr">
        <is>
          <t>Policy/SOP; owner/RACI; system report; dashboard; contracts; test records; incident history; interview evidence related to retention and deletion rules for structured and unstructured data.</t>
        </is>
      </c>
      <c r="AB851">
        <f>IFERROR(INDEX(_DATA_Assessment_Model!$U$5:$U$884,MATCH($E851,_DATA_Assessment_Model!$A$5:$A$884,0)),"")</f>
        <v/>
      </c>
      <c r="AF851" t="inlineStr">
        <is>
          <t>How mature is the organization in managing retention and deletion rules for structured and unstructured data, including ownership, evidence, metrics, fallback procedures and crisis stress testing?</t>
        </is>
      </c>
      <c r="AO851">
        <f>IF($B851="Yes",IFERROR(INDEX(_ENGINE_Crisis!$F$501:$F$517,MATCH($C851,_ENGINE_Crisis!$A$501:$A$517,0)),1),"")</f>
        <v/>
      </c>
      <c r="AP851">
        <f>IF(AO851="","",ROUND($L851*AO851,1))</f>
        <v/>
      </c>
      <c r="AQ851">
        <f>IF(OR(AO851="",$S851=""),"",ROUND($S851*(0.7+0.3*AO851),2))</f>
        <v/>
      </c>
      <c r="AR851">
        <f>IFERROR(INDEX(_ENGINE_Crisis!$E$41:$E$700,MATCH('Resilience &amp; Risk Scenario'!$B$60&amp;"|"&amp;$C851,_ENGINE_Crisis!$I$41:$I$700,0)),"")</f>
        <v/>
      </c>
      <c r="AS851">
        <f>IFERROR(INDEX(_ENGINE_Crisis!$G$41:$G$700,MATCH('Resilience &amp; Risk Scenario'!$B$60&amp;"|"&amp;$C851,_ENGINE_Crisis!$I$41:$I$700,0)),"")</f>
        <v/>
      </c>
      <c r="AT851">
        <f>IFERROR(INDEX(_ENGINE_Initiatives!$A$5:$A$532,MATCH(1,INDEX((_ENGINE_Initiatives!$B$5:$B$532=$C851)*(_ENGINE_Initiatives!$C$5:$C$532=$D851),0),0)),"")</f>
        <v/>
      </c>
      <c r="AU851">
        <f>IFERROR(INDEX(_ENGINE_Initiatives!$F$5:$F$532,MATCH(1,INDEX((_ENGINE_Initiatives!$B$5:$B$532=$C851)*(_ENGINE_Initiatives!$C$5:$C$532=$D851),0),0)),"")</f>
        <v/>
      </c>
      <c r="AV851">
        <f>IFERROR(INDEX(_ENGINE_Initiatives!$AC$5:$AC$532,MATCH(1,INDEX((_ENGINE_Initiatives!$B$5:$B$532=$C851)*(_ENGINE_Initiatives!$C$5:$C$532=$D851),0),0)),"")</f>
        <v/>
      </c>
      <c r="AW851">
        <f>IFERROR(INDEX(_ENGINE_Initiatives!$AE$5:$AE$532,MATCH(1,INDEX((_ENGINE_Initiatives!$B$5:$B$532=$C851)*(_ENGINE_Initiatives!$C$5:$C$532=$D851),0),0)),"")</f>
        <v/>
      </c>
      <c r="AX851">
        <f>IF($B851="Yes",IFERROR(IF(SUMIFS(_REF_Model_Content!$E$1:$E$613,_REF_Model_Content!$A$1:$A$613,'Company Profile'!$B$9,_REF_Model_Content!$B$1:$B$613,$C851)=0,1,SUMIFS(_REF_Model_Content!$E$1:$E$613,_REF_Model_Content!$A$1:$A$613,'Company Profile'!$B$9,_REF_Model_Content!$B$1:$B$613,$C851)),1),"")</f>
        <v/>
      </c>
      <c r="AY851">
        <f>IF($L851="","",ROUND(IF($AP851="",$L851,$AP851)*IF($AX851="",1,$AX851),2))</f>
        <v/>
      </c>
      <c r="AZ851">
        <f>IF($S851="","",ROUND(IF($AQ851="",$S851,$AQ851)*IF($AX851="",1,$AX851),2))</f>
        <v/>
      </c>
      <c r="BB851">
        <f>IF($H851="","",IFERROR(INDEX('_ENGINE_Risk'!$AE$41:$AE$920,MATCH($E851,'_ENGINE_Risk'!$A$41:$A$920,0)),"Medium"))</f>
        <v/>
      </c>
      <c r="BC851">
        <f>IF($BB851="","",IF($BB851="Fast",1.25,IF($BB851="Slow",0.85,1)))</f>
        <v/>
      </c>
      <c r="BD851">
        <f>IF(OR($AZ851="",$BC851=""),"",ROUND($AZ851*$BC851,2))</f>
        <v/>
      </c>
      <c r="BF851">
        <f>IF(OR($H851="",$J851=""),"",_xlfn.IFNA(VLOOKUP($J851,_CONFIG_Model_Settings!$D$610:$E$614,2,0),""))</f>
        <v/>
      </c>
      <c r="BG851">
        <f>IF(OR($H851="",$K851=""),"",ROUND('Company Profile'!$B$569*INDEX(_CONFIG_Model_Settings!$H$610:$H$614,MATCH($K851,_CONFIG_Model_Settings!$G$610:$G$614,0)),0))</f>
        <v/>
      </c>
      <c r="BH851">
        <f>IF(OR($BF851="",$BG851=""),"",ROUND($BF851*$BG851,1))</f>
        <v/>
      </c>
      <c r="BI851">
        <f>IF($BH851="","",IF($AO851="",$BH851,ROUND($BH851*$AO851,1)))</f>
        <v/>
      </c>
      <c r="BJ851">
        <f>IF($E851="","",IFERROR(VLOOKUP($C851,'_CONFIG_Risk_Calibration'!$A$5:$H$21,2,FALSE),3))</f>
        <v/>
      </c>
      <c r="BK851">
        <f>IF($E851="","",IFERROR(VLOOKUP($C851,'_CONFIG_Risk_Calibration'!$A$5:$H$21,3,FALSE),0))</f>
        <v/>
      </c>
      <c r="BL851">
        <f>IF($E851="","",IFERROR(VLOOKUP($C851,'_CONFIG_Risk_Calibration'!$A$5:$H$21,4,FALSE),3))</f>
        <v/>
      </c>
      <c r="BM851">
        <f>IF($E851="","",IFERROR(VLOOKUP($C851,'_CONFIG_Risk_Calibration'!$A$5:$H$21,5,FALSE),3))</f>
        <v/>
      </c>
      <c r="BN851">
        <f>IF($E851="","",IFERROR(VLOOKUP($C851,'_CONFIG_Risk_Calibration'!$A$5:$H$21,6,FALSE),"No"))</f>
        <v/>
      </c>
      <c r="BO851">
        <f>IF($E851="","",IFERROR(VLOOKUP($C851,'_CONFIG_Risk_Calibration'!$A$5:$H$21,7,FALSE),1))</f>
        <v/>
      </c>
      <c r="BP851">
        <f>IF($H851="","",MAX(1,MIN(5,((6-$H851)*0.45)+($BJ851*0.20)+('Resilience &amp; Risk Scenario'!$B$7*0.15)+($BK851*0.10)+($BL851*0.05)+(IF($BB851="Fast",5,IF($BB851="Slow",1,3))*0.05))))</f>
        <v/>
      </c>
      <c r="BQ851">
        <f>IF($H851="","",MAX(IF($BN851="Yes",$BO851,1),MIN(5,($U851*0.20)+($V851*0.15)+($W851*0.25)+($X851*0.15)+($BJ851*0.10)+($BM851*0.15))))</f>
        <v/>
      </c>
      <c r="BR851">
        <f>IF(OR($BP851="",$BQ851=""),"",ROUND($BP851*$BQ851,2))</f>
        <v/>
      </c>
      <c r="BS851">
        <f>IF($BR851="","",ROUND($BR851*IF($AO851="",1,$AO851)*IF($AX851="",1,$AX851)*(1+(($BM851-3)*0.10))*IF($BC851="",1,$BC851),2))</f>
        <v/>
      </c>
    </row>
    <row r="852" ht="69.90000000000001" customHeight="1" s="209">
      <c r="A852">
        <f>IF($BD852="","",SUMPRODUCT(ISNUMBER($BD$500:$BD$923)*($BD$500:$BD$923&gt;$BD852))+COUNTIF($BD$500:$BD852,$BD852))</f>
        <v/>
      </c>
      <c r="B852">
        <f>IF($H852="","",IF($H852&lt;5,"Yes","Maintain"))</f>
        <v/>
      </c>
      <c r="C852" t="inlineStr">
        <is>
          <t>Data BI AI</t>
        </is>
      </c>
      <c r="D852" t="inlineStr">
        <is>
          <t>Data architecture</t>
        </is>
      </c>
      <c r="E852" t="inlineStr">
        <is>
          <t>DATA-012</t>
        </is>
      </c>
      <c r="F852" t="inlineStr">
        <is>
          <t>Data, BI, analytics and AI governance</t>
        </is>
      </c>
      <c r="G852">
        <f>IF($H852="","",IFERROR(INDEX('_ENGINE_Risk'!$H$41:$M$920,MATCH($E852,'_ENGINE_Risk'!$A$41:$A$920,0),$H852+1),""))</f>
        <v/>
      </c>
      <c r="H852">
        <f>IFERROR(VALUE(INDEX(_DATA_Assessment_Model!$H$5:$H$884,MATCH($E852,_DATA_Assessment_Model!$A$5:$A$884,0))),"")</f>
        <v/>
      </c>
      <c r="I852">
        <f>IF($H852="","",IFERROR(INDEX(_DATA_Assessment_Model!$L$5:$L$884,MATCH($E852,_DATA_Assessment_Model!$A$5:$A$884,0)),IF($H852&lt;=1,"Critical",IF($H852=2,"High",IF($H852=3,"Medium",IF($H852=4,"Low","Resilient"))))))</f>
        <v/>
      </c>
      <c r="J852">
        <f>IF($H852="","",MIN(5,MAX(1,6-$H852)))</f>
        <v/>
      </c>
      <c r="K852">
        <f>IF($H852="","",MAX(1,MIN(5,ROUNDUP(($U852*0.45)+($W852*0.35)+($X852*0.2),0))))</f>
        <v/>
      </c>
      <c r="L852">
        <f>IF($H852="","",$J852*$K852)</f>
        <v/>
      </c>
      <c r="M852">
        <f>IF($H852="","",MAX(1,MIN(5,ROUNDUP($L852/5,0))))</f>
        <v/>
      </c>
      <c r="N852">
        <f>IF($H852="","",IFERROR(INDEX('_ENGINE_Risk'!$T$41:$Y$920,MATCH($E852,'_ENGINE_Risk'!$A$41:$A$920,0),$H852+1),""))</f>
        <v/>
      </c>
      <c r="O852">
        <f>IF($H852="","",MAX(1,MIN(5,($U852+$V852+$X852)/3)))</f>
        <v/>
      </c>
      <c r="P852">
        <f>IF($H852="","",IF($I852="Critical",5,IF($I852="High",4,IF($I852="Medium",3,IF($I852="Low",2,1)))))</f>
        <v/>
      </c>
      <c r="Q852">
        <f>IF($H852="","",MAX(1,MIN(5,((5-$H852)*0.65)+($W852*0.35))))</f>
        <v/>
      </c>
      <c r="R852">
        <f>IF($H852="","",MAX(1,MIN(5,($V852+$X852)/2)))</f>
        <v/>
      </c>
      <c r="S852">
        <f>IF(OR($H852="",$N852=""),"",ROUND(($O852+$P852+$Q852+$R852)/$N852,2))</f>
        <v/>
      </c>
      <c r="T852">
        <f>IF($H852="","",IFERROR(INDEX('_ENGINE_Risk'!$N$41:$S$920,MATCH($E852,'_ENGINE_Risk'!$A$41:$A$920,0),$H852+1),""))</f>
        <v/>
      </c>
      <c r="U852">
        <f>IFERROR(INDEX(_DATA_Assessment_Model!$G$5:$G$884,MATCH($E852,_DATA_Assessment_Model!$A$5:$A$884,0)),"")</f>
        <v/>
      </c>
      <c r="V852">
        <f>IFERROR(INDEX(_DATA_Assessment_Model!$W$5:$W$884,MATCH($E852,_DATA_Assessment_Model!$A$5:$A$884,0)),"")</f>
        <v/>
      </c>
      <c r="W852">
        <f>IFERROR(INDEX(_DATA_Assessment_Model!$X$5:$X$884,MATCH($E852,_DATA_Assessment_Model!$A$5:$A$884,0)),"")</f>
        <v/>
      </c>
      <c r="X852">
        <f>IFERROR(INDEX(_DATA_Assessment_Model!$Y$5:$Y$884,MATCH($E852,_DATA_Assessment_Model!$A$5:$A$884,0)),"")</f>
        <v/>
      </c>
      <c r="Y852" t="inlineStr">
        <is>
          <t>Decision failure; Data loss; Regulatory/legal shock</t>
        </is>
      </c>
      <c r="Z852" t="inlineStr">
        <is>
          <t>CDO / BI / Analytics</t>
        </is>
      </c>
      <c r="AA852" t="inlineStr">
        <is>
          <t>Policy/SOP; owner/RACI; system report; dashboard; contracts; test records; incident history; interview evidence related to external data source validation for quality, licensing, availability and continuity.</t>
        </is>
      </c>
      <c r="AB852">
        <f>IFERROR(INDEX(_DATA_Assessment_Model!$U$5:$U$884,MATCH($E852,_DATA_Assessment_Model!$A$5:$A$884,0)),"")</f>
        <v/>
      </c>
      <c r="AF852" t="inlineStr">
        <is>
          <t>How mature is the organization in managing external data source validation for quality, licensing, availability and continuity, including ownership, evidence, metrics, fallback procedures and crisis stress testing?</t>
        </is>
      </c>
      <c r="AO852">
        <f>IF($B852="Yes",IFERROR(INDEX(_ENGINE_Crisis!$F$501:$F$517,MATCH($C852,_ENGINE_Crisis!$A$501:$A$517,0)),1),"")</f>
        <v/>
      </c>
      <c r="AP852">
        <f>IF(AO852="","",ROUND($L852*AO852,1))</f>
        <v/>
      </c>
      <c r="AQ852">
        <f>IF(OR(AO852="",$S852=""),"",ROUND($S852*(0.7+0.3*AO852),2))</f>
        <v/>
      </c>
      <c r="AR852">
        <f>IFERROR(INDEX(_ENGINE_Crisis!$E$41:$E$700,MATCH('Resilience &amp; Risk Scenario'!$B$60&amp;"|"&amp;$C852,_ENGINE_Crisis!$I$41:$I$700,0)),"")</f>
        <v/>
      </c>
      <c r="AS852">
        <f>IFERROR(INDEX(_ENGINE_Crisis!$G$41:$G$700,MATCH('Resilience &amp; Risk Scenario'!$B$60&amp;"|"&amp;$C852,_ENGINE_Crisis!$I$41:$I$700,0)),"")</f>
        <v/>
      </c>
      <c r="AT852">
        <f>IFERROR(INDEX(_ENGINE_Initiatives!$A$5:$A$532,MATCH(1,INDEX((_ENGINE_Initiatives!$B$5:$B$532=$C852)*(_ENGINE_Initiatives!$C$5:$C$532=$D852),0),0)),"")</f>
        <v/>
      </c>
      <c r="AU852">
        <f>IFERROR(INDEX(_ENGINE_Initiatives!$F$5:$F$532,MATCH(1,INDEX((_ENGINE_Initiatives!$B$5:$B$532=$C852)*(_ENGINE_Initiatives!$C$5:$C$532=$D852),0),0)),"")</f>
        <v/>
      </c>
      <c r="AV852">
        <f>IFERROR(INDEX(_ENGINE_Initiatives!$AC$5:$AC$532,MATCH(1,INDEX((_ENGINE_Initiatives!$B$5:$B$532=$C852)*(_ENGINE_Initiatives!$C$5:$C$532=$D852),0),0)),"")</f>
        <v/>
      </c>
      <c r="AW852">
        <f>IFERROR(INDEX(_ENGINE_Initiatives!$AE$5:$AE$532,MATCH(1,INDEX((_ENGINE_Initiatives!$B$5:$B$532=$C852)*(_ENGINE_Initiatives!$C$5:$C$532=$D852),0),0)),"")</f>
        <v/>
      </c>
      <c r="AX852">
        <f>IF($B852="Yes",IFERROR(IF(SUMIFS(_REF_Model_Content!$E$1:$E$613,_REF_Model_Content!$A$1:$A$613,'Company Profile'!$B$9,_REF_Model_Content!$B$1:$B$613,$C852)=0,1,SUMIFS(_REF_Model_Content!$E$1:$E$613,_REF_Model_Content!$A$1:$A$613,'Company Profile'!$B$9,_REF_Model_Content!$B$1:$B$613,$C852)),1),"")</f>
        <v/>
      </c>
      <c r="AY852">
        <f>IF($L852="","",ROUND(IF($AP852="",$L852,$AP852)*IF($AX852="",1,$AX852),2))</f>
        <v/>
      </c>
      <c r="AZ852">
        <f>IF($S852="","",ROUND(IF($AQ852="",$S852,$AQ852)*IF($AX852="",1,$AX852),2))</f>
        <v/>
      </c>
      <c r="BB852">
        <f>IF($H852="","",IFERROR(INDEX('_ENGINE_Risk'!$AE$41:$AE$920,MATCH($E852,'_ENGINE_Risk'!$A$41:$A$920,0)),"Medium"))</f>
        <v/>
      </c>
      <c r="BC852">
        <f>IF($BB852="","",IF($BB852="Fast",1.25,IF($BB852="Slow",0.85,1)))</f>
        <v/>
      </c>
      <c r="BD852">
        <f>IF(OR($AZ852="",$BC852=""),"",ROUND($AZ852*$BC852,2))</f>
        <v/>
      </c>
      <c r="BF852">
        <f>IF(OR($H852="",$J852=""),"",_xlfn.IFNA(VLOOKUP($J852,_CONFIG_Model_Settings!$D$610:$E$614,2,0),""))</f>
        <v/>
      </c>
      <c r="BG852">
        <f>IF(OR($H852="",$K852=""),"",ROUND('Company Profile'!$B$569*INDEX(_CONFIG_Model_Settings!$H$610:$H$614,MATCH($K852,_CONFIG_Model_Settings!$G$610:$G$614,0)),0))</f>
        <v/>
      </c>
      <c r="BH852">
        <f>IF(OR($BF852="",$BG852=""),"",ROUND($BF852*$BG852,1))</f>
        <v/>
      </c>
      <c r="BI852">
        <f>IF($BH852="","",IF($AO852="",$BH852,ROUND($BH852*$AO852,1)))</f>
        <v/>
      </c>
      <c r="BJ852">
        <f>IF($E852="","",IFERROR(VLOOKUP($C852,'_CONFIG_Risk_Calibration'!$A$5:$H$21,2,FALSE),3))</f>
        <v/>
      </c>
      <c r="BK852">
        <f>IF($E852="","",IFERROR(VLOOKUP($C852,'_CONFIG_Risk_Calibration'!$A$5:$H$21,3,FALSE),0))</f>
        <v/>
      </c>
      <c r="BL852">
        <f>IF($E852="","",IFERROR(VLOOKUP($C852,'_CONFIG_Risk_Calibration'!$A$5:$H$21,4,FALSE),3))</f>
        <v/>
      </c>
      <c r="BM852">
        <f>IF($E852="","",IFERROR(VLOOKUP($C852,'_CONFIG_Risk_Calibration'!$A$5:$H$21,5,FALSE),3))</f>
        <v/>
      </c>
      <c r="BN852">
        <f>IF($E852="","",IFERROR(VLOOKUP($C852,'_CONFIG_Risk_Calibration'!$A$5:$H$21,6,FALSE),"No"))</f>
        <v/>
      </c>
      <c r="BO852">
        <f>IF($E852="","",IFERROR(VLOOKUP($C852,'_CONFIG_Risk_Calibration'!$A$5:$H$21,7,FALSE),1))</f>
        <v/>
      </c>
      <c r="BP852">
        <f>IF($H852="","",MAX(1,MIN(5,((6-$H852)*0.45)+($BJ852*0.20)+('Resilience &amp; Risk Scenario'!$B$7*0.15)+($BK852*0.10)+($BL852*0.05)+(IF($BB852="Fast",5,IF($BB852="Slow",1,3))*0.05))))</f>
        <v/>
      </c>
      <c r="BQ852">
        <f>IF($H852="","",MAX(IF($BN852="Yes",$BO852,1),MIN(5,($U852*0.20)+($V852*0.15)+($W852*0.25)+($X852*0.15)+($BJ852*0.10)+($BM852*0.15))))</f>
        <v/>
      </c>
      <c r="BR852">
        <f>IF(OR($BP852="",$BQ852=""),"",ROUND($BP852*$BQ852,2))</f>
        <v/>
      </c>
      <c r="BS852">
        <f>IF($BR852="","",ROUND($BR852*IF($AO852="",1,$AO852)*IF($AX852="",1,$AX852)*(1+(($BM852-3)*0.10))*IF($BC852="",1,$BC852),2))</f>
        <v/>
      </c>
    </row>
    <row r="853" ht="69.90000000000001" customHeight="1" s="209">
      <c r="A853">
        <f>IF($BD853="","",SUMPRODUCT(ISNUMBER($BD$500:$BD$923)*($BD$500:$BD$923&gt;$BD853))+COUNTIF($BD$500:$BD853,$BD853))</f>
        <v/>
      </c>
      <c r="B853">
        <f>IF($H853="","",IF($H853&lt;5,"Yes","Maintain"))</f>
        <v/>
      </c>
      <c r="C853" t="inlineStr">
        <is>
          <t>Data BI AI</t>
        </is>
      </c>
      <c r="D853" t="inlineStr">
        <is>
          <t>BI and analytics</t>
        </is>
      </c>
      <c r="E853" t="inlineStr">
        <is>
          <t>DATA-013</t>
        </is>
      </c>
      <c r="F853" t="inlineStr">
        <is>
          <t>Data, BI, analytics and AI governance</t>
        </is>
      </c>
      <c r="G853">
        <f>IF($H853="","",IFERROR(INDEX('_ENGINE_Risk'!$H$41:$M$920,MATCH($E853,'_ENGINE_Risk'!$A$41:$A$920,0),$H853+1),""))</f>
        <v/>
      </c>
      <c r="H853">
        <f>IFERROR(VALUE(INDEX(_DATA_Assessment_Model!$H$5:$H$884,MATCH($E853,_DATA_Assessment_Model!$A$5:$A$884,0))),"")</f>
        <v/>
      </c>
      <c r="I853">
        <f>IF($H853="","",IFERROR(INDEX(_DATA_Assessment_Model!$L$5:$L$884,MATCH($E853,_DATA_Assessment_Model!$A$5:$A$884,0)),IF($H853&lt;=1,"Critical",IF($H853=2,"High",IF($H853=3,"Medium",IF($H853=4,"Low","Resilient"))))))</f>
        <v/>
      </c>
      <c r="J853">
        <f>IF($H853="","",MIN(5,MAX(1,6-$H853)))</f>
        <v/>
      </c>
      <c r="K853">
        <f>IF($H853="","",MAX(1,MIN(5,ROUNDUP(($U853*0.45)+($W853*0.35)+($X853*0.2),0))))</f>
        <v/>
      </c>
      <c r="L853">
        <f>IF($H853="","",$J853*$K853)</f>
        <v/>
      </c>
      <c r="M853">
        <f>IF($H853="","",MAX(1,MIN(5,ROUNDUP($L853/5,0))))</f>
        <v/>
      </c>
      <c r="N853">
        <f>IF($H853="","",IFERROR(INDEX('_ENGINE_Risk'!$T$41:$Y$920,MATCH($E853,'_ENGINE_Risk'!$A$41:$A$920,0),$H853+1),""))</f>
        <v/>
      </c>
      <c r="O853">
        <f>IF($H853="","",MAX(1,MIN(5,($U853+$V853+$X853)/3)))</f>
        <v/>
      </c>
      <c r="P853">
        <f>IF($H853="","",IF($I853="Critical",5,IF($I853="High",4,IF($I853="Medium",3,IF($I853="Low",2,1)))))</f>
        <v/>
      </c>
      <c r="Q853">
        <f>IF($H853="","",MAX(1,MIN(5,((5-$H853)*0.65)+($W853*0.35))))</f>
        <v/>
      </c>
      <c r="R853">
        <f>IF($H853="","",MAX(1,MIN(5,($V853+$X853)/2)))</f>
        <v/>
      </c>
      <c r="S853">
        <f>IF(OR($H853="",$N853=""),"",ROUND(($O853+$P853+$Q853+$R853)/$N853,2))</f>
        <v/>
      </c>
      <c r="T853">
        <f>IF($H853="","",IFERROR(INDEX('_ENGINE_Risk'!$N$41:$S$920,MATCH($E853,'_ENGINE_Risk'!$A$41:$A$920,0),$H853+1),""))</f>
        <v/>
      </c>
      <c r="U853">
        <f>IFERROR(INDEX(_DATA_Assessment_Model!$G$5:$G$884,MATCH($E853,_DATA_Assessment_Model!$A$5:$A$884,0)),"")</f>
        <v/>
      </c>
      <c r="V853">
        <f>IFERROR(INDEX(_DATA_Assessment_Model!$W$5:$W$884,MATCH($E853,_DATA_Assessment_Model!$A$5:$A$884,0)),"")</f>
        <v/>
      </c>
      <c r="W853">
        <f>IFERROR(INDEX(_DATA_Assessment_Model!$X$5:$X$884,MATCH($E853,_DATA_Assessment_Model!$A$5:$A$884,0)),"")</f>
        <v/>
      </c>
      <c r="X853">
        <f>IFERROR(INDEX(_DATA_Assessment_Model!$Y$5:$Y$884,MATCH($E853,_DATA_Assessment_Model!$A$5:$A$884,0)),"")</f>
        <v/>
      </c>
      <c r="Y853" t="inlineStr">
        <is>
          <t>Decision failure; Data loss; Regulatory/legal shock</t>
        </is>
      </c>
      <c r="Z853" t="inlineStr">
        <is>
          <t>CDO / BI / Analytics</t>
        </is>
      </c>
      <c r="AA853" t="inlineStr">
        <is>
          <t>Policy/SOP; owner/RACI; system report; dashboard; contracts; test records; incident history; interview evidence related to executive dashboards for crisis KPIs such as cash, workforce, supply, delivery, revenue and incidents.</t>
        </is>
      </c>
      <c r="AB853">
        <f>IFERROR(INDEX(_DATA_Assessment_Model!$U$5:$U$884,MATCH($E853,_DATA_Assessment_Model!$A$5:$A$884,0)),"")</f>
        <v/>
      </c>
      <c r="AF853" t="inlineStr">
        <is>
          <t>How mature is the organization in managing executive dashboards for crisis KPIs such as cash, workforce, supply, delivery, revenue and incidents, including ownership, evidence, metrics, fallback procedures and crisis stress testing?</t>
        </is>
      </c>
      <c r="AO853">
        <f>IF($B853="Yes",IFERROR(INDEX(_ENGINE_Crisis!$F$501:$F$517,MATCH($C853,_ENGINE_Crisis!$A$501:$A$517,0)),1),"")</f>
        <v/>
      </c>
      <c r="AP853">
        <f>IF(AO853="","",ROUND($L853*AO853,1))</f>
        <v/>
      </c>
      <c r="AQ853">
        <f>IF(OR(AO853="",$S853=""),"",ROUND($S853*(0.7+0.3*AO853),2))</f>
        <v/>
      </c>
      <c r="AR853">
        <f>IFERROR(INDEX(_ENGINE_Crisis!$E$41:$E$700,MATCH('Resilience &amp; Risk Scenario'!$B$60&amp;"|"&amp;$C853,_ENGINE_Crisis!$I$41:$I$700,0)),"")</f>
        <v/>
      </c>
      <c r="AS853">
        <f>IFERROR(INDEX(_ENGINE_Crisis!$G$41:$G$700,MATCH('Resilience &amp; Risk Scenario'!$B$60&amp;"|"&amp;$C853,_ENGINE_Crisis!$I$41:$I$700,0)),"")</f>
        <v/>
      </c>
      <c r="AT853">
        <f>IFERROR(INDEX(_ENGINE_Initiatives!$A$5:$A$532,MATCH(1,INDEX((_ENGINE_Initiatives!$B$5:$B$532=$C853)*(_ENGINE_Initiatives!$C$5:$C$532=$D853),0),0)),"")</f>
        <v/>
      </c>
      <c r="AU853">
        <f>IFERROR(INDEX(_ENGINE_Initiatives!$F$5:$F$532,MATCH(1,INDEX((_ENGINE_Initiatives!$B$5:$B$532=$C853)*(_ENGINE_Initiatives!$C$5:$C$532=$D853),0),0)),"")</f>
        <v/>
      </c>
      <c r="AV853">
        <f>IFERROR(INDEX(_ENGINE_Initiatives!$AC$5:$AC$532,MATCH(1,INDEX((_ENGINE_Initiatives!$B$5:$B$532=$C853)*(_ENGINE_Initiatives!$C$5:$C$532=$D853),0),0)),"")</f>
        <v/>
      </c>
      <c r="AW853">
        <f>IFERROR(INDEX(_ENGINE_Initiatives!$AE$5:$AE$532,MATCH(1,INDEX((_ENGINE_Initiatives!$B$5:$B$532=$C853)*(_ENGINE_Initiatives!$C$5:$C$532=$D853),0),0)),"")</f>
        <v/>
      </c>
      <c r="AX853">
        <f>IF($B853="Yes",IFERROR(IF(SUMIFS(_REF_Model_Content!$E$1:$E$613,_REF_Model_Content!$A$1:$A$613,'Company Profile'!$B$9,_REF_Model_Content!$B$1:$B$613,$C853)=0,1,SUMIFS(_REF_Model_Content!$E$1:$E$613,_REF_Model_Content!$A$1:$A$613,'Company Profile'!$B$9,_REF_Model_Content!$B$1:$B$613,$C853)),1),"")</f>
        <v/>
      </c>
      <c r="AY853">
        <f>IF($L853="","",ROUND(IF($AP853="",$L853,$AP853)*IF($AX853="",1,$AX853),2))</f>
        <v/>
      </c>
      <c r="AZ853">
        <f>IF($S853="","",ROUND(IF($AQ853="",$S853,$AQ853)*IF($AX853="",1,$AX853),2))</f>
        <v/>
      </c>
      <c r="BB853">
        <f>IF($H853="","",IFERROR(INDEX('_ENGINE_Risk'!$AE$41:$AE$920,MATCH($E853,'_ENGINE_Risk'!$A$41:$A$920,0)),"Medium"))</f>
        <v/>
      </c>
      <c r="BC853">
        <f>IF($BB853="","",IF($BB853="Fast",1.25,IF($BB853="Slow",0.85,1)))</f>
        <v/>
      </c>
      <c r="BD853">
        <f>IF(OR($AZ853="",$BC853=""),"",ROUND($AZ853*$BC853,2))</f>
        <v/>
      </c>
      <c r="BF853">
        <f>IF(OR($H853="",$J853=""),"",_xlfn.IFNA(VLOOKUP($J853,_CONFIG_Model_Settings!$D$610:$E$614,2,0),""))</f>
        <v/>
      </c>
      <c r="BG853">
        <f>IF(OR($H853="",$K853=""),"",ROUND('Company Profile'!$B$569*INDEX(_CONFIG_Model_Settings!$H$610:$H$614,MATCH($K853,_CONFIG_Model_Settings!$G$610:$G$614,0)),0))</f>
        <v/>
      </c>
      <c r="BH853">
        <f>IF(OR($BF853="",$BG853=""),"",ROUND($BF853*$BG853,1))</f>
        <v/>
      </c>
      <c r="BI853">
        <f>IF($BH853="","",IF($AO853="",$BH853,ROUND($BH853*$AO853,1)))</f>
        <v/>
      </c>
      <c r="BJ853">
        <f>IF($E853="","",IFERROR(VLOOKUP($C853,'_CONFIG_Risk_Calibration'!$A$5:$H$21,2,FALSE),3))</f>
        <v/>
      </c>
      <c r="BK853">
        <f>IF($E853="","",IFERROR(VLOOKUP($C853,'_CONFIG_Risk_Calibration'!$A$5:$H$21,3,FALSE),0))</f>
        <v/>
      </c>
      <c r="BL853">
        <f>IF($E853="","",IFERROR(VLOOKUP($C853,'_CONFIG_Risk_Calibration'!$A$5:$H$21,4,FALSE),3))</f>
        <v/>
      </c>
      <c r="BM853">
        <f>IF($E853="","",IFERROR(VLOOKUP($C853,'_CONFIG_Risk_Calibration'!$A$5:$H$21,5,FALSE),3))</f>
        <v/>
      </c>
      <c r="BN853">
        <f>IF($E853="","",IFERROR(VLOOKUP($C853,'_CONFIG_Risk_Calibration'!$A$5:$H$21,6,FALSE),"No"))</f>
        <v/>
      </c>
      <c r="BO853">
        <f>IF($E853="","",IFERROR(VLOOKUP($C853,'_CONFIG_Risk_Calibration'!$A$5:$H$21,7,FALSE),1))</f>
        <v/>
      </c>
      <c r="BP853">
        <f>IF($H853="","",MAX(1,MIN(5,((6-$H853)*0.45)+($BJ853*0.20)+('Resilience &amp; Risk Scenario'!$B$7*0.15)+($BK853*0.10)+($BL853*0.05)+(IF($BB853="Fast",5,IF($BB853="Slow",1,3))*0.05))))</f>
        <v/>
      </c>
      <c r="BQ853">
        <f>IF($H853="","",MAX(IF($BN853="Yes",$BO853,1),MIN(5,($U853*0.20)+($V853*0.15)+($W853*0.25)+($X853*0.15)+($BJ853*0.10)+($BM853*0.15))))</f>
        <v/>
      </c>
      <c r="BR853">
        <f>IF(OR($BP853="",$BQ853=""),"",ROUND($BP853*$BQ853,2))</f>
        <v/>
      </c>
      <c r="BS853">
        <f>IF($BR853="","",ROUND($BR853*IF($AO853="",1,$AO853)*IF($AX853="",1,$AX853)*(1+(($BM853-3)*0.10))*IF($BC853="",1,$BC853),2))</f>
        <v/>
      </c>
    </row>
    <row r="854" ht="69.90000000000001" customHeight="1" s="209">
      <c r="A854">
        <f>IF($BD854="","",SUMPRODUCT(ISNUMBER($BD$500:$BD$923)*($BD$500:$BD$923&gt;$BD854))+COUNTIF($BD$500:$BD854,$BD854))</f>
        <v/>
      </c>
      <c r="B854">
        <f>IF($H854="","",IF($H854&lt;5,"Yes","Maintain"))</f>
        <v/>
      </c>
      <c r="C854" t="inlineStr">
        <is>
          <t>Data BI AI</t>
        </is>
      </c>
      <c r="D854" t="inlineStr">
        <is>
          <t>BI and analytics</t>
        </is>
      </c>
      <c r="E854" t="inlineStr">
        <is>
          <t>DATA-014</t>
        </is>
      </c>
      <c r="F854" t="inlineStr">
        <is>
          <t>Data, BI, analytics and AI governance</t>
        </is>
      </c>
      <c r="G854">
        <f>IF($H854="","",IFERROR(INDEX('_ENGINE_Risk'!$H$41:$M$920,MATCH($E854,'_ENGINE_Risk'!$A$41:$A$920,0),$H854+1),""))</f>
        <v/>
      </c>
      <c r="H854">
        <f>IFERROR(VALUE(INDEX(_DATA_Assessment_Model!$H$5:$H$884,MATCH($E854,_DATA_Assessment_Model!$A$5:$A$884,0))),"")</f>
        <v/>
      </c>
      <c r="I854">
        <f>IF($H854="","",IFERROR(INDEX(_DATA_Assessment_Model!$L$5:$L$884,MATCH($E854,_DATA_Assessment_Model!$A$5:$A$884,0)),IF($H854&lt;=1,"Critical",IF($H854=2,"High",IF($H854=3,"Medium",IF($H854=4,"Low","Resilient"))))))</f>
        <v/>
      </c>
      <c r="J854">
        <f>IF($H854="","",MIN(5,MAX(1,6-$H854)))</f>
        <v/>
      </c>
      <c r="K854">
        <f>IF($H854="","",MAX(1,MIN(5,ROUNDUP(($U854*0.45)+($W854*0.35)+($X854*0.2),0))))</f>
        <v/>
      </c>
      <c r="L854">
        <f>IF($H854="","",$J854*$K854)</f>
        <v/>
      </c>
      <c r="M854">
        <f>IF($H854="","",MAX(1,MIN(5,ROUNDUP($L854/5,0))))</f>
        <v/>
      </c>
      <c r="N854">
        <f>IF($H854="","",IFERROR(INDEX('_ENGINE_Risk'!$T$41:$Y$920,MATCH($E854,'_ENGINE_Risk'!$A$41:$A$920,0),$H854+1),""))</f>
        <v/>
      </c>
      <c r="O854">
        <f>IF($H854="","",MAX(1,MIN(5,($U854+$V854+$X854)/3)))</f>
        <v/>
      </c>
      <c r="P854">
        <f>IF($H854="","",IF($I854="Critical",5,IF($I854="High",4,IF($I854="Medium",3,IF($I854="Low",2,1)))))</f>
        <v/>
      </c>
      <c r="Q854">
        <f>IF($H854="","",MAX(1,MIN(5,((5-$H854)*0.65)+($W854*0.35))))</f>
        <v/>
      </c>
      <c r="R854">
        <f>IF($H854="","",MAX(1,MIN(5,($V854+$X854)/2)))</f>
        <v/>
      </c>
      <c r="S854">
        <f>IF(OR($H854="",$N854=""),"",ROUND(($O854+$P854+$Q854+$R854)/$N854,2))</f>
        <v/>
      </c>
      <c r="T854">
        <f>IF($H854="","",IFERROR(INDEX('_ENGINE_Risk'!$N$41:$S$920,MATCH($E854,'_ENGINE_Risk'!$A$41:$A$920,0),$H854+1),""))</f>
        <v/>
      </c>
      <c r="U854">
        <f>IFERROR(INDEX(_DATA_Assessment_Model!$G$5:$G$884,MATCH($E854,_DATA_Assessment_Model!$A$5:$A$884,0)),"")</f>
        <v/>
      </c>
      <c r="V854">
        <f>IFERROR(INDEX(_DATA_Assessment_Model!$W$5:$W$884,MATCH($E854,_DATA_Assessment_Model!$A$5:$A$884,0)),"")</f>
        <v/>
      </c>
      <c r="W854">
        <f>IFERROR(INDEX(_DATA_Assessment_Model!$X$5:$X$884,MATCH($E854,_DATA_Assessment_Model!$A$5:$A$884,0)),"")</f>
        <v/>
      </c>
      <c r="X854">
        <f>IFERROR(INDEX(_DATA_Assessment_Model!$Y$5:$Y$884,MATCH($E854,_DATA_Assessment_Model!$A$5:$A$884,0)),"")</f>
        <v/>
      </c>
      <c r="Y854" t="inlineStr">
        <is>
          <t>Decision failure; Data loss; Regulatory/legal shock</t>
        </is>
      </c>
      <c r="Z854" t="inlineStr">
        <is>
          <t>CDO / BI / Analytics</t>
        </is>
      </c>
      <c r="AA854" t="inlineStr">
        <is>
          <t>Policy/SOP; owner/RACI; system report; dashboard; contracts; test records; incident history; interview evidence related to operational dashboards for daily management and crisis response.</t>
        </is>
      </c>
      <c r="AB854">
        <f>IFERROR(INDEX(_DATA_Assessment_Model!$U$5:$U$884,MATCH($E854,_DATA_Assessment_Model!$A$5:$A$884,0)),"")</f>
        <v/>
      </c>
      <c r="AF854" t="inlineStr">
        <is>
          <t>How mature is the organization in managing operational dashboards for daily management and crisis response, including ownership, evidence, metrics, fallback procedures and crisis stress testing?</t>
        </is>
      </c>
      <c r="AO854">
        <f>IF($B854="Yes",IFERROR(INDEX(_ENGINE_Crisis!$F$501:$F$517,MATCH($C854,_ENGINE_Crisis!$A$501:$A$517,0)),1),"")</f>
        <v/>
      </c>
      <c r="AP854">
        <f>IF(AO854="","",ROUND($L854*AO854,1))</f>
        <v/>
      </c>
      <c r="AQ854">
        <f>IF(OR(AO854="",$S854=""),"",ROUND($S854*(0.7+0.3*AO854),2))</f>
        <v/>
      </c>
      <c r="AR854">
        <f>IFERROR(INDEX(_ENGINE_Crisis!$E$41:$E$700,MATCH('Resilience &amp; Risk Scenario'!$B$60&amp;"|"&amp;$C854,_ENGINE_Crisis!$I$41:$I$700,0)),"")</f>
        <v/>
      </c>
      <c r="AS854">
        <f>IFERROR(INDEX(_ENGINE_Crisis!$G$41:$G$700,MATCH('Resilience &amp; Risk Scenario'!$B$60&amp;"|"&amp;$C854,_ENGINE_Crisis!$I$41:$I$700,0)),"")</f>
        <v/>
      </c>
      <c r="AT854">
        <f>IFERROR(INDEX(_ENGINE_Initiatives!$A$5:$A$532,MATCH(1,INDEX((_ENGINE_Initiatives!$B$5:$B$532=$C854)*(_ENGINE_Initiatives!$C$5:$C$532=$D854),0),0)),"")</f>
        <v/>
      </c>
      <c r="AU854">
        <f>IFERROR(INDEX(_ENGINE_Initiatives!$F$5:$F$532,MATCH(1,INDEX((_ENGINE_Initiatives!$B$5:$B$532=$C854)*(_ENGINE_Initiatives!$C$5:$C$532=$D854),0),0)),"")</f>
        <v/>
      </c>
      <c r="AV854">
        <f>IFERROR(INDEX(_ENGINE_Initiatives!$AC$5:$AC$532,MATCH(1,INDEX((_ENGINE_Initiatives!$B$5:$B$532=$C854)*(_ENGINE_Initiatives!$C$5:$C$532=$D854),0),0)),"")</f>
        <v/>
      </c>
      <c r="AW854">
        <f>IFERROR(INDEX(_ENGINE_Initiatives!$AE$5:$AE$532,MATCH(1,INDEX((_ENGINE_Initiatives!$B$5:$B$532=$C854)*(_ENGINE_Initiatives!$C$5:$C$532=$D854),0),0)),"")</f>
        <v/>
      </c>
      <c r="AX854">
        <f>IF($B854="Yes",IFERROR(IF(SUMIFS(_REF_Model_Content!$E$1:$E$613,_REF_Model_Content!$A$1:$A$613,'Company Profile'!$B$9,_REF_Model_Content!$B$1:$B$613,$C854)=0,1,SUMIFS(_REF_Model_Content!$E$1:$E$613,_REF_Model_Content!$A$1:$A$613,'Company Profile'!$B$9,_REF_Model_Content!$B$1:$B$613,$C854)),1),"")</f>
        <v/>
      </c>
      <c r="AY854">
        <f>IF($L854="","",ROUND(IF($AP854="",$L854,$AP854)*IF($AX854="",1,$AX854),2))</f>
        <v/>
      </c>
      <c r="AZ854">
        <f>IF($S854="","",ROUND(IF($AQ854="",$S854,$AQ854)*IF($AX854="",1,$AX854),2))</f>
        <v/>
      </c>
      <c r="BB854">
        <f>IF($H854="","",IFERROR(INDEX('_ENGINE_Risk'!$AE$41:$AE$920,MATCH($E854,'_ENGINE_Risk'!$A$41:$A$920,0)),"Medium"))</f>
        <v/>
      </c>
      <c r="BC854">
        <f>IF($BB854="","",IF($BB854="Fast",1.25,IF($BB854="Slow",0.85,1)))</f>
        <v/>
      </c>
      <c r="BD854">
        <f>IF(OR($AZ854="",$BC854=""),"",ROUND($AZ854*$BC854,2))</f>
        <v/>
      </c>
      <c r="BF854">
        <f>IF(OR($H854="",$J854=""),"",_xlfn.IFNA(VLOOKUP($J854,_CONFIG_Model_Settings!$D$610:$E$614,2,0),""))</f>
        <v/>
      </c>
      <c r="BG854">
        <f>IF(OR($H854="",$K854=""),"",ROUND('Company Profile'!$B$569*INDEX(_CONFIG_Model_Settings!$H$610:$H$614,MATCH($K854,_CONFIG_Model_Settings!$G$610:$G$614,0)),0))</f>
        <v/>
      </c>
      <c r="BH854">
        <f>IF(OR($BF854="",$BG854=""),"",ROUND($BF854*$BG854,1))</f>
        <v/>
      </c>
      <c r="BI854">
        <f>IF($BH854="","",IF($AO854="",$BH854,ROUND($BH854*$AO854,1)))</f>
        <v/>
      </c>
      <c r="BJ854">
        <f>IF($E854="","",IFERROR(VLOOKUP($C854,'_CONFIG_Risk_Calibration'!$A$5:$H$21,2,FALSE),3))</f>
        <v/>
      </c>
      <c r="BK854">
        <f>IF($E854="","",IFERROR(VLOOKUP($C854,'_CONFIG_Risk_Calibration'!$A$5:$H$21,3,FALSE),0))</f>
        <v/>
      </c>
      <c r="BL854">
        <f>IF($E854="","",IFERROR(VLOOKUP($C854,'_CONFIG_Risk_Calibration'!$A$5:$H$21,4,FALSE),3))</f>
        <v/>
      </c>
      <c r="BM854">
        <f>IF($E854="","",IFERROR(VLOOKUP($C854,'_CONFIG_Risk_Calibration'!$A$5:$H$21,5,FALSE),3))</f>
        <v/>
      </c>
      <c r="BN854">
        <f>IF($E854="","",IFERROR(VLOOKUP($C854,'_CONFIG_Risk_Calibration'!$A$5:$H$21,6,FALSE),"No"))</f>
        <v/>
      </c>
      <c r="BO854">
        <f>IF($E854="","",IFERROR(VLOOKUP($C854,'_CONFIG_Risk_Calibration'!$A$5:$H$21,7,FALSE),1))</f>
        <v/>
      </c>
      <c r="BP854">
        <f>IF($H854="","",MAX(1,MIN(5,((6-$H854)*0.45)+($BJ854*0.20)+('Resilience &amp; Risk Scenario'!$B$7*0.15)+($BK854*0.10)+($BL854*0.05)+(IF($BB854="Fast",5,IF($BB854="Slow",1,3))*0.05))))</f>
        <v/>
      </c>
      <c r="BQ854">
        <f>IF($H854="","",MAX(IF($BN854="Yes",$BO854,1),MIN(5,($U854*0.20)+($V854*0.15)+($W854*0.25)+($X854*0.15)+($BJ854*0.10)+($BM854*0.15))))</f>
        <v/>
      </c>
      <c r="BR854">
        <f>IF(OR($BP854="",$BQ854=""),"",ROUND($BP854*$BQ854,2))</f>
        <v/>
      </c>
      <c r="BS854">
        <f>IF($BR854="","",ROUND($BR854*IF($AO854="",1,$AO854)*IF($AX854="",1,$AX854)*(1+(($BM854-3)*0.10))*IF($BC854="",1,$BC854),2))</f>
        <v/>
      </c>
    </row>
    <row r="855" ht="69.90000000000001" customHeight="1" s="209">
      <c r="A855">
        <f>IF($BD855="","",SUMPRODUCT(ISNUMBER($BD$500:$BD$923)*($BD$500:$BD$923&gt;$BD855))+COUNTIF($BD$500:$BD855,$BD855))</f>
        <v/>
      </c>
      <c r="B855">
        <f>IF($H855="","",IF($H855&lt;5,"Yes","Maintain"))</f>
        <v/>
      </c>
      <c r="C855" t="inlineStr">
        <is>
          <t>Data BI AI</t>
        </is>
      </c>
      <c r="D855" t="inlineStr">
        <is>
          <t>BI and analytics</t>
        </is>
      </c>
      <c r="E855" t="inlineStr">
        <is>
          <t>DATA-015</t>
        </is>
      </c>
      <c r="F855" t="inlineStr">
        <is>
          <t>Data, BI, analytics and AI governance</t>
        </is>
      </c>
      <c r="G855">
        <f>IF($H855="","",IFERROR(INDEX('_ENGINE_Risk'!$H$41:$M$920,MATCH($E855,'_ENGINE_Risk'!$A$41:$A$920,0),$H855+1),""))</f>
        <v/>
      </c>
      <c r="H855">
        <f>IFERROR(VALUE(INDEX(_DATA_Assessment_Model!$H$5:$H$884,MATCH($E855,_DATA_Assessment_Model!$A$5:$A$884,0))),"")</f>
        <v/>
      </c>
      <c r="I855">
        <f>IF($H855="","",IFERROR(INDEX(_DATA_Assessment_Model!$L$5:$L$884,MATCH($E855,_DATA_Assessment_Model!$A$5:$A$884,0)),IF($H855&lt;=1,"Critical",IF($H855=2,"High",IF($H855=3,"Medium",IF($H855=4,"Low","Resilient"))))))</f>
        <v/>
      </c>
      <c r="J855">
        <f>IF($H855="","",MIN(5,MAX(1,6-$H855)))</f>
        <v/>
      </c>
      <c r="K855">
        <f>IF($H855="","",MAX(1,MIN(5,ROUNDUP(($U855*0.45)+($W855*0.35)+($X855*0.2),0))))</f>
        <v/>
      </c>
      <c r="L855">
        <f>IF($H855="","",$J855*$K855)</f>
        <v/>
      </c>
      <c r="M855">
        <f>IF($H855="","",MAX(1,MIN(5,ROUNDUP($L855/5,0))))</f>
        <v/>
      </c>
      <c r="N855">
        <f>IF($H855="","",IFERROR(INDEX('_ENGINE_Risk'!$T$41:$Y$920,MATCH($E855,'_ENGINE_Risk'!$A$41:$A$920,0),$H855+1),""))</f>
        <v/>
      </c>
      <c r="O855">
        <f>IF($H855="","",MAX(1,MIN(5,($U855+$V855+$X855)/3)))</f>
        <v/>
      </c>
      <c r="P855">
        <f>IF($H855="","",IF($I855="Critical",5,IF($I855="High",4,IF($I855="Medium",3,IF($I855="Low",2,1)))))</f>
        <v/>
      </c>
      <c r="Q855">
        <f>IF($H855="","",MAX(1,MIN(5,((5-$H855)*0.65)+($W855*0.35))))</f>
        <v/>
      </c>
      <c r="R855">
        <f>IF($H855="","",MAX(1,MIN(5,($V855+$X855)/2)))</f>
        <v/>
      </c>
      <c r="S855">
        <f>IF(OR($H855="",$N855=""),"",ROUND(($O855+$P855+$Q855+$R855)/$N855,2))</f>
        <v/>
      </c>
      <c r="T855">
        <f>IF($H855="","",IFERROR(INDEX('_ENGINE_Risk'!$N$41:$S$920,MATCH($E855,'_ENGINE_Risk'!$A$41:$A$920,0),$H855+1),""))</f>
        <v/>
      </c>
      <c r="U855">
        <f>IFERROR(INDEX(_DATA_Assessment_Model!$G$5:$G$884,MATCH($E855,_DATA_Assessment_Model!$A$5:$A$884,0)),"")</f>
        <v/>
      </c>
      <c r="V855">
        <f>IFERROR(INDEX(_DATA_Assessment_Model!$W$5:$W$884,MATCH($E855,_DATA_Assessment_Model!$A$5:$A$884,0)),"")</f>
        <v/>
      </c>
      <c r="W855">
        <f>IFERROR(INDEX(_DATA_Assessment_Model!$X$5:$X$884,MATCH($E855,_DATA_Assessment_Model!$A$5:$A$884,0)),"")</f>
        <v/>
      </c>
      <c r="X855">
        <f>IFERROR(INDEX(_DATA_Assessment_Model!$Y$5:$Y$884,MATCH($E855,_DATA_Assessment_Model!$A$5:$A$884,0)),"")</f>
        <v/>
      </c>
      <c r="Y855" t="inlineStr">
        <is>
          <t>Decision failure; Data loss; Regulatory/legal shock</t>
        </is>
      </c>
      <c r="Z855" t="inlineStr">
        <is>
          <t>CDO / BI / Analytics</t>
        </is>
      </c>
      <c r="AA855" t="inlineStr">
        <is>
          <t>Policy/SOP; owner/RACI; system report; dashboard; contracts; test records; incident history; interview evidence related to single source of truth for critical reports instead of manually reconciled spreadsheets.</t>
        </is>
      </c>
      <c r="AB855">
        <f>IFERROR(INDEX(_DATA_Assessment_Model!$U$5:$U$884,MATCH($E855,_DATA_Assessment_Model!$A$5:$A$884,0)),"")</f>
        <v/>
      </c>
      <c r="AF855" t="inlineStr">
        <is>
          <t>How mature is the organization in managing single source of truth for critical reports instead of manually reconciled spreadsheets, including ownership, evidence, metrics, fallback procedures and crisis stress testing?</t>
        </is>
      </c>
      <c r="AO855">
        <f>IF($B855="Yes",IFERROR(INDEX(_ENGINE_Crisis!$F$501:$F$517,MATCH($C855,_ENGINE_Crisis!$A$501:$A$517,0)),1),"")</f>
        <v/>
      </c>
      <c r="AP855">
        <f>IF(AO855="","",ROUND($L855*AO855,1))</f>
        <v/>
      </c>
      <c r="AQ855">
        <f>IF(OR(AO855="",$S855=""),"",ROUND($S855*(0.7+0.3*AO855),2))</f>
        <v/>
      </c>
      <c r="AR855">
        <f>IFERROR(INDEX(_ENGINE_Crisis!$E$41:$E$700,MATCH('Resilience &amp; Risk Scenario'!$B$60&amp;"|"&amp;$C855,_ENGINE_Crisis!$I$41:$I$700,0)),"")</f>
        <v/>
      </c>
      <c r="AS855">
        <f>IFERROR(INDEX(_ENGINE_Crisis!$G$41:$G$700,MATCH('Resilience &amp; Risk Scenario'!$B$60&amp;"|"&amp;$C855,_ENGINE_Crisis!$I$41:$I$700,0)),"")</f>
        <v/>
      </c>
      <c r="AT855">
        <f>IFERROR(INDEX(_ENGINE_Initiatives!$A$5:$A$532,MATCH(1,INDEX((_ENGINE_Initiatives!$B$5:$B$532=$C855)*(_ENGINE_Initiatives!$C$5:$C$532=$D855),0),0)),"")</f>
        <v/>
      </c>
      <c r="AU855">
        <f>IFERROR(INDEX(_ENGINE_Initiatives!$F$5:$F$532,MATCH(1,INDEX((_ENGINE_Initiatives!$B$5:$B$532=$C855)*(_ENGINE_Initiatives!$C$5:$C$532=$D855),0),0)),"")</f>
        <v/>
      </c>
      <c r="AV855">
        <f>IFERROR(INDEX(_ENGINE_Initiatives!$AC$5:$AC$532,MATCH(1,INDEX((_ENGINE_Initiatives!$B$5:$B$532=$C855)*(_ENGINE_Initiatives!$C$5:$C$532=$D855),0),0)),"")</f>
        <v/>
      </c>
      <c r="AW855">
        <f>IFERROR(INDEX(_ENGINE_Initiatives!$AE$5:$AE$532,MATCH(1,INDEX((_ENGINE_Initiatives!$B$5:$B$532=$C855)*(_ENGINE_Initiatives!$C$5:$C$532=$D855),0),0)),"")</f>
        <v/>
      </c>
      <c r="AX855">
        <f>IF($B855="Yes",IFERROR(IF(SUMIFS(_REF_Model_Content!$E$1:$E$613,_REF_Model_Content!$A$1:$A$613,'Company Profile'!$B$9,_REF_Model_Content!$B$1:$B$613,$C855)=0,1,SUMIFS(_REF_Model_Content!$E$1:$E$613,_REF_Model_Content!$A$1:$A$613,'Company Profile'!$B$9,_REF_Model_Content!$B$1:$B$613,$C855)),1),"")</f>
        <v/>
      </c>
      <c r="AY855">
        <f>IF($L855="","",ROUND(IF($AP855="",$L855,$AP855)*IF($AX855="",1,$AX855),2))</f>
        <v/>
      </c>
      <c r="AZ855">
        <f>IF($S855="","",ROUND(IF($AQ855="",$S855,$AQ855)*IF($AX855="",1,$AX855),2))</f>
        <v/>
      </c>
      <c r="BB855">
        <f>IF($H855="","",IFERROR(INDEX('_ENGINE_Risk'!$AE$41:$AE$920,MATCH($E855,'_ENGINE_Risk'!$A$41:$A$920,0)),"Medium"))</f>
        <v/>
      </c>
      <c r="BC855">
        <f>IF($BB855="","",IF($BB855="Fast",1.25,IF($BB855="Slow",0.85,1)))</f>
        <v/>
      </c>
      <c r="BD855">
        <f>IF(OR($AZ855="",$BC855=""),"",ROUND($AZ855*$BC855,2))</f>
        <v/>
      </c>
      <c r="BF855">
        <f>IF(OR($H855="",$J855=""),"",_xlfn.IFNA(VLOOKUP($J855,_CONFIG_Model_Settings!$D$610:$E$614,2,0),""))</f>
        <v/>
      </c>
      <c r="BG855">
        <f>IF(OR($H855="",$K855=""),"",ROUND('Company Profile'!$B$569*INDEX(_CONFIG_Model_Settings!$H$610:$H$614,MATCH($K855,_CONFIG_Model_Settings!$G$610:$G$614,0)),0))</f>
        <v/>
      </c>
      <c r="BH855">
        <f>IF(OR($BF855="",$BG855=""),"",ROUND($BF855*$BG855,1))</f>
        <v/>
      </c>
      <c r="BI855">
        <f>IF($BH855="","",IF($AO855="",$BH855,ROUND($BH855*$AO855,1)))</f>
        <v/>
      </c>
      <c r="BJ855">
        <f>IF($E855="","",IFERROR(VLOOKUP($C855,'_CONFIG_Risk_Calibration'!$A$5:$H$21,2,FALSE),3))</f>
        <v/>
      </c>
      <c r="BK855">
        <f>IF($E855="","",IFERROR(VLOOKUP($C855,'_CONFIG_Risk_Calibration'!$A$5:$H$21,3,FALSE),0))</f>
        <v/>
      </c>
      <c r="BL855">
        <f>IF($E855="","",IFERROR(VLOOKUP($C855,'_CONFIG_Risk_Calibration'!$A$5:$H$21,4,FALSE),3))</f>
        <v/>
      </c>
      <c r="BM855">
        <f>IF($E855="","",IFERROR(VLOOKUP($C855,'_CONFIG_Risk_Calibration'!$A$5:$H$21,5,FALSE),3))</f>
        <v/>
      </c>
      <c r="BN855">
        <f>IF($E855="","",IFERROR(VLOOKUP($C855,'_CONFIG_Risk_Calibration'!$A$5:$H$21,6,FALSE),"No"))</f>
        <v/>
      </c>
      <c r="BO855">
        <f>IF($E855="","",IFERROR(VLOOKUP($C855,'_CONFIG_Risk_Calibration'!$A$5:$H$21,7,FALSE),1))</f>
        <v/>
      </c>
      <c r="BP855">
        <f>IF($H855="","",MAX(1,MIN(5,((6-$H855)*0.45)+($BJ855*0.20)+('Resilience &amp; Risk Scenario'!$B$7*0.15)+($BK855*0.10)+($BL855*0.05)+(IF($BB855="Fast",5,IF($BB855="Slow",1,3))*0.05))))</f>
        <v/>
      </c>
      <c r="BQ855">
        <f>IF($H855="","",MAX(IF($BN855="Yes",$BO855,1),MIN(5,($U855*0.20)+($V855*0.15)+($W855*0.25)+($X855*0.15)+($BJ855*0.10)+($BM855*0.15))))</f>
        <v/>
      </c>
      <c r="BR855">
        <f>IF(OR($BP855="",$BQ855=""),"",ROUND($BP855*$BQ855,2))</f>
        <v/>
      </c>
      <c r="BS855">
        <f>IF($BR855="","",ROUND($BR855*IF($AO855="",1,$AO855)*IF($AX855="",1,$AX855)*(1+(($BM855-3)*0.10))*IF($BC855="",1,$BC855),2))</f>
        <v/>
      </c>
    </row>
    <row r="856" ht="69.90000000000001" customHeight="1" s="209">
      <c r="A856">
        <f>IF($BD856="","",SUMPRODUCT(ISNUMBER($BD$500:$BD$923)*($BD$500:$BD$923&gt;$BD856))+COUNTIF($BD$500:$BD856,$BD856))</f>
        <v/>
      </c>
      <c r="B856">
        <f>IF($H856="","",IF($H856&lt;5,"Yes","Maintain"))</f>
        <v/>
      </c>
      <c r="C856" t="inlineStr">
        <is>
          <t>Data BI AI</t>
        </is>
      </c>
      <c r="D856" t="inlineStr">
        <is>
          <t>BI and analytics</t>
        </is>
      </c>
      <c r="E856" t="inlineStr">
        <is>
          <t>DATA-016</t>
        </is>
      </c>
      <c r="F856" t="inlineStr">
        <is>
          <t>Data, BI, analytics and AI governance</t>
        </is>
      </c>
      <c r="G856">
        <f>IF($H856="","",IFERROR(INDEX('_ENGINE_Risk'!$H$41:$M$920,MATCH($E856,'_ENGINE_Risk'!$A$41:$A$920,0),$H856+1),""))</f>
        <v/>
      </c>
      <c r="H856">
        <f>IFERROR(VALUE(INDEX(_DATA_Assessment_Model!$H$5:$H$884,MATCH($E856,_DATA_Assessment_Model!$A$5:$A$884,0))),"")</f>
        <v/>
      </c>
      <c r="I856">
        <f>IF($H856="","",IFERROR(INDEX(_DATA_Assessment_Model!$L$5:$L$884,MATCH($E856,_DATA_Assessment_Model!$A$5:$A$884,0)),IF($H856&lt;=1,"Critical",IF($H856=2,"High",IF($H856=3,"Medium",IF($H856=4,"Low","Resilient"))))))</f>
        <v/>
      </c>
      <c r="J856">
        <f>IF($H856="","",MIN(5,MAX(1,6-$H856)))</f>
        <v/>
      </c>
      <c r="K856">
        <f>IF($H856="","",MAX(1,MIN(5,ROUNDUP(($U856*0.45)+($W856*0.35)+($X856*0.2),0))))</f>
        <v/>
      </c>
      <c r="L856">
        <f>IF($H856="","",$J856*$K856)</f>
        <v/>
      </c>
      <c r="M856">
        <f>IF($H856="","",MAX(1,MIN(5,ROUNDUP($L856/5,0))))</f>
        <v/>
      </c>
      <c r="N856">
        <f>IF($H856="","",IFERROR(INDEX('_ENGINE_Risk'!$T$41:$Y$920,MATCH($E856,'_ENGINE_Risk'!$A$41:$A$920,0),$H856+1),""))</f>
        <v/>
      </c>
      <c r="O856">
        <f>IF($H856="","",MAX(1,MIN(5,($U856+$V856+$X856)/3)))</f>
        <v/>
      </c>
      <c r="P856">
        <f>IF($H856="","",IF($I856="Critical",5,IF($I856="High",4,IF($I856="Medium",3,IF($I856="Low",2,1)))))</f>
        <v/>
      </c>
      <c r="Q856">
        <f>IF($H856="","",MAX(1,MIN(5,((5-$H856)*0.65)+($W856*0.35))))</f>
        <v/>
      </c>
      <c r="R856">
        <f>IF($H856="","",MAX(1,MIN(5,($V856+$X856)/2)))</f>
        <v/>
      </c>
      <c r="S856">
        <f>IF(OR($H856="",$N856=""),"",ROUND(($O856+$P856+$Q856+$R856)/$N856,2))</f>
        <v/>
      </c>
      <c r="T856">
        <f>IF($H856="","",IFERROR(INDEX('_ENGINE_Risk'!$N$41:$S$920,MATCH($E856,'_ENGINE_Risk'!$A$41:$A$920,0),$H856+1),""))</f>
        <v/>
      </c>
      <c r="U856">
        <f>IFERROR(INDEX(_DATA_Assessment_Model!$G$5:$G$884,MATCH($E856,_DATA_Assessment_Model!$A$5:$A$884,0)),"")</f>
        <v/>
      </c>
      <c r="V856">
        <f>IFERROR(INDEX(_DATA_Assessment_Model!$W$5:$W$884,MATCH($E856,_DATA_Assessment_Model!$A$5:$A$884,0)),"")</f>
        <v/>
      </c>
      <c r="W856">
        <f>IFERROR(INDEX(_DATA_Assessment_Model!$X$5:$X$884,MATCH($E856,_DATA_Assessment_Model!$A$5:$A$884,0)),"")</f>
        <v/>
      </c>
      <c r="X856">
        <f>IFERROR(INDEX(_DATA_Assessment_Model!$Y$5:$Y$884,MATCH($E856,_DATA_Assessment_Model!$A$5:$A$884,0)),"")</f>
        <v/>
      </c>
      <c r="Y856" t="inlineStr">
        <is>
          <t>Decision failure; Data loss; Regulatory/legal shock</t>
        </is>
      </c>
      <c r="Z856" t="inlineStr">
        <is>
          <t>CDO / BI / Analytics</t>
        </is>
      </c>
      <c r="AA856" t="inlineStr">
        <is>
          <t>Policy/SOP; owner/RACI; system report; dashboard; contracts; test records; incident history; interview evidence related to self-service analytics governance to avoid uncontrolled reporting.</t>
        </is>
      </c>
      <c r="AB856">
        <f>IFERROR(INDEX(_DATA_Assessment_Model!$U$5:$U$884,MATCH($E856,_DATA_Assessment_Model!$A$5:$A$884,0)),"")</f>
        <v/>
      </c>
      <c r="AF856" t="inlineStr">
        <is>
          <t>How mature is the organization in managing self-service analytics governance to avoid uncontrolled reporting, including ownership, evidence, metrics, fallback procedures and crisis stress testing?</t>
        </is>
      </c>
      <c r="AO856">
        <f>IF($B856="Yes",IFERROR(INDEX(_ENGINE_Crisis!$F$501:$F$517,MATCH($C856,_ENGINE_Crisis!$A$501:$A$517,0)),1),"")</f>
        <v/>
      </c>
      <c r="AP856">
        <f>IF(AO856="","",ROUND($L856*AO856,1))</f>
        <v/>
      </c>
      <c r="AQ856">
        <f>IF(OR(AO856="",$S856=""),"",ROUND($S856*(0.7+0.3*AO856),2))</f>
        <v/>
      </c>
      <c r="AR856">
        <f>IFERROR(INDEX(_ENGINE_Crisis!$E$41:$E$700,MATCH('Resilience &amp; Risk Scenario'!$B$60&amp;"|"&amp;$C856,_ENGINE_Crisis!$I$41:$I$700,0)),"")</f>
        <v/>
      </c>
      <c r="AS856">
        <f>IFERROR(INDEX(_ENGINE_Crisis!$G$41:$G$700,MATCH('Resilience &amp; Risk Scenario'!$B$60&amp;"|"&amp;$C856,_ENGINE_Crisis!$I$41:$I$700,0)),"")</f>
        <v/>
      </c>
      <c r="AT856">
        <f>IFERROR(INDEX(_ENGINE_Initiatives!$A$5:$A$532,MATCH(1,INDEX((_ENGINE_Initiatives!$B$5:$B$532=$C856)*(_ENGINE_Initiatives!$C$5:$C$532=$D856),0),0)),"")</f>
        <v/>
      </c>
      <c r="AU856">
        <f>IFERROR(INDEX(_ENGINE_Initiatives!$F$5:$F$532,MATCH(1,INDEX((_ENGINE_Initiatives!$B$5:$B$532=$C856)*(_ENGINE_Initiatives!$C$5:$C$532=$D856),0),0)),"")</f>
        <v/>
      </c>
      <c r="AV856">
        <f>IFERROR(INDEX(_ENGINE_Initiatives!$AC$5:$AC$532,MATCH(1,INDEX((_ENGINE_Initiatives!$B$5:$B$532=$C856)*(_ENGINE_Initiatives!$C$5:$C$532=$D856),0),0)),"")</f>
        <v/>
      </c>
      <c r="AW856">
        <f>IFERROR(INDEX(_ENGINE_Initiatives!$AE$5:$AE$532,MATCH(1,INDEX((_ENGINE_Initiatives!$B$5:$B$532=$C856)*(_ENGINE_Initiatives!$C$5:$C$532=$D856),0),0)),"")</f>
        <v/>
      </c>
      <c r="AX856">
        <f>IF($B856="Yes",IFERROR(IF(SUMIFS(_REF_Model_Content!$E$1:$E$613,_REF_Model_Content!$A$1:$A$613,'Company Profile'!$B$9,_REF_Model_Content!$B$1:$B$613,$C856)=0,1,SUMIFS(_REF_Model_Content!$E$1:$E$613,_REF_Model_Content!$A$1:$A$613,'Company Profile'!$B$9,_REF_Model_Content!$B$1:$B$613,$C856)),1),"")</f>
        <v/>
      </c>
      <c r="AY856">
        <f>IF($L856="","",ROUND(IF($AP856="",$L856,$AP856)*IF($AX856="",1,$AX856),2))</f>
        <v/>
      </c>
      <c r="AZ856">
        <f>IF($S856="","",ROUND(IF($AQ856="",$S856,$AQ856)*IF($AX856="",1,$AX856),2))</f>
        <v/>
      </c>
      <c r="BB856">
        <f>IF($H856="","",IFERROR(INDEX('_ENGINE_Risk'!$AE$41:$AE$920,MATCH($E856,'_ENGINE_Risk'!$A$41:$A$920,0)),"Medium"))</f>
        <v/>
      </c>
      <c r="BC856">
        <f>IF($BB856="","",IF($BB856="Fast",1.25,IF($BB856="Slow",0.85,1)))</f>
        <v/>
      </c>
      <c r="BD856">
        <f>IF(OR($AZ856="",$BC856=""),"",ROUND($AZ856*$BC856,2))</f>
        <v/>
      </c>
      <c r="BF856">
        <f>IF(OR($H856="",$J856=""),"",_xlfn.IFNA(VLOOKUP($J856,_CONFIG_Model_Settings!$D$610:$E$614,2,0),""))</f>
        <v/>
      </c>
      <c r="BG856">
        <f>IF(OR($H856="",$K856=""),"",ROUND('Company Profile'!$B$569*INDEX(_CONFIG_Model_Settings!$H$610:$H$614,MATCH($K856,_CONFIG_Model_Settings!$G$610:$G$614,0)),0))</f>
        <v/>
      </c>
      <c r="BH856">
        <f>IF(OR($BF856="",$BG856=""),"",ROUND($BF856*$BG856,1))</f>
        <v/>
      </c>
      <c r="BI856">
        <f>IF($BH856="","",IF($AO856="",$BH856,ROUND($BH856*$AO856,1)))</f>
        <v/>
      </c>
      <c r="BJ856">
        <f>IF($E856="","",IFERROR(VLOOKUP($C856,'_CONFIG_Risk_Calibration'!$A$5:$H$21,2,FALSE),3))</f>
        <v/>
      </c>
      <c r="BK856">
        <f>IF($E856="","",IFERROR(VLOOKUP($C856,'_CONFIG_Risk_Calibration'!$A$5:$H$21,3,FALSE),0))</f>
        <v/>
      </c>
      <c r="BL856">
        <f>IF($E856="","",IFERROR(VLOOKUP($C856,'_CONFIG_Risk_Calibration'!$A$5:$H$21,4,FALSE),3))</f>
        <v/>
      </c>
      <c r="BM856">
        <f>IF($E856="","",IFERROR(VLOOKUP($C856,'_CONFIG_Risk_Calibration'!$A$5:$H$21,5,FALSE),3))</f>
        <v/>
      </c>
      <c r="BN856">
        <f>IF($E856="","",IFERROR(VLOOKUP($C856,'_CONFIG_Risk_Calibration'!$A$5:$H$21,6,FALSE),"No"))</f>
        <v/>
      </c>
      <c r="BO856">
        <f>IF($E856="","",IFERROR(VLOOKUP($C856,'_CONFIG_Risk_Calibration'!$A$5:$H$21,7,FALSE),1))</f>
        <v/>
      </c>
      <c r="BP856">
        <f>IF($H856="","",MAX(1,MIN(5,((6-$H856)*0.45)+($BJ856*0.20)+('Resilience &amp; Risk Scenario'!$B$7*0.15)+($BK856*0.10)+($BL856*0.05)+(IF($BB856="Fast",5,IF($BB856="Slow",1,3))*0.05))))</f>
        <v/>
      </c>
      <c r="BQ856">
        <f>IF($H856="","",MAX(IF($BN856="Yes",$BO856,1),MIN(5,($U856*0.20)+($V856*0.15)+($W856*0.25)+($X856*0.15)+($BJ856*0.10)+($BM856*0.15))))</f>
        <v/>
      </c>
      <c r="BR856">
        <f>IF(OR($BP856="",$BQ856=""),"",ROUND($BP856*$BQ856,2))</f>
        <v/>
      </c>
      <c r="BS856">
        <f>IF($BR856="","",ROUND($BR856*IF($AO856="",1,$AO856)*IF($AX856="",1,$AX856)*(1+(($BM856-3)*0.10))*IF($BC856="",1,$BC856),2))</f>
        <v/>
      </c>
    </row>
    <row r="857" ht="69.90000000000001" customHeight="1" s="209">
      <c r="A857">
        <f>IF($BD857="","",SUMPRODUCT(ISNUMBER($BD$500:$BD$923)*($BD$500:$BD$923&gt;$BD857))+COUNTIF($BD$500:$BD857,$BD857))</f>
        <v/>
      </c>
      <c r="B857">
        <f>IF($H857="","",IF($H857&lt;5,"Yes","Maintain"))</f>
        <v/>
      </c>
      <c r="C857" t="inlineStr">
        <is>
          <t>Data BI AI</t>
        </is>
      </c>
      <c r="D857" t="inlineStr">
        <is>
          <t>BI and analytics</t>
        </is>
      </c>
      <c r="E857" t="inlineStr">
        <is>
          <t>DATA-017</t>
        </is>
      </c>
      <c r="F857" t="inlineStr">
        <is>
          <t>Data, BI, analytics and AI governance</t>
        </is>
      </c>
      <c r="G857">
        <f>IF($H857="","",IFERROR(INDEX('_ENGINE_Risk'!$H$41:$M$920,MATCH($E857,'_ENGINE_Risk'!$A$41:$A$920,0),$H857+1),""))</f>
        <v/>
      </c>
      <c r="H857">
        <f>IFERROR(VALUE(INDEX(_DATA_Assessment_Model!$H$5:$H$884,MATCH($E857,_DATA_Assessment_Model!$A$5:$A$884,0))),"")</f>
        <v/>
      </c>
      <c r="I857">
        <f>IF($H857="","",IFERROR(INDEX(_DATA_Assessment_Model!$L$5:$L$884,MATCH($E857,_DATA_Assessment_Model!$A$5:$A$884,0)),IF($H857&lt;=1,"Critical",IF($H857=2,"High",IF($H857=3,"Medium",IF($H857=4,"Low","Resilient"))))))</f>
        <v/>
      </c>
      <c r="J857">
        <f>IF($H857="","",MIN(5,MAX(1,6-$H857)))</f>
        <v/>
      </c>
      <c r="K857">
        <f>IF($H857="","",MAX(1,MIN(5,ROUNDUP(($U857*0.45)+($W857*0.35)+($X857*0.2),0))))</f>
        <v/>
      </c>
      <c r="L857">
        <f>IF($H857="","",$J857*$K857)</f>
        <v/>
      </c>
      <c r="M857">
        <f>IF($H857="","",MAX(1,MIN(5,ROUNDUP($L857/5,0))))</f>
        <v/>
      </c>
      <c r="N857">
        <f>IF($H857="","",IFERROR(INDEX('_ENGINE_Risk'!$T$41:$Y$920,MATCH($E857,'_ENGINE_Risk'!$A$41:$A$920,0),$H857+1),""))</f>
        <v/>
      </c>
      <c r="O857">
        <f>IF($H857="","",MAX(1,MIN(5,($U857+$V857+$X857)/3)))</f>
        <v/>
      </c>
      <c r="P857">
        <f>IF($H857="","",IF($I857="Critical",5,IF($I857="High",4,IF($I857="Medium",3,IF($I857="Low",2,1)))))</f>
        <v/>
      </c>
      <c r="Q857">
        <f>IF($H857="","",MAX(1,MIN(5,((5-$H857)*0.65)+($W857*0.35))))</f>
        <v/>
      </c>
      <c r="R857">
        <f>IF($H857="","",MAX(1,MIN(5,($V857+$X857)/2)))</f>
        <v/>
      </c>
      <c r="S857">
        <f>IF(OR($H857="",$N857=""),"",ROUND(($O857+$P857+$Q857+$R857)/$N857,2))</f>
        <v/>
      </c>
      <c r="T857">
        <f>IF($H857="","",IFERROR(INDEX('_ENGINE_Risk'!$N$41:$S$920,MATCH($E857,'_ENGINE_Risk'!$A$41:$A$920,0),$H857+1),""))</f>
        <v/>
      </c>
      <c r="U857">
        <f>IFERROR(INDEX(_DATA_Assessment_Model!$G$5:$G$884,MATCH($E857,_DATA_Assessment_Model!$A$5:$A$884,0)),"")</f>
        <v/>
      </c>
      <c r="V857">
        <f>IFERROR(INDEX(_DATA_Assessment_Model!$W$5:$W$884,MATCH($E857,_DATA_Assessment_Model!$A$5:$A$884,0)),"")</f>
        <v/>
      </c>
      <c r="W857">
        <f>IFERROR(INDEX(_DATA_Assessment_Model!$X$5:$X$884,MATCH($E857,_DATA_Assessment_Model!$A$5:$A$884,0)),"")</f>
        <v/>
      </c>
      <c r="X857">
        <f>IFERROR(INDEX(_DATA_Assessment_Model!$Y$5:$Y$884,MATCH($E857,_DATA_Assessment_Model!$A$5:$A$884,0)),"")</f>
        <v/>
      </c>
      <c r="Y857" t="inlineStr">
        <is>
          <t>Decision failure; Data loss; Regulatory/legal shock</t>
        </is>
      </c>
      <c r="Z857" t="inlineStr">
        <is>
          <t>CDO / BI / Analytics</t>
        </is>
      </c>
      <c r="AA857" t="inlineStr">
        <is>
          <t>Policy/SOP; owner/RACI; system report; dashboard; contracts; test records; incident history; interview evidence related to rapid ad hoc crisis reporting without breaking data controls.</t>
        </is>
      </c>
      <c r="AB857">
        <f>IFERROR(INDEX(_DATA_Assessment_Model!$U$5:$U$884,MATCH($E857,_DATA_Assessment_Model!$A$5:$A$884,0)),"")</f>
        <v/>
      </c>
      <c r="AF857" t="inlineStr">
        <is>
          <t>How mature is the organization in managing rapid ad hoc crisis reporting without breaking data controls, including ownership, evidence, metrics, fallback procedures and crisis stress testing?</t>
        </is>
      </c>
      <c r="AO857">
        <f>IF($B857="Yes",IFERROR(INDEX(_ENGINE_Crisis!$F$501:$F$517,MATCH($C857,_ENGINE_Crisis!$A$501:$A$517,0)),1),"")</f>
        <v/>
      </c>
      <c r="AP857">
        <f>IF(AO857="","",ROUND($L857*AO857,1))</f>
        <v/>
      </c>
      <c r="AQ857">
        <f>IF(OR(AO857="",$S857=""),"",ROUND($S857*(0.7+0.3*AO857),2))</f>
        <v/>
      </c>
      <c r="AR857">
        <f>IFERROR(INDEX(_ENGINE_Crisis!$E$41:$E$700,MATCH('Resilience &amp; Risk Scenario'!$B$60&amp;"|"&amp;$C857,_ENGINE_Crisis!$I$41:$I$700,0)),"")</f>
        <v/>
      </c>
      <c r="AS857">
        <f>IFERROR(INDEX(_ENGINE_Crisis!$G$41:$G$700,MATCH('Resilience &amp; Risk Scenario'!$B$60&amp;"|"&amp;$C857,_ENGINE_Crisis!$I$41:$I$700,0)),"")</f>
        <v/>
      </c>
      <c r="AT857">
        <f>IFERROR(INDEX(_ENGINE_Initiatives!$A$5:$A$532,MATCH(1,INDEX((_ENGINE_Initiatives!$B$5:$B$532=$C857)*(_ENGINE_Initiatives!$C$5:$C$532=$D857),0),0)),"")</f>
        <v/>
      </c>
      <c r="AU857">
        <f>IFERROR(INDEX(_ENGINE_Initiatives!$F$5:$F$532,MATCH(1,INDEX((_ENGINE_Initiatives!$B$5:$B$532=$C857)*(_ENGINE_Initiatives!$C$5:$C$532=$D857),0),0)),"")</f>
        <v/>
      </c>
      <c r="AV857">
        <f>IFERROR(INDEX(_ENGINE_Initiatives!$AC$5:$AC$532,MATCH(1,INDEX((_ENGINE_Initiatives!$B$5:$B$532=$C857)*(_ENGINE_Initiatives!$C$5:$C$532=$D857),0),0)),"")</f>
        <v/>
      </c>
      <c r="AW857">
        <f>IFERROR(INDEX(_ENGINE_Initiatives!$AE$5:$AE$532,MATCH(1,INDEX((_ENGINE_Initiatives!$B$5:$B$532=$C857)*(_ENGINE_Initiatives!$C$5:$C$532=$D857),0),0)),"")</f>
        <v/>
      </c>
      <c r="AX857">
        <f>IF($B857="Yes",IFERROR(IF(SUMIFS(_REF_Model_Content!$E$1:$E$613,_REF_Model_Content!$A$1:$A$613,'Company Profile'!$B$9,_REF_Model_Content!$B$1:$B$613,$C857)=0,1,SUMIFS(_REF_Model_Content!$E$1:$E$613,_REF_Model_Content!$A$1:$A$613,'Company Profile'!$B$9,_REF_Model_Content!$B$1:$B$613,$C857)),1),"")</f>
        <v/>
      </c>
      <c r="AY857">
        <f>IF($L857="","",ROUND(IF($AP857="",$L857,$AP857)*IF($AX857="",1,$AX857),2))</f>
        <v/>
      </c>
      <c r="AZ857">
        <f>IF($S857="","",ROUND(IF($AQ857="",$S857,$AQ857)*IF($AX857="",1,$AX857),2))</f>
        <v/>
      </c>
      <c r="BB857">
        <f>IF($H857="","",IFERROR(INDEX('_ENGINE_Risk'!$AE$41:$AE$920,MATCH($E857,'_ENGINE_Risk'!$A$41:$A$920,0)),"Medium"))</f>
        <v/>
      </c>
      <c r="BC857">
        <f>IF($BB857="","",IF($BB857="Fast",1.25,IF($BB857="Slow",0.85,1)))</f>
        <v/>
      </c>
      <c r="BD857">
        <f>IF(OR($AZ857="",$BC857=""),"",ROUND($AZ857*$BC857,2))</f>
        <v/>
      </c>
      <c r="BF857">
        <f>IF(OR($H857="",$J857=""),"",_xlfn.IFNA(VLOOKUP($J857,_CONFIG_Model_Settings!$D$610:$E$614,2,0),""))</f>
        <v/>
      </c>
      <c r="BG857">
        <f>IF(OR($H857="",$K857=""),"",ROUND('Company Profile'!$B$569*INDEX(_CONFIG_Model_Settings!$H$610:$H$614,MATCH($K857,_CONFIG_Model_Settings!$G$610:$G$614,0)),0))</f>
        <v/>
      </c>
      <c r="BH857">
        <f>IF(OR($BF857="",$BG857=""),"",ROUND($BF857*$BG857,1))</f>
        <v/>
      </c>
      <c r="BI857">
        <f>IF($BH857="","",IF($AO857="",$BH857,ROUND($BH857*$AO857,1)))</f>
        <v/>
      </c>
      <c r="BJ857">
        <f>IF($E857="","",IFERROR(VLOOKUP($C857,'_CONFIG_Risk_Calibration'!$A$5:$H$21,2,FALSE),3))</f>
        <v/>
      </c>
      <c r="BK857">
        <f>IF($E857="","",IFERROR(VLOOKUP($C857,'_CONFIG_Risk_Calibration'!$A$5:$H$21,3,FALSE),0))</f>
        <v/>
      </c>
      <c r="BL857">
        <f>IF($E857="","",IFERROR(VLOOKUP($C857,'_CONFIG_Risk_Calibration'!$A$5:$H$21,4,FALSE),3))</f>
        <v/>
      </c>
      <c r="BM857">
        <f>IF($E857="","",IFERROR(VLOOKUP($C857,'_CONFIG_Risk_Calibration'!$A$5:$H$21,5,FALSE),3))</f>
        <v/>
      </c>
      <c r="BN857">
        <f>IF($E857="","",IFERROR(VLOOKUP($C857,'_CONFIG_Risk_Calibration'!$A$5:$H$21,6,FALSE),"No"))</f>
        <v/>
      </c>
      <c r="BO857">
        <f>IF($E857="","",IFERROR(VLOOKUP($C857,'_CONFIG_Risk_Calibration'!$A$5:$H$21,7,FALSE),1))</f>
        <v/>
      </c>
      <c r="BP857">
        <f>IF($H857="","",MAX(1,MIN(5,((6-$H857)*0.45)+($BJ857*0.20)+('Resilience &amp; Risk Scenario'!$B$7*0.15)+($BK857*0.10)+($BL857*0.05)+(IF($BB857="Fast",5,IF($BB857="Slow",1,3))*0.05))))</f>
        <v/>
      </c>
      <c r="BQ857">
        <f>IF($H857="","",MAX(IF($BN857="Yes",$BO857,1),MIN(5,($U857*0.20)+($V857*0.15)+($W857*0.25)+($X857*0.15)+($BJ857*0.10)+($BM857*0.15))))</f>
        <v/>
      </c>
      <c r="BR857">
        <f>IF(OR($BP857="",$BQ857=""),"",ROUND($BP857*$BQ857,2))</f>
        <v/>
      </c>
      <c r="BS857">
        <f>IF($BR857="","",ROUND($BR857*IF($AO857="",1,$AO857)*IF($AX857="",1,$AX857)*(1+(($BM857-3)*0.10))*IF($BC857="",1,$BC857),2))</f>
        <v/>
      </c>
    </row>
    <row r="858" ht="69.90000000000001" customHeight="1" s="209">
      <c r="A858">
        <f>IF($BD858="","",SUMPRODUCT(ISNUMBER($BD$500:$BD$923)*($BD$500:$BD$923&gt;$BD858))+COUNTIF($BD$500:$BD858,$BD858))</f>
        <v/>
      </c>
      <c r="B858">
        <f>IF($H858="","",IF($H858&lt;5,"Yes","Maintain"))</f>
        <v/>
      </c>
      <c r="C858" t="inlineStr">
        <is>
          <t>Data BI AI</t>
        </is>
      </c>
      <c r="D858" t="inlineStr">
        <is>
          <t>BI and analytics</t>
        </is>
      </c>
      <c r="E858" t="inlineStr">
        <is>
          <t>DATA-018</t>
        </is>
      </c>
      <c r="F858" t="inlineStr">
        <is>
          <t>Data, BI, analytics and AI governance</t>
        </is>
      </c>
      <c r="G858">
        <f>IF($H858="","",IFERROR(INDEX('_ENGINE_Risk'!$H$41:$M$920,MATCH($E858,'_ENGINE_Risk'!$A$41:$A$920,0),$H858+1),""))</f>
        <v/>
      </c>
      <c r="H858">
        <f>IFERROR(VALUE(INDEX(_DATA_Assessment_Model!$H$5:$H$884,MATCH($E858,_DATA_Assessment_Model!$A$5:$A$884,0))),"")</f>
        <v/>
      </c>
      <c r="I858">
        <f>IF($H858="","",IFERROR(INDEX(_DATA_Assessment_Model!$L$5:$L$884,MATCH($E858,_DATA_Assessment_Model!$A$5:$A$884,0)),IF($H858&lt;=1,"Critical",IF($H858=2,"High",IF($H858=3,"Medium",IF($H858=4,"Low","Resilient"))))))</f>
        <v/>
      </c>
      <c r="J858">
        <f>IF($H858="","",MIN(5,MAX(1,6-$H858)))</f>
        <v/>
      </c>
      <c r="K858">
        <f>IF($H858="","",MAX(1,MIN(5,ROUNDUP(($U858*0.45)+($W858*0.35)+($X858*0.2),0))))</f>
        <v/>
      </c>
      <c r="L858">
        <f>IF($H858="","",$J858*$K858)</f>
        <v/>
      </c>
      <c r="M858">
        <f>IF($H858="","",MAX(1,MIN(5,ROUNDUP($L858/5,0))))</f>
        <v/>
      </c>
      <c r="N858">
        <f>IF($H858="","",IFERROR(INDEX('_ENGINE_Risk'!$T$41:$Y$920,MATCH($E858,'_ENGINE_Risk'!$A$41:$A$920,0),$H858+1),""))</f>
        <v/>
      </c>
      <c r="O858">
        <f>IF($H858="","",MAX(1,MIN(5,($U858+$V858+$X858)/3)))</f>
        <v/>
      </c>
      <c r="P858">
        <f>IF($H858="","",IF($I858="Critical",5,IF($I858="High",4,IF($I858="Medium",3,IF($I858="Low",2,1)))))</f>
        <v/>
      </c>
      <c r="Q858">
        <f>IF($H858="","",MAX(1,MIN(5,((5-$H858)*0.65)+($W858*0.35))))</f>
        <v/>
      </c>
      <c r="R858">
        <f>IF($H858="","",MAX(1,MIN(5,($V858+$X858)/2)))</f>
        <v/>
      </c>
      <c r="S858">
        <f>IF(OR($H858="",$N858=""),"",ROUND(($O858+$P858+$Q858+$R858)/$N858,2))</f>
        <v/>
      </c>
      <c r="T858">
        <f>IF($H858="","",IFERROR(INDEX('_ENGINE_Risk'!$N$41:$S$920,MATCH($E858,'_ENGINE_Risk'!$A$41:$A$920,0),$H858+1),""))</f>
        <v/>
      </c>
      <c r="U858">
        <f>IFERROR(INDEX(_DATA_Assessment_Model!$G$5:$G$884,MATCH($E858,_DATA_Assessment_Model!$A$5:$A$884,0)),"")</f>
        <v/>
      </c>
      <c r="V858">
        <f>IFERROR(INDEX(_DATA_Assessment_Model!$W$5:$W$884,MATCH($E858,_DATA_Assessment_Model!$A$5:$A$884,0)),"")</f>
        <v/>
      </c>
      <c r="W858">
        <f>IFERROR(INDEX(_DATA_Assessment_Model!$X$5:$X$884,MATCH($E858,_DATA_Assessment_Model!$A$5:$A$884,0)),"")</f>
        <v/>
      </c>
      <c r="X858">
        <f>IFERROR(INDEX(_DATA_Assessment_Model!$Y$5:$Y$884,MATCH($E858,_DATA_Assessment_Model!$A$5:$A$884,0)),"")</f>
        <v/>
      </c>
      <c r="Y858" t="inlineStr">
        <is>
          <t>Decision failure; Data loss; Regulatory/legal shock</t>
        </is>
      </c>
      <c r="Z858" t="inlineStr">
        <is>
          <t>CDO / BI / Analytics</t>
        </is>
      </c>
      <c r="AA858" t="inlineStr">
        <is>
          <t>Policy/SOP; owner/RACI; system report; dashboard; contracts; test records; incident history; interview evidence related to data literacy of managers and employees interpreting KPIs, forecasts and analytics.</t>
        </is>
      </c>
      <c r="AB858">
        <f>IFERROR(INDEX(_DATA_Assessment_Model!$U$5:$U$884,MATCH($E858,_DATA_Assessment_Model!$A$5:$A$884,0)),"")</f>
        <v/>
      </c>
      <c r="AF858" t="inlineStr">
        <is>
          <t>How mature is the organization in managing data literacy of managers and employees interpreting KPIs, forecasts and analytics, including ownership, evidence, metrics, fallback procedures and crisis stress testing?</t>
        </is>
      </c>
      <c r="AO858">
        <f>IF($B858="Yes",IFERROR(INDEX(_ENGINE_Crisis!$F$501:$F$517,MATCH($C858,_ENGINE_Crisis!$A$501:$A$517,0)),1),"")</f>
        <v/>
      </c>
      <c r="AP858">
        <f>IF(AO858="","",ROUND($L858*AO858,1))</f>
        <v/>
      </c>
      <c r="AQ858">
        <f>IF(OR(AO858="",$S858=""),"",ROUND($S858*(0.7+0.3*AO858),2))</f>
        <v/>
      </c>
      <c r="AR858">
        <f>IFERROR(INDEX(_ENGINE_Crisis!$E$41:$E$700,MATCH('Resilience &amp; Risk Scenario'!$B$60&amp;"|"&amp;$C858,_ENGINE_Crisis!$I$41:$I$700,0)),"")</f>
        <v/>
      </c>
      <c r="AS858">
        <f>IFERROR(INDEX(_ENGINE_Crisis!$G$41:$G$700,MATCH('Resilience &amp; Risk Scenario'!$B$60&amp;"|"&amp;$C858,_ENGINE_Crisis!$I$41:$I$700,0)),"")</f>
        <v/>
      </c>
      <c r="AT858">
        <f>IFERROR(INDEX(_ENGINE_Initiatives!$A$5:$A$532,MATCH(1,INDEX((_ENGINE_Initiatives!$B$5:$B$532=$C858)*(_ENGINE_Initiatives!$C$5:$C$532=$D858),0),0)),"")</f>
        <v/>
      </c>
      <c r="AU858">
        <f>IFERROR(INDEX(_ENGINE_Initiatives!$F$5:$F$532,MATCH(1,INDEX((_ENGINE_Initiatives!$B$5:$B$532=$C858)*(_ENGINE_Initiatives!$C$5:$C$532=$D858),0),0)),"")</f>
        <v/>
      </c>
      <c r="AV858">
        <f>IFERROR(INDEX(_ENGINE_Initiatives!$AC$5:$AC$532,MATCH(1,INDEX((_ENGINE_Initiatives!$B$5:$B$532=$C858)*(_ENGINE_Initiatives!$C$5:$C$532=$D858),0),0)),"")</f>
        <v/>
      </c>
      <c r="AW858">
        <f>IFERROR(INDEX(_ENGINE_Initiatives!$AE$5:$AE$532,MATCH(1,INDEX((_ENGINE_Initiatives!$B$5:$B$532=$C858)*(_ENGINE_Initiatives!$C$5:$C$532=$D858),0),0)),"")</f>
        <v/>
      </c>
      <c r="AX858">
        <f>IF($B858="Yes",IFERROR(IF(SUMIFS(_REF_Model_Content!$E$1:$E$613,_REF_Model_Content!$A$1:$A$613,'Company Profile'!$B$9,_REF_Model_Content!$B$1:$B$613,$C858)=0,1,SUMIFS(_REF_Model_Content!$E$1:$E$613,_REF_Model_Content!$A$1:$A$613,'Company Profile'!$B$9,_REF_Model_Content!$B$1:$B$613,$C858)),1),"")</f>
        <v/>
      </c>
      <c r="AY858">
        <f>IF($L858="","",ROUND(IF($AP858="",$L858,$AP858)*IF($AX858="",1,$AX858),2))</f>
        <v/>
      </c>
      <c r="AZ858">
        <f>IF($S858="","",ROUND(IF($AQ858="",$S858,$AQ858)*IF($AX858="",1,$AX858),2))</f>
        <v/>
      </c>
      <c r="BB858">
        <f>IF($H858="","",IFERROR(INDEX('_ENGINE_Risk'!$AE$41:$AE$920,MATCH($E858,'_ENGINE_Risk'!$A$41:$A$920,0)),"Medium"))</f>
        <v/>
      </c>
      <c r="BC858">
        <f>IF($BB858="","",IF($BB858="Fast",1.25,IF($BB858="Slow",0.85,1)))</f>
        <v/>
      </c>
      <c r="BD858">
        <f>IF(OR($AZ858="",$BC858=""),"",ROUND($AZ858*$BC858,2))</f>
        <v/>
      </c>
      <c r="BF858">
        <f>IF(OR($H858="",$J858=""),"",_xlfn.IFNA(VLOOKUP($J858,_CONFIG_Model_Settings!$D$610:$E$614,2,0),""))</f>
        <v/>
      </c>
      <c r="BG858">
        <f>IF(OR($H858="",$K858=""),"",ROUND('Company Profile'!$B$569*INDEX(_CONFIG_Model_Settings!$H$610:$H$614,MATCH($K858,_CONFIG_Model_Settings!$G$610:$G$614,0)),0))</f>
        <v/>
      </c>
      <c r="BH858">
        <f>IF(OR($BF858="",$BG858=""),"",ROUND($BF858*$BG858,1))</f>
        <v/>
      </c>
      <c r="BI858">
        <f>IF($BH858="","",IF($AO858="",$BH858,ROUND($BH858*$AO858,1)))</f>
        <v/>
      </c>
      <c r="BJ858">
        <f>IF($E858="","",IFERROR(VLOOKUP($C858,'_CONFIG_Risk_Calibration'!$A$5:$H$21,2,FALSE),3))</f>
        <v/>
      </c>
      <c r="BK858">
        <f>IF($E858="","",IFERROR(VLOOKUP($C858,'_CONFIG_Risk_Calibration'!$A$5:$H$21,3,FALSE),0))</f>
        <v/>
      </c>
      <c r="BL858">
        <f>IF($E858="","",IFERROR(VLOOKUP($C858,'_CONFIG_Risk_Calibration'!$A$5:$H$21,4,FALSE),3))</f>
        <v/>
      </c>
      <c r="BM858">
        <f>IF($E858="","",IFERROR(VLOOKUP($C858,'_CONFIG_Risk_Calibration'!$A$5:$H$21,5,FALSE),3))</f>
        <v/>
      </c>
      <c r="BN858">
        <f>IF($E858="","",IFERROR(VLOOKUP($C858,'_CONFIG_Risk_Calibration'!$A$5:$H$21,6,FALSE),"No"))</f>
        <v/>
      </c>
      <c r="BO858">
        <f>IF($E858="","",IFERROR(VLOOKUP($C858,'_CONFIG_Risk_Calibration'!$A$5:$H$21,7,FALSE),1))</f>
        <v/>
      </c>
      <c r="BP858">
        <f>IF($H858="","",MAX(1,MIN(5,((6-$H858)*0.45)+($BJ858*0.20)+('Resilience &amp; Risk Scenario'!$B$7*0.15)+($BK858*0.10)+($BL858*0.05)+(IF($BB858="Fast",5,IF($BB858="Slow",1,3))*0.05))))</f>
        <v/>
      </c>
      <c r="BQ858">
        <f>IF($H858="","",MAX(IF($BN858="Yes",$BO858,1),MIN(5,($U858*0.20)+($V858*0.15)+($W858*0.25)+($X858*0.15)+($BJ858*0.10)+($BM858*0.15))))</f>
        <v/>
      </c>
      <c r="BR858">
        <f>IF(OR($BP858="",$BQ858=""),"",ROUND($BP858*$BQ858,2))</f>
        <v/>
      </c>
      <c r="BS858">
        <f>IF($BR858="","",ROUND($BR858*IF($AO858="",1,$AO858)*IF($AX858="",1,$AX858)*(1+(($BM858-3)*0.10))*IF($BC858="",1,$BC858),2))</f>
        <v/>
      </c>
    </row>
    <row r="859" ht="69.90000000000001" customHeight="1" s="209">
      <c r="A859">
        <f>IF($BD859="","",SUMPRODUCT(ISNUMBER($BD$500:$BD$923)*($BD$500:$BD$923&gt;$BD859))+COUNTIF($BD$500:$BD859,$BD859))</f>
        <v/>
      </c>
      <c r="B859">
        <f>IF($H859="","",IF($H859&lt;5,"Yes","Maintain"))</f>
        <v/>
      </c>
      <c r="C859" t="inlineStr">
        <is>
          <t>Data BI AI</t>
        </is>
      </c>
      <c r="D859" t="inlineStr">
        <is>
          <t>Forecasting and scenarios</t>
        </is>
      </c>
      <c r="E859" t="inlineStr">
        <is>
          <t>DATA-019</t>
        </is>
      </c>
      <c r="F859" t="inlineStr">
        <is>
          <t>Data, BI, analytics and AI governance</t>
        </is>
      </c>
      <c r="G859">
        <f>IF($H859="","",IFERROR(INDEX('_ENGINE_Risk'!$H$41:$M$920,MATCH($E859,'_ENGINE_Risk'!$A$41:$A$920,0),$H859+1),""))</f>
        <v/>
      </c>
      <c r="H859">
        <f>IFERROR(VALUE(INDEX(_DATA_Assessment_Model!$H$5:$H$884,MATCH($E859,_DATA_Assessment_Model!$A$5:$A$884,0))),"")</f>
        <v/>
      </c>
      <c r="I859">
        <f>IF($H859="","",IFERROR(INDEX(_DATA_Assessment_Model!$L$5:$L$884,MATCH($E859,_DATA_Assessment_Model!$A$5:$A$884,0)),IF($H859&lt;=1,"Critical",IF($H859=2,"High",IF($H859=3,"Medium",IF($H859=4,"Low","Resilient"))))))</f>
        <v/>
      </c>
      <c r="J859">
        <f>IF($H859="","",MIN(5,MAX(1,6-$H859)))</f>
        <v/>
      </c>
      <c r="K859">
        <f>IF($H859="","",MAX(1,MIN(5,ROUNDUP(($U859*0.45)+($W859*0.35)+($X859*0.2),0))))</f>
        <v/>
      </c>
      <c r="L859">
        <f>IF($H859="","",$J859*$K859)</f>
        <v/>
      </c>
      <c r="M859">
        <f>IF($H859="","",MAX(1,MIN(5,ROUNDUP($L859/5,0))))</f>
        <v/>
      </c>
      <c r="N859">
        <f>IF($H859="","",IFERROR(INDEX('_ENGINE_Risk'!$T$41:$Y$920,MATCH($E859,'_ENGINE_Risk'!$A$41:$A$920,0),$H859+1),""))</f>
        <v/>
      </c>
      <c r="O859">
        <f>IF($H859="","",MAX(1,MIN(5,($U859+$V859+$X859)/3)))</f>
        <v/>
      </c>
      <c r="P859">
        <f>IF($H859="","",IF($I859="Critical",5,IF($I859="High",4,IF($I859="Medium",3,IF($I859="Low",2,1)))))</f>
        <v/>
      </c>
      <c r="Q859">
        <f>IF($H859="","",MAX(1,MIN(5,((5-$H859)*0.65)+($W859*0.35))))</f>
        <v/>
      </c>
      <c r="R859">
        <f>IF($H859="","",MAX(1,MIN(5,($V859+$X859)/2)))</f>
        <v/>
      </c>
      <c r="S859">
        <f>IF(OR($H859="",$N859=""),"",ROUND(($O859+$P859+$Q859+$R859)/$N859,2))</f>
        <v/>
      </c>
      <c r="T859">
        <f>IF($H859="","",IFERROR(INDEX('_ENGINE_Risk'!$N$41:$S$920,MATCH($E859,'_ENGINE_Risk'!$A$41:$A$920,0),$H859+1),""))</f>
        <v/>
      </c>
      <c r="U859">
        <f>IFERROR(INDEX(_DATA_Assessment_Model!$G$5:$G$884,MATCH($E859,_DATA_Assessment_Model!$A$5:$A$884,0)),"")</f>
        <v/>
      </c>
      <c r="V859">
        <f>IFERROR(INDEX(_DATA_Assessment_Model!$W$5:$W$884,MATCH($E859,_DATA_Assessment_Model!$A$5:$A$884,0)),"")</f>
        <v/>
      </c>
      <c r="W859">
        <f>IFERROR(INDEX(_DATA_Assessment_Model!$X$5:$X$884,MATCH($E859,_DATA_Assessment_Model!$A$5:$A$884,0)),"")</f>
        <v/>
      </c>
      <c r="X859">
        <f>IFERROR(INDEX(_DATA_Assessment_Model!$Y$5:$Y$884,MATCH($E859,_DATA_Assessment_Model!$A$5:$A$884,0)),"")</f>
        <v/>
      </c>
      <c r="Y859" t="inlineStr">
        <is>
          <t>Decision failure; Data loss; Regulatory/legal shock</t>
        </is>
      </c>
      <c r="Z859" t="inlineStr">
        <is>
          <t>CDO / BI / Analytics</t>
        </is>
      </c>
      <c r="AA859" t="inlineStr">
        <is>
          <t>Policy/SOP; owner/RACI; system report; dashboard; contracts; test records; incident history; interview evidence related to forecasting capability for demand, cash, inventory, workforce, production, churn or supplier risk.</t>
        </is>
      </c>
      <c r="AB859">
        <f>IFERROR(INDEX(_DATA_Assessment_Model!$U$5:$U$884,MATCH($E859,_DATA_Assessment_Model!$A$5:$A$884,0)),"")</f>
        <v/>
      </c>
      <c r="AF859" t="inlineStr">
        <is>
          <t>How mature is the organization in managing forecasting capability for demand, cash, inventory, workforce, production, churn or supplier risk, including ownership, evidence, metrics, fallback procedures and crisis stress testing?</t>
        </is>
      </c>
      <c r="AO859">
        <f>IF($B859="Yes",IFERROR(INDEX(_ENGINE_Crisis!$F$501:$F$517,MATCH($C859,_ENGINE_Crisis!$A$501:$A$517,0)),1),"")</f>
        <v/>
      </c>
      <c r="AP859">
        <f>IF(AO859="","",ROUND($L859*AO859,1))</f>
        <v/>
      </c>
      <c r="AQ859">
        <f>IF(OR(AO859="",$S859=""),"",ROUND($S859*(0.7+0.3*AO859),2))</f>
        <v/>
      </c>
      <c r="AR859">
        <f>IFERROR(INDEX(_ENGINE_Crisis!$E$41:$E$700,MATCH('Resilience &amp; Risk Scenario'!$B$60&amp;"|"&amp;$C859,_ENGINE_Crisis!$I$41:$I$700,0)),"")</f>
        <v/>
      </c>
      <c r="AS859">
        <f>IFERROR(INDEX(_ENGINE_Crisis!$G$41:$G$700,MATCH('Resilience &amp; Risk Scenario'!$B$60&amp;"|"&amp;$C859,_ENGINE_Crisis!$I$41:$I$700,0)),"")</f>
        <v/>
      </c>
      <c r="AT859">
        <f>IFERROR(INDEX(_ENGINE_Initiatives!$A$5:$A$532,MATCH(1,INDEX((_ENGINE_Initiatives!$B$5:$B$532=$C859)*(_ENGINE_Initiatives!$C$5:$C$532=$D859),0),0)),"")</f>
        <v/>
      </c>
      <c r="AU859">
        <f>IFERROR(INDEX(_ENGINE_Initiatives!$F$5:$F$532,MATCH(1,INDEX((_ENGINE_Initiatives!$B$5:$B$532=$C859)*(_ENGINE_Initiatives!$C$5:$C$532=$D859),0),0)),"")</f>
        <v/>
      </c>
      <c r="AV859">
        <f>IFERROR(INDEX(_ENGINE_Initiatives!$AC$5:$AC$532,MATCH(1,INDEX((_ENGINE_Initiatives!$B$5:$B$532=$C859)*(_ENGINE_Initiatives!$C$5:$C$532=$D859),0),0)),"")</f>
        <v/>
      </c>
      <c r="AW859">
        <f>IFERROR(INDEX(_ENGINE_Initiatives!$AE$5:$AE$532,MATCH(1,INDEX((_ENGINE_Initiatives!$B$5:$B$532=$C859)*(_ENGINE_Initiatives!$C$5:$C$532=$D859),0),0)),"")</f>
        <v/>
      </c>
      <c r="AX859">
        <f>IF($B859="Yes",IFERROR(IF(SUMIFS(_REF_Model_Content!$E$1:$E$613,_REF_Model_Content!$A$1:$A$613,'Company Profile'!$B$9,_REF_Model_Content!$B$1:$B$613,$C859)=0,1,SUMIFS(_REF_Model_Content!$E$1:$E$613,_REF_Model_Content!$A$1:$A$613,'Company Profile'!$B$9,_REF_Model_Content!$B$1:$B$613,$C859)),1),"")</f>
        <v/>
      </c>
      <c r="AY859">
        <f>IF($L859="","",ROUND(IF($AP859="",$L859,$AP859)*IF($AX859="",1,$AX859),2))</f>
        <v/>
      </c>
      <c r="AZ859">
        <f>IF($S859="","",ROUND(IF($AQ859="",$S859,$AQ859)*IF($AX859="",1,$AX859),2))</f>
        <v/>
      </c>
      <c r="BB859">
        <f>IF($H859="","",IFERROR(INDEX('_ENGINE_Risk'!$AE$41:$AE$920,MATCH($E859,'_ENGINE_Risk'!$A$41:$A$920,0)),"Medium"))</f>
        <v/>
      </c>
      <c r="BC859">
        <f>IF($BB859="","",IF($BB859="Fast",1.25,IF($BB859="Slow",0.85,1)))</f>
        <v/>
      </c>
      <c r="BD859">
        <f>IF(OR($AZ859="",$BC859=""),"",ROUND($AZ859*$BC859,2))</f>
        <v/>
      </c>
      <c r="BF859">
        <f>IF(OR($H859="",$J859=""),"",_xlfn.IFNA(VLOOKUP($J859,_CONFIG_Model_Settings!$D$610:$E$614,2,0),""))</f>
        <v/>
      </c>
      <c r="BG859">
        <f>IF(OR($H859="",$K859=""),"",ROUND('Company Profile'!$B$569*INDEX(_CONFIG_Model_Settings!$H$610:$H$614,MATCH($K859,_CONFIG_Model_Settings!$G$610:$G$614,0)),0))</f>
        <v/>
      </c>
      <c r="BH859">
        <f>IF(OR($BF859="",$BG859=""),"",ROUND($BF859*$BG859,1))</f>
        <v/>
      </c>
      <c r="BI859">
        <f>IF($BH859="","",IF($AO859="",$BH859,ROUND($BH859*$AO859,1)))</f>
        <v/>
      </c>
      <c r="BJ859">
        <f>IF($E859="","",IFERROR(VLOOKUP($C859,'_CONFIG_Risk_Calibration'!$A$5:$H$21,2,FALSE),3))</f>
        <v/>
      </c>
      <c r="BK859">
        <f>IF($E859="","",IFERROR(VLOOKUP($C859,'_CONFIG_Risk_Calibration'!$A$5:$H$21,3,FALSE),0))</f>
        <v/>
      </c>
      <c r="BL859">
        <f>IF($E859="","",IFERROR(VLOOKUP($C859,'_CONFIG_Risk_Calibration'!$A$5:$H$21,4,FALSE),3))</f>
        <v/>
      </c>
      <c r="BM859">
        <f>IF($E859="","",IFERROR(VLOOKUP($C859,'_CONFIG_Risk_Calibration'!$A$5:$H$21,5,FALSE),3))</f>
        <v/>
      </c>
      <c r="BN859">
        <f>IF($E859="","",IFERROR(VLOOKUP($C859,'_CONFIG_Risk_Calibration'!$A$5:$H$21,6,FALSE),"No"))</f>
        <v/>
      </c>
      <c r="BO859">
        <f>IF($E859="","",IFERROR(VLOOKUP($C859,'_CONFIG_Risk_Calibration'!$A$5:$H$21,7,FALSE),1))</f>
        <v/>
      </c>
      <c r="BP859">
        <f>IF($H859="","",MAX(1,MIN(5,((6-$H859)*0.45)+($BJ859*0.20)+('Resilience &amp; Risk Scenario'!$B$7*0.15)+($BK859*0.10)+($BL859*0.05)+(IF($BB859="Fast",5,IF($BB859="Slow",1,3))*0.05))))</f>
        <v/>
      </c>
      <c r="BQ859">
        <f>IF($H859="","",MAX(IF($BN859="Yes",$BO859,1),MIN(5,($U859*0.20)+($V859*0.15)+($W859*0.25)+($X859*0.15)+($BJ859*0.10)+($BM859*0.15))))</f>
        <v/>
      </c>
      <c r="BR859">
        <f>IF(OR($BP859="",$BQ859=""),"",ROUND($BP859*$BQ859,2))</f>
        <v/>
      </c>
      <c r="BS859">
        <f>IF($BR859="","",ROUND($BR859*IF($AO859="",1,$AO859)*IF($AX859="",1,$AX859)*(1+(($BM859-3)*0.10))*IF($BC859="",1,$BC859),2))</f>
        <v/>
      </c>
    </row>
    <row r="860" ht="69.90000000000001" customHeight="1" s="209">
      <c r="A860">
        <f>IF($BD860="","",SUMPRODUCT(ISNUMBER($BD$500:$BD$923)*($BD$500:$BD$923&gt;$BD860))+COUNTIF($BD$500:$BD860,$BD860))</f>
        <v/>
      </c>
      <c r="B860">
        <f>IF($H860="","",IF($H860&lt;5,"Yes","Maintain"))</f>
        <v/>
      </c>
      <c r="C860" t="inlineStr">
        <is>
          <t>Data BI AI</t>
        </is>
      </c>
      <c r="D860" t="inlineStr">
        <is>
          <t>Forecasting and scenarios</t>
        </is>
      </c>
      <c r="E860" t="inlineStr">
        <is>
          <t>DATA-020</t>
        </is>
      </c>
      <c r="F860" t="inlineStr">
        <is>
          <t>Data, BI, analytics and AI governance</t>
        </is>
      </c>
      <c r="G860">
        <f>IF($H860="","",IFERROR(INDEX('_ENGINE_Risk'!$H$41:$M$920,MATCH($E860,'_ENGINE_Risk'!$A$41:$A$920,0),$H860+1),""))</f>
        <v/>
      </c>
      <c r="H860">
        <f>IFERROR(VALUE(INDEX(_DATA_Assessment_Model!$H$5:$H$884,MATCH($E860,_DATA_Assessment_Model!$A$5:$A$884,0))),"")</f>
        <v/>
      </c>
      <c r="I860">
        <f>IF($H860="","",IFERROR(INDEX(_DATA_Assessment_Model!$L$5:$L$884,MATCH($E860,_DATA_Assessment_Model!$A$5:$A$884,0)),IF($H860&lt;=1,"Critical",IF($H860=2,"High",IF($H860=3,"Medium",IF($H860=4,"Low","Resilient"))))))</f>
        <v/>
      </c>
      <c r="J860">
        <f>IF($H860="","",MIN(5,MAX(1,6-$H860)))</f>
        <v/>
      </c>
      <c r="K860">
        <f>IF($H860="","",MAX(1,MIN(5,ROUNDUP(($U860*0.45)+($W860*0.35)+($X860*0.2),0))))</f>
        <v/>
      </c>
      <c r="L860">
        <f>IF($H860="","",$J860*$K860)</f>
        <v/>
      </c>
      <c r="M860">
        <f>IF($H860="","",MAX(1,MIN(5,ROUNDUP($L860/5,0))))</f>
        <v/>
      </c>
      <c r="N860">
        <f>IF($H860="","",IFERROR(INDEX('_ENGINE_Risk'!$T$41:$Y$920,MATCH($E860,'_ENGINE_Risk'!$A$41:$A$920,0),$H860+1),""))</f>
        <v/>
      </c>
      <c r="O860">
        <f>IF($H860="","",MAX(1,MIN(5,($U860+$V860+$X860)/3)))</f>
        <v/>
      </c>
      <c r="P860">
        <f>IF($H860="","",IF($I860="Critical",5,IF($I860="High",4,IF($I860="Medium",3,IF($I860="Low",2,1)))))</f>
        <v/>
      </c>
      <c r="Q860">
        <f>IF($H860="","",MAX(1,MIN(5,((5-$H860)*0.65)+($W860*0.35))))</f>
        <v/>
      </c>
      <c r="R860">
        <f>IF($H860="","",MAX(1,MIN(5,($V860+$X860)/2)))</f>
        <v/>
      </c>
      <c r="S860">
        <f>IF(OR($H860="",$N860=""),"",ROUND(($O860+$P860+$Q860+$R860)/$N860,2))</f>
        <v/>
      </c>
      <c r="T860">
        <f>IF($H860="","",IFERROR(INDEX('_ENGINE_Risk'!$N$41:$S$920,MATCH($E860,'_ENGINE_Risk'!$A$41:$A$920,0),$H860+1),""))</f>
        <v/>
      </c>
      <c r="U860">
        <f>IFERROR(INDEX(_DATA_Assessment_Model!$G$5:$G$884,MATCH($E860,_DATA_Assessment_Model!$A$5:$A$884,0)),"")</f>
        <v/>
      </c>
      <c r="V860">
        <f>IFERROR(INDEX(_DATA_Assessment_Model!$W$5:$W$884,MATCH($E860,_DATA_Assessment_Model!$A$5:$A$884,0)),"")</f>
        <v/>
      </c>
      <c r="W860">
        <f>IFERROR(INDEX(_DATA_Assessment_Model!$X$5:$X$884,MATCH($E860,_DATA_Assessment_Model!$A$5:$A$884,0)),"")</f>
        <v/>
      </c>
      <c r="X860">
        <f>IFERROR(INDEX(_DATA_Assessment_Model!$Y$5:$Y$884,MATCH($E860,_DATA_Assessment_Model!$A$5:$A$884,0)),"")</f>
        <v/>
      </c>
      <c r="Y860" t="inlineStr">
        <is>
          <t>Decision failure; Data loss; Regulatory/legal shock</t>
        </is>
      </c>
      <c r="Z860" t="inlineStr">
        <is>
          <t>CDO / BI / Analytics</t>
        </is>
      </c>
      <c r="AA860" t="inlineStr">
        <is>
          <t>Policy/SOP; owner/RACI; system report; dashboard; contracts; test records; incident history; interview evidence related to scenario modeling using sales, suppliers, workforce, cash, inventory and system downtime.</t>
        </is>
      </c>
      <c r="AB860">
        <f>IFERROR(INDEX(_DATA_Assessment_Model!$U$5:$U$884,MATCH($E860,_DATA_Assessment_Model!$A$5:$A$884,0)),"")</f>
        <v/>
      </c>
      <c r="AF860" t="inlineStr">
        <is>
          <t>How mature is the organization in managing scenario modeling using sales, suppliers, workforce, cash, inventory and system downtime, including ownership, evidence, metrics, fallback procedures and crisis stress testing?</t>
        </is>
      </c>
      <c r="AO860">
        <f>IF($B860="Yes",IFERROR(INDEX(_ENGINE_Crisis!$F$501:$F$517,MATCH($C860,_ENGINE_Crisis!$A$501:$A$517,0)),1),"")</f>
        <v/>
      </c>
      <c r="AP860">
        <f>IF(AO860="","",ROUND($L860*AO860,1))</f>
        <v/>
      </c>
      <c r="AQ860">
        <f>IF(OR(AO860="",$S860=""),"",ROUND($S860*(0.7+0.3*AO860),2))</f>
        <v/>
      </c>
      <c r="AR860">
        <f>IFERROR(INDEX(_ENGINE_Crisis!$E$41:$E$700,MATCH('Resilience &amp; Risk Scenario'!$B$60&amp;"|"&amp;$C860,_ENGINE_Crisis!$I$41:$I$700,0)),"")</f>
        <v/>
      </c>
      <c r="AS860">
        <f>IFERROR(INDEX(_ENGINE_Crisis!$G$41:$G$700,MATCH('Resilience &amp; Risk Scenario'!$B$60&amp;"|"&amp;$C860,_ENGINE_Crisis!$I$41:$I$700,0)),"")</f>
        <v/>
      </c>
      <c r="AT860">
        <f>IFERROR(INDEX(_ENGINE_Initiatives!$A$5:$A$532,MATCH(1,INDEX((_ENGINE_Initiatives!$B$5:$B$532=$C860)*(_ENGINE_Initiatives!$C$5:$C$532=$D860),0),0)),"")</f>
        <v/>
      </c>
      <c r="AU860">
        <f>IFERROR(INDEX(_ENGINE_Initiatives!$F$5:$F$532,MATCH(1,INDEX((_ENGINE_Initiatives!$B$5:$B$532=$C860)*(_ENGINE_Initiatives!$C$5:$C$532=$D860),0),0)),"")</f>
        <v/>
      </c>
      <c r="AV860">
        <f>IFERROR(INDEX(_ENGINE_Initiatives!$AC$5:$AC$532,MATCH(1,INDEX((_ENGINE_Initiatives!$B$5:$B$532=$C860)*(_ENGINE_Initiatives!$C$5:$C$532=$D860),0),0)),"")</f>
        <v/>
      </c>
      <c r="AW860">
        <f>IFERROR(INDEX(_ENGINE_Initiatives!$AE$5:$AE$532,MATCH(1,INDEX((_ENGINE_Initiatives!$B$5:$B$532=$C860)*(_ENGINE_Initiatives!$C$5:$C$532=$D860),0),0)),"")</f>
        <v/>
      </c>
      <c r="AX860">
        <f>IF($B860="Yes",IFERROR(IF(SUMIFS(_REF_Model_Content!$E$1:$E$613,_REF_Model_Content!$A$1:$A$613,'Company Profile'!$B$9,_REF_Model_Content!$B$1:$B$613,$C860)=0,1,SUMIFS(_REF_Model_Content!$E$1:$E$613,_REF_Model_Content!$A$1:$A$613,'Company Profile'!$B$9,_REF_Model_Content!$B$1:$B$613,$C860)),1),"")</f>
        <v/>
      </c>
      <c r="AY860">
        <f>IF($L860="","",ROUND(IF($AP860="",$L860,$AP860)*IF($AX860="",1,$AX860),2))</f>
        <v/>
      </c>
      <c r="AZ860">
        <f>IF($S860="","",ROUND(IF($AQ860="",$S860,$AQ860)*IF($AX860="",1,$AX860),2))</f>
        <v/>
      </c>
      <c r="BB860">
        <f>IF($H860="","",IFERROR(INDEX('_ENGINE_Risk'!$AE$41:$AE$920,MATCH($E860,'_ENGINE_Risk'!$A$41:$A$920,0)),"Medium"))</f>
        <v/>
      </c>
      <c r="BC860">
        <f>IF($BB860="","",IF($BB860="Fast",1.25,IF($BB860="Slow",0.85,1)))</f>
        <v/>
      </c>
      <c r="BD860">
        <f>IF(OR($AZ860="",$BC860=""),"",ROUND($AZ860*$BC860,2))</f>
        <v/>
      </c>
      <c r="BF860">
        <f>IF(OR($H860="",$J860=""),"",_xlfn.IFNA(VLOOKUP($J860,_CONFIG_Model_Settings!$D$610:$E$614,2,0),""))</f>
        <v/>
      </c>
      <c r="BG860">
        <f>IF(OR($H860="",$K860=""),"",ROUND('Company Profile'!$B$569*INDEX(_CONFIG_Model_Settings!$H$610:$H$614,MATCH($K860,_CONFIG_Model_Settings!$G$610:$G$614,0)),0))</f>
        <v/>
      </c>
      <c r="BH860">
        <f>IF(OR($BF860="",$BG860=""),"",ROUND($BF860*$BG860,1))</f>
        <v/>
      </c>
      <c r="BI860">
        <f>IF($BH860="","",IF($AO860="",$BH860,ROUND($BH860*$AO860,1)))</f>
        <v/>
      </c>
      <c r="BJ860">
        <f>IF($E860="","",IFERROR(VLOOKUP($C860,'_CONFIG_Risk_Calibration'!$A$5:$H$21,2,FALSE),3))</f>
        <v/>
      </c>
      <c r="BK860">
        <f>IF($E860="","",IFERROR(VLOOKUP($C860,'_CONFIG_Risk_Calibration'!$A$5:$H$21,3,FALSE),0))</f>
        <v/>
      </c>
      <c r="BL860">
        <f>IF($E860="","",IFERROR(VLOOKUP($C860,'_CONFIG_Risk_Calibration'!$A$5:$H$21,4,FALSE),3))</f>
        <v/>
      </c>
      <c r="BM860">
        <f>IF($E860="","",IFERROR(VLOOKUP($C860,'_CONFIG_Risk_Calibration'!$A$5:$H$21,5,FALSE),3))</f>
        <v/>
      </c>
      <c r="BN860">
        <f>IF($E860="","",IFERROR(VLOOKUP($C860,'_CONFIG_Risk_Calibration'!$A$5:$H$21,6,FALSE),"No"))</f>
        <v/>
      </c>
      <c r="BO860">
        <f>IF($E860="","",IFERROR(VLOOKUP($C860,'_CONFIG_Risk_Calibration'!$A$5:$H$21,7,FALSE),1))</f>
        <v/>
      </c>
      <c r="BP860">
        <f>IF($H860="","",MAX(1,MIN(5,((6-$H860)*0.45)+($BJ860*0.20)+('Resilience &amp; Risk Scenario'!$B$7*0.15)+($BK860*0.10)+($BL860*0.05)+(IF($BB860="Fast",5,IF($BB860="Slow",1,3))*0.05))))</f>
        <v/>
      </c>
      <c r="BQ860">
        <f>IF($H860="","",MAX(IF($BN860="Yes",$BO860,1),MIN(5,($U860*0.20)+($V860*0.15)+($W860*0.25)+($X860*0.15)+($BJ860*0.10)+($BM860*0.15))))</f>
        <v/>
      </c>
      <c r="BR860">
        <f>IF(OR($BP860="",$BQ860=""),"",ROUND($BP860*$BQ860,2))</f>
        <v/>
      </c>
      <c r="BS860">
        <f>IF($BR860="","",ROUND($BR860*IF($AO860="",1,$AO860)*IF($AX860="",1,$AX860)*(1+(($BM860-3)*0.10))*IF($BC860="",1,$BC860),2))</f>
        <v/>
      </c>
    </row>
    <row r="861" ht="69.90000000000001" customHeight="1" s="209">
      <c r="A861">
        <f>IF($BD861="","",SUMPRODUCT(ISNUMBER($BD$500:$BD$923)*($BD$500:$BD$923&gt;$BD861))+COUNTIF($BD$500:$BD861,$BD861))</f>
        <v/>
      </c>
      <c r="B861">
        <f>IF($H861="","",IF($H861&lt;5,"Yes","Maintain"))</f>
        <v/>
      </c>
      <c r="C861" t="inlineStr">
        <is>
          <t>Data BI AI</t>
        </is>
      </c>
      <c r="D861" t="inlineStr">
        <is>
          <t>Forecasting and scenarios</t>
        </is>
      </c>
      <c r="E861" t="inlineStr">
        <is>
          <t>DATA-021</t>
        </is>
      </c>
      <c r="F861" t="inlineStr">
        <is>
          <t>Data, BI, analytics and AI governance</t>
        </is>
      </c>
      <c r="G861">
        <f>IF($H861="","",IFERROR(INDEX('_ENGINE_Risk'!$H$41:$M$920,MATCH($E861,'_ENGINE_Risk'!$A$41:$A$920,0),$H861+1),""))</f>
        <v/>
      </c>
      <c r="H861">
        <f>IFERROR(VALUE(INDEX(_DATA_Assessment_Model!$H$5:$H$884,MATCH($E861,_DATA_Assessment_Model!$A$5:$A$884,0))),"")</f>
        <v/>
      </c>
      <c r="I861">
        <f>IF($H861="","",IFERROR(INDEX(_DATA_Assessment_Model!$L$5:$L$884,MATCH($E861,_DATA_Assessment_Model!$A$5:$A$884,0)),IF($H861&lt;=1,"Critical",IF($H861=2,"High",IF($H861=3,"Medium",IF($H861=4,"Low","Resilient"))))))</f>
        <v/>
      </c>
      <c r="J861">
        <f>IF($H861="","",MIN(5,MAX(1,6-$H861)))</f>
        <v/>
      </c>
      <c r="K861">
        <f>IF($H861="","",MAX(1,MIN(5,ROUNDUP(($U861*0.45)+($W861*0.35)+($X861*0.2),0))))</f>
        <v/>
      </c>
      <c r="L861">
        <f>IF($H861="","",$J861*$K861)</f>
        <v/>
      </c>
      <c r="M861">
        <f>IF($H861="","",MAX(1,MIN(5,ROUNDUP($L861/5,0))))</f>
        <v/>
      </c>
      <c r="N861">
        <f>IF($H861="","",IFERROR(INDEX('_ENGINE_Risk'!$T$41:$Y$920,MATCH($E861,'_ENGINE_Risk'!$A$41:$A$920,0),$H861+1),""))</f>
        <v/>
      </c>
      <c r="O861">
        <f>IF($H861="","",MAX(1,MIN(5,($U861+$V861+$X861)/3)))</f>
        <v/>
      </c>
      <c r="P861">
        <f>IF($H861="","",IF($I861="Critical",5,IF($I861="High",4,IF($I861="Medium",3,IF($I861="Low",2,1)))))</f>
        <v/>
      </c>
      <c r="Q861">
        <f>IF($H861="","",MAX(1,MIN(5,((5-$H861)*0.65)+($W861*0.35))))</f>
        <v/>
      </c>
      <c r="R861">
        <f>IF($H861="","",MAX(1,MIN(5,($V861+$X861)/2)))</f>
        <v/>
      </c>
      <c r="S861">
        <f>IF(OR($H861="",$N861=""),"",ROUND(($O861+$P861+$Q861+$R861)/$N861,2))</f>
        <v/>
      </c>
      <c r="T861">
        <f>IF($H861="","",IFERROR(INDEX('_ENGINE_Risk'!$N$41:$S$920,MATCH($E861,'_ENGINE_Risk'!$A$41:$A$920,0),$H861+1),""))</f>
        <v/>
      </c>
      <c r="U861">
        <f>IFERROR(INDEX(_DATA_Assessment_Model!$G$5:$G$884,MATCH($E861,_DATA_Assessment_Model!$A$5:$A$884,0)),"")</f>
        <v/>
      </c>
      <c r="V861">
        <f>IFERROR(INDEX(_DATA_Assessment_Model!$W$5:$W$884,MATCH($E861,_DATA_Assessment_Model!$A$5:$A$884,0)),"")</f>
        <v/>
      </c>
      <c r="W861">
        <f>IFERROR(INDEX(_DATA_Assessment_Model!$X$5:$X$884,MATCH($E861,_DATA_Assessment_Model!$A$5:$A$884,0)),"")</f>
        <v/>
      </c>
      <c r="X861">
        <f>IFERROR(INDEX(_DATA_Assessment_Model!$Y$5:$Y$884,MATCH($E861,_DATA_Assessment_Model!$A$5:$A$884,0)),"")</f>
        <v/>
      </c>
      <c r="Y861" t="inlineStr">
        <is>
          <t>Decision failure; Data loss; Regulatory/legal shock</t>
        </is>
      </c>
      <c r="Z861" t="inlineStr">
        <is>
          <t>CDO / BI / Analytics</t>
        </is>
      </c>
      <c r="AA861" t="inlineStr">
        <is>
          <t>Policy/SOP; owner/RACI; system report; dashboard; contracts; test records; incident history; interview evidence related to leading indicators and early warnings built from internal and external data.</t>
        </is>
      </c>
      <c r="AB861">
        <f>IFERROR(INDEX(_DATA_Assessment_Model!$U$5:$U$884,MATCH($E861,_DATA_Assessment_Model!$A$5:$A$884,0)),"")</f>
        <v/>
      </c>
      <c r="AF861" t="inlineStr">
        <is>
          <t>How mature is the organization in managing leading indicators and early warnings built from internal and external data, including ownership, evidence, metrics, fallback procedures and crisis stress testing?</t>
        </is>
      </c>
      <c r="AO861">
        <f>IF($B861="Yes",IFERROR(INDEX(_ENGINE_Crisis!$F$501:$F$517,MATCH($C861,_ENGINE_Crisis!$A$501:$A$517,0)),1),"")</f>
        <v/>
      </c>
      <c r="AP861">
        <f>IF(AO861="","",ROUND($L861*AO861,1))</f>
        <v/>
      </c>
      <c r="AQ861">
        <f>IF(OR(AO861="",$S861=""),"",ROUND($S861*(0.7+0.3*AO861),2))</f>
        <v/>
      </c>
      <c r="AR861">
        <f>IFERROR(INDEX(_ENGINE_Crisis!$E$41:$E$700,MATCH('Resilience &amp; Risk Scenario'!$B$60&amp;"|"&amp;$C861,_ENGINE_Crisis!$I$41:$I$700,0)),"")</f>
        <v/>
      </c>
      <c r="AS861">
        <f>IFERROR(INDEX(_ENGINE_Crisis!$G$41:$G$700,MATCH('Resilience &amp; Risk Scenario'!$B$60&amp;"|"&amp;$C861,_ENGINE_Crisis!$I$41:$I$700,0)),"")</f>
        <v/>
      </c>
      <c r="AT861">
        <f>IFERROR(INDEX(_ENGINE_Initiatives!$A$5:$A$532,MATCH(1,INDEX((_ENGINE_Initiatives!$B$5:$B$532=$C861)*(_ENGINE_Initiatives!$C$5:$C$532=$D861),0),0)),"")</f>
        <v/>
      </c>
      <c r="AU861">
        <f>IFERROR(INDEX(_ENGINE_Initiatives!$F$5:$F$532,MATCH(1,INDEX((_ENGINE_Initiatives!$B$5:$B$532=$C861)*(_ENGINE_Initiatives!$C$5:$C$532=$D861),0),0)),"")</f>
        <v/>
      </c>
      <c r="AV861">
        <f>IFERROR(INDEX(_ENGINE_Initiatives!$AC$5:$AC$532,MATCH(1,INDEX((_ENGINE_Initiatives!$B$5:$B$532=$C861)*(_ENGINE_Initiatives!$C$5:$C$532=$D861),0),0)),"")</f>
        <v/>
      </c>
      <c r="AW861">
        <f>IFERROR(INDEX(_ENGINE_Initiatives!$AE$5:$AE$532,MATCH(1,INDEX((_ENGINE_Initiatives!$B$5:$B$532=$C861)*(_ENGINE_Initiatives!$C$5:$C$532=$D861),0),0)),"")</f>
        <v/>
      </c>
      <c r="AX861">
        <f>IF($B861="Yes",IFERROR(IF(SUMIFS(_REF_Model_Content!$E$1:$E$613,_REF_Model_Content!$A$1:$A$613,'Company Profile'!$B$9,_REF_Model_Content!$B$1:$B$613,$C861)=0,1,SUMIFS(_REF_Model_Content!$E$1:$E$613,_REF_Model_Content!$A$1:$A$613,'Company Profile'!$B$9,_REF_Model_Content!$B$1:$B$613,$C861)),1),"")</f>
        <v/>
      </c>
      <c r="AY861">
        <f>IF($L861="","",ROUND(IF($AP861="",$L861,$AP861)*IF($AX861="",1,$AX861),2))</f>
        <v/>
      </c>
      <c r="AZ861">
        <f>IF($S861="","",ROUND(IF($AQ861="",$S861,$AQ861)*IF($AX861="",1,$AX861),2))</f>
        <v/>
      </c>
      <c r="BB861">
        <f>IF($H861="","",IFERROR(INDEX('_ENGINE_Risk'!$AE$41:$AE$920,MATCH($E861,'_ENGINE_Risk'!$A$41:$A$920,0)),"Medium"))</f>
        <v/>
      </c>
      <c r="BC861">
        <f>IF($BB861="","",IF($BB861="Fast",1.25,IF($BB861="Slow",0.85,1)))</f>
        <v/>
      </c>
      <c r="BD861">
        <f>IF(OR($AZ861="",$BC861=""),"",ROUND($AZ861*$BC861,2))</f>
        <v/>
      </c>
      <c r="BF861">
        <f>IF(OR($H861="",$J861=""),"",_xlfn.IFNA(VLOOKUP($J861,_CONFIG_Model_Settings!$D$610:$E$614,2,0),""))</f>
        <v/>
      </c>
      <c r="BG861">
        <f>IF(OR($H861="",$K861=""),"",ROUND('Company Profile'!$B$569*INDEX(_CONFIG_Model_Settings!$H$610:$H$614,MATCH($K861,_CONFIG_Model_Settings!$G$610:$G$614,0)),0))</f>
        <v/>
      </c>
      <c r="BH861">
        <f>IF(OR($BF861="",$BG861=""),"",ROUND($BF861*$BG861,1))</f>
        <v/>
      </c>
      <c r="BI861">
        <f>IF($BH861="","",IF($AO861="",$BH861,ROUND($BH861*$AO861,1)))</f>
        <v/>
      </c>
      <c r="BJ861">
        <f>IF($E861="","",IFERROR(VLOOKUP($C861,'_CONFIG_Risk_Calibration'!$A$5:$H$21,2,FALSE),3))</f>
        <v/>
      </c>
      <c r="BK861">
        <f>IF($E861="","",IFERROR(VLOOKUP($C861,'_CONFIG_Risk_Calibration'!$A$5:$H$21,3,FALSE),0))</f>
        <v/>
      </c>
      <c r="BL861">
        <f>IF($E861="","",IFERROR(VLOOKUP($C861,'_CONFIG_Risk_Calibration'!$A$5:$H$21,4,FALSE),3))</f>
        <v/>
      </c>
      <c r="BM861">
        <f>IF($E861="","",IFERROR(VLOOKUP($C861,'_CONFIG_Risk_Calibration'!$A$5:$H$21,5,FALSE),3))</f>
        <v/>
      </c>
      <c r="BN861">
        <f>IF($E861="","",IFERROR(VLOOKUP($C861,'_CONFIG_Risk_Calibration'!$A$5:$H$21,6,FALSE),"No"))</f>
        <v/>
      </c>
      <c r="BO861">
        <f>IF($E861="","",IFERROR(VLOOKUP($C861,'_CONFIG_Risk_Calibration'!$A$5:$H$21,7,FALSE),1))</f>
        <v/>
      </c>
      <c r="BP861">
        <f>IF($H861="","",MAX(1,MIN(5,((6-$H861)*0.45)+($BJ861*0.20)+('Resilience &amp; Risk Scenario'!$B$7*0.15)+($BK861*0.10)+($BL861*0.05)+(IF($BB861="Fast",5,IF($BB861="Slow",1,3))*0.05))))</f>
        <v/>
      </c>
      <c r="BQ861">
        <f>IF($H861="","",MAX(IF($BN861="Yes",$BO861,1),MIN(5,($U861*0.20)+($V861*0.15)+($W861*0.25)+($X861*0.15)+($BJ861*0.10)+($BM861*0.15))))</f>
        <v/>
      </c>
      <c r="BR861">
        <f>IF(OR($BP861="",$BQ861=""),"",ROUND($BP861*$BQ861,2))</f>
        <v/>
      </c>
      <c r="BS861">
        <f>IF($BR861="","",ROUND($BR861*IF($AO861="",1,$AO861)*IF($AX861="",1,$AX861)*(1+(($BM861-3)*0.10))*IF($BC861="",1,$BC861),2))</f>
        <v/>
      </c>
    </row>
    <row r="862" ht="69.90000000000001" customHeight="1" s="209">
      <c r="A862">
        <f>IF($BD862="","",SUMPRODUCT(ISNUMBER($BD$500:$BD$923)*($BD$500:$BD$923&gt;$BD862))+COUNTIF($BD$500:$BD862,$BD862))</f>
        <v/>
      </c>
      <c r="B862">
        <f>IF($H862="","",IF($H862&lt;5,"Yes","Maintain"))</f>
        <v/>
      </c>
      <c r="C862" t="inlineStr">
        <is>
          <t>Data BI AI</t>
        </is>
      </c>
      <c r="D862" t="inlineStr">
        <is>
          <t>Forecasting and scenarios</t>
        </is>
      </c>
      <c r="E862" t="inlineStr">
        <is>
          <t>DATA-022</t>
        </is>
      </c>
      <c r="F862" t="inlineStr">
        <is>
          <t>Data, BI, analytics and AI governance</t>
        </is>
      </c>
      <c r="G862">
        <f>IF($H862="","",IFERROR(INDEX('_ENGINE_Risk'!$H$41:$M$920,MATCH($E862,'_ENGINE_Risk'!$A$41:$A$920,0),$H862+1),""))</f>
        <v/>
      </c>
      <c r="H862">
        <f>IFERROR(VALUE(INDEX(_DATA_Assessment_Model!$H$5:$H$884,MATCH($E862,_DATA_Assessment_Model!$A$5:$A$884,0))),"")</f>
        <v/>
      </c>
      <c r="I862">
        <f>IF($H862="","",IFERROR(INDEX(_DATA_Assessment_Model!$L$5:$L$884,MATCH($E862,_DATA_Assessment_Model!$A$5:$A$884,0)),IF($H862&lt;=1,"Critical",IF($H862=2,"High",IF($H862=3,"Medium",IF($H862=4,"Low","Resilient"))))))</f>
        <v/>
      </c>
      <c r="J862">
        <f>IF($H862="","",MIN(5,MAX(1,6-$H862)))</f>
        <v/>
      </c>
      <c r="K862">
        <f>IF($H862="","",MAX(1,MIN(5,ROUNDUP(($U862*0.45)+($W862*0.35)+($X862*0.2),0))))</f>
        <v/>
      </c>
      <c r="L862">
        <f>IF($H862="","",$J862*$K862)</f>
        <v/>
      </c>
      <c r="M862">
        <f>IF($H862="","",MAX(1,MIN(5,ROUNDUP($L862/5,0))))</f>
        <v/>
      </c>
      <c r="N862">
        <f>IF($H862="","",IFERROR(INDEX('_ENGINE_Risk'!$T$41:$Y$920,MATCH($E862,'_ENGINE_Risk'!$A$41:$A$920,0),$H862+1),""))</f>
        <v/>
      </c>
      <c r="O862">
        <f>IF($H862="","",MAX(1,MIN(5,($U862+$V862+$X862)/3)))</f>
        <v/>
      </c>
      <c r="P862">
        <f>IF($H862="","",IF($I862="Critical",5,IF($I862="High",4,IF($I862="Medium",3,IF($I862="Low",2,1)))))</f>
        <v/>
      </c>
      <c r="Q862">
        <f>IF($H862="","",MAX(1,MIN(5,((5-$H862)*0.65)+($W862*0.35))))</f>
        <v/>
      </c>
      <c r="R862">
        <f>IF($H862="","",MAX(1,MIN(5,($V862+$X862)/2)))</f>
        <v/>
      </c>
      <c r="S862">
        <f>IF(OR($H862="",$N862=""),"",ROUND(($O862+$P862+$Q862+$R862)/$N862,2))</f>
        <v/>
      </c>
      <c r="T862">
        <f>IF($H862="","",IFERROR(INDEX('_ENGINE_Risk'!$N$41:$S$920,MATCH($E862,'_ENGINE_Risk'!$A$41:$A$920,0),$H862+1),""))</f>
        <v/>
      </c>
      <c r="U862">
        <f>IFERROR(INDEX(_DATA_Assessment_Model!$G$5:$G$884,MATCH($E862,_DATA_Assessment_Model!$A$5:$A$884,0)),"")</f>
        <v/>
      </c>
      <c r="V862">
        <f>IFERROR(INDEX(_DATA_Assessment_Model!$W$5:$W$884,MATCH($E862,_DATA_Assessment_Model!$A$5:$A$884,0)),"")</f>
        <v/>
      </c>
      <c r="W862">
        <f>IFERROR(INDEX(_DATA_Assessment_Model!$X$5:$X$884,MATCH($E862,_DATA_Assessment_Model!$A$5:$A$884,0)),"")</f>
        <v/>
      </c>
      <c r="X862">
        <f>IFERROR(INDEX(_DATA_Assessment_Model!$Y$5:$Y$884,MATCH($E862,_DATA_Assessment_Model!$A$5:$A$884,0)),"")</f>
        <v/>
      </c>
      <c r="Y862" t="inlineStr">
        <is>
          <t>Decision failure; Data loss; Regulatory/legal shock</t>
        </is>
      </c>
      <c r="Z862" t="inlineStr">
        <is>
          <t>CDO / BI / Analytics</t>
        </is>
      </c>
      <c r="AA862" t="inlineStr">
        <is>
          <t>Policy/SOP; owner/RACI; system report; dashboard; contracts; test records; incident history; interview evidence related to model validation and backtesting for forecasts and risk models.</t>
        </is>
      </c>
      <c r="AB862">
        <f>IFERROR(INDEX(_DATA_Assessment_Model!$U$5:$U$884,MATCH($E862,_DATA_Assessment_Model!$A$5:$A$884,0)),"")</f>
        <v/>
      </c>
      <c r="AF862" t="inlineStr">
        <is>
          <t>How mature is the organization in managing model validation and backtesting for forecasts and risk models, including ownership, evidence, metrics, fallback procedures and crisis stress testing?</t>
        </is>
      </c>
      <c r="AO862">
        <f>IF($B862="Yes",IFERROR(INDEX(_ENGINE_Crisis!$F$501:$F$517,MATCH($C862,_ENGINE_Crisis!$A$501:$A$517,0)),1),"")</f>
        <v/>
      </c>
      <c r="AP862">
        <f>IF(AO862="","",ROUND($L862*AO862,1))</f>
        <v/>
      </c>
      <c r="AQ862">
        <f>IF(OR(AO862="",$S862=""),"",ROUND($S862*(0.7+0.3*AO862),2))</f>
        <v/>
      </c>
      <c r="AR862">
        <f>IFERROR(INDEX(_ENGINE_Crisis!$E$41:$E$700,MATCH('Resilience &amp; Risk Scenario'!$B$60&amp;"|"&amp;$C862,_ENGINE_Crisis!$I$41:$I$700,0)),"")</f>
        <v/>
      </c>
      <c r="AS862">
        <f>IFERROR(INDEX(_ENGINE_Crisis!$G$41:$G$700,MATCH('Resilience &amp; Risk Scenario'!$B$60&amp;"|"&amp;$C862,_ENGINE_Crisis!$I$41:$I$700,0)),"")</f>
        <v/>
      </c>
      <c r="AT862">
        <f>IFERROR(INDEX(_ENGINE_Initiatives!$A$5:$A$532,MATCH(1,INDEX((_ENGINE_Initiatives!$B$5:$B$532=$C862)*(_ENGINE_Initiatives!$C$5:$C$532=$D862),0),0)),"")</f>
        <v/>
      </c>
      <c r="AU862">
        <f>IFERROR(INDEX(_ENGINE_Initiatives!$F$5:$F$532,MATCH(1,INDEX((_ENGINE_Initiatives!$B$5:$B$532=$C862)*(_ENGINE_Initiatives!$C$5:$C$532=$D862),0),0)),"")</f>
        <v/>
      </c>
      <c r="AV862">
        <f>IFERROR(INDEX(_ENGINE_Initiatives!$AC$5:$AC$532,MATCH(1,INDEX((_ENGINE_Initiatives!$B$5:$B$532=$C862)*(_ENGINE_Initiatives!$C$5:$C$532=$D862),0),0)),"")</f>
        <v/>
      </c>
      <c r="AW862">
        <f>IFERROR(INDEX(_ENGINE_Initiatives!$AE$5:$AE$532,MATCH(1,INDEX((_ENGINE_Initiatives!$B$5:$B$532=$C862)*(_ENGINE_Initiatives!$C$5:$C$532=$D862),0),0)),"")</f>
        <v/>
      </c>
      <c r="AX862">
        <f>IF($B862="Yes",IFERROR(IF(SUMIFS(_REF_Model_Content!$E$1:$E$613,_REF_Model_Content!$A$1:$A$613,'Company Profile'!$B$9,_REF_Model_Content!$B$1:$B$613,$C862)=0,1,SUMIFS(_REF_Model_Content!$E$1:$E$613,_REF_Model_Content!$A$1:$A$613,'Company Profile'!$B$9,_REF_Model_Content!$B$1:$B$613,$C862)),1),"")</f>
        <v/>
      </c>
      <c r="AY862">
        <f>IF($L862="","",ROUND(IF($AP862="",$L862,$AP862)*IF($AX862="",1,$AX862),2))</f>
        <v/>
      </c>
      <c r="AZ862">
        <f>IF($S862="","",ROUND(IF($AQ862="",$S862,$AQ862)*IF($AX862="",1,$AX862),2))</f>
        <v/>
      </c>
      <c r="BB862">
        <f>IF($H862="","",IFERROR(INDEX('_ENGINE_Risk'!$AE$41:$AE$920,MATCH($E862,'_ENGINE_Risk'!$A$41:$A$920,0)),"Medium"))</f>
        <v/>
      </c>
      <c r="BC862">
        <f>IF($BB862="","",IF($BB862="Fast",1.25,IF($BB862="Slow",0.85,1)))</f>
        <v/>
      </c>
      <c r="BD862">
        <f>IF(OR($AZ862="",$BC862=""),"",ROUND($AZ862*$BC862,2))</f>
        <v/>
      </c>
      <c r="BF862">
        <f>IF(OR($H862="",$J862=""),"",_xlfn.IFNA(VLOOKUP($J862,_CONFIG_Model_Settings!$D$610:$E$614,2,0),""))</f>
        <v/>
      </c>
      <c r="BG862">
        <f>IF(OR($H862="",$K862=""),"",ROUND('Company Profile'!$B$569*INDEX(_CONFIG_Model_Settings!$H$610:$H$614,MATCH($K862,_CONFIG_Model_Settings!$G$610:$G$614,0)),0))</f>
        <v/>
      </c>
      <c r="BH862">
        <f>IF(OR($BF862="",$BG862=""),"",ROUND($BF862*$BG862,1))</f>
        <v/>
      </c>
      <c r="BI862">
        <f>IF($BH862="","",IF($AO862="",$BH862,ROUND($BH862*$AO862,1)))</f>
        <v/>
      </c>
      <c r="BJ862">
        <f>IF($E862="","",IFERROR(VLOOKUP($C862,'_CONFIG_Risk_Calibration'!$A$5:$H$21,2,FALSE),3))</f>
        <v/>
      </c>
      <c r="BK862">
        <f>IF($E862="","",IFERROR(VLOOKUP($C862,'_CONFIG_Risk_Calibration'!$A$5:$H$21,3,FALSE),0))</f>
        <v/>
      </c>
      <c r="BL862">
        <f>IF($E862="","",IFERROR(VLOOKUP($C862,'_CONFIG_Risk_Calibration'!$A$5:$H$21,4,FALSE),3))</f>
        <v/>
      </c>
      <c r="BM862">
        <f>IF($E862="","",IFERROR(VLOOKUP($C862,'_CONFIG_Risk_Calibration'!$A$5:$H$21,5,FALSE),3))</f>
        <v/>
      </c>
      <c r="BN862">
        <f>IF($E862="","",IFERROR(VLOOKUP($C862,'_CONFIG_Risk_Calibration'!$A$5:$H$21,6,FALSE),"No"))</f>
        <v/>
      </c>
      <c r="BO862">
        <f>IF($E862="","",IFERROR(VLOOKUP($C862,'_CONFIG_Risk_Calibration'!$A$5:$H$21,7,FALSE),1))</f>
        <v/>
      </c>
      <c r="BP862">
        <f>IF($H862="","",MAX(1,MIN(5,((6-$H862)*0.45)+($BJ862*0.20)+('Resilience &amp; Risk Scenario'!$B$7*0.15)+($BK862*0.10)+($BL862*0.05)+(IF($BB862="Fast",5,IF($BB862="Slow",1,3))*0.05))))</f>
        <v/>
      </c>
      <c r="BQ862">
        <f>IF($H862="","",MAX(IF($BN862="Yes",$BO862,1),MIN(5,($U862*0.20)+($V862*0.15)+($W862*0.25)+($X862*0.15)+($BJ862*0.10)+($BM862*0.15))))</f>
        <v/>
      </c>
      <c r="BR862">
        <f>IF(OR($BP862="",$BQ862=""),"",ROUND($BP862*$BQ862,2))</f>
        <v/>
      </c>
      <c r="BS862">
        <f>IF($BR862="","",ROUND($BR862*IF($AO862="",1,$AO862)*IF($AX862="",1,$AX862)*(1+(($BM862-3)*0.10))*IF($BC862="",1,$BC862),2))</f>
        <v/>
      </c>
    </row>
    <row r="863" ht="69.90000000000001" customHeight="1" s="209">
      <c r="A863">
        <f>IF($BD863="","",SUMPRODUCT(ISNUMBER($BD$500:$BD$923)*($BD$500:$BD$923&gt;$BD863))+COUNTIF($BD$500:$BD863,$BD863))</f>
        <v/>
      </c>
      <c r="B863">
        <f>IF($H863="","",IF($H863&lt;5,"Yes","Maintain"))</f>
        <v/>
      </c>
      <c r="C863" t="inlineStr">
        <is>
          <t>Data BI AI</t>
        </is>
      </c>
      <c r="D863" t="inlineStr">
        <is>
          <t>AI readiness</t>
        </is>
      </c>
      <c r="E863" t="inlineStr">
        <is>
          <t>DATA-023</t>
        </is>
      </c>
      <c r="F863" t="inlineStr">
        <is>
          <t>Data, BI, analytics and AI governance</t>
        </is>
      </c>
      <c r="G863">
        <f>IF($H863="","",IFERROR(INDEX('_ENGINE_Risk'!$H$41:$M$920,MATCH($E863,'_ENGINE_Risk'!$A$41:$A$920,0),$H863+1),""))</f>
        <v/>
      </c>
      <c r="H863">
        <f>IFERROR(VALUE(INDEX(_DATA_Assessment_Model!$H$5:$H$884,MATCH($E863,_DATA_Assessment_Model!$A$5:$A$884,0))),"")</f>
        <v/>
      </c>
      <c r="I863">
        <f>IF($H863="","",IFERROR(INDEX(_DATA_Assessment_Model!$L$5:$L$884,MATCH($E863,_DATA_Assessment_Model!$A$5:$A$884,0)),IF($H863&lt;=1,"Critical",IF($H863=2,"High",IF($H863=3,"Medium",IF($H863=4,"Low","Resilient"))))))</f>
        <v/>
      </c>
      <c r="J863">
        <f>IF($H863="","",MIN(5,MAX(1,6-$H863)))</f>
        <v/>
      </c>
      <c r="K863">
        <f>IF($H863="","",MAX(1,MIN(5,ROUNDUP(($U863*0.45)+($W863*0.35)+($X863*0.2),0))))</f>
        <v/>
      </c>
      <c r="L863">
        <f>IF($H863="","",$J863*$K863)</f>
        <v/>
      </c>
      <c r="M863">
        <f>IF($H863="","",MAX(1,MIN(5,ROUNDUP($L863/5,0))))</f>
        <v/>
      </c>
      <c r="N863">
        <f>IF($H863="","",IFERROR(INDEX('_ENGINE_Risk'!$T$41:$Y$920,MATCH($E863,'_ENGINE_Risk'!$A$41:$A$920,0),$H863+1),""))</f>
        <v/>
      </c>
      <c r="O863">
        <f>IF($H863="","",MAX(1,MIN(5,($U863+$V863+$X863)/3)))</f>
        <v/>
      </c>
      <c r="P863">
        <f>IF($H863="","",IF($I863="Critical",5,IF($I863="High",4,IF($I863="Medium",3,IF($I863="Low",2,1)))))</f>
        <v/>
      </c>
      <c r="Q863">
        <f>IF($H863="","",MAX(1,MIN(5,((5-$H863)*0.65)+($W863*0.35))))</f>
        <v/>
      </c>
      <c r="R863">
        <f>IF($H863="","",MAX(1,MIN(5,($V863+$X863)/2)))</f>
        <v/>
      </c>
      <c r="S863">
        <f>IF(OR($H863="",$N863=""),"",ROUND(($O863+$P863+$Q863+$R863)/$N863,2))</f>
        <v/>
      </c>
      <c r="T863">
        <f>IF($H863="","",IFERROR(INDEX('_ENGINE_Risk'!$N$41:$S$920,MATCH($E863,'_ENGINE_Risk'!$A$41:$A$920,0),$H863+1),""))</f>
        <v/>
      </c>
      <c r="U863">
        <f>IFERROR(INDEX(_DATA_Assessment_Model!$G$5:$G$884,MATCH($E863,_DATA_Assessment_Model!$A$5:$A$884,0)),"")</f>
        <v/>
      </c>
      <c r="V863">
        <f>IFERROR(INDEX(_DATA_Assessment_Model!$W$5:$W$884,MATCH($E863,_DATA_Assessment_Model!$A$5:$A$884,0)),"")</f>
        <v/>
      </c>
      <c r="W863">
        <f>IFERROR(INDEX(_DATA_Assessment_Model!$X$5:$X$884,MATCH($E863,_DATA_Assessment_Model!$A$5:$A$884,0)),"")</f>
        <v/>
      </c>
      <c r="X863">
        <f>IFERROR(INDEX(_DATA_Assessment_Model!$Y$5:$Y$884,MATCH($E863,_DATA_Assessment_Model!$A$5:$A$884,0)),"")</f>
        <v/>
      </c>
      <c r="Y863" t="inlineStr">
        <is>
          <t>Decision failure; Data loss; Regulatory/legal shock</t>
        </is>
      </c>
      <c r="Z863" t="inlineStr">
        <is>
          <t>CDO / BI / Analytics</t>
        </is>
      </c>
      <c r="AA863" t="inlineStr">
        <is>
          <t>Policy/SOP; owner/RACI; system report; dashboard; contracts; test records; incident history; interview evidence related to AI and analytics use case portfolio linked to business value, risk and feasibility.</t>
        </is>
      </c>
      <c r="AB863">
        <f>IFERROR(INDEX(_DATA_Assessment_Model!$U$5:$U$884,MATCH($E863,_DATA_Assessment_Model!$A$5:$A$884,0)),"")</f>
        <v/>
      </c>
      <c r="AF863" t="inlineStr">
        <is>
          <t>How mature is the organization in managing AI and analytics use case portfolio linked to business value, risk and feasibility, including ownership, evidence, metrics, fallback procedures and crisis stress testing?</t>
        </is>
      </c>
      <c r="AO863">
        <f>IF($B863="Yes",IFERROR(INDEX(_ENGINE_Crisis!$F$501:$F$517,MATCH($C863,_ENGINE_Crisis!$A$501:$A$517,0)),1),"")</f>
        <v/>
      </c>
      <c r="AP863">
        <f>IF(AO863="","",ROUND($L863*AO863,1))</f>
        <v/>
      </c>
      <c r="AQ863">
        <f>IF(OR(AO863="",$S863=""),"",ROUND($S863*(0.7+0.3*AO863),2))</f>
        <v/>
      </c>
      <c r="AR863">
        <f>IFERROR(INDEX(_ENGINE_Crisis!$E$41:$E$700,MATCH('Resilience &amp; Risk Scenario'!$B$60&amp;"|"&amp;$C863,_ENGINE_Crisis!$I$41:$I$700,0)),"")</f>
        <v/>
      </c>
      <c r="AS863">
        <f>IFERROR(INDEX(_ENGINE_Crisis!$G$41:$G$700,MATCH('Resilience &amp; Risk Scenario'!$B$60&amp;"|"&amp;$C863,_ENGINE_Crisis!$I$41:$I$700,0)),"")</f>
        <v/>
      </c>
      <c r="AT863">
        <f>IFERROR(INDEX(_ENGINE_Initiatives!$A$5:$A$532,MATCH(1,INDEX((_ENGINE_Initiatives!$B$5:$B$532=$C863)*(_ENGINE_Initiatives!$C$5:$C$532=$D863),0),0)),"")</f>
        <v/>
      </c>
      <c r="AU863">
        <f>IFERROR(INDEX(_ENGINE_Initiatives!$F$5:$F$532,MATCH(1,INDEX((_ENGINE_Initiatives!$B$5:$B$532=$C863)*(_ENGINE_Initiatives!$C$5:$C$532=$D863),0),0)),"")</f>
        <v/>
      </c>
      <c r="AV863">
        <f>IFERROR(INDEX(_ENGINE_Initiatives!$AC$5:$AC$532,MATCH(1,INDEX((_ENGINE_Initiatives!$B$5:$B$532=$C863)*(_ENGINE_Initiatives!$C$5:$C$532=$D863),0),0)),"")</f>
        <v/>
      </c>
      <c r="AW863">
        <f>IFERROR(INDEX(_ENGINE_Initiatives!$AE$5:$AE$532,MATCH(1,INDEX((_ENGINE_Initiatives!$B$5:$B$532=$C863)*(_ENGINE_Initiatives!$C$5:$C$532=$D863),0),0)),"")</f>
        <v/>
      </c>
      <c r="AX863">
        <f>IF($B863="Yes",IFERROR(IF(SUMIFS(_REF_Model_Content!$E$1:$E$613,_REF_Model_Content!$A$1:$A$613,'Company Profile'!$B$9,_REF_Model_Content!$B$1:$B$613,$C863)=0,1,SUMIFS(_REF_Model_Content!$E$1:$E$613,_REF_Model_Content!$A$1:$A$613,'Company Profile'!$B$9,_REF_Model_Content!$B$1:$B$613,$C863)),1),"")</f>
        <v/>
      </c>
      <c r="AY863">
        <f>IF($L863="","",ROUND(IF($AP863="",$L863,$AP863)*IF($AX863="",1,$AX863),2))</f>
        <v/>
      </c>
      <c r="AZ863">
        <f>IF($S863="","",ROUND(IF($AQ863="",$S863,$AQ863)*IF($AX863="",1,$AX863),2))</f>
        <v/>
      </c>
      <c r="BB863">
        <f>IF($H863="","",IFERROR(INDEX('_ENGINE_Risk'!$AE$41:$AE$920,MATCH($E863,'_ENGINE_Risk'!$A$41:$A$920,0)),"Medium"))</f>
        <v/>
      </c>
      <c r="BC863">
        <f>IF($BB863="","",IF($BB863="Fast",1.25,IF($BB863="Slow",0.85,1)))</f>
        <v/>
      </c>
      <c r="BD863">
        <f>IF(OR($AZ863="",$BC863=""),"",ROUND($AZ863*$BC863,2))</f>
        <v/>
      </c>
      <c r="BF863">
        <f>IF(OR($H863="",$J863=""),"",_xlfn.IFNA(VLOOKUP($J863,_CONFIG_Model_Settings!$D$610:$E$614,2,0),""))</f>
        <v/>
      </c>
      <c r="BG863">
        <f>IF(OR($H863="",$K863=""),"",ROUND('Company Profile'!$B$569*INDEX(_CONFIG_Model_Settings!$H$610:$H$614,MATCH($K863,_CONFIG_Model_Settings!$G$610:$G$614,0)),0))</f>
        <v/>
      </c>
      <c r="BH863">
        <f>IF(OR($BF863="",$BG863=""),"",ROUND($BF863*$BG863,1))</f>
        <v/>
      </c>
      <c r="BI863">
        <f>IF($BH863="","",IF($AO863="",$BH863,ROUND($BH863*$AO863,1)))</f>
        <v/>
      </c>
      <c r="BJ863">
        <f>IF($E863="","",IFERROR(VLOOKUP($C863,'_CONFIG_Risk_Calibration'!$A$5:$H$21,2,FALSE),3))</f>
        <v/>
      </c>
      <c r="BK863">
        <f>IF($E863="","",IFERROR(VLOOKUP($C863,'_CONFIG_Risk_Calibration'!$A$5:$H$21,3,FALSE),0))</f>
        <v/>
      </c>
      <c r="BL863">
        <f>IF($E863="","",IFERROR(VLOOKUP($C863,'_CONFIG_Risk_Calibration'!$A$5:$H$21,4,FALSE),3))</f>
        <v/>
      </c>
      <c r="BM863">
        <f>IF($E863="","",IFERROR(VLOOKUP($C863,'_CONFIG_Risk_Calibration'!$A$5:$H$21,5,FALSE),3))</f>
        <v/>
      </c>
      <c r="BN863">
        <f>IF($E863="","",IFERROR(VLOOKUP($C863,'_CONFIG_Risk_Calibration'!$A$5:$H$21,6,FALSE),"No"))</f>
        <v/>
      </c>
      <c r="BO863">
        <f>IF($E863="","",IFERROR(VLOOKUP($C863,'_CONFIG_Risk_Calibration'!$A$5:$H$21,7,FALSE),1))</f>
        <v/>
      </c>
      <c r="BP863">
        <f>IF($H863="","",MAX(1,MIN(5,((6-$H863)*0.45)+($BJ863*0.20)+('Resilience &amp; Risk Scenario'!$B$7*0.15)+($BK863*0.10)+($BL863*0.05)+(IF($BB863="Fast",5,IF($BB863="Slow",1,3))*0.05))))</f>
        <v/>
      </c>
      <c r="BQ863">
        <f>IF($H863="","",MAX(IF($BN863="Yes",$BO863,1),MIN(5,($U863*0.20)+($V863*0.15)+($W863*0.25)+($X863*0.15)+($BJ863*0.10)+($BM863*0.15))))</f>
        <v/>
      </c>
      <c r="BR863">
        <f>IF(OR($BP863="",$BQ863=""),"",ROUND($BP863*$BQ863,2))</f>
        <v/>
      </c>
      <c r="BS863">
        <f>IF($BR863="","",ROUND($BR863*IF($AO863="",1,$AO863)*IF($AX863="",1,$AX863)*(1+(($BM863-3)*0.10))*IF($BC863="",1,$BC863),2))</f>
        <v/>
      </c>
    </row>
    <row r="864" ht="69.90000000000001" customHeight="1" s="209">
      <c r="A864">
        <f>IF($BD864="","",SUMPRODUCT(ISNUMBER($BD$500:$BD$923)*($BD$500:$BD$923&gt;$BD864))+COUNTIF($BD$500:$BD864,$BD864))</f>
        <v/>
      </c>
      <c r="B864">
        <f>IF($H864="","",IF($H864&lt;5,"Yes","Maintain"))</f>
        <v/>
      </c>
      <c r="C864" t="inlineStr">
        <is>
          <t>Data BI AI</t>
        </is>
      </c>
      <c r="D864" t="inlineStr">
        <is>
          <t>AI readiness</t>
        </is>
      </c>
      <c r="E864" t="inlineStr">
        <is>
          <t>DATA-024</t>
        </is>
      </c>
      <c r="F864" t="inlineStr">
        <is>
          <t>Data, BI, analytics and AI governance</t>
        </is>
      </c>
      <c r="G864">
        <f>IF($H864="","",IFERROR(INDEX('_ENGINE_Risk'!$H$41:$M$920,MATCH($E864,'_ENGINE_Risk'!$A$41:$A$920,0),$H864+1),""))</f>
        <v/>
      </c>
      <c r="H864">
        <f>IFERROR(VALUE(INDEX(_DATA_Assessment_Model!$H$5:$H$884,MATCH($E864,_DATA_Assessment_Model!$A$5:$A$884,0))),"")</f>
        <v/>
      </c>
      <c r="I864">
        <f>IF($H864="","",IFERROR(INDEX(_DATA_Assessment_Model!$L$5:$L$884,MATCH($E864,_DATA_Assessment_Model!$A$5:$A$884,0)),IF($H864&lt;=1,"Critical",IF($H864=2,"High",IF($H864=3,"Medium",IF($H864=4,"Low","Resilient"))))))</f>
        <v/>
      </c>
      <c r="J864">
        <f>IF($H864="","",MIN(5,MAX(1,6-$H864)))</f>
        <v/>
      </c>
      <c r="K864">
        <f>IF($H864="","",MAX(1,MIN(5,ROUNDUP(($U864*0.45)+($W864*0.35)+($X864*0.2),0))))</f>
        <v/>
      </c>
      <c r="L864">
        <f>IF($H864="","",$J864*$K864)</f>
        <v/>
      </c>
      <c r="M864">
        <f>IF($H864="","",MAX(1,MIN(5,ROUNDUP($L864/5,0))))</f>
        <v/>
      </c>
      <c r="N864">
        <f>IF($H864="","",IFERROR(INDEX('_ENGINE_Risk'!$T$41:$Y$920,MATCH($E864,'_ENGINE_Risk'!$A$41:$A$920,0),$H864+1),""))</f>
        <v/>
      </c>
      <c r="O864">
        <f>IF($H864="","",MAX(1,MIN(5,($U864+$V864+$X864)/3)))</f>
        <v/>
      </c>
      <c r="P864">
        <f>IF($H864="","",IF($I864="Critical",5,IF($I864="High",4,IF($I864="Medium",3,IF($I864="Low",2,1)))))</f>
        <v/>
      </c>
      <c r="Q864">
        <f>IF($H864="","",MAX(1,MIN(5,((5-$H864)*0.65)+($W864*0.35))))</f>
        <v/>
      </c>
      <c r="R864">
        <f>IF($H864="","",MAX(1,MIN(5,($V864+$X864)/2)))</f>
        <v/>
      </c>
      <c r="S864">
        <f>IF(OR($H864="",$N864=""),"",ROUND(($O864+$P864+$Q864+$R864)/$N864,2))</f>
        <v/>
      </c>
      <c r="T864">
        <f>IF($H864="","",IFERROR(INDEX('_ENGINE_Risk'!$N$41:$S$920,MATCH($E864,'_ENGINE_Risk'!$A$41:$A$920,0),$H864+1),""))</f>
        <v/>
      </c>
      <c r="U864">
        <f>IFERROR(INDEX(_DATA_Assessment_Model!$G$5:$G$884,MATCH($E864,_DATA_Assessment_Model!$A$5:$A$884,0)),"")</f>
        <v/>
      </c>
      <c r="V864">
        <f>IFERROR(INDEX(_DATA_Assessment_Model!$W$5:$W$884,MATCH($E864,_DATA_Assessment_Model!$A$5:$A$884,0)),"")</f>
        <v/>
      </c>
      <c r="W864">
        <f>IFERROR(INDEX(_DATA_Assessment_Model!$X$5:$X$884,MATCH($E864,_DATA_Assessment_Model!$A$5:$A$884,0)),"")</f>
        <v/>
      </c>
      <c r="X864">
        <f>IFERROR(INDEX(_DATA_Assessment_Model!$Y$5:$Y$884,MATCH($E864,_DATA_Assessment_Model!$A$5:$A$884,0)),"")</f>
        <v/>
      </c>
      <c r="Y864" t="inlineStr">
        <is>
          <t>Decision failure; Data loss; Regulatory/legal shock</t>
        </is>
      </c>
      <c r="Z864" t="inlineStr">
        <is>
          <t>CDO / BI / Analytics</t>
        </is>
      </c>
      <c r="AA864" t="inlineStr">
        <is>
          <t>Policy/SOP; owner/RACI; system report; dashboard; contracts; test records; incident history; interview evidence related to AI governance for privacy, security, explainability, bias, human oversight and model risk.</t>
        </is>
      </c>
      <c r="AB864">
        <f>IFERROR(INDEX(_DATA_Assessment_Model!$U$5:$U$884,MATCH($E864,_DATA_Assessment_Model!$A$5:$A$884,0)),"")</f>
        <v/>
      </c>
      <c r="AF864" t="inlineStr">
        <is>
          <t>How mature is the organization in managing AI governance for privacy, security, explainability, bias, human oversight and model risk, including ownership, evidence, metrics, fallback procedures and crisis stress testing?</t>
        </is>
      </c>
      <c r="AO864">
        <f>IF($B864="Yes",IFERROR(INDEX(_ENGINE_Crisis!$F$501:$F$517,MATCH($C864,_ENGINE_Crisis!$A$501:$A$517,0)),1),"")</f>
        <v/>
      </c>
      <c r="AP864">
        <f>IF(AO864="","",ROUND($L864*AO864,1))</f>
        <v/>
      </c>
      <c r="AQ864">
        <f>IF(OR(AO864="",$S864=""),"",ROUND($S864*(0.7+0.3*AO864),2))</f>
        <v/>
      </c>
      <c r="AR864">
        <f>IFERROR(INDEX(_ENGINE_Crisis!$E$41:$E$700,MATCH('Resilience &amp; Risk Scenario'!$B$60&amp;"|"&amp;$C864,_ENGINE_Crisis!$I$41:$I$700,0)),"")</f>
        <v/>
      </c>
      <c r="AS864">
        <f>IFERROR(INDEX(_ENGINE_Crisis!$G$41:$G$700,MATCH('Resilience &amp; Risk Scenario'!$B$60&amp;"|"&amp;$C864,_ENGINE_Crisis!$I$41:$I$700,0)),"")</f>
        <v/>
      </c>
      <c r="AT864">
        <f>IFERROR(INDEX(_ENGINE_Initiatives!$A$5:$A$532,MATCH(1,INDEX((_ENGINE_Initiatives!$B$5:$B$532=$C864)*(_ENGINE_Initiatives!$C$5:$C$532=$D864),0),0)),"")</f>
        <v/>
      </c>
      <c r="AU864">
        <f>IFERROR(INDEX(_ENGINE_Initiatives!$F$5:$F$532,MATCH(1,INDEX((_ENGINE_Initiatives!$B$5:$B$532=$C864)*(_ENGINE_Initiatives!$C$5:$C$532=$D864),0),0)),"")</f>
        <v/>
      </c>
      <c r="AV864">
        <f>IFERROR(INDEX(_ENGINE_Initiatives!$AC$5:$AC$532,MATCH(1,INDEX((_ENGINE_Initiatives!$B$5:$B$532=$C864)*(_ENGINE_Initiatives!$C$5:$C$532=$D864),0),0)),"")</f>
        <v/>
      </c>
      <c r="AW864">
        <f>IFERROR(INDEX(_ENGINE_Initiatives!$AE$5:$AE$532,MATCH(1,INDEX((_ENGINE_Initiatives!$B$5:$B$532=$C864)*(_ENGINE_Initiatives!$C$5:$C$532=$D864),0),0)),"")</f>
        <v/>
      </c>
      <c r="AX864">
        <f>IF($B864="Yes",IFERROR(IF(SUMIFS(_REF_Model_Content!$E$1:$E$613,_REF_Model_Content!$A$1:$A$613,'Company Profile'!$B$9,_REF_Model_Content!$B$1:$B$613,$C864)=0,1,SUMIFS(_REF_Model_Content!$E$1:$E$613,_REF_Model_Content!$A$1:$A$613,'Company Profile'!$B$9,_REF_Model_Content!$B$1:$B$613,$C864)),1),"")</f>
        <v/>
      </c>
      <c r="AY864">
        <f>IF($L864="","",ROUND(IF($AP864="",$L864,$AP864)*IF($AX864="",1,$AX864),2))</f>
        <v/>
      </c>
      <c r="AZ864">
        <f>IF($S864="","",ROUND(IF($AQ864="",$S864,$AQ864)*IF($AX864="",1,$AX864),2))</f>
        <v/>
      </c>
      <c r="BB864">
        <f>IF($H864="","",IFERROR(INDEX('_ENGINE_Risk'!$AE$41:$AE$920,MATCH($E864,'_ENGINE_Risk'!$A$41:$A$920,0)),"Medium"))</f>
        <v/>
      </c>
      <c r="BC864">
        <f>IF($BB864="","",IF($BB864="Fast",1.25,IF($BB864="Slow",0.85,1)))</f>
        <v/>
      </c>
      <c r="BD864">
        <f>IF(OR($AZ864="",$BC864=""),"",ROUND($AZ864*$BC864,2))</f>
        <v/>
      </c>
      <c r="BF864">
        <f>IF(OR($H864="",$J864=""),"",_xlfn.IFNA(VLOOKUP($J864,_CONFIG_Model_Settings!$D$610:$E$614,2,0),""))</f>
        <v/>
      </c>
      <c r="BG864">
        <f>IF(OR($H864="",$K864=""),"",ROUND('Company Profile'!$B$569*INDEX(_CONFIG_Model_Settings!$H$610:$H$614,MATCH($K864,_CONFIG_Model_Settings!$G$610:$G$614,0)),0))</f>
        <v/>
      </c>
      <c r="BH864">
        <f>IF(OR($BF864="",$BG864=""),"",ROUND($BF864*$BG864,1))</f>
        <v/>
      </c>
      <c r="BI864">
        <f>IF($BH864="","",IF($AO864="",$BH864,ROUND($BH864*$AO864,1)))</f>
        <v/>
      </c>
      <c r="BJ864">
        <f>IF($E864="","",IFERROR(VLOOKUP($C864,'_CONFIG_Risk_Calibration'!$A$5:$H$21,2,FALSE),3))</f>
        <v/>
      </c>
      <c r="BK864">
        <f>IF($E864="","",IFERROR(VLOOKUP($C864,'_CONFIG_Risk_Calibration'!$A$5:$H$21,3,FALSE),0))</f>
        <v/>
      </c>
      <c r="BL864">
        <f>IF($E864="","",IFERROR(VLOOKUP($C864,'_CONFIG_Risk_Calibration'!$A$5:$H$21,4,FALSE),3))</f>
        <v/>
      </c>
      <c r="BM864">
        <f>IF($E864="","",IFERROR(VLOOKUP($C864,'_CONFIG_Risk_Calibration'!$A$5:$H$21,5,FALSE),3))</f>
        <v/>
      </c>
      <c r="BN864">
        <f>IF($E864="","",IFERROR(VLOOKUP($C864,'_CONFIG_Risk_Calibration'!$A$5:$H$21,6,FALSE),"No"))</f>
        <v/>
      </c>
      <c r="BO864">
        <f>IF($E864="","",IFERROR(VLOOKUP($C864,'_CONFIG_Risk_Calibration'!$A$5:$H$21,7,FALSE),1))</f>
        <v/>
      </c>
      <c r="BP864">
        <f>IF($H864="","",MAX(1,MIN(5,((6-$H864)*0.45)+($BJ864*0.20)+('Resilience &amp; Risk Scenario'!$B$7*0.15)+($BK864*0.10)+($BL864*0.05)+(IF($BB864="Fast",5,IF($BB864="Slow",1,3))*0.05))))</f>
        <v/>
      </c>
      <c r="BQ864">
        <f>IF($H864="","",MAX(IF($BN864="Yes",$BO864,1),MIN(5,($U864*0.20)+($V864*0.15)+($W864*0.25)+($X864*0.15)+($BJ864*0.10)+($BM864*0.15))))</f>
        <v/>
      </c>
      <c r="BR864">
        <f>IF(OR($BP864="",$BQ864=""),"",ROUND($BP864*$BQ864,2))</f>
        <v/>
      </c>
      <c r="BS864">
        <f>IF($BR864="","",ROUND($BR864*IF($AO864="",1,$AO864)*IF($AX864="",1,$AX864)*(1+(($BM864-3)*0.10))*IF($BC864="",1,$BC864),2))</f>
        <v/>
      </c>
    </row>
    <row r="865" ht="69.90000000000001" customHeight="1" s="209">
      <c r="A865">
        <f>IF($BD865="","",SUMPRODUCT(ISNUMBER($BD$500:$BD$923)*($BD$500:$BD$923&gt;$BD865))+COUNTIF($BD$500:$BD865,$BD865))</f>
        <v/>
      </c>
      <c r="B865">
        <f>IF($H865="","",IF($H865&lt;5,"Yes","Maintain"))</f>
        <v/>
      </c>
      <c r="C865" t="inlineStr">
        <is>
          <t>Data BI AI</t>
        </is>
      </c>
      <c r="D865" t="inlineStr">
        <is>
          <t>AI readiness</t>
        </is>
      </c>
      <c r="E865" t="inlineStr">
        <is>
          <t>DATA-025</t>
        </is>
      </c>
      <c r="F865" t="inlineStr">
        <is>
          <t>Data, BI, analytics and AI governance</t>
        </is>
      </c>
      <c r="G865">
        <f>IF($H865="","",IFERROR(INDEX('_ENGINE_Risk'!$H$41:$M$920,MATCH($E865,'_ENGINE_Risk'!$A$41:$A$920,0),$H865+1),""))</f>
        <v/>
      </c>
      <c r="H865">
        <f>IFERROR(VALUE(INDEX(_DATA_Assessment_Model!$H$5:$H$884,MATCH($E865,_DATA_Assessment_Model!$A$5:$A$884,0))),"")</f>
        <v/>
      </c>
      <c r="I865">
        <f>IF($H865="","",IFERROR(INDEX(_DATA_Assessment_Model!$L$5:$L$884,MATCH($E865,_DATA_Assessment_Model!$A$5:$A$884,0)),IF($H865&lt;=1,"Critical",IF($H865=2,"High",IF($H865=3,"Medium",IF($H865=4,"Low","Resilient"))))))</f>
        <v/>
      </c>
      <c r="J865">
        <f>IF($H865="","",MIN(5,MAX(1,6-$H865)))</f>
        <v/>
      </c>
      <c r="K865">
        <f>IF($H865="","",MAX(1,MIN(5,ROUNDUP(($U865*0.45)+($W865*0.35)+($X865*0.2),0))))</f>
        <v/>
      </c>
      <c r="L865">
        <f>IF($H865="","",$J865*$K865)</f>
        <v/>
      </c>
      <c r="M865">
        <f>IF($H865="","",MAX(1,MIN(5,ROUNDUP($L865/5,0))))</f>
        <v/>
      </c>
      <c r="N865">
        <f>IF($H865="","",IFERROR(INDEX('_ENGINE_Risk'!$T$41:$Y$920,MATCH($E865,'_ENGINE_Risk'!$A$41:$A$920,0),$H865+1),""))</f>
        <v/>
      </c>
      <c r="O865">
        <f>IF($H865="","",MAX(1,MIN(5,($U865+$V865+$X865)/3)))</f>
        <v/>
      </c>
      <c r="P865">
        <f>IF($H865="","",IF($I865="Critical",5,IF($I865="High",4,IF($I865="Medium",3,IF($I865="Low",2,1)))))</f>
        <v/>
      </c>
      <c r="Q865">
        <f>IF($H865="","",MAX(1,MIN(5,((5-$H865)*0.65)+($W865*0.35))))</f>
        <v/>
      </c>
      <c r="R865">
        <f>IF($H865="","",MAX(1,MIN(5,($V865+$X865)/2)))</f>
        <v/>
      </c>
      <c r="S865">
        <f>IF(OR($H865="",$N865=""),"",ROUND(($O865+$P865+$Q865+$R865)/$N865,2))</f>
        <v/>
      </c>
      <c r="T865">
        <f>IF($H865="","",IFERROR(INDEX('_ENGINE_Risk'!$N$41:$S$920,MATCH($E865,'_ENGINE_Risk'!$A$41:$A$920,0),$H865+1),""))</f>
        <v/>
      </c>
      <c r="U865">
        <f>IFERROR(INDEX(_DATA_Assessment_Model!$G$5:$G$884,MATCH($E865,_DATA_Assessment_Model!$A$5:$A$884,0)),"")</f>
        <v/>
      </c>
      <c r="V865">
        <f>IFERROR(INDEX(_DATA_Assessment_Model!$W$5:$W$884,MATCH($E865,_DATA_Assessment_Model!$A$5:$A$884,0)),"")</f>
        <v/>
      </c>
      <c r="W865">
        <f>IFERROR(INDEX(_DATA_Assessment_Model!$X$5:$X$884,MATCH($E865,_DATA_Assessment_Model!$A$5:$A$884,0)),"")</f>
        <v/>
      </c>
      <c r="X865">
        <f>IFERROR(INDEX(_DATA_Assessment_Model!$Y$5:$Y$884,MATCH($E865,_DATA_Assessment_Model!$A$5:$A$884,0)),"")</f>
        <v/>
      </c>
      <c r="Y865" t="inlineStr">
        <is>
          <t>Decision failure; Data loss; Regulatory/legal shock</t>
        </is>
      </c>
      <c r="Z865" t="inlineStr">
        <is>
          <t>CDO / BI / Analytics</t>
        </is>
      </c>
      <c r="AA865" t="inlineStr">
        <is>
          <t>Policy/SOP; owner/RACI; system report; dashboard; contracts; test records; incident history; interview evidence related to LLM usage policy covering data leakage, IP, accuracy, approval and acceptable use.</t>
        </is>
      </c>
      <c r="AB865">
        <f>IFERROR(INDEX(_DATA_Assessment_Model!$U$5:$U$884,MATCH($E865,_DATA_Assessment_Model!$A$5:$A$884,0)),"")</f>
        <v/>
      </c>
      <c r="AF865" t="inlineStr">
        <is>
          <t>How mature is the organization in managing LLM usage policy covering data leakage, IP, accuracy, approval and acceptable use, including ownership, evidence, metrics, fallback procedures and crisis stress testing?</t>
        </is>
      </c>
      <c r="AO865">
        <f>IF($B865="Yes",IFERROR(INDEX(_ENGINE_Crisis!$F$501:$F$517,MATCH($C865,_ENGINE_Crisis!$A$501:$A$517,0)),1),"")</f>
        <v/>
      </c>
      <c r="AP865">
        <f>IF(AO865="","",ROUND($L865*AO865,1))</f>
        <v/>
      </c>
      <c r="AQ865">
        <f>IF(OR(AO865="",$S865=""),"",ROUND($S865*(0.7+0.3*AO865),2))</f>
        <v/>
      </c>
      <c r="AR865">
        <f>IFERROR(INDEX(_ENGINE_Crisis!$E$41:$E$700,MATCH('Resilience &amp; Risk Scenario'!$B$60&amp;"|"&amp;$C865,_ENGINE_Crisis!$I$41:$I$700,0)),"")</f>
        <v/>
      </c>
      <c r="AS865">
        <f>IFERROR(INDEX(_ENGINE_Crisis!$G$41:$G$700,MATCH('Resilience &amp; Risk Scenario'!$B$60&amp;"|"&amp;$C865,_ENGINE_Crisis!$I$41:$I$700,0)),"")</f>
        <v/>
      </c>
      <c r="AT865">
        <f>IFERROR(INDEX(_ENGINE_Initiatives!$A$5:$A$532,MATCH(1,INDEX((_ENGINE_Initiatives!$B$5:$B$532=$C865)*(_ENGINE_Initiatives!$C$5:$C$532=$D865),0),0)),"")</f>
        <v/>
      </c>
      <c r="AU865">
        <f>IFERROR(INDEX(_ENGINE_Initiatives!$F$5:$F$532,MATCH(1,INDEX((_ENGINE_Initiatives!$B$5:$B$532=$C865)*(_ENGINE_Initiatives!$C$5:$C$532=$D865),0),0)),"")</f>
        <v/>
      </c>
      <c r="AV865">
        <f>IFERROR(INDEX(_ENGINE_Initiatives!$AC$5:$AC$532,MATCH(1,INDEX((_ENGINE_Initiatives!$B$5:$B$532=$C865)*(_ENGINE_Initiatives!$C$5:$C$532=$D865),0),0)),"")</f>
        <v/>
      </c>
      <c r="AW865">
        <f>IFERROR(INDEX(_ENGINE_Initiatives!$AE$5:$AE$532,MATCH(1,INDEX((_ENGINE_Initiatives!$B$5:$B$532=$C865)*(_ENGINE_Initiatives!$C$5:$C$532=$D865),0),0)),"")</f>
        <v/>
      </c>
      <c r="AX865">
        <f>IF($B865="Yes",IFERROR(IF(SUMIFS(_REF_Model_Content!$E$1:$E$613,_REF_Model_Content!$A$1:$A$613,'Company Profile'!$B$9,_REF_Model_Content!$B$1:$B$613,$C865)=0,1,SUMIFS(_REF_Model_Content!$E$1:$E$613,_REF_Model_Content!$A$1:$A$613,'Company Profile'!$B$9,_REF_Model_Content!$B$1:$B$613,$C865)),1),"")</f>
        <v/>
      </c>
      <c r="AY865">
        <f>IF($L865="","",ROUND(IF($AP865="",$L865,$AP865)*IF($AX865="",1,$AX865),2))</f>
        <v/>
      </c>
      <c r="AZ865">
        <f>IF($S865="","",ROUND(IF($AQ865="",$S865,$AQ865)*IF($AX865="",1,$AX865),2))</f>
        <v/>
      </c>
      <c r="BB865">
        <f>IF($H865="","",IFERROR(INDEX('_ENGINE_Risk'!$AE$41:$AE$920,MATCH($E865,'_ENGINE_Risk'!$A$41:$A$920,0)),"Medium"))</f>
        <v/>
      </c>
      <c r="BC865">
        <f>IF($BB865="","",IF($BB865="Fast",1.25,IF($BB865="Slow",0.85,1)))</f>
        <v/>
      </c>
      <c r="BD865">
        <f>IF(OR($AZ865="",$BC865=""),"",ROUND($AZ865*$BC865,2))</f>
        <v/>
      </c>
      <c r="BF865">
        <f>IF(OR($H865="",$J865=""),"",_xlfn.IFNA(VLOOKUP($J865,_CONFIG_Model_Settings!$D$610:$E$614,2,0),""))</f>
        <v/>
      </c>
      <c r="BG865">
        <f>IF(OR($H865="",$K865=""),"",ROUND('Company Profile'!$B$569*INDEX(_CONFIG_Model_Settings!$H$610:$H$614,MATCH($K865,_CONFIG_Model_Settings!$G$610:$G$614,0)),0))</f>
        <v/>
      </c>
      <c r="BH865">
        <f>IF(OR($BF865="",$BG865=""),"",ROUND($BF865*$BG865,1))</f>
        <v/>
      </c>
      <c r="BI865">
        <f>IF($BH865="","",IF($AO865="",$BH865,ROUND($BH865*$AO865,1)))</f>
        <v/>
      </c>
      <c r="BJ865">
        <f>IF($E865="","",IFERROR(VLOOKUP($C865,'_CONFIG_Risk_Calibration'!$A$5:$H$21,2,FALSE),3))</f>
        <v/>
      </c>
      <c r="BK865">
        <f>IF($E865="","",IFERROR(VLOOKUP($C865,'_CONFIG_Risk_Calibration'!$A$5:$H$21,3,FALSE),0))</f>
        <v/>
      </c>
      <c r="BL865">
        <f>IF($E865="","",IFERROR(VLOOKUP($C865,'_CONFIG_Risk_Calibration'!$A$5:$H$21,4,FALSE),3))</f>
        <v/>
      </c>
      <c r="BM865">
        <f>IF($E865="","",IFERROR(VLOOKUP($C865,'_CONFIG_Risk_Calibration'!$A$5:$H$21,5,FALSE),3))</f>
        <v/>
      </c>
      <c r="BN865">
        <f>IF($E865="","",IFERROR(VLOOKUP($C865,'_CONFIG_Risk_Calibration'!$A$5:$H$21,6,FALSE),"No"))</f>
        <v/>
      </c>
      <c r="BO865">
        <f>IF($E865="","",IFERROR(VLOOKUP($C865,'_CONFIG_Risk_Calibration'!$A$5:$H$21,7,FALSE),1))</f>
        <v/>
      </c>
      <c r="BP865">
        <f>IF($H865="","",MAX(1,MIN(5,((6-$H865)*0.45)+($BJ865*0.20)+('Resilience &amp; Risk Scenario'!$B$7*0.15)+($BK865*0.10)+($BL865*0.05)+(IF($BB865="Fast",5,IF($BB865="Slow",1,3))*0.05))))</f>
        <v/>
      </c>
      <c r="BQ865">
        <f>IF($H865="","",MAX(IF($BN865="Yes",$BO865,1),MIN(5,($U865*0.20)+($V865*0.15)+($W865*0.25)+($X865*0.15)+($BJ865*0.10)+($BM865*0.15))))</f>
        <v/>
      </c>
      <c r="BR865">
        <f>IF(OR($BP865="",$BQ865=""),"",ROUND($BP865*$BQ865,2))</f>
        <v/>
      </c>
      <c r="BS865">
        <f>IF($BR865="","",ROUND($BR865*IF($AO865="",1,$AO865)*IF($AX865="",1,$AX865)*(1+(($BM865-3)*0.10))*IF($BC865="",1,$BC865),2))</f>
        <v/>
      </c>
    </row>
    <row r="866" ht="69.90000000000001" customHeight="1" s="209">
      <c r="A866">
        <f>IF($BD866="","",SUMPRODUCT(ISNUMBER($BD$500:$BD$923)*($BD$500:$BD$923&gt;$BD866))+COUNTIF($BD$500:$BD866,$BD866))</f>
        <v/>
      </c>
      <c r="B866">
        <f>IF($H866="","",IF($H866&lt;5,"Yes","Maintain"))</f>
        <v/>
      </c>
      <c r="C866" t="inlineStr">
        <is>
          <t>Data BI AI</t>
        </is>
      </c>
      <c r="D866" t="inlineStr">
        <is>
          <t>AI readiness</t>
        </is>
      </c>
      <c r="E866" t="inlineStr">
        <is>
          <t>DATA-026</t>
        </is>
      </c>
      <c r="F866" t="inlineStr">
        <is>
          <t>Data, BI, analytics and AI governance</t>
        </is>
      </c>
      <c r="G866">
        <f>IF($H866="","",IFERROR(INDEX('_ENGINE_Risk'!$H$41:$M$920,MATCH($E866,'_ENGINE_Risk'!$A$41:$A$920,0),$H866+1),""))</f>
        <v/>
      </c>
      <c r="H866">
        <f>IFERROR(VALUE(INDEX(_DATA_Assessment_Model!$H$5:$H$884,MATCH($E866,_DATA_Assessment_Model!$A$5:$A$884,0))),"")</f>
        <v/>
      </c>
      <c r="I866">
        <f>IF($H866="","",IFERROR(INDEX(_DATA_Assessment_Model!$L$5:$L$884,MATCH($E866,_DATA_Assessment_Model!$A$5:$A$884,0)),IF($H866&lt;=1,"Critical",IF($H866=2,"High",IF($H866=3,"Medium",IF($H866=4,"Low","Resilient"))))))</f>
        <v/>
      </c>
      <c r="J866">
        <f>IF($H866="","",MIN(5,MAX(1,6-$H866)))</f>
        <v/>
      </c>
      <c r="K866">
        <f>IF($H866="","",MAX(1,MIN(5,ROUNDUP(($U866*0.45)+($W866*0.35)+($X866*0.2),0))))</f>
        <v/>
      </c>
      <c r="L866">
        <f>IF($H866="","",$J866*$K866)</f>
        <v/>
      </c>
      <c r="M866">
        <f>IF($H866="","",MAX(1,MIN(5,ROUNDUP($L866/5,0))))</f>
        <v/>
      </c>
      <c r="N866">
        <f>IF($H866="","",IFERROR(INDEX('_ENGINE_Risk'!$T$41:$Y$920,MATCH($E866,'_ENGINE_Risk'!$A$41:$A$920,0),$H866+1),""))</f>
        <v/>
      </c>
      <c r="O866">
        <f>IF($H866="","",MAX(1,MIN(5,($U866+$V866+$X866)/3)))</f>
        <v/>
      </c>
      <c r="P866">
        <f>IF($H866="","",IF($I866="Critical",5,IF($I866="High",4,IF($I866="Medium",3,IF($I866="Low",2,1)))))</f>
        <v/>
      </c>
      <c r="Q866">
        <f>IF($H866="","",MAX(1,MIN(5,((5-$H866)*0.65)+($W866*0.35))))</f>
        <v/>
      </c>
      <c r="R866">
        <f>IF($H866="","",MAX(1,MIN(5,($V866+$X866)/2)))</f>
        <v/>
      </c>
      <c r="S866">
        <f>IF(OR($H866="",$N866=""),"",ROUND(($O866+$P866+$Q866+$R866)/$N866,2))</f>
        <v/>
      </c>
      <c r="T866">
        <f>IF($H866="","",IFERROR(INDEX('_ENGINE_Risk'!$N$41:$S$920,MATCH($E866,'_ENGINE_Risk'!$A$41:$A$920,0),$H866+1),""))</f>
        <v/>
      </c>
      <c r="U866">
        <f>IFERROR(INDEX(_DATA_Assessment_Model!$G$5:$G$884,MATCH($E866,_DATA_Assessment_Model!$A$5:$A$884,0)),"")</f>
        <v/>
      </c>
      <c r="V866">
        <f>IFERROR(INDEX(_DATA_Assessment_Model!$W$5:$W$884,MATCH($E866,_DATA_Assessment_Model!$A$5:$A$884,0)),"")</f>
        <v/>
      </c>
      <c r="W866">
        <f>IFERROR(INDEX(_DATA_Assessment_Model!$X$5:$X$884,MATCH($E866,_DATA_Assessment_Model!$A$5:$A$884,0)),"")</f>
        <v/>
      </c>
      <c r="X866">
        <f>IFERROR(INDEX(_DATA_Assessment_Model!$Y$5:$Y$884,MATCH($E866,_DATA_Assessment_Model!$A$5:$A$884,0)),"")</f>
        <v/>
      </c>
      <c r="Y866" t="inlineStr">
        <is>
          <t>Decision failure; Data loss; Regulatory/legal shock</t>
        </is>
      </c>
      <c r="Z866" t="inlineStr">
        <is>
          <t>CDO / BI / Analytics</t>
        </is>
      </c>
      <c r="AA866" t="inlineStr">
        <is>
          <t>Policy/SOP; owner/RACI; system report; dashboard; contracts; test records; incident history; interview evidence related to AI model register and monitoring for drift, accuracy, performance and business impact.</t>
        </is>
      </c>
      <c r="AB866">
        <f>IFERROR(INDEX(_DATA_Assessment_Model!$U$5:$U$884,MATCH($E866,_DATA_Assessment_Model!$A$5:$A$884,0)),"")</f>
        <v/>
      </c>
      <c r="AF866" t="inlineStr">
        <is>
          <t>How mature is the organization in managing AI model register and monitoring for drift, accuracy, performance and business impact, including ownership, evidence, metrics, fallback procedures and crisis stress testing?</t>
        </is>
      </c>
      <c r="AO866">
        <f>IF($B866="Yes",IFERROR(INDEX(_ENGINE_Crisis!$F$501:$F$517,MATCH($C866,_ENGINE_Crisis!$A$501:$A$517,0)),1),"")</f>
        <v/>
      </c>
      <c r="AP866">
        <f>IF(AO866="","",ROUND($L866*AO866,1))</f>
        <v/>
      </c>
      <c r="AQ866">
        <f>IF(OR(AO866="",$S866=""),"",ROUND($S866*(0.7+0.3*AO866),2))</f>
        <v/>
      </c>
      <c r="AR866">
        <f>IFERROR(INDEX(_ENGINE_Crisis!$E$41:$E$700,MATCH('Resilience &amp; Risk Scenario'!$B$60&amp;"|"&amp;$C866,_ENGINE_Crisis!$I$41:$I$700,0)),"")</f>
        <v/>
      </c>
      <c r="AS866">
        <f>IFERROR(INDEX(_ENGINE_Crisis!$G$41:$G$700,MATCH('Resilience &amp; Risk Scenario'!$B$60&amp;"|"&amp;$C866,_ENGINE_Crisis!$I$41:$I$700,0)),"")</f>
        <v/>
      </c>
      <c r="AT866">
        <f>IFERROR(INDEX(_ENGINE_Initiatives!$A$5:$A$532,MATCH(1,INDEX((_ENGINE_Initiatives!$B$5:$B$532=$C866)*(_ENGINE_Initiatives!$C$5:$C$532=$D866),0),0)),"")</f>
        <v/>
      </c>
      <c r="AU866">
        <f>IFERROR(INDEX(_ENGINE_Initiatives!$F$5:$F$532,MATCH(1,INDEX((_ENGINE_Initiatives!$B$5:$B$532=$C866)*(_ENGINE_Initiatives!$C$5:$C$532=$D866),0),0)),"")</f>
        <v/>
      </c>
      <c r="AV866">
        <f>IFERROR(INDEX(_ENGINE_Initiatives!$AC$5:$AC$532,MATCH(1,INDEX((_ENGINE_Initiatives!$B$5:$B$532=$C866)*(_ENGINE_Initiatives!$C$5:$C$532=$D866),0),0)),"")</f>
        <v/>
      </c>
      <c r="AW866">
        <f>IFERROR(INDEX(_ENGINE_Initiatives!$AE$5:$AE$532,MATCH(1,INDEX((_ENGINE_Initiatives!$B$5:$B$532=$C866)*(_ENGINE_Initiatives!$C$5:$C$532=$D866),0),0)),"")</f>
        <v/>
      </c>
      <c r="AX866">
        <f>IF($B866="Yes",IFERROR(IF(SUMIFS(_REF_Model_Content!$E$1:$E$613,_REF_Model_Content!$A$1:$A$613,'Company Profile'!$B$9,_REF_Model_Content!$B$1:$B$613,$C866)=0,1,SUMIFS(_REF_Model_Content!$E$1:$E$613,_REF_Model_Content!$A$1:$A$613,'Company Profile'!$B$9,_REF_Model_Content!$B$1:$B$613,$C866)),1),"")</f>
        <v/>
      </c>
      <c r="AY866">
        <f>IF($L866="","",ROUND(IF($AP866="",$L866,$AP866)*IF($AX866="",1,$AX866),2))</f>
        <v/>
      </c>
      <c r="AZ866">
        <f>IF($S866="","",ROUND(IF($AQ866="",$S866,$AQ866)*IF($AX866="",1,$AX866),2))</f>
        <v/>
      </c>
      <c r="BB866">
        <f>IF($H866="","",IFERROR(INDEX('_ENGINE_Risk'!$AE$41:$AE$920,MATCH($E866,'_ENGINE_Risk'!$A$41:$A$920,0)),"Medium"))</f>
        <v/>
      </c>
      <c r="BC866">
        <f>IF($BB866="","",IF($BB866="Fast",1.25,IF($BB866="Slow",0.85,1)))</f>
        <v/>
      </c>
      <c r="BD866">
        <f>IF(OR($AZ866="",$BC866=""),"",ROUND($AZ866*$BC866,2))</f>
        <v/>
      </c>
      <c r="BF866">
        <f>IF(OR($H866="",$J866=""),"",_xlfn.IFNA(VLOOKUP($J866,_CONFIG_Model_Settings!$D$610:$E$614,2,0),""))</f>
        <v/>
      </c>
      <c r="BG866">
        <f>IF(OR($H866="",$K866=""),"",ROUND('Company Profile'!$B$569*INDEX(_CONFIG_Model_Settings!$H$610:$H$614,MATCH($K866,_CONFIG_Model_Settings!$G$610:$G$614,0)),0))</f>
        <v/>
      </c>
      <c r="BH866">
        <f>IF(OR($BF866="",$BG866=""),"",ROUND($BF866*$BG866,1))</f>
        <v/>
      </c>
      <c r="BI866">
        <f>IF($BH866="","",IF($AO866="",$BH866,ROUND($BH866*$AO866,1)))</f>
        <v/>
      </c>
      <c r="BJ866">
        <f>IF($E866="","",IFERROR(VLOOKUP($C866,'_CONFIG_Risk_Calibration'!$A$5:$H$21,2,FALSE),3))</f>
        <v/>
      </c>
      <c r="BK866">
        <f>IF($E866="","",IFERROR(VLOOKUP($C866,'_CONFIG_Risk_Calibration'!$A$5:$H$21,3,FALSE),0))</f>
        <v/>
      </c>
      <c r="BL866">
        <f>IF($E866="","",IFERROR(VLOOKUP($C866,'_CONFIG_Risk_Calibration'!$A$5:$H$21,4,FALSE),3))</f>
        <v/>
      </c>
      <c r="BM866">
        <f>IF($E866="","",IFERROR(VLOOKUP($C866,'_CONFIG_Risk_Calibration'!$A$5:$H$21,5,FALSE),3))</f>
        <v/>
      </c>
      <c r="BN866">
        <f>IF($E866="","",IFERROR(VLOOKUP($C866,'_CONFIG_Risk_Calibration'!$A$5:$H$21,6,FALSE),"No"))</f>
        <v/>
      </c>
      <c r="BO866">
        <f>IF($E866="","",IFERROR(VLOOKUP($C866,'_CONFIG_Risk_Calibration'!$A$5:$H$21,7,FALSE),1))</f>
        <v/>
      </c>
      <c r="BP866">
        <f>IF($H866="","",MAX(1,MIN(5,((6-$H866)*0.45)+($BJ866*0.20)+('Resilience &amp; Risk Scenario'!$B$7*0.15)+($BK866*0.10)+($BL866*0.05)+(IF($BB866="Fast",5,IF($BB866="Slow",1,3))*0.05))))</f>
        <v/>
      </c>
      <c r="BQ866">
        <f>IF($H866="","",MAX(IF($BN866="Yes",$BO866,1),MIN(5,($U866*0.20)+($V866*0.15)+($W866*0.25)+($X866*0.15)+($BJ866*0.10)+($BM866*0.15))))</f>
        <v/>
      </c>
      <c r="BR866">
        <f>IF(OR($BP866="",$BQ866=""),"",ROUND($BP866*$BQ866,2))</f>
        <v/>
      </c>
      <c r="BS866">
        <f>IF($BR866="","",ROUND($BR866*IF($AO866="",1,$AO866)*IF($AX866="",1,$AX866)*(1+(($BM866-3)*0.10))*IF($BC866="",1,$BC866),2))</f>
        <v/>
      </c>
    </row>
    <row r="867" ht="69.90000000000001" customHeight="1" s="209">
      <c r="A867">
        <f>IF($BD867="","",SUMPRODUCT(ISNUMBER($BD$500:$BD$923)*($BD$500:$BD$923&gt;$BD867))+COUNTIF($BD$500:$BD867,$BD867))</f>
        <v/>
      </c>
      <c r="B867">
        <f>IF($H867="","",IF($H867&lt;5,"Yes","Maintain"))</f>
        <v/>
      </c>
      <c r="C867" t="inlineStr">
        <is>
          <t>Data BI AI</t>
        </is>
      </c>
      <c r="D867" t="inlineStr">
        <is>
          <t>AI readiness</t>
        </is>
      </c>
      <c r="E867" t="inlineStr">
        <is>
          <t>DATA-027</t>
        </is>
      </c>
      <c r="F867" t="inlineStr">
        <is>
          <t>Data, BI, analytics and AI governance</t>
        </is>
      </c>
      <c r="G867">
        <f>IF($H867="","",IFERROR(INDEX('_ENGINE_Risk'!$H$41:$M$920,MATCH($E867,'_ENGINE_Risk'!$A$41:$A$920,0),$H867+1),""))</f>
        <v/>
      </c>
      <c r="H867">
        <f>IFERROR(VALUE(INDEX(_DATA_Assessment_Model!$H$5:$H$884,MATCH($E867,_DATA_Assessment_Model!$A$5:$A$884,0))),"")</f>
        <v/>
      </c>
      <c r="I867">
        <f>IF($H867="","",IFERROR(INDEX(_DATA_Assessment_Model!$L$5:$L$884,MATCH($E867,_DATA_Assessment_Model!$A$5:$A$884,0)),IF($H867&lt;=1,"Critical",IF($H867=2,"High",IF($H867=3,"Medium",IF($H867=4,"Low","Resilient"))))))</f>
        <v/>
      </c>
      <c r="J867">
        <f>IF($H867="","",MIN(5,MAX(1,6-$H867)))</f>
        <v/>
      </c>
      <c r="K867">
        <f>IF($H867="","",MAX(1,MIN(5,ROUNDUP(($U867*0.45)+($W867*0.35)+($X867*0.2),0))))</f>
        <v/>
      </c>
      <c r="L867">
        <f>IF($H867="","",$J867*$K867)</f>
        <v/>
      </c>
      <c r="M867">
        <f>IF($H867="","",MAX(1,MIN(5,ROUNDUP($L867/5,0))))</f>
        <v/>
      </c>
      <c r="N867">
        <f>IF($H867="","",IFERROR(INDEX('_ENGINE_Risk'!$T$41:$Y$920,MATCH($E867,'_ENGINE_Risk'!$A$41:$A$920,0),$H867+1),""))</f>
        <v/>
      </c>
      <c r="O867">
        <f>IF($H867="","",MAX(1,MIN(5,($U867+$V867+$X867)/3)))</f>
        <v/>
      </c>
      <c r="P867">
        <f>IF($H867="","",IF($I867="Critical",5,IF($I867="High",4,IF($I867="Medium",3,IF($I867="Low",2,1)))))</f>
        <v/>
      </c>
      <c r="Q867">
        <f>IF($H867="","",MAX(1,MIN(5,((5-$H867)*0.65)+($W867*0.35))))</f>
        <v/>
      </c>
      <c r="R867">
        <f>IF($H867="","",MAX(1,MIN(5,($V867+$X867)/2)))</f>
        <v/>
      </c>
      <c r="S867">
        <f>IF(OR($H867="",$N867=""),"",ROUND(($O867+$P867+$Q867+$R867)/$N867,2))</f>
        <v/>
      </c>
      <c r="T867">
        <f>IF($H867="","",IFERROR(INDEX('_ENGINE_Risk'!$N$41:$S$920,MATCH($E867,'_ENGINE_Risk'!$A$41:$A$920,0),$H867+1),""))</f>
        <v/>
      </c>
      <c r="U867">
        <f>IFERROR(INDEX(_DATA_Assessment_Model!$G$5:$G$884,MATCH($E867,_DATA_Assessment_Model!$A$5:$A$884,0)),"")</f>
        <v/>
      </c>
      <c r="V867">
        <f>IFERROR(INDEX(_DATA_Assessment_Model!$W$5:$W$884,MATCH($E867,_DATA_Assessment_Model!$A$5:$A$884,0)),"")</f>
        <v/>
      </c>
      <c r="W867">
        <f>IFERROR(INDEX(_DATA_Assessment_Model!$X$5:$X$884,MATCH($E867,_DATA_Assessment_Model!$A$5:$A$884,0)),"")</f>
        <v/>
      </c>
      <c r="X867">
        <f>IFERROR(INDEX(_DATA_Assessment_Model!$Y$5:$Y$884,MATCH($E867,_DATA_Assessment_Model!$A$5:$A$884,0)),"")</f>
        <v/>
      </c>
      <c r="Y867" t="inlineStr">
        <is>
          <t>Decision failure; Data loss; Regulatory/legal shock</t>
        </is>
      </c>
      <c r="Z867" t="inlineStr">
        <is>
          <t>CDO / BI / Analytics</t>
        </is>
      </c>
      <c r="AA867" t="inlineStr">
        <is>
          <t>Policy/SOP; owner/RACI; system report; dashboard; contracts; test records; incident history; interview evidence related to responsible AI controls for customer-facing, employee-facing and decision-support use cases.</t>
        </is>
      </c>
      <c r="AB867">
        <f>IFERROR(INDEX(_DATA_Assessment_Model!$U$5:$U$884,MATCH($E867,_DATA_Assessment_Model!$A$5:$A$884,0)),"")</f>
        <v/>
      </c>
      <c r="AF867" t="inlineStr">
        <is>
          <t>How mature is the organization in managing responsible AI controls for customer-facing, employee-facing and decision-support use cases, including ownership, evidence, metrics, fallback procedures and crisis stress testing?</t>
        </is>
      </c>
      <c r="AO867">
        <f>IF($B867="Yes",IFERROR(INDEX(_ENGINE_Crisis!$F$501:$F$517,MATCH($C867,_ENGINE_Crisis!$A$501:$A$517,0)),1),"")</f>
        <v/>
      </c>
      <c r="AP867">
        <f>IF(AO867="","",ROUND($L867*AO867,1))</f>
        <v/>
      </c>
      <c r="AQ867">
        <f>IF(OR(AO867="",$S867=""),"",ROUND($S867*(0.7+0.3*AO867),2))</f>
        <v/>
      </c>
      <c r="AR867">
        <f>IFERROR(INDEX(_ENGINE_Crisis!$E$41:$E$700,MATCH('Resilience &amp; Risk Scenario'!$B$60&amp;"|"&amp;$C867,_ENGINE_Crisis!$I$41:$I$700,0)),"")</f>
        <v/>
      </c>
      <c r="AS867">
        <f>IFERROR(INDEX(_ENGINE_Crisis!$G$41:$G$700,MATCH('Resilience &amp; Risk Scenario'!$B$60&amp;"|"&amp;$C867,_ENGINE_Crisis!$I$41:$I$700,0)),"")</f>
        <v/>
      </c>
      <c r="AT867">
        <f>IFERROR(INDEX(_ENGINE_Initiatives!$A$5:$A$532,MATCH(1,INDEX((_ENGINE_Initiatives!$B$5:$B$532=$C867)*(_ENGINE_Initiatives!$C$5:$C$532=$D867),0),0)),"")</f>
        <v/>
      </c>
      <c r="AU867">
        <f>IFERROR(INDEX(_ENGINE_Initiatives!$F$5:$F$532,MATCH(1,INDEX((_ENGINE_Initiatives!$B$5:$B$532=$C867)*(_ENGINE_Initiatives!$C$5:$C$532=$D867),0),0)),"")</f>
        <v/>
      </c>
      <c r="AV867">
        <f>IFERROR(INDEX(_ENGINE_Initiatives!$AC$5:$AC$532,MATCH(1,INDEX((_ENGINE_Initiatives!$B$5:$B$532=$C867)*(_ENGINE_Initiatives!$C$5:$C$532=$D867),0),0)),"")</f>
        <v/>
      </c>
      <c r="AW867">
        <f>IFERROR(INDEX(_ENGINE_Initiatives!$AE$5:$AE$532,MATCH(1,INDEX((_ENGINE_Initiatives!$B$5:$B$532=$C867)*(_ENGINE_Initiatives!$C$5:$C$532=$D867),0),0)),"")</f>
        <v/>
      </c>
      <c r="AX867">
        <f>IF($B867="Yes",IFERROR(IF(SUMIFS(_REF_Model_Content!$E$1:$E$613,_REF_Model_Content!$A$1:$A$613,'Company Profile'!$B$9,_REF_Model_Content!$B$1:$B$613,$C867)=0,1,SUMIFS(_REF_Model_Content!$E$1:$E$613,_REF_Model_Content!$A$1:$A$613,'Company Profile'!$B$9,_REF_Model_Content!$B$1:$B$613,$C867)),1),"")</f>
        <v/>
      </c>
      <c r="AY867">
        <f>IF($L867="","",ROUND(IF($AP867="",$L867,$AP867)*IF($AX867="",1,$AX867),2))</f>
        <v/>
      </c>
      <c r="AZ867">
        <f>IF($S867="","",ROUND(IF($AQ867="",$S867,$AQ867)*IF($AX867="",1,$AX867),2))</f>
        <v/>
      </c>
      <c r="BB867">
        <f>IF($H867="","",IFERROR(INDEX('_ENGINE_Risk'!$AE$41:$AE$920,MATCH($E867,'_ENGINE_Risk'!$A$41:$A$920,0)),"Medium"))</f>
        <v/>
      </c>
      <c r="BC867">
        <f>IF($BB867="","",IF($BB867="Fast",1.25,IF($BB867="Slow",0.85,1)))</f>
        <v/>
      </c>
      <c r="BD867">
        <f>IF(OR($AZ867="",$BC867=""),"",ROUND($AZ867*$BC867,2))</f>
        <v/>
      </c>
      <c r="BF867">
        <f>IF(OR($H867="",$J867=""),"",_xlfn.IFNA(VLOOKUP($J867,_CONFIG_Model_Settings!$D$610:$E$614,2,0),""))</f>
        <v/>
      </c>
      <c r="BG867">
        <f>IF(OR($H867="",$K867=""),"",ROUND('Company Profile'!$B$569*INDEX(_CONFIG_Model_Settings!$H$610:$H$614,MATCH($K867,_CONFIG_Model_Settings!$G$610:$G$614,0)),0))</f>
        <v/>
      </c>
      <c r="BH867">
        <f>IF(OR($BF867="",$BG867=""),"",ROUND($BF867*$BG867,1))</f>
        <v/>
      </c>
      <c r="BI867">
        <f>IF($BH867="","",IF($AO867="",$BH867,ROUND($BH867*$AO867,1)))</f>
        <v/>
      </c>
      <c r="BJ867">
        <f>IF($E867="","",IFERROR(VLOOKUP($C867,'_CONFIG_Risk_Calibration'!$A$5:$H$21,2,FALSE),3))</f>
        <v/>
      </c>
      <c r="BK867">
        <f>IF($E867="","",IFERROR(VLOOKUP($C867,'_CONFIG_Risk_Calibration'!$A$5:$H$21,3,FALSE),0))</f>
        <v/>
      </c>
      <c r="BL867">
        <f>IF($E867="","",IFERROR(VLOOKUP($C867,'_CONFIG_Risk_Calibration'!$A$5:$H$21,4,FALSE),3))</f>
        <v/>
      </c>
      <c r="BM867">
        <f>IF($E867="","",IFERROR(VLOOKUP($C867,'_CONFIG_Risk_Calibration'!$A$5:$H$21,5,FALSE),3))</f>
        <v/>
      </c>
      <c r="BN867">
        <f>IF($E867="","",IFERROR(VLOOKUP($C867,'_CONFIG_Risk_Calibration'!$A$5:$H$21,6,FALSE),"No"))</f>
        <v/>
      </c>
      <c r="BO867">
        <f>IF($E867="","",IFERROR(VLOOKUP($C867,'_CONFIG_Risk_Calibration'!$A$5:$H$21,7,FALSE),1))</f>
        <v/>
      </c>
      <c r="BP867">
        <f>IF($H867="","",MAX(1,MIN(5,((6-$H867)*0.45)+($BJ867*0.20)+('Resilience &amp; Risk Scenario'!$B$7*0.15)+($BK867*0.10)+($BL867*0.05)+(IF($BB867="Fast",5,IF($BB867="Slow",1,3))*0.05))))</f>
        <v/>
      </c>
      <c r="BQ867">
        <f>IF($H867="","",MAX(IF($BN867="Yes",$BO867,1),MIN(5,($U867*0.20)+($V867*0.15)+($W867*0.25)+($X867*0.15)+($BJ867*0.10)+($BM867*0.15))))</f>
        <v/>
      </c>
      <c r="BR867">
        <f>IF(OR($BP867="",$BQ867=""),"",ROUND($BP867*$BQ867,2))</f>
        <v/>
      </c>
      <c r="BS867">
        <f>IF($BR867="","",ROUND($BR867*IF($AO867="",1,$AO867)*IF($AX867="",1,$AX867)*(1+(($BM867-3)*0.10))*IF($BC867="",1,$BC867),2))</f>
        <v/>
      </c>
    </row>
    <row r="868" ht="69.90000000000001" customHeight="1" s="209">
      <c r="A868">
        <f>IF($BD868="","",SUMPRODUCT(ISNUMBER($BD$500:$BD$923)*($BD$500:$BD$923&gt;$BD868))+COUNTIF($BD$500:$BD868,$BD868))</f>
        <v/>
      </c>
      <c r="B868">
        <f>IF($H868="","",IF($H868&lt;5,"Yes","Maintain"))</f>
        <v/>
      </c>
      <c r="C868" t="inlineStr">
        <is>
          <t>Cyber Privacy</t>
        </is>
      </c>
      <c r="D868" t="inlineStr">
        <is>
          <t>Security governance</t>
        </is>
      </c>
      <c r="E868" t="inlineStr">
        <is>
          <t>CYBE-001</t>
        </is>
      </c>
      <c r="F868" t="inlineStr">
        <is>
          <t>Cybersecurity, privacy and access control</t>
        </is>
      </c>
      <c r="G868">
        <f>IF($H868="","",IFERROR(INDEX('_ENGINE_Risk'!$H$41:$M$920,MATCH($E868,'_ENGINE_Risk'!$A$41:$A$920,0),$H868+1),""))</f>
        <v/>
      </c>
      <c r="H868">
        <f>IFERROR(VALUE(INDEX(_DATA_Assessment_Model!$H$5:$H$884,MATCH($E868,_DATA_Assessment_Model!$A$5:$A$884,0))),"")</f>
        <v/>
      </c>
      <c r="I868">
        <f>IF($H868="","",IFERROR(INDEX(_DATA_Assessment_Model!$L$5:$L$884,MATCH($E868,_DATA_Assessment_Model!$A$5:$A$884,0)),IF($H868&lt;=1,"Critical",IF($H868=2,"High",IF($H868=3,"Medium",IF($H868=4,"Low","Resilient"))))))</f>
        <v/>
      </c>
      <c r="J868">
        <f>IF($H868="","",MIN(5,MAX(1,6-$H868)))</f>
        <v/>
      </c>
      <c r="K868">
        <f>IF($H868="","",MAX(1,MIN(5,ROUNDUP(($U868*0.45)+($W868*0.35)+($X868*0.2),0))))</f>
        <v/>
      </c>
      <c r="L868">
        <f>IF($H868="","",$J868*$K868)</f>
        <v/>
      </c>
      <c r="M868">
        <f>IF($H868="","",MAX(1,MIN(5,ROUNDUP($L868/5,0))))</f>
        <v/>
      </c>
      <c r="N868">
        <f>IF($H868="","",IFERROR(INDEX('_ENGINE_Risk'!$T$41:$Y$920,MATCH($E868,'_ENGINE_Risk'!$A$41:$A$920,0),$H868+1),""))</f>
        <v/>
      </c>
      <c r="O868">
        <f>IF($H868="","",MAX(1,MIN(5,($U868+$V868+$X868)/3)))</f>
        <v/>
      </c>
      <c r="P868">
        <f>IF($H868="","",IF($I868="Critical",5,IF($I868="High",4,IF($I868="Medium",3,IF($I868="Low",2,1)))))</f>
        <v/>
      </c>
      <c r="Q868">
        <f>IF($H868="","",MAX(1,MIN(5,((5-$H868)*0.65)+($W868*0.35))))</f>
        <v/>
      </c>
      <c r="R868">
        <f>IF($H868="","",MAX(1,MIN(5,($V868+$X868)/2)))</f>
        <v/>
      </c>
      <c r="S868">
        <f>IF(OR($H868="",$N868=""),"",ROUND(($O868+$P868+$Q868+$R868)/$N868,2))</f>
        <v/>
      </c>
      <c r="T868">
        <f>IF($H868="","",IFERROR(INDEX('_ENGINE_Risk'!$N$41:$S$920,MATCH($E868,'_ENGINE_Risk'!$A$41:$A$920,0),$H868+1),""))</f>
        <v/>
      </c>
      <c r="U868">
        <f>IFERROR(INDEX(_DATA_Assessment_Model!$G$5:$G$884,MATCH($E868,_DATA_Assessment_Model!$A$5:$A$884,0)),"")</f>
        <v/>
      </c>
      <c r="V868">
        <f>IFERROR(INDEX(_DATA_Assessment_Model!$W$5:$W$884,MATCH($E868,_DATA_Assessment_Model!$A$5:$A$884,0)),"")</f>
        <v/>
      </c>
      <c r="W868">
        <f>IFERROR(INDEX(_DATA_Assessment_Model!$X$5:$X$884,MATCH($E868,_DATA_Assessment_Model!$A$5:$A$884,0)),"")</f>
        <v/>
      </c>
      <c r="X868">
        <f>IFERROR(INDEX(_DATA_Assessment_Model!$Y$5:$Y$884,MATCH($E868,_DATA_Assessment_Model!$A$5:$A$884,0)),"")</f>
        <v/>
      </c>
      <c r="Y868" t="inlineStr">
        <is>
          <t>Cyberattack; Data breach; Ransomware; Insider threat</t>
        </is>
      </c>
      <c r="Z868" t="inlineStr">
        <is>
          <t>CISO / IT Security</t>
        </is>
      </c>
      <c r="AA868" t="inlineStr">
        <is>
          <t>Policy/SOP; owner/RACI; system report; dashboard; contracts; test records; incident history; interview evidence related to information security management system with policies, owners, risks and controls.</t>
        </is>
      </c>
      <c r="AB868">
        <f>IFERROR(INDEX(_DATA_Assessment_Model!$U$5:$U$884,MATCH($E868,_DATA_Assessment_Model!$A$5:$A$884,0)),"")</f>
        <v/>
      </c>
      <c r="AF868" t="inlineStr">
        <is>
          <t>How mature is the organization in managing information security management system with policies, owners, risks and controls, including ownership, evidence, metrics, fallback procedures and crisis stress testing?</t>
        </is>
      </c>
      <c r="AO868">
        <f>IF($B868="Yes",IFERROR(INDEX(_ENGINE_Crisis!$F$501:$F$517,MATCH($C868,_ENGINE_Crisis!$A$501:$A$517,0)),1),"")</f>
        <v/>
      </c>
      <c r="AP868">
        <f>IF(AO868="","",ROUND($L868*AO868,1))</f>
        <v/>
      </c>
      <c r="AQ868">
        <f>IF(OR(AO868="",$S868=""),"",ROUND($S868*(0.7+0.3*AO868),2))</f>
        <v/>
      </c>
      <c r="AR868">
        <f>IFERROR(INDEX(_ENGINE_Crisis!$E$41:$E$700,MATCH('Resilience &amp; Risk Scenario'!$B$60&amp;"|"&amp;$C868,_ENGINE_Crisis!$I$41:$I$700,0)),"")</f>
        <v/>
      </c>
      <c r="AS868">
        <f>IFERROR(INDEX(_ENGINE_Crisis!$G$41:$G$700,MATCH('Resilience &amp; Risk Scenario'!$B$60&amp;"|"&amp;$C868,_ENGINE_Crisis!$I$41:$I$700,0)),"")</f>
        <v/>
      </c>
      <c r="AT868">
        <f>IFERROR(INDEX(_ENGINE_Initiatives!$A$5:$A$532,MATCH(1,INDEX((_ENGINE_Initiatives!$B$5:$B$532=$C868)*(_ENGINE_Initiatives!$C$5:$C$532=$D868),0),0)),"")</f>
        <v/>
      </c>
      <c r="AU868">
        <f>IFERROR(INDEX(_ENGINE_Initiatives!$F$5:$F$532,MATCH(1,INDEX((_ENGINE_Initiatives!$B$5:$B$532=$C868)*(_ENGINE_Initiatives!$C$5:$C$532=$D868),0),0)),"")</f>
        <v/>
      </c>
      <c r="AV868">
        <f>IFERROR(INDEX(_ENGINE_Initiatives!$AC$5:$AC$532,MATCH(1,INDEX((_ENGINE_Initiatives!$B$5:$B$532=$C868)*(_ENGINE_Initiatives!$C$5:$C$532=$D868),0),0)),"")</f>
        <v/>
      </c>
      <c r="AW868">
        <f>IFERROR(INDEX(_ENGINE_Initiatives!$AE$5:$AE$532,MATCH(1,INDEX((_ENGINE_Initiatives!$B$5:$B$532=$C868)*(_ENGINE_Initiatives!$C$5:$C$532=$D868),0),0)),"")</f>
        <v/>
      </c>
      <c r="AX868">
        <f>IF($B868="Yes",IFERROR(IF(SUMIFS(_REF_Model_Content!$E$1:$E$613,_REF_Model_Content!$A$1:$A$613,'Company Profile'!$B$9,_REF_Model_Content!$B$1:$B$613,$C868)=0,1,SUMIFS(_REF_Model_Content!$E$1:$E$613,_REF_Model_Content!$A$1:$A$613,'Company Profile'!$B$9,_REF_Model_Content!$B$1:$B$613,$C868)),1),"")</f>
        <v/>
      </c>
      <c r="AY868">
        <f>IF($L868="","",ROUND(IF($AP868="",$L868,$AP868)*IF($AX868="",1,$AX868),2))</f>
        <v/>
      </c>
      <c r="AZ868">
        <f>IF($S868="","",ROUND(IF($AQ868="",$S868,$AQ868)*IF($AX868="",1,$AX868),2))</f>
        <v/>
      </c>
      <c r="BB868">
        <f>IF($H868="","",IFERROR(INDEX('_ENGINE_Risk'!$AE$41:$AE$920,MATCH($E868,'_ENGINE_Risk'!$A$41:$A$920,0)),"Medium"))</f>
        <v/>
      </c>
      <c r="BC868">
        <f>IF($BB868="","",IF($BB868="Fast",1.25,IF($BB868="Slow",0.85,1)))</f>
        <v/>
      </c>
      <c r="BD868">
        <f>IF(OR($AZ868="",$BC868=""),"",ROUND($AZ868*$BC868,2))</f>
        <v/>
      </c>
      <c r="BF868">
        <f>IF(OR($H868="",$J868=""),"",_xlfn.IFNA(VLOOKUP($J868,_CONFIG_Model_Settings!$D$610:$E$614,2,0),""))</f>
        <v/>
      </c>
      <c r="BG868">
        <f>IF(OR($H868="",$K868=""),"",ROUND('Company Profile'!$B$569*INDEX(_CONFIG_Model_Settings!$H$610:$H$614,MATCH($K868,_CONFIG_Model_Settings!$G$610:$G$614,0)),0))</f>
        <v/>
      </c>
      <c r="BH868">
        <f>IF(OR($BF868="",$BG868=""),"",ROUND($BF868*$BG868,1))</f>
        <v/>
      </c>
      <c r="BI868">
        <f>IF($BH868="","",IF($AO868="",$BH868,ROUND($BH868*$AO868,1)))</f>
        <v/>
      </c>
      <c r="BJ868">
        <f>IF($E868="","",IFERROR(VLOOKUP($C868,'_CONFIG_Risk_Calibration'!$A$5:$H$21,2,FALSE),3))</f>
        <v/>
      </c>
      <c r="BK868">
        <f>IF($E868="","",IFERROR(VLOOKUP($C868,'_CONFIG_Risk_Calibration'!$A$5:$H$21,3,FALSE),0))</f>
        <v/>
      </c>
      <c r="BL868">
        <f>IF($E868="","",IFERROR(VLOOKUP($C868,'_CONFIG_Risk_Calibration'!$A$5:$H$21,4,FALSE),3))</f>
        <v/>
      </c>
      <c r="BM868">
        <f>IF($E868="","",IFERROR(VLOOKUP($C868,'_CONFIG_Risk_Calibration'!$A$5:$H$21,5,FALSE),3))</f>
        <v/>
      </c>
      <c r="BN868">
        <f>IF($E868="","",IFERROR(VLOOKUP($C868,'_CONFIG_Risk_Calibration'!$A$5:$H$21,6,FALSE),"No"))</f>
        <v/>
      </c>
      <c r="BO868">
        <f>IF($E868="","",IFERROR(VLOOKUP($C868,'_CONFIG_Risk_Calibration'!$A$5:$H$21,7,FALSE),1))</f>
        <v/>
      </c>
      <c r="BP868">
        <f>IF($H868="","",MAX(1,MIN(5,((6-$H868)*0.45)+($BJ868*0.20)+('Resilience &amp; Risk Scenario'!$B$7*0.15)+($BK868*0.10)+($BL868*0.05)+(IF($BB868="Fast",5,IF($BB868="Slow",1,3))*0.05))))</f>
        <v/>
      </c>
      <c r="BQ868">
        <f>IF($H868="","",MAX(IF($BN868="Yes",$BO868,1),MIN(5,($U868*0.20)+($V868*0.15)+($W868*0.25)+($X868*0.15)+($BJ868*0.10)+($BM868*0.15))))</f>
        <v/>
      </c>
      <c r="BR868">
        <f>IF(OR($BP868="",$BQ868=""),"",ROUND($BP868*$BQ868,2))</f>
        <v/>
      </c>
      <c r="BS868">
        <f>IF($BR868="","",ROUND($BR868*IF($AO868="",1,$AO868)*IF($AX868="",1,$AX868)*(1+(($BM868-3)*0.10))*IF($BC868="",1,$BC868),2))</f>
        <v/>
      </c>
    </row>
    <row r="869" ht="69.90000000000001" customHeight="1" s="209">
      <c r="A869">
        <f>IF($BD869="","",SUMPRODUCT(ISNUMBER($BD$500:$BD$923)*($BD$500:$BD$923&gt;$BD869))+COUNTIF($BD$500:$BD869,$BD869))</f>
        <v/>
      </c>
      <c r="B869">
        <f>IF($H869="","",IF($H869&lt;5,"Yes","Maintain"))</f>
        <v/>
      </c>
      <c r="C869" t="inlineStr">
        <is>
          <t>Cyber Privacy</t>
        </is>
      </c>
      <c r="D869" t="inlineStr">
        <is>
          <t>Security governance</t>
        </is>
      </c>
      <c r="E869" t="inlineStr">
        <is>
          <t>CYBE-002</t>
        </is>
      </c>
      <c r="F869" t="inlineStr">
        <is>
          <t>Cybersecurity, privacy and access control</t>
        </is>
      </c>
      <c r="G869">
        <f>IF($H869="","",IFERROR(INDEX('_ENGINE_Risk'!$H$41:$M$920,MATCH($E869,'_ENGINE_Risk'!$A$41:$A$920,0),$H869+1),""))</f>
        <v/>
      </c>
      <c r="H869">
        <f>IFERROR(VALUE(INDEX(_DATA_Assessment_Model!$H$5:$H$884,MATCH($E869,_DATA_Assessment_Model!$A$5:$A$884,0))),"")</f>
        <v/>
      </c>
      <c r="I869">
        <f>IF($H869="","",IFERROR(INDEX(_DATA_Assessment_Model!$L$5:$L$884,MATCH($E869,_DATA_Assessment_Model!$A$5:$A$884,0)),IF($H869&lt;=1,"Critical",IF($H869=2,"High",IF($H869=3,"Medium",IF($H869=4,"Low","Resilient"))))))</f>
        <v/>
      </c>
      <c r="J869">
        <f>IF($H869="","",MIN(5,MAX(1,6-$H869)))</f>
        <v/>
      </c>
      <c r="K869">
        <f>IF($H869="","",MAX(1,MIN(5,ROUNDUP(($U869*0.45)+($W869*0.35)+($X869*0.2),0))))</f>
        <v/>
      </c>
      <c r="L869">
        <f>IF($H869="","",$J869*$K869)</f>
        <v/>
      </c>
      <c r="M869">
        <f>IF($H869="","",MAX(1,MIN(5,ROUNDUP($L869/5,0))))</f>
        <v/>
      </c>
      <c r="N869">
        <f>IF($H869="","",IFERROR(INDEX('_ENGINE_Risk'!$T$41:$Y$920,MATCH($E869,'_ENGINE_Risk'!$A$41:$A$920,0),$H869+1),""))</f>
        <v/>
      </c>
      <c r="O869">
        <f>IF($H869="","",MAX(1,MIN(5,($U869+$V869+$X869)/3)))</f>
        <v/>
      </c>
      <c r="P869">
        <f>IF($H869="","",IF($I869="Critical",5,IF($I869="High",4,IF($I869="Medium",3,IF($I869="Low",2,1)))))</f>
        <v/>
      </c>
      <c r="Q869">
        <f>IF($H869="","",MAX(1,MIN(5,((5-$H869)*0.65)+($W869*0.35))))</f>
        <v/>
      </c>
      <c r="R869">
        <f>IF($H869="","",MAX(1,MIN(5,($V869+$X869)/2)))</f>
        <v/>
      </c>
      <c r="S869">
        <f>IF(OR($H869="",$N869=""),"",ROUND(($O869+$P869+$Q869+$R869)/$N869,2))</f>
        <v/>
      </c>
      <c r="T869">
        <f>IF($H869="","",IFERROR(INDEX('_ENGINE_Risk'!$N$41:$S$920,MATCH($E869,'_ENGINE_Risk'!$A$41:$A$920,0),$H869+1),""))</f>
        <v/>
      </c>
      <c r="U869">
        <f>IFERROR(INDEX(_DATA_Assessment_Model!$G$5:$G$884,MATCH($E869,_DATA_Assessment_Model!$A$5:$A$884,0)),"")</f>
        <v/>
      </c>
      <c r="V869">
        <f>IFERROR(INDEX(_DATA_Assessment_Model!$W$5:$W$884,MATCH($E869,_DATA_Assessment_Model!$A$5:$A$884,0)),"")</f>
        <v/>
      </c>
      <c r="W869">
        <f>IFERROR(INDEX(_DATA_Assessment_Model!$X$5:$X$884,MATCH($E869,_DATA_Assessment_Model!$A$5:$A$884,0)),"")</f>
        <v/>
      </c>
      <c r="X869">
        <f>IFERROR(INDEX(_DATA_Assessment_Model!$Y$5:$Y$884,MATCH($E869,_DATA_Assessment_Model!$A$5:$A$884,0)),"")</f>
        <v/>
      </c>
      <c r="Y869" t="inlineStr">
        <is>
          <t>Cyberattack; Data breach; Ransomware; Insider threat</t>
        </is>
      </c>
      <c r="Z869" t="inlineStr">
        <is>
          <t>CISO / IT Security</t>
        </is>
      </c>
      <c r="AA869" t="inlineStr">
        <is>
          <t>Policy/SOP; owner/RACI; system report; dashboard; contracts; test records; incident history; interview evidence related to cyber risk register linked to business impact and crisis scenarios.</t>
        </is>
      </c>
      <c r="AB869">
        <f>IFERROR(INDEX(_DATA_Assessment_Model!$U$5:$U$884,MATCH($E869,_DATA_Assessment_Model!$A$5:$A$884,0)),"")</f>
        <v/>
      </c>
      <c r="AF869" t="inlineStr">
        <is>
          <t>How mature is the organization in managing cyber risk register linked to business impact and crisis scenarios, including ownership, evidence, metrics, fallback procedures and crisis stress testing?</t>
        </is>
      </c>
      <c r="AO869">
        <f>IF($B869="Yes",IFERROR(INDEX(_ENGINE_Crisis!$F$501:$F$517,MATCH($C869,_ENGINE_Crisis!$A$501:$A$517,0)),1),"")</f>
        <v/>
      </c>
      <c r="AP869">
        <f>IF(AO869="","",ROUND($L869*AO869,1))</f>
        <v/>
      </c>
      <c r="AQ869">
        <f>IF(OR(AO869="",$S869=""),"",ROUND($S869*(0.7+0.3*AO869),2))</f>
        <v/>
      </c>
      <c r="AR869">
        <f>IFERROR(INDEX(_ENGINE_Crisis!$E$41:$E$700,MATCH('Resilience &amp; Risk Scenario'!$B$60&amp;"|"&amp;$C869,_ENGINE_Crisis!$I$41:$I$700,0)),"")</f>
        <v/>
      </c>
      <c r="AS869">
        <f>IFERROR(INDEX(_ENGINE_Crisis!$G$41:$G$700,MATCH('Resilience &amp; Risk Scenario'!$B$60&amp;"|"&amp;$C869,_ENGINE_Crisis!$I$41:$I$700,0)),"")</f>
        <v/>
      </c>
      <c r="AT869">
        <f>IFERROR(INDEX(_ENGINE_Initiatives!$A$5:$A$532,MATCH(1,INDEX((_ENGINE_Initiatives!$B$5:$B$532=$C869)*(_ENGINE_Initiatives!$C$5:$C$532=$D869),0),0)),"")</f>
        <v/>
      </c>
      <c r="AU869">
        <f>IFERROR(INDEX(_ENGINE_Initiatives!$F$5:$F$532,MATCH(1,INDEX((_ENGINE_Initiatives!$B$5:$B$532=$C869)*(_ENGINE_Initiatives!$C$5:$C$532=$D869),0),0)),"")</f>
        <v/>
      </c>
      <c r="AV869">
        <f>IFERROR(INDEX(_ENGINE_Initiatives!$AC$5:$AC$532,MATCH(1,INDEX((_ENGINE_Initiatives!$B$5:$B$532=$C869)*(_ENGINE_Initiatives!$C$5:$C$532=$D869),0),0)),"")</f>
        <v/>
      </c>
      <c r="AW869">
        <f>IFERROR(INDEX(_ENGINE_Initiatives!$AE$5:$AE$532,MATCH(1,INDEX((_ENGINE_Initiatives!$B$5:$B$532=$C869)*(_ENGINE_Initiatives!$C$5:$C$532=$D869),0),0)),"")</f>
        <v/>
      </c>
      <c r="AX869">
        <f>IF($B869="Yes",IFERROR(IF(SUMIFS(_REF_Model_Content!$E$1:$E$613,_REF_Model_Content!$A$1:$A$613,'Company Profile'!$B$9,_REF_Model_Content!$B$1:$B$613,$C869)=0,1,SUMIFS(_REF_Model_Content!$E$1:$E$613,_REF_Model_Content!$A$1:$A$613,'Company Profile'!$B$9,_REF_Model_Content!$B$1:$B$613,$C869)),1),"")</f>
        <v/>
      </c>
      <c r="AY869">
        <f>IF($L869="","",ROUND(IF($AP869="",$L869,$AP869)*IF($AX869="",1,$AX869),2))</f>
        <v/>
      </c>
      <c r="AZ869">
        <f>IF($S869="","",ROUND(IF($AQ869="",$S869,$AQ869)*IF($AX869="",1,$AX869),2))</f>
        <v/>
      </c>
      <c r="BB869">
        <f>IF($H869="","",IFERROR(INDEX('_ENGINE_Risk'!$AE$41:$AE$920,MATCH($E869,'_ENGINE_Risk'!$A$41:$A$920,0)),"Medium"))</f>
        <v/>
      </c>
      <c r="BC869">
        <f>IF($BB869="","",IF($BB869="Fast",1.25,IF($BB869="Slow",0.85,1)))</f>
        <v/>
      </c>
      <c r="BD869">
        <f>IF(OR($AZ869="",$BC869=""),"",ROUND($AZ869*$BC869,2))</f>
        <v/>
      </c>
      <c r="BF869">
        <f>IF(OR($H869="",$J869=""),"",_xlfn.IFNA(VLOOKUP($J869,_CONFIG_Model_Settings!$D$610:$E$614,2,0),""))</f>
        <v/>
      </c>
      <c r="BG869">
        <f>IF(OR($H869="",$K869=""),"",ROUND('Company Profile'!$B$569*INDEX(_CONFIG_Model_Settings!$H$610:$H$614,MATCH($K869,_CONFIG_Model_Settings!$G$610:$G$614,0)),0))</f>
        <v/>
      </c>
      <c r="BH869">
        <f>IF(OR($BF869="",$BG869=""),"",ROUND($BF869*$BG869,1))</f>
        <v/>
      </c>
      <c r="BI869">
        <f>IF($BH869="","",IF($AO869="",$BH869,ROUND($BH869*$AO869,1)))</f>
        <v/>
      </c>
      <c r="BJ869">
        <f>IF($E869="","",IFERROR(VLOOKUP($C869,'_CONFIG_Risk_Calibration'!$A$5:$H$21,2,FALSE),3))</f>
        <v/>
      </c>
      <c r="BK869">
        <f>IF($E869="","",IFERROR(VLOOKUP($C869,'_CONFIG_Risk_Calibration'!$A$5:$H$21,3,FALSE),0))</f>
        <v/>
      </c>
      <c r="BL869">
        <f>IF($E869="","",IFERROR(VLOOKUP($C869,'_CONFIG_Risk_Calibration'!$A$5:$H$21,4,FALSE),3))</f>
        <v/>
      </c>
      <c r="BM869">
        <f>IF($E869="","",IFERROR(VLOOKUP($C869,'_CONFIG_Risk_Calibration'!$A$5:$H$21,5,FALSE),3))</f>
        <v/>
      </c>
      <c r="BN869">
        <f>IF($E869="","",IFERROR(VLOOKUP($C869,'_CONFIG_Risk_Calibration'!$A$5:$H$21,6,FALSE),"No"))</f>
        <v/>
      </c>
      <c r="BO869">
        <f>IF($E869="","",IFERROR(VLOOKUP($C869,'_CONFIG_Risk_Calibration'!$A$5:$H$21,7,FALSE),1))</f>
        <v/>
      </c>
      <c r="BP869">
        <f>IF($H869="","",MAX(1,MIN(5,((6-$H869)*0.45)+($BJ869*0.20)+('Resilience &amp; Risk Scenario'!$B$7*0.15)+($BK869*0.10)+($BL869*0.05)+(IF($BB869="Fast",5,IF($BB869="Slow",1,3))*0.05))))</f>
        <v/>
      </c>
      <c r="BQ869">
        <f>IF($H869="","",MAX(IF($BN869="Yes",$BO869,1),MIN(5,($U869*0.20)+($V869*0.15)+($W869*0.25)+($X869*0.15)+($BJ869*0.10)+($BM869*0.15))))</f>
        <v/>
      </c>
      <c r="BR869">
        <f>IF(OR($BP869="",$BQ869=""),"",ROUND($BP869*$BQ869,2))</f>
        <v/>
      </c>
      <c r="BS869">
        <f>IF($BR869="","",ROUND($BR869*IF($AO869="",1,$AO869)*IF($AX869="",1,$AX869)*(1+(($BM869-3)*0.10))*IF($BC869="",1,$BC869),2))</f>
        <v/>
      </c>
    </row>
    <row r="870" ht="69.90000000000001" customHeight="1" s="209">
      <c r="A870">
        <f>IF($BD870="","",SUMPRODUCT(ISNUMBER($BD$500:$BD$923)*($BD$500:$BD$923&gt;$BD870))+COUNTIF($BD$500:$BD870,$BD870))</f>
        <v/>
      </c>
      <c r="B870">
        <f>IF($H870="","",IF($H870&lt;5,"Yes","Maintain"))</f>
        <v/>
      </c>
      <c r="C870" t="inlineStr">
        <is>
          <t>Cyber Privacy</t>
        </is>
      </c>
      <c r="D870" t="inlineStr">
        <is>
          <t>Security governance</t>
        </is>
      </c>
      <c r="E870" t="inlineStr">
        <is>
          <t>CYBE-003</t>
        </is>
      </c>
      <c r="F870" t="inlineStr">
        <is>
          <t>Cybersecurity, privacy and access control</t>
        </is>
      </c>
      <c r="G870">
        <f>IF($H870="","",IFERROR(INDEX('_ENGINE_Risk'!$H$41:$M$920,MATCH($E870,'_ENGINE_Risk'!$A$41:$A$920,0),$H870+1),""))</f>
        <v/>
      </c>
      <c r="H870">
        <f>IFERROR(VALUE(INDEX(_DATA_Assessment_Model!$H$5:$H$884,MATCH($E870,_DATA_Assessment_Model!$A$5:$A$884,0))),"")</f>
        <v/>
      </c>
      <c r="I870">
        <f>IF($H870="","",IFERROR(INDEX(_DATA_Assessment_Model!$L$5:$L$884,MATCH($E870,_DATA_Assessment_Model!$A$5:$A$884,0)),IF($H870&lt;=1,"Critical",IF($H870=2,"High",IF($H870=3,"Medium",IF($H870=4,"Low","Resilient"))))))</f>
        <v/>
      </c>
      <c r="J870">
        <f>IF($H870="","",MIN(5,MAX(1,6-$H870)))</f>
        <v/>
      </c>
      <c r="K870">
        <f>IF($H870="","",MAX(1,MIN(5,ROUNDUP(($U870*0.45)+($W870*0.35)+($X870*0.2),0))))</f>
        <v/>
      </c>
      <c r="L870">
        <f>IF($H870="","",$J870*$K870)</f>
        <v/>
      </c>
      <c r="M870">
        <f>IF($H870="","",MAX(1,MIN(5,ROUNDUP($L870/5,0))))</f>
        <v/>
      </c>
      <c r="N870">
        <f>IF($H870="","",IFERROR(INDEX('_ENGINE_Risk'!$T$41:$Y$920,MATCH($E870,'_ENGINE_Risk'!$A$41:$A$920,0),$H870+1),""))</f>
        <v/>
      </c>
      <c r="O870">
        <f>IF($H870="","",MAX(1,MIN(5,($U870+$V870+$X870)/3)))</f>
        <v/>
      </c>
      <c r="P870">
        <f>IF($H870="","",IF($I870="Critical",5,IF($I870="High",4,IF($I870="Medium",3,IF($I870="Low",2,1)))))</f>
        <v/>
      </c>
      <c r="Q870">
        <f>IF($H870="","",MAX(1,MIN(5,((5-$H870)*0.65)+($W870*0.35))))</f>
        <v/>
      </c>
      <c r="R870">
        <f>IF($H870="","",MAX(1,MIN(5,($V870+$X870)/2)))</f>
        <v/>
      </c>
      <c r="S870">
        <f>IF(OR($H870="",$N870=""),"",ROUND(($O870+$P870+$Q870+$R870)/$N870,2))</f>
        <v/>
      </c>
      <c r="T870">
        <f>IF($H870="","",IFERROR(INDEX('_ENGINE_Risk'!$N$41:$S$920,MATCH($E870,'_ENGINE_Risk'!$A$41:$A$920,0),$H870+1),""))</f>
        <v/>
      </c>
      <c r="U870">
        <f>IFERROR(INDEX(_DATA_Assessment_Model!$G$5:$G$884,MATCH($E870,_DATA_Assessment_Model!$A$5:$A$884,0)),"")</f>
        <v/>
      </c>
      <c r="V870">
        <f>IFERROR(INDEX(_DATA_Assessment_Model!$W$5:$W$884,MATCH($E870,_DATA_Assessment_Model!$A$5:$A$884,0)),"")</f>
        <v/>
      </c>
      <c r="W870">
        <f>IFERROR(INDEX(_DATA_Assessment_Model!$X$5:$X$884,MATCH($E870,_DATA_Assessment_Model!$A$5:$A$884,0)),"")</f>
        <v/>
      </c>
      <c r="X870">
        <f>IFERROR(INDEX(_DATA_Assessment_Model!$Y$5:$Y$884,MATCH($E870,_DATA_Assessment_Model!$A$5:$A$884,0)),"")</f>
        <v/>
      </c>
      <c r="Y870" t="inlineStr">
        <is>
          <t>Cyberattack; Data breach; Ransomware; Insider threat</t>
        </is>
      </c>
      <c r="Z870" t="inlineStr">
        <is>
          <t>CISO / IT Security</t>
        </is>
      </c>
      <c r="AA870" t="inlineStr">
        <is>
          <t>Policy/SOP; owner/RACI; system report; dashboard; contracts; test records; incident history; interview evidence related to security KPI reporting to leadership covering vulnerabilities, incidents, MFA, phishing, backups and access reviews.</t>
        </is>
      </c>
      <c r="AB870">
        <f>IFERROR(INDEX(_DATA_Assessment_Model!$U$5:$U$884,MATCH($E870,_DATA_Assessment_Model!$A$5:$A$884,0)),"")</f>
        <v/>
      </c>
      <c r="AF870" t="inlineStr">
        <is>
          <t>How mature is the organization in managing security KPI reporting to leadership covering vulnerabilities, incidents, MFA, phishing, backups and access reviews, including ownership, evidence, metrics, fallback procedures and crisis stress testing?</t>
        </is>
      </c>
      <c r="AO870">
        <f>IF($B870="Yes",IFERROR(INDEX(_ENGINE_Crisis!$F$501:$F$517,MATCH($C870,_ENGINE_Crisis!$A$501:$A$517,0)),1),"")</f>
        <v/>
      </c>
      <c r="AP870">
        <f>IF(AO870="","",ROUND($L870*AO870,1))</f>
        <v/>
      </c>
      <c r="AQ870">
        <f>IF(OR(AO870="",$S870=""),"",ROUND($S870*(0.7+0.3*AO870),2))</f>
        <v/>
      </c>
      <c r="AR870">
        <f>IFERROR(INDEX(_ENGINE_Crisis!$E$41:$E$700,MATCH('Resilience &amp; Risk Scenario'!$B$60&amp;"|"&amp;$C870,_ENGINE_Crisis!$I$41:$I$700,0)),"")</f>
        <v/>
      </c>
      <c r="AS870">
        <f>IFERROR(INDEX(_ENGINE_Crisis!$G$41:$G$700,MATCH('Resilience &amp; Risk Scenario'!$B$60&amp;"|"&amp;$C870,_ENGINE_Crisis!$I$41:$I$700,0)),"")</f>
        <v/>
      </c>
      <c r="AT870">
        <f>IFERROR(INDEX(_ENGINE_Initiatives!$A$5:$A$532,MATCH(1,INDEX((_ENGINE_Initiatives!$B$5:$B$532=$C870)*(_ENGINE_Initiatives!$C$5:$C$532=$D870),0),0)),"")</f>
        <v/>
      </c>
      <c r="AU870">
        <f>IFERROR(INDEX(_ENGINE_Initiatives!$F$5:$F$532,MATCH(1,INDEX((_ENGINE_Initiatives!$B$5:$B$532=$C870)*(_ENGINE_Initiatives!$C$5:$C$532=$D870),0),0)),"")</f>
        <v/>
      </c>
      <c r="AV870">
        <f>IFERROR(INDEX(_ENGINE_Initiatives!$AC$5:$AC$532,MATCH(1,INDEX((_ENGINE_Initiatives!$B$5:$B$532=$C870)*(_ENGINE_Initiatives!$C$5:$C$532=$D870),0),0)),"")</f>
        <v/>
      </c>
      <c r="AW870">
        <f>IFERROR(INDEX(_ENGINE_Initiatives!$AE$5:$AE$532,MATCH(1,INDEX((_ENGINE_Initiatives!$B$5:$B$532=$C870)*(_ENGINE_Initiatives!$C$5:$C$532=$D870),0),0)),"")</f>
        <v/>
      </c>
      <c r="AX870">
        <f>IF($B870="Yes",IFERROR(IF(SUMIFS(_REF_Model_Content!$E$1:$E$613,_REF_Model_Content!$A$1:$A$613,'Company Profile'!$B$9,_REF_Model_Content!$B$1:$B$613,$C870)=0,1,SUMIFS(_REF_Model_Content!$E$1:$E$613,_REF_Model_Content!$A$1:$A$613,'Company Profile'!$B$9,_REF_Model_Content!$B$1:$B$613,$C870)),1),"")</f>
        <v/>
      </c>
      <c r="AY870">
        <f>IF($L870="","",ROUND(IF($AP870="",$L870,$AP870)*IF($AX870="",1,$AX870),2))</f>
        <v/>
      </c>
      <c r="AZ870">
        <f>IF($S870="","",ROUND(IF($AQ870="",$S870,$AQ870)*IF($AX870="",1,$AX870),2))</f>
        <v/>
      </c>
      <c r="BB870">
        <f>IF($H870="","",IFERROR(INDEX('_ENGINE_Risk'!$AE$41:$AE$920,MATCH($E870,'_ENGINE_Risk'!$A$41:$A$920,0)),"Medium"))</f>
        <v/>
      </c>
      <c r="BC870">
        <f>IF($BB870="","",IF($BB870="Fast",1.25,IF($BB870="Slow",0.85,1)))</f>
        <v/>
      </c>
      <c r="BD870">
        <f>IF(OR($AZ870="",$BC870=""),"",ROUND($AZ870*$BC870,2))</f>
        <v/>
      </c>
      <c r="BF870">
        <f>IF(OR($H870="",$J870=""),"",_xlfn.IFNA(VLOOKUP($J870,_CONFIG_Model_Settings!$D$610:$E$614,2,0),""))</f>
        <v/>
      </c>
      <c r="BG870">
        <f>IF(OR($H870="",$K870=""),"",ROUND('Company Profile'!$B$569*INDEX(_CONFIG_Model_Settings!$H$610:$H$614,MATCH($K870,_CONFIG_Model_Settings!$G$610:$G$614,0)),0))</f>
        <v/>
      </c>
      <c r="BH870">
        <f>IF(OR($BF870="",$BG870=""),"",ROUND($BF870*$BG870,1))</f>
        <v/>
      </c>
      <c r="BI870">
        <f>IF($BH870="","",IF($AO870="",$BH870,ROUND($BH870*$AO870,1)))</f>
        <v/>
      </c>
      <c r="BJ870">
        <f>IF($E870="","",IFERROR(VLOOKUP($C870,'_CONFIG_Risk_Calibration'!$A$5:$H$21,2,FALSE),3))</f>
        <v/>
      </c>
      <c r="BK870">
        <f>IF($E870="","",IFERROR(VLOOKUP($C870,'_CONFIG_Risk_Calibration'!$A$5:$H$21,3,FALSE),0))</f>
        <v/>
      </c>
      <c r="BL870">
        <f>IF($E870="","",IFERROR(VLOOKUP($C870,'_CONFIG_Risk_Calibration'!$A$5:$H$21,4,FALSE),3))</f>
        <v/>
      </c>
      <c r="BM870">
        <f>IF($E870="","",IFERROR(VLOOKUP($C870,'_CONFIG_Risk_Calibration'!$A$5:$H$21,5,FALSE),3))</f>
        <v/>
      </c>
      <c r="BN870">
        <f>IF($E870="","",IFERROR(VLOOKUP($C870,'_CONFIG_Risk_Calibration'!$A$5:$H$21,6,FALSE),"No"))</f>
        <v/>
      </c>
      <c r="BO870">
        <f>IF($E870="","",IFERROR(VLOOKUP($C870,'_CONFIG_Risk_Calibration'!$A$5:$H$21,7,FALSE),1))</f>
        <v/>
      </c>
      <c r="BP870">
        <f>IF($H870="","",MAX(1,MIN(5,((6-$H870)*0.45)+($BJ870*0.20)+('Resilience &amp; Risk Scenario'!$B$7*0.15)+($BK870*0.10)+($BL870*0.05)+(IF($BB870="Fast",5,IF($BB870="Slow",1,3))*0.05))))</f>
        <v/>
      </c>
      <c r="BQ870">
        <f>IF($H870="","",MAX(IF($BN870="Yes",$BO870,1),MIN(5,($U870*0.20)+($V870*0.15)+($W870*0.25)+($X870*0.15)+($BJ870*0.10)+($BM870*0.15))))</f>
        <v/>
      </c>
      <c r="BR870">
        <f>IF(OR($BP870="",$BQ870=""),"",ROUND($BP870*$BQ870,2))</f>
        <v/>
      </c>
      <c r="BS870">
        <f>IF($BR870="","",ROUND($BR870*IF($AO870="",1,$AO870)*IF($AX870="",1,$AX870)*(1+(($BM870-3)*0.10))*IF($BC870="",1,$BC870),2))</f>
        <v/>
      </c>
    </row>
    <row r="871" ht="69.90000000000001" customHeight="1" s="209">
      <c r="A871">
        <f>IF($BD871="","",SUMPRODUCT(ISNUMBER($BD$500:$BD$923)*($BD$500:$BD$923&gt;$BD871))+COUNTIF($BD$500:$BD871,$BD871))</f>
        <v/>
      </c>
      <c r="B871">
        <f>IF($H871="","",IF($H871&lt;5,"Yes","Maintain"))</f>
        <v/>
      </c>
      <c r="C871" t="inlineStr">
        <is>
          <t>Cyber Privacy</t>
        </is>
      </c>
      <c r="D871" t="inlineStr">
        <is>
          <t>Security governance</t>
        </is>
      </c>
      <c r="E871" t="inlineStr">
        <is>
          <t>CYBE-004</t>
        </is>
      </c>
      <c r="F871" t="inlineStr">
        <is>
          <t>Cybersecurity, privacy and access control</t>
        </is>
      </c>
      <c r="G871">
        <f>IF($H871="","",IFERROR(INDEX('_ENGINE_Risk'!$H$41:$M$920,MATCH($E871,'_ENGINE_Risk'!$A$41:$A$920,0),$H871+1),""))</f>
        <v/>
      </c>
      <c r="H871">
        <f>IFERROR(VALUE(INDEX(_DATA_Assessment_Model!$H$5:$H$884,MATCH($E871,_DATA_Assessment_Model!$A$5:$A$884,0))),"")</f>
        <v/>
      </c>
      <c r="I871">
        <f>IF($H871="","",IFERROR(INDEX(_DATA_Assessment_Model!$L$5:$L$884,MATCH($E871,_DATA_Assessment_Model!$A$5:$A$884,0)),IF($H871&lt;=1,"Critical",IF($H871=2,"High",IF($H871=3,"Medium",IF($H871=4,"Low","Resilient"))))))</f>
        <v/>
      </c>
      <c r="J871">
        <f>IF($H871="","",MIN(5,MAX(1,6-$H871)))</f>
        <v/>
      </c>
      <c r="K871">
        <f>IF($H871="","",MAX(1,MIN(5,ROUNDUP(($U871*0.45)+($W871*0.35)+($X871*0.2),0))))</f>
        <v/>
      </c>
      <c r="L871">
        <f>IF($H871="","",$J871*$K871)</f>
        <v/>
      </c>
      <c r="M871">
        <f>IF($H871="","",MAX(1,MIN(5,ROUNDUP($L871/5,0))))</f>
        <v/>
      </c>
      <c r="N871">
        <f>IF($H871="","",IFERROR(INDEX('_ENGINE_Risk'!$T$41:$Y$920,MATCH($E871,'_ENGINE_Risk'!$A$41:$A$920,0),$H871+1),""))</f>
        <v/>
      </c>
      <c r="O871">
        <f>IF($H871="","",MAX(1,MIN(5,($U871+$V871+$X871)/3)))</f>
        <v/>
      </c>
      <c r="P871">
        <f>IF($H871="","",IF($I871="Critical",5,IF($I871="High",4,IF($I871="Medium",3,IF($I871="Low",2,1)))))</f>
        <v/>
      </c>
      <c r="Q871">
        <f>IF($H871="","",MAX(1,MIN(5,((5-$H871)*0.65)+($W871*0.35))))</f>
        <v/>
      </c>
      <c r="R871">
        <f>IF($H871="","",MAX(1,MIN(5,($V871+$X871)/2)))</f>
        <v/>
      </c>
      <c r="S871">
        <f>IF(OR($H871="",$N871=""),"",ROUND(($O871+$P871+$Q871+$R871)/$N871,2))</f>
        <v/>
      </c>
      <c r="T871">
        <f>IF($H871="","",IFERROR(INDEX('_ENGINE_Risk'!$N$41:$S$920,MATCH($E871,'_ENGINE_Risk'!$A$41:$A$920,0),$H871+1),""))</f>
        <v/>
      </c>
      <c r="U871">
        <f>IFERROR(INDEX(_DATA_Assessment_Model!$G$5:$G$884,MATCH($E871,_DATA_Assessment_Model!$A$5:$A$884,0)),"")</f>
        <v/>
      </c>
      <c r="V871">
        <f>IFERROR(INDEX(_DATA_Assessment_Model!$W$5:$W$884,MATCH($E871,_DATA_Assessment_Model!$A$5:$A$884,0)),"")</f>
        <v/>
      </c>
      <c r="W871">
        <f>IFERROR(INDEX(_DATA_Assessment_Model!$X$5:$X$884,MATCH($E871,_DATA_Assessment_Model!$A$5:$A$884,0)),"")</f>
        <v/>
      </c>
      <c r="X871">
        <f>IFERROR(INDEX(_DATA_Assessment_Model!$Y$5:$Y$884,MATCH($E871,_DATA_Assessment_Model!$A$5:$A$884,0)),"")</f>
        <v/>
      </c>
      <c r="Y871" t="inlineStr">
        <is>
          <t>Cyberattack; Data breach; Ransomware; Insider threat</t>
        </is>
      </c>
      <c r="Z871" t="inlineStr">
        <is>
          <t>CISO / IT Security</t>
        </is>
      </c>
      <c r="AA871" t="inlineStr">
        <is>
          <t>Policy/SOP; owner/RACI; system report; dashboard; contracts; test records; incident history; interview evidence related to security evidence readiness for customers, regulators, insurers and partners.</t>
        </is>
      </c>
      <c r="AB871">
        <f>IFERROR(INDEX(_DATA_Assessment_Model!$U$5:$U$884,MATCH($E871,_DATA_Assessment_Model!$A$5:$A$884,0)),"")</f>
        <v/>
      </c>
      <c r="AF871" t="inlineStr">
        <is>
          <t>How mature is the organization in managing security evidence readiness for customers, regulators, insurers and partners, including ownership, evidence, metrics, fallback procedures and crisis stress testing?</t>
        </is>
      </c>
      <c r="AO871">
        <f>IF($B871="Yes",IFERROR(INDEX(_ENGINE_Crisis!$F$501:$F$517,MATCH($C871,_ENGINE_Crisis!$A$501:$A$517,0)),1),"")</f>
        <v/>
      </c>
      <c r="AP871">
        <f>IF(AO871="","",ROUND($L871*AO871,1))</f>
        <v/>
      </c>
      <c r="AQ871">
        <f>IF(OR(AO871="",$S871=""),"",ROUND($S871*(0.7+0.3*AO871),2))</f>
        <v/>
      </c>
      <c r="AR871">
        <f>IFERROR(INDEX(_ENGINE_Crisis!$E$41:$E$700,MATCH('Resilience &amp; Risk Scenario'!$B$60&amp;"|"&amp;$C871,_ENGINE_Crisis!$I$41:$I$700,0)),"")</f>
        <v/>
      </c>
      <c r="AS871">
        <f>IFERROR(INDEX(_ENGINE_Crisis!$G$41:$G$700,MATCH('Resilience &amp; Risk Scenario'!$B$60&amp;"|"&amp;$C871,_ENGINE_Crisis!$I$41:$I$700,0)),"")</f>
        <v/>
      </c>
      <c r="AT871">
        <f>IFERROR(INDEX(_ENGINE_Initiatives!$A$5:$A$532,MATCH(1,INDEX((_ENGINE_Initiatives!$B$5:$B$532=$C871)*(_ENGINE_Initiatives!$C$5:$C$532=$D871),0),0)),"")</f>
        <v/>
      </c>
      <c r="AU871">
        <f>IFERROR(INDEX(_ENGINE_Initiatives!$F$5:$F$532,MATCH(1,INDEX((_ENGINE_Initiatives!$B$5:$B$532=$C871)*(_ENGINE_Initiatives!$C$5:$C$532=$D871),0),0)),"")</f>
        <v/>
      </c>
      <c r="AV871">
        <f>IFERROR(INDEX(_ENGINE_Initiatives!$AC$5:$AC$532,MATCH(1,INDEX((_ENGINE_Initiatives!$B$5:$B$532=$C871)*(_ENGINE_Initiatives!$C$5:$C$532=$D871),0),0)),"")</f>
        <v/>
      </c>
      <c r="AW871">
        <f>IFERROR(INDEX(_ENGINE_Initiatives!$AE$5:$AE$532,MATCH(1,INDEX((_ENGINE_Initiatives!$B$5:$B$532=$C871)*(_ENGINE_Initiatives!$C$5:$C$532=$D871),0),0)),"")</f>
        <v/>
      </c>
      <c r="AX871">
        <f>IF($B871="Yes",IFERROR(IF(SUMIFS(_REF_Model_Content!$E$1:$E$613,_REF_Model_Content!$A$1:$A$613,'Company Profile'!$B$9,_REF_Model_Content!$B$1:$B$613,$C871)=0,1,SUMIFS(_REF_Model_Content!$E$1:$E$613,_REF_Model_Content!$A$1:$A$613,'Company Profile'!$B$9,_REF_Model_Content!$B$1:$B$613,$C871)),1),"")</f>
        <v/>
      </c>
      <c r="AY871">
        <f>IF($L871="","",ROUND(IF($AP871="",$L871,$AP871)*IF($AX871="",1,$AX871),2))</f>
        <v/>
      </c>
      <c r="AZ871">
        <f>IF($S871="","",ROUND(IF($AQ871="",$S871,$AQ871)*IF($AX871="",1,$AX871),2))</f>
        <v/>
      </c>
      <c r="BB871">
        <f>IF($H871="","",IFERROR(INDEX('_ENGINE_Risk'!$AE$41:$AE$920,MATCH($E871,'_ENGINE_Risk'!$A$41:$A$920,0)),"Medium"))</f>
        <v/>
      </c>
      <c r="BC871">
        <f>IF($BB871="","",IF($BB871="Fast",1.25,IF($BB871="Slow",0.85,1)))</f>
        <v/>
      </c>
      <c r="BD871">
        <f>IF(OR($AZ871="",$BC871=""),"",ROUND($AZ871*$BC871,2))</f>
        <v/>
      </c>
      <c r="BF871">
        <f>IF(OR($H871="",$J871=""),"",_xlfn.IFNA(VLOOKUP($J871,_CONFIG_Model_Settings!$D$610:$E$614,2,0),""))</f>
        <v/>
      </c>
      <c r="BG871">
        <f>IF(OR($H871="",$K871=""),"",ROUND('Company Profile'!$B$569*INDEX(_CONFIG_Model_Settings!$H$610:$H$614,MATCH($K871,_CONFIG_Model_Settings!$G$610:$G$614,0)),0))</f>
        <v/>
      </c>
      <c r="BH871">
        <f>IF(OR($BF871="",$BG871=""),"",ROUND($BF871*$BG871,1))</f>
        <v/>
      </c>
      <c r="BI871">
        <f>IF($BH871="","",IF($AO871="",$BH871,ROUND($BH871*$AO871,1)))</f>
        <v/>
      </c>
      <c r="BJ871">
        <f>IF($E871="","",IFERROR(VLOOKUP($C871,'_CONFIG_Risk_Calibration'!$A$5:$H$21,2,FALSE),3))</f>
        <v/>
      </c>
      <c r="BK871">
        <f>IF($E871="","",IFERROR(VLOOKUP($C871,'_CONFIG_Risk_Calibration'!$A$5:$H$21,3,FALSE),0))</f>
        <v/>
      </c>
      <c r="BL871">
        <f>IF($E871="","",IFERROR(VLOOKUP($C871,'_CONFIG_Risk_Calibration'!$A$5:$H$21,4,FALSE),3))</f>
        <v/>
      </c>
      <c r="BM871">
        <f>IF($E871="","",IFERROR(VLOOKUP($C871,'_CONFIG_Risk_Calibration'!$A$5:$H$21,5,FALSE),3))</f>
        <v/>
      </c>
      <c r="BN871">
        <f>IF($E871="","",IFERROR(VLOOKUP($C871,'_CONFIG_Risk_Calibration'!$A$5:$H$21,6,FALSE),"No"))</f>
        <v/>
      </c>
      <c r="BO871">
        <f>IF($E871="","",IFERROR(VLOOKUP($C871,'_CONFIG_Risk_Calibration'!$A$5:$H$21,7,FALSE),1))</f>
        <v/>
      </c>
      <c r="BP871">
        <f>IF($H871="","",MAX(1,MIN(5,((6-$H871)*0.45)+($BJ871*0.20)+('Resilience &amp; Risk Scenario'!$B$7*0.15)+($BK871*0.10)+($BL871*0.05)+(IF($BB871="Fast",5,IF($BB871="Slow",1,3))*0.05))))</f>
        <v/>
      </c>
      <c r="BQ871">
        <f>IF($H871="","",MAX(IF($BN871="Yes",$BO871,1),MIN(5,($U871*0.20)+($V871*0.15)+($W871*0.25)+($X871*0.15)+($BJ871*0.10)+($BM871*0.15))))</f>
        <v/>
      </c>
      <c r="BR871">
        <f>IF(OR($BP871="",$BQ871=""),"",ROUND($BP871*$BQ871,2))</f>
        <v/>
      </c>
      <c r="BS871">
        <f>IF($BR871="","",ROUND($BR871*IF($AO871="",1,$AO871)*IF($AX871="",1,$AX871)*(1+(($BM871-3)*0.10))*IF($BC871="",1,$BC871),2))</f>
        <v/>
      </c>
    </row>
    <row r="872" ht="69.90000000000001" customHeight="1" s="209">
      <c r="A872">
        <f>IF($BD872="","",SUMPRODUCT(ISNUMBER($BD$500:$BD$923)*($BD$500:$BD$923&gt;$BD872))+COUNTIF($BD$500:$BD872,$BD872))</f>
        <v/>
      </c>
      <c r="B872">
        <f>IF($H872="","",IF($H872&lt;5,"Yes","Maintain"))</f>
        <v/>
      </c>
      <c r="C872" t="inlineStr">
        <is>
          <t>Cyber Privacy</t>
        </is>
      </c>
      <c r="D872" t="inlineStr">
        <is>
          <t>Security governance</t>
        </is>
      </c>
      <c r="E872" t="inlineStr">
        <is>
          <t>CYBE-005</t>
        </is>
      </c>
      <c r="F872" t="inlineStr">
        <is>
          <t>Cybersecurity, privacy and access control</t>
        </is>
      </c>
      <c r="G872">
        <f>IF($H872="","",IFERROR(INDEX('_ENGINE_Risk'!$H$41:$M$920,MATCH($E872,'_ENGINE_Risk'!$A$41:$A$920,0),$H872+1),""))</f>
        <v/>
      </c>
      <c r="H872">
        <f>IFERROR(VALUE(INDEX(_DATA_Assessment_Model!$H$5:$H$884,MATCH($E872,_DATA_Assessment_Model!$A$5:$A$884,0))),"")</f>
        <v/>
      </c>
      <c r="I872">
        <f>IF($H872="","",IFERROR(INDEX(_DATA_Assessment_Model!$L$5:$L$884,MATCH($E872,_DATA_Assessment_Model!$A$5:$A$884,0)),IF($H872&lt;=1,"Critical",IF($H872=2,"High",IF($H872=3,"Medium",IF($H872=4,"Low","Resilient"))))))</f>
        <v/>
      </c>
      <c r="J872">
        <f>IF($H872="","",MIN(5,MAX(1,6-$H872)))</f>
        <v/>
      </c>
      <c r="K872">
        <f>IF($H872="","",MAX(1,MIN(5,ROUNDUP(($U872*0.45)+($W872*0.35)+($X872*0.2),0))))</f>
        <v/>
      </c>
      <c r="L872">
        <f>IF($H872="","",$J872*$K872)</f>
        <v/>
      </c>
      <c r="M872">
        <f>IF($H872="","",MAX(1,MIN(5,ROUNDUP($L872/5,0))))</f>
        <v/>
      </c>
      <c r="N872">
        <f>IF($H872="","",IFERROR(INDEX('_ENGINE_Risk'!$T$41:$Y$920,MATCH($E872,'_ENGINE_Risk'!$A$41:$A$920,0),$H872+1),""))</f>
        <v/>
      </c>
      <c r="O872">
        <f>IF($H872="","",MAX(1,MIN(5,($U872+$V872+$X872)/3)))</f>
        <v/>
      </c>
      <c r="P872">
        <f>IF($H872="","",IF($I872="Critical",5,IF($I872="High",4,IF($I872="Medium",3,IF($I872="Low",2,1)))))</f>
        <v/>
      </c>
      <c r="Q872">
        <f>IF($H872="","",MAX(1,MIN(5,((5-$H872)*0.65)+($W872*0.35))))</f>
        <v/>
      </c>
      <c r="R872">
        <f>IF($H872="","",MAX(1,MIN(5,($V872+$X872)/2)))</f>
        <v/>
      </c>
      <c r="S872">
        <f>IF(OR($H872="",$N872=""),"",ROUND(($O872+$P872+$Q872+$R872)/$N872,2))</f>
        <v/>
      </c>
      <c r="T872">
        <f>IF($H872="","",IFERROR(INDEX('_ENGINE_Risk'!$N$41:$S$920,MATCH($E872,'_ENGINE_Risk'!$A$41:$A$920,0),$H872+1),""))</f>
        <v/>
      </c>
      <c r="U872">
        <f>IFERROR(INDEX(_DATA_Assessment_Model!$G$5:$G$884,MATCH($E872,_DATA_Assessment_Model!$A$5:$A$884,0)),"")</f>
        <v/>
      </c>
      <c r="V872">
        <f>IFERROR(INDEX(_DATA_Assessment_Model!$W$5:$W$884,MATCH($E872,_DATA_Assessment_Model!$A$5:$A$884,0)),"")</f>
        <v/>
      </c>
      <c r="W872">
        <f>IFERROR(INDEX(_DATA_Assessment_Model!$X$5:$X$884,MATCH($E872,_DATA_Assessment_Model!$A$5:$A$884,0)),"")</f>
        <v/>
      </c>
      <c r="X872">
        <f>IFERROR(INDEX(_DATA_Assessment_Model!$Y$5:$Y$884,MATCH($E872,_DATA_Assessment_Model!$A$5:$A$884,0)),"")</f>
        <v/>
      </c>
      <c r="Y872" t="inlineStr">
        <is>
          <t>Cyberattack; Data breach; Ransomware; Insider threat</t>
        </is>
      </c>
      <c r="Z872" t="inlineStr">
        <is>
          <t>CISO / IT Security</t>
        </is>
      </c>
      <c r="AA872" t="inlineStr">
        <is>
          <t>Policy/SOP; owner/RACI; system report; dashboard; contracts; test records; incident history; interview evidence related to third-party cyber risk assessment for critical vendors and outsourced services.</t>
        </is>
      </c>
      <c r="AB872">
        <f>IFERROR(INDEX(_DATA_Assessment_Model!$U$5:$U$884,MATCH($E872,_DATA_Assessment_Model!$A$5:$A$884,0)),"")</f>
        <v/>
      </c>
      <c r="AF872" t="inlineStr">
        <is>
          <t>How mature is the organization in managing third-party cyber risk assessment for critical vendors and outsourced services, including ownership, evidence, metrics, fallback procedures and crisis stress testing?</t>
        </is>
      </c>
      <c r="AO872">
        <f>IF($B872="Yes",IFERROR(INDEX(_ENGINE_Crisis!$F$501:$F$517,MATCH($C872,_ENGINE_Crisis!$A$501:$A$517,0)),1),"")</f>
        <v/>
      </c>
      <c r="AP872">
        <f>IF(AO872="","",ROUND($L872*AO872,1))</f>
        <v/>
      </c>
      <c r="AQ872">
        <f>IF(OR(AO872="",$S872=""),"",ROUND($S872*(0.7+0.3*AO872),2))</f>
        <v/>
      </c>
      <c r="AR872">
        <f>IFERROR(INDEX(_ENGINE_Crisis!$E$41:$E$700,MATCH('Resilience &amp; Risk Scenario'!$B$60&amp;"|"&amp;$C872,_ENGINE_Crisis!$I$41:$I$700,0)),"")</f>
        <v/>
      </c>
      <c r="AS872">
        <f>IFERROR(INDEX(_ENGINE_Crisis!$G$41:$G$700,MATCH('Resilience &amp; Risk Scenario'!$B$60&amp;"|"&amp;$C872,_ENGINE_Crisis!$I$41:$I$700,0)),"")</f>
        <v/>
      </c>
      <c r="AT872">
        <f>IFERROR(INDEX(_ENGINE_Initiatives!$A$5:$A$532,MATCH(1,INDEX((_ENGINE_Initiatives!$B$5:$B$532=$C872)*(_ENGINE_Initiatives!$C$5:$C$532=$D872),0),0)),"")</f>
        <v/>
      </c>
      <c r="AU872">
        <f>IFERROR(INDEX(_ENGINE_Initiatives!$F$5:$F$532,MATCH(1,INDEX((_ENGINE_Initiatives!$B$5:$B$532=$C872)*(_ENGINE_Initiatives!$C$5:$C$532=$D872),0),0)),"")</f>
        <v/>
      </c>
      <c r="AV872">
        <f>IFERROR(INDEX(_ENGINE_Initiatives!$AC$5:$AC$532,MATCH(1,INDEX((_ENGINE_Initiatives!$B$5:$B$532=$C872)*(_ENGINE_Initiatives!$C$5:$C$532=$D872),0),0)),"")</f>
        <v/>
      </c>
      <c r="AW872">
        <f>IFERROR(INDEX(_ENGINE_Initiatives!$AE$5:$AE$532,MATCH(1,INDEX((_ENGINE_Initiatives!$B$5:$B$532=$C872)*(_ENGINE_Initiatives!$C$5:$C$532=$D872),0),0)),"")</f>
        <v/>
      </c>
      <c r="AX872">
        <f>IF($B872="Yes",IFERROR(IF(SUMIFS(_REF_Model_Content!$E$1:$E$613,_REF_Model_Content!$A$1:$A$613,'Company Profile'!$B$9,_REF_Model_Content!$B$1:$B$613,$C872)=0,1,SUMIFS(_REF_Model_Content!$E$1:$E$613,_REF_Model_Content!$A$1:$A$613,'Company Profile'!$B$9,_REF_Model_Content!$B$1:$B$613,$C872)),1),"")</f>
        <v/>
      </c>
      <c r="AY872">
        <f>IF($L872="","",ROUND(IF($AP872="",$L872,$AP872)*IF($AX872="",1,$AX872),2))</f>
        <v/>
      </c>
      <c r="AZ872">
        <f>IF($S872="","",ROUND(IF($AQ872="",$S872,$AQ872)*IF($AX872="",1,$AX872),2))</f>
        <v/>
      </c>
      <c r="BB872">
        <f>IF($H872="","",IFERROR(INDEX('_ENGINE_Risk'!$AE$41:$AE$920,MATCH($E872,'_ENGINE_Risk'!$A$41:$A$920,0)),"Medium"))</f>
        <v/>
      </c>
      <c r="BC872">
        <f>IF($BB872="","",IF($BB872="Fast",1.25,IF($BB872="Slow",0.85,1)))</f>
        <v/>
      </c>
      <c r="BD872">
        <f>IF(OR($AZ872="",$BC872=""),"",ROUND($AZ872*$BC872,2))</f>
        <v/>
      </c>
      <c r="BF872">
        <f>IF(OR($H872="",$J872=""),"",_xlfn.IFNA(VLOOKUP($J872,_CONFIG_Model_Settings!$D$610:$E$614,2,0),""))</f>
        <v/>
      </c>
      <c r="BG872">
        <f>IF(OR($H872="",$K872=""),"",ROUND('Company Profile'!$B$569*INDEX(_CONFIG_Model_Settings!$H$610:$H$614,MATCH($K872,_CONFIG_Model_Settings!$G$610:$G$614,0)),0))</f>
        <v/>
      </c>
      <c r="BH872">
        <f>IF(OR($BF872="",$BG872=""),"",ROUND($BF872*$BG872,1))</f>
        <v/>
      </c>
      <c r="BI872">
        <f>IF($BH872="","",IF($AO872="",$BH872,ROUND($BH872*$AO872,1)))</f>
        <v/>
      </c>
      <c r="BJ872">
        <f>IF($E872="","",IFERROR(VLOOKUP($C872,'_CONFIG_Risk_Calibration'!$A$5:$H$21,2,FALSE),3))</f>
        <v/>
      </c>
      <c r="BK872">
        <f>IF($E872="","",IFERROR(VLOOKUP($C872,'_CONFIG_Risk_Calibration'!$A$5:$H$21,3,FALSE),0))</f>
        <v/>
      </c>
      <c r="BL872">
        <f>IF($E872="","",IFERROR(VLOOKUP($C872,'_CONFIG_Risk_Calibration'!$A$5:$H$21,4,FALSE),3))</f>
        <v/>
      </c>
      <c r="BM872">
        <f>IF($E872="","",IFERROR(VLOOKUP($C872,'_CONFIG_Risk_Calibration'!$A$5:$H$21,5,FALSE),3))</f>
        <v/>
      </c>
      <c r="BN872">
        <f>IF($E872="","",IFERROR(VLOOKUP($C872,'_CONFIG_Risk_Calibration'!$A$5:$H$21,6,FALSE),"No"))</f>
        <v/>
      </c>
      <c r="BO872">
        <f>IF($E872="","",IFERROR(VLOOKUP($C872,'_CONFIG_Risk_Calibration'!$A$5:$H$21,7,FALSE),1))</f>
        <v/>
      </c>
      <c r="BP872">
        <f>IF($H872="","",MAX(1,MIN(5,((6-$H872)*0.45)+($BJ872*0.20)+('Resilience &amp; Risk Scenario'!$B$7*0.15)+($BK872*0.10)+($BL872*0.05)+(IF($BB872="Fast",5,IF($BB872="Slow",1,3))*0.05))))</f>
        <v/>
      </c>
      <c r="BQ872">
        <f>IF($H872="","",MAX(IF($BN872="Yes",$BO872,1),MIN(5,($U872*0.20)+($V872*0.15)+($W872*0.25)+($X872*0.15)+($BJ872*0.10)+($BM872*0.15))))</f>
        <v/>
      </c>
      <c r="BR872">
        <f>IF(OR($BP872="",$BQ872=""),"",ROUND($BP872*$BQ872,2))</f>
        <v/>
      </c>
      <c r="BS872">
        <f>IF($BR872="","",ROUND($BR872*IF($AO872="",1,$AO872)*IF($AX872="",1,$AX872)*(1+(($BM872-3)*0.10))*IF($BC872="",1,$BC872),2))</f>
        <v/>
      </c>
    </row>
    <row r="873" ht="69.90000000000001" customHeight="1" s="209">
      <c r="A873">
        <f>IF($BD873="","",SUMPRODUCT(ISNUMBER($BD$500:$BD$923)*($BD$500:$BD$923&gt;$BD873))+COUNTIF($BD$500:$BD873,$BD873))</f>
        <v/>
      </c>
      <c r="B873">
        <f>IF($H873="","",IF($H873&lt;5,"Yes","Maintain"))</f>
        <v/>
      </c>
      <c r="C873" t="inlineStr">
        <is>
          <t>Cyber Privacy</t>
        </is>
      </c>
      <c r="D873" t="inlineStr">
        <is>
          <t>Security governance</t>
        </is>
      </c>
      <c r="E873" t="inlineStr">
        <is>
          <t>CYBE-006</t>
        </is>
      </c>
      <c r="F873" t="inlineStr">
        <is>
          <t>Cybersecurity, privacy and access control</t>
        </is>
      </c>
      <c r="G873">
        <f>IF($H873="","",IFERROR(INDEX('_ENGINE_Risk'!$H$41:$M$920,MATCH($E873,'_ENGINE_Risk'!$A$41:$A$920,0),$H873+1),""))</f>
        <v/>
      </c>
      <c r="H873">
        <f>IFERROR(VALUE(INDEX(_DATA_Assessment_Model!$H$5:$H$884,MATCH($E873,_DATA_Assessment_Model!$A$5:$A$884,0))),"")</f>
        <v/>
      </c>
      <c r="I873">
        <f>IF($H873="","",IFERROR(INDEX(_DATA_Assessment_Model!$L$5:$L$884,MATCH($E873,_DATA_Assessment_Model!$A$5:$A$884,0)),IF($H873&lt;=1,"Critical",IF($H873=2,"High",IF($H873=3,"Medium",IF($H873=4,"Low","Resilient"))))))</f>
        <v/>
      </c>
      <c r="J873">
        <f>IF($H873="","",MIN(5,MAX(1,6-$H873)))</f>
        <v/>
      </c>
      <c r="K873">
        <f>IF($H873="","",MAX(1,MIN(5,ROUNDUP(($U873*0.45)+($W873*0.35)+($X873*0.2),0))))</f>
        <v/>
      </c>
      <c r="L873">
        <f>IF($H873="","",$J873*$K873)</f>
        <v/>
      </c>
      <c r="M873">
        <f>IF($H873="","",MAX(1,MIN(5,ROUNDUP($L873/5,0))))</f>
        <v/>
      </c>
      <c r="N873">
        <f>IF($H873="","",IFERROR(INDEX('_ENGINE_Risk'!$T$41:$Y$920,MATCH($E873,'_ENGINE_Risk'!$A$41:$A$920,0),$H873+1),""))</f>
        <v/>
      </c>
      <c r="O873">
        <f>IF($H873="","",MAX(1,MIN(5,($U873+$V873+$X873)/3)))</f>
        <v/>
      </c>
      <c r="P873">
        <f>IF($H873="","",IF($I873="Critical",5,IF($I873="High",4,IF($I873="Medium",3,IF($I873="Low",2,1)))))</f>
        <v/>
      </c>
      <c r="Q873">
        <f>IF($H873="","",MAX(1,MIN(5,((5-$H873)*0.65)+($W873*0.35))))</f>
        <v/>
      </c>
      <c r="R873">
        <f>IF($H873="","",MAX(1,MIN(5,($V873+$X873)/2)))</f>
        <v/>
      </c>
      <c r="S873">
        <f>IF(OR($H873="",$N873=""),"",ROUND(($O873+$P873+$Q873+$R873)/$N873,2))</f>
        <v/>
      </c>
      <c r="T873">
        <f>IF($H873="","",IFERROR(INDEX('_ENGINE_Risk'!$N$41:$S$920,MATCH($E873,'_ENGINE_Risk'!$A$41:$A$920,0),$H873+1),""))</f>
        <v/>
      </c>
      <c r="U873">
        <f>IFERROR(INDEX(_DATA_Assessment_Model!$G$5:$G$884,MATCH($E873,_DATA_Assessment_Model!$A$5:$A$884,0)),"")</f>
        <v/>
      </c>
      <c r="V873">
        <f>IFERROR(INDEX(_DATA_Assessment_Model!$W$5:$W$884,MATCH($E873,_DATA_Assessment_Model!$A$5:$A$884,0)),"")</f>
        <v/>
      </c>
      <c r="W873">
        <f>IFERROR(INDEX(_DATA_Assessment_Model!$X$5:$X$884,MATCH($E873,_DATA_Assessment_Model!$A$5:$A$884,0)),"")</f>
        <v/>
      </c>
      <c r="X873">
        <f>IFERROR(INDEX(_DATA_Assessment_Model!$Y$5:$Y$884,MATCH($E873,_DATA_Assessment_Model!$A$5:$A$884,0)),"")</f>
        <v/>
      </c>
      <c r="Y873" t="inlineStr">
        <is>
          <t>Cyberattack; Data breach; Ransomware; Insider threat</t>
        </is>
      </c>
      <c r="Z873" t="inlineStr">
        <is>
          <t>CISO / IT Security</t>
        </is>
      </c>
      <c r="AA873" t="inlineStr">
        <is>
          <t>Policy/SOP; owner/RACI; system report; dashboard; contracts; test records; incident history; interview evidence related to security awareness and phishing training for employees and contractors.</t>
        </is>
      </c>
      <c r="AB873">
        <f>IFERROR(INDEX(_DATA_Assessment_Model!$U$5:$U$884,MATCH($E873,_DATA_Assessment_Model!$A$5:$A$884,0)),"")</f>
        <v/>
      </c>
      <c r="AF873" t="inlineStr">
        <is>
          <t>How mature is the organization in managing security awareness and phishing training for employees and contractors, including ownership, evidence, metrics, fallback procedures and crisis stress testing?</t>
        </is>
      </c>
      <c r="AO873">
        <f>IF($B873="Yes",IFERROR(INDEX(_ENGINE_Crisis!$F$501:$F$517,MATCH($C873,_ENGINE_Crisis!$A$501:$A$517,0)),1),"")</f>
        <v/>
      </c>
      <c r="AP873">
        <f>IF(AO873="","",ROUND($L873*AO873,1))</f>
        <v/>
      </c>
      <c r="AQ873">
        <f>IF(OR(AO873="",$S873=""),"",ROUND($S873*(0.7+0.3*AO873),2))</f>
        <v/>
      </c>
      <c r="AR873">
        <f>IFERROR(INDEX(_ENGINE_Crisis!$E$41:$E$700,MATCH('Resilience &amp; Risk Scenario'!$B$60&amp;"|"&amp;$C873,_ENGINE_Crisis!$I$41:$I$700,0)),"")</f>
        <v/>
      </c>
      <c r="AS873">
        <f>IFERROR(INDEX(_ENGINE_Crisis!$G$41:$G$700,MATCH('Resilience &amp; Risk Scenario'!$B$60&amp;"|"&amp;$C873,_ENGINE_Crisis!$I$41:$I$700,0)),"")</f>
        <v/>
      </c>
      <c r="AT873">
        <f>IFERROR(INDEX(_ENGINE_Initiatives!$A$5:$A$532,MATCH(1,INDEX((_ENGINE_Initiatives!$B$5:$B$532=$C873)*(_ENGINE_Initiatives!$C$5:$C$532=$D873),0),0)),"")</f>
        <v/>
      </c>
      <c r="AU873">
        <f>IFERROR(INDEX(_ENGINE_Initiatives!$F$5:$F$532,MATCH(1,INDEX((_ENGINE_Initiatives!$B$5:$B$532=$C873)*(_ENGINE_Initiatives!$C$5:$C$532=$D873),0),0)),"")</f>
        <v/>
      </c>
      <c r="AV873">
        <f>IFERROR(INDEX(_ENGINE_Initiatives!$AC$5:$AC$532,MATCH(1,INDEX((_ENGINE_Initiatives!$B$5:$B$532=$C873)*(_ENGINE_Initiatives!$C$5:$C$532=$D873),0),0)),"")</f>
        <v/>
      </c>
      <c r="AW873">
        <f>IFERROR(INDEX(_ENGINE_Initiatives!$AE$5:$AE$532,MATCH(1,INDEX((_ENGINE_Initiatives!$B$5:$B$532=$C873)*(_ENGINE_Initiatives!$C$5:$C$532=$D873),0),0)),"")</f>
        <v/>
      </c>
      <c r="AX873">
        <f>IF($B873="Yes",IFERROR(IF(SUMIFS(_REF_Model_Content!$E$1:$E$613,_REF_Model_Content!$A$1:$A$613,'Company Profile'!$B$9,_REF_Model_Content!$B$1:$B$613,$C873)=0,1,SUMIFS(_REF_Model_Content!$E$1:$E$613,_REF_Model_Content!$A$1:$A$613,'Company Profile'!$B$9,_REF_Model_Content!$B$1:$B$613,$C873)),1),"")</f>
        <v/>
      </c>
      <c r="AY873">
        <f>IF($L873="","",ROUND(IF($AP873="",$L873,$AP873)*IF($AX873="",1,$AX873),2))</f>
        <v/>
      </c>
      <c r="AZ873">
        <f>IF($S873="","",ROUND(IF($AQ873="",$S873,$AQ873)*IF($AX873="",1,$AX873),2))</f>
        <v/>
      </c>
      <c r="BB873">
        <f>IF($H873="","",IFERROR(INDEX('_ENGINE_Risk'!$AE$41:$AE$920,MATCH($E873,'_ENGINE_Risk'!$A$41:$A$920,0)),"Medium"))</f>
        <v/>
      </c>
      <c r="BC873">
        <f>IF($BB873="","",IF($BB873="Fast",1.25,IF($BB873="Slow",0.85,1)))</f>
        <v/>
      </c>
      <c r="BD873">
        <f>IF(OR($AZ873="",$BC873=""),"",ROUND($AZ873*$BC873,2))</f>
        <v/>
      </c>
      <c r="BF873">
        <f>IF(OR($H873="",$J873=""),"",_xlfn.IFNA(VLOOKUP($J873,_CONFIG_Model_Settings!$D$610:$E$614,2,0),""))</f>
        <v/>
      </c>
      <c r="BG873">
        <f>IF(OR($H873="",$K873=""),"",ROUND('Company Profile'!$B$569*INDEX(_CONFIG_Model_Settings!$H$610:$H$614,MATCH($K873,_CONFIG_Model_Settings!$G$610:$G$614,0)),0))</f>
        <v/>
      </c>
      <c r="BH873">
        <f>IF(OR($BF873="",$BG873=""),"",ROUND($BF873*$BG873,1))</f>
        <v/>
      </c>
      <c r="BI873">
        <f>IF($BH873="","",IF($AO873="",$BH873,ROUND($BH873*$AO873,1)))</f>
        <v/>
      </c>
      <c r="BJ873">
        <f>IF($E873="","",IFERROR(VLOOKUP($C873,'_CONFIG_Risk_Calibration'!$A$5:$H$21,2,FALSE),3))</f>
        <v/>
      </c>
      <c r="BK873">
        <f>IF($E873="","",IFERROR(VLOOKUP($C873,'_CONFIG_Risk_Calibration'!$A$5:$H$21,3,FALSE),0))</f>
        <v/>
      </c>
      <c r="BL873">
        <f>IF($E873="","",IFERROR(VLOOKUP($C873,'_CONFIG_Risk_Calibration'!$A$5:$H$21,4,FALSE),3))</f>
        <v/>
      </c>
      <c r="BM873">
        <f>IF($E873="","",IFERROR(VLOOKUP($C873,'_CONFIG_Risk_Calibration'!$A$5:$H$21,5,FALSE),3))</f>
        <v/>
      </c>
      <c r="BN873">
        <f>IF($E873="","",IFERROR(VLOOKUP($C873,'_CONFIG_Risk_Calibration'!$A$5:$H$21,6,FALSE),"No"))</f>
        <v/>
      </c>
      <c r="BO873">
        <f>IF($E873="","",IFERROR(VLOOKUP($C873,'_CONFIG_Risk_Calibration'!$A$5:$H$21,7,FALSE),1))</f>
        <v/>
      </c>
      <c r="BP873">
        <f>IF($H873="","",MAX(1,MIN(5,((6-$H873)*0.45)+($BJ873*0.20)+('Resilience &amp; Risk Scenario'!$B$7*0.15)+($BK873*0.10)+($BL873*0.05)+(IF($BB873="Fast",5,IF($BB873="Slow",1,3))*0.05))))</f>
        <v/>
      </c>
      <c r="BQ873">
        <f>IF($H873="","",MAX(IF($BN873="Yes",$BO873,1),MIN(5,($U873*0.20)+($V873*0.15)+($W873*0.25)+($X873*0.15)+($BJ873*0.10)+($BM873*0.15))))</f>
        <v/>
      </c>
      <c r="BR873">
        <f>IF(OR($BP873="",$BQ873=""),"",ROUND($BP873*$BQ873,2))</f>
        <v/>
      </c>
      <c r="BS873">
        <f>IF($BR873="","",ROUND($BR873*IF($AO873="",1,$AO873)*IF($AX873="",1,$AX873)*(1+(($BM873-3)*0.10))*IF($BC873="",1,$BC873),2))</f>
        <v/>
      </c>
    </row>
    <row r="874" ht="69.90000000000001" customHeight="1" s="209">
      <c r="A874">
        <f>IF($BD874="","",SUMPRODUCT(ISNUMBER($BD$500:$BD$923)*($BD$500:$BD$923&gt;$BD874))+COUNTIF($BD$500:$BD874,$BD874))</f>
        <v/>
      </c>
      <c r="B874">
        <f>IF($H874="","",IF($H874&lt;5,"Yes","Maintain"))</f>
        <v/>
      </c>
      <c r="C874" t="inlineStr">
        <is>
          <t>Cyber Privacy</t>
        </is>
      </c>
      <c r="D874" t="inlineStr">
        <is>
          <t>Identity and access</t>
        </is>
      </c>
      <c r="E874" t="inlineStr">
        <is>
          <t>CYBE-007</t>
        </is>
      </c>
      <c r="F874" t="inlineStr">
        <is>
          <t>Cybersecurity, privacy and access control</t>
        </is>
      </c>
      <c r="G874">
        <f>IF($H874="","",IFERROR(INDEX('_ENGINE_Risk'!$H$41:$M$920,MATCH($E874,'_ENGINE_Risk'!$A$41:$A$920,0),$H874+1),""))</f>
        <v/>
      </c>
      <c r="H874">
        <f>IFERROR(VALUE(INDEX(_DATA_Assessment_Model!$H$5:$H$884,MATCH($E874,_DATA_Assessment_Model!$A$5:$A$884,0))),"")</f>
        <v/>
      </c>
      <c r="I874">
        <f>IF($H874="","",IFERROR(INDEX(_DATA_Assessment_Model!$L$5:$L$884,MATCH($E874,_DATA_Assessment_Model!$A$5:$A$884,0)),IF($H874&lt;=1,"Critical",IF($H874=2,"High",IF($H874=3,"Medium",IF($H874=4,"Low","Resilient"))))))</f>
        <v/>
      </c>
      <c r="J874">
        <f>IF($H874="","",MIN(5,MAX(1,6-$H874)))</f>
        <v/>
      </c>
      <c r="K874">
        <f>IF($H874="","",MAX(1,MIN(5,ROUNDUP(($U874*0.45)+($W874*0.35)+($X874*0.2),0))))</f>
        <v/>
      </c>
      <c r="L874">
        <f>IF($H874="","",$J874*$K874)</f>
        <v/>
      </c>
      <c r="M874">
        <f>IF($H874="","",MAX(1,MIN(5,ROUNDUP($L874/5,0))))</f>
        <v/>
      </c>
      <c r="N874">
        <f>IF($H874="","",IFERROR(INDEX('_ENGINE_Risk'!$T$41:$Y$920,MATCH($E874,'_ENGINE_Risk'!$A$41:$A$920,0),$H874+1),""))</f>
        <v/>
      </c>
      <c r="O874">
        <f>IF($H874="","",MAX(1,MIN(5,($U874+$V874+$X874)/3)))</f>
        <v/>
      </c>
      <c r="P874">
        <f>IF($H874="","",IF($I874="Critical",5,IF($I874="High",4,IF($I874="Medium",3,IF($I874="Low",2,1)))))</f>
        <v/>
      </c>
      <c r="Q874">
        <f>IF($H874="","",MAX(1,MIN(5,((5-$H874)*0.65)+($W874*0.35))))</f>
        <v/>
      </c>
      <c r="R874">
        <f>IF($H874="","",MAX(1,MIN(5,($V874+$X874)/2)))</f>
        <v/>
      </c>
      <c r="S874">
        <f>IF(OR($H874="",$N874=""),"",ROUND(($O874+$P874+$Q874+$R874)/$N874,2))</f>
        <v/>
      </c>
      <c r="T874">
        <f>IF($H874="","",IFERROR(INDEX('_ENGINE_Risk'!$N$41:$S$920,MATCH($E874,'_ENGINE_Risk'!$A$41:$A$920,0),$H874+1),""))</f>
        <v/>
      </c>
      <c r="U874">
        <f>IFERROR(INDEX(_DATA_Assessment_Model!$G$5:$G$884,MATCH($E874,_DATA_Assessment_Model!$A$5:$A$884,0)),"")</f>
        <v/>
      </c>
      <c r="V874">
        <f>IFERROR(INDEX(_DATA_Assessment_Model!$W$5:$W$884,MATCH($E874,_DATA_Assessment_Model!$A$5:$A$884,0)),"")</f>
        <v/>
      </c>
      <c r="W874">
        <f>IFERROR(INDEX(_DATA_Assessment_Model!$X$5:$X$884,MATCH($E874,_DATA_Assessment_Model!$A$5:$A$884,0)),"")</f>
        <v/>
      </c>
      <c r="X874">
        <f>IFERROR(INDEX(_DATA_Assessment_Model!$Y$5:$Y$884,MATCH($E874,_DATA_Assessment_Model!$A$5:$A$884,0)),"")</f>
        <v/>
      </c>
      <c r="Y874" t="inlineStr">
        <is>
          <t>Cyberattack; Data breach; Ransomware; Insider threat</t>
        </is>
      </c>
      <c r="Z874" t="inlineStr">
        <is>
          <t>CISO / IT Security</t>
        </is>
      </c>
      <c r="AA874" t="inlineStr">
        <is>
          <t>Policy/SOP; owner/RACI; system report; dashboard; contracts; test records; incident history; interview evidence related to joiner-mover-leaver access lifecycle across systems, SaaS and physical access.</t>
        </is>
      </c>
      <c r="AB874">
        <f>IFERROR(INDEX(_DATA_Assessment_Model!$U$5:$U$884,MATCH($E874,_DATA_Assessment_Model!$A$5:$A$884,0)),"")</f>
        <v/>
      </c>
      <c r="AF874" t="inlineStr">
        <is>
          <t>How mature is the organization in managing joiner-mover-leaver access lifecycle across systems, SaaS and physical access, including ownership, evidence, metrics, fallback procedures and crisis stress testing?</t>
        </is>
      </c>
      <c r="AO874">
        <f>IF($B874="Yes",IFERROR(INDEX(_ENGINE_Crisis!$F$501:$F$517,MATCH($C874,_ENGINE_Crisis!$A$501:$A$517,0)),1),"")</f>
        <v/>
      </c>
      <c r="AP874">
        <f>IF(AO874="","",ROUND($L874*AO874,1))</f>
        <v/>
      </c>
      <c r="AQ874">
        <f>IF(OR(AO874="",$S874=""),"",ROUND($S874*(0.7+0.3*AO874),2))</f>
        <v/>
      </c>
      <c r="AR874">
        <f>IFERROR(INDEX(_ENGINE_Crisis!$E$41:$E$700,MATCH('Resilience &amp; Risk Scenario'!$B$60&amp;"|"&amp;$C874,_ENGINE_Crisis!$I$41:$I$700,0)),"")</f>
        <v/>
      </c>
      <c r="AS874">
        <f>IFERROR(INDEX(_ENGINE_Crisis!$G$41:$G$700,MATCH('Resilience &amp; Risk Scenario'!$B$60&amp;"|"&amp;$C874,_ENGINE_Crisis!$I$41:$I$700,0)),"")</f>
        <v/>
      </c>
      <c r="AT874">
        <f>IFERROR(INDEX(_ENGINE_Initiatives!$A$5:$A$532,MATCH(1,INDEX((_ENGINE_Initiatives!$B$5:$B$532=$C874)*(_ENGINE_Initiatives!$C$5:$C$532=$D874),0),0)),"")</f>
        <v/>
      </c>
      <c r="AU874">
        <f>IFERROR(INDEX(_ENGINE_Initiatives!$F$5:$F$532,MATCH(1,INDEX((_ENGINE_Initiatives!$B$5:$B$532=$C874)*(_ENGINE_Initiatives!$C$5:$C$532=$D874),0),0)),"")</f>
        <v/>
      </c>
      <c r="AV874">
        <f>IFERROR(INDEX(_ENGINE_Initiatives!$AC$5:$AC$532,MATCH(1,INDEX((_ENGINE_Initiatives!$B$5:$B$532=$C874)*(_ENGINE_Initiatives!$C$5:$C$532=$D874),0),0)),"")</f>
        <v/>
      </c>
      <c r="AW874">
        <f>IFERROR(INDEX(_ENGINE_Initiatives!$AE$5:$AE$532,MATCH(1,INDEX((_ENGINE_Initiatives!$B$5:$B$532=$C874)*(_ENGINE_Initiatives!$C$5:$C$532=$D874),0),0)),"")</f>
        <v/>
      </c>
      <c r="AX874">
        <f>IF($B874="Yes",IFERROR(IF(SUMIFS(_REF_Model_Content!$E$1:$E$613,_REF_Model_Content!$A$1:$A$613,'Company Profile'!$B$9,_REF_Model_Content!$B$1:$B$613,$C874)=0,1,SUMIFS(_REF_Model_Content!$E$1:$E$613,_REF_Model_Content!$A$1:$A$613,'Company Profile'!$B$9,_REF_Model_Content!$B$1:$B$613,$C874)),1),"")</f>
        <v/>
      </c>
      <c r="AY874">
        <f>IF($L874="","",ROUND(IF($AP874="",$L874,$AP874)*IF($AX874="",1,$AX874),2))</f>
        <v/>
      </c>
      <c r="AZ874">
        <f>IF($S874="","",ROUND(IF($AQ874="",$S874,$AQ874)*IF($AX874="",1,$AX874),2))</f>
        <v/>
      </c>
      <c r="BB874">
        <f>IF($H874="","",IFERROR(INDEX('_ENGINE_Risk'!$AE$41:$AE$920,MATCH($E874,'_ENGINE_Risk'!$A$41:$A$920,0)),"Medium"))</f>
        <v/>
      </c>
      <c r="BC874">
        <f>IF($BB874="","",IF($BB874="Fast",1.25,IF($BB874="Slow",0.85,1)))</f>
        <v/>
      </c>
      <c r="BD874">
        <f>IF(OR($AZ874="",$BC874=""),"",ROUND($AZ874*$BC874,2))</f>
        <v/>
      </c>
      <c r="BF874">
        <f>IF(OR($H874="",$J874=""),"",_xlfn.IFNA(VLOOKUP($J874,_CONFIG_Model_Settings!$D$610:$E$614,2,0),""))</f>
        <v/>
      </c>
      <c r="BG874">
        <f>IF(OR($H874="",$K874=""),"",ROUND('Company Profile'!$B$569*INDEX(_CONFIG_Model_Settings!$H$610:$H$614,MATCH($K874,_CONFIG_Model_Settings!$G$610:$G$614,0)),0))</f>
        <v/>
      </c>
      <c r="BH874">
        <f>IF(OR($BF874="",$BG874=""),"",ROUND($BF874*$BG874,1))</f>
        <v/>
      </c>
      <c r="BI874">
        <f>IF($BH874="","",IF($AO874="",$BH874,ROUND($BH874*$AO874,1)))</f>
        <v/>
      </c>
      <c r="BJ874">
        <f>IF($E874="","",IFERROR(VLOOKUP($C874,'_CONFIG_Risk_Calibration'!$A$5:$H$21,2,FALSE),3))</f>
        <v/>
      </c>
      <c r="BK874">
        <f>IF($E874="","",IFERROR(VLOOKUP($C874,'_CONFIG_Risk_Calibration'!$A$5:$H$21,3,FALSE),0))</f>
        <v/>
      </c>
      <c r="BL874">
        <f>IF($E874="","",IFERROR(VLOOKUP($C874,'_CONFIG_Risk_Calibration'!$A$5:$H$21,4,FALSE),3))</f>
        <v/>
      </c>
      <c r="BM874">
        <f>IF($E874="","",IFERROR(VLOOKUP($C874,'_CONFIG_Risk_Calibration'!$A$5:$H$21,5,FALSE),3))</f>
        <v/>
      </c>
      <c r="BN874">
        <f>IF($E874="","",IFERROR(VLOOKUP($C874,'_CONFIG_Risk_Calibration'!$A$5:$H$21,6,FALSE),"No"))</f>
        <v/>
      </c>
      <c r="BO874">
        <f>IF($E874="","",IFERROR(VLOOKUP($C874,'_CONFIG_Risk_Calibration'!$A$5:$H$21,7,FALSE),1))</f>
        <v/>
      </c>
      <c r="BP874">
        <f>IF($H874="","",MAX(1,MIN(5,((6-$H874)*0.45)+($BJ874*0.20)+('Resilience &amp; Risk Scenario'!$B$7*0.15)+($BK874*0.10)+($BL874*0.05)+(IF($BB874="Fast",5,IF($BB874="Slow",1,3))*0.05))))</f>
        <v/>
      </c>
      <c r="BQ874">
        <f>IF($H874="","",MAX(IF($BN874="Yes",$BO874,1),MIN(5,($U874*0.20)+($V874*0.15)+($W874*0.25)+($X874*0.15)+($BJ874*0.10)+($BM874*0.15))))</f>
        <v/>
      </c>
      <c r="BR874">
        <f>IF(OR($BP874="",$BQ874=""),"",ROUND($BP874*$BQ874,2))</f>
        <v/>
      </c>
      <c r="BS874">
        <f>IF($BR874="","",ROUND($BR874*IF($AO874="",1,$AO874)*IF($AX874="",1,$AX874)*(1+(($BM874-3)*0.10))*IF($BC874="",1,$BC874),2))</f>
        <v/>
      </c>
    </row>
    <row r="875" ht="69.90000000000001" customHeight="1" s="209">
      <c r="A875">
        <f>IF($BD875="","",SUMPRODUCT(ISNUMBER($BD$500:$BD$923)*($BD$500:$BD$923&gt;$BD875))+COUNTIF($BD$500:$BD875,$BD875))</f>
        <v/>
      </c>
      <c r="B875">
        <f>IF($H875="","",IF($H875&lt;5,"Yes","Maintain"))</f>
        <v/>
      </c>
      <c r="C875" t="inlineStr">
        <is>
          <t>Cyber Privacy</t>
        </is>
      </c>
      <c r="D875" t="inlineStr">
        <is>
          <t>Identity and access</t>
        </is>
      </c>
      <c r="E875" t="inlineStr">
        <is>
          <t>CYBE-008</t>
        </is>
      </c>
      <c r="F875" t="inlineStr">
        <is>
          <t>Cybersecurity, privacy and access control</t>
        </is>
      </c>
      <c r="G875">
        <f>IF($H875="","",IFERROR(INDEX('_ENGINE_Risk'!$H$41:$M$920,MATCH($E875,'_ENGINE_Risk'!$A$41:$A$920,0),$H875+1),""))</f>
        <v/>
      </c>
      <c r="H875">
        <f>IFERROR(VALUE(INDEX(_DATA_Assessment_Model!$H$5:$H$884,MATCH($E875,_DATA_Assessment_Model!$A$5:$A$884,0))),"")</f>
        <v/>
      </c>
      <c r="I875">
        <f>IF($H875="","",IFERROR(INDEX(_DATA_Assessment_Model!$L$5:$L$884,MATCH($E875,_DATA_Assessment_Model!$A$5:$A$884,0)),IF($H875&lt;=1,"Critical",IF($H875=2,"High",IF($H875=3,"Medium",IF($H875=4,"Low","Resilient"))))))</f>
        <v/>
      </c>
      <c r="J875">
        <f>IF($H875="","",MIN(5,MAX(1,6-$H875)))</f>
        <v/>
      </c>
      <c r="K875">
        <f>IF($H875="","",MAX(1,MIN(5,ROUNDUP(($U875*0.45)+($W875*0.35)+($X875*0.2),0))))</f>
        <v/>
      </c>
      <c r="L875">
        <f>IF($H875="","",$J875*$K875)</f>
        <v/>
      </c>
      <c r="M875">
        <f>IF($H875="","",MAX(1,MIN(5,ROUNDUP($L875/5,0))))</f>
        <v/>
      </c>
      <c r="N875">
        <f>IF($H875="","",IFERROR(INDEX('_ENGINE_Risk'!$T$41:$Y$920,MATCH($E875,'_ENGINE_Risk'!$A$41:$A$920,0),$H875+1),""))</f>
        <v/>
      </c>
      <c r="O875">
        <f>IF($H875="","",MAX(1,MIN(5,($U875+$V875+$X875)/3)))</f>
        <v/>
      </c>
      <c r="P875">
        <f>IF($H875="","",IF($I875="Critical",5,IF($I875="High",4,IF($I875="Medium",3,IF($I875="Low",2,1)))))</f>
        <v/>
      </c>
      <c r="Q875">
        <f>IF($H875="","",MAX(1,MIN(5,((5-$H875)*0.65)+($W875*0.35))))</f>
        <v/>
      </c>
      <c r="R875">
        <f>IF($H875="","",MAX(1,MIN(5,($V875+$X875)/2)))</f>
        <v/>
      </c>
      <c r="S875">
        <f>IF(OR($H875="",$N875=""),"",ROUND(($O875+$P875+$Q875+$R875)/$N875,2))</f>
        <v/>
      </c>
      <c r="T875">
        <f>IF($H875="","",IFERROR(INDEX('_ENGINE_Risk'!$N$41:$S$920,MATCH($E875,'_ENGINE_Risk'!$A$41:$A$920,0),$H875+1),""))</f>
        <v/>
      </c>
      <c r="U875">
        <f>IFERROR(INDEX(_DATA_Assessment_Model!$G$5:$G$884,MATCH($E875,_DATA_Assessment_Model!$A$5:$A$884,0)),"")</f>
        <v/>
      </c>
      <c r="V875">
        <f>IFERROR(INDEX(_DATA_Assessment_Model!$W$5:$W$884,MATCH($E875,_DATA_Assessment_Model!$A$5:$A$884,0)),"")</f>
        <v/>
      </c>
      <c r="W875">
        <f>IFERROR(INDEX(_DATA_Assessment_Model!$X$5:$X$884,MATCH($E875,_DATA_Assessment_Model!$A$5:$A$884,0)),"")</f>
        <v/>
      </c>
      <c r="X875">
        <f>IFERROR(INDEX(_DATA_Assessment_Model!$Y$5:$Y$884,MATCH($E875,_DATA_Assessment_Model!$A$5:$A$884,0)),"")</f>
        <v/>
      </c>
      <c r="Y875" t="inlineStr">
        <is>
          <t>Cyberattack; Data breach; Ransomware; Insider threat</t>
        </is>
      </c>
      <c r="Z875" t="inlineStr">
        <is>
          <t>CISO / IT Security</t>
        </is>
      </c>
      <c r="AA875" t="inlineStr">
        <is>
          <t>Policy/SOP; owner/RACI; system report; dashboard; contracts; test records; incident history; interview evidence related to MFA enforcement for email, cloud, VPN/ZTNA, admin accounts, finance systems and critical SaaS.</t>
        </is>
      </c>
      <c r="AB875">
        <f>IFERROR(INDEX(_DATA_Assessment_Model!$U$5:$U$884,MATCH($E875,_DATA_Assessment_Model!$A$5:$A$884,0)),"")</f>
        <v/>
      </c>
      <c r="AF875" t="inlineStr">
        <is>
          <t>How mature is the organization in managing MFA enforcement for email, cloud, VPN/ZTNA, admin accounts, finance systems and critical SaaS, including ownership, evidence, metrics, fallback procedures and crisis stress testing?</t>
        </is>
      </c>
      <c r="AO875">
        <f>IF($B875="Yes",IFERROR(INDEX(_ENGINE_Crisis!$F$501:$F$517,MATCH($C875,_ENGINE_Crisis!$A$501:$A$517,0)),1),"")</f>
        <v/>
      </c>
      <c r="AP875">
        <f>IF(AO875="","",ROUND($L875*AO875,1))</f>
        <v/>
      </c>
      <c r="AQ875">
        <f>IF(OR(AO875="",$S875=""),"",ROUND($S875*(0.7+0.3*AO875),2))</f>
        <v/>
      </c>
      <c r="AR875">
        <f>IFERROR(INDEX(_ENGINE_Crisis!$E$41:$E$700,MATCH('Resilience &amp; Risk Scenario'!$B$60&amp;"|"&amp;$C875,_ENGINE_Crisis!$I$41:$I$700,0)),"")</f>
        <v/>
      </c>
      <c r="AS875">
        <f>IFERROR(INDEX(_ENGINE_Crisis!$G$41:$G$700,MATCH('Resilience &amp; Risk Scenario'!$B$60&amp;"|"&amp;$C875,_ENGINE_Crisis!$I$41:$I$700,0)),"")</f>
        <v/>
      </c>
      <c r="AT875">
        <f>IFERROR(INDEX(_ENGINE_Initiatives!$A$5:$A$532,MATCH(1,INDEX((_ENGINE_Initiatives!$B$5:$B$532=$C875)*(_ENGINE_Initiatives!$C$5:$C$532=$D875),0),0)),"")</f>
        <v/>
      </c>
      <c r="AU875">
        <f>IFERROR(INDEX(_ENGINE_Initiatives!$F$5:$F$532,MATCH(1,INDEX((_ENGINE_Initiatives!$B$5:$B$532=$C875)*(_ENGINE_Initiatives!$C$5:$C$532=$D875),0),0)),"")</f>
        <v/>
      </c>
      <c r="AV875">
        <f>IFERROR(INDEX(_ENGINE_Initiatives!$AC$5:$AC$532,MATCH(1,INDEX((_ENGINE_Initiatives!$B$5:$B$532=$C875)*(_ENGINE_Initiatives!$C$5:$C$532=$D875),0),0)),"")</f>
        <v/>
      </c>
      <c r="AW875">
        <f>IFERROR(INDEX(_ENGINE_Initiatives!$AE$5:$AE$532,MATCH(1,INDEX((_ENGINE_Initiatives!$B$5:$B$532=$C875)*(_ENGINE_Initiatives!$C$5:$C$532=$D875),0),0)),"")</f>
        <v/>
      </c>
      <c r="AX875">
        <f>IF($B875="Yes",IFERROR(IF(SUMIFS(_REF_Model_Content!$E$1:$E$613,_REF_Model_Content!$A$1:$A$613,'Company Profile'!$B$9,_REF_Model_Content!$B$1:$B$613,$C875)=0,1,SUMIFS(_REF_Model_Content!$E$1:$E$613,_REF_Model_Content!$A$1:$A$613,'Company Profile'!$B$9,_REF_Model_Content!$B$1:$B$613,$C875)),1),"")</f>
        <v/>
      </c>
      <c r="AY875">
        <f>IF($L875="","",ROUND(IF($AP875="",$L875,$AP875)*IF($AX875="",1,$AX875),2))</f>
        <v/>
      </c>
      <c r="AZ875">
        <f>IF($S875="","",ROUND(IF($AQ875="",$S875,$AQ875)*IF($AX875="",1,$AX875),2))</f>
        <v/>
      </c>
      <c r="BB875">
        <f>IF($H875="","",IFERROR(INDEX('_ENGINE_Risk'!$AE$41:$AE$920,MATCH($E875,'_ENGINE_Risk'!$A$41:$A$920,0)),"Medium"))</f>
        <v/>
      </c>
      <c r="BC875">
        <f>IF($BB875="","",IF($BB875="Fast",1.25,IF($BB875="Slow",0.85,1)))</f>
        <v/>
      </c>
      <c r="BD875">
        <f>IF(OR($AZ875="",$BC875=""),"",ROUND($AZ875*$BC875,2))</f>
        <v/>
      </c>
      <c r="BF875">
        <f>IF(OR($H875="",$J875=""),"",_xlfn.IFNA(VLOOKUP($J875,_CONFIG_Model_Settings!$D$610:$E$614,2,0),""))</f>
        <v/>
      </c>
      <c r="BG875">
        <f>IF(OR($H875="",$K875=""),"",ROUND('Company Profile'!$B$569*INDEX(_CONFIG_Model_Settings!$H$610:$H$614,MATCH($K875,_CONFIG_Model_Settings!$G$610:$G$614,0)),0))</f>
        <v/>
      </c>
      <c r="BH875">
        <f>IF(OR($BF875="",$BG875=""),"",ROUND($BF875*$BG875,1))</f>
        <v/>
      </c>
      <c r="BI875">
        <f>IF($BH875="","",IF($AO875="",$BH875,ROUND($BH875*$AO875,1)))</f>
        <v/>
      </c>
      <c r="BJ875">
        <f>IF($E875="","",IFERROR(VLOOKUP($C875,'_CONFIG_Risk_Calibration'!$A$5:$H$21,2,FALSE),3))</f>
        <v/>
      </c>
      <c r="BK875">
        <f>IF($E875="","",IFERROR(VLOOKUP($C875,'_CONFIG_Risk_Calibration'!$A$5:$H$21,3,FALSE),0))</f>
        <v/>
      </c>
      <c r="BL875">
        <f>IF($E875="","",IFERROR(VLOOKUP($C875,'_CONFIG_Risk_Calibration'!$A$5:$H$21,4,FALSE),3))</f>
        <v/>
      </c>
      <c r="BM875">
        <f>IF($E875="","",IFERROR(VLOOKUP($C875,'_CONFIG_Risk_Calibration'!$A$5:$H$21,5,FALSE),3))</f>
        <v/>
      </c>
      <c r="BN875">
        <f>IF($E875="","",IFERROR(VLOOKUP($C875,'_CONFIG_Risk_Calibration'!$A$5:$H$21,6,FALSE),"No"))</f>
        <v/>
      </c>
      <c r="BO875">
        <f>IF($E875="","",IFERROR(VLOOKUP($C875,'_CONFIG_Risk_Calibration'!$A$5:$H$21,7,FALSE),1))</f>
        <v/>
      </c>
      <c r="BP875">
        <f>IF($H875="","",MAX(1,MIN(5,((6-$H875)*0.45)+($BJ875*0.20)+('Resilience &amp; Risk Scenario'!$B$7*0.15)+($BK875*0.10)+($BL875*0.05)+(IF($BB875="Fast",5,IF($BB875="Slow",1,3))*0.05))))</f>
        <v/>
      </c>
      <c r="BQ875">
        <f>IF($H875="","",MAX(IF($BN875="Yes",$BO875,1),MIN(5,($U875*0.20)+($V875*0.15)+($W875*0.25)+($X875*0.15)+($BJ875*0.10)+($BM875*0.15))))</f>
        <v/>
      </c>
      <c r="BR875">
        <f>IF(OR($BP875="",$BQ875=""),"",ROUND($BP875*$BQ875,2))</f>
        <v/>
      </c>
      <c r="BS875">
        <f>IF($BR875="","",ROUND($BR875*IF($AO875="",1,$AO875)*IF($AX875="",1,$AX875)*(1+(($BM875-3)*0.10))*IF($BC875="",1,$BC875),2))</f>
        <v/>
      </c>
    </row>
    <row r="876" ht="69.90000000000001" customHeight="1" s="209">
      <c r="A876">
        <f>IF($BD876="","",SUMPRODUCT(ISNUMBER($BD$500:$BD$923)*($BD$500:$BD$923&gt;$BD876))+COUNTIF($BD$500:$BD876,$BD876))</f>
        <v/>
      </c>
      <c r="B876">
        <f>IF($H876="","",IF($H876&lt;5,"Yes","Maintain"))</f>
        <v/>
      </c>
      <c r="C876" t="inlineStr">
        <is>
          <t>Cyber Privacy</t>
        </is>
      </c>
      <c r="D876" t="inlineStr">
        <is>
          <t>Identity and access</t>
        </is>
      </c>
      <c r="E876" t="inlineStr">
        <is>
          <t>CYBE-009</t>
        </is>
      </c>
      <c r="F876" t="inlineStr">
        <is>
          <t>Cybersecurity, privacy and access control</t>
        </is>
      </c>
      <c r="G876">
        <f>IF($H876="","",IFERROR(INDEX('_ENGINE_Risk'!$H$41:$M$920,MATCH($E876,'_ENGINE_Risk'!$A$41:$A$920,0),$H876+1),""))</f>
        <v/>
      </c>
      <c r="H876">
        <f>IFERROR(VALUE(INDEX(_DATA_Assessment_Model!$H$5:$H$884,MATCH($E876,_DATA_Assessment_Model!$A$5:$A$884,0))),"")</f>
        <v/>
      </c>
      <c r="I876">
        <f>IF($H876="","",IFERROR(INDEX(_DATA_Assessment_Model!$L$5:$L$884,MATCH($E876,_DATA_Assessment_Model!$A$5:$A$884,0)),IF($H876&lt;=1,"Critical",IF($H876=2,"High",IF($H876=3,"Medium",IF($H876=4,"Low","Resilient"))))))</f>
        <v/>
      </c>
      <c r="J876">
        <f>IF($H876="","",MIN(5,MAX(1,6-$H876)))</f>
        <v/>
      </c>
      <c r="K876">
        <f>IF($H876="","",MAX(1,MIN(5,ROUNDUP(($U876*0.45)+($W876*0.35)+($X876*0.2),0))))</f>
        <v/>
      </c>
      <c r="L876">
        <f>IF($H876="","",$J876*$K876)</f>
        <v/>
      </c>
      <c r="M876">
        <f>IF($H876="","",MAX(1,MIN(5,ROUNDUP($L876/5,0))))</f>
        <v/>
      </c>
      <c r="N876">
        <f>IF($H876="","",IFERROR(INDEX('_ENGINE_Risk'!$T$41:$Y$920,MATCH($E876,'_ENGINE_Risk'!$A$41:$A$920,0),$H876+1),""))</f>
        <v/>
      </c>
      <c r="O876">
        <f>IF($H876="","",MAX(1,MIN(5,($U876+$V876+$X876)/3)))</f>
        <v/>
      </c>
      <c r="P876">
        <f>IF($H876="","",IF($I876="Critical",5,IF($I876="High",4,IF($I876="Medium",3,IF($I876="Low",2,1)))))</f>
        <v/>
      </c>
      <c r="Q876">
        <f>IF($H876="","",MAX(1,MIN(5,((5-$H876)*0.65)+($W876*0.35))))</f>
        <v/>
      </c>
      <c r="R876">
        <f>IF($H876="","",MAX(1,MIN(5,($V876+$X876)/2)))</f>
        <v/>
      </c>
      <c r="S876">
        <f>IF(OR($H876="",$N876=""),"",ROUND(($O876+$P876+$Q876+$R876)/$N876,2))</f>
        <v/>
      </c>
      <c r="T876">
        <f>IF($H876="","",IFERROR(INDEX('_ENGINE_Risk'!$N$41:$S$920,MATCH($E876,'_ENGINE_Risk'!$A$41:$A$920,0),$H876+1),""))</f>
        <v/>
      </c>
      <c r="U876">
        <f>IFERROR(INDEX(_DATA_Assessment_Model!$G$5:$G$884,MATCH($E876,_DATA_Assessment_Model!$A$5:$A$884,0)),"")</f>
        <v/>
      </c>
      <c r="V876">
        <f>IFERROR(INDEX(_DATA_Assessment_Model!$W$5:$W$884,MATCH($E876,_DATA_Assessment_Model!$A$5:$A$884,0)),"")</f>
        <v/>
      </c>
      <c r="W876">
        <f>IFERROR(INDEX(_DATA_Assessment_Model!$X$5:$X$884,MATCH($E876,_DATA_Assessment_Model!$A$5:$A$884,0)),"")</f>
        <v/>
      </c>
      <c r="X876">
        <f>IFERROR(INDEX(_DATA_Assessment_Model!$Y$5:$Y$884,MATCH($E876,_DATA_Assessment_Model!$A$5:$A$884,0)),"")</f>
        <v/>
      </c>
      <c r="Y876" t="inlineStr">
        <is>
          <t>Cyberattack; Data breach; Ransomware; Insider threat</t>
        </is>
      </c>
      <c r="Z876" t="inlineStr">
        <is>
          <t>CISO / IT Security</t>
        </is>
      </c>
      <c r="AA876" t="inlineStr">
        <is>
          <t>Policy/SOP; owner/RACI; system report; dashboard; contracts; test records; incident history; interview evidence related to privileged access management for admin accounts and superusers.</t>
        </is>
      </c>
      <c r="AB876">
        <f>IFERROR(INDEX(_DATA_Assessment_Model!$U$5:$U$884,MATCH($E876,_DATA_Assessment_Model!$A$5:$A$884,0)),"")</f>
        <v/>
      </c>
      <c r="AF876" t="inlineStr">
        <is>
          <t>How mature is the organization in managing privileged access management for admin accounts and superusers, including ownership, evidence, metrics, fallback procedures and crisis stress testing?</t>
        </is>
      </c>
      <c r="AO876">
        <f>IF($B876="Yes",IFERROR(INDEX(_ENGINE_Crisis!$F$501:$F$517,MATCH($C876,_ENGINE_Crisis!$A$501:$A$517,0)),1),"")</f>
        <v/>
      </c>
      <c r="AP876">
        <f>IF(AO876="","",ROUND($L876*AO876,1))</f>
        <v/>
      </c>
      <c r="AQ876">
        <f>IF(OR(AO876="",$S876=""),"",ROUND($S876*(0.7+0.3*AO876),2))</f>
        <v/>
      </c>
      <c r="AR876">
        <f>IFERROR(INDEX(_ENGINE_Crisis!$E$41:$E$700,MATCH('Resilience &amp; Risk Scenario'!$B$60&amp;"|"&amp;$C876,_ENGINE_Crisis!$I$41:$I$700,0)),"")</f>
        <v/>
      </c>
      <c r="AS876">
        <f>IFERROR(INDEX(_ENGINE_Crisis!$G$41:$G$700,MATCH('Resilience &amp; Risk Scenario'!$B$60&amp;"|"&amp;$C876,_ENGINE_Crisis!$I$41:$I$700,0)),"")</f>
        <v/>
      </c>
      <c r="AT876">
        <f>IFERROR(INDEX(_ENGINE_Initiatives!$A$5:$A$532,MATCH(1,INDEX((_ENGINE_Initiatives!$B$5:$B$532=$C876)*(_ENGINE_Initiatives!$C$5:$C$532=$D876),0),0)),"")</f>
        <v/>
      </c>
      <c r="AU876">
        <f>IFERROR(INDEX(_ENGINE_Initiatives!$F$5:$F$532,MATCH(1,INDEX((_ENGINE_Initiatives!$B$5:$B$532=$C876)*(_ENGINE_Initiatives!$C$5:$C$532=$D876),0),0)),"")</f>
        <v/>
      </c>
      <c r="AV876">
        <f>IFERROR(INDEX(_ENGINE_Initiatives!$AC$5:$AC$532,MATCH(1,INDEX((_ENGINE_Initiatives!$B$5:$B$532=$C876)*(_ENGINE_Initiatives!$C$5:$C$532=$D876),0),0)),"")</f>
        <v/>
      </c>
      <c r="AW876">
        <f>IFERROR(INDEX(_ENGINE_Initiatives!$AE$5:$AE$532,MATCH(1,INDEX((_ENGINE_Initiatives!$B$5:$B$532=$C876)*(_ENGINE_Initiatives!$C$5:$C$532=$D876),0),0)),"")</f>
        <v/>
      </c>
      <c r="AX876">
        <f>IF($B876="Yes",IFERROR(IF(SUMIFS(_REF_Model_Content!$E$1:$E$613,_REF_Model_Content!$A$1:$A$613,'Company Profile'!$B$9,_REF_Model_Content!$B$1:$B$613,$C876)=0,1,SUMIFS(_REF_Model_Content!$E$1:$E$613,_REF_Model_Content!$A$1:$A$613,'Company Profile'!$B$9,_REF_Model_Content!$B$1:$B$613,$C876)),1),"")</f>
        <v/>
      </c>
      <c r="AY876">
        <f>IF($L876="","",ROUND(IF($AP876="",$L876,$AP876)*IF($AX876="",1,$AX876),2))</f>
        <v/>
      </c>
      <c r="AZ876">
        <f>IF($S876="","",ROUND(IF($AQ876="",$S876,$AQ876)*IF($AX876="",1,$AX876),2))</f>
        <v/>
      </c>
      <c r="BB876">
        <f>IF($H876="","",IFERROR(INDEX('_ENGINE_Risk'!$AE$41:$AE$920,MATCH($E876,'_ENGINE_Risk'!$A$41:$A$920,0)),"Medium"))</f>
        <v/>
      </c>
      <c r="BC876">
        <f>IF($BB876="","",IF($BB876="Fast",1.25,IF($BB876="Slow",0.85,1)))</f>
        <v/>
      </c>
      <c r="BD876">
        <f>IF(OR($AZ876="",$BC876=""),"",ROUND($AZ876*$BC876,2))</f>
        <v/>
      </c>
      <c r="BF876">
        <f>IF(OR($H876="",$J876=""),"",_xlfn.IFNA(VLOOKUP($J876,_CONFIG_Model_Settings!$D$610:$E$614,2,0),""))</f>
        <v/>
      </c>
      <c r="BG876">
        <f>IF(OR($H876="",$K876=""),"",ROUND('Company Profile'!$B$569*INDEX(_CONFIG_Model_Settings!$H$610:$H$614,MATCH($K876,_CONFIG_Model_Settings!$G$610:$G$614,0)),0))</f>
        <v/>
      </c>
      <c r="BH876">
        <f>IF(OR($BF876="",$BG876=""),"",ROUND($BF876*$BG876,1))</f>
        <v/>
      </c>
      <c r="BI876">
        <f>IF($BH876="","",IF($AO876="",$BH876,ROUND($BH876*$AO876,1)))</f>
        <v/>
      </c>
      <c r="BJ876">
        <f>IF($E876="","",IFERROR(VLOOKUP($C876,'_CONFIG_Risk_Calibration'!$A$5:$H$21,2,FALSE),3))</f>
        <v/>
      </c>
      <c r="BK876">
        <f>IF($E876="","",IFERROR(VLOOKUP($C876,'_CONFIG_Risk_Calibration'!$A$5:$H$21,3,FALSE),0))</f>
        <v/>
      </c>
      <c r="BL876">
        <f>IF($E876="","",IFERROR(VLOOKUP($C876,'_CONFIG_Risk_Calibration'!$A$5:$H$21,4,FALSE),3))</f>
        <v/>
      </c>
      <c r="BM876">
        <f>IF($E876="","",IFERROR(VLOOKUP($C876,'_CONFIG_Risk_Calibration'!$A$5:$H$21,5,FALSE),3))</f>
        <v/>
      </c>
      <c r="BN876">
        <f>IF($E876="","",IFERROR(VLOOKUP($C876,'_CONFIG_Risk_Calibration'!$A$5:$H$21,6,FALSE),"No"))</f>
        <v/>
      </c>
      <c r="BO876">
        <f>IF($E876="","",IFERROR(VLOOKUP($C876,'_CONFIG_Risk_Calibration'!$A$5:$H$21,7,FALSE),1))</f>
        <v/>
      </c>
      <c r="BP876">
        <f>IF($H876="","",MAX(1,MIN(5,((6-$H876)*0.45)+($BJ876*0.20)+('Resilience &amp; Risk Scenario'!$B$7*0.15)+($BK876*0.10)+($BL876*0.05)+(IF($BB876="Fast",5,IF($BB876="Slow",1,3))*0.05))))</f>
        <v/>
      </c>
      <c r="BQ876">
        <f>IF($H876="","",MAX(IF($BN876="Yes",$BO876,1),MIN(5,($U876*0.20)+($V876*0.15)+($W876*0.25)+($X876*0.15)+($BJ876*0.10)+($BM876*0.15))))</f>
        <v/>
      </c>
      <c r="BR876">
        <f>IF(OR($BP876="",$BQ876=""),"",ROUND($BP876*$BQ876,2))</f>
        <v/>
      </c>
      <c r="BS876">
        <f>IF($BR876="","",ROUND($BR876*IF($AO876="",1,$AO876)*IF($AX876="",1,$AX876)*(1+(($BM876-3)*0.10))*IF($BC876="",1,$BC876),2))</f>
        <v/>
      </c>
    </row>
    <row r="877" ht="69.90000000000001" customHeight="1" s="209">
      <c r="A877">
        <f>IF($BD877="","",SUMPRODUCT(ISNUMBER($BD$500:$BD$923)*($BD$500:$BD$923&gt;$BD877))+COUNTIF($BD$500:$BD877,$BD877))</f>
        <v/>
      </c>
      <c r="B877">
        <f>IF($H877="","",IF($H877&lt;5,"Yes","Maintain"))</f>
        <v/>
      </c>
      <c r="C877" t="inlineStr">
        <is>
          <t>Cyber Privacy</t>
        </is>
      </c>
      <c r="D877" t="inlineStr">
        <is>
          <t>Identity and access</t>
        </is>
      </c>
      <c r="E877" t="inlineStr">
        <is>
          <t>CYBE-010</t>
        </is>
      </c>
      <c r="F877" t="inlineStr">
        <is>
          <t>Cybersecurity, privacy and access control</t>
        </is>
      </c>
      <c r="G877">
        <f>IF($H877="","",IFERROR(INDEX('_ENGINE_Risk'!$H$41:$M$920,MATCH($E877,'_ENGINE_Risk'!$A$41:$A$920,0),$H877+1),""))</f>
        <v/>
      </c>
      <c r="H877">
        <f>IFERROR(VALUE(INDEX(_DATA_Assessment_Model!$H$5:$H$884,MATCH($E877,_DATA_Assessment_Model!$A$5:$A$884,0))),"")</f>
        <v/>
      </c>
      <c r="I877">
        <f>IF($H877="","",IFERROR(INDEX(_DATA_Assessment_Model!$L$5:$L$884,MATCH($E877,_DATA_Assessment_Model!$A$5:$A$884,0)),IF($H877&lt;=1,"Critical",IF($H877=2,"High",IF($H877=3,"Medium",IF($H877=4,"Low","Resilient"))))))</f>
        <v/>
      </c>
      <c r="J877">
        <f>IF($H877="","",MIN(5,MAX(1,6-$H877)))</f>
        <v/>
      </c>
      <c r="K877">
        <f>IF($H877="","",MAX(1,MIN(5,ROUNDUP(($U877*0.45)+($W877*0.35)+($X877*0.2),0))))</f>
        <v/>
      </c>
      <c r="L877">
        <f>IF($H877="","",$J877*$K877)</f>
        <v/>
      </c>
      <c r="M877">
        <f>IF($H877="","",MAX(1,MIN(5,ROUNDUP($L877/5,0))))</f>
        <v/>
      </c>
      <c r="N877">
        <f>IF($H877="","",IFERROR(INDEX('_ENGINE_Risk'!$T$41:$Y$920,MATCH($E877,'_ENGINE_Risk'!$A$41:$A$920,0),$H877+1),""))</f>
        <v/>
      </c>
      <c r="O877">
        <f>IF($H877="","",MAX(1,MIN(5,($U877+$V877+$X877)/3)))</f>
        <v/>
      </c>
      <c r="P877">
        <f>IF($H877="","",IF($I877="Critical",5,IF($I877="High",4,IF($I877="Medium",3,IF($I877="Low",2,1)))))</f>
        <v/>
      </c>
      <c r="Q877">
        <f>IF($H877="","",MAX(1,MIN(5,((5-$H877)*0.65)+($W877*0.35))))</f>
        <v/>
      </c>
      <c r="R877">
        <f>IF($H877="","",MAX(1,MIN(5,($V877+$X877)/2)))</f>
        <v/>
      </c>
      <c r="S877">
        <f>IF(OR($H877="",$N877=""),"",ROUND(($O877+$P877+$Q877+$R877)/$N877,2))</f>
        <v/>
      </c>
      <c r="T877">
        <f>IF($H877="","",IFERROR(INDEX('_ENGINE_Risk'!$N$41:$S$920,MATCH($E877,'_ENGINE_Risk'!$A$41:$A$920,0),$H877+1),""))</f>
        <v/>
      </c>
      <c r="U877">
        <f>IFERROR(INDEX(_DATA_Assessment_Model!$G$5:$G$884,MATCH($E877,_DATA_Assessment_Model!$A$5:$A$884,0)),"")</f>
        <v/>
      </c>
      <c r="V877">
        <f>IFERROR(INDEX(_DATA_Assessment_Model!$W$5:$W$884,MATCH($E877,_DATA_Assessment_Model!$A$5:$A$884,0)),"")</f>
        <v/>
      </c>
      <c r="W877">
        <f>IFERROR(INDEX(_DATA_Assessment_Model!$X$5:$X$884,MATCH($E877,_DATA_Assessment_Model!$A$5:$A$884,0)),"")</f>
        <v/>
      </c>
      <c r="X877">
        <f>IFERROR(INDEX(_DATA_Assessment_Model!$Y$5:$Y$884,MATCH($E877,_DATA_Assessment_Model!$A$5:$A$884,0)),"")</f>
        <v/>
      </c>
      <c r="Y877" t="inlineStr">
        <is>
          <t>Cyberattack; Data breach; Ransomware; Insider threat</t>
        </is>
      </c>
      <c r="Z877" t="inlineStr">
        <is>
          <t>CISO / IT Security</t>
        </is>
      </c>
      <c r="AA877" t="inlineStr">
        <is>
          <t>Policy/SOP; owner/RACI; system report; dashboard; contracts; test records; incident history; interview evidence related to break-glass account control, monitoring and testing.</t>
        </is>
      </c>
      <c r="AB877">
        <f>IFERROR(INDEX(_DATA_Assessment_Model!$U$5:$U$884,MATCH($E877,_DATA_Assessment_Model!$A$5:$A$884,0)),"")</f>
        <v/>
      </c>
      <c r="AF877" t="inlineStr">
        <is>
          <t>How mature is the organization in managing break-glass account control, monitoring and testing, including ownership, evidence, metrics, fallback procedures and crisis stress testing?</t>
        </is>
      </c>
      <c r="AO877">
        <f>IF($B877="Yes",IFERROR(INDEX(_ENGINE_Crisis!$F$501:$F$517,MATCH($C877,_ENGINE_Crisis!$A$501:$A$517,0)),1),"")</f>
        <v/>
      </c>
      <c r="AP877">
        <f>IF(AO877="","",ROUND($L877*AO877,1))</f>
        <v/>
      </c>
      <c r="AQ877">
        <f>IF(OR(AO877="",$S877=""),"",ROUND($S877*(0.7+0.3*AO877),2))</f>
        <v/>
      </c>
      <c r="AR877">
        <f>IFERROR(INDEX(_ENGINE_Crisis!$E$41:$E$700,MATCH('Resilience &amp; Risk Scenario'!$B$60&amp;"|"&amp;$C877,_ENGINE_Crisis!$I$41:$I$700,0)),"")</f>
        <v/>
      </c>
      <c r="AS877">
        <f>IFERROR(INDEX(_ENGINE_Crisis!$G$41:$G$700,MATCH('Resilience &amp; Risk Scenario'!$B$60&amp;"|"&amp;$C877,_ENGINE_Crisis!$I$41:$I$700,0)),"")</f>
        <v/>
      </c>
      <c r="AT877">
        <f>IFERROR(INDEX(_ENGINE_Initiatives!$A$5:$A$532,MATCH(1,INDEX((_ENGINE_Initiatives!$B$5:$B$532=$C877)*(_ENGINE_Initiatives!$C$5:$C$532=$D877),0),0)),"")</f>
        <v/>
      </c>
      <c r="AU877">
        <f>IFERROR(INDEX(_ENGINE_Initiatives!$F$5:$F$532,MATCH(1,INDEX((_ENGINE_Initiatives!$B$5:$B$532=$C877)*(_ENGINE_Initiatives!$C$5:$C$532=$D877),0),0)),"")</f>
        <v/>
      </c>
      <c r="AV877">
        <f>IFERROR(INDEX(_ENGINE_Initiatives!$AC$5:$AC$532,MATCH(1,INDEX((_ENGINE_Initiatives!$B$5:$B$532=$C877)*(_ENGINE_Initiatives!$C$5:$C$532=$D877),0),0)),"")</f>
        <v/>
      </c>
      <c r="AW877">
        <f>IFERROR(INDEX(_ENGINE_Initiatives!$AE$5:$AE$532,MATCH(1,INDEX((_ENGINE_Initiatives!$B$5:$B$532=$C877)*(_ENGINE_Initiatives!$C$5:$C$532=$D877),0),0)),"")</f>
        <v/>
      </c>
      <c r="AX877">
        <f>IF($B877="Yes",IFERROR(IF(SUMIFS(_REF_Model_Content!$E$1:$E$613,_REF_Model_Content!$A$1:$A$613,'Company Profile'!$B$9,_REF_Model_Content!$B$1:$B$613,$C877)=0,1,SUMIFS(_REF_Model_Content!$E$1:$E$613,_REF_Model_Content!$A$1:$A$613,'Company Profile'!$B$9,_REF_Model_Content!$B$1:$B$613,$C877)),1),"")</f>
        <v/>
      </c>
      <c r="AY877">
        <f>IF($L877="","",ROUND(IF($AP877="",$L877,$AP877)*IF($AX877="",1,$AX877),2))</f>
        <v/>
      </c>
      <c r="AZ877">
        <f>IF($S877="","",ROUND(IF($AQ877="",$S877,$AQ877)*IF($AX877="",1,$AX877),2))</f>
        <v/>
      </c>
      <c r="BB877">
        <f>IF($H877="","",IFERROR(INDEX('_ENGINE_Risk'!$AE$41:$AE$920,MATCH($E877,'_ENGINE_Risk'!$A$41:$A$920,0)),"Medium"))</f>
        <v/>
      </c>
      <c r="BC877">
        <f>IF($BB877="","",IF($BB877="Fast",1.25,IF($BB877="Slow",0.85,1)))</f>
        <v/>
      </c>
      <c r="BD877">
        <f>IF(OR($AZ877="",$BC877=""),"",ROUND($AZ877*$BC877,2))</f>
        <v/>
      </c>
      <c r="BF877">
        <f>IF(OR($H877="",$J877=""),"",_xlfn.IFNA(VLOOKUP($J877,_CONFIG_Model_Settings!$D$610:$E$614,2,0),""))</f>
        <v/>
      </c>
      <c r="BG877">
        <f>IF(OR($H877="",$K877=""),"",ROUND('Company Profile'!$B$569*INDEX(_CONFIG_Model_Settings!$H$610:$H$614,MATCH($K877,_CONFIG_Model_Settings!$G$610:$G$614,0)),0))</f>
        <v/>
      </c>
      <c r="BH877">
        <f>IF(OR($BF877="",$BG877=""),"",ROUND($BF877*$BG877,1))</f>
        <v/>
      </c>
      <c r="BI877">
        <f>IF($BH877="","",IF($AO877="",$BH877,ROUND($BH877*$AO877,1)))</f>
        <v/>
      </c>
      <c r="BJ877">
        <f>IF($E877="","",IFERROR(VLOOKUP($C877,'_CONFIG_Risk_Calibration'!$A$5:$H$21,2,FALSE),3))</f>
        <v/>
      </c>
      <c r="BK877">
        <f>IF($E877="","",IFERROR(VLOOKUP($C877,'_CONFIG_Risk_Calibration'!$A$5:$H$21,3,FALSE),0))</f>
        <v/>
      </c>
      <c r="BL877">
        <f>IF($E877="","",IFERROR(VLOOKUP($C877,'_CONFIG_Risk_Calibration'!$A$5:$H$21,4,FALSE),3))</f>
        <v/>
      </c>
      <c r="BM877">
        <f>IF($E877="","",IFERROR(VLOOKUP($C877,'_CONFIG_Risk_Calibration'!$A$5:$H$21,5,FALSE),3))</f>
        <v/>
      </c>
      <c r="BN877">
        <f>IF($E877="","",IFERROR(VLOOKUP($C877,'_CONFIG_Risk_Calibration'!$A$5:$H$21,6,FALSE),"No"))</f>
        <v/>
      </c>
      <c r="BO877">
        <f>IF($E877="","",IFERROR(VLOOKUP($C877,'_CONFIG_Risk_Calibration'!$A$5:$H$21,7,FALSE),1))</f>
        <v/>
      </c>
      <c r="BP877">
        <f>IF($H877="","",MAX(1,MIN(5,((6-$H877)*0.45)+($BJ877*0.20)+('Resilience &amp; Risk Scenario'!$B$7*0.15)+($BK877*0.10)+($BL877*0.05)+(IF($BB877="Fast",5,IF($BB877="Slow",1,3))*0.05))))</f>
        <v/>
      </c>
      <c r="BQ877">
        <f>IF($H877="","",MAX(IF($BN877="Yes",$BO877,1),MIN(5,($U877*0.20)+($V877*0.15)+($W877*0.25)+($X877*0.15)+($BJ877*0.10)+($BM877*0.15))))</f>
        <v/>
      </c>
      <c r="BR877">
        <f>IF(OR($BP877="",$BQ877=""),"",ROUND($BP877*$BQ877,2))</f>
        <v/>
      </c>
      <c r="BS877">
        <f>IF($BR877="","",ROUND($BR877*IF($AO877="",1,$AO877)*IF($AX877="",1,$AX877)*(1+(($BM877-3)*0.10))*IF($BC877="",1,$BC877),2))</f>
        <v/>
      </c>
    </row>
    <row r="878" ht="69.90000000000001" customHeight="1" s="209">
      <c r="A878">
        <f>IF($BD878="","",SUMPRODUCT(ISNUMBER($BD$500:$BD$923)*($BD$500:$BD$923&gt;$BD878))+COUNTIF($BD$500:$BD878,$BD878))</f>
        <v/>
      </c>
      <c r="B878">
        <f>IF($H878="","",IF($H878&lt;5,"Yes","Maintain"))</f>
        <v/>
      </c>
      <c r="C878" t="inlineStr">
        <is>
          <t>Cyber Privacy</t>
        </is>
      </c>
      <c r="D878" t="inlineStr">
        <is>
          <t>Identity and access</t>
        </is>
      </c>
      <c r="E878" t="inlineStr">
        <is>
          <t>CYBE-011</t>
        </is>
      </c>
      <c r="F878" t="inlineStr">
        <is>
          <t>Cybersecurity, privacy and access control</t>
        </is>
      </c>
      <c r="G878">
        <f>IF($H878="","",IFERROR(INDEX('_ENGINE_Risk'!$H$41:$M$920,MATCH($E878,'_ENGINE_Risk'!$A$41:$A$920,0),$H878+1),""))</f>
        <v/>
      </c>
      <c r="H878">
        <f>IFERROR(VALUE(INDEX(_DATA_Assessment_Model!$H$5:$H$884,MATCH($E878,_DATA_Assessment_Model!$A$5:$A$884,0))),"")</f>
        <v/>
      </c>
      <c r="I878">
        <f>IF($H878="","",IFERROR(INDEX(_DATA_Assessment_Model!$L$5:$L$884,MATCH($E878,_DATA_Assessment_Model!$A$5:$A$884,0)),IF($H878&lt;=1,"Critical",IF($H878=2,"High",IF($H878=3,"Medium",IF($H878=4,"Low","Resilient"))))))</f>
        <v/>
      </c>
      <c r="J878">
        <f>IF($H878="","",MIN(5,MAX(1,6-$H878)))</f>
        <v/>
      </c>
      <c r="K878">
        <f>IF($H878="","",MAX(1,MIN(5,ROUNDUP(($U878*0.45)+($W878*0.35)+($X878*0.2),0))))</f>
        <v/>
      </c>
      <c r="L878">
        <f>IF($H878="","",$J878*$K878)</f>
        <v/>
      </c>
      <c r="M878">
        <f>IF($H878="","",MAX(1,MIN(5,ROUNDUP($L878/5,0))))</f>
        <v/>
      </c>
      <c r="N878">
        <f>IF($H878="","",IFERROR(INDEX('_ENGINE_Risk'!$T$41:$Y$920,MATCH($E878,'_ENGINE_Risk'!$A$41:$A$920,0),$H878+1),""))</f>
        <v/>
      </c>
      <c r="O878">
        <f>IF($H878="","",MAX(1,MIN(5,($U878+$V878+$X878)/3)))</f>
        <v/>
      </c>
      <c r="P878">
        <f>IF($H878="","",IF($I878="Critical",5,IF($I878="High",4,IF($I878="Medium",3,IF($I878="Low",2,1)))))</f>
        <v/>
      </c>
      <c r="Q878">
        <f>IF($H878="","",MAX(1,MIN(5,((5-$H878)*0.65)+($W878*0.35))))</f>
        <v/>
      </c>
      <c r="R878">
        <f>IF($H878="","",MAX(1,MIN(5,($V878+$X878)/2)))</f>
        <v/>
      </c>
      <c r="S878">
        <f>IF(OR($H878="",$N878=""),"",ROUND(($O878+$P878+$Q878+$R878)/$N878,2))</f>
        <v/>
      </c>
      <c r="T878">
        <f>IF($H878="","",IFERROR(INDEX('_ENGINE_Risk'!$N$41:$S$920,MATCH($E878,'_ENGINE_Risk'!$A$41:$A$920,0),$H878+1),""))</f>
        <v/>
      </c>
      <c r="U878">
        <f>IFERROR(INDEX(_DATA_Assessment_Model!$G$5:$G$884,MATCH($E878,_DATA_Assessment_Model!$A$5:$A$884,0)),"")</f>
        <v/>
      </c>
      <c r="V878">
        <f>IFERROR(INDEX(_DATA_Assessment_Model!$W$5:$W$884,MATCH($E878,_DATA_Assessment_Model!$A$5:$A$884,0)),"")</f>
        <v/>
      </c>
      <c r="W878">
        <f>IFERROR(INDEX(_DATA_Assessment_Model!$X$5:$X$884,MATCH($E878,_DATA_Assessment_Model!$A$5:$A$884,0)),"")</f>
        <v/>
      </c>
      <c r="X878">
        <f>IFERROR(INDEX(_DATA_Assessment_Model!$Y$5:$Y$884,MATCH($E878,_DATA_Assessment_Model!$A$5:$A$884,0)),"")</f>
        <v/>
      </c>
      <c r="Y878" t="inlineStr">
        <is>
          <t>Cyberattack; Data breach; Ransomware; Insider threat</t>
        </is>
      </c>
      <c r="Z878" t="inlineStr">
        <is>
          <t>CISO / IT Security</t>
        </is>
      </c>
      <c r="AA878" t="inlineStr">
        <is>
          <t>Policy/SOP; owner/RACI; system report; dashboard; contracts; test records; incident history; interview evidence related to third-party access that is limited, monitored, time-bound and reviewed.</t>
        </is>
      </c>
      <c r="AB878">
        <f>IFERROR(INDEX(_DATA_Assessment_Model!$U$5:$U$884,MATCH($E878,_DATA_Assessment_Model!$A$5:$A$884,0)),"")</f>
        <v/>
      </c>
      <c r="AF878" t="inlineStr">
        <is>
          <t>How mature is the organization in managing third-party access that is limited, monitored, time-bound and reviewed, including ownership, evidence, metrics, fallback procedures and crisis stress testing?</t>
        </is>
      </c>
      <c r="AO878">
        <f>IF($B878="Yes",IFERROR(INDEX(_ENGINE_Crisis!$F$501:$F$517,MATCH($C878,_ENGINE_Crisis!$A$501:$A$517,0)),1),"")</f>
        <v/>
      </c>
      <c r="AP878">
        <f>IF(AO878="","",ROUND($L878*AO878,1))</f>
        <v/>
      </c>
      <c r="AQ878">
        <f>IF(OR(AO878="",$S878=""),"",ROUND($S878*(0.7+0.3*AO878),2))</f>
        <v/>
      </c>
      <c r="AR878">
        <f>IFERROR(INDEX(_ENGINE_Crisis!$E$41:$E$700,MATCH('Resilience &amp; Risk Scenario'!$B$60&amp;"|"&amp;$C878,_ENGINE_Crisis!$I$41:$I$700,0)),"")</f>
        <v/>
      </c>
      <c r="AS878">
        <f>IFERROR(INDEX(_ENGINE_Crisis!$G$41:$G$700,MATCH('Resilience &amp; Risk Scenario'!$B$60&amp;"|"&amp;$C878,_ENGINE_Crisis!$I$41:$I$700,0)),"")</f>
        <v/>
      </c>
      <c r="AT878">
        <f>IFERROR(INDEX(_ENGINE_Initiatives!$A$5:$A$532,MATCH(1,INDEX((_ENGINE_Initiatives!$B$5:$B$532=$C878)*(_ENGINE_Initiatives!$C$5:$C$532=$D878),0),0)),"")</f>
        <v/>
      </c>
      <c r="AU878">
        <f>IFERROR(INDEX(_ENGINE_Initiatives!$F$5:$F$532,MATCH(1,INDEX((_ENGINE_Initiatives!$B$5:$B$532=$C878)*(_ENGINE_Initiatives!$C$5:$C$532=$D878),0),0)),"")</f>
        <v/>
      </c>
      <c r="AV878">
        <f>IFERROR(INDEX(_ENGINE_Initiatives!$AC$5:$AC$532,MATCH(1,INDEX((_ENGINE_Initiatives!$B$5:$B$532=$C878)*(_ENGINE_Initiatives!$C$5:$C$532=$D878),0),0)),"")</f>
        <v/>
      </c>
      <c r="AW878">
        <f>IFERROR(INDEX(_ENGINE_Initiatives!$AE$5:$AE$532,MATCH(1,INDEX((_ENGINE_Initiatives!$B$5:$B$532=$C878)*(_ENGINE_Initiatives!$C$5:$C$532=$D878),0),0)),"")</f>
        <v/>
      </c>
      <c r="AX878">
        <f>IF($B878="Yes",IFERROR(IF(SUMIFS(_REF_Model_Content!$E$1:$E$613,_REF_Model_Content!$A$1:$A$613,'Company Profile'!$B$9,_REF_Model_Content!$B$1:$B$613,$C878)=0,1,SUMIFS(_REF_Model_Content!$E$1:$E$613,_REF_Model_Content!$A$1:$A$613,'Company Profile'!$B$9,_REF_Model_Content!$B$1:$B$613,$C878)),1),"")</f>
        <v/>
      </c>
      <c r="AY878">
        <f>IF($L878="","",ROUND(IF($AP878="",$L878,$AP878)*IF($AX878="",1,$AX878),2))</f>
        <v/>
      </c>
      <c r="AZ878">
        <f>IF($S878="","",ROUND(IF($AQ878="",$S878,$AQ878)*IF($AX878="",1,$AX878),2))</f>
        <v/>
      </c>
      <c r="BB878">
        <f>IF($H878="","",IFERROR(INDEX('_ENGINE_Risk'!$AE$41:$AE$920,MATCH($E878,'_ENGINE_Risk'!$A$41:$A$920,0)),"Medium"))</f>
        <v/>
      </c>
      <c r="BC878">
        <f>IF($BB878="","",IF($BB878="Fast",1.25,IF($BB878="Slow",0.85,1)))</f>
        <v/>
      </c>
      <c r="BD878">
        <f>IF(OR($AZ878="",$BC878=""),"",ROUND($AZ878*$BC878,2))</f>
        <v/>
      </c>
      <c r="BF878">
        <f>IF(OR($H878="",$J878=""),"",_xlfn.IFNA(VLOOKUP($J878,_CONFIG_Model_Settings!$D$610:$E$614,2,0),""))</f>
        <v/>
      </c>
      <c r="BG878">
        <f>IF(OR($H878="",$K878=""),"",ROUND('Company Profile'!$B$569*INDEX(_CONFIG_Model_Settings!$H$610:$H$614,MATCH($K878,_CONFIG_Model_Settings!$G$610:$G$614,0)),0))</f>
        <v/>
      </c>
      <c r="BH878">
        <f>IF(OR($BF878="",$BG878=""),"",ROUND($BF878*$BG878,1))</f>
        <v/>
      </c>
      <c r="BI878">
        <f>IF($BH878="","",IF($AO878="",$BH878,ROUND($BH878*$AO878,1)))</f>
        <v/>
      </c>
      <c r="BJ878">
        <f>IF($E878="","",IFERROR(VLOOKUP($C878,'_CONFIG_Risk_Calibration'!$A$5:$H$21,2,FALSE),3))</f>
        <v/>
      </c>
      <c r="BK878">
        <f>IF($E878="","",IFERROR(VLOOKUP($C878,'_CONFIG_Risk_Calibration'!$A$5:$H$21,3,FALSE),0))</f>
        <v/>
      </c>
      <c r="BL878">
        <f>IF($E878="","",IFERROR(VLOOKUP($C878,'_CONFIG_Risk_Calibration'!$A$5:$H$21,4,FALSE),3))</f>
        <v/>
      </c>
      <c r="BM878">
        <f>IF($E878="","",IFERROR(VLOOKUP($C878,'_CONFIG_Risk_Calibration'!$A$5:$H$21,5,FALSE),3))</f>
        <v/>
      </c>
      <c r="BN878">
        <f>IF($E878="","",IFERROR(VLOOKUP($C878,'_CONFIG_Risk_Calibration'!$A$5:$H$21,6,FALSE),"No"))</f>
        <v/>
      </c>
      <c r="BO878">
        <f>IF($E878="","",IFERROR(VLOOKUP($C878,'_CONFIG_Risk_Calibration'!$A$5:$H$21,7,FALSE),1))</f>
        <v/>
      </c>
      <c r="BP878">
        <f>IF($H878="","",MAX(1,MIN(5,((6-$H878)*0.45)+($BJ878*0.20)+('Resilience &amp; Risk Scenario'!$B$7*0.15)+($BK878*0.10)+($BL878*0.05)+(IF($BB878="Fast",5,IF($BB878="Slow",1,3))*0.05))))</f>
        <v/>
      </c>
      <c r="BQ878">
        <f>IF($H878="","",MAX(IF($BN878="Yes",$BO878,1),MIN(5,($U878*0.20)+($V878*0.15)+($W878*0.25)+($X878*0.15)+($BJ878*0.10)+($BM878*0.15))))</f>
        <v/>
      </c>
      <c r="BR878">
        <f>IF(OR($BP878="",$BQ878=""),"",ROUND($BP878*$BQ878,2))</f>
        <v/>
      </c>
      <c r="BS878">
        <f>IF($BR878="","",ROUND($BR878*IF($AO878="",1,$AO878)*IF($AX878="",1,$AX878)*(1+(($BM878-3)*0.10))*IF($BC878="",1,$BC878),2))</f>
        <v/>
      </c>
    </row>
    <row r="879" ht="69.90000000000001" customHeight="1" s="209">
      <c r="A879">
        <f>IF($BD879="","",SUMPRODUCT(ISNUMBER($BD$500:$BD$923)*($BD$500:$BD$923&gt;$BD879))+COUNTIF($BD$500:$BD879,$BD879))</f>
        <v/>
      </c>
      <c r="B879">
        <f>IF($H879="","",IF($H879&lt;5,"Yes","Maintain"))</f>
        <v/>
      </c>
      <c r="C879" t="inlineStr">
        <is>
          <t>Cyber Privacy</t>
        </is>
      </c>
      <c r="D879" t="inlineStr">
        <is>
          <t>Identity and access</t>
        </is>
      </c>
      <c r="E879" t="inlineStr">
        <is>
          <t>CYBE-012</t>
        </is>
      </c>
      <c r="F879" t="inlineStr">
        <is>
          <t>Cybersecurity, privacy and access control</t>
        </is>
      </c>
      <c r="G879">
        <f>IF($H879="","",IFERROR(INDEX('_ENGINE_Risk'!$H$41:$M$920,MATCH($E879,'_ENGINE_Risk'!$A$41:$A$920,0),$H879+1),""))</f>
        <v/>
      </c>
      <c r="H879">
        <f>IFERROR(VALUE(INDEX(_DATA_Assessment_Model!$H$5:$H$884,MATCH($E879,_DATA_Assessment_Model!$A$5:$A$884,0))),"")</f>
        <v/>
      </c>
      <c r="I879">
        <f>IF($H879="","",IFERROR(INDEX(_DATA_Assessment_Model!$L$5:$L$884,MATCH($E879,_DATA_Assessment_Model!$A$5:$A$884,0)),IF($H879&lt;=1,"Critical",IF($H879=2,"High",IF($H879=3,"Medium",IF($H879=4,"Low","Resilient"))))))</f>
        <v/>
      </c>
      <c r="J879">
        <f>IF($H879="","",MIN(5,MAX(1,6-$H879)))</f>
        <v/>
      </c>
      <c r="K879">
        <f>IF($H879="","",MAX(1,MIN(5,ROUNDUP(($U879*0.45)+($W879*0.35)+($X879*0.2),0))))</f>
        <v/>
      </c>
      <c r="L879">
        <f>IF($H879="","",$J879*$K879)</f>
        <v/>
      </c>
      <c r="M879">
        <f>IF($H879="","",MAX(1,MIN(5,ROUNDUP($L879/5,0))))</f>
        <v/>
      </c>
      <c r="N879">
        <f>IF($H879="","",IFERROR(INDEX('_ENGINE_Risk'!$T$41:$Y$920,MATCH($E879,'_ENGINE_Risk'!$A$41:$A$920,0),$H879+1),""))</f>
        <v/>
      </c>
      <c r="O879">
        <f>IF($H879="","",MAX(1,MIN(5,($U879+$V879+$X879)/3)))</f>
        <v/>
      </c>
      <c r="P879">
        <f>IF($H879="","",IF($I879="Critical",5,IF($I879="High",4,IF($I879="Medium",3,IF($I879="Low",2,1)))))</f>
        <v/>
      </c>
      <c r="Q879">
        <f>IF($H879="","",MAX(1,MIN(5,((5-$H879)*0.65)+($W879*0.35))))</f>
        <v/>
      </c>
      <c r="R879">
        <f>IF($H879="","",MAX(1,MIN(5,($V879+$X879)/2)))</f>
        <v/>
      </c>
      <c r="S879">
        <f>IF(OR($H879="",$N879=""),"",ROUND(($O879+$P879+$Q879+$R879)/$N879,2))</f>
        <v/>
      </c>
      <c r="T879">
        <f>IF($H879="","",IFERROR(INDEX('_ENGINE_Risk'!$N$41:$S$920,MATCH($E879,'_ENGINE_Risk'!$A$41:$A$920,0),$H879+1),""))</f>
        <v/>
      </c>
      <c r="U879">
        <f>IFERROR(INDEX(_DATA_Assessment_Model!$G$5:$G$884,MATCH($E879,_DATA_Assessment_Model!$A$5:$A$884,0)),"")</f>
        <v/>
      </c>
      <c r="V879">
        <f>IFERROR(INDEX(_DATA_Assessment_Model!$W$5:$W$884,MATCH($E879,_DATA_Assessment_Model!$A$5:$A$884,0)),"")</f>
        <v/>
      </c>
      <c r="W879">
        <f>IFERROR(INDEX(_DATA_Assessment_Model!$X$5:$X$884,MATCH($E879,_DATA_Assessment_Model!$A$5:$A$884,0)),"")</f>
        <v/>
      </c>
      <c r="X879">
        <f>IFERROR(INDEX(_DATA_Assessment_Model!$Y$5:$Y$884,MATCH($E879,_DATA_Assessment_Model!$A$5:$A$884,0)),"")</f>
        <v/>
      </c>
      <c r="Y879" t="inlineStr">
        <is>
          <t>Cyberattack; Data breach; Ransomware; Insider threat</t>
        </is>
      </c>
      <c r="Z879" t="inlineStr">
        <is>
          <t>CISO / IT Security</t>
        </is>
      </c>
      <c r="AA879" t="inlineStr">
        <is>
          <t>Policy/SOP; owner/RACI; system report; dashboard; contracts; test records; incident history; interview evidence related to access reviews for critical systems, datasets, ERP, CRM, HRMS, MES and cloud.</t>
        </is>
      </c>
      <c r="AB879">
        <f>IFERROR(INDEX(_DATA_Assessment_Model!$U$5:$U$884,MATCH($E879,_DATA_Assessment_Model!$A$5:$A$884,0)),"")</f>
        <v/>
      </c>
      <c r="AF879" t="inlineStr">
        <is>
          <t>How mature is the organization in managing access reviews for critical systems, datasets, ERP, CRM, HRMS, MES and cloud, including ownership, evidence, metrics, fallback procedures and crisis stress testing?</t>
        </is>
      </c>
      <c r="AO879">
        <f>IF($B879="Yes",IFERROR(INDEX(_ENGINE_Crisis!$F$501:$F$517,MATCH($C879,_ENGINE_Crisis!$A$501:$A$517,0)),1),"")</f>
        <v/>
      </c>
      <c r="AP879">
        <f>IF(AO879="","",ROUND($L879*AO879,1))</f>
        <v/>
      </c>
      <c r="AQ879">
        <f>IF(OR(AO879="",$S879=""),"",ROUND($S879*(0.7+0.3*AO879),2))</f>
        <v/>
      </c>
      <c r="AR879">
        <f>IFERROR(INDEX(_ENGINE_Crisis!$E$41:$E$700,MATCH('Resilience &amp; Risk Scenario'!$B$60&amp;"|"&amp;$C879,_ENGINE_Crisis!$I$41:$I$700,0)),"")</f>
        <v/>
      </c>
      <c r="AS879">
        <f>IFERROR(INDEX(_ENGINE_Crisis!$G$41:$G$700,MATCH('Resilience &amp; Risk Scenario'!$B$60&amp;"|"&amp;$C879,_ENGINE_Crisis!$I$41:$I$700,0)),"")</f>
        <v/>
      </c>
      <c r="AT879">
        <f>IFERROR(INDEX(_ENGINE_Initiatives!$A$5:$A$532,MATCH(1,INDEX((_ENGINE_Initiatives!$B$5:$B$532=$C879)*(_ENGINE_Initiatives!$C$5:$C$532=$D879),0),0)),"")</f>
        <v/>
      </c>
      <c r="AU879">
        <f>IFERROR(INDEX(_ENGINE_Initiatives!$F$5:$F$532,MATCH(1,INDEX((_ENGINE_Initiatives!$B$5:$B$532=$C879)*(_ENGINE_Initiatives!$C$5:$C$532=$D879),0),0)),"")</f>
        <v/>
      </c>
      <c r="AV879">
        <f>IFERROR(INDEX(_ENGINE_Initiatives!$AC$5:$AC$532,MATCH(1,INDEX((_ENGINE_Initiatives!$B$5:$B$532=$C879)*(_ENGINE_Initiatives!$C$5:$C$532=$D879),0),0)),"")</f>
        <v/>
      </c>
      <c r="AW879">
        <f>IFERROR(INDEX(_ENGINE_Initiatives!$AE$5:$AE$532,MATCH(1,INDEX((_ENGINE_Initiatives!$B$5:$B$532=$C879)*(_ENGINE_Initiatives!$C$5:$C$532=$D879),0),0)),"")</f>
        <v/>
      </c>
      <c r="AX879">
        <f>IF($B879="Yes",IFERROR(IF(SUMIFS(_REF_Model_Content!$E$1:$E$613,_REF_Model_Content!$A$1:$A$613,'Company Profile'!$B$9,_REF_Model_Content!$B$1:$B$613,$C879)=0,1,SUMIFS(_REF_Model_Content!$E$1:$E$613,_REF_Model_Content!$A$1:$A$613,'Company Profile'!$B$9,_REF_Model_Content!$B$1:$B$613,$C879)),1),"")</f>
        <v/>
      </c>
      <c r="AY879">
        <f>IF($L879="","",ROUND(IF($AP879="",$L879,$AP879)*IF($AX879="",1,$AX879),2))</f>
        <v/>
      </c>
      <c r="AZ879">
        <f>IF($S879="","",ROUND(IF($AQ879="",$S879,$AQ879)*IF($AX879="",1,$AX879),2))</f>
        <v/>
      </c>
      <c r="BB879">
        <f>IF($H879="","",IFERROR(INDEX('_ENGINE_Risk'!$AE$41:$AE$920,MATCH($E879,'_ENGINE_Risk'!$A$41:$A$920,0)),"Medium"))</f>
        <v/>
      </c>
      <c r="BC879">
        <f>IF($BB879="","",IF($BB879="Fast",1.25,IF($BB879="Slow",0.85,1)))</f>
        <v/>
      </c>
      <c r="BD879">
        <f>IF(OR($AZ879="",$BC879=""),"",ROUND($AZ879*$BC879,2))</f>
        <v/>
      </c>
      <c r="BF879">
        <f>IF(OR($H879="",$J879=""),"",_xlfn.IFNA(VLOOKUP($J879,_CONFIG_Model_Settings!$D$610:$E$614,2,0),""))</f>
        <v/>
      </c>
      <c r="BG879">
        <f>IF(OR($H879="",$K879=""),"",ROUND('Company Profile'!$B$569*INDEX(_CONFIG_Model_Settings!$H$610:$H$614,MATCH($K879,_CONFIG_Model_Settings!$G$610:$G$614,0)),0))</f>
        <v/>
      </c>
      <c r="BH879">
        <f>IF(OR($BF879="",$BG879=""),"",ROUND($BF879*$BG879,1))</f>
        <v/>
      </c>
      <c r="BI879">
        <f>IF($BH879="","",IF($AO879="",$BH879,ROUND($BH879*$AO879,1)))</f>
        <v/>
      </c>
      <c r="BJ879">
        <f>IF($E879="","",IFERROR(VLOOKUP($C879,'_CONFIG_Risk_Calibration'!$A$5:$H$21,2,FALSE),3))</f>
        <v/>
      </c>
      <c r="BK879">
        <f>IF($E879="","",IFERROR(VLOOKUP($C879,'_CONFIG_Risk_Calibration'!$A$5:$H$21,3,FALSE),0))</f>
        <v/>
      </c>
      <c r="BL879">
        <f>IF($E879="","",IFERROR(VLOOKUP($C879,'_CONFIG_Risk_Calibration'!$A$5:$H$21,4,FALSE),3))</f>
        <v/>
      </c>
      <c r="BM879">
        <f>IF($E879="","",IFERROR(VLOOKUP($C879,'_CONFIG_Risk_Calibration'!$A$5:$H$21,5,FALSE),3))</f>
        <v/>
      </c>
      <c r="BN879">
        <f>IF($E879="","",IFERROR(VLOOKUP($C879,'_CONFIG_Risk_Calibration'!$A$5:$H$21,6,FALSE),"No"))</f>
        <v/>
      </c>
      <c r="BO879">
        <f>IF($E879="","",IFERROR(VLOOKUP($C879,'_CONFIG_Risk_Calibration'!$A$5:$H$21,7,FALSE),1))</f>
        <v/>
      </c>
      <c r="BP879">
        <f>IF($H879="","",MAX(1,MIN(5,((6-$H879)*0.45)+($BJ879*0.20)+('Resilience &amp; Risk Scenario'!$B$7*0.15)+($BK879*0.10)+($BL879*0.05)+(IF($BB879="Fast",5,IF($BB879="Slow",1,3))*0.05))))</f>
        <v/>
      </c>
      <c r="BQ879">
        <f>IF($H879="","",MAX(IF($BN879="Yes",$BO879,1),MIN(5,($U879*0.20)+($V879*0.15)+($W879*0.25)+($X879*0.15)+($BJ879*0.10)+($BM879*0.15))))</f>
        <v/>
      </c>
      <c r="BR879">
        <f>IF(OR($BP879="",$BQ879=""),"",ROUND($BP879*$BQ879,2))</f>
        <v/>
      </c>
      <c r="BS879">
        <f>IF($BR879="","",ROUND($BR879*IF($AO879="",1,$AO879)*IF($AX879="",1,$AX879)*(1+(($BM879-3)*0.10))*IF($BC879="",1,$BC879),2))</f>
        <v/>
      </c>
    </row>
    <row r="880" ht="69.90000000000001" customHeight="1" s="209">
      <c r="A880">
        <f>IF($BD880="","",SUMPRODUCT(ISNUMBER($BD$500:$BD$923)*($BD$500:$BD$923&gt;$BD880))+COUNTIF($BD$500:$BD880,$BD880))</f>
        <v/>
      </c>
      <c r="B880">
        <f>IF($H880="","",IF($H880&lt;5,"Yes","Maintain"))</f>
        <v/>
      </c>
      <c r="C880" t="inlineStr">
        <is>
          <t>Cyber Privacy</t>
        </is>
      </c>
      <c r="D880" t="inlineStr">
        <is>
          <t>Protection</t>
        </is>
      </c>
      <c r="E880" t="inlineStr">
        <is>
          <t>CYBE-013</t>
        </is>
      </c>
      <c r="F880" t="inlineStr">
        <is>
          <t>Cybersecurity, privacy and access control</t>
        </is>
      </c>
      <c r="G880">
        <f>IF($H880="","",IFERROR(INDEX('_ENGINE_Risk'!$H$41:$M$920,MATCH($E880,'_ENGINE_Risk'!$A$41:$A$920,0),$H880+1),""))</f>
        <v/>
      </c>
      <c r="H880">
        <f>IFERROR(VALUE(INDEX(_DATA_Assessment_Model!$H$5:$H$884,MATCH($E880,_DATA_Assessment_Model!$A$5:$A$884,0))),"")</f>
        <v/>
      </c>
      <c r="I880">
        <f>IF($H880="","",IFERROR(INDEX(_DATA_Assessment_Model!$L$5:$L$884,MATCH($E880,_DATA_Assessment_Model!$A$5:$A$884,0)),IF($H880&lt;=1,"Critical",IF($H880=2,"High",IF($H880=3,"Medium",IF($H880=4,"Low","Resilient"))))))</f>
        <v/>
      </c>
      <c r="J880">
        <f>IF($H880="","",MIN(5,MAX(1,6-$H880)))</f>
        <v/>
      </c>
      <c r="K880">
        <f>IF($H880="","",MAX(1,MIN(5,ROUNDUP(($U880*0.45)+($W880*0.35)+($X880*0.2),0))))</f>
        <v/>
      </c>
      <c r="L880">
        <f>IF($H880="","",$J880*$K880)</f>
        <v/>
      </c>
      <c r="M880">
        <f>IF($H880="","",MAX(1,MIN(5,ROUNDUP($L880/5,0))))</f>
        <v/>
      </c>
      <c r="N880">
        <f>IF($H880="","",IFERROR(INDEX('_ENGINE_Risk'!$T$41:$Y$920,MATCH($E880,'_ENGINE_Risk'!$A$41:$A$920,0),$H880+1),""))</f>
        <v/>
      </c>
      <c r="O880">
        <f>IF($H880="","",MAX(1,MIN(5,($U880+$V880+$X880)/3)))</f>
        <v/>
      </c>
      <c r="P880">
        <f>IF($H880="","",IF($I880="Critical",5,IF($I880="High",4,IF($I880="Medium",3,IF($I880="Low",2,1)))))</f>
        <v/>
      </c>
      <c r="Q880">
        <f>IF($H880="","",MAX(1,MIN(5,((5-$H880)*0.65)+($W880*0.35))))</f>
        <v/>
      </c>
      <c r="R880">
        <f>IF($H880="","",MAX(1,MIN(5,($V880+$X880)/2)))</f>
        <v/>
      </c>
      <c r="S880">
        <f>IF(OR($H880="",$N880=""),"",ROUND(($O880+$P880+$Q880+$R880)/$N880,2))</f>
        <v/>
      </c>
      <c r="T880">
        <f>IF($H880="","",IFERROR(INDEX('_ENGINE_Risk'!$N$41:$S$920,MATCH($E880,'_ENGINE_Risk'!$A$41:$A$920,0),$H880+1),""))</f>
        <v/>
      </c>
      <c r="U880">
        <f>IFERROR(INDEX(_DATA_Assessment_Model!$G$5:$G$884,MATCH($E880,_DATA_Assessment_Model!$A$5:$A$884,0)),"")</f>
        <v/>
      </c>
      <c r="V880">
        <f>IFERROR(INDEX(_DATA_Assessment_Model!$W$5:$W$884,MATCH($E880,_DATA_Assessment_Model!$A$5:$A$884,0)),"")</f>
        <v/>
      </c>
      <c r="W880">
        <f>IFERROR(INDEX(_DATA_Assessment_Model!$X$5:$X$884,MATCH($E880,_DATA_Assessment_Model!$A$5:$A$884,0)),"")</f>
        <v/>
      </c>
      <c r="X880">
        <f>IFERROR(INDEX(_DATA_Assessment_Model!$Y$5:$Y$884,MATCH($E880,_DATA_Assessment_Model!$A$5:$A$884,0)),"")</f>
        <v/>
      </c>
      <c r="Y880" t="inlineStr">
        <is>
          <t>Cyberattack; Data breach; Ransomware; Insider threat</t>
        </is>
      </c>
      <c r="Z880" t="inlineStr">
        <is>
          <t>CISO / IT Security</t>
        </is>
      </c>
      <c r="AA880" t="inlineStr">
        <is>
          <t>Policy/SOP; owner/RACI; system report; dashboard; contracts; test records; incident history; interview evidence related to endpoint protection with EDR, disk encryption, patching and remote management.</t>
        </is>
      </c>
      <c r="AB880">
        <f>IFERROR(INDEX(_DATA_Assessment_Model!$U$5:$U$884,MATCH($E880,_DATA_Assessment_Model!$A$5:$A$884,0)),"")</f>
        <v/>
      </c>
      <c r="AF880" t="inlineStr">
        <is>
          <t>How mature is the organization in managing endpoint protection with EDR, disk encryption, patching and remote management, including ownership, evidence, metrics, fallback procedures and crisis stress testing?</t>
        </is>
      </c>
      <c r="AO880">
        <f>IF($B880="Yes",IFERROR(INDEX(_ENGINE_Crisis!$F$501:$F$517,MATCH($C880,_ENGINE_Crisis!$A$501:$A$517,0)),1),"")</f>
        <v/>
      </c>
      <c r="AP880">
        <f>IF(AO880="","",ROUND($L880*AO880,1))</f>
        <v/>
      </c>
      <c r="AQ880">
        <f>IF(OR(AO880="",$S880=""),"",ROUND($S880*(0.7+0.3*AO880),2))</f>
        <v/>
      </c>
      <c r="AR880">
        <f>IFERROR(INDEX(_ENGINE_Crisis!$E$41:$E$700,MATCH('Resilience &amp; Risk Scenario'!$B$60&amp;"|"&amp;$C880,_ENGINE_Crisis!$I$41:$I$700,0)),"")</f>
        <v/>
      </c>
      <c r="AS880">
        <f>IFERROR(INDEX(_ENGINE_Crisis!$G$41:$G$700,MATCH('Resilience &amp; Risk Scenario'!$B$60&amp;"|"&amp;$C880,_ENGINE_Crisis!$I$41:$I$700,0)),"")</f>
        <v/>
      </c>
      <c r="AT880">
        <f>IFERROR(INDEX(_ENGINE_Initiatives!$A$5:$A$532,MATCH(1,INDEX((_ENGINE_Initiatives!$B$5:$B$532=$C880)*(_ENGINE_Initiatives!$C$5:$C$532=$D880),0),0)),"")</f>
        <v/>
      </c>
      <c r="AU880">
        <f>IFERROR(INDEX(_ENGINE_Initiatives!$F$5:$F$532,MATCH(1,INDEX((_ENGINE_Initiatives!$B$5:$B$532=$C880)*(_ENGINE_Initiatives!$C$5:$C$532=$D880),0),0)),"")</f>
        <v/>
      </c>
      <c r="AV880">
        <f>IFERROR(INDEX(_ENGINE_Initiatives!$AC$5:$AC$532,MATCH(1,INDEX((_ENGINE_Initiatives!$B$5:$B$532=$C880)*(_ENGINE_Initiatives!$C$5:$C$532=$D880),0),0)),"")</f>
        <v/>
      </c>
      <c r="AW880">
        <f>IFERROR(INDEX(_ENGINE_Initiatives!$AE$5:$AE$532,MATCH(1,INDEX((_ENGINE_Initiatives!$B$5:$B$532=$C880)*(_ENGINE_Initiatives!$C$5:$C$532=$D880),0),0)),"")</f>
        <v/>
      </c>
      <c r="AX880">
        <f>IF($B880="Yes",IFERROR(IF(SUMIFS(_REF_Model_Content!$E$1:$E$613,_REF_Model_Content!$A$1:$A$613,'Company Profile'!$B$9,_REF_Model_Content!$B$1:$B$613,$C880)=0,1,SUMIFS(_REF_Model_Content!$E$1:$E$613,_REF_Model_Content!$A$1:$A$613,'Company Profile'!$B$9,_REF_Model_Content!$B$1:$B$613,$C880)),1),"")</f>
        <v/>
      </c>
      <c r="AY880">
        <f>IF($L880="","",ROUND(IF($AP880="",$L880,$AP880)*IF($AX880="",1,$AX880),2))</f>
        <v/>
      </c>
      <c r="AZ880">
        <f>IF($S880="","",ROUND(IF($AQ880="",$S880,$AQ880)*IF($AX880="",1,$AX880),2))</f>
        <v/>
      </c>
      <c r="BB880">
        <f>IF($H880="","",IFERROR(INDEX('_ENGINE_Risk'!$AE$41:$AE$920,MATCH($E880,'_ENGINE_Risk'!$A$41:$A$920,0)),"Medium"))</f>
        <v/>
      </c>
      <c r="BC880">
        <f>IF($BB880="","",IF($BB880="Fast",1.25,IF($BB880="Slow",0.85,1)))</f>
        <v/>
      </c>
      <c r="BD880">
        <f>IF(OR($AZ880="",$BC880=""),"",ROUND($AZ880*$BC880,2))</f>
        <v/>
      </c>
      <c r="BF880">
        <f>IF(OR($H880="",$J880=""),"",_xlfn.IFNA(VLOOKUP($J880,_CONFIG_Model_Settings!$D$610:$E$614,2,0),""))</f>
        <v/>
      </c>
      <c r="BG880">
        <f>IF(OR($H880="",$K880=""),"",ROUND('Company Profile'!$B$569*INDEX(_CONFIG_Model_Settings!$H$610:$H$614,MATCH($K880,_CONFIG_Model_Settings!$G$610:$G$614,0)),0))</f>
        <v/>
      </c>
      <c r="BH880">
        <f>IF(OR($BF880="",$BG880=""),"",ROUND($BF880*$BG880,1))</f>
        <v/>
      </c>
      <c r="BI880">
        <f>IF($BH880="","",IF($AO880="",$BH880,ROUND($BH880*$AO880,1)))</f>
        <v/>
      </c>
      <c r="BJ880">
        <f>IF($E880="","",IFERROR(VLOOKUP($C880,'_CONFIG_Risk_Calibration'!$A$5:$H$21,2,FALSE),3))</f>
        <v/>
      </c>
      <c r="BK880">
        <f>IF($E880="","",IFERROR(VLOOKUP($C880,'_CONFIG_Risk_Calibration'!$A$5:$H$21,3,FALSE),0))</f>
        <v/>
      </c>
      <c r="BL880">
        <f>IF($E880="","",IFERROR(VLOOKUP($C880,'_CONFIG_Risk_Calibration'!$A$5:$H$21,4,FALSE),3))</f>
        <v/>
      </c>
      <c r="BM880">
        <f>IF($E880="","",IFERROR(VLOOKUP($C880,'_CONFIG_Risk_Calibration'!$A$5:$H$21,5,FALSE),3))</f>
        <v/>
      </c>
      <c r="BN880">
        <f>IF($E880="","",IFERROR(VLOOKUP($C880,'_CONFIG_Risk_Calibration'!$A$5:$H$21,6,FALSE),"No"))</f>
        <v/>
      </c>
      <c r="BO880">
        <f>IF($E880="","",IFERROR(VLOOKUP($C880,'_CONFIG_Risk_Calibration'!$A$5:$H$21,7,FALSE),1))</f>
        <v/>
      </c>
      <c r="BP880">
        <f>IF($H880="","",MAX(1,MIN(5,((6-$H880)*0.45)+($BJ880*0.20)+('Resilience &amp; Risk Scenario'!$B$7*0.15)+($BK880*0.10)+($BL880*0.05)+(IF($BB880="Fast",5,IF($BB880="Slow",1,3))*0.05))))</f>
        <v/>
      </c>
      <c r="BQ880">
        <f>IF($H880="","",MAX(IF($BN880="Yes",$BO880,1),MIN(5,($U880*0.20)+($V880*0.15)+($W880*0.25)+($X880*0.15)+($BJ880*0.10)+($BM880*0.15))))</f>
        <v/>
      </c>
      <c r="BR880">
        <f>IF(OR($BP880="",$BQ880=""),"",ROUND($BP880*$BQ880,2))</f>
        <v/>
      </c>
      <c r="BS880">
        <f>IF($BR880="","",ROUND($BR880*IF($AO880="",1,$AO880)*IF($AX880="",1,$AX880)*(1+(($BM880-3)*0.10))*IF($BC880="",1,$BC880),2))</f>
        <v/>
      </c>
    </row>
    <row r="881" ht="69.90000000000001" customHeight="1" s="209">
      <c r="A881">
        <f>IF($BD881="","",SUMPRODUCT(ISNUMBER($BD$500:$BD$923)*($BD$500:$BD$923&gt;$BD881))+COUNTIF($BD$500:$BD881,$BD881))</f>
        <v/>
      </c>
      <c r="B881">
        <f>IF($H881="","",IF($H881&lt;5,"Yes","Maintain"))</f>
        <v/>
      </c>
      <c r="C881" t="inlineStr">
        <is>
          <t>Cyber Privacy</t>
        </is>
      </c>
      <c r="D881" t="inlineStr">
        <is>
          <t>Protection</t>
        </is>
      </c>
      <c r="E881" t="inlineStr">
        <is>
          <t>CYBE-014</t>
        </is>
      </c>
      <c r="F881" t="inlineStr">
        <is>
          <t>Cybersecurity, privacy and access control</t>
        </is>
      </c>
      <c r="G881">
        <f>IF($H881="","",IFERROR(INDEX('_ENGINE_Risk'!$H$41:$M$920,MATCH($E881,'_ENGINE_Risk'!$A$41:$A$920,0),$H881+1),""))</f>
        <v/>
      </c>
      <c r="H881">
        <f>IFERROR(VALUE(INDEX(_DATA_Assessment_Model!$H$5:$H$884,MATCH($E881,_DATA_Assessment_Model!$A$5:$A$884,0))),"")</f>
        <v/>
      </c>
      <c r="I881">
        <f>IF($H881="","",IFERROR(INDEX(_DATA_Assessment_Model!$L$5:$L$884,MATCH($E881,_DATA_Assessment_Model!$A$5:$A$884,0)),IF($H881&lt;=1,"Critical",IF($H881=2,"High",IF($H881=3,"Medium",IF($H881=4,"Low","Resilient"))))))</f>
        <v/>
      </c>
      <c r="J881">
        <f>IF($H881="","",MIN(5,MAX(1,6-$H881)))</f>
        <v/>
      </c>
      <c r="K881">
        <f>IF($H881="","",MAX(1,MIN(5,ROUNDUP(($U881*0.45)+($W881*0.35)+($X881*0.2),0))))</f>
        <v/>
      </c>
      <c r="L881">
        <f>IF($H881="","",$J881*$K881)</f>
        <v/>
      </c>
      <c r="M881">
        <f>IF($H881="","",MAX(1,MIN(5,ROUNDUP($L881/5,0))))</f>
        <v/>
      </c>
      <c r="N881">
        <f>IF($H881="","",IFERROR(INDEX('_ENGINE_Risk'!$T$41:$Y$920,MATCH($E881,'_ENGINE_Risk'!$A$41:$A$920,0),$H881+1),""))</f>
        <v/>
      </c>
      <c r="O881">
        <f>IF($H881="","",MAX(1,MIN(5,($U881+$V881+$X881)/3)))</f>
        <v/>
      </c>
      <c r="P881">
        <f>IF($H881="","",IF($I881="Critical",5,IF($I881="High",4,IF($I881="Medium",3,IF($I881="Low",2,1)))))</f>
        <v/>
      </c>
      <c r="Q881">
        <f>IF($H881="","",MAX(1,MIN(5,((5-$H881)*0.65)+($W881*0.35))))</f>
        <v/>
      </c>
      <c r="R881">
        <f>IF($H881="","",MAX(1,MIN(5,($V881+$X881)/2)))</f>
        <v/>
      </c>
      <c r="S881">
        <f>IF(OR($H881="",$N881=""),"",ROUND(($O881+$P881+$Q881+$R881)/$N881,2))</f>
        <v/>
      </c>
      <c r="T881">
        <f>IF($H881="","",IFERROR(INDEX('_ENGINE_Risk'!$N$41:$S$920,MATCH($E881,'_ENGINE_Risk'!$A$41:$A$920,0),$H881+1),""))</f>
        <v/>
      </c>
      <c r="U881">
        <f>IFERROR(INDEX(_DATA_Assessment_Model!$G$5:$G$884,MATCH($E881,_DATA_Assessment_Model!$A$5:$A$884,0)),"")</f>
        <v/>
      </c>
      <c r="V881">
        <f>IFERROR(INDEX(_DATA_Assessment_Model!$W$5:$W$884,MATCH($E881,_DATA_Assessment_Model!$A$5:$A$884,0)),"")</f>
        <v/>
      </c>
      <c r="W881">
        <f>IFERROR(INDEX(_DATA_Assessment_Model!$X$5:$X$884,MATCH($E881,_DATA_Assessment_Model!$A$5:$A$884,0)),"")</f>
        <v/>
      </c>
      <c r="X881">
        <f>IFERROR(INDEX(_DATA_Assessment_Model!$Y$5:$Y$884,MATCH($E881,_DATA_Assessment_Model!$A$5:$A$884,0)),"")</f>
        <v/>
      </c>
      <c r="Y881" t="inlineStr">
        <is>
          <t>Cyberattack; Data breach; Ransomware; Insider threat</t>
        </is>
      </c>
      <c r="Z881" t="inlineStr">
        <is>
          <t>CISO / IT Security</t>
        </is>
      </c>
      <c r="AA881" t="inlineStr">
        <is>
          <t>Policy/SOP; owner/RACI; system report; dashboard; contracts; test records; incident history; interview evidence related to vulnerability and patch management prioritized by risk, exposure and asset criticality.</t>
        </is>
      </c>
      <c r="AB881">
        <f>IFERROR(INDEX(_DATA_Assessment_Model!$U$5:$U$884,MATCH($E881,_DATA_Assessment_Model!$A$5:$A$884,0)),"")</f>
        <v/>
      </c>
      <c r="AF881" t="inlineStr">
        <is>
          <t>How mature is the organization in managing vulnerability and patch management prioritized by risk, exposure and asset criticality, including ownership, evidence, metrics, fallback procedures and crisis stress testing?</t>
        </is>
      </c>
      <c r="AO881">
        <f>IF($B881="Yes",IFERROR(INDEX(_ENGINE_Crisis!$F$501:$F$517,MATCH($C881,_ENGINE_Crisis!$A$501:$A$517,0)),1),"")</f>
        <v/>
      </c>
      <c r="AP881">
        <f>IF(AO881="","",ROUND($L881*AO881,1))</f>
        <v/>
      </c>
      <c r="AQ881">
        <f>IF(OR(AO881="",$S881=""),"",ROUND($S881*(0.7+0.3*AO881),2))</f>
        <v/>
      </c>
      <c r="AR881">
        <f>IFERROR(INDEX(_ENGINE_Crisis!$E$41:$E$700,MATCH('Resilience &amp; Risk Scenario'!$B$60&amp;"|"&amp;$C881,_ENGINE_Crisis!$I$41:$I$700,0)),"")</f>
        <v/>
      </c>
      <c r="AS881">
        <f>IFERROR(INDEX(_ENGINE_Crisis!$G$41:$G$700,MATCH('Resilience &amp; Risk Scenario'!$B$60&amp;"|"&amp;$C881,_ENGINE_Crisis!$I$41:$I$700,0)),"")</f>
        <v/>
      </c>
      <c r="AT881">
        <f>IFERROR(INDEX(_ENGINE_Initiatives!$A$5:$A$532,MATCH(1,INDEX((_ENGINE_Initiatives!$B$5:$B$532=$C881)*(_ENGINE_Initiatives!$C$5:$C$532=$D881),0),0)),"")</f>
        <v/>
      </c>
      <c r="AU881">
        <f>IFERROR(INDEX(_ENGINE_Initiatives!$F$5:$F$532,MATCH(1,INDEX((_ENGINE_Initiatives!$B$5:$B$532=$C881)*(_ENGINE_Initiatives!$C$5:$C$532=$D881),0),0)),"")</f>
        <v/>
      </c>
      <c r="AV881">
        <f>IFERROR(INDEX(_ENGINE_Initiatives!$AC$5:$AC$532,MATCH(1,INDEX((_ENGINE_Initiatives!$B$5:$B$532=$C881)*(_ENGINE_Initiatives!$C$5:$C$532=$D881),0),0)),"")</f>
        <v/>
      </c>
      <c r="AW881">
        <f>IFERROR(INDEX(_ENGINE_Initiatives!$AE$5:$AE$532,MATCH(1,INDEX((_ENGINE_Initiatives!$B$5:$B$532=$C881)*(_ENGINE_Initiatives!$C$5:$C$532=$D881),0),0)),"")</f>
        <v/>
      </c>
      <c r="AX881">
        <f>IF($B881="Yes",IFERROR(IF(SUMIFS(_REF_Model_Content!$E$1:$E$613,_REF_Model_Content!$A$1:$A$613,'Company Profile'!$B$9,_REF_Model_Content!$B$1:$B$613,$C881)=0,1,SUMIFS(_REF_Model_Content!$E$1:$E$613,_REF_Model_Content!$A$1:$A$613,'Company Profile'!$B$9,_REF_Model_Content!$B$1:$B$613,$C881)),1),"")</f>
        <v/>
      </c>
      <c r="AY881">
        <f>IF($L881="","",ROUND(IF($AP881="",$L881,$AP881)*IF($AX881="",1,$AX881),2))</f>
        <v/>
      </c>
      <c r="AZ881">
        <f>IF($S881="","",ROUND(IF($AQ881="",$S881,$AQ881)*IF($AX881="",1,$AX881),2))</f>
        <v/>
      </c>
      <c r="BB881">
        <f>IF($H881="","",IFERROR(INDEX('_ENGINE_Risk'!$AE$41:$AE$920,MATCH($E881,'_ENGINE_Risk'!$A$41:$A$920,0)),"Medium"))</f>
        <v/>
      </c>
      <c r="BC881">
        <f>IF($BB881="","",IF($BB881="Fast",1.25,IF($BB881="Slow",0.85,1)))</f>
        <v/>
      </c>
      <c r="BD881">
        <f>IF(OR($AZ881="",$BC881=""),"",ROUND($AZ881*$BC881,2))</f>
        <v/>
      </c>
      <c r="BF881">
        <f>IF(OR($H881="",$J881=""),"",_xlfn.IFNA(VLOOKUP($J881,_CONFIG_Model_Settings!$D$610:$E$614,2,0),""))</f>
        <v/>
      </c>
      <c r="BG881">
        <f>IF(OR($H881="",$K881=""),"",ROUND('Company Profile'!$B$569*INDEX(_CONFIG_Model_Settings!$H$610:$H$614,MATCH($K881,_CONFIG_Model_Settings!$G$610:$G$614,0)),0))</f>
        <v/>
      </c>
      <c r="BH881">
        <f>IF(OR($BF881="",$BG881=""),"",ROUND($BF881*$BG881,1))</f>
        <v/>
      </c>
      <c r="BI881">
        <f>IF($BH881="","",IF($AO881="",$BH881,ROUND($BH881*$AO881,1)))</f>
        <v/>
      </c>
      <c r="BJ881">
        <f>IF($E881="","",IFERROR(VLOOKUP($C881,'_CONFIG_Risk_Calibration'!$A$5:$H$21,2,FALSE),3))</f>
        <v/>
      </c>
      <c r="BK881">
        <f>IF($E881="","",IFERROR(VLOOKUP($C881,'_CONFIG_Risk_Calibration'!$A$5:$H$21,3,FALSE),0))</f>
        <v/>
      </c>
      <c r="BL881">
        <f>IF($E881="","",IFERROR(VLOOKUP($C881,'_CONFIG_Risk_Calibration'!$A$5:$H$21,4,FALSE),3))</f>
        <v/>
      </c>
      <c r="BM881">
        <f>IF($E881="","",IFERROR(VLOOKUP($C881,'_CONFIG_Risk_Calibration'!$A$5:$H$21,5,FALSE),3))</f>
        <v/>
      </c>
      <c r="BN881">
        <f>IF($E881="","",IFERROR(VLOOKUP($C881,'_CONFIG_Risk_Calibration'!$A$5:$H$21,6,FALSE),"No"))</f>
        <v/>
      </c>
      <c r="BO881">
        <f>IF($E881="","",IFERROR(VLOOKUP($C881,'_CONFIG_Risk_Calibration'!$A$5:$H$21,7,FALSE),1))</f>
        <v/>
      </c>
      <c r="BP881">
        <f>IF($H881="","",MAX(1,MIN(5,((6-$H881)*0.45)+($BJ881*0.20)+('Resilience &amp; Risk Scenario'!$B$7*0.15)+($BK881*0.10)+($BL881*0.05)+(IF($BB881="Fast",5,IF($BB881="Slow",1,3))*0.05))))</f>
        <v/>
      </c>
      <c r="BQ881">
        <f>IF($H881="","",MAX(IF($BN881="Yes",$BO881,1),MIN(5,($U881*0.20)+($V881*0.15)+($W881*0.25)+($X881*0.15)+($BJ881*0.10)+($BM881*0.15))))</f>
        <v/>
      </c>
      <c r="BR881">
        <f>IF(OR($BP881="",$BQ881=""),"",ROUND($BP881*$BQ881,2))</f>
        <v/>
      </c>
      <c r="BS881">
        <f>IF($BR881="","",ROUND($BR881*IF($AO881="",1,$AO881)*IF($AX881="",1,$AX881)*(1+(($BM881-3)*0.10))*IF($BC881="",1,$BC881),2))</f>
        <v/>
      </c>
    </row>
    <row r="882" ht="69.90000000000001" customHeight="1" s="209">
      <c r="A882">
        <f>IF($BD882="","",SUMPRODUCT(ISNUMBER($BD$500:$BD$923)*($BD$500:$BD$923&gt;$BD882))+COUNTIF($BD$500:$BD882,$BD882))</f>
        <v/>
      </c>
      <c r="B882">
        <f>IF($H882="","",IF($H882&lt;5,"Yes","Maintain"))</f>
        <v/>
      </c>
      <c r="C882" t="inlineStr">
        <is>
          <t>Cyber Privacy</t>
        </is>
      </c>
      <c r="D882" t="inlineStr">
        <is>
          <t>Protection</t>
        </is>
      </c>
      <c r="E882" t="inlineStr">
        <is>
          <t>CYBE-015</t>
        </is>
      </c>
      <c r="F882" t="inlineStr">
        <is>
          <t>Cybersecurity, privacy and access control</t>
        </is>
      </c>
      <c r="G882">
        <f>IF($H882="","",IFERROR(INDEX('_ENGINE_Risk'!$H$41:$M$920,MATCH($E882,'_ENGINE_Risk'!$A$41:$A$920,0),$H882+1),""))</f>
        <v/>
      </c>
      <c r="H882">
        <f>IFERROR(VALUE(INDEX(_DATA_Assessment_Model!$H$5:$H$884,MATCH($E882,_DATA_Assessment_Model!$A$5:$A$884,0))),"")</f>
        <v/>
      </c>
      <c r="I882">
        <f>IF($H882="","",IFERROR(INDEX(_DATA_Assessment_Model!$L$5:$L$884,MATCH($E882,_DATA_Assessment_Model!$A$5:$A$884,0)),IF($H882&lt;=1,"Critical",IF($H882=2,"High",IF($H882=3,"Medium",IF($H882=4,"Low","Resilient"))))))</f>
        <v/>
      </c>
      <c r="J882">
        <f>IF($H882="","",MIN(5,MAX(1,6-$H882)))</f>
        <v/>
      </c>
      <c r="K882">
        <f>IF($H882="","",MAX(1,MIN(5,ROUNDUP(($U882*0.45)+($W882*0.35)+($X882*0.2),0))))</f>
        <v/>
      </c>
      <c r="L882">
        <f>IF($H882="","",$J882*$K882)</f>
        <v/>
      </c>
      <c r="M882">
        <f>IF($H882="","",MAX(1,MIN(5,ROUNDUP($L882/5,0))))</f>
        <v/>
      </c>
      <c r="N882">
        <f>IF($H882="","",IFERROR(INDEX('_ENGINE_Risk'!$T$41:$Y$920,MATCH($E882,'_ENGINE_Risk'!$A$41:$A$920,0),$H882+1),""))</f>
        <v/>
      </c>
      <c r="O882">
        <f>IF($H882="","",MAX(1,MIN(5,($U882+$V882+$X882)/3)))</f>
        <v/>
      </c>
      <c r="P882">
        <f>IF($H882="","",IF($I882="Critical",5,IF($I882="High",4,IF($I882="Medium",3,IF($I882="Low",2,1)))))</f>
        <v/>
      </c>
      <c r="Q882">
        <f>IF($H882="","",MAX(1,MIN(5,((5-$H882)*0.65)+($W882*0.35))))</f>
        <v/>
      </c>
      <c r="R882">
        <f>IF($H882="","",MAX(1,MIN(5,($V882+$X882)/2)))</f>
        <v/>
      </c>
      <c r="S882">
        <f>IF(OR($H882="",$N882=""),"",ROUND(($O882+$P882+$Q882+$R882)/$N882,2))</f>
        <v/>
      </c>
      <c r="T882">
        <f>IF($H882="","",IFERROR(INDEX('_ENGINE_Risk'!$N$41:$S$920,MATCH($E882,'_ENGINE_Risk'!$A$41:$A$920,0),$H882+1),""))</f>
        <v/>
      </c>
      <c r="U882">
        <f>IFERROR(INDEX(_DATA_Assessment_Model!$G$5:$G$884,MATCH($E882,_DATA_Assessment_Model!$A$5:$A$884,0)),"")</f>
        <v/>
      </c>
      <c r="V882">
        <f>IFERROR(INDEX(_DATA_Assessment_Model!$W$5:$W$884,MATCH($E882,_DATA_Assessment_Model!$A$5:$A$884,0)),"")</f>
        <v/>
      </c>
      <c r="W882">
        <f>IFERROR(INDEX(_DATA_Assessment_Model!$X$5:$X$884,MATCH($E882,_DATA_Assessment_Model!$A$5:$A$884,0)),"")</f>
        <v/>
      </c>
      <c r="X882">
        <f>IFERROR(INDEX(_DATA_Assessment_Model!$Y$5:$Y$884,MATCH($E882,_DATA_Assessment_Model!$A$5:$A$884,0)),"")</f>
        <v/>
      </c>
      <c r="Y882" t="inlineStr">
        <is>
          <t>Cyberattack; Data breach; Ransomware; Insider threat</t>
        </is>
      </c>
      <c r="Z882" t="inlineStr">
        <is>
          <t>CISO / IT Security</t>
        </is>
      </c>
      <c r="AA882" t="inlineStr">
        <is>
          <t>Policy/SOP; owner/RACI; system report; dashboard; contracts; test records; incident history; interview evidence related to network segmentation for users, servers, cloud, OT, guest, production and sensitive systems.</t>
        </is>
      </c>
      <c r="AB882">
        <f>IFERROR(INDEX(_DATA_Assessment_Model!$U$5:$U$884,MATCH($E882,_DATA_Assessment_Model!$A$5:$A$884,0)),"")</f>
        <v/>
      </c>
      <c r="AF882" t="inlineStr">
        <is>
          <t>How mature is the organization in managing network segmentation for users, servers, cloud, OT, guest, production and sensitive systems, including ownership, evidence, metrics, fallback procedures and crisis stress testing?</t>
        </is>
      </c>
      <c r="AO882">
        <f>IF($B882="Yes",IFERROR(INDEX(_ENGINE_Crisis!$F$501:$F$517,MATCH($C882,_ENGINE_Crisis!$A$501:$A$517,0)),1),"")</f>
        <v/>
      </c>
      <c r="AP882">
        <f>IF(AO882="","",ROUND($L882*AO882,1))</f>
        <v/>
      </c>
      <c r="AQ882">
        <f>IF(OR(AO882="",$S882=""),"",ROUND($S882*(0.7+0.3*AO882),2))</f>
        <v/>
      </c>
      <c r="AR882">
        <f>IFERROR(INDEX(_ENGINE_Crisis!$E$41:$E$700,MATCH('Resilience &amp; Risk Scenario'!$B$60&amp;"|"&amp;$C882,_ENGINE_Crisis!$I$41:$I$700,0)),"")</f>
        <v/>
      </c>
      <c r="AS882">
        <f>IFERROR(INDEX(_ENGINE_Crisis!$G$41:$G$700,MATCH('Resilience &amp; Risk Scenario'!$B$60&amp;"|"&amp;$C882,_ENGINE_Crisis!$I$41:$I$700,0)),"")</f>
        <v/>
      </c>
      <c r="AT882">
        <f>IFERROR(INDEX(_ENGINE_Initiatives!$A$5:$A$532,MATCH(1,INDEX((_ENGINE_Initiatives!$B$5:$B$532=$C882)*(_ENGINE_Initiatives!$C$5:$C$532=$D882),0),0)),"")</f>
        <v/>
      </c>
      <c r="AU882">
        <f>IFERROR(INDEX(_ENGINE_Initiatives!$F$5:$F$532,MATCH(1,INDEX((_ENGINE_Initiatives!$B$5:$B$532=$C882)*(_ENGINE_Initiatives!$C$5:$C$532=$D882),0),0)),"")</f>
        <v/>
      </c>
      <c r="AV882">
        <f>IFERROR(INDEX(_ENGINE_Initiatives!$AC$5:$AC$532,MATCH(1,INDEX((_ENGINE_Initiatives!$B$5:$B$532=$C882)*(_ENGINE_Initiatives!$C$5:$C$532=$D882),0),0)),"")</f>
        <v/>
      </c>
      <c r="AW882">
        <f>IFERROR(INDEX(_ENGINE_Initiatives!$AE$5:$AE$532,MATCH(1,INDEX((_ENGINE_Initiatives!$B$5:$B$532=$C882)*(_ENGINE_Initiatives!$C$5:$C$532=$D882),0),0)),"")</f>
        <v/>
      </c>
      <c r="AX882">
        <f>IF($B882="Yes",IFERROR(IF(SUMIFS(_REF_Model_Content!$E$1:$E$613,_REF_Model_Content!$A$1:$A$613,'Company Profile'!$B$9,_REF_Model_Content!$B$1:$B$613,$C882)=0,1,SUMIFS(_REF_Model_Content!$E$1:$E$613,_REF_Model_Content!$A$1:$A$613,'Company Profile'!$B$9,_REF_Model_Content!$B$1:$B$613,$C882)),1),"")</f>
        <v/>
      </c>
      <c r="AY882">
        <f>IF($L882="","",ROUND(IF($AP882="",$L882,$AP882)*IF($AX882="",1,$AX882),2))</f>
        <v/>
      </c>
      <c r="AZ882">
        <f>IF($S882="","",ROUND(IF($AQ882="",$S882,$AQ882)*IF($AX882="",1,$AX882),2))</f>
        <v/>
      </c>
      <c r="BB882">
        <f>IF($H882="","",IFERROR(INDEX('_ENGINE_Risk'!$AE$41:$AE$920,MATCH($E882,'_ENGINE_Risk'!$A$41:$A$920,0)),"Medium"))</f>
        <v/>
      </c>
      <c r="BC882">
        <f>IF($BB882="","",IF($BB882="Fast",1.25,IF($BB882="Slow",0.85,1)))</f>
        <v/>
      </c>
      <c r="BD882">
        <f>IF(OR($AZ882="",$BC882=""),"",ROUND($AZ882*$BC882,2))</f>
        <v/>
      </c>
      <c r="BF882">
        <f>IF(OR($H882="",$J882=""),"",_xlfn.IFNA(VLOOKUP($J882,_CONFIG_Model_Settings!$D$610:$E$614,2,0),""))</f>
        <v/>
      </c>
      <c r="BG882">
        <f>IF(OR($H882="",$K882=""),"",ROUND('Company Profile'!$B$569*INDEX(_CONFIG_Model_Settings!$H$610:$H$614,MATCH($K882,_CONFIG_Model_Settings!$G$610:$G$614,0)),0))</f>
        <v/>
      </c>
      <c r="BH882">
        <f>IF(OR($BF882="",$BG882=""),"",ROUND($BF882*$BG882,1))</f>
        <v/>
      </c>
      <c r="BI882">
        <f>IF($BH882="","",IF($AO882="",$BH882,ROUND($BH882*$AO882,1)))</f>
        <v/>
      </c>
      <c r="BJ882">
        <f>IF($E882="","",IFERROR(VLOOKUP($C882,'_CONFIG_Risk_Calibration'!$A$5:$H$21,2,FALSE),3))</f>
        <v/>
      </c>
      <c r="BK882">
        <f>IF($E882="","",IFERROR(VLOOKUP($C882,'_CONFIG_Risk_Calibration'!$A$5:$H$21,3,FALSE),0))</f>
        <v/>
      </c>
      <c r="BL882">
        <f>IF($E882="","",IFERROR(VLOOKUP($C882,'_CONFIG_Risk_Calibration'!$A$5:$H$21,4,FALSE),3))</f>
        <v/>
      </c>
      <c r="BM882">
        <f>IF($E882="","",IFERROR(VLOOKUP($C882,'_CONFIG_Risk_Calibration'!$A$5:$H$21,5,FALSE),3))</f>
        <v/>
      </c>
      <c r="BN882">
        <f>IF($E882="","",IFERROR(VLOOKUP($C882,'_CONFIG_Risk_Calibration'!$A$5:$H$21,6,FALSE),"No"))</f>
        <v/>
      </c>
      <c r="BO882">
        <f>IF($E882="","",IFERROR(VLOOKUP($C882,'_CONFIG_Risk_Calibration'!$A$5:$H$21,7,FALSE),1))</f>
        <v/>
      </c>
      <c r="BP882">
        <f>IF($H882="","",MAX(1,MIN(5,((6-$H882)*0.45)+($BJ882*0.20)+('Resilience &amp; Risk Scenario'!$B$7*0.15)+($BK882*0.10)+($BL882*0.05)+(IF($BB882="Fast",5,IF($BB882="Slow",1,3))*0.05))))</f>
        <v/>
      </c>
      <c r="BQ882">
        <f>IF($H882="","",MAX(IF($BN882="Yes",$BO882,1),MIN(5,($U882*0.20)+($V882*0.15)+($W882*0.25)+($X882*0.15)+($BJ882*0.10)+($BM882*0.15))))</f>
        <v/>
      </c>
      <c r="BR882">
        <f>IF(OR($BP882="",$BQ882=""),"",ROUND($BP882*$BQ882,2))</f>
        <v/>
      </c>
      <c r="BS882">
        <f>IF($BR882="","",ROUND($BR882*IF($AO882="",1,$AO882)*IF($AX882="",1,$AX882)*(1+(($BM882-3)*0.10))*IF($BC882="",1,$BC882),2))</f>
        <v/>
      </c>
    </row>
    <row r="883" ht="69.90000000000001" customHeight="1" s="209">
      <c r="A883">
        <f>IF($BD883="","",SUMPRODUCT(ISNUMBER($BD$500:$BD$923)*($BD$500:$BD$923&gt;$BD883))+COUNTIF($BD$500:$BD883,$BD883))</f>
        <v/>
      </c>
      <c r="B883">
        <f>IF($H883="","",IF($H883&lt;5,"Yes","Maintain"))</f>
        <v/>
      </c>
      <c r="C883" t="inlineStr">
        <is>
          <t>Cyber Privacy</t>
        </is>
      </c>
      <c r="D883" t="inlineStr">
        <is>
          <t>Protection</t>
        </is>
      </c>
      <c r="E883" t="inlineStr">
        <is>
          <t>CYBE-016</t>
        </is>
      </c>
      <c r="F883" t="inlineStr">
        <is>
          <t>Cybersecurity, privacy and access control</t>
        </is>
      </c>
      <c r="G883">
        <f>IF($H883="","",IFERROR(INDEX('_ENGINE_Risk'!$H$41:$M$920,MATCH($E883,'_ENGINE_Risk'!$A$41:$A$920,0),$H883+1),""))</f>
        <v/>
      </c>
      <c r="H883">
        <f>IFERROR(VALUE(INDEX(_DATA_Assessment_Model!$H$5:$H$884,MATCH($E883,_DATA_Assessment_Model!$A$5:$A$884,0))),"")</f>
        <v/>
      </c>
      <c r="I883">
        <f>IF($H883="","",IFERROR(INDEX(_DATA_Assessment_Model!$L$5:$L$884,MATCH($E883,_DATA_Assessment_Model!$A$5:$A$884,0)),IF($H883&lt;=1,"Critical",IF($H883=2,"High",IF($H883=3,"Medium",IF($H883=4,"Low","Resilient"))))))</f>
        <v/>
      </c>
      <c r="J883">
        <f>IF($H883="","",MIN(5,MAX(1,6-$H883)))</f>
        <v/>
      </c>
      <c r="K883">
        <f>IF($H883="","",MAX(1,MIN(5,ROUNDUP(($U883*0.45)+($W883*0.35)+($X883*0.2),0))))</f>
        <v/>
      </c>
      <c r="L883">
        <f>IF($H883="","",$J883*$K883)</f>
        <v/>
      </c>
      <c r="M883">
        <f>IF($H883="","",MAX(1,MIN(5,ROUNDUP($L883/5,0))))</f>
        <v/>
      </c>
      <c r="N883">
        <f>IF($H883="","",IFERROR(INDEX('_ENGINE_Risk'!$T$41:$Y$920,MATCH($E883,'_ENGINE_Risk'!$A$41:$A$920,0),$H883+1),""))</f>
        <v/>
      </c>
      <c r="O883">
        <f>IF($H883="","",MAX(1,MIN(5,($U883+$V883+$X883)/3)))</f>
        <v/>
      </c>
      <c r="P883">
        <f>IF($H883="","",IF($I883="Critical",5,IF($I883="High",4,IF($I883="Medium",3,IF($I883="Low",2,1)))))</f>
        <v/>
      </c>
      <c r="Q883">
        <f>IF($H883="","",MAX(1,MIN(5,((5-$H883)*0.65)+($W883*0.35))))</f>
        <v/>
      </c>
      <c r="R883">
        <f>IF($H883="","",MAX(1,MIN(5,($V883+$X883)/2)))</f>
        <v/>
      </c>
      <c r="S883">
        <f>IF(OR($H883="",$N883=""),"",ROUND(($O883+$P883+$Q883+$R883)/$N883,2))</f>
        <v/>
      </c>
      <c r="T883">
        <f>IF($H883="","",IFERROR(INDEX('_ENGINE_Risk'!$N$41:$S$920,MATCH($E883,'_ENGINE_Risk'!$A$41:$A$920,0),$H883+1),""))</f>
        <v/>
      </c>
      <c r="U883">
        <f>IFERROR(INDEX(_DATA_Assessment_Model!$G$5:$G$884,MATCH($E883,_DATA_Assessment_Model!$A$5:$A$884,0)),"")</f>
        <v/>
      </c>
      <c r="V883">
        <f>IFERROR(INDEX(_DATA_Assessment_Model!$W$5:$W$884,MATCH($E883,_DATA_Assessment_Model!$A$5:$A$884,0)),"")</f>
        <v/>
      </c>
      <c r="W883">
        <f>IFERROR(INDEX(_DATA_Assessment_Model!$X$5:$X$884,MATCH($E883,_DATA_Assessment_Model!$A$5:$A$884,0)),"")</f>
        <v/>
      </c>
      <c r="X883">
        <f>IFERROR(INDEX(_DATA_Assessment_Model!$Y$5:$Y$884,MATCH($E883,_DATA_Assessment_Model!$A$5:$A$884,0)),"")</f>
        <v/>
      </c>
      <c r="Y883" t="inlineStr">
        <is>
          <t>Cyberattack; Data breach; Ransomware; Insider threat</t>
        </is>
      </c>
      <c r="Z883" t="inlineStr">
        <is>
          <t>CISO / IT Security</t>
        </is>
      </c>
      <c r="AA883" t="inlineStr">
        <is>
          <t>Policy/SOP; owner/RACI; system report; dashboard; contracts; test records; incident history; interview evidence related to email protection against phishing, spoofing, malware and business email compromise.</t>
        </is>
      </c>
      <c r="AB883">
        <f>IFERROR(INDEX(_DATA_Assessment_Model!$U$5:$U$884,MATCH($E883,_DATA_Assessment_Model!$A$5:$A$884,0)),"")</f>
        <v/>
      </c>
      <c r="AF883" t="inlineStr">
        <is>
          <t>How mature is the organization in managing email protection against phishing, spoofing, malware and business email compromise, including ownership, evidence, metrics, fallback procedures and crisis stress testing?</t>
        </is>
      </c>
      <c r="AO883">
        <f>IF($B883="Yes",IFERROR(INDEX(_ENGINE_Crisis!$F$501:$F$517,MATCH($C883,_ENGINE_Crisis!$A$501:$A$517,0)),1),"")</f>
        <v/>
      </c>
      <c r="AP883">
        <f>IF(AO883="","",ROUND($L883*AO883,1))</f>
        <v/>
      </c>
      <c r="AQ883">
        <f>IF(OR(AO883="",$S883=""),"",ROUND($S883*(0.7+0.3*AO883),2))</f>
        <v/>
      </c>
      <c r="AR883">
        <f>IFERROR(INDEX(_ENGINE_Crisis!$E$41:$E$700,MATCH('Resilience &amp; Risk Scenario'!$B$60&amp;"|"&amp;$C883,_ENGINE_Crisis!$I$41:$I$700,0)),"")</f>
        <v/>
      </c>
      <c r="AS883">
        <f>IFERROR(INDEX(_ENGINE_Crisis!$G$41:$G$700,MATCH('Resilience &amp; Risk Scenario'!$B$60&amp;"|"&amp;$C883,_ENGINE_Crisis!$I$41:$I$700,0)),"")</f>
        <v/>
      </c>
      <c r="AT883">
        <f>IFERROR(INDEX(_ENGINE_Initiatives!$A$5:$A$532,MATCH(1,INDEX((_ENGINE_Initiatives!$B$5:$B$532=$C883)*(_ENGINE_Initiatives!$C$5:$C$532=$D883),0),0)),"")</f>
        <v/>
      </c>
      <c r="AU883">
        <f>IFERROR(INDEX(_ENGINE_Initiatives!$F$5:$F$532,MATCH(1,INDEX((_ENGINE_Initiatives!$B$5:$B$532=$C883)*(_ENGINE_Initiatives!$C$5:$C$532=$D883),0),0)),"")</f>
        <v/>
      </c>
      <c r="AV883">
        <f>IFERROR(INDEX(_ENGINE_Initiatives!$AC$5:$AC$532,MATCH(1,INDEX((_ENGINE_Initiatives!$B$5:$B$532=$C883)*(_ENGINE_Initiatives!$C$5:$C$532=$D883),0),0)),"")</f>
        <v/>
      </c>
      <c r="AW883">
        <f>IFERROR(INDEX(_ENGINE_Initiatives!$AE$5:$AE$532,MATCH(1,INDEX((_ENGINE_Initiatives!$B$5:$B$532=$C883)*(_ENGINE_Initiatives!$C$5:$C$532=$D883),0),0)),"")</f>
        <v/>
      </c>
      <c r="AX883">
        <f>IF($B883="Yes",IFERROR(IF(SUMIFS(_REF_Model_Content!$E$1:$E$613,_REF_Model_Content!$A$1:$A$613,'Company Profile'!$B$9,_REF_Model_Content!$B$1:$B$613,$C883)=0,1,SUMIFS(_REF_Model_Content!$E$1:$E$613,_REF_Model_Content!$A$1:$A$613,'Company Profile'!$B$9,_REF_Model_Content!$B$1:$B$613,$C883)),1),"")</f>
        <v/>
      </c>
      <c r="AY883">
        <f>IF($L883="","",ROUND(IF($AP883="",$L883,$AP883)*IF($AX883="",1,$AX883),2))</f>
        <v/>
      </c>
      <c r="AZ883">
        <f>IF($S883="","",ROUND(IF($AQ883="",$S883,$AQ883)*IF($AX883="",1,$AX883),2))</f>
        <v/>
      </c>
      <c r="BB883">
        <f>IF($H883="","",IFERROR(INDEX('_ENGINE_Risk'!$AE$41:$AE$920,MATCH($E883,'_ENGINE_Risk'!$A$41:$A$920,0)),"Medium"))</f>
        <v/>
      </c>
      <c r="BC883">
        <f>IF($BB883="","",IF($BB883="Fast",1.25,IF($BB883="Slow",0.85,1)))</f>
        <v/>
      </c>
      <c r="BD883">
        <f>IF(OR($AZ883="",$BC883=""),"",ROUND($AZ883*$BC883,2))</f>
        <v/>
      </c>
      <c r="BF883">
        <f>IF(OR($H883="",$J883=""),"",_xlfn.IFNA(VLOOKUP($J883,_CONFIG_Model_Settings!$D$610:$E$614,2,0),""))</f>
        <v/>
      </c>
      <c r="BG883">
        <f>IF(OR($H883="",$K883=""),"",ROUND('Company Profile'!$B$569*INDEX(_CONFIG_Model_Settings!$H$610:$H$614,MATCH($K883,_CONFIG_Model_Settings!$G$610:$G$614,0)),0))</f>
        <v/>
      </c>
      <c r="BH883">
        <f>IF(OR($BF883="",$BG883=""),"",ROUND($BF883*$BG883,1))</f>
        <v/>
      </c>
      <c r="BI883">
        <f>IF($BH883="","",IF($AO883="",$BH883,ROUND($BH883*$AO883,1)))</f>
        <v/>
      </c>
      <c r="BJ883">
        <f>IF($E883="","",IFERROR(VLOOKUP($C883,'_CONFIG_Risk_Calibration'!$A$5:$H$21,2,FALSE),3))</f>
        <v/>
      </c>
      <c r="BK883">
        <f>IF($E883="","",IFERROR(VLOOKUP($C883,'_CONFIG_Risk_Calibration'!$A$5:$H$21,3,FALSE),0))</f>
        <v/>
      </c>
      <c r="BL883">
        <f>IF($E883="","",IFERROR(VLOOKUP($C883,'_CONFIG_Risk_Calibration'!$A$5:$H$21,4,FALSE),3))</f>
        <v/>
      </c>
      <c r="BM883">
        <f>IF($E883="","",IFERROR(VLOOKUP($C883,'_CONFIG_Risk_Calibration'!$A$5:$H$21,5,FALSE),3))</f>
        <v/>
      </c>
      <c r="BN883">
        <f>IF($E883="","",IFERROR(VLOOKUP($C883,'_CONFIG_Risk_Calibration'!$A$5:$H$21,6,FALSE),"No"))</f>
        <v/>
      </c>
      <c r="BO883">
        <f>IF($E883="","",IFERROR(VLOOKUP($C883,'_CONFIG_Risk_Calibration'!$A$5:$H$21,7,FALSE),1))</f>
        <v/>
      </c>
      <c r="BP883">
        <f>IF($H883="","",MAX(1,MIN(5,((6-$H883)*0.45)+($BJ883*0.20)+('Resilience &amp; Risk Scenario'!$B$7*0.15)+($BK883*0.10)+($BL883*0.05)+(IF($BB883="Fast",5,IF($BB883="Slow",1,3))*0.05))))</f>
        <v/>
      </c>
      <c r="BQ883">
        <f>IF($H883="","",MAX(IF($BN883="Yes",$BO883,1),MIN(5,($U883*0.20)+($V883*0.15)+($W883*0.25)+($X883*0.15)+($BJ883*0.10)+($BM883*0.15))))</f>
        <v/>
      </c>
      <c r="BR883">
        <f>IF(OR($BP883="",$BQ883=""),"",ROUND($BP883*$BQ883,2))</f>
        <v/>
      </c>
      <c r="BS883">
        <f>IF($BR883="","",ROUND($BR883*IF($AO883="",1,$AO883)*IF($AX883="",1,$AX883)*(1+(($BM883-3)*0.10))*IF($BC883="",1,$BC883),2))</f>
        <v/>
      </c>
    </row>
    <row r="884" ht="69.90000000000001" customHeight="1" s="209">
      <c r="A884">
        <f>IF($BD884="","",SUMPRODUCT(ISNUMBER($BD$500:$BD$923)*($BD$500:$BD$923&gt;$BD884))+COUNTIF($BD$500:$BD884,$BD884))</f>
        <v/>
      </c>
      <c r="B884">
        <f>IF($H884="","",IF($H884&lt;5,"Yes","Maintain"))</f>
        <v/>
      </c>
      <c r="C884" t="inlineStr">
        <is>
          <t>Cyber Privacy</t>
        </is>
      </c>
      <c r="D884" t="inlineStr">
        <is>
          <t>Protection</t>
        </is>
      </c>
      <c r="E884" t="inlineStr">
        <is>
          <t>CYBE-017</t>
        </is>
      </c>
      <c r="F884" t="inlineStr">
        <is>
          <t>Cybersecurity, privacy and access control</t>
        </is>
      </c>
      <c r="G884">
        <f>IF($H884="","",IFERROR(INDEX('_ENGINE_Risk'!$H$41:$M$920,MATCH($E884,'_ENGINE_Risk'!$A$41:$A$920,0),$H884+1),""))</f>
        <v/>
      </c>
      <c r="H884">
        <f>IFERROR(VALUE(INDEX(_DATA_Assessment_Model!$H$5:$H$884,MATCH($E884,_DATA_Assessment_Model!$A$5:$A$884,0))),"")</f>
        <v/>
      </c>
      <c r="I884">
        <f>IF($H884="","",IFERROR(INDEX(_DATA_Assessment_Model!$L$5:$L$884,MATCH($E884,_DATA_Assessment_Model!$A$5:$A$884,0)),IF($H884&lt;=1,"Critical",IF($H884=2,"High",IF($H884=3,"Medium",IF($H884=4,"Low","Resilient"))))))</f>
        <v/>
      </c>
      <c r="J884">
        <f>IF($H884="","",MIN(5,MAX(1,6-$H884)))</f>
        <v/>
      </c>
      <c r="K884">
        <f>IF($H884="","",MAX(1,MIN(5,ROUNDUP(($U884*0.45)+($W884*0.35)+($X884*0.2),0))))</f>
        <v/>
      </c>
      <c r="L884">
        <f>IF($H884="","",$J884*$K884)</f>
        <v/>
      </c>
      <c r="M884">
        <f>IF($H884="","",MAX(1,MIN(5,ROUNDUP($L884/5,0))))</f>
        <v/>
      </c>
      <c r="N884">
        <f>IF($H884="","",IFERROR(INDEX('_ENGINE_Risk'!$T$41:$Y$920,MATCH($E884,'_ENGINE_Risk'!$A$41:$A$920,0),$H884+1),""))</f>
        <v/>
      </c>
      <c r="O884">
        <f>IF($H884="","",MAX(1,MIN(5,($U884+$V884+$X884)/3)))</f>
        <v/>
      </c>
      <c r="P884">
        <f>IF($H884="","",IF($I884="Critical",5,IF($I884="High",4,IF($I884="Medium",3,IF($I884="Low",2,1)))))</f>
        <v/>
      </c>
      <c r="Q884">
        <f>IF($H884="","",MAX(1,MIN(5,((5-$H884)*0.65)+($W884*0.35))))</f>
        <v/>
      </c>
      <c r="R884">
        <f>IF($H884="","",MAX(1,MIN(5,($V884+$X884)/2)))</f>
        <v/>
      </c>
      <c r="S884">
        <f>IF(OR($H884="",$N884=""),"",ROUND(($O884+$P884+$Q884+$R884)/$N884,2))</f>
        <v/>
      </c>
      <c r="T884">
        <f>IF($H884="","",IFERROR(INDEX('_ENGINE_Risk'!$N$41:$S$920,MATCH($E884,'_ENGINE_Risk'!$A$41:$A$920,0),$H884+1),""))</f>
        <v/>
      </c>
      <c r="U884">
        <f>IFERROR(INDEX(_DATA_Assessment_Model!$G$5:$G$884,MATCH($E884,_DATA_Assessment_Model!$A$5:$A$884,0)),"")</f>
        <v/>
      </c>
      <c r="V884">
        <f>IFERROR(INDEX(_DATA_Assessment_Model!$W$5:$W$884,MATCH($E884,_DATA_Assessment_Model!$A$5:$A$884,0)),"")</f>
        <v/>
      </c>
      <c r="W884">
        <f>IFERROR(INDEX(_DATA_Assessment_Model!$X$5:$X$884,MATCH($E884,_DATA_Assessment_Model!$A$5:$A$884,0)),"")</f>
        <v/>
      </c>
      <c r="X884">
        <f>IFERROR(INDEX(_DATA_Assessment_Model!$Y$5:$Y$884,MATCH($E884,_DATA_Assessment_Model!$A$5:$A$884,0)),"")</f>
        <v/>
      </c>
      <c r="Y884" t="inlineStr">
        <is>
          <t>Cyberattack; Data breach; Ransomware; Insider threat</t>
        </is>
      </c>
      <c r="Z884" t="inlineStr">
        <is>
          <t>CISO / IT Security</t>
        </is>
      </c>
      <c r="AA884" t="inlineStr">
        <is>
          <t>Policy/SOP; owner/RACI; system report; dashboard; contracts; test records; incident history; interview evidence related to cloud security guardrails for IAM, logging, encryption, public exposure, secrets and network access.</t>
        </is>
      </c>
      <c r="AB884">
        <f>IFERROR(INDEX(_DATA_Assessment_Model!$U$5:$U$884,MATCH($E884,_DATA_Assessment_Model!$A$5:$A$884,0)),"")</f>
        <v/>
      </c>
      <c r="AF884" t="inlineStr">
        <is>
          <t>How mature is the organization in managing cloud security guardrails for IAM, logging, encryption, public exposure, secrets and network access, including ownership, evidence, metrics, fallback procedures and crisis stress testing?</t>
        </is>
      </c>
      <c r="AO884">
        <f>IF($B884="Yes",IFERROR(INDEX(_ENGINE_Crisis!$F$501:$F$517,MATCH($C884,_ENGINE_Crisis!$A$501:$A$517,0)),1),"")</f>
        <v/>
      </c>
      <c r="AP884">
        <f>IF(AO884="","",ROUND($L884*AO884,1))</f>
        <v/>
      </c>
      <c r="AQ884">
        <f>IF(OR(AO884="",$S884=""),"",ROUND($S884*(0.7+0.3*AO884),2))</f>
        <v/>
      </c>
      <c r="AR884">
        <f>IFERROR(INDEX(_ENGINE_Crisis!$E$41:$E$700,MATCH('Resilience &amp; Risk Scenario'!$B$60&amp;"|"&amp;$C884,_ENGINE_Crisis!$I$41:$I$700,0)),"")</f>
        <v/>
      </c>
      <c r="AS884">
        <f>IFERROR(INDEX(_ENGINE_Crisis!$G$41:$G$700,MATCH('Resilience &amp; Risk Scenario'!$B$60&amp;"|"&amp;$C884,_ENGINE_Crisis!$I$41:$I$700,0)),"")</f>
        <v/>
      </c>
      <c r="AT884">
        <f>IFERROR(INDEX(_ENGINE_Initiatives!$A$5:$A$532,MATCH(1,INDEX((_ENGINE_Initiatives!$B$5:$B$532=$C884)*(_ENGINE_Initiatives!$C$5:$C$532=$D884),0),0)),"")</f>
        <v/>
      </c>
      <c r="AU884">
        <f>IFERROR(INDEX(_ENGINE_Initiatives!$F$5:$F$532,MATCH(1,INDEX((_ENGINE_Initiatives!$B$5:$B$532=$C884)*(_ENGINE_Initiatives!$C$5:$C$532=$D884),0),0)),"")</f>
        <v/>
      </c>
      <c r="AV884">
        <f>IFERROR(INDEX(_ENGINE_Initiatives!$AC$5:$AC$532,MATCH(1,INDEX((_ENGINE_Initiatives!$B$5:$B$532=$C884)*(_ENGINE_Initiatives!$C$5:$C$532=$D884),0),0)),"")</f>
        <v/>
      </c>
      <c r="AW884">
        <f>IFERROR(INDEX(_ENGINE_Initiatives!$AE$5:$AE$532,MATCH(1,INDEX((_ENGINE_Initiatives!$B$5:$B$532=$C884)*(_ENGINE_Initiatives!$C$5:$C$532=$D884),0),0)),"")</f>
        <v/>
      </c>
      <c r="AX884">
        <f>IF($B884="Yes",IFERROR(IF(SUMIFS(_REF_Model_Content!$E$1:$E$613,_REF_Model_Content!$A$1:$A$613,'Company Profile'!$B$9,_REF_Model_Content!$B$1:$B$613,$C884)=0,1,SUMIFS(_REF_Model_Content!$E$1:$E$613,_REF_Model_Content!$A$1:$A$613,'Company Profile'!$B$9,_REF_Model_Content!$B$1:$B$613,$C884)),1),"")</f>
        <v/>
      </c>
      <c r="AY884">
        <f>IF($L884="","",ROUND(IF($AP884="",$L884,$AP884)*IF($AX884="",1,$AX884),2))</f>
        <v/>
      </c>
      <c r="AZ884">
        <f>IF($S884="","",ROUND(IF($AQ884="",$S884,$AQ884)*IF($AX884="",1,$AX884),2))</f>
        <v/>
      </c>
      <c r="BB884">
        <f>IF($H884="","",IFERROR(INDEX('_ENGINE_Risk'!$AE$41:$AE$920,MATCH($E884,'_ENGINE_Risk'!$A$41:$A$920,0)),"Medium"))</f>
        <v/>
      </c>
      <c r="BC884">
        <f>IF($BB884="","",IF($BB884="Fast",1.25,IF($BB884="Slow",0.85,1)))</f>
        <v/>
      </c>
      <c r="BD884">
        <f>IF(OR($AZ884="",$BC884=""),"",ROUND($AZ884*$BC884,2))</f>
        <v/>
      </c>
      <c r="BF884">
        <f>IF(OR($H884="",$J884=""),"",_xlfn.IFNA(VLOOKUP($J884,_CONFIG_Model_Settings!$D$610:$E$614,2,0),""))</f>
        <v/>
      </c>
      <c r="BG884">
        <f>IF(OR($H884="",$K884=""),"",ROUND('Company Profile'!$B$569*INDEX(_CONFIG_Model_Settings!$H$610:$H$614,MATCH($K884,_CONFIG_Model_Settings!$G$610:$G$614,0)),0))</f>
        <v/>
      </c>
      <c r="BH884">
        <f>IF(OR($BF884="",$BG884=""),"",ROUND($BF884*$BG884,1))</f>
        <v/>
      </c>
      <c r="BI884">
        <f>IF($BH884="","",IF($AO884="",$BH884,ROUND($BH884*$AO884,1)))</f>
        <v/>
      </c>
      <c r="BJ884">
        <f>IF($E884="","",IFERROR(VLOOKUP($C884,'_CONFIG_Risk_Calibration'!$A$5:$H$21,2,FALSE),3))</f>
        <v/>
      </c>
      <c r="BK884">
        <f>IF($E884="","",IFERROR(VLOOKUP($C884,'_CONFIG_Risk_Calibration'!$A$5:$H$21,3,FALSE),0))</f>
        <v/>
      </c>
      <c r="BL884">
        <f>IF($E884="","",IFERROR(VLOOKUP($C884,'_CONFIG_Risk_Calibration'!$A$5:$H$21,4,FALSE),3))</f>
        <v/>
      </c>
      <c r="BM884">
        <f>IF($E884="","",IFERROR(VLOOKUP($C884,'_CONFIG_Risk_Calibration'!$A$5:$H$21,5,FALSE),3))</f>
        <v/>
      </c>
      <c r="BN884">
        <f>IF($E884="","",IFERROR(VLOOKUP($C884,'_CONFIG_Risk_Calibration'!$A$5:$H$21,6,FALSE),"No"))</f>
        <v/>
      </c>
      <c r="BO884">
        <f>IF($E884="","",IFERROR(VLOOKUP($C884,'_CONFIG_Risk_Calibration'!$A$5:$H$21,7,FALSE),1))</f>
        <v/>
      </c>
      <c r="BP884">
        <f>IF($H884="","",MAX(1,MIN(5,((6-$H884)*0.45)+($BJ884*0.20)+('Resilience &amp; Risk Scenario'!$B$7*0.15)+($BK884*0.10)+($BL884*0.05)+(IF($BB884="Fast",5,IF($BB884="Slow",1,3))*0.05))))</f>
        <v/>
      </c>
      <c r="BQ884">
        <f>IF($H884="","",MAX(IF($BN884="Yes",$BO884,1),MIN(5,($U884*0.20)+($V884*0.15)+($W884*0.25)+($X884*0.15)+($BJ884*0.10)+($BM884*0.15))))</f>
        <v/>
      </c>
      <c r="BR884">
        <f>IF(OR($BP884="",$BQ884=""),"",ROUND($BP884*$BQ884,2))</f>
        <v/>
      </c>
      <c r="BS884">
        <f>IF($BR884="","",ROUND($BR884*IF($AO884="",1,$AO884)*IF($AX884="",1,$AX884)*(1+(($BM884-3)*0.10))*IF($BC884="",1,$BC884),2))</f>
        <v/>
      </c>
    </row>
    <row r="885" ht="69.90000000000001" customHeight="1" s="209">
      <c r="A885">
        <f>IF($BD885="","",SUMPRODUCT(ISNUMBER($BD$500:$BD$923)*($BD$500:$BD$923&gt;$BD885))+COUNTIF($BD$500:$BD885,$BD885))</f>
        <v/>
      </c>
      <c r="B885">
        <f>IF($H885="","",IF($H885&lt;5,"Yes","Maintain"))</f>
        <v/>
      </c>
      <c r="C885" t="inlineStr">
        <is>
          <t>Cyber Privacy</t>
        </is>
      </c>
      <c r="D885" t="inlineStr">
        <is>
          <t>Protection</t>
        </is>
      </c>
      <c r="E885" t="inlineStr">
        <is>
          <t>CYBE-018</t>
        </is>
      </c>
      <c r="F885" t="inlineStr">
        <is>
          <t>Cybersecurity, privacy and access control</t>
        </is>
      </c>
      <c r="G885">
        <f>IF($H885="","",IFERROR(INDEX('_ENGINE_Risk'!$H$41:$M$920,MATCH($E885,'_ENGINE_Risk'!$A$41:$A$920,0),$H885+1),""))</f>
        <v/>
      </c>
      <c r="H885">
        <f>IFERROR(VALUE(INDEX(_DATA_Assessment_Model!$H$5:$H$884,MATCH($E885,_DATA_Assessment_Model!$A$5:$A$884,0))),"")</f>
        <v/>
      </c>
      <c r="I885">
        <f>IF($H885="","",IFERROR(INDEX(_DATA_Assessment_Model!$L$5:$L$884,MATCH($E885,_DATA_Assessment_Model!$A$5:$A$884,0)),IF($H885&lt;=1,"Critical",IF($H885=2,"High",IF($H885=3,"Medium",IF($H885=4,"Low","Resilient"))))))</f>
        <v/>
      </c>
      <c r="J885">
        <f>IF($H885="","",MIN(5,MAX(1,6-$H885)))</f>
        <v/>
      </c>
      <c r="K885">
        <f>IF($H885="","",MAX(1,MIN(5,ROUNDUP(($U885*0.45)+($W885*0.35)+($X885*0.2),0))))</f>
        <v/>
      </c>
      <c r="L885">
        <f>IF($H885="","",$J885*$K885)</f>
        <v/>
      </c>
      <c r="M885">
        <f>IF($H885="","",MAX(1,MIN(5,ROUNDUP($L885/5,0))))</f>
        <v/>
      </c>
      <c r="N885">
        <f>IF($H885="","",IFERROR(INDEX('_ENGINE_Risk'!$T$41:$Y$920,MATCH($E885,'_ENGINE_Risk'!$A$41:$A$920,0),$H885+1),""))</f>
        <v/>
      </c>
      <c r="O885">
        <f>IF($H885="","",MAX(1,MIN(5,($U885+$V885+$X885)/3)))</f>
        <v/>
      </c>
      <c r="P885">
        <f>IF($H885="","",IF($I885="Critical",5,IF($I885="High",4,IF($I885="Medium",3,IF($I885="Low",2,1)))))</f>
        <v/>
      </c>
      <c r="Q885">
        <f>IF($H885="","",MAX(1,MIN(5,((5-$H885)*0.65)+($W885*0.35))))</f>
        <v/>
      </c>
      <c r="R885">
        <f>IF($H885="","",MAX(1,MIN(5,($V885+$X885)/2)))</f>
        <v/>
      </c>
      <c r="S885">
        <f>IF(OR($H885="",$N885=""),"",ROUND(($O885+$P885+$Q885+$R885)/$N885,2))</f>
        <v/>
      </c>
      <c r="T885">
        <f>IF($H885="","",IFERROR(INDEX('_ENGINE_Risk'!$N$41:$S$920,MATCH($E885,'_ENGINE_Risk'!$A$41:$A$920,0),$H885+1),""))</f>
        <v/>
      </c>
      <c r="U885">
        <f>IFERROR(INDEX(_DATA_Assessment_Model!$G$5:$G$884,MATCH($E885,_DATA_Assessment_Model!$A$5:$A$884,0)),"")</f>
        <v/>
      </c>
      <c r="V885">
        <f>IFERROR(INDEX(_DATA_Assessment_Model!$W$5:$W$884,MATCH($E885,_DATA_Assessment_Model!$A$5:$A$884,0)),"")</f>
        <v/>
      </c>
      <c r="W885">
        <f>IFERROR(INDEX(_DATA_Assessment_Model!$X$5:$X$884,MATCH($E885,_DATA_Assessment_Model!$A$5:$A$884,0)),"")</f>
        <v/>
      </c>
      <c r="X885">
        <f>IFERROR(INDEX(_DATA_Assessment_Model!$Y$5:$Y$884,MATCH($E885,_DATA_Assessment_Model!$A$5:$A$884,0)),"")</f>
        <v/>
      </c>
      <c r="Y885" t="inlineStr">
        <is>
          <t>Cyberattack; Data breach; Ransomware; Insider threat</t>
        </is>
      </c>
      <c r="Z885" t="inlineStr">
        <is>
          <t>CISO / IT Security</t>
        </is>
      </c>
      <c r="AA885" t="inlineStr">
        <is>
          <t>Policy/SOP; owner/RACI; system report; dashboard; contracts; test records; incident history; interview evidence related to secrets, API keys, certificates and credentials management and rotation.</t>
        </is>
      </c>
      <c r="AB885">
        <f>IFERROR(INDEX(_DATA_Assessment_Model!$U$5:$U$884,MATCH($E885,_DATA_Assessment_Model!$A$5:$A$884,0)),"")</f>
        <v/>
      </c>
      <c r="AF885" t="inlineStr">
        <is>
          <t>How mature is the organization in managing secrets, API keys, certificates and credentials management and rotation, including ownership, evidence, metrics, fallback procedures and crisis stress testing?</t>
        </is>
      </c>
      <c r="AO885">
        <f>IF($B885="Yes",IFERROR(INDEX(_ENGINE_Crisis!$F$501:$F$517,MATCH($C885,_ENGINE_Crisis!$A$501:$A$517,0)),1),"")</f>
        <v/>
      </c>
      <c r="AP885">
        <f>IF(AO885="","",ROUND($L885*AO885,1))</f>
        <v/>
      </c>
      <c r="AQ885">
        <f>IF(OR(AO885="",$S885=""),"",ROUND($S885*(0.7+0.3*AO885),2))</f>
        <v/>
      </c>
      <c r="AR885">
        <f>IFERROR(INDEX(_ENGINE_Crisis!$E$41:$E$700,MATCH('Resilience &amp; Risk Scenario'!$B$60&amp;"|"&amp;$C885,_ENGINE_Crisis!$I$41:$I$700,0)),"")</f>
        <v/>
      </c>
      <c r="AS885">
        <f>IFERROR(INDEX(_ENGINE_Crisis!$G$41:$G$700,MATCH('Resilience &amp; Risk Scenario'!$B$60&amp;"|"&amp;$C885,_ENGINE_Crisis!$I$41:$I$700,0)),"")</f>
        <v/>
      </c>
      <c r="AT885">
        <f>IFERROR(INDEX(_ENGINE_Initiatives!$A$5:$A$532,MATCH(1,INDEX((_ENGINE_Initiatives!$B$5:$B$532=$C885)*(_ENGINE_Initiatives!$C$5:$C$532=$D885),0),0)),"")</f>
        <v/>
      </c>
      <c r="AU885">
        <f>IFERROR(INDEX(_ENGINE_Initiatives!$F$5:$F$532,MATCH(1,INDEX((_ENGINE_Initiatives!$B$5:$B$532=$C885)*(_ENGINE_Initiatives!$C$5:$C$532=$D885),0),0)),"")</f>
        <v/>
      </c>
      <c r="AV885">
        <f>IFERROR(INDEX(_ENGINE_Initiatives!$AC$5:$AC$532,MATCH(1,INDEX((_ENGINE_Initiatives!$B$5:$B$532=$C885)*(_ENGINE_Initiatives!$C$5:$C$532=$D885),0),0)),"")</f>
        <v/>
      </c>
      <c r="AW885">
        <f>IFERROR(INDEX(_ENGINE_Initiatives!$AE$5:$AE$532,MATCH(1,INDEX((_ENGINE_Initiatives!$B$5:$B$532=$C885)*(_ENGINE_Initiatives!$C$5:$C$532=$D885),0),0)),"")</f>
        <v/>
      </c>
      <c r="AX885">
        <f>IF($B885="Yes",IFERROR(IF(SUMIFS(_REF_Model_Content!$E$1:$E$613,_REF_Model_Content!$A$1:$A$613,'Company Profile'!$B$9,_REF_Model_Content!$B$1:$B$613,$C885)=0,1,SUMIFS(_REF_Model_Content!$E$1:$E$613,_REF_Model_Content!$A$1:$A$613,'Company Profile'!$B$9,_REF_Model_Content!$B$1:$B$613,$C885)),1),"")</f>
        <v/>
      </c>
      <c r="AY885">
        <f>IF($L885="","",ROUND(IF($AP885="",$L885,$AP885)*IF($AX885="",1,$AX885),2))</f>
        <v/>
      </c>
      <c r="AZ885">
        <f>IF($S885="","",ROUND(IF($AQ885="",$S885,$AQ885)*IF($AX885="",1,$AX885),2))</f>
        <v/>
      </c>
      <c r="BB885">
        <f>IF($H885="","",IFERROR(INDEX('_ENGINE_Risk'!$AE$41:$AE$920,MATCH($E885,'_ENGINE_Risk'!$A$41:$A$920,0)),"Medium"))</f>
        <v/>
      </c>
      <c r="BC885">
        <f>IF($BB885="","",IF($BB885="Fast",1.25,IF($BB885="Slow",0.85,1)))</f>
        <v/>
      </c>
      <c r="BD885">
        <f>IF(OR($AZ885="",$BC885=""),"",ROUND($AZ885*$BC885,2))</f>
        <v/>
      </c>
      <c r="BF885">
        <f>IF(OR($H885="",$J885=""),"",_xlfn.IFNA(VLOOKUP($J885,_CONFIG_Model_Settings!$D$610:$E$614,2,0),""))</f>
        <v/>
      </c>
      <c r="BG885">
        <f>IF(OR($H885="",$K885=""),"",ROUND('Company Profile'!$B$569*INDEX(_CONFIG_Model_Settings!$H$610:$H$614,MATCH($K885,_CONFIG_Model_Settings!$G$610:$G$614,0)),0))</f>
        <v/>
      </c>
      <c r="BH885">
        <f>IF(OR($BF885="",$BG885=""),"",ROUND($BF885*$BG885,1))</f>
        <v/>
      </c>
      <c r="BI885">
        <f>IF($BH885="","",IF($AO885="",$BH885,ROUND($BH885*$AO885,1)))</f>
        <v/>
      </c>
      <c r="BJ885">
        <f>IF($E885="","",IFERROR(VLOOKUP($C885,'_CONFIG_Risk_Calibration'!$A$5:$H$21,2,FALSE),3))</f>
        <v/>
      </c>
      <c r="BK885">
        <f>IF($E885="","",IFERROR(VLOOKUP($C885,'_CONFIG_Risk_Calibration'!$A$5:$H$21,3,FALSE),0))</f>
        <v/>
      </c>
      <c r="BL885">
        <f>IF($E885="","",IFERROR(VLOOKUP($C885,'_CONFIG_Risk_Calibration'!$A$5:$H$21,4,FALSE),3))</f>
        <v/>
      </c>
      <c r="BM885">
        <f>IF($E885="","",IFERROR(VLOOKUP($C885,'_CONFIG_Risk_Calibration'!$A$5:$H$21,5,FALSE),3))</f>
        <v/>
      </c>
      <c r="BN885">
        <f>IF($E885="","",IFERROR(VLOOKUP($C885,'_CONFIG_Risk_Calibration'!$A$5:$H$21,6,FALSE),"No"))</f>
        <v/>
      </c>
      <c r="BO885">
        <f>IF($E885="","",IFERROR(VLOOKUP($C885,'_CONFIG_Risk_Calibration'!$A$5:$H$21,7,FALSE),1))</f>
        <v/>
      </c>
      <c r="BP885">
        <f>IF($H885="","",MAX(1,MIN(5,((6-$H885)*0.45)+($BJ885*0.20)+('Resilience &amp; Risk Scenario'!$B$7*0.15)+($BK885*0.10)+($BL885*0.05)+(IF($BB885="Fast",5,IF($BB885="Slow",1,3))*0.05))))</f>
        <v/>
      </c>
      <c r="BQ885">
        <f>IF($H885="","",MAX(IF($BN885="Yes",$BO885,1),MIN(5,($U885*0.20)+($V885*0.15)+($W885*0.25)+($X885*0.15)+($BJ885*0.10)+($BM885*0.15))))</f>
        <v/>
      </c>
      <c r="BR885">
        <f>IF(OR($BP885="",$BQ885=""),"",ROUND($BP885*$BQ885,2))</f>
        <v/>
      </c>
      <c r="BS885">
        <f>IF($BR885="","",ROUND($BR885*IF($AO885="",1,$AO885)*IF($AX885="",1,$AX885)*(1+(($BM885-3)*0.10))*IF($BC885="",1,$BC885),2))</f>
        <v/>
      </c>
    </row>
    <row r="886" ht="69.90000000000001" customHeight="1" s="209">
      <c r="A886">
        <f>IF($BD886="","",SUMPRODUCT(ISNUMBER($BD$500:$BD$923)*($BD$500:$BD$923&gt;$BD886))+COUNTIF($BD$500:$BD886,$BD886))</f>
        <v/>
      </c>
      <c r="B886">
        <f>IF($H886="","",IF($H886&lt;5,"Yes","Maintain"))</f>
        <v/>
      </c>
      <c r="C886" t="inlineStr">
        <is>
          <t>Cyber Privacy</t>
        </is>
      </c>
      <c r="D886" t="inlineStr">
        <is>
          <t>Protection</t>
        </is>
      </c>
      <c r="E886" t="inlineStr">
        <is>
          <t>CYBE-019</t>
        </is>
      </c>
      <c r="F886" t="inlineStr">
        <is>
          <t>Cybersecurity, privacy and access control</t>
        </is>
      </c>
      <c r="G886">
        <f>IF($H886="","",IFERROR(INDEX('_ENGINE_Risk'!$H$41:$M$920,MATCH($E886,'_ENGINE_Risk'!$A$41:$A$920,0),$H886+1),""))</f>
        <v/>
      </c>
      <c r="H886">
        <f>IFERROR(VALUE(INDEX(_DATA_Assessment_Model!$H$5:$H$884,MATCH($E886,_DATA_Assessment_Model!$A$5:$A$884,0))),"")</f>
        <v/>
      </c>
      <c r="I886">
        <f>IF($H886="","",IFERROR(INDEX(_DATA_Assessment_Model!$L$5:$L$884,MATCH($E886,_DATA_Assessment_Model!$A$5:$A$884,0)),IF($H886&lt;=1,"Critical",IF($H886=2,"High",IF($H886=3,"Medium",IF($H886=4,"Low","Resilient"))))))</f>
        <v/>
      </c>
      <c r="J886">
        <f>IF($H886="","",MIN(5,MAX(1,6-$H886)))</f>
        <v/>
      </c>
      <c r="K886">
        <f>IF($H886="","",MAX(1,MIN(5,ROUNDUP(($U886*0.45)+($W886*0.35)+($X886*0.2),0))))</f>
        <v/>
      </c>
      <c r="L886">
        <f>IF($H886="","",$J886*$K886)</f>
        <v/>
      </c>
      <c r="M886">
        <f>IF($H886="","",MAX(1,MIN(5,ROUNDUP($L886/5,0))))</f>
        <v/>
      </c>
      <c r="N886">
        <f>IF($H886="","",IFERROR(INDEX('_ENGINE_Risk'!$T$41:$Y$920,MATCH($E886,'_ENGINE_Risk'!$A$41:$A$920,0),$H886+1),""))</f>
        <v/>
      </c>
      <c r="O886">
        <f>IF($H886="","",MAX(1,MIN(5,($U886+$V886+$X886)/3)))</f>
        <v/>
      </c>
      <c r="P886">
        <f>IF($H886="","",IF($I886="Critical",5,IF($I886="High",4,IF($I886="Medium",3,IF($I886="Low",2,1)))))</f>
        <v/>
      </c>
      <c r="Q886">
        <f>IF($H886="","",MAX(1,MIN(5,((5-$H886)*0.65)+($W886*0.35))))</f>
        <v/>
      </c>
      <c r="R886">
        <f>IF($H886="","",MAX(1,MIN(5,($V886+$X886)/2)))</f>
        <v/>
      </c>
      <c r="S886">
        <f>IF(OR($H886="",$N886=""),"",ROUND(($O886+$P886+$Q886+$R886)/$N886,2))</f>
        <v/>
      </c>
      <c r="T886">
        <f>IF($H886="","",IFERROR(INDEX('_ENGINE_Risk'!$N$41:$S$920,MATCH($E886,'_ENGINE_Risk'!$A$41:$A$920,0),$H886+1),""))</f>
        <v/>
      </c>
      <c r="U886">
        <f>IFERROR(INDEX(_DATA_Assessment_Model!$G$5:$G$884,MATCH($E886,_DATA_Assessment_Model!$A$5:$A$884,0)),"")</f>
        <v/>
      </c>
      <c r="V886">
        <f>IFERROR(INDEX(_DATA_Assessment_Model!$W$5:$W$884,MATCH($E886,_DATA_Assessment_Model!$A$5:$A$884,0)),"")</f>
        <v/>
      </c>
      <c r="W886">
        <f>IFERROR(INDEX(_DATA_Assessment_Model!$X$5:$X$884,MATCH($E886,_DATA_Assessment_Model!$A$5:$A$884,0)),"")</f>
        <v/>
      </c>
      <c r="X886">
        <f>IFERROR(INDEX(_DATA_Assessment_Model!$Y$5:$Y$884,MATCH($E886,_DATA_Assessment_Model!$A$5:$A$884,0)),"")</f>
        <v/>
      </c>
      <c r="Y886" t="inlineStr">
        <is>
          <t>Cyberattack; Data breach; Ransomware; Insider threat</t>
        </is>
      </c>
      <c r="Z886" t="inlineStr">
        <is>
          <t>CISO / IT Security</t>
        </is>
      </c>
      <c r="AA886" t="inlineStr">
        <is>
          <t>Policy/SOP; owner/RACI; system report; dashboard; contracts; test records; incident history; interview evidence related to encryption for sensitive data at rest and in transit.</t>
        </is>
      </c>
      <c r="AB886">
        <f>IFERROR(INDEX(_DATA_Assessment_Model!$U$5:$U$884,MATCH($E886,_DATA_Assessment_Model!$A$5:$A$884,0)),"")</f>
        <v/>
      </c>
      <c r="AF886" t="inlineStr">
        <is>
          <t>How mature is the organization in managing encryption for sensitive data at rest and in transit, including ownership, evidence, metrics, fallback procedures and crisis stress testing?</t>
        </is>
      </c>
      <c r="AO886">
        <f>IF($B886="Yes",IFERROR(INDEX(_ENGINE_Crisis!$F$501:$F$517,MATCH($C886,_ENGINE_Crisis!$A$501:$A$517,0)),1),"")</f>
        <v/>
      </c>
      <c r="AP886">
        <f>IF(AO886="","",ROUND($L886*AO886,1))</f>
        <v/>
      </c>
      <c r="AQ886">
        <f>IF(OR(AO886="",$S886=""),"",ROUND($S886*(0.7+0.3*AO886),2))</f>
        <v/>
      </c>
      <c r="AR886">
        <f>IFERROR(INDEX(_ENGINE_Crisis!$E$41:$E$700,MATCH('Resilience &amp; Risk Scenario'!$B$60&amp;"|"&amp;$C886,_ENGINE_Crisis!$I$41:$I$700,0)),"")</f>
        <v/>
      </c>
      <c r="AS886">
        <f>IFERROR(INDEX(_ENGINE_Crisis!$G$41:$G$700,MATCH('Resilience &amp; Risk Scenario'!$B$60&amp;"|"&amp;$C886,_ENGINE_Crisis!$I$41:$I$700,0)),"")</f>
        <v/>
      </c>
      <c r="AT886">
        <f>IFERROR(INDEX(_ENGINE_Initiatives!$A$5:$A$532,MATCH(1,INDEX((_ENGINE_Initiatives!$B$5:$B$532=$C886)*(_ENGINE_Initiatives!$C$5:$C$532=$D886),0),0)),"")</f>
        <v/>
      </c>
      <c r="AU886">
        <f>IFERROR(INDEX(_ENGINE_Initiatives!$F$5:$F$532,MATCH(1,INDEX((_ENGINE_Initiatives!$B$5:$B$532=$C886)*(_ENGINE_Initiatives!$C$5:$C$532=$D886),0),0)),"")</f>
        <v/>
      </c>
      <c r="AV886">
        <f>IFERROR(INDEX(_ENGINE_Initiatives!$AC$5:$AC$532,MATCH(1,INDEX((_ENGINE_Initiatives!$B$5:$B$532=$C886)*(_ENGINE_Initiatives!$C$5:$C$532=$D886),0),0)),"")</f>
        <v/>
      </c>
      <c r="AW886">
        <f>IFERROR(INDEX(_ENGINE_Initiatives!$AE$5:$AE$532,MATCH(1,INDEX((_ENGINE_Initiatives!$B$5:$B$532=$C886)*(_ENGINE_Initiatives!$C$5:$C$532=$D886),0),0)),"")</f>
        <v/>
      </c>
      <c r="AX886">
        <f>IF($B886="Yes",IFERROR(IF(SUMIFS(_REF_Model_Content!$E$1:$E$613,_REF_Model_Content!$A$1:$A$613,'Company Profile'!$B$9,_REF_Model_Content!$B$1:$B$613,$C886)=0,1,SUMIFS(_REF_Model_Content!$E$1:$E$613,_REF_Model_Content!$A$1:$A$613,'Company Profile'!$B$9,_REF_Model_Content!$B$1:$B$613,$C886)),1),"")</f>
        <v/>
      </c>
      <c r="AY886">
        <f>IF($L886="","",ROUND(IF($AP886="",$L886,$AP886)*IF($AX886="",1,$AX886),2))</f>
        <v/>
      </c>
      <c r="AZ886">
        <f>IF($S886="","",ROUND(IF($AQ886="",$S886,$AQ886)*IF($AX886="",1,$AX886),2))</f>
        <v/>
      </c>
      <c r="BB886">
        <f>IF($H886="","",IFERROR(INDEX('_ENGINE_Risk'!$AE$41:$AE$920,MATCH($E886,'_ENGINE_Risk'!$A$41:$A$920,0)),"Medium"))</f>
        <v/>
      </c>
      <c r="BC886">
        <f>IF($BB886="","",IF($BB886="Fast",1.25,IF($BB886="Slow",0.85,1)))</f>
        <v/>
      </c>
      <c r="BD886">
        <f>IF(OR($AZ886="",$BC886=""),"",ROUND($AZ886*$BC886,2))</f>
        <v/>
      </c>
      <c r="BF886">
        <f>IF(OR($H886="",$J886=""),"",_xlfn.IFNA(VLOOKUP($J886,_CONFIG_Model_Settings!$D$610:$E$614,2,0),""))</f>
        <v/>
      </c>
      <c r="BG886">
        <f>IF(OR($H886="",$K886=""),"",ROUND('Company Profile'!$B$569*INDEX(_CONFIG_Model_Settings!$H$610:$H$614,MATCH($K886,_CONFIG_Model_Settings!$G$610:$G$614,0)),0))</f>
        <v/>
      </c>
      <c r="BH886">
        <f>IF(OR($BF886="",$BG886=""),"",ROUND($BF886*$BG886,1))</f>
        <v/>
      </c>
      <c r="BI886">
        <f>IF($BH886="","",IF($AO886="",$BH886,ROUND($BH886*$AO886,1)))</f>
        <v/>
      </c>
      <c r="BJ886">
        <f>IF($E886="","",IFERROR(VLOOKUP($C886,'_CONFIG_Risk_Calibration'!$A$5:$H$21,2,FALSE),3))</f>
        <v/>
      </c>
      <c r="BK886">
        <f>IF($E886="","",IFERROR(VLOOKUP($C886,'_CONFIG_Risk_Calibration'!$A$5:$H$21,3,FALSE),0))</f>
        <v/>
      </c>
      <c r="BL886">
        <f>IF($E886="","",IFERROR(VLOOKUP($C886,'_CONFIG_Risk_Calibration'!$A$5:$H$21,4,FALSE),3))</f>
        <v/>
      </c>
      <c r="BM886">
        <f>IF($E886="","",IFERROR(VLOOKUP($C886,'_CONFIG_Risk_Calibration'!$A$5:$H$21,5,FALSE),3))</f>
        <v/>
      </c>
      <c r="BN886">
        <f>IF($E886="","",IFERROR(VLOOKUP($C886,'_CONFIG_Risk_Calibration'!$A$5:$H$21,6,FALSE),"No"))</f>
        <v/>
      </c>
      <c r="BO886">
        <f>IF($E886="","",IFERROR(VLOOKUP($C886,'_CONFIG_Risk_Calibration'!$A$5:$H$21,7,FALSE),1))</f>
        <v/>
      </c>
      <c r="BP886">
        <f>IF($H886="","",MAX(1,MIN(5,((6-$H886)*0.45)+($BJ886*0.20)+('Resilience &amp; Risk Scenario'!$B$7*0.15)+($BK886*0.10)+($BL886*0.05)+(IF($BB886="Fast",5,IF($BB886="Slow",1,3))*0.05))))</f>
        <v/>
      </c>
      <c r="BQ886">
        <f>IF($H886="","",MAX(IF($BN886="Yes",$BO886,1),MIN(5,($U886*0.20)+($V886*0.15)+($W886*0.25)+($X886*0.15)+($BJ886*0.10)+($BM886*0.15))))</f>
        <v/>
      </c>
      <c r="BR886">
        <f>IF(OR($BP886="",$BQ886=""),"",ROUND($BP886*$BQ886,2))</f>
        <v/>
      </c>
      <c r="BS886">
        <f>IF($BR886="","",ROUND($BR886*IF($AO886="",1,$AO886)*IF($AX886="",1,$AX886)*(1+(($BM886-3)*0.10))*IF($BC886="",1,$BC886),2))</f>
        <v/>
      </c>
    </row>
    <row r="887" ht="69.90000000000001" customHeight="1" s="209">
      <c r="A887">
        <f>IF($BD887="","",SUMPRODUCT(ISNUMBER($BD$500:$BD$923)*($BD$500:$BD$923&gt;$BD887))+COUNTIF($BD$500:$BD887,$BD887))</f>
        <v/>
      </c>
      <c r="B887">
        <f>IF($H887="","",IF($H887&lt;5,"Yes","Maintain"))</f>
        <v/>
      </c>
      <c r="C887" t="inlineStr">
        <is>
          <t>Cyber Privacy</t>
        </is>
      </c>
      <c r="D887" t="inlineStr">
        <is>
          <t>Protection</t>
        </is>
      </c>
      <c r="E887" t="inlineStr">
        <is>
          <t>CYBE-020</t>
        </is>
      </c>
      <c r="F887" t="inlineStr">
        <is>
          <t>Cybersecurity, privacy and access control</t>
        </is>
      </c>
      <c r="G887">
        <f>IF($H887="","",IFERROR(INDEX('_ENGINE_Risk'!$H$41:$M$920,MATCH($E887,'_ENGINE_Risk'!$A$41:$A$920,0),$H887+1),""))</f>
        <v/>
      </c>
      <c r="H887">
        <f>IFERROR(VALUE(INDEX(_DATA_Assessment_Model!$H$5:$H$884,MATCH($E887,_DATA_Assessment_Model!$A$5:$A$884,0))),"")</f>
        <v/>
      </c>
      <c r="I887">
        <f>IF($H887="","",IFERROR(INDEX(_DATA_Assessment_Model!$L$5:$L$884,MATCH($E887,_DATA_Assessment_Model!$A$5:$A$884,0)),IF($H887&lt;=1,"Critical",IF($H887=2,"High",IF($H887=3,"Medium",IF($H887=4,"Low","Resilient"))))))</f>
        <v/>
      </c>
      <c r="J887">
        <f>IF($H887="","",MIN(5,MAX(1,6-$H887)))</f>
        <v/>
      </c>
      <c r="K887">
        <f>IF($H887="","",MAX(1,MIN(5,ROUNDUP(($U887*0.45)+($W887*0.35)+($X887*0.2),0))))</f>
        <v/>
      </c>
      <c r="L887">
        <f>IF($H887="","",$J887*$K887)</f>
        <v/>
      </c>
      <c r="M887">
        <f>IF($H887="","",MAX(1,MIN(5,ROUNDUP($L887/5,0))))</f>
        <v/>
      </c>
      <c r="N887">
        <f>IF($H887="","",IFERROR(INDEX('_ENGINE_Risk'!$T$41:$Y$920,MATCH($E887,'_ENGINE_Risk'!$A$41:$A$920,0),$H887+1),""))</f>
        <v/>
      </c>
      <c r="O887">
        <f>IF($H887="","",MAX(1,MIN(5,($U887+$V887+$X887)/3)))</f>
        <v/>
      </c>
      <c r="P887">
        <f>IF($H887="","",IF($I887="Critical",5,IF($I887="High",4,IF($I887="Medium",3,IF($I887="Low",2,1)))))</f>
        <v/>
      </c>
      <c r="Q887">
        <f>IF($H887="","",MAX(1,MIN(5,((5-$H887)*0.65)+($W887*0.35))))</f>
        <v/>
      </c>
      <c r="R887">
        <f>IF($H887="","",MAX(1,MIN(5,($V887+$X887)/2)))</f>
        <v/>
      </c>
      <c r="S887">
        <f>IF(OR($H887="",$N887=""),"",ROUND(($O887+$P887+$Q887+$R887)/$N887,2))</f>
        <v/>
      </c>
      <c r="T887">
        <f>IF($H887="","",IFERROR(INDEX('_ENGINE_Risk'!$N$41:$S$920,MATCH($E887,'_ENGINE_Risk'!$A$41:$A$920,0),$H887+1),""))</f>
        <v/>
      </c>
      <c r="U887">
        <f>IFERROR(INDEX(_DATA_Assessment_Model!$G$5:$G$884,MATCH($E887,_DATA_Assessment_Model!$A$5:$A$884,0)),"")</f>
        <v/>
      </c>
      <c r="V887">
        <f>IFERROR(INDEX(_DATA_Assessment_Model!$W$5:$W$884,MATCH($E887,_DATA_Assessment_Model!$A$5:$A$884,0)),"")</f>
        <v/>
      </c>
      <c r="W887">
        <f>IFERROR(INDEX(_DATA_Assessment_Model!$X$5:$X$884,MATCH($E887,_DATA_Assessment_Model!$A$5:$A$884,0)),"")</f>
        <v/>
      </c>
      <c r="X887">
        <f>IFERROR(INDEX(_DATA_Assessment_Model!$Y$5:$Y$884,MATCH($E887,_DATA_Assessment_Model!$A$5:$A$884,0)),"")</f>
        <v/>
      </c>
      <c r="Y887" t="inlineStr">
        <is>
          <t>Cyberattack; Data breach; Ransomware; Insider threat</t>
        </is>
      </c>
      <c r="Z887" t="inlineStr">
        <is>
          <t>CISO / IT Security</t>
        </is>
      </c>
      <c r="AA887" t="inlineStr">
        <is>
          <t>Policy/SOP; owner/RACI; system report; dashboard; contracts; test records; incident history; interview evidence related to DLP controls for sensitive data in email, cloud storage, endpoints and collaboration tools.</t>
        </is>
      </c>
      <c r="AB887">
        <f>IFERROR(INDEX(_DATA_Assessment_Model!$U$5:$U$884,MATCH($E887,_DATA_Assessment_Model!$A$5:$A$884,0)),"")</f>
        <v/>
      </c>
      <c r="AF887" t="inlineStr">
        <is>
          <t>How mature is the organization in managing DLP controls for sensitive data in email, cloud storage, endpoints and collaboration tools, including ownership, evidence, metrics, fallback procedures and crisis stress testing?</t>
        </is>
      </c>
      <c r="AO887">
        <f>IF($B887="Yes",IFERROR(INDEX(_ENGINE_Crisis!$F$501:$F$517,MATCH($C887,_ENGINE_Crisis!$A$501:$A$517,0)),1),"")</f>
        <v/>
      </c>
      <c r="AP887">
        <f>IF(AO887="","",ROUND($L887*AO887,1))</f>
        <v/>
      </c>
      <c r="AQ887">
        <f>IF(OR(AO887="",$S887=""),"",ROUND($S887*(0.7+0.3*AO887),2))</f>
        <v/>
      </c>
      <c r="AR887">
        <f>IFERROR(INDEX(_ENGINE_Crisis!$E$41:$E$700,MATCH('Resilience &amp; Risk Scenario'!$B$60&amp;"|"&amp;$C887,_ENGINE_Crisis!$I$41:$I$700,0)),"")</f>
        <v/>
      </c>
      <c r="AS887">
        <f>IFERROR(INDEX(_ENGINE_Crisis!$G$41:$G$700,MATCH('Resilience &amp; Risk Scenario'!$B$60&amp;"|"&amp;$C887,_ENGINE_Crisis!$I$41:$I$700,0)),"")</f>
        <v/>
      </c>
      <c r="AT887">
        <f>IFERROR(INDEX(_ENGINE_Initiatives!$A$5:$A$532,MATCH(1,INDEX((_ENGINE_Initiatives!$B$5:$B$532=$C887)*(_ENGINE_Initiatives!$C$5:$C$532=$D887),0),0)),"")</f>
        <v/>
      </c>
      <c r="AU887">
        <f>IFERROR(INDEX(_ENGINE_Initiatives!$F$5:$F$532,MATCH(1,INDEX((_ENGINE_Initiatives!$B$5:$B$532=$C887)*(_ENGINE_Initiatives!$C$5:$C$532=$D887),0),0)),"")</f>
        <v/>
      </c>
      <c r="AV887">
        <f>IFERROR(INDEX(_ENGINE_Initiatives!$AC$5:$AC$532,MATCH(1,INDEX((_ENGINE_Initiatives!$B$5:$B$532=$C887)*(_ENGINE_Initiatives!$C$5:$C$532=$D887),0),0)),"")</f>
        <v/>
      </c>
      <c r="AW887">
        <f>IFERROR(INDEX(_ENGINE_Initiatives!$AE$5:$AE$532,MATCH(1,INDEX((_ENGINE_Initiatives!$B$5:$B$532=$C887)*(_ENGINE_Initiatives!$C$5:$C$532=$D887),0),0)),"")</f>
        <v/>
      </c>
      <c r="AX887">
        <f>IF($B887="Yes",IFERROR(IF(SUMIFS(_REF_Model_Content!$E$1:$E$613,_REF_Model_Content!$A$1:$A$613,'Company Profile'!$B$9,_REF_Model_Content!$B$1:$B$613,$C887)=0,1,SUMIFS(_REF_Model_Content!$E$1:$E$613,_REF_Model_Content!$A$1:$A$613,'Company Profile'!$B$9,_REF_Model_Content!$B$1:$B$613,$C887)),1),"")</f>
        <v/>
      </c>
      <c r="AY887">
        <f>IF($L887="","",ROUND(IF($AP887="",$L887,$AP887)*IF($AX887="",1,$AX887),2))</f>
        <v/>
      </c>
      <c r="AZ887">
        <f>IF($S887="","",ROUND(IF($AQ887="",$S887,$AQ887)*IF($AX887="",1,$AX887),2))</f>
        <v/>
      </c>
      <c r="BB887">
        <f>IF($H887="","",IFERROR(INDEX('_ENGINE_Risk'!$AE$41:$AE$920,MATCH($E887,'_ENGINE_Risk'!$A$41:$A$920,0)),"Medium"))</f>
        <v/>
      </c>
      <c r="BC887">
        <f>IF($BB887="","",IF($BB887="Fast",1.25,IF($BB887="Slow",0.85,1)))</f>
        <v/>
      </c>
      <c r="BD887">
        <f>IF(OR($AZ887="",$BC887=""),"",ROUND($AZ887*$BC887,2))</f>
        <v/>
      </c>
      <c r="BF887">
        <f>IF(OR($H887="",$J887=""),"",_xlfn.IFNA(VLOOKUP($J887,_CONFIG_Model_Settings!$D$610:$E$614,2,0),""))</f>
        <v/>
      </c>
      <c r="BG887">
        <f>IF(OR($H887="",$K887=""),"",ROUND('Company Profile'!$B$569*INDEX(_CONFIG_Model_Settings!$H$610:$H$614,MATCH($K887,_CONFIG_Model_Settings!$G$610:$G$614,0)),0))</f>
        <v/>
      </c>
      <c r="BH887">
        <f>IF(OR($BF887="",$BG887=""),"",ROUND($BF887*$BG887,1))</f>
        <v/>
      </c>
      <c r="BI887">
        <f>IF($BH887="","",IF($AO887="",$BH887,ROUND($BH887*$AO887,1)))</f>
        <v/>
      </c>
      <c r="BJ887">
        <f>IF($E887="","",IFERROR(VLOOKUP($C887,'_CONFIG_Risk_Calibration'!$A$5:$H$21,2,FALSE),3))</f>
        <v/>
      </c>
      <c r="BK887">
        <f>IF($E887="","",IFERROR(VLOOKUP($C887,'_CONFIG_Risk_Calibration'!$A$5:$H$21,3,FALSE),0))</f>
        <v/>
      </c>
      <c r="BL887">
        <f>IF($E887="","",IFERROR(VLOOKUP($C887,'_CONFIG_Risk_Calibration'!$A$5:$H$21,4,FALSE),3))</f>
        <v/>
      </c>
      <c r="BM887">
        <f>IF($E887="","",IFERROR(VLOOKUP($C887,'_CONFIG_Risk_Calibration'!$A$5:$H$21,5,FALSE),3))</f>
        <v/>
      </c>
      <c r="BN887">
        <f>IF($E887="","",IFERROR(VLOOKUP($C887,'_CONFIG_Risk_Calibration'!$A$5:$H$21,6,FALSE),"No"))</f>
        <v/>
      </c>
      <c r="BO887">
        <f>IF($E887="","",IFERROR(VLOOKUP($C887,'_CONFIG_Risk_Calibration'!$A$5:$H$21,7,FALSE),1))</f>
        <v/>
      </c>
      <c r="BP887">
        <f>IF($H887="","",MAX(1,MIN(5,((6-$H887)*0.45)+($BJ887*0.20)+('Resilience &amp; Risk Scenario'!$B$7*0.15)+($BK887*0.10)+($BL887*0.05)+(IF($BB887="Fast",5,IF($BB887="Slow",1,3))*0.05))))</f>
        <v/>
      </c>
      <c r="BQ887">
        <f>IF($H887="","",MAX(IF($BN887="Yes",$BO887,1),MIN(5,($U887*0.20)+($V887*0.15)+($W887*0.25)+($X887*0.15)+($BJ887*0.10)+($BM887*0.15))))</f>
        <v/>
      </c>
      <c r="BR887">
        <f>IF(OR($BP887="",$BQ887=""),"",ROUND($BP887*$BQ887,2))</f>
        <v/>
      </c>
      <c r="BS887">
        <f>IF($BR887="","",ROUND($BR887*IF($AO887="",1,$AO887)*IF($AX887="",1,$AX887)*(1+(($BM887-3)*0.10))*IF($BC887="",1,$BC887),2))</f>
        <v/>
      </c>
    </row>
    <row r="888" ht="69.90000000000001" customHeight="1" s="209">
      <c r="A888">
        <f>IF($BD888="","",SUMPRODUCT(ISNUMBER($BD$500:$BD$923)*($BD$500:$BD$923&gt;$BD888))+COUNTIF($BD$500:$BD888,$BD888))</f>
        <v/>
      </c>
      <c r="B888">
        <f>IF($H888="","",IF($H888&lt;5,"Yes","Maintain"))</f>
        <v/>
      </c>
      <c r="C888" t="inlineStr">
        <is>
          <t>Cyber Privacy</t>
        </is>
      </c>
      <c r="D888" t="inlineStr">
        <is>
          <t>Detection and response</t>
        </is>
      </c>
      <c r="E888" t="inlineStr">
        <is>
          <t>CYBE-021</t>
        </is>
      </c>
      <c r="F888" t="inlineStr">
        <is>
          <t>Cybersecurity, privacy and access control</t>
        </is>
      </c>
      <c r="G888">
        <f>IF($H888="","",IFERROR(INDEX('_ENGINE_Risk'!$H$41:$M$920,MATCH($E888,'_ENGINE_Risk'!$A$41:$A$920,0),$H888+1),""))</f>
        <v/>
      </c>
      <c r="H888">
        <f>IFERROR(VALUE(INDEX(_DATA_Assessment_Model!$H$5:$H$884,MATCH($E888,_DATA_Assessment_Model!$A$5:$A$884,0))),"")</f>
        <v/>
      </c>
      <c r="I888">
        <f>IF($H888="","",IFERROR(INDEX(_DATA_Assessment_Model!$L$5:$L$884,MATCH($E888,_DATA_Assessment_Model!$A$5:$A$884,0)),IF($H888&lt;=1,"Critical",IF($H888=2,"High",IF($H888=3,"Medium",IF($H888=4,"Low","Resilient"))))))</f>
        <v/>
      </c>
      <c r="J888">
        <f>IF($H888="","",MIN(5,MAX(1,6-$H888)))</f>
        <v/>
      </c>
      <c r="K888">
        <f>IF($H888="","",MAX(1,MIN(5,ROUNDUP(($U888*0.45)+($W888*0.35)+($X888*0.2),0))))</f>
        <v/>
      </c>
      <c r="L888">
        <f>IF($H888="","",$J888*$K888)</f>
        <v/>
      </c>
      <c r="M888">
        <f>IF($H888="","",MAX(1,MIN(5,ROUNDUP($L888/5,0))))</f>
        <v/>
      </c>
      <c r="N888">
        <f>IF($H888="","",IFERROR(INDEX('_ENGINE_Risk'!$T$41:$Y$920,MATCH($E888,'_ENGINE_Risk'!$A$41:$A$920,0),$H888+1),""))</f>
        <v/>
      </c>
      <c r="O888">
        <f>IF($H888="","",MAX(1,MIN(5,($U888+$V888+$X888)/3)))</f>
        <v/>
      </c>
      <c r="P888">
        <f>IF($H888="","",IF($I888="Critical",5,IF($I888="High",4,IF($I888="Medium",3,IF($I888="Low",2,1)))))</f>
        <v/>
      </c>
      <c r="Q888">
        <f>IF($H888="","",MAX(1,MIN(5,((5-$H888)*0.65)+($W888*0.35))))</f>
        <v/>
      </c>
      <c r="R888">
        <f>IF($H888="","",MAX(1,MIN(5,($V888+$X888)/2)))</f>
        <v/>
      </c>
      <c r="S888">
        <f>IF(OR($H888="",$N888=""),"",ROUND(($O888+$P888+$Q888+$R888)/$N888,2))</f>
        <v/>
      </c>
      <c r="T888">
        <f>IF($H888="","",IFERROR(INDEX('_ENGINE_Risk'!$N$41:$S$920,MATCH($E888,'_ENGINE_Risk'!$A$41:$A$920,0),$H888+1),""))</f>
        <v/>
      </c>
      <c r="U888">
        <f>IFERROR(INDEX(_DATA_Assessment_Model!$G$5:$G$884,MATCH($E888,_DATA_Assessment_Model!$A$5:$A$884,0)),"")</f>
        <v/>
      </c>
      <c r="V888">
        <f>IFERROR(INDEX(_DATA_Assessment_Model!$W$5:$W$884,MATCH($E888,_DATA_Assessment_Model!$A$5:$A$884,0)),"")</f>
        <v/>
      </c>
      <c r="W888">
        <f>IFERROR(INDEX(_DATA_Assessment_Model!$X$5:$X$884,MATCH($E888,_DATA_Assessment_Model!$A$5:$A$884,0)),"")</f>
        <v/>
      </c>
      <c r="X888">
        <f>IFERROR(INDEX(_DATA_Assessment_Model!$Y$5:$Y$884,MATCH($E888,_DATA_Assessment_Model!$A$5:$A$884,0)),"")</f>
        <v/>
      </c>
      <c r="Y888" t="inlineStr">
        <is>
          <t>Cyberattack; Data breach; Ransomware; Insider threat</t>
        </is>
      </c>
      <c r="Z888" t="inlineStr">
        <is>
          <t>CISO / IT Security</t>
        </is>
      </c>
      <c r="AA888" t="inlineStr">
        <is>
          <t>Policy/SOP; owner/RACI; system report; dashboard; contracts; test records; incident history; interview evidence related to log collection and monitoring for identity, endpoints, cloud, network, critical apps and security tools.</t>
        </is>
      </c>
      <c r="AB888">
        <f>IFERROR(INDEX(_DATA_Assessment_Model!$U$5:$U$884,MATCH($E888,_DATA_Assessment_Model!$A$5:$A$884,0)),"")</f>
        <v/>
      </c>
      <c r="AF888" t="inlineStr">
        <is>
          <t>How mature is the organization in managing log collection and monitoring for identity, endpoints, cloud, network, critical apps and security tools, including ownership, evidence, metrics, fallback procedures and crisis stress testing?</t>
        </is>
      </c>
      <c r="AO888">
        <f>IF($B888="Yes",IFERROR(INDEX(_ENGINE_Crisis!$F$501:$F$517,MATCH($C888,_ENGINE_Crisis!$A$501:$A$517,0)),1),"")</f>
        <v/>
      </c>
      <c r="AP888">
        <f>IF(AO888="","",ROUND($L888*AO888,1))</f>
        <v/>
      </c>
      <c r="AQ888">
        <f>IF(OR(AO888="",$S888=""),"",ROUND($S888*(0.7+0.3*AO888),2))</f>
        <v/>
      </c>
      <c r="AR888">
        <f>IFERROR(INDEX(_ENGINE_Crisis!$E$41:$E$700,MATCH('Resilience &amp; Risk Scenario'!$B$60&amp;"|"&amp;$C888,_ENGINE_Crisis!$I$41:$I$700,0)),"")</f>
        <v/>
      </c>
      <c r="AS888">
        <f>IFERROR(INDEX(_ENGINE_Crisis!$G$41:$G$700,MATCH('Resilience &amp; Risk Scenario'!$B$60&amp;"|"&amp;$C888,_ENGINE_Crisis!$I$41:$I$700,0)),"")</f>
        <v/>
      </c>
      <c r="AT888">
        <f>IFERROR(INDEX(_ENGINE_Initiatives!$A$5:$A$532,MATCH(1,INDEX((_ENGINE_Initiatives!$B$5:$B$532=$C888)*(_ENGINE_Initiatives!$C$5:$C$532=$D888),0),0)),"")</f>
        <v/>
      </c>
      <c r="AU888">
        <f>IFERROR(INDEX(_ENGINE_Initiatives!$F$5:$F$532,MATCH(1,INDEX((_ENGINE_Initiatives!$B$5:$B$532=$C888)*(_ENGINE_Initiatives!$C$5:$C$532=$D888),0),0)),"")</f>
        <v/>
      </c>
      <c r="AV888">
        <f>IFERROR(INDEX(_ENGINE_Initiatives!$AC$5:$AC$532,MATCH(1,INDEX((_ENGINE_Initiatives!$B$5:$B$532=$C888)*(_ENGINE_Initiatives!$C$5:$C$532=$D888),0),0)),"")</f>
        <v/>
      </c>
      <c r="AW888">
        <f>IFERROR(INDEX(_ENGINE_Initiatives!$AE$5:$AE$532,MATCH(1,INDEX((_ENGINE_Initiatives!$B$5:$B$532=$C888)*(_ENGINE_Initiatives!$C$5:$C$532=$D888),0),0)),"")</f>
        <v/>
      </c>
      <c r="AX888">
        <f>IF($B888="Yes",IFERROR(IF(SUMIFS(_REF_Model_Content!$E$1:$E$613,_REF_Model_Content!$A$1:$A$613,'Company Profile'!$B$9,_REF_Model_Content!$B$1:$B$613,$C888)=0,1,SUMIFS(_REF_Model_Content!$E$1:$E$613,_REF_Model_Content!$A$1:$A$613,'Company Profile'!$B$9,_REF_Model_Content!$B$1:$B$613,$C888)),1),"")</f>
        <v/>
      </c>
      <c r="AY888">
        <f>IF($L888="","",ROUND(IF($AP888="",$L888,$AP888)*IF($AX888="",1,$AX888),2))</f>
        <v/>
      </c>
      <c r="AZ888">
        <f>IF($S888="","",ROUND(IF($AQ888="",$S888,$AQ888)*IF($AX888="",1,$AX888),2))</f>
        <v/>
      </c>
      <c r="BB888">
        <f>IF($H888="","",IFERROR(INDEX('_ENGINE_Risk'!$AE$41:$AE$920,MATCH($E888,'_ENGINE_Risk'!$A$41:$A$920,0)),"Medium"))</f>
        <v/>
      </c>
      <c r="BC888">
        <f>IF($BB888="","",IF($BB888="Fast",1.25,IF($BB888="Slow",0.85,1)))</f>
        <v/>
      </c>
      <c r="BD888">
        <f>IF(OR($AZ888="",$BC888=""),"",ROUND($AZ888*$BC888,2))</f>
        <v/>
      </c>
      <c r="BF888">
        <f>IF(OR($H888="",$J888=""),"",_xlfn.IFNA(VLOOKUP($J888,_CONFIG_Model_Settings!$D$610:$E$614,2,0),""))</f>
        <v/>
      </c>
      <c r="BG888">
        <f>IF(OR($H888="",$K888=""),"",ROUND('Company Profile'!$B$569*INDEX(_CONFIG_Model_Settings!$H$610:$H$614,MATCH($K888,_CONFIG_Model_Settings!$G$610:$G$614,0)),0))</f>
        <v/>
      </c>
      <c r="BH888">
        <f>IF(OR($BF888="",$BG888=""),"",ROUND($BF888*$BG888,1))</f>
        <v/>
      </c>
      <c r="BI888">
        <f>IF($BH888="","",IF($AO888="",$BH888,ROUND($BH888*$AO888,1)))</f>
        <v/>
      </c>
      <c r="BJ888">
        <f>IF($E888="","",IFERROR(VLOOKUP($C888,'_CONFIG_Risk_Calibration'!$A$5:$H$21,2,FALSE),3))</f>
        <v/>
      </c>
      <c r="BK888">
        <f>IF($E888="","",IFERROR(VLOOKUP($C888,'_CONFIG_Risk_Calibration'!$A$5:$H$21,3,FALSE),0))</f>
        <v/>
      </c>
      <c r="BL888">
        <f>IF($E888="","",IFERROR(VLOOKUP($C888,'_CONFIG_Risk_Calibration'!$A$5:$H$21,4,FALSE),3))</f>
        <v/>
      </c>
      <c r="BM888">
        <f>IF($E888="","",IFERROR(VLOOKUP($C888,'_CONFIG_Risk_Calibration'!$A$5:$H$21,5,FALSE),3))</f>
        <v/>
      </c>
      <c r="BN888">
        <f>IF($E888="","",IFERROR(VLOOKUP($C888,'_CONFIG_Risk_Calibration'!$A$5:$H$21,6,FALSE),"No"))</f>
        <v/>
      </c>
      <c r="BO888">
        <f>IF($E888="","",IFERROR(VLOOKUP($C888,'_CONFIG_Risk_Calibration'!$A$5:$H$21,7,FALSE),1))</f>
        <v/>
      </c>
      <c r="BP888">
        <f>IF($H888="","",MAX(1,MIN(5,((6-$H888)*0.45)+($BJ888*0.20)+('Resilience &amp; Risk Scenario'!$B$7*0.15)+($BK888*0.10)+($BL888*0.05)+(IF($BB888="Fast",5,IF($BB888="Slow",1,3))*0.05))))</f>
        <v/>
      </c>
      <c r="BQ888">
        <f>IF($H888="","",MAX(IF($BN888="Yes",$BO888,1),MIN(5,($U888*0.20)+($V888*0.15)+($W888*0.25)+($X888*0.15)+($BJ888*0.10)+($BM888*0.15))))</f>
        <v/>
      </c>
      <c r="BR888">
        <f>IF(OR($BP888="",$BQ888=""),"",ROUND($BP888*$BQ888,2))</f>
        <v/>
      </c>
      <c r="BS888">
        <f>IF($BR888="","",ROUND($BR888*IF($AO888="",1,$AO888)*IF($AX888="",1,$AX888)*(1+(($BM888-3)*0.10))*IF($BC888="",1,$BC888),2))</f>
        <v/>
      </c>
    </row>
    <row r="889" ht="69.90000000000001" customHeight="1" s="209">
      <c r="A889">
        <f>IF($BD889="","",SUMPRODUCT(ISNUMBER($BD$500:$BD$923)*($BD$500:$BD$923&gt;$BD889))+COUNTIF($BD$500:$BD889,$BD889))</f>
        <v/>
      </c>
      <c r="B889">
        <f>IF($H889="","",IF($H889&lt;5,"Yes","Maintain"))</f>
        <v/>
      </c>
      <c r="C889" t="inlineStr">
        <is>
          <t>Cyber Privacy</t>
        </is>
      </c>
      <c r="D889" t="inlineStr">
        <is>
          <t>Detection and response</t>
        </is>
      </c>
      <c r="E889" t="inlineStr">
        <is>
          <t>CYBE-022</t>
        </is>
      </c>
      <c r="F889" t="inlineStr">
        <is>
          <t>Cybersecurity, privacy and access control</t>
        </is>
      </c>
      <c r="G889">
        <f>IF($H889="","",IFERROR(INDEX('_ENGINE_Risk'!$H$41:$M$920,MATCH($E889,'_ENGINE_Risk'!$A$41:$A$920,0),$H889+1),""))</f>
        <v/>
      </c>
      <c r="H889">
        <f>IFERROR(VALUE(INDEX(_DATA_Assessment_Model!$H$5:$H$884,MATCH($E889,_DATA_Assessment_Model!$A$5:$A$884,0))),"")</f>
        <v/>
      </c>
      <c r="I889">
        <f>IF($H889="","",IFERROR(INDEX(_DATA_Assessment_Model!$L$5:$L$884,MATCH($E889,_DATA_Assessment_Model!$A$5:$A$884,0)),IF($H889&lt;=1,"Critical",IF($H889=2,"High",IF($H889=3,"Medium",IF($H889=4,"Low","Resilient"))))))</f>
        <v/>
      </c>
      <c r="J889">
        <f>IF($H889="","",MIN(5,MAX(1,6-$H889)))</f>
        <v/>
      </c>
      <c r="K889">
        <f>IF($H889="","",MAX(1,MIN(5,ROUNDUP(($U889*0.45)+($W889*0.35)+($X889*0.2),0))))</f>
        <v/>
      </c>
      <c r="L889">
        <f>IF($H889="","",$J889*$K889)</f>
        <v/>
      </c>
      <c r="M889">
        <f>IF($H889="","",MAX(1,MIN(5,ROUNDUP($L889/5,0))))</f>
        <v/>
      </c>
      <c r="N889">
        <f>IF($H889="","",IFERROR(INDEX('_ENGINE_Risk'!$T$41:$Y$920,MATCH($E889,'_ENGINE_Risk'!$A$41:$A$920,0),$H889+1),""))</f>
        <v/>
      </c>
      <c r="O889">
        <f>IF($H889="","",MAX(1,MIN(5,($U889+$V889+$X889)/3)))</f>
        <v/>
      </c>
      <c r="P889">
        <f>IF($H889="","",IF($I889="Critical",5,IF($I889="High",4,IF($I889="Medium",3,IF($I889="Low",2,1)))))</f>
        <v/>
      </c>
      <c r="Q889">
        <f>IF($H889="","",MAX(1,MIN(5,((5-$H889)*0.65)+($W889*0.35))))</f>
        <v/>
      </c>
      <c r="R889">
        <f>IF($H889="","",MAX(1,MIN(5,($V889+$X889)/2)))</f>
        <v/>
      </c>
      <c r="S889">
        <f>IF(OR($H889="",$N889=""),"",ROUND(($O889+$P889+$Q889+$R889)/$N889,2))</f>
        <v/>
      </c>
      <c r="T889">
        <f>IF($H889="","",IFERROR(INDEX('_ENGINE_Risk'!$N$41:$S$920,MATCH($E889,'_ENGINE_Risk'!$A$41:$A$920,0),$H889+1),""))</f>
        <v/>
      </c>
      <c r="U889">
        <f>IFERROR(INDEX(_DATA_Assessment_Model!$G$5:$G$884,MATCH($E889,_DATA_Assessment_Model!$A$5:$A$884,0)),"")</f>
        <v/>
      </c>
      <c r="V889">
        <f>IFERROR(INDEX(_DATA_Assessment_Model!$W$5:$W$884,MATCH($E889,_DATA_Assessment_Model!$A$5:$A$884,0)),"")</f>
        <v/>
      </c>
      <c r="W889">
        <f>IFERROR(INDEX(_DATA_Assessment_Model!$X$5:$X$884,MATCH($E889,_DATA_Assessment_Model!$A$5:$A$884,0)),"")</f>
        <v/>
      </c>
      <c r="X889">
        <f>IFERROR(INDEX(_DATA_Assessment_Model!$Y$5:$Y$884,MATCH($E889,_DATA_Assessment_Model!$A$5:$A$884,0)),"")</f>
        <v/>
      </c>
      <c r="Y889" t="inlineStr">
        <is>
          <t>Cyberattack; Data breach; Ransomware; Insider threat</t>
        </is>
      </c>
      <c r="Z889" t="inlineStr">
        <is>
          <t>CISO / IT Security</t>
        </is>
      </c>
      <c r="AA889" t="inlineStr">
        <is>
          <t>Policy/SOP; owner/RACI; system report; dashboard; contracts; test records; incident history; interview evidence related to threat detection coverage mapped to likely threat scenarios.</t>
        </is>
      </c>
      <c r="AB889">
        <f>IFERROR(INDEX(_DATA_Assessment_Model!$U$5:$U$884,MATCH($E889,_DATA_Assessment_Model!$A$5:$A$884,0)),"")</f>
        <v/>
      </c>
      <c r="AF889" t="inlineStr">
        <is>
          <t>How mature is the organization in managing threat detection coverage mapped to likely threat scenarios, including ownership, evidence, metrics, fallback procedures and crisis stress testing?</t>
        </is>
      </c>
      <c r="AO889">
        <f>IF($B889="Yes",IFERROR(INDEX(_ENGINE_Crisis!$F$501:$F$517,MATCH($C889,_ENGINE_Crisis!$A$501:$A$517,0)),1),"")</f>
        <v/>
      </c>
      <c r="AP889">
        <f>IF(AO889="","",ROUND($L889*AO889,1))</f>
        <v/>
      </c>
      <c r="AQ889">
        <f>IF(OR(AO889="",$S889=""),"",ROUND($S889*(0.7+0.3*AO889),2))</f>
        <v/>
      </c>
      <c r="AR889">
        <f>IFERROR(INDEX(_ENGINE_Crisis!$E$41:$E$700,MATCH('Resilience &amp; Risk Scenario'!$B$60&amp;"|"&amp;$C889,_ENGINE_Crisis!$I$41:$I$700,0)),"")</f>
        <v/>
      </c>
      <c r="AS889">
        <f>IFERROR(INDEX(_ENGINE_Crisis!$G$41:$G$700,MATCH('Resilience &amp; Risk Scenario'!$B$60&amp;"|"&amp;$C889,_ENGINE_Crisis!$I$41:$I$700,0)),"")</f>
        <v/>
      </c>
      <c r="AT889">
        <f>IFERROR(INDEX(_ENGINE_Initiatives!$A$5:$A$532,MATCH(1,INDEX((_ENGINE_Initiatives!$B$5:$B$532=$C889)*(_ENGINE_Initiatives!$C$5:$C$532=$D889),0),0)),"")</f>
        <v/>
      </c>
      <c r="AU889">
        <f>IFERROR(INDEX(_ENGINE_Initiatives!$F$5:$F$532,MATCH(1,INDEX((_ENGINE_Initiatives!$B$5:$B$532=$C889)*(_ENGINE_Initiatives!$C$5:$C$532=$D889),0),0)),"")</f>
        <v/>
      </c>
      <c r="AV889">
        <f>IFERROR(INDEX(_ENGINE_Initiatives!$AC$5:$AC$532,MATCH(1,INDEX((_ENGINE_Initiatives!$B$5:$B$532=$C889)*(_ENGINE_Initiatives!$C$5:$C$532=$D889),0),0)),"")</f>
        <v/>
      </c>
      <c r="AW889">
        <f>IFERROR(INDEX(_ENGINE_Initiatives!$AE$5:$AE$532,MATCH(1,INDEX((_ENGINE_Initiatives!$B$5:$B$532=$C889)*(_ENGINE_Initiatives!$C$5:$C$532=$D889),0),0)),"")</f>
        <v/>
      </c>
      <c r="AX889">
        <f>IF($B889="Yes",IFERROR(IF(SUMIFS(_REF_Model_Content!$E$1:$E$613,_REF_Model_Content!$A$1:$A$613,'Company Profile'!$B$9,_REF_Model_Content!$B$1:$B$613,$C889)=0,1,SUMIFS(_REF_Model_Content!$E$1:$E$613,_REF_Model_Content!$A$1:$A$613,'Company Profile'!$B$9,_REF_Model_Content!$B$1:$B$613,$C889)),1),"")</f>
        <v/>
      </c>
      <c r="AY889">
        <f>IF($L889="","",ROUND(IF($AP889="",$L889,$AP889)*IF($AX889="",1,$AX889),2))</f>
        <v/>
      </c>
      <c r="AZ889">
        <f>IF($S889="","",ROUND(IF($AQ889="",$S889,$AQ889)*IF($AX889="",1,$AX889),2))</f>
        <v/>
      </c>
      <c r="BB889">
        <f>IF($H889="","",IFERROR(INDEX('_ENGINE_Risk'!$AE$41:$AE$920,MATCH($E889,'_ENGINE_Risk'!$A$41:$A$920,0)),"Medium"))</f>
        <v/>
      </c>
      <c r="BC889">
        <f>IF($BB889="","",IF($BB889="Fast",1.25,IF($BB889="Slow",0.85,1)))</f>
        <v/>
      </c>
      <c r="BD889">
        <f>IF(OR($AZ889="",$BC889=""),"",ROUND($AZ889*$BC889,2))</f>
        <v/>
      </c>
      <c r="BF889">
        <f>IF(OR($H889="",$J889=""),"",_xlfn.IFNA(VLOOKUP($J889,_CONFIG_Model_Settings!$D$610:$E$614,2,0),""))</f>
        <v/>
      </c>
      <c r="BG889">
        <f>IF(OR($H889="",$K889=""),"",ROUND('Company Profile'!$B$569*INDEX(_CONFIG_Model_Settings!$H$610:$H$614,MATCH($K889,_CONFIG_Model_Settings!$G$610:$G$614,0)),0))</f>
        <v/>
      </c>
      <c r="BH889">
        <f>IF(OR($BF889="",$BG889=""),"",ROUND($BF889*$BG889,1))</f>
        <v/>
      </c>
      <c r="BI889">
        <f>IF($BH889="","",IF($AO889="",$BH889,ROUND($BH889*$AO889,1)))</f>
        <v/>
      </c>
      <c r="BJ889">
        <f>IF($E889="","",IFERROR(VLOOKUP($C889,'_CONFIG_Risk_Calibration'!$A$5:$H$21,2,FALSE),3))</f>
        <v/>
      </c>
      <c r="BK889">
        <f>IF($E889="","",IFERROR(VLOOKUP($C889,'_CONFIG_Risk_Calibration'!$A$5:$H$21,3,FALSE),0))</f>
        <v/>
      </c>
      <c r="BL889">
        <f>IF($E889="","",IFERROR(VLOOKUP($C889,'_CONFIG_Risk_Calibration'!$A$5:$H$21,4,FALSE),3))</f>
        <v/>
      </c>
      <c r="BM889">
        <f>IF($E889="","",IFERROR(VLOOKUP($C889,'_CONFIG_Risk_Calibration'!$A$5:$H$21,5,FALSE),3))</f>
        <v/>
      </c>
      <c r="BN889">
        <f>IF($E889="","",IFERROR(VLOOKUP($C889,'_CONFIG_Risk_Calibration'!$A$5:$H$21,6,FALSE),"No"))</f>
        <v/>
      </c>
      <c r="BO889">
        <f>IF($E889="","",IFERROR(VLOOKUP($C889,'_CONFIG_Risk_Calibration'!$A$5:$H$21,7,FALSE),1))</f>
        <v/>
      </c>
      <c r="BP889">
        <f>IF($H889="","",MAX(1,MIN(5,((6-$H889)*0.45)+($BJ889*0.20)+('Resilience &amp; Risk Scenario'!$B$7*0.15)+($BK889*0.10)+($BL889*0.05)+(IF($BB889="Fast",5,IF($BB889="Slow",1,3))*0.05))))</f>
        <v/>
      </c>
      <c r="BQ889">
        <f>IF($H889="","",MAX(IF($BN889="Yes",$BO889,1),MIN(5,($U889*0.20)+($V889*0.15)+($W889*0.25)+($X889*0.15)+($BJ889*0.10)+($BM889*0.15))))</f>
        <v/>
      </c>
      <c r="BR889">
        <f>IF(OR($BP889="",$BQ889=""),"",ROUND($BP889*$BQ889,2))</f>
        <v/>
      </c>
      <c r="BS889">
        <f>IF($BR889="","",ROUND($BR889*IF($AO889="",1,$AO889)*IF($AX889="",1,$AX889)*(1+(($BM889-3)*0.10))*IF($BC889="",1,$BC889),2))</f>
        <v/>
      </c>
    </row>
    <row r="890" ht="69.90000000000001" customHeight="1" s="209">
      <c r="A890">
        <f>IF($BD890="","",SUMPRODUCT(ISNUMBER($BD$500:$BD$923)*($BD$500:$BD$923&gt;$BD890))+COUNTIF($BD$500:$BD890,$BD890))</f>
        <v/>
      </c>
      <c r="B890">
        <f>IF($H890="","",IF($H890&lt;5,"Yes","Maintain"))</f>
        <v/>
      </c>
      <c r="C890" t="inlineStr">
        <is>
          <t>Cyber Privacy</t>
        </is>
      </c>
      <c r="D890" t="inlineStr">
        <is>
          <t>Detection and response</t>
        </is>
      </c>
      <c r="E890" t="inlineStr">
        <is>
          <t>CYBE-023</t>
        </is>
      </c>
      <c r="F890" t="inlineStr">
        <is>
          <t>Cybersecurity, privacy and access control</t>
        </is>
      </c>
      <c r="G890">
        <f>IF($H890="","",IFERROR(INDEX('_ENGINE_Risk'!$H$41:$M$920,MATCH($E890,'_ENGINE_Risk'!$A$41:$A$920,0),$H890+1),""))</f>
        <v/>
      </c>
      <c r="H890">
        <f>IFERROR(VALUE(INDEX(_DATA_Assessment_Model!$H$5:$H$884,MATCH($E890,_DATA_Assessment_Model!$A$5:$A$884,0))),"")</f>
        <v/>
      </c>
      <c r="I890">
        <f>IF($H890="","",IFERROR(INDEX(_DATA_Assessment_Model!$L$5:$L$884,MATCH($E890,_DATA_Assessment_Model!$A$5:$A$884,0)),IF($H890&lt;=1,"Critical",IF($H890=2,"High",IF($H890=3,"Medium",IF($H890=4,"Low","Resilient"))))))</f>
        <v/>
      </c>
      <c r="J890">
        <f>IF($H890="","",MIN(5,MAX(1,6-$H890)))</f>
        <v/>
      </c>
      <c r="K890">
        <f>IF($H890="","",MAX(1,MIN(5,ROUNDUP(($U890*0.45)+($W890*0.35)+($X890*0.2),0))))</f>
        <v/>
      </c>
      <c r="L890">
        <f>IF($H890="","",$J890*$K890)</f>
        <v/>
      </c>
      <c r="M890">
        <f>IF($H890="","",MAX(1,MIN(5,ROUNDUP($L890/5,0))))</f>
        <v/>
      </c>
      <c r="N890">
        <f>IF($H890="","",IFERROR(INDEX('_ENGINE_Risk'!$T$41:$Y$920,MATCH($E890,'_ENGINE_Risk'!$A$41:$A$920,0),$H890+1),""))</f>
        <v/>
      </c>
      <c r="O890">
        <f>IF($H890="","",MAX(1,MIN(5,($U890+$V890+$X890)/3)))</f>
        <v/>
      </c>
      <c r="P890">
        <f>IF($H890="","",IF($I890="Critical",5,IF($I890="High",4,IF($I890="Medium",3,IF($I890="Low",2,1)))))</f>
        <v/>
      </c>
      <c r="Q890">
        <f>IF($H890="","",MAX(1,MIN(5,((5-$H890)*0.65)+($W890*0.35))))</f>
        <v/>
      </c>
      <c r="R890">
        <f>IF($H890="","",MAX(1,MIN(5,($V890+$X890)/2)))</f>
        <v/>
      </c>
      <c r="S890">
        <f>IF(OR($H890="",$N890=""),"",ROUND(($O890+$P890+$Q890+$R890)/$N890,2))</f>
        <v/>
      </c>
      <c r="T890">
        <f>IF($H890="","",IFERROR(INDEX('_ENGINE_Risk'!$N$41:$S$920,MATCH($E890,'_ENGINE_Risk'!$A$41:$A$920,0),$H890+1),""))</f>
        <v/>
      </c>
      <c r="U890">
        <f>IFERROR(INDEX(_DATA_Assessment_Model!$G$5:$G$884,MATCH($E890,_DATA_Assessment_Model!$A$5:$A$884,0)),"")</f>
        <v/>
      </c>
      <c r="V890">
        <f>IFERROR(INDEX(_DATA_Assessment_Model!$W$5:$W$884,MATCH($E890,_DATA_Assessment_Model!$A$5:$A$884,0)),"")</f>
        <v/>
      </c>
      <c r="W890">
        <f>IFERROR(INDEX(_DATA_Assessment_Model!$X$5:$X$884,MATCH($E890,_DATA_Assessment_Model!$A$5:$A$884,0)),"")</f>
        <v/>
      </c>
      <c r="X890">
        <f>IFERROR(INDEX(_DATA_Assessment_Model!$Y$5:$Y$884,MATCH($E890,_DATA_Assessment_Model!$A$5:$A$884,0)),"")</f>
        <v/>
      </c>
      <c r="Y890" t="inlineStr">
        <is>
          <t>Cyberattack; Data breach; Ransomware; Insider threat</t>
        </is>
      </c>
      <c r="Z890" t="inlineStr">
        <is>
          <t>CISO / IT Security</t>
        </is>
      </c>
      <c r="AA890" t="inlineStr">
        <is>
          <t>Policy/SOP; owner/RACI; system report; dashboard; contracts; test records; incident history; interview evidence related to cyber incident response plan involving IT, legal, communications, executives and insurers.</t>
        </is>
      </c>
      <c r="AB890">
        <f>IFERROR(INDEX(_DATA_Assessment_Model!$U$5:$U$884,MATCH($E890,_DATA_Assessment_Model!$A$5:$A$884,0)),"")</f>
        <v/>
      </c>
      <c r="AF890" t="inlineStr">
        <is>
          <t>How mature is the organization in managing cyber incident response plan involving IT, legal, communications, executives and insurers, including ownership, evidence, metrics, fallback procedures and crisis stress testing?</t>
        </is>
      </c>
      <c r="AO890">
        <f>IF($B890="Yes",IFERROR(INDEX(_ENGINE_Crisis!$F$501:$F$517,MATCH($C890,_ENGINE_Crisis!$A$501:$A$517,0)),1),"")</f>
        <v/>
      </c>
      <c r="AP890">
        <f>IF(AO890="","",ROUND($L890*AO890,1))</f>
        <v/>
      </c>
      <c r="AQ890">
        <f>IF(OR(AO890="",$S890=""),"",ROUND($S890*(0.7+0.3*AO890),2))</f>
        <v/>
      </c>
      <c r="AR890">
        <f>IFERROR(INDEX(_ENGINE_Crisis!$E$41:$E$700,MATCH('Resilience &amp; Risk Scenario'!$B$60&amp;"|"&amp;$C890,_ENGINE_Crisis!$I$41:$I$700,0)),"")</f>
        <v/>
      </c>
      <c r="AS890">
        <f>IFERROR(INDEX(_ENGINE_Crisis!$G$41:$G$700,MATCH('Resilience &amp; Risk Scenario'!$B$60&amp;"|"&amp;$C890,_ENGINE_Crisis!$I$41:$I$700,0)),"")</f>
        <v/>
      </c>
      <c r="AT890">
        <f>IFERROR(INDEX(_ENGINE_Initiatives!$A$5:$A$532,MATCH(1,INDEX((_ENGINE_Initiatives!$B$5:$B$532=$C890)*(_ENGINE_Initiatives!$C$5:$C$532=$D890),0),0)),"")</f>
        <v/>
      </c>
      <c r="AU890">
        <f>IFERROR(INDEX(_ENGINE_Initiatives!$F$5:$F$532,MATCH(1,INDEX((_ENGINE_Initiatives!$B$5:$B$532=$C890)*(_ENGINE_Initiatives!$C$5:$C$532=$D890),0),0)),"")</f>
        <v/>
      </c>
      <c r="AV890">
        <f>IFERROR(INDEX(_ENGINE_Initiatives!$AC$5:$AC$532,MATCH(1,INDEX((_ENGINE_Initiatives!$B$5:$B$532=$C890)*(_ENGINE_Initiatives!$C$5:$C$532=$D890),0),0)),"")</f>
        <v/>
      </c>
      <c r="AW890">
        <f>IFERROR(INDEX(_ENGINE_Initiatives!$AE$5:$AE$532,MATCH(1,INDEX((_ENGINE_Initiatives!$B$5:$B$532=$C890)*(_ENGINE_Initiatives!$C$5:$C$532=$D890),0),0)),"")</f>
        <v/>
      </c>
      <c r="AX890">
        <f>IF($B890="Yes",IFERROR(IF(SUMIFS(_REF_Model_Content!$E$1:$E$613,_REF_Model_Content!$A$1:$A$613,'Company Profile'!$B$9,_REF_Model_Content!$B$1:$B$613,$C890)=0,1,SUMIFS(_REF_Model_Content!$E$1:$E$613,_REF_Model_Content!$A$1:$A$613,'Company Profile'!$B$9,_REF_Model_Content!$B$1:$B$613,$C890)),1),"")</f>
        <v/>
      </c>
      <c r="AY890">
        <f>IF($L890="","",ROUND(IF($AP890="",$L890,$AP890)*IF($AX890="",1,$AX890),2))</f>
        <v/>
      </c>
      <c r="AZ890">
        <f>IF($S890="","",ROUND(IF($AQ890="",$S890,$AQ890)*IF($AX890="",1,$AX890),2))</f>
        <v/>
      </c>
      <c r="BB890">
        <f>IF($H890="","",IFERROR(INDEX('_ENGINE_Risk'!$AE$41:$AE$920,MATCH($E890,'_ENGINE_Risk'!$A$41:$A$920,0)),"Medium"))</f>
        <v/>
      </c>
      <c r="BC890">
        <f>IF($BB890="","",IF($BB890="Fast",1.25,IF($BB890="Slow",0.85,1)))</f>
        <v/>
      </c>
      <c r="BD890">
        <f>IF(OR($AZ890="",$BC890=""),"",ROUND($AZ890*$BC890,2))</f>
        <v/>
      </c>
      <c r="BF890">
        <f>IF(OR($H890="",$J890=""),"",_xlfn.IFNA(VLOOKUP($J890,_CONFIG_Model_Settings!$D$610:$E$614,2,0),""))</f>
        <v/>
      </c>
      <c r="BG890">
        <f>IF(OR($H890="",$K890=""),"",ROUND('Company Profile'!$B$569*INDEX(_CONFIG_Model_Settings!$H$610:$H$614,MATCH($K890,_CONFIG_Model_Settings!$G$610:$G$614,0)),0))</f>
        <v/>
      </c>
      <c r="BH890">
        <f>IF(OR($BF890="",$BG890=""),"",ROUND($BF890*$BG890,1))</f>
        <v/>
      </c>
      <c r="BI890">
        <f>IF($BH890="","",IF($AO890="",$BH890,ROUND($BH890*$AO890,1)))</f>
        <v/>
      </c>
      <c r="BJ890">
        <f>IF($E890="","",IFERROR(VLOOKUP($C890,'_CONFIG_Risk_Calibration'!$A$5:$H$21,2,FALSE),3))</f>
        <v/>
      </c>
      <c r="BK890">
        <f>IF($E890="","",IFERROR(VLOOKUP($C890,'_CONFIG_Risk_Calibration'!$A$5:$H$21,3,FALSE),0))</f>
        <v/>
      </c>
      <c r="BL890">
        <f>IF($E890="","",IFERROR(VLOOKUP($C890,'_CONFIG_Risk_Calibration'!$A$5:$H$21,4,FALSE),3))</f>
        <v/>
      </c>
      <c r="BM890">
        <f>IF($E890="","",IFERROR(VLOOKUP($C890,'_CONFIG_Risk_Calibration'!$A$5:$H$21,5,FALSE),3))</f>
        <v/>
      </c>
      <c r="BN890">
        <f>IF($E890="","",IFERROR(VLOOKUP($C890,'_CONFIG_Risk_Calibration'!$A$5:$H$21,6,FALSE),"No"))</f>
        <v/>
      </c>
      <c r="BO890">
        <f>IF($E890="","",IFERROR(VLOOKUP($C890,'_CONFIG_Risk_Calibration'!$A$5:$H$21,7,FALSE),1))</f>
        <v/>
      </c>
      <c r="BP890">
        <f>IF($H890="","",MAX(1,MIN(5,((6-$H890)*0.45)+($BJ890*0.20)+('Resilience &amp; Risk Scenario'!$B$7*0.15)+($BK890*0.10)+($BL890*0.05)+(IF($BB890="Fast",5,IF($BB890="Slow",1,3))*0.05))))</f>
        <v/>
      </c>
      <c r="BQ890">
        <f>IF($H890="","",MAX(IF($BN890="Yes",$BO890,1),MIN(5,($U890*0.20)+($V890*0.15)+($W890*0.25)+($X890*0.15)+($BJ890*0.10)+($BM890*0.15))))</f>
        <v/>
      </c>
      <c r="BR890">
        <f>IF(OR($BP890="",$BQ890=""),"",ROUND($BP890*$BQ890,2))</f>
        <v/>
      </c>
      <c r="BS890">
        <f>IF($BR890="","",ROUND($BR890*IF($AO890="",1,$AO890)*IF($AX890="",1,$AX890)*(1+(($BM890-3)*0.10))*IF($BC890="",1,$BC890),2))</f>
        <v/>
      </c>
    </row>
    <row r="891" ht="69.90000000000001" customHeight="1" s="209">
      <c r="A891">
        <f>IF($BD891="","",SUMPRODUCT(ISNUMBER($BD$500:$BD$923)*($BD$500:$BD$923&gt;$BD891))+COUNTIF($BD$500:$BD891,$BD891))</f>
        <v/>
      </c>
      <c r="B891">
        <f>IF($H891="","",IF($H891&lt;5,"Yes","Maintain"))</f>
        <v/>
      </c>
      <c r="C891" t="inlineStr">
        <is>
          <t>Cyber Privacy</t>
        </is>
      </c>
      <c r="D891" t="inlineStr">
        <is>
          <t>Detection and response</t>
        </is>
      </c>
      <c r="E891" t="inlineStr">
        <is>
          <t>CYBE-024</t>
        </is>
      </c>
      <c r="F891" t="inlineStr">
        <is>
          <t>Cybersecurity, privacy and access control</t>
        </is>
      </c>
      <c r="G891">
        <f>IF($H891="","",IFERROR(INDEX('_ENGINE_Risk'!$H$41:$M$920,MATCH($E891,'_ENGINE_Risk'!$A$41:$A$920,0),$H891+1),""))</f>
        <v/>
      </c>
      <c r="H891">
        <f>IFERROR(VALUE(INDEX(_DATA_Assessment_Model!$H$5:$H$884,MATCH($E891,_DATA_Assessment_Model!$A$5:$A$884,0))),"")</f>
        <v/>
      </c>
      <c r="I891">
        <f>IF($H891="","",IFERROR(INDEX(_DATA_Assessment_Model!$L$5:$L$884,MATCH($E891,_DATA_Assessment_Model!$A$5:$A$884,0)),IF($H891&lt;=1,"Critical",IF($H891=2,"High",IF($H891=3,"Medium",IF($H891=4,"Low","Resilient"))))))</f>
        <v/>
      </c>
      <c r="J891">
        <f>IF($H891="","",MIN(5,MAX(1,6-$H891)))</f>
        <v/>
      </c>
      <c r="K891">
        <f>IF($H891="","",MAX(1,MIN(5,ROUNDUP(($U891*0.45)+($W891*0.35)+($X891*0.2),0))))</f>
        <v/>
      </c>
      <c r="L891">
        <f>IF($H891="","",$J891*$K891)</f>
        <v/>
      </c>
      <c r="M891">
        <f>IF($H891="","",MAX(1,MIN(5,ROUNDUP($L891/5,0))))</f>
        <v/>
      </c>
      <c r="N891">
        <f>IF($H891="","",IFERROR(INDEX('_ENGINE_Risk'!$T$41:$Y$920,MATCH($E891,'_ENGINE_Risk'!$A$41:$A$920,0),$H891+1),""))</f>
        <v/>
      </c>
      <c r="O891">
        <f>IF($H891="","",MAX(1,MIN(5,($U891+$V891+$X891)/3)))</f>
        <v/>
      </c>
      <c r="P891">
        <f>IF($H891="","",IF($I891="Critical",5,IF($I891="High",4,IF($I891="Medium",3,IF($I891="Low",2,1)))))</f>
        <v/>
      </c>
      <c r="Q891">
        <f>IF($H891="","",MAX(1,MIN(5,((5-$H891)*0.65)+($W891*0.35))))</f>
        <v/>
      </c>
      <c r="R891">
        <f>IF($H891="","",MAX(1,MIN(5,($V891+$X891)/2)))</f>
        <v/>
      </c>
      <c r="S891">
        <f>IF(OR($H891="",$N891=""),"",ROUND(($O891+$P891+$Q891+$R891)/$N891,2))</f>
        <v/>
      </c>
      <c r="T891">
        <f>IF($H891="","",IFERROR(INDEX('_ENGINE_Risk'!$N$41:$S$920,MATCH($E891,'_ENGINE_Risk'!$A$41:$A$920,0),$H891+1),""))</f>
        <v/>
      </c>
      <c r="U891">
        <f>IFERROR(INDEX(_DATA_Assessment_Model!$G$5:$G$884,MATCH($E891,_DATA_Assessment_Model!$A$5:$A$884,0)),"")</f>
        <v/>
      </c>
      <c r="V891">
        <f>IFERROR(INDEX(_DATA_Assessment_Model!$W$5:$W$884,MATCH($E891,_DATA_Assessment_Model!$A$5:$A$884,0)),"")</f>
        <v/>
      </c>
      <c r="W891">
        <f>IFERROR(INDEX(_DATA_Assessment_Model!$X$5:$X$884,MATCH($E891,_DATA_Assessment_Model!$A$5:$A$884,0)),"")</f>
        <v/>
      </c>
      <c r="X891">
        <f>IFERROR(INDEX(_DATA_Assessment_Model!$Y$5:$Y$884,MATCH($E891,_DATA_Assessment_Model!$A$5:$A$884,0)),"")</f>
        <v/>
      </c>
      <c r="Y891" t="inlineStr">
        <is>
          <t>Cyberattack; Data breach; Ransomware; Insider threat</t>
        </is>
      </c>
      <c r="Z891" t="inlineStr">
        <is>
          <t>CISO / IT Security</t>
        </is>
      </c>
      <c r="AA891" t="inlineStr">
        <is>
          <t>Policy/SOP; owner/RACI; system report; dashboard; contracts; test records; incident history; interview evidence related to ransomware playbook covering isolation, recovery, communication, legal and decision-making.</t>
        </is>
      </c>
      <c r="AB891">
        <f>IFERROR(INDEX(_DATA_Assessment_Model!$U$5:$U$884,MATCH($E891,_DATA_Assessment_Model!$A$5:$A$884,0)),"")</f>
        <v/>
      </c>
      <c r="AF891" t="inlineStr">
        <is>
          <t>How mature is the organization in managing ransomware playbook covering isolation, recovery, communication, legal and decision-making, including ownership, evidence, metrics, fallback procedures and crisis stress testing?</t>
        </is>
      </c>
      <c r="AO891">
        <f>IF($B891="Yes",IFERROR(INDEX(_ENGINE_Crisis!$F$501:$F$517,MATCH($C891,_ENGINE_Crisis!$A$501:$A$517,0)),1),"")</f>
        <v/>
      </c>
      <c r="AP891">
        <f>IF(AO891="","",ROUND($L891*AO891,1))</f>
        <v/>
      </c>
      <c r="AQ891">
        <f>IF(OR(AO891="",$S891=""),"",ROUND($S891*(0.7+0.3*AO891),2))</f>
        <v/>
      </c>
      <c r="AR891">
        <f>IFERROR(INDEX(_ENGINE_Crisis!$E$41:$E$700,MATCH('Resilience &amp; Risk Scenario'!$B$60&amp;"|"&amp;$C891,_ENGINE_Crisis!$I$41:$I$700,0)),"")</f>
        <v/>
      </c>
      <c r="AS891">
        <f>IFERROR(INDEX(_ENGINE_Crisis!$G$41:$G$700,MATCH('Resilience &amp; Risk Scenario'!$B$60&amp;"|"&amp;$C891,_ENGINE_Crisis!$I$41:$I$700,0)),"")</f>
        <v/>
      </c>
      <c r="AT891">
        <f>IFERROR(INDEX(_ENGINE_Initiatives!$A$5:$A$532,MATCH(1,INDEX((_ENGINE_Initiatives!$B$5:$B$532=$C891)*(_ENGINE_Initiatives!$C$5:$C$532=$D891),0),0)),"")</f>
        <v/>
      </c>
      <c r="AU891">
        <f>IFERROR(INDEX(_ENGINE_Initiatives!$F$5:$F$532,MATCH(1,INDEX((_ENGINE_Initiatives!$B$5:$B$532=$C891)*(_ENGINE_Initiatives!$C$5:$C$532=$D891),0),0)),"")</f>
        <v/>
      </c>
      <c r="AV891">
        <f>IFERROR(INDEX(_ENGINE_Initiatives!$AC$5:$AC$532,MATCH(1,INDEX((_ENGINE_Initiatives!$B$5:$B$532=$C891)*(_ENGINE_Initiatives!$C$5:$C$532=$D891),0),0)),"")</f>
        <v/>
      </c>
      <c r="AW891">
        <f>IFERROR(INDEX(_ENGINE_Initiatives!$AE$5:$AE$532,MATCH(1,INDEX((_ENGINE_Initiatives!$B$5:$B$532=$C891)*(_ENGINE_Initiatives!$C$5:$C$532=$D891),0),0)),"")</f>
        <v/>
      </c>
      <c r="AX891">
        <f>IF($B891="Yes",IFERROR(IF(SUMIFS(_REF_Model_Content!$E$1:$E$613,_REF_Model_Content!$A$1:$A$613,'Company Profile'!$B$9,_REF_Model_Content!$B$1:$B$613,$C891)=0,1,SUMIFS(_REF_Model_Content!$E$1:$E$613,_REF_Model_Content!$A$1:$A$613,'Company Profile'!$B$9,_REF_Model_Content!$B$1:$B$613,$C891)),1),"")</f>
        <v/>
      </c>
      <c r="AY891">
        <f>IF($L891="","",ROUND(IF($AP891="",$L891,$AP891)*IF($AX891="",1,$AX891),2))</f>
        <v/>
      </c>
      <c r="AZ891">
        <f>IF($S891="","",ROUND(IF($AQ891="",$S891,$AQ891)*IF($AX891="",1,$AX891),2))</f>
        <v/>
      </c>
      <c r="BB891">
        <f>IF($H891="","",IFERROR(INDEX('_ENGINE_Risk'!$AE$41:$AE$920,MATCH($E891,'_ENGINE_Risk'!$A$41:$A$920,0)),"Medium"))</f>
        <v/>
      </c>
      <c r="BC891">
        <f>IF($BB891="","",IF($BB891="Fast",1.25,IF($BB891="Slow",0.85,1)))</f>
        <v/>
      </c>
      <c r="BD891">
        <f>IF(OR($AZ891="",$BC891=""),"",ROUND($AZ891*$BC891,2))</f>
        <v/>
      </c>
      <c r="BF891">
        <f>IF(OR($H891="",$J891=""),"",_xlfn.IFNA(VLOOKUP($J891,_CONFIG_Model_Settings!$D$610:$E$614,2,0),""))</f>
        <v/>
      </c>
      <c r="BG891">
        <f>IF(OR($H891="",$K891=""),"",ROUND('Company Profile'!$B$569*INDEX(_CONFIG_Model_Settings!$H$610:$H$614,MATCH($K891,_CONFIG_Model_Settings!$G$610:$G$614,0)),0))</f>
        <v/>
      </c>
      <c r="BH891">
        <f>IF(OR($BF891="",$BG891=""),"",ROUND($BF891*$BG891,1))</f>
        <v/>
      </c>
      <c r="BI891">
        <f>IF($BH891="","",IF($AO891="",$BH891,ROUND($BH891*$AO891,1)))</f>
        <v/>
      </c>
      <c r="BJ891">
        <f>IF($E891="","",IFERROR(VLOOKUP($C891,'_CONFIG_Risk_Calibration'!$A$5:$H$21,2,FALSE),3))</f>
        <v/>
      </c>
      <c r="BK891">
        <f>IF($E891="","",IFERROR(VLOOKUP($C891,'_CONFIG_Risk_Calibration'!$A$5:$H$21,3,FALSE),0))</f>
        <v/>
      </c>
      <c r="BL891">
        <f>IF($E891="","",IFERROR(VLOOKUP($C891,'_CONFIG_Risk_Calibration'!$A$5:$H$21,4,FALSE),3))</f>
        <v/>
      </c>
      <c r="BM891">
        <f>IF($E891="","",IFERROR(VLOOKUP($C891,'_CONFIG_Risk_Calibration'!$A$5:$H$21,5,FALSE),3))</f>
        <v/>
      </c>
      <c r="BN891">
        <f>IF($E891="","",IFERROR(VLOOKUP($C891,'_CONFIG_Risk_Calibration'!$A$5:$H$21,6,FALSE),"No"))</f>
        <v/>
      </c>
      <c r="BO891">
        <f>IF($E891="","",IFERROR(VLOOKUP($C891,'_CONFIG_Risk_Calibration'!$A$5:$H$21,7,FALSE),1))</f>
        <v/>
      </c>
      <c r="BP891">
        <f>IF($H891="","",MAX(1,MIN(5,((6-$H891)*0.45)+($BJ891*0.20)+('Resilience &amp; Risk Scenario'!$B$7*0.15)+($BK891*0.10)+($BL891*0.05)+(IF($BB891="Fast",5,IF($BB891="Slow",1,3))*0.05))))</f>
        <v/>
      </c>
      <c r="BQ891">
        <f>IF($H891="","",MAX(IF($BN891="Yes",$BO891,1),MIN(5,($U891*0.20)+($V891*0.15)+($W891*0.25)+($X891*0.15)+($BJ891*0.10)+($BM891*0.15))))</f>
        <v/>
      </c>
      <c r="BR891">
        <f>IF(OR($BP891="",$BQ891=""),"",ROUND($BP891*$BQ891,2))</f>
        <v/>
      </c>
      <c r="BS891">
        <f>IF($BR891="","",ROUND($BR891*IF($AO891="",1,$AO891)*IF($AX891="",1,$AX891)*(1+(($BM891-3)*0.10))*IF($BC891="",1,$BC891),2))</f>
        <v/>
      </c>
    </row>
    <row r="892" ht="69.90000000000001" customHeight="1" s="209">
      <c r="A892">
        <f>IF($BD892="","",SUMPRODUCT(ISNUMBER($BD$500:$BD$923)*($BD$500:$BD$923&gt;$BD892))+COUNTIF($BD$500:$BD892,$BD892))</f>
        <v/>
      </c>
      <c r="B892">
        <f>IF($H892="","",IF($H892&lt;5,"Yes","Maintain"))</f>
        <v/>
      </c>
      <c r="C892" t="inlineStr">
        <is>
          <t>Cyber Privacy</t>
        </is>
      </c>
      <c r="D892" t="inlineStr">
        <is>
          <t>Detection and response</t>
        </is>
      </c>
      <c r="E892" t="inlineStr">
        <is>
          <t>CYBE-025</t>
        </is>
      </c>
      <c r="F892" t="inlineStr">
        <is>
          <t>Cybersecurity, privacy and access control</t>
        </is>
      </c>
      <c r="G892">
        <f>IF($H892="","",IFERROR(INDEX('_ENGINE_Risk'!$H$41:$M$920,MATCH($E892,'_ENGINE_Risk'!$A$41:$A$920,0),$H892+1),""))</f>
        <v/>
      </c>
      <c r="H892">
        <f>IFERROR(VALUE(INDEX(_DATA_Assessment_Model!$H$5:$H$884,MATCH($E892,_DATA_Assessment_Model!$A$5:$A$884,0))),"")</f>
        <v/>
      </c>
      <c r="I892">
        <f>IF($H892="","",IFERROR(INDEX(_DATA_Assessment_Model!$L$5:$L$884,MATCH($E892,_DATA_Assessment_Model!$A$5:$A$884,0)),IF($H892&lt;=1,"Critical",IF($H892=2,"High",IF($H892=3,"Medium",IF($H892=4,"Low","Resilient"))))))</f>
        <v/>
      </c>
      <c r="J892">
        <f>IF($H892="","",MIN(5,MAX(1,6-$H892)))</f>
        <v/>
      </c>
      <c r="K892">
        <f>IF($H892="","",MAX(1,MIN(5,ROUNDUP(($U892*0.45)+($W892*0.35)+($X892*0.2),0))))</f>
        <v/>
      </c>
      <c r="L892">
        <f>IF($H892="","",$J892*$K892)</f>
        <v/>
      </c>
      <c r="M892">
        <f>IF($H892="","",MAX(1,MIN(5,ROUNDUP($L892/5,0))))</f>
        <v/>
      </c>
      <c r="N892">
        <f>IF($H892="","",IFERROR(INDEX('_ENGINE_Risk'!$T$41:$Y$920,MATCH($E892,'_ENGINE_Risk'!$A$41:$A$920,0),$H892+1),""))</f>
        <v/>
      </c>
      <c r="O892">
        <f>IF($H892="","",MAX(1,MIN(5,($U892+$V892+$X892)/3)))</f>
        <v/>
      </c>
      <c r="P892">
        <f>IF($H892="","",IF($I892="Critical",5,IF($I892="High",4,IF($I892="Medium",3,IF($I892="Low",2,1)))))</f>
        <v/>
      </c>
      <c r="Q892">
        <f>IF($H892="","",MAX(1,MIN(5,((5-$H892)*0.65)+($W892*0.35))))</f>
        <v/>
      </c>
      <c r="R892">
        <f>IF($H892="","",MAX(1,MIN(5,($V892+$X892)/2)))</f>
        <v/>
      </c>
      <c r="S892">
        <f>IF(OR($H892="",$N892=""),"",ROUND(($O892+$P892+$Q892+$R892)/$N892,2))</f>
        <v/>
      </c>
      <c r="T892">
        <f>IF($H892="","",IFERROR(INDEX('_ENGINE_Risk'!$N$41:$S$920,MATCH($E892,'_ENGINE_Risk'!$A$41:$A$920,0),$H892+1),""))</f>
        <v/>
      </c>
      <c r="U892">
        <f>IFERROR(INDEX(_DATA_Assessment_Model!$G$5:$G$884,MATCH($E892,_DATA_Assessment_Model!$A$5:$A$884,0)),"")</f>
        <v/>
      </c>
      <c r="V892">
        <f>IFERROR(INDEX(_DATA_Assessment_Model!$W$5:$W$884,MATCH($E892,_DATA_Assessment_Model!$A$5:$A$884,0)),"")</f>
        <v/>
      </c>
      <c r="W892">
        <f>IFERROR(INDEX(_DATA_Assessment_Model!$X$5:$X$884,MATCH($E892,_DATA_Assessment_Model!$A$5:$A$884,0)),"")</f>
        <v/>
      </c>
      <c r="X892">
        <f>IFERROR(INDEX(_DATA_Assessment_Model!$Y$5:$Y$884,MATCH($E892,_DATA_Assessment_Model!$A$5:$A$884,0)),"")</f>
        <v/>
      </c>
      <c r="Y892" t="inlineStr">
        <is>
          <t>Cyberattack; Data breach; Ransomware; Insider threat</t>
        </is>
      </c>
      <c r="Z892" t="inlineStr">
        <is>
          <t>CISO / IT Security</t>
        </is>
      </c>
      <c r="AA892" t="inlineStr">
        <is>
          <t>Policy/SOP; owner/RACI; system report; dashboard; contracts; test records; incident history; interview evidence related to cyber incident exercises with business, legal, communication, IT and executives.</t>
        </is>
      </c>
      <c r="AB892">
        <f>IFERROR(INDEX(_DATA_Assessment_Model!$U$5:$U$884,MATCH($E892,_DATA_Assessment_Model!$A$5:$A$884,0)),"")</f>
        <v/>
      </c>
      <c r="AF892" t="inlineStr">
        <is>
          <t>How mature is the organization in managing cyber incident exercises with business, legal, communication, IT and executives, including ownership, evidence, metrics, fallback procedures and crisis stress testing?</t>
        </is>
      </c>
      <c r="AO892">
        <f>IF($B892="Yes",IFERROR(INDEX(_ENGINE_Crisis!$F$501:$F$517,MATCH($C892,_ENGINE_Crisis!$A$501:$A$517,0)),1),"")</f>
        <v/>
      </c>
      <c r="AP892">
        <f>IF(AO892="","",ROUND($L892*AO892,1))</f>
        <v/>
      </c>
      <c r="AQ892">
        <f>IF(OR(AO892="",$S892=""),"",ROUND($S892*(0.7+0.3*AO892),2))</f>
        <v/>
      </c>
      <c r="AR892">
        <f>IFERROR(INDEX(_ENGINE_Crisis!$E$41:$E$700,MATCH('Resilience &amp; Risk Scenario'!$B$60&amp;"|"&amp;$C892,_ENGINE_Crisis!$I$41:$I$700,0)),"")</f>
        <v/>
      </c>
      <c r="AS892">
        <f>IFERROR(INDEX(_ENGINE_Crisis!$G$41:$G$700,MATCH('Resilience &amp; Risk Scenario'!$B$60&amp;"|"&amp;$C892,_ENGINE_Crisis!$I$41:$I$700,0)),"")</f>
        <v/>
      </c>
      <c r="AT892">
        <f>IFERROR(INDEX(_ENGINE_Initiatives!$A$5:$A$532,MATCH(1,INDEX((_ENGINE_Initiatives!$B$5:$B$532=$C892)*(_ENGINE_Initiatives!$C$5:$C$532=$D892),0),0)),"")</f>
        <v/>
      </c>
      <c r="AU892">
        <f>IFERROR(INDEX(_ENGINE_Initiatives!$F$5:$F$532,MATCH(1,INDEX((_ENGINE_Initiatives!$B$5:$B$532=$C892)*(_ENGINE_Initiatives!$C$5:$C$532=$D892),0),0)),"")</f>
        <v/>
      </c>
      <c r="AV892">
        <f>IFERROR(INDEX(_ENGINE_Initiatives!$AC$5:$AC$532,MATCH(1,INDEX((_ENGINE_Initiatives!$B$5:$B$532=$C892)*(_ENGINE_Initiatives!$C$5:$C$532=$D892),0),0)),"")</f>
        <v/>
      </c>
      <c r="AW892">
        <f>IFERROR(INDEX(_ENGINE_Initiatives!$AE$5:$AE$532,MATCH(1,INDEX((_ENGINE_Initiatives!$B$5:$B$532=$C892)*(_ENGINE_Initiatives!$C$5:$C$532=$D892),0),0)),"")</f>
        <v/>
      </c>
      <c r="AX892">
        <f>IF($B892="Yes",IFERROR(IF(SUMIFS(_REF_Model_Content!$E$1:$E$613,_REF_Model_Content!$A$1:$A$613,'Company Profile'!$B$9,_REF_Model_Content!$B$1:$B$613,$C892)=0,1,SUMIFS(_REF_Model_Content!$E$1:$E$613,_REF_Model_Content!$A$1:$A$613,'Company Profile'!$B$9,_REF_Model_Content!$B$1:$B$613,$C892)),1),"")</f>
        <v/>
      </c>
      <c r="AY892">
        <f>IF($L892="","",ROUND(IF($AP892="",$L892,$AP892)*IF($AX892="",1,$AX892),2))</f>
        <v/>
      </c>
      <c r="AZ892">
        <f>IF($S892="","",ROUND(IF($AQ892="",$S892,$AQ892)*IF($AX892="",1,$AX892),2))</f>
        <v/>
      </c>
      <c r="BB892">
        <f>IF($H892="","",IFERROR(INDEX('_ENGINE_Risk'!$AE$41:$AE$920,MATCH($E892,'_ENGINE_Risk'!$A$41:$A$920,0)),"Medium"))</f>
        <v/>
      </c>
      <c r="BC892">
        <f>IF($BB892="","",IF($BB892="Fast",1.25,IF($BB892="Slow",0.85,1)))</f>
        <v/>
      </c>
      <c r="BD892">
        <f>IF(OR($AZ892="",$BC892=""),"",ROUND($AZ892*$BC892,2))</f>
        <v/>
      </c>
      <c r="BF892">
        <f>IF(OR($H892="",$J892=""),"",_xlfn.IFNA(VLOOKUP($J892,_CONFIG_Model_Settings!$D$610:$E$614,2,0),""))</f>
        <v/>
      </c>
      <c r="BG892">
        <f>IF(OR($H892="",$K892=""),"",ROUND('Company Profile'!$B$569*INDEX(_CONFIG_Model_Settings!$H$610:$H$614,MATCH($K892,_CONFIG_Model_Settings!$G$610:$G$614,0)),0))</f>
        <v/>
      </c>
      <c r="BH892">
        <f>IF(OR($BF892="",$BG892=""),"",ROUND($BF892*$BG892,1))</f>
        <v/>
      </c>
      <c r="BI892">
        <f>IF($BH892="","",IF($AO892="",$BH892,ROUND($BH892*$AO892,1)))</f>
        <v/>
      </c>
      <c r="BJ892">
        <f>IF($E892="","",IFERROR(VLOOKUP($C892,'_CONFIG_Risk_Calibration'!$A$5:$H$21,2,FALSE),3))</f>
        <v/>
      </c>
      <c r="BK892">
        <f>IF($E892="","",IFERROR(VLOOKUP($C892,'_CONFIG_Risk_Calibration'!$A$5:$H$21,3,FALSE),0))</f>
        <v/>
      </c>
      <c r="BL892">
        <f>IF($E892="","",IFERROR(VLOOKUP($C892,'_CONFIG_Risk_Calibration'!$A$5:$H$21,4,FALSE),3))</f>
        <v/>
      </c>
      <c r="BM892">
        <f>IF($E892="","",IFERROR(VLOOKUP($C892,'_CONFIG_Risk_Calibration'!$A$5:$H$21,5,FALSE),3))</f>
        <v/>
      </c>
      <c r="BN892">
        <f>IF($E892="","",IFERROR(VLOOKUP($C892,'_CONFIG_Risk_Calibration'!$A$5:$H$21,6,FALSE),"No"))</f>
        <v/>
      </c>
      <c r="BO892">
        <f>IF($E892="","",IFERROR(VLOOKUP($C892,'_CONFIG_Risk_Calibration'!$A$5:$H$21,7,FALSE),1))</f>
        <v/>
      </c>
      <c r="BP892">
        <f>IF($H892="","",MAX(1,MIN(5,((6-$H892)*0.45)+($BJ892*0.20)+('Resilience &amp; Risk Scenario'!$B$7*0.15)+($BK892*0.10)+($BL892*0.05)+(IF($BB892="Fast",5,IF($BB892="Slow",1,3))*0.05))))</f>
        <v/>
      </c>
      <c r="BQ892">
        <f>IF($H892="","",MAX(IF($BN892="Yes",$BO892,1),MIN(5,($U892*0.20)+($V892*0.15)+($W892*0.25)+($X892*0.15)+($BJ892*0.10)+($BM892*0.15))))</f>
        <v/>
      </c>
      <c r="BR892">
        <f>IF(OR($BP892="",$BQ892=""),"",ROUND($BP892*$BQ892,2))</f>
        <v/>
      </c>
      <c r="BS892">
        <f>IF($BR892="","",ROUND($BR892*IF($AO892="",1,$AO892)*IF($AX892="",1,$AX892)*(1+(($BM892-3)*0.10))*IF($BC892="",1,$BC892),2))</f>
        <v/>
      </c>
    </row>
    <row r="893" ht="69.90000000000001" customHeight="1" s="209">
      <c r="A893">
        <f>IF($BD893="","",SUMPRODUCT(ISNUMBER($BD$500:$BD$923)*($BD$500:$BD$923&gt;$BD893))+COUNTIF($BD$500:$BD893,$BD893))</f>
        <v/>
      </c>
      <c r="B893">
        <f>IF($H893="","",IF($H893&lt;5,"Yes","Maintain"))</f>
        <v/>
      </c>
      <c r="C893" t="inlineStr">
        <is>
          <t>Cyber Privacy</t>
        </is>
      </c>
      <c r="D893" t="inlineStr">
        <is>
          <t>Detection and response</t>
        </is>
      </c>
      <c r="E893" t="inlineStr">
        <is>
          <t>CYBE-026</t>
        </is>
      </c>
      <c r="F893" t="inlineStr">
        <is>
          <t>Cybersecurity, privacy and access control</t>
        </is>
      </c>
      <c r="G893">
        <f>IF($H893="","",IFERROR(INDEX('_ENGINE_Risk'!$H$41:$M$920,MATCH($E893,'_ENGINE_Risk'!$A$41:$A$920,0),$H893+1),""))</f>
        <v/>
      </c>
      <c r="H893">
        <f>IFERROR(VALUE(INDEX(_DATA_Assessment_Model!$H$5:$H$884,MATCH($E893,_DATA_Assessment_Model!$A$5:$A$884,0))),"")</f>
        <v/>
      </c>
      <c r="I893">
        <f>IF($H893="","",IFERROR(INDEX(_DATA_Assessment_Model!$L$5:$L$884,MATCH($E893,_DATA_Assessment_Model!$A$5:$A$884,0)),IF($H893&lt;=1,"Critical",IF($H893=2,"High",IF($H893=3,"Medium",IF($H893=4,"Low","Resilient"))))))</f>
        <v/>
      </c>
      <c r="J893">
        <f>IF($H893="","",MIN(5,MAX(1,6-$H893)))</f>
        <v/>
      </c>
      <c r="K893">
        <f>IF($H893="","",MAX(1,MIN(5,ROUNDUP(($U893*0.45)+($W893*0.35)+($X893*0.2),0))))</f>
        <v/>
      </c>
      <c r="L893">
        <f>IF($H893="","",$J893*$K893)</f>
        <v/>
      </c>
      <c r="M893">
        <f>IF($H893="","",MAX(1,MIN(5,ROUNDUP($L893/5,0))))</f>
        <v/>
      </c>
      <c r="N893">
        <f>IF($H893="","",IFERROR(INDEX('_ENGINE_Risk'!$T$41:$Y$920,MATCH($E893,'_ENGINE_Risk'!$A$41:$A$920,0),$H893+1),""))</f>
        <v/>
      </c>
      <c r="O893">
        <f>IF($H893="","",MAX(1,MIN(5,($U893+$V893+$X893)/3)))</f>
        <v/>
      </c>
      <c r="P893">
        <f>IF($H893="","",IF($I893="Critical",5,IF($I893="High",4,IF($I893="Medium",3,IF($I893="Low",2,1)))))</f>
        <v/>
      </c>
      <c r="Q893">
        <f>IF($H893="","",MAX(1,MIN(5,((5-$H893)*0.65)+($W893*0.35))))</f>
        <v/>
      </c>
      <c r="R893">
        <f>IF($H893="","",MAX(1,MIN(5,($V893+$X893)/2)))</f>
        <v/>
      </c>
      <c r="S893">
        <f>IF(OR($H893="",$N893=""),"",ROUND(($O893+$P893+$Q893+$R893)/$N893,2))</f>
        <v/>
      </c>
      <c r="T893">
        <f>IF($H893="","",IFERROR(INDEX('_ENGINE_Risk'!$N$41:$S$920,MATCH($E893,'_ENGINE_Risk'!$A$41:$A$920,0),$H893+1),""))</f>
        <v/>
      </c>
      <c r="U893">
        <f>IFERROR(INDEX(_DATA_Assessment_Model!$G$5:$G$884,MATCH($E893,_DATA_Assessment_Model!$A$5:$A$884,0)),"")</f>
        <v/>
      </c>
      <c r="V893">
        <f>IFERROR(INDEX(_DATA_Assessment_Model!$W$5:$W$884,MATCH($E893,_DATA_Assessment_Model!$A$5:$A$884,0)),"")</f>
        <v/>
      </c>
      <c r="W893">
        <f>IFERROR(INDEX(_DATA_Assessment_Model!$X$5:$X$884,MATCH($E893,_DATA_Assessment_Model!$A$5:$A$884,0)),"")</f>
        <v/>
      </c>
      <c r="X893">
        <f>IFERROR(INDEX(_DATA_Assessment_Model!$Y$5:$Y$884,MATCH($E893,_DATA_Assessment_Model!$A$5:$A$884,0)),"")</f>
        <v/>
      </c>
      <c r="Y893" t="inlineStr">
        <is>
          <t>Cyberattack; Data breach; Ransomware; Insider threat</t>
        </is>
      </c>
      <c r="Z893" t="inlineStr">
        <is>
          <t>CISO / IT Security</t>
        </is>
      </c>
      <c r="AA893" t="inlineStr">
        <is>
          <t>Policy/SOP; owner/RACI; system report; dashboard; contracts; test records; incident history; interview evidence related to immutable or isolated backups protected against ransomware.</t>
        </is>
      </c>
      <c r="AB893">
        <f>IFERROR(INDEX(_DATA_Assessment_Model!$U$5:$U$884,MATCH($E893,_DATA_Assessment_Model!$A$5:$A$884,0)),"")</f>
        <v/>
      </c>
      <c r="AF893" t="inlineStr">
        <is>
          <t>How mature is the organization in managing immutable or isolated backups protected against ransomware, including ownership, evidence, metrics, fallback procedures and crisis stress testing?</t>
        </is>
      </c>
      <c r="AO893">
        <f>IF($B893="Yes",IFERROR(INDEX(_ENGINE_Crisis!$F$501:$F$517,MATCH($C893,_ENGINE_Crisis!$A$501:$A$517,0)),1),"")</f>
        <v/>
      </c>
      <c r="AP893">
        <f>IF(AO893="","",ROUND($L893*AO893,1))</f>
        <v/>
      </c>
      <c r="AQ893">
        <f>IF(OR(AO893="",$S893=""),"",ROUND($S893*(0.7+0.3*AO893),2))</f>
        <v/>
      </c>
      <c r="AR893">
        <f>IFERROR(INDEX(_ENGINE_Crisis!$E$41:$E$700,MATCH('Resilience &amp; Risk Scenario'!$B$60&amp;"|"&amp;$C893,_ENGINE_Crisis!$I$41:$I$700,0)),"")</f>
        <v/>
      </c>
      <c r="AS893">
        <f>IFERROR(INDEX(_ENGINE_Crisis!$G$41:$G$700,MATCH('Resilience &amp; Risk Scenario'!$B$60&amp;"|"&amp;$C893,_ENGINE_Crisis!$I$41:$I$700,0)),"")</f>
        <v/>
      </c>
      <c r="AT893">
        <f>IFERROR(INDEX(_ENGINE_Initiatives!$A$5:$A$532,MATCH(1,INDEX((_ENGINE_Initiatives!$B$5:$B$532=$C893)*(_ENGINE_Initiatives!$C$5:$C$532=$D893),0),0)),"")</f>
        <v/>
      </c>
      <c r="AU893">
        <f>IFERROR(INDEX(_ENGINE_Initiatives!$F$5:$F$532,MATCH(1,INDEX((_ENGINE_Initiatives!$B$5:$B$532=$C893)*(_ENGINE_Initiatives!$C$5:$C$532=$D893),0),0)),"")</f>
        <v/>
      </c>
      <c r="AV893">
        <f>IFERROR(INDEX(_ENGINE_Initiatives!$AC$5:$AC$532,MATCH(1,INDEX((_ENGINE_Initiatives!$B$5:$B$532=$C893)*(_ENGINE_Initiatives!$C$5:$C$532=$D893),0),0)),"")</f>
        <v/>
      </c>
      <c r="AW893">
        <f>IFERROR(INDEX(_ENGINE_Initiatives!$AE$5:$AE$532,MATCH(1,INDEX((_ENGINE_Initiatives!$B$5:$B$532=$C893)*(_ENGINE_Initiatives!$C$5:$C$532=$D893),0),0)),"")</f>
        <v/>
      </c>
      <c r="AX893">
        <f>IF($B893="Yes",IFERROR(IF(SUMIFS(_REF_Model_Content!$E$1:$E$613,_REF_Model_Content!$A$1:$A$613,'Company Profile'!$B$9,_REF_Model_Content!$B$1:$B$613,$C893)=0,1,SUMIFS(_REF_Model_Content!$E$1:$E$613,_REF_Model_Content!$A$1:$A$613,'Company Profile'!$B$9,_REF_Model_Content!$B$1:$B$613,$C893)),1),"")</f>
        <v/>
      </c>
      <c r="AY893">
        <f>IF($L893="","",ROUND(IF($AP893="",$L893,$AP893)*IF($AX893="",1,$AX893),2))</f>
        <v/>
      </c>
      <c r="AZ893">
        <f>IF($S893="","",ROUND(IF($AQ893="",$S893,$AQ893)*IF($AX893="",1,$AX893),2))</f>
        <v/>
      </c>
      <c r="BB893">
        <f>IF($H893="","",IFERROR(INDEX('_ENGINE_Risk'!$AE$41:$AE$920,MATCH($E893,'_ENGINE_Risk'!$A$41:$A$920,0)),"Medium"))</f>
        <v/>
      </c>
      <c r="BC893">
        <f>IF($BB893="","",IF($BB893="Fast",1.25,IF($BB893="Slow",0.85,1)))</f>
        <v/>
      </c>
      <c r="BD893">
        <f>IF(OR($AZ893="",$BC893=""),"",ROUND($AZ893*$BC893,2))</f>
        <v/>
      </c>
      <c r="BF893">
        <f>IF(OR($H893="",$J893=""),"",_xlfn.IFNA(VLOOKUP($J893,_CONFIG_Model_Settings!$D$610:$E$614,2,0),""))</f>
        <v/>
      </c>
      <c r="BG893">
        <f>IF(OR($H893="",$K893=""),"",ROUND('Company Profile'!$B$569*INDEX(_CONFIG_Model_Settings!$H$610:$H$614,MATCH($K893,_CONFIG_Model_Settings!$G$610:$G$614,0)),0))</f>
        <v/>
      </c>
      <c r="BH893">
        <f>IF(OR($BF893="",$BG893=""),"",ROUND($BF893*$BG893,1))</f>
        <v/>
      </c>
      <c r="BI893">
        <f>IF($BH893="","",IF($AO893="",$BH893,ROUND($BH893*$AO893,1)))</f>
        <v/>
      </c>
      <c r="BJ893">
        <f>IF($E893="","",IFERROR(VLOOKUP($C893,'_CONFIG_Risk_Calibration'!$A$5:$H$21,2,FALSE),3))</f>
        <v/>
      </c>
      <c r="BK893">
        <f>IF($E893="","",IFERROR(VLOOKUP($C893,'_CONFIG_Risk_Calibration'!$A$5:$H$21,3,FALSE),0))</f>
        <v/>
      </c>
      <c r="BL893">
        <f>IF($E893="","",IFERROR(VLOOKUP($C893,'_CONFIG_Risk_Calibration'!$A$5:$H$21,4,FALSE),3))</f>
        <v/>
      </c>
      <c r="BM893">
        <f>IF($E893="","",IFERROR(VLOOKUP($C893,'_CONFIG_Risk_Calibration'!$A$5:$H$21,5,FALSE),3))</f>
        <v/>
      </c>
      <c r="BN893">
        <f>IF($E893="","",IFERROR(VLOOKUP($C893,'_CONFIG_Risk_Calibration'!$A$5:$H$21,6,FALSE),"No"))</f>
        <v/>
      </c>
      <c r="BO893">
        <f>IF($E893="","",IFERROR(VLOOKUP($C893,'_CONFIG_Risk_Calibration'!$A$5:$H$21,7,FALSE),1))</f>
        <v/>
      </c>
      <c r="BP893">
        <f>IF($H893="","",MAX(1,MIN(5,((6-$H893)*0.45)+($BJ893*0.20)+('Resilience &amp; Risk Scenario'!$B$7*0.15)+($BK893*0.10)+($BL893*0.05)+(IF($BB893="Fast",5,IF($BB893="Slow",1,3))*0.05))))</f>
        <v/>
      </c>
      <c r="BQ893">
        <f>IF($H893="","",MAX(IF($BN893="Yes",$BO893,1),MIN(5,($U893*0.20)+($V893*0.15)+($W893*0.25)+($X893*0.15)+($BJ893*0.10)+($BM893*0.15))))</f>
        <v/>
      </c>
      <c r="BR893">
        <f>IF(OR($BP893="",$BQ893=""),"",ROUND($BP893*$BQ893,2))</f>
        <v/>
      </c>
      <c r="BS893">
        <f>IF($BR893="","",ROUND($BR893*IF($AO893="",1,$AO893)*IF($AX893="",1,$AX893)*(1+(($BM893-3)*0.10))*IF($BC893="",1,$BC893),2))</f>
        <v/>
      </c>
    </row>
    <row r="894" ht="69.90000000000001" customHeight="1" s="209">
      <c r="A894">
        <f>IF($BD894="","",SUMPRODUCT(ISNUMBER($BD$500:$BD$923)*($BD$500:$BD$923&gt;$BD894))+COUNTIF($BD$500:$BD894,$BD894))</f>
        <v/>
      </c>
      <c r="B894">
        <f>IF($H894="","",IF($H894&lt;5,"Yes","Maintain"))</f>
        <v/>
      </c>
      <c r="C894" t="inlineStr">
        <is>
          <t>Cyber Privacy</t>
        </is>
      </c>
      <c r="D894" t="inlineStr">
        <is>
          <t>Application and OT security</t>
        </is>
      </c>
      <c r="E894" t="inlineStr">
        <is>
          <t>CYBE-027</t>
        </is>
      </c>
      <c r="F894" t="inlineStr">
        <is>
          <t>Cybersecurity, privacy and access control</t>
        </is>
      </c>
      <c r="G894">
        <f>IF($H894="","",IFERROR(INDEX('_ENGINE_Risk'!$H$41:$M$920,MATCH($E894,'_ENGINE_Risk'!$A$41:$A$920,0),$H894+1),""))</f>
        <v/>
      </c>
      <c r="H894">
        <f>IFERROR(VALUE(INDEX(_DATA_Assessment_Model!$H$5:$H$884,MATCH($E894,_DATA_Assessment_Model!$A$5:$A$884,0))),"")</f>
        <v/>
      </c>
      <c r="I894">
        <f>IF($H894="","",IFERROR(INDEX(_DATA_Assessment_Model!$L$5:$L$884,MATCH($E894,_DATA_Assessment_Model!$A$5:$A$884,0)),IF($H894&lt;=1,"Critical",IF($H894=2,"High",IF($H894=3,"Medium",IF($H894=4,"Low","Resilient"))))))</f>
        <v/>
      </c>
      <c r="J894">
        <f>IF($H894="","",MIN(5,MAX(1,6-$H894)))</f>
        <v/>
      </c>
      <c r="K894">
        <f>IF($H894="","",MAX(1,MIN(5,ROUNDUP(($U894*0.45)+($W894*0.35)+($X894*0.2),0))))</f>
        <v/>
      </c>
      <c r="L894">
        <f>IF($H894="","",$J894*$K894)</f>
        <v/>
      </c>
      <c r="M894">
        <f>IF($H894="","",MAX(1,MIN(5,ROUNDUP($L894/5,0))))</f>
        <v/>
      </c>
      <c r="N894">
        <f>IF($H894="","",IFERROR(INDEX('_ENGINE_Risk'!$T$41:$Y$920,MATCH($E894,'_ENGINE_Risk'!$A$41:$A$920,0),$H894+1),""))</f>
        <v/>
      </c>
      <c r="O894">
        <f>IF($H894="","",MAX(1,MIN(5,($U894+$V894+$X894)/3)))</f>
        <v/>
      </c>
      <c r="P894">
        <f>IF($H894="","",IF($I894="Critical",5,IF($I894="High",4,IF($I894="Medium",3,IF($I894="Low",2,1)))))</f>
        <v/>
      </c>
      <c r="Q894">
        <f>IF($H894="","",MAX(1,MIN(5,((5-$H894)*0.65)+($W894*0.35))))</f>
        <v/>
      </c>
      <c r="R894">
        <f>IF($H894="","",MAX(1,MIN(5,($V894+$X894)/2)))</f>
        <v/>
      </c>
      <c r="S894">
        <f>IF(OR($H894="",$N894=""),"",ROUND(($O894+$P894+$Q894+$R894)/$N894,2))</f>
        <v/>
      </c>
      <c r="T894">
        <f>IF($H894="","",IFERROR(INDEX('_ENGINE_Risk'!$N$41:$S$920,MATCH($E894,'_ENGINE_Risk'!$A$41:$A$920,0),$H894+1),""))</f>
        <v/>
      </c>
      <c r="U894">
        <f>IFERROR(INDEX(_DATA_Assessment_Model!$G$5:$G$884,MATCH($E894,_DATA_Assessment_Model!$A$5:$A$884,0)),"")</f>
        <v/>
      </c>
      <c r="V894">
        <f>IFERROR(INDEX(_DATA_Assessment_Model!$W$5:$W$884,MATCH($E894,_DATA_Assessment_Model!$A$5:$A$884,0)),"")</f>
        <v/>
      </c>
      <c r="W894">
        <f>IFERROR(INDEX(_DATA_Assessment_Model!$X$5:$X$884,MATCH($E894,_DATA_Assessment_Model!$A$5:$A$884,0)),"")</f>
        <v/>
      </c>
      <c r="X894">
        <f>IFERROR(INDEX(_DATA_Assessment_Model!$Y$5:$Y$884,MATCH($E894,_DATA_Assessment_Model!$A$5:$A$884,0)),"")</f>
        <v/>
      </c>
      <c r="Y894" t="inlineStr">
        <is>
          <t>Cyberattack; Data breach; Ransomware; Insider threat</t>
        </is>
      </c>
      <c r="Z894" t="inlineStr">
        <is>
          <t>CISO / IT Security</t>
        </is>
      </c>
      <c r="AA894" t="inlineStr">
        <is>
          <t>Policy/SOP; owner/RACI; system report; dashboard; contracts; test records; incident history; interview evidence related to secure SDLC for internally developed applications, APIs and integrations.</t>
        </is>
      </c>
      <c r="AB894">
        <f>IFERROR(INDEX(_DATA_Assessment_Model!$U$5:$U$884,MATCH($E894,_DATA_Assessment_Model!$A$5:$A$884,0)),"")</f>
        <v/>
      </c>
      <c r="AF894" t="inlineStr">
        <is>
          <t>How mature is the organization in managing secure SDLC for internally developed applications, APIs and integrations, including ownership, evidence, metrics, fallback procedures and crisis stress testing?</t>
        </is>
      </c>
      <c r="AO894">
        <f>IF($B894="Yes",IFERROR(INDEX(_ENGINE_Crisis!$F$501:$F$517,MATCH($C894,_ENGINE_Crisis!$A$501:$A$517,0)),1),"")</f>
        <v/>
      </c>
      <c r="AP894">
        <f>IF(AO894="","",ROUND($L894*AO894,1))</f>
        <v/>
      </c>
      <c r="AQ894">
        <f>IF(OR(AO894="",$S894=""),"",ROUND($S894*(0.7+0.3*AO894),2))</f>
        <v/>
      </c>
      <c r="AR894">
        <f>IFERROR(INDEX(_ENGINE_Crisis!$E$41:$E$700,MATCH('Resilience &amp; Risk Scenario'!$B$60&amp;"|"&amp;$C894,_ENGINE_Crisis!$I$41:$I$700,0)),"")</f>
        <v/>
      </c>
      <c r="AS894">
        <f>IFERROR(INDEX(_ENGINE_Crisis!$G$41:$G$700,MATCH('Resilience &amp; Risk Scenario'!$B$60&amp;"|"&amp;$C894,_ENGINE_Crisis!$I$41:$I$700,0)),"")</f>
        <v/>
      </c>
      <c r="AT894">
        <f>IFERROR(INDEX(_ENGINE_Initiatives!$A$5:$A$532,MATCH(1,INDEX((_ENGINE_Initiatives!$B$5:$B$532=$C894)*(_ENGINE_Initiatives!$C$5:$C$532=$D894),0),0)),"")</f>
        <v/>
      </c>
      <c r="AU894">
        <f>IFERROR(INDEX(_ENGINE_Initiatives!$F$5:$F$532,MATCH(1,INDEX((_ENGINE_Initiatives!$B$5:$B$532=$C894)*(_ENGINE_Initiatives!$C$5:$C$532=$D894),0),0)),"")</f>
        <v/>
      </c>
      <c r="AV894">
        <f>IFERROR(INDEX(_ENGINE_Initiatives!$AC$5:$AC$532,MATCH(1,INDEX((_ENGINE_Initiatives!$B$5:$B$532=$C894)*(_ENGINE_Initiatives!$C$5:$C$532=$D894),0),0)),"")</f>
        <v/>
      </c>
      <c r="AW894">
        <f>IFERROR(INDEX(_ENGINE_Initiatives!$AE$5:$AE$532,MATCH(1,INDEX((_ENGINE_Initiatives!$B$5:$B$532=$C894)*(_ENGINE_Initiatives!$C$5:$C$532=$D894),0),0)),"")</f>
        <v/>
      </c>
      <c r="AX894">
        <f>IF($B894="Yes",IFERROR(IF(SUMIFS(_REF_Model_Content!$E$1:$E$613,_REF_Model_Content!$A$1:$A$613,'Company Profile'!$B$9,_REF_Model_Content!$B$1:$B$613,$C894)=0,1,SUMIFS(_REF_Model_Content!$E$1:$E$613,_REF_Model_Content!$A$1:$A$613,'Company Profile'!$B$9,_REF_Model_Content!$B$1:$B$613,$C894)),1),"")</f>
        <v/>
      </c>
      <c r="AY894">
        <f>IF($L894="","",ROUND(IF($AP894="",$L894,$AP894)*IF($AX894="",1,$AX894),2))</f>
        <v/>
      </c>
      <c r="AZ894">
        <f>IF($S894="","",ROUND(IF($AQ894="",$S894,$AQ894)*IF($AX894="",1,$AX894),2))</f>
        <v/>
      </c>
      <c r="BB894">
        <f>IF($H894="","",IFERROR(INDEX('_ENGINE_Risk'!$AE$41:$AE$920,MATCH($E894,'_ENGINE_Risk'!$A$41:$A$920,0)),"Medium"))</f>
        <v/>
      </c>
      <c r="BC894">
        <f>IF($BB894="","",IF($BB894="Fast",1.25,IF($BB894="Slow",0.85,1)))</f>
        <v/>
      </c>
      <c r="BD894">
        <f>IF(OR($AZ894="",$BC894=""),"",ROUND($AZ894*$BC894,2))</f>
        <v/>
      </c>
      <c r="BF894">
        <f>IF(OR($H894="",$J894=""),"",_xlfn.IFNA(VLOOKUP($J894,_CONFIG_Model_Settings!$D$610:$E$614,2,0),""))</f>
        <v/>
      </c>
      <c r="BG894">
        <f>IF(OR($H894="",$K894=""),"",ROUND('Company Profile'!$B$569*INDEX(_CONFIG_Model_Settings!$H$610:$H$614,MATCH($K894,_CONFIG_Model_Settings!$G$610:$G$614,0)),0))</f>
        <v/>
      </c>
      <c r="BH894">
        <f>IF(OR($BF894="",$BG894=""),"",ROUND($BF894*$BG894,1))</f>
        <v/>
      </c>
      <c r="BI894">
        <f>IF($BH894="","",IF($AO894="",$BH894,ROUND($BH894*$AO894,1)))</f>
        <v/>
      </c>
      <c r="BJ894">
        <f>IF($E894="","",IFERROR(VLOOKUP($C894,'_CONFIG_Risk_Calibration'!$A$5:$H$21,2,FALSE),3))</f>
        <v/>
      </c>
      <c r="BK894">
        <f>IF($E894="","",IFERROR(VLOOKUP($C894,'_CONFIG_Risk_Calibration'!$A$5:$H$21,3,FALSE),0))</f>
        <v/>
      </c>
      <c r="BL894">
        <f>IF($E894="","",IFERROR(VLOOKUP($C894,'_CONFIG_Risk_Calibration'!$A$5:$H$21,4,FALSE),3))</f>
        <v/>
      </c>
      <c r="BM894">
        <f>IF($E894="","",IFERROR(VLOOKUP($C894,'_CONFIG_Risk_Calibration'!$A$5:$H$21,5,FALSE),3))</f>
        <v/>
      </c>
      <c r="BN894">
        <f>IF($E894="","",IFERROR(VLOOKUP($C894,'_CONFIG_Risk_Calibration'!$A$5:$H$21,6,FALSE),"No"))</f>
        <v/>
      </c>
      <c r="BO894">
        <f>IF($E894="","",IFERROR(VLOOKUP($C894,'_CONFIG_Risk_Calibration'!$A$5:$H$21,7,FALSE),1))</f>
        <v/>
      </c>
      <c r="BP894">
        <f>IF($H894="","",MAX(1,MIN(5,((6-$H894)*0.45)+($BJ894*0.20)+('Resilience &amp; Risk Scenario'!$B$7*0.15)+($BK894*0.10)+($BL894*0.05)+(IF($BB894="Fast",5,IF($BB894="Slow",1,3))*0.05))))</f>
        <v/>
      </c>
      <c r="BQ894">
        <f>IF($H894="","",MAX(IF($BN894="Yes",$BO894,1),MIN(5,($U894*0.20)+($V894*0.15)+($W894*0.25)+($X894*0.15)+($BJ894*0.10)+($BM894*0.15))))</f>
        <v/>
      </c>
      <c r="BR894">
        <f>IF(OR($BP894="",$BQ894=""),"",ROUND($BP894*$BQ894,2))</f>
        <v/>
      </c>
      <c r="BS894">
        <f>IF($BR894="","",ROUND($BR894*IF($AO894="",1,$AO894)*IF($AX894="",1,$AX894)*(1+(($BM894-3)*0.10))*IF($BC894="",1,$BC894),2))</f>
        <v/>
      </c>
    </row>
    <row r="895" ht="69.90000000000001" customHeight="1" s="209">
      <c r="A895">
        <f>IF($BD895="","",SUMPRODUCT(ISNUMBER($BD$500:$BD$923)*($BD$500:$BD$923&gt;$BD895))+COUNTIF($BD$500:$BD895,$BD895))</f>
        <v/>
      </c>
      <c r="B895">
        <f>IF($H895="","",IF($H895&lt;5,"Yes","Maintain"))</f>
        <v/>
      </c>
      <c r="C895" t="inlineStr">
        <is>
          <t>Cyber Privacy</t>
        </is>
      </c>
      <c r="D895" t="inlineStr">
        <is>
          <t>Application and OT security</t>
        </is>
      </c>
      <c r="E895" t="inlineStr">
        <is>
          <t>CYBE-028</t>
        </is>
      </c>
      <c r="F895" t="inlineStr">
        <is>
          <t>Cybersecurity, privacy and access control</t>
        </is>
      </c>
      <c r="G895">
        <f>IF($H895="","",IFERROR(INDEX('_ENGINE_Risk'!$H$41:$M$920,MATCH($E895,'_ENGINE_Risk'!$A$41:$A$920,0),$H895+1),""))</f>
        <v/>
      </c>
      <c r="H895">
        <f>IFERROR(VALUE(INDEX(_DATA_Assessment_Model!$H$5:$H$884,MATCH($E895,_DATA_Assessment_Model!$A$5:$A$884,0))),"")</f>
        <v/>
      </c>
      <c r="I895">
        <f>IF($H895="","",IFERROR(INDEX(_DATA_Assessment_Model!$L$5:$L$884,MATCH($E895,_DATA_Assessment_Model!$A$5:$A$884,0)),IF($H895&lt;=1,"Critical",IF($H895=2,"High",IF($H895=3,"Medium",IF($H895=4,"Low","Resilient"))))))</f>
        <v/>
      </c>
      <c r="J895">
        <f>IF($H895="","",MIN(5,MAX(1,6-$H895)))</f>
        <v/>
      </c>
      <c r="K895">
        <f>IF($H895="","",MAX(1,MIN(5,ROUNDUP(($U895*0.45)+($W895*0.35)+($X895*0.2),0))))</f>
        <v/>
      </c>
      <c r="L895">
        <f>IF($H895="","",$J895*$K895)</f>
        <v/>
      </c>
      <c r="M895">
        <f>IF($H895="","",MAX(1,MIN(5,ROUNDUP($L895/5,0))))</f>
        <v/>
      </c>
      <c r="N895">
        <f>IF($H895="","",IFERROR(INDEX('_ENGINE_Risk'!$T$41:$Y$920,MATCH($E895,'_ENGINE_Risk'!$A$41:$A$920,0),$H895+1),""))</f>
        <v/>
      </c>
      <c r="O895">
        <f>IF($H895="","",MAX(1,MIN(5,($U895+$V895+$X895)/3)))</f>
        <v/>
      </c>
      <c r="P895">
        <f>IF($H895="","",IF($I895="Critical",5,IF($I895="High",4,IF($I895="Medium",3,IF($I895="Low",2,1)))))</f>
        <v/>
      </c>
      <c r="Q895">
        <f>IF($H895="","",MAX(1,MIN(5,((5-$H895)*0.65)+($W895*0.35))))</f>
        <v/>
      </c>
      <c r="R895">
        <f>IF($H895="","",MAX(1,MIN(5,($V895+$X895)/2)))</f>
        <v/>
      </c>
      <c r="S895">
        <f>IF(OR($H895="",$N895=""),"",ROUND(($O895+$P895+$Q895+$R895)/$N895,2))</f>
        <v/>
      </c>
      <c r="T895">
        <f>IF($H895="","",IFERROR(INDEX('_ENGINE_Risk'!$N$41:$S$920,MATCH($E895,'_ENGINE_Risk'!$A$41:$A$920,0),$H895+1),""))</f>
        <v/>
      </c>
      <c r="U895">
        <f>IFERROR(INDEX(_DATA_Assessment_Model!$G$5:$G$884,MATCH($E895,_DATA_Assessment_Model!$A$5:$A$884,0)),"")</f>
        <v/>
      </c>
      <c r="V895">
        <f>IFERROR(INDEX(_DATA_Assessment_Model!$W$5:$W$884,MATCH($E895,_DATA_Assessment_Model!$A$5:$A$884,0)),"")</f>
        <v/>
      </c>
      <c r="W895">
        <f>IFERROR(INDEX(_DATA_Assessment_Model!$X$5:$X$884,MATCH($E895,_DATA_Assessment_Model!$A$5:$A$884,0)),"")</f>
        <v/>
      </c>
      <c r="X895">
        <f>IFERROR(INDEX(_DATA_Assessment_Model!$Y$5:$Y$884,MATCH($E895,_DATA_Assessment_Model!$A$5:$A$884,0)),"")</f>
        <v/>
      </c>
      <c r="Y895" t="inlineStr">
        <is>
          <t>Cyberattack; Data breach; Ransomware; Insider threat</t>
        </is>
      </c>
      <c r="Z895" t="inlineStr">
        <is>
          <t>CISO / IT Security</t>
        </is>
      </c>
      <c r="AA895" t="inlineStr">
        <is>
          <t>Policy/SOP; owner/RACI; system report; dashboard; contracts; test records; incident history; interview evidence related to application vulnerability testing through SAST, DAST, code review and penetration testing.</t>
        </is>
      </c>
      <c r="AB895">
        <f>IFERROR(INDEX(_DATA_Assessment_Model!$U$5:$U$884,MATCH($E895,_DATA_Assessment_Model!$A$5:$A$884,0)),"")</f>
        <v/>
      </c>
      <c r="AF895" t="inlineStr">
        <is>
          <t>How mature is the organization in managing application vulnerability testing through SAST, DAST, code review and penetration testing, including ownership, evidence, metrics, fallback procedures and crisis stress testing?</t>
        </is>
      </c>
      <c r="AO895">
        <f>IF($B895="Yes",IFERROR(INDEX(_ENGINE_Crisis!$F$501:$F$517,MATCH($C895,_ENGINE_Crisis!$A$501:$A$517,0)),1),"")</f>
        <v/>
      </c>
      <c r="AP895">
        <f>IF(AO895="","",ROUND($L895*AO895,1))</f>
        <v/>
      </c>
      <c r="AQ895">
        <f>IF(OR(AO895="",$S895=""),"",ROUND($S895*(0.7+0.3*AO895),2))</f>
        <v/>
      </c>
      <c r="AR895">
        <f>IFERROR(INDEX(_ENGINE_Crisis!$E$41:$E$700,MATCH('Resilience &amp; Risk Scenario'!$B$60&amp;"|"&amp;$C895,_ENGINE_Crisis!$I$41:$I$700,0)),"")</f>
        <v/>
      </c>
      <c r="AS895">
        <f>IFERROR(INDEX(_ENGINE_Crisis!$G$41:$G$700,MATCH('Resilience &amp; Risk Scenario'!$B$60&amp;"|"&amp;$C895,_ENGINE_Crisis!$I$41:$I$700,0)),"")</f>
        <v/>
      </c>
      <c r="AT895">
        <f>IFERROR(INDEX(_ENGINE_Initiatives!$A$5:$A$532,MATCH(1,INDEX((_ENGINE_Initiatives!$B$5:$B$532=$C895)*(_ENGINE_Initiatives!$C$5:$C$532=$D895),0),0)),"")</f>
        <v/>
      </c>
      <c r="AU895">
        <f>IFERROR(INDEX(_ENGINE_Initiatives!$F$5:$F$532,MATCH(1,INDEX((_ENGINE_Initiatives!$B$5:$B$532=$C895)*(_ENGINE_Initiatives!$C$5:$C$532=$D895),0),0)),"")</f>
        <v/>
      </c>
      <c r="AV895">
        <f>IFERROR(INDEX(_ENGINE_Initiatives!$AC$5:$AC$532,MATCH(1,INDEX((_ENGINE_Initiatives!$B$5:$B$532=$C895)*(_ENGINE_Initiatives!$C$5:$C$532=$D895),0),0)),"")</f>
        <v/>
      </c>
      <c r="AW895">
        <f>IFERROR(INDEX(_ENGINE_Initiatives!$AE$5:$AE$532,MATCH(1,INDEX((_ENGINE_Initiatives!$B$5:$B$532=$C895)*(_ENGINE_Initiatives!$C$5:$C$532=$D895),0),0)),"")</f>
        <v/>
      </c>
      <c r="AX895">
        <f>IF($B895="Yes",IFERROR(IF(SUMIFS(_REF_Model_Content!$E$1:$E$613,_REF_Model_Content!$A$1:$A$613,'Company Profile'!$B$9,_REF_Model_Content!$B$1:$B$613,$C895)=0,1,SUMIFS(_REF_Model_Content!$E$1:$E$613,_REF_Model_Content!$A$1:$A$613,'Company Profile'!$B$9,_REF_Model_Content!$B$1:$B$613,$C895)),1),"")</f>
        <v/>
      </c>
      <c r="AY895">
        <f>IF($L895="","",ROUND(IF($AP895="",$L895,$AP895)*IF($AX895="",1,$AX895),2))</f>
        <v/>
      </c>
      <c r="AZ895">
        <f>IF($S895="","",ROUND(IF($AQ895="",$S895,$AQ895)*IF($AX895="",1,$AX895),2))</f>
        <v/>
      </c>
      <c r="BB895">
        <f>IF($H895="","",IFERROR(INDEX('_ENGINE_Risk'!$AE$41:$AE$920,MATCH($E895,'_ENGINE_Risk'!$A$41:$A$920,0)),"Medium"))</f>
        <v/>
      </c>
      <c r="BC895">
        <f>IF($BB895="","",IF($BB895="Fast",1.25,IF($BB895="Slow",0.85,1)))</f>
        <v/>
      </c>
      <c r="BD895">
        <f>IF(OR($AZ895="",$BC895=""),"",ROUND($AZ895*$BC895,2))</f>
        <v/>
      </c>
      <c r="BF895">
        <f>IF(OR($H895="",$J895=""),"",_xlfn.IFNA(VLOOKUP($J895,_CONFIG_Model_Settings!$D$610:$E$614,2,0),""))</f>
        <v/>
      </c>
      <c r="BG895">
        <f>IF(OR($H895="",$K895=""),"",ROUND('Company Profile'!$B$569*INDEX(_CONFIG_Model_Settings!$H$610:$H$614,MATCH($K895,_CONFIG_Model_Settings!$G$610:$G$614,0)),0))</f>
        <v/>
      </c>
      <c r="BH895">
        <f>IF(OR($BF895="",$BG895=""),"",ROUND($BF895*$BG895,1))</f>
        <v/>
      </c>
      <c r="BI895">
        <f>IF($BH895="","",IF($AO895="",$BH895,ROUND($BH895*$AO895,1)))</f>
        <v/>
      </c>
      <c r="BJ895">
        <f>IF($E895="","",IFERROR(VLOOKUP($C895,'_CONFIG_Risk_Calibration'!$A$5:$H$21,2,FALSE),3))</f>
        <v/>
      </c>
      <c r="BK895">
        <f>IF($E895="","",IFERROR(VLOOKUP($C895,'_CONFIG_Risk_Calibration'!$A$5:$H$21,3,FALSE),0))</f>
        <v/>
      </c>
      <c r="BL895">
        <f>IF($E895="","",IFERROR(VLOOKUP($C895,'_CONFIG_Risk_Calibration'!$A$5:$H$21,4,FALSE),3))</f>
        <v/>
      </c>
      <c r="BM895">
        <f>IF($E895="","",IFERROR(VLOOKUP($C895,'_CONFIG_Risk_Calibration'!$A$5:$H$21,5,FALSE),3))</f>
        <v/>
      </c>
      <c r="BN895">
        <f>IF($E895="","",IFERROR(VLOOKUP($C895,'_CONFIG_Risk_Calibration'!$A$5:$H$21,6,FALSE),"No"))</f>
        <v/>
      </c>
      <c r="BO895">
        <f>IF($E895="","",IFERROR(VLOOKUP($C895,'_CONFIG_Risk_Calibration'!$A$5:$H$21,7,FALSE),1))</f>
        <v/>
      </c>
      <c r="BP895">
        <f>IF($H895="","",MAX(1,MIN(5,((6-$H895)*0.45)+($BJ895*0.20)+('Resilience &amp; Risk Scenario'!$B$7*0.15)+($BK895*0.10)+($BL895*0.05)+(IF($BB895="Fast",5,IF($BB895="Slow",1,3))*0.05))))</f>
        <v/>
      </c>
      <c r="BQ895">
        <f>IF($H895="","",MAX(IF($BN895="Yes",$BO895,1),MIN(5,($U895*0.20)+($V895*0.15)+($W895*0.25)+($X895*0.15)+($BJ895*0.10)+($BM895*0.15))))</f>
        <v/>
      </c>
      <c r="BR895">
        <f>IF(OR($BP895="",$BQ895=""),"",ROUND($BP895*$BQ895,2))</f>
        <v/>
      </c>
      <c r="BS895">
        <f>IF($BR895="","",ROUND($BR895*IF($AO895="",1,$AO895)*IF($AX895="",1,$AX895)*(1+(($BM895-3)*0.10))*IF($BC895="",1,$BC895),2))</f>
        <v/>
      </c>
    </row>
    <row r="896" ht="69.90000000000001" customHeight="1" s="209">
      <c r="A896">
        <f>IF($BD896="","",SUMPRODUCT(ISNUMBER($BD$500:$BD$923)*($BD$500:$BD$923&gt;$BD896))+COUNTIF($BD$500:$BD896,$BD896))</f>
        <v/>
      </c>
      <c r="B896">
        <f>IF($H896="","",IF($H896&lt;5,"Yes","Maintain"))</f>
        <v/>
      </c>
      <c r="C896" t="inlineStr">
        <is>
          <t>Cyber Privacy</t>
        </is>
      </c>
      <c r="D896" t="inlineStr">
        <is>
          <t>Privacy</t>
        </is>
      </c>
      <c r="E896" t="inlineStr">
        <is>
          <t>CYBE-032</t>
        </is>
      </c>
      <c r="F896" t="inlineStr">
        <is>
          <t>Cybersecurity, privacy and access control</t>
        </is>
      </c>
      <c r="G896">
        <f>IF($H896="","",IFERROR(INDEX('_ENGINE_Risk'!$H$41:$M$920,MATCH($E896,'_ENGINE_Risk'!$A$41:$A$920,0),$H896+1),""))</f>
        <v/>
      </c>
      <c r="H896">
        <f>IFERROR(VALUE(INDEX(_DATA_Assessment_Model!$H$5:$H$884,MATCH($E896,_DATA_Assessment_Model!$A$5:$A$884,0))),"")</f>
        <v/>
      </c>
      <c r="I896">
        <f>IF($H896="","",IFERROR(INDEX(_DATA_Assessment_Model!$L$5:$L$884,MATCH($E896,_DATA_Assessment_Model!$A$5:$A$884,0)),IF($H896&lt;=1,"Critical",IF($H896=2,"High",IF($H896=3,"Medium",IF($H896=4,"Low","Resilient"))))))</f>
        <v/>
      </c>
      <c r="J896">
        <f>IF($H896="","",MIN(5,MAX(1,6-$H896)))</f>
        <v/>
      </c>
      <c r="K896">
        <f>IF($H896="","",MAX(1,MIN(5,ROUNDUP(($U896*0.45)+($W896*0.35)+($X896*0.2),0))))</f>
        <v/>
      </c>
      <c r="L896">
        <f>IF($H896="","",$J896*$K896)</f>
        <v/>
      </c>
      <c r="M896">
        <f>IF($H896="","",MAX(1,MIN(5,ROUNDUP($L896/5,0))))</f>
        <v/>
      </c>
      <c r="N896">
        <f>IF($H896="","",IFERROR(INDEX('_ENGINE_Risk'!$T$41:$Y$920,MATCH($E896,'_ENGINE_Risk'!$A$41:$A$920,0),$H896+1),""))</f>
        <v/>
      </c>
      <c r="O896">
        <f>IF($H896="","",MAX(1,MIN(5,($U896+$V896+$X896)/3)))</f>
        <v/>
      </c>
      <c r="P896">
        <f>IF($H896="","",IF($I896="Critical",5,IF($I896="High",4,IF($I896="Medium",3,IF($I896="Low",2,1)))))</f>
        <v/>
      </c>
      <c r="Q896">
        <f>IF($H896="","",MAX(1,MIN(5,((5-$H896)*0.65)+($W896*0.35))))</f>
        <v/>
      </c>
      <c r="R896">
        <f>IF($H896="","",MAX(1,MIN(5,($V896+$X896)/2)))</f>
        <v/>
      </c>
      <c r="S896">
        <f>IF(OR($H896="",$N896=""),"",ROUND(($O896+$P896+$Q896+$R896)/$N896,2))</f>
        <v/>
      </c>
      <c r="T896">
        <f>IF($H896="","",IFERROR(INDEX('_ENGINE_Risk'!$N$41:$S$920,MATCH($E896,'_ENGINE_Risk'!$A$41:$A$920,0),$H896+1),""))</f>
        <v/>
      </c>
      <c r="U896">
        <f>IFERROR(INDEX(_DATA_Assessment_Model!$G$5:$G$884,MATCH($E896,_DATA_Assessment_Model!$A$5:$A$884,0)),"")</f>
        <v/>
      </c>
      <c r="V896">
        <f>IFERROR(INDEX(_DATA_Assessment_Model!$W$5:$W$884,MATCH($E896,_DATA_Assessment_Model!$A$5:$A$884,0)),"")</f>
        <v/>
      </c>
      <c r="W896">
        <f>IFERROR(INDEX(_DATA_Assessment_Model!$X$5:$X$884,MATCH($E896,_DATA_Assessment_Model!$A$5:$A$884,0)),"")</f>
        <v/>
      </c>
      <c r="X896">
        <f>IFERROR(INDEX(_DATA_Assessment_Model!$Y$5:$Y$884,MATCH($E896,_DATA_Assessment_Model!$A$5:$A$884,0)),"")</f>
        <v/>
      </c>
      <c r="Y896" t="inlineStr">
        <is>
          <t>Cyberattack; Data breach; Ransomware; Insider threat</t>
        </is>
      </c>
      <c r="Z896" t="inlineStr">
        <is>
          <t>CISO / IT Security</t>
        </is>
      </c>
      <c r="AA896" t="inlineStr">
        <is>
          <t>Policy/SOP; owner/RACI; system report; dashboard; contracts; test records; incident history; interview evidence related to privacy governance with roles, lawful basis, DPIA, RoPA and data subject processes.</t>
        </is>
      </c>
      <c r="AB896">
        <f>IFERROR(INDEX(_DATA_Assessment_Model!$U$5:$U$884,MATCH($E896,_DATA_Assessment_Model!$A$5:$A$884,0)),"")</f>
        <v/>
      </c>
      <c r="AF896" t="inlineStr">
        <is>
          <t>How mature is the organization in managing privacy governance with roles, lawful basis, DPIA, RoPA and data subject processes, including ownership, evidence, metrics, fallback procedures and crisis stress testing?</t>
        </is>
      </c>
      <c r="AO896">
        <f>IF($B896="Yes",IFERROR(INDEX(_ENGINE_Crisis!$F$501:$F$517,MATCH($C896,_ENGINE_Crisis!$A$501:$A$517,0)),1),"")</f>
        <v/>
      </c>
      <c r="AP896">
        <f>IF(AO896="","",ROUND($L896*AO896,1))</f>
        <v/>
      </c>
      <c r="AQ896">
        <f>IF(OR(AO896="",$S896=""),"",ROUND($S896*(0.7+0.3*AO896),2))</f>
        <v/>
      </c>
      <c r="AR896">
        <f>IFERROR(INDEX(_ENGINE_Crisis!$E$41:$E$700,MATCH('Resilience &amp; Risk Scenario'!$B$60&amp;"|"&amp;$C896,_ENGINE_Crisis!$I$41:$I$700,0)),"")</f>
        <v/>
      </c>
      <c r="AS896">
        <f>IFERROR(INDEX(_ENGINE_Crisis!$G$41:$G$700,MATCH('Resilience &amp; Risk Scenario'!$B$60&amp;"|"&amp;$C896,_ENGINE_Crisis!$I$41:$I$700,0)),"")</f>
        <v/>
      </c>
      <c r="AT896">
        <f>IFERROR(INDEX(_ENGINE_Initiatives!$A$5:$A$532,MATCH(1,INDEX((_ENGINE_Initiatives!$B$5:$B$532=$C896)*(_ENGINE_Initiatives!$C$5:$C$532=$D896),0),0)),"")</f>
        <v/>
      </c>
      <c r="AU896">
        <f>IFERROR(INDEX(_ENGINE_Initiatives!$F$5:$F$532,MATCH(1,INDEX((_ENGINE_Initiatives!$B$5:$B$532=$C896)*(_ENGINE_Initiatives!$C$5:$C$532=$D896),0),0)),"")</f>
        <v/>
      </c>
      <c r="AV896">
        <f>IFERROR(INDEX(_ENGINE_Initiatives!$AC$5:$AC$532,MATCH(1,INDEX((_ENGINE_Initiatives!$B$5:$B$532=$C896)*(_ENGINE_Initiatives!$C$5:$C$532=$D896),0),0)),"")</f>
        <v/>
      </c>
      <c r="AW896">
        <f>IFERROR(INDEX(_ENGINE_Initiatives!$AE$5:$AE$532,MATCH(1,INDEX((_ENGINE_Initiatives!$B$5:$B$532=$C896)*(_ENGINE_Initiatives!$C$5:$C$532=$D896),0),0)),"")</f>
        <v/>
      </c>
      <c r="AX896">
        <f>IF($B896="Yes",IFERROR(IF(SUMIFS(_REF_Model_Content!$E$1:$E$613,_REF_Model_Content!$A$1:$A$613,'Company Profile'!$B$9,_REF_Model_Content!$B$1:$B$613,$C896)=0,1,SUMIFS(_REF_Model_Content!$E$1:$E$613,_REF_Model_Content!$A$1:$A$613,'Company Profile'!$B$9,_REF_Model_Content!$B$1:$B$613,$C896)),1),"")</f>
        <v/>
      </c>
      <c r="AY896">
        <f>IF($L896="","",ROUND(IF($AP896="",$L896,$AP896)*IF($AX896="",1,$AX896),2))</f>
        <v/>
      </c>
      <c r="AZ896">
        <f>IF($S896="","",ROUND(IF($AQ896="",$S896,$AQ896)*IF($AX896="",1,$AX896),2))</f>
        <v/>
      </c>
      <c r="BB896">
        <f>IF($H896="","",IFERROR(INDEX('_ENGINE_Risk'!$AE$41:$AE$920,MATCH($E896,'_ENGINE_Risk'!$A$41:$A$920,0)),"Medium"))</f>
        <v/>
      </c>
      <c r="BC896">
        <f>IF($BB896="","",IF($BB896="Fast",1.25,IF($BB896="Slow",0.85,1)))</f>
        <v/>
      </c>
      <c r="BD896">
        <f>IF(OR($AZ896="",$BC896=""),"",ROUND($AZ896*$BC896,2))</f>
        <v/>
      </c>
      <c r="BF896">
        <f>IF(OR($H896="",$J896=""),"",_xlfn.IFNA(VLOOKUP($J896,_CONFIG_Model_Settings!$D$610:$E$614,2,0),""))</f>
        <v/>
      </c>
      <c r="BG896">
        <f>IF(OR($H896="",$K896=""),"",ROUND('Company Profile'!$B$569*INDEX(_CONFIG_Model_Settings!$H$610:$H$614,MATCH($K896,_CONFIG_Model_Settings!$G$610:$G$614,0)),0))</f>
        <v/>
      </c>
      <c r="BH896">
        <f>IF(OR($BF896="",$BG896=""),"",ROUND($BF896*$BG896,1))</f>
        <v/>
      </c>
      <c r="BI896">
        <f>IF($BH896="","",IF($AO896="",$BH896,ROUND($BH896*$AO896,1)))</f>
        <v/>
      </c>
      <c r="BJ896">
        <f>IF($E896="","",IFERROR(VLOOKUP($C896,'_CONFIG_Risk_Calibration'!$A$5:$H$21,2,FALSE),3))</f>
        <v/>
      </c>
      <c r="BK896">
        <f>IF($E896="","",IFERROR(VLOOKUP($C896,'_CONFIG_Risk_Calibration'!$A$5:$H$21,3,FALSE),0))</f>
        <v/>
      </c>
      <c r="BL896">
        <f>IF($E896="","",IFERROR(VLOOKUP($C896,'_CONFIG_Risk_Calibration'!$A$5:$H$21,4,FALSE),3))</f>
        <v/>
      </c>
      <c r="BM896">
        <f>IF($E896="","",IFERROR(VLOOKUP($C896,'_CONFIG_Risk_Calibration'!$A$5:$H$21,5,FALSE),3))</f>
        <v/>
      </c>
      <c r="BN896">
        <f>IF($E896="","",IFERROR(VLOOKUP($C896,'_CONFIG_Risk_Calibration'!$A$5:$H$21,6,FALSE),"No"))</f>
        <v/>
      </c>
      <c r="BO896">
        <f>IF($E896="","",IFERROR(VLOOKUP($C896,'_CONFIG_Risk_Calibration'!$A$5:$H$21,7,FALSE),1))</f>
        <v/>
      </c>
      <c r="BP896">
        <f>IF($H896="","",MAX(1,MIN(5,((6-$H896)*0.45)+($BJ896*0.20)+('Resilience &amp; Risk Scenario'!$B$7*0.15)+($BK896*0.10)+($BL896*0.05)+(IF($BB896="Fast",5,IF($BB896="Slow",1,3))*0.05))))</f>
        <v/>
      </c>
      <c r="BQ896">
        <f>IF($H896="","",MAX(IF($BN896="Yes",$BO896,1),MIN(5,($U896*0.20)+($V896*0.15)+($W896*0.25)+($X896*0.15)+($BJ896*0.10)+($BM896*0.15))))</f>
        <v/>
      </c>
      <c r="BR896">
        <f>IF(OR($BP896="",$BQ896=""),"",ROUND($BP896*$BQ896,2))</f>
        <v/>
      </c>
      <c r="BS896">
        <f>IF($BR896="","",ROUND($BR896*IF($AO896="",1,$AO896)*IF($AX896="",1,$AX896)*(1+(($BM896-3)*0.10))*IF($BC896="",1,$BC896),2))</f>
        <v/>
      </c>
    </row>
    <row r="897" ht="69.90000000000001" customHeight="1" s="209">
      <c r="A897">
        <f>IF($BD897="","",SUMPRODUCT(ISNUMBER($BD$500:$BD$923)*($BD$500:$BD$923&gt;$BD897))+COUNTIF($BD$500:$BD897,$BD897))</f>
        <v/>
      </c>
      <c r="B897">
        <f>IF($H897="","",IF($H897&lt;5,"Yes","Maintain"))</f>
        <v/>
      </c>
      <c r="C897" t="inlineStr">
        <is>
          <t>Cyber Privacy</t>
        </is>
      </c>
      <c r="D897" t="inlineStr">
        <is>
          <t>Privacy</t>
        </is>
      </c>
      <c r="E897" t="inlineStr">
        <is>
          <t>CYBE-033</t>
        </is>
      </c>
      <c r="F897" t="inlineStr">
        <is>
          <t>Cybersecurity, privacy and access control</t>
        </is>
      </c>
      <c r="G897">
        <f>IF($H897="","",IFERROR(INDEX('_ENGINE_Risk'!$H$41:$M$920,MATCH($E897,'_ENGINE_Risk'!$A$41:$A$920,0),$H897+1),""))</f>
        <v/>
      </c>
      <c r="H897">
        <f>IFERROR(VALUE(INDEX(_DATA_Assessment_Model!$H$5:$H$884,MATCH($E897,_DATA_Assessment_Model!$A$5:$A$884,0))),"")</f>
        <v/>
      </c>
      <c r="I897">
        <f>IF($H897="","",IFERROR(INDEX(_DATA_Assessment_Model!$L$5:$L$884,MATCH($E897,_DATA_Assessment_Model!$A$5:$A$884,0)),IF($H897&lt;=1,"Critical",IF($H897=2,"High",IF($H897=3,"Medium",IF($H897=4,"Low","Resilient"))))))</f>
        <v/>
      </c>
      <c r="J897">
        <f>IF($H897="","",MIN(5,MAX(1,6-$H897)))</f>
        <v/>
      </c>
      <c r="K897">
        <f>IF($H897="","",MAX(1,MIN(5,ROUNDUP(($U897*0.45)+($W897*0.35)+($X897*0.2),0))))</f>
        <v/>
      </c>
      <c r="L897">
        <f>IF($H897="","",$J897*$K897)</f>
        <v/>
      </c>
      <c r="M897">
        <f>IF($H897="","",MAX(1,MIN(5,ROUNDUP($L897/5,0))))</f>
        <v/>
      </c>
      <c r="N897">
        <f>IF($H897="","",IFERROR(INDEX('_ENGINE_Risk'!$T$41:$Y$920,MATCH($E897,'_ENGINE_Risk'!$A$41:$A$920,0),$H897+1),""))</f>
        <v/>
      </c>
      <c r="O897">
        <f>IF($H897="","",MAX(1,MIN(5,($U897+$V897+$X897)/3)))</f>
        <v/>
      </c>
      <c r="P897">
        <f>IF($H897="","",IF($I897="Critical",5,IF($I897="High",4,IF($I897="Medium",3,IF($I897="Low",2,1)))))</f>
        <v/>
      </c>
      <c r="Q897">
        <f>IF($H897="","",MAX(1,MIN(5,((5-$H897)*0.65)+($W897*0.35))))</f>
        <v/>
      </c>
      <c r="R897">
        <f>IF($H897="","",MAX(1,MIN(5,($V897+$X897)/2)))</f>
        <v/>
      </c>
      <c r="S897">
        <f>IF(OR($H897="",$N897=""),"",ROUND(($O897+$P897+$Q897+$R897)/$N897,2))</f>
        <v/>
      </c>
      <c r="T897">
        <f>IF($H897="","",IFERROR(INDEX('_ENGINE_Risk'!$N$41:$S$920,MATCH($E897,'_ENGINE_Risk'!$A$41:$A$920,0),$H897+1),""))</f>
        <v/>
      </c>
      <c r="U897">
        <f>IFERROR(INDEX(_DATA_Assessment_Model!$G$5:$G$884,MATCH($E897,_DATA_Assessment_Model!$A$5:$A$884,0)),"")</f>
        <v/>
      </c>
      <c r="V897">
        <f>IFERROR(INDEX(_DATA_Assessment_Model!$W$5:$W$884,MATCH($E897,_DATA_Assessment_Model!$A$5:$A$884,0)),"")</f>
        <v/>
      </c>
      <c r="W897">
        <f>IFERROR(INDEX(_DATA_Assessment_Model!$X$5:$X$884,MATCH($E897,_DATA_Assessment_Model!$A$5:$A$884,0)),"")</f>
        <v/>
      </c>
      <c r="X897">
        <f>IFERROR(INDEX(_DATA_Assessment_Model!$Y$5:$Y$884,MATCH($E897,_DATA_Assessment_Model!$A$5:$A$884,0)),"")</f>
        <v/>
      </c>
      <c r="Y897" t="inlineStr">
        <is>
          <t>Cyberattack; Data breach; Ransomware; Insider threat</t>
        </is>
      </c>
      <c r="Z897" t="inlineStr">
        <is>
          <t>CISO / IT Security</t>
        </is>
      </c>
      <c r="AA897" t="inlineStr">
        <is>
          <t>Policy/SOP; owner/RACI; system report; dashboard; contracts; test records; incident history; interview evidence related to personal data breach detection, assessment and notification within required timelines.</t>
        </is>
      </c>
      <c r="AB897">
        <f>IFERROR(INDEX(_DATA_Assessment_Model!$U$5:$U$884,MATCH($E897,_DATA_Assessment_Model!$A$5:$A$884,0)),"")</f>
        <v/>
      </c>
      <c r="AF897" t="inlineStr">
        <is>
          <t>How mature is the organization in managing personal data breach detection, assessment and notification within required timelines, including ownership, evidence, metrics, fallback procedures and crisis stress testing?</t>
        </is>
      </c>
      <c r="AO897">
        <f>IF($B897="Yes",IFERROR(INDEX(_ENGINE_Crisis!$F$501:$F$517,MATCH($C897,_ENGINE_Crisis!$A$501:$A$517,0)),1),"")</f>
        <v/>
      </c>
      <c r="AP897">
        <f>IF(AO897="","",ROUND($L897*AO897,1))</f>
        <v/>
      </c>
      <c r="AQ897">
        <f>IF(OR(AO897="",$S897=""),"",ROUND($S897*(0.7+0.3*AO897),2))</f>
        <v/>
      </c>
      <c r="AR897">
        <f>IFERROR(INDEX(_ENGINE_Crisis!$E$41:$E$700,MATCH('Resilience &amp; Risk Scenario'!$B$60&amp;"|"&amp;$C897,_ENGINE_Crisis!$I$41:$I$700,0)),"")</f>
        <v/>
      </c>
      <c r="AS897">
        <f>IFERROR(INDEX(_ENGINE_Crisis!$G$41:$G$700,MATCH('Resilience &amp; Risk Scenario'!$B$60&amp;"|"&amp;$C897,_ENGINE_Crisis!$I$41:$I$700,0)),"")</f>
        <v/>
      </c>
      <c r="AT897">
        <f>IFERROR(INDEX(_ENGINE_Initiatives!$A$5:$A$532,MATCH(1,INDEX((_ENGINE_Initiatives!$B$5:$B$532=$C897)*(_ENGINE_Initiatives!$C$5:$C$532=$D897),0),0)),"")</f>
        <v/>
      </c>
      <c r="AU897">
        <f>IFERROR(INDEX(_ENGINE_Initiatives!$F$5:$F$532,MATCH(1,INDEX((_ENGINE_Initiatives!$B$5:$B$532=$C897)*(_ENGINE_Initiatives!$C$5:$C$532=$D897),0),0)),"")</f>
        <v/>
      </c>
      <c r="AV897">
        <f>IFERROR(INDEX(_ENGINE_Initiatives!$AC$5:$AC$532,MATCH(1,INDEX((_ENGINE_Initiatives!$B$5:$B$532=$C897)*(_ENGINE_Initiatives!$C$5:$C$532=$D897),0),0)),"")</f>
        <v/>
      </c>
      <c r="AW897">
        <f>IFERROR(INDEX(_ENGINE_Initiatives!$AE$5:$AE$532,MATCH(1,INDEX((_ENGINE_Initiatives!$B$5:$B$532=$C897)*(_ENGINE_Initiatives!$C$5:$C$532=$D897),0),0)),"")</f>
        <v/>
      </c>
      <c r="AX897">
        <f>IF($B897="Yes",IFERROR(IF(SUMIFS(_REF_Model_Content!$E$1:$E$613,_REF_Model_Content!$A$1:$A$613,'Company Profile'!$B$9,_REF_Model_Content!$B$1:$B$613,$C897)=0,1,SUMIFS(_REF_Model_Content!$E$1:$E$613,_REF_Model_Content!$A$1:$A$613,'Company Profile'!$B$9,_REF_Model_Content!$B$1:$B$613,$C897)),1),"")</f>
        <v/>
      </c>
      <c r="AY897">
        <f>IF($L897="","",ROUND(IF($AP897="",$L897,$AP897)*IF($AX897="",1,$AX897),2))</f>
        <v/>
      </c>
      <c r="AZ897">
        <f>IF($S897="","",ROUND(IF($AQ897="",$S897,$AQ897)*IF($AX897="",1,$AX897),2))</f>
        <v/>
      </c>
      <c r="BB897">
        <f>IF($H897="","",IFERROR(INDEX('_ENGINE_Risk'!$AE$41:$AE$920,MATCH($E897,'_ENGINE_Risk'!$A$41:$A$920,0)),"Medium"))</f>
        <v/>
      </c>
      <c r="BC897">
        <f>IF($BB897="","",IF($BB897="Fast",1.25,IF($BB897="Slow",0.85,1)))</f>
        <v/>
      </c>
      <c r="BD897">
        <f>IF(OR($AZ897="",$BC897=""),"",ROUND($AZ897*$BC897,2))</f>
        <v/>
      </c>
      <c r="BF897">
        <f>IF(OR($H897="",$J897=""),"",_xlfn.IFNA(VLOOKUP($J897,_CONFIG_Model_Settings!$D$610:$E$614,2,0),""))</f>
        <v/>
      </c>
      <c r="BG897">
        <f>IF(OR($H897="",$K897=""),"",ROUND('Company Profile'!$B$569*INDEX(_CONFIG_Model_Settings!$H$610:$H$614,MATCH($K897,_CONFIG_Model_Settings!$G$610:$G$614,0)),0))</f>
        <v/>
      </c>
      <c r="BH897">
        <f>IF(OR($BF897="",$BG897=""),"",ROUND($BF897*$BG897,1))</f>
        <v/>
      </c>
      <c r="BI897">
        <f>IF($BH897="","",IF($AO897="",$BH897,ROUND($BH897*$AO897,1)))</f>
        <v/>
      </c>
      <c r="BJ897">
        <f>IF($E897="","",IFERROR(VLOOKUP($C897,'_CONFIG_Risk_Calibration'!$A$5:$H$21,2,FALSE),3))</f>
        <v/>
      </c>
      <c r="BK897">
        <f>IF($E897="","",IFERROR(VLOOKUP($C897,'_CONFIG_Risk_Calibration'!$A$5:$H$21,3,FALSE),0))</f>
        <v/>
      </c>
      <c r="BL897">
        <f>IF($E897="","",IFERROR(VLOOKUP($C897,'_CONFIG_Risk_Calibration'!$A$5:$H$21,4,FALSE),3))</f>
        <v/>
      </c>
      <c r="BM897">
        <f>IF($E897="","",IFERROR(VLOOKUP($C897,'_CONFIG_Risk_Calibration'!$A$5:$H$21,5,FALSE),3))</f>
        <v/>
      </c>
      <c r="BN897">
        <f>IF($E897="","",IFERROR(VLOOKUP($C897,'_CONFIG_Risk_Calibration'!$A$5:$H$21,6,FALSE),"No"))</f>
        <v/>
      </c>
      <c r="BO897">
        <f>IF($E897="","",IFERROR(VLOOKUP($C897,'_CONFIG_Risk_Calibration'!$A$5:$H$21,7,FALSE),1))</f>
        <v/>
      </c>
      <c r="BP897">
        <f>IF($H897="","",MAX(1,MIN(5,((6-$H897)*0.45)+($BJ897*0.20)+('Resilience &amp; Risk Scenario'!$B$7*0.15)+($BK897*0.10)+($BL897*0.05)+(IF($BB897="Fast",5,IF($BB897="Slow",1,3))*0.05))))</f>
        <v/>
      </c>
      <c r="BQ897">
        <f>IF($H897="","",MAX(IF($BN897="Yes",$BO897,1),MIN(5,($U897*0.20)+($V897*0.15)+($W897*0.25)+($X897*0.15)+($BJ897*0.10)+($BM897*0.15))))</f>
        <v/>
      </c>
      <c r="BR897">
        <f>IF(OR($BP897="",$BQ897=""),"",ROUND($BP897*$BQ897,2))</f>
        <v/>
      </c>
      <c r="BS897">
        <f>IF($BR897="","",ROUND($BR897*IF($AO897="",1,$AO897)*IF($AX897="",1,$AX897)*(1+(($BM897-3)*0.10))*IF($BC897="",1,$BC897),2))</f>
        <v/>
      </c>
    </row>
    <row r="898" ht="69.90000000000001" customHeight="1" s="209">
      <c r="A898">
        <f>IF($BD898="","",SUMPRODUCT(ISNUMBER($BD$500:$BD$923)*($BD$500:$BD$923&gt;$BD898))+COUNTIF($BD$500:$BD898,$BD898))</f>
        <v/>
      </c>
      <c r="B898">
        <f>IF($H898="","",IF($H898&lt;5,"Yes","Maintain"))</f>
        <v/>
      </c>
      <c r="C898" t="inlineStr">
        <is>
          <t>Cyber Privacy</t>
        </is>
      </c>
      <c r="D898" t="inlineStr">
        <is>
          <t>Security governance</t>
        </is>
      </c>
      <c r="E898" t="inlineStr">
        <is>
          <t>CYBE-035</t>
        </is>
      </c>
      <c r="F898" t="inlineStr">
        <is>
          <t>Cybersecurity supply chain</t>
        </is>
      </c>
      <c r="G898">
        <f>IF($H898="","",IFERROR(INDEX('_ENGINE_Risk'!$H$41:$M$920,MATCH($E898,'_ENGINE_Risk'!$A$41:$A$920,0),$H898+1),""))</f>
        <v/>
      </c>
      <c r="H898">
        <f>IFERROR(VALUE(INDEX(_DATA_Assessment_Model!$H$5:$H$884,MATCH($E898,_DATA_Assessment_Model!$A$5:$A$884,0))),"")</f>
        <v/>
      </c>
      <c r="I898">
        <f>IF($H898="","",IFERROR(INDEX(_DATA_Assessment_Model!$L$5:$L$884,MATCH($E898,_DATA_Assessment_Model!$A$5:$A$884,0)),IF($H898&lt;=1,"Critical",IF($H898=2,"High",IF($H898=3,"Medium",IF($H898=4,"Low","Resilient"))))))</f>
        <v/>
      </c>
      <c r="J898">
        <f>IF($H898="","",MIN(5,MAX(1,6-$H898)))</f>
        <v/>
      </c>
      <c r="K898">
        <f>IF($H898="","",MAX(1,MIN(5,ROUNDUP(($U898*0.45)+($W898*0.35)+($X898*0.2),0))))</f>
        <v/>
      </c>
      <c r="L898">
        <f>IF($H898="","",$J898*$K898)</f>
        <v/>
      </c>
      <c r="M898">
        <f>IF($H898="","",MAX(1,MIN(5,ROUNDUP($L898/5,0))))</f>
        <v/>
      </c>
      <c r="N898">
        <f>IF($H898="","",IFERROR(INDEX('_ENGINE_Risk'!$T$41:$Y$920,MATCH($E898,'_ENGINE_Risk'!$A$41:$A$920,0),$H898+1),""))</f>
        <v/>
      </c>
      <c r="O898">
        <f>IF($H898="","",MAX(1,MIN(5,($U898+$V898+$X898)/3)))</f>
        <v/>
      </c>
      <c r="P898">
        <f>IF($H898="","",IF($I898="Critical",5,IF($I898="High",4,IF($I898="Medium",3,IF($I898="Low",2,1)))))</f>
        <v/>
      </c>
      <c r="Q898">
        <f>IF($H898="","",MAX(1,MIN(5,((5-$H898)*0.65)+($W898*0.35))))</f>
        <v/>
      </c>
      <c r="R898">
        <f>IF($H898="","",MAX(1,MIN(5,($V898+$X898)/2)))</f>
        <v/>
      </c>
      <c r="S898">
        <f>IF(OR($H898="",$N898=""),"",ROUND(($O898+$P898+$Q898+$R898)/$N898,2))</f>
        <v/>
      </c>
      <c r="T898">
        <f>IF($H898="","",IFERROR(INDEX('_ENGINE_Risk'!$N$41:$S$920,MATCH($E898,'_ENGINE_Risk'!$A$41:$A$920,0),$H898+1),""))</f>
        <v/>
      </c>
      <c r="U898">
        <f>IFERROR(INDEX(_DATA_Assessment_Model!$G$5:$G$884,MATCH($E898,_DATA_Assessment_Model!$A$5:$A$884,0)),"")</f>
        <v/>
      </c>
      <c r="V898">
        <f>IFERROR(INDEX(_DATA_Assessment_Model!$W$5:$W$884,MATCH($E898,_DATA_Assessment_Model!$A$5:$A$884,0)),"")</f>
        <v/>
      </c>
      <c r="W898">
        <f>IFERROR(INDEX(_DATA_Assessment_Model!$X$5:$X$884,MATCH($E898,_DATA_Assessment_Model!$A$5:$A$884,0)),"")</f>
        <v/>
      </c>
      <c r="X898">
        <f>IFERROR(INDEX(_DATA_Assessment_Model!$Y$5:$Y$884,MATCH($E898,_DATA_Assessment_Model!$A$5:$A$884,0)),"")</f>
        <v/>
      </c>
      <c r="Y898" t="inlineStr">
        <is>
          <t>Cyberattack/ransomware; Supplier/logistics disruption; Cloud/SaaS outage</t>
        </is>
      </c>
      <c r="Z898" t="inlineStr">
        <is>
          <t>CISO / IT</t>
        </is>
      </c>
      <c r="AA898" t="inlineStr">
        <is>
          <t>Policy/SOP; owner/RACI; system report; dashboard; contracts; test records; incident history; interview evidence related to inclusion of critical suppliers and service providers in incident response planning, contact lists and joint exercises</t>
        </is>
      </c>
      <c r="AB898">
        <f>IFERROR(INDEX(_DATA_Assessment_Model!$U$5:$U$884,MATCH($E898,_DATA_Assessment_Model!$A$5:$A$884,0)),"")</f>
        <v/>
      </c>
      <c r="AF898" t="inlineStr">
        <is>
          <t>How mature is the organization in managing inclusion of critical suppliers and service providers in incident response planning, contact lists and joint exercises, including ownership, evidence, metrics, fallback procedures and crisis stress testing?</t>
        </is>
      </c>
      <c r="AO898">
        <f>IF($B898="Yes",IFERROR(INDEX(_ENGINE_Crisis!$F$501:$F$517,MATCH($C898,_ENGINE_Crisis!$A$501:$A$517,0)),1),"")</f>
        <v/>
      </c>
      <c r="AP898">
        <f>IF(AO898="","",ROUND($L898*AO898,1))</f>
        <v/>
      </c>
      <c r="AQ898">
        <f>IF(OR(AO898="",$S898=""),"",ROUND($S898*(0.7+0.3*AO898),2))</f>
        <v/>
      </c>
      <c r="AR898">
        <f>IFERROR(INDEX(_ENGINE_Crisis!$E$41:$E$700,MATCH('Resilience &amp; Risk Scenario'!$B$60&amp;"|"&amp;$C898,_ENGINE_Crisis!$I$41:$I$700,0)),"")</f>
        <v/>
      </c>
      <c r="AS898">
        <f>IFERROR(INDEX(_ENGINE_Crisis!$G$41:$G$700,MATCH('Resilience &amp; Risk Scenario'!$B$60&amp;"|"&amp;$C898,_ENGINE_Crisis!$I$41:$I$700,0)),"")</f>
        <v/>
      </c>
      <c r="AT898">
        <f>IFERROR(INDEX(_ENGINE_Initiatives!$A$5:$A$532,MATCH(1,INDEX((_ENGINE_Initiatives!$B$5:$B$532=$C898)*(_ENGINE_Initiatives!$C$5:$C$532=$D898),0),0)),"")</f>
        <v/>
      </c>
      <c r="AU898">
        <f>IFERROR(INDEX(_ENGINE_Initiatives!$F$5:$F$532,MATCH(1,INDEX((_ENGINE_Initiatives!$B$5:$B$532=$C898)*(_ENGINE_Initiatives!$C$5:$C$532=$D898),0),0)),"")</f>
        <v/>
      </c>
      <c r="AV898">
        <f>IFERROR(INDEX(_ENGINE_Initiatives!$AC$5:$AC$532,MATCH(1,INDEX((_ENGINE_Initiatives!$B$5:$B$532=$C898)*(_ENGINE_Initiatives!$C$5:$C$532=$D898),0),0)),"")</f>
        <v/>
      </c>
      <c r="AW898">
        <f>IFERROR(INDEX(_ENGINE_Initiatives!$AE$5:$AE$532,MATCH(1,INDEX((_ENGINE_Initiatives!$B$5:$B$532=$C898)*(_ENGINE_Initiatives!$C$5:$C$532=$D898),0),0)),"")</f>
        <v/>
      </c>
      <c r="AX898">
        <f>IF($B898="Yes",IFERROR(IF(SUMIFS(_REF_Model_Content!$E$1:$E$613,_REF_Model_Content!$A$1:$A$613,'Company Profile'!$B$9,_REF_Model_Content!$B$1:$B$613,$C898)=0,1,SUMIFS(_REF_Model_Content!$E$1:$E$613,_REF_Model_Content!$A$1:$A$613,'Company Profile'!$B$9,_REF_Model_Content!$B$1:$B$613,$C898)),1),"")</f>
        <v/>
      </c>
      <c r="AY898">
        <f>IF($L898="","",ROUND(IF($AP898="",$L898,$AP898)*IF($AX898="",1,$AX898),2))</f>
        <v/>
      </c>
      <c r="AZ898">
        <f>IF($S898="","",ROUND(IF($AQ898="",$S898,$AQ898)*IF($AX898="",1,$AX898),2))</f>
        <v/>
      </c>
      <c r="BB898">
        <f>IF($H898="","",IFERROR(INDEX('_ENGINE_Risk'!$AE$41:$AE$920,MATCH($E898,'_ENGINE_Risk'!$A$41:$A$920,0)),"Medium"))</f>
        <v/>
      </c>
      <c r="BC898">
        <f>IF($BB898="","",IF($BB898="Fast",1.25,IF($BB898="Slow",0.85,1)))</f>
        <v/>
      </c>
      <c r="BD898">
        <f>IF(OR($AZ898="",$BC898=""),"",ROUND($AZ898*$BC898,2))</f>
        <v/>
      </c>
      <c r="BF898">
        <f>IF(OR($H898="",$J898=""),"",_xlfn.IFNA(VLOOKUP($J898,_CONFIG_Model_Settings!$D$610:$E$614,2,0),""))</f>
        <v/>
      </c>
      <c r="BG898">
        <f>IF(OR($H898="",$K898=""),"",ROUND('Company Profile'!$B$569*INDEX(_CONFIG_Model_Settings!$H$610:$H$614,MATCH($K898,_CONFIG_Model_Settings!$G$610:$G$614,0)),0))</f>
        <v/>
      </c>
      <c r="BH898">
        <f>IF(OR($BF898="",$BG898=""),"",ROUND($BF898*$BG898,1))</f>
        <v/>
      </c>
      <c r="BI898">
        <f>IF($BH898="","",IF($AO898="",$BH898,ROUND($BH898*$AO898,1)))</f>
        <v/>
      </c>
      <c r="BJ898">
        <f>IF($E898="","",IFERROR(VLOOKUP($C898,'_CONFIG_Risk_Calibration'!$A$5:$H$21,2,FALSE),3))</f>
        <v/>
      </c>
      <c r="BK898">
        <f>IF($E898="","",IFERROR(VLOOKUP($C898,'_CONFIG_Risk_Calibration'!$A$5:$H$21,3,FALSE),0))</f>
        <v/>
      </c>
      <c r="BL898">
        <f>IF($E898="","",IFERROR(VLOOKUP($C898,'_CONFIG_Risk_Calibration'!$A$5:$H$21,4,FALSE),3))</f>
        <v/>
      </c>
      <c r="BM898">
        <f>IF($E898="","",IFERROR(VLOOKUP($C898,'_CONFIG_Risk_Calibration'!$A$5:$H$21,5,FALSE),3))</f>
        <v/>
      </c>
      <c r="BN898">
        <f>IF($E898="","",IFERROR(VLOOKUP($C898,'_CONFIG_Risk_Calibration'!$A$5:$H$21,6,FALSE),"No"))</f>
        <v/>
      </c>
      <c r="BO898">
        <f>IF($E898="","",IFERROR(VLOOKUP($C898,'_CONFIG_Risk_Calibration'!$A$5:$H$21,7,FALSE),1))</f>
        <v/>
      </c>
      <c r="BP898">
        <f>IF($H898="","",MAX(1,MIN(5,((6-$H898)*0.45)+($BJ898*0.20)+('Resilience &amp; Risk Scenario'!$B$7*0.15)+($BK898*0.10)+($BL898*0.05)+(IF($BB898="Fast",5,IF($BB898="Slow",1,3))*0.05))))</f>
        <v/>
      </c>
      <c r="BQ898">
        <f>IF($H898="","",MAX(IF($BN898="Yes",$BO898,1),MIN(5,($U898*0.20)+($V898*0.15)+($W898*0.25)+($X898*0.15)+($BJ898*0.10)+($BM898*0.15))))</f>
        <v/>
      </c>
      <c r="BR898">
        <f>IF(OR($BP898="",$BQ898=""),"",ROUND($BP898*$BQ898,2))</f>
        <v/>
      </c>
      <c r="BS898">
        <f>IF($BR898="","",ROUND($BR898*IF($AO898="",1,$AO898)*IF($AX898="",1,$AX898)*(1+(($BM898-3)*0.10))*IF($BC898="",1,$BC898),2))</f>
        <v/>
      </c>
    </row>
    <row r="899" ht="69.90000000000001" customHeight="1" s="209">
      <c r="A899">
        <f>IF($BD899="","",SUMPRODUCT(ISNUMBER($BD$500:$BD$923)*($BD$500:$BD$923&gt;$BD899))+COUNTIF($BD$500:$BD899,$BD899))</f>
        <v/>
      </c>
      <c r="B899">
        <f>IF($H899="","",IF($H899&lt;5,"Yes","Maintain"))</f>
        <v/>
      </c>
      <c r="C899" t="inlineStr">
        <is>
          <t>Cyber Privacy</t>
        </is>
      </c>
      <c r="D899" t="inlineStr">
        <is>
          <t>Security governance</t>
        </is>
      </c>
      <c r="E899" t="inlineStr">
        <is>
          <t>CYBE-036</t>
        </is>
      </c>
      <c r="F899" t="inlineStr">
        <is>
          <t>Cybersecurity supply chain</t>
        </is>
      </c>
      <c r="G899">
        <f>IF($H899="","",IFERROR(INDEX('_ENGINE_Risk'!$H$41:$M$920,MATCH($E899,'_ENGINE_Risk'!$A$41:$A$920,0),$H899+1),""))</f>
        <v/>
      </c>
      <c r="H899">
        <f>IFERROR(VALUE(INDEX(_DATA_Assessment_Model!$H$5:$H$884,MATCH($E899,_DATA_Assessment_Model!$A$5:$A$884,0))),"")</f>
        <v/>
      </c>
      <c r="I899">
        <f>IF($H899="","",IFERROR(INDEX(_DATA_Assessment_Model!$L$5:$L$884,MATCH($E899,_DATA_Assessment_Model!$A$5:$A$884,0)),IF($H899&lt;=1,"Critical",IF($H899=2,"High",IF($H899=3,"Medium",IF($H899=4,"Low","Resilient"))))))</f>
        <v/>
      </c>
      <c r="J899">
        <f>IF($H899="","",MIN(5,MAX(1,6-$H899)))</f>
        <v/>
      </c>
      <c r="K899">
        <f>IF($H899="","",MAX(1,MIN(5,ROUNDUP(($U899*0.45)+($W899*0.35)+($X899*0.2),0))))</f>
        <v/>
      </c>
      <c r="L899">
        <f>IF($H899="","",$J899*$K899)</f>
        <v/>
      </c>
      <c r="M899">
        <f>IF($H899="","",MAX(1,MIN(5,ROUNDUP($L899/5,0))))</f>
        <v/>
      </c>
      <c r="N899">
        <f>IF($H899="","",IFERROR(INDEX('_ENGINE_Risk'!$T$41:$Y$920,MATCH($E899,'_ENGINE_Risk'!$A$41:$A$920,0),$H899+1),""))</f>
        <v/>
      </c>
      <c r="O899">
        <f>IF($H899="","",MAX(1,MIN(5,($U899+$V899+$X899)/3)))</f>
        <v/>
      </c>
      <c r="P899">
        <f>IF($H899="","",IF($I899="Critical",5,IF($I899="High",4,IF($I899="Medium",3,IF($I899="Low",2,1)))))</f>
        <v/>
      </c>
      <c r="Q899">
        <f>IF($H899="","",MAX(1,MIN(5,((5-$H899)*0.65)+($W899*0.35))))</f>
        <v/>
      </c>
      <c r="R899">
        <f>IF($H899="","",MAX(1,MIN(5,($V899+$X899)/2)))</f>
        <v/>
      </c>
      <c r="S899">
        <f>IF(OR($H899="",$N899=""),"",ROUND(($O899+$P899+$Q899+$R899)/$N899,2))</f>
        <v/>
      </c>
      <c r="T899">
        <f>IF($H899="","",IFERROR(INDEX('_ENGINE_Risk'!$N$41:$S$920,MATCH($E899,'_ENGINE_Risk'!$A$41:$A$920,0),$H899+1),""))</f>
        <v/>
      </c>
      <c r="U899">
        <f>IFERROR(INDEX(_DATA_Assessment_Model!$G$5:$G$884,MATCH($E899,_DATA_Assessment_Model!$A$5:$A$884,0)),"")</f>
        <v/>
      </c>
      <c r="V899">
        <f>IFERROR(INDEX(_DATA_Assessment_Model!$W$5:$W$884,MATCH($E899,_DATA_Assessment_Model!$A$5:$A$884,0)),"")</f>
        <v/>
      </c>
      <c r="W899">
        <f>IFERROR(INDEX(_DATA_Assessment_Model!$X$5:$X$884,MATCH($E899,_DATA_Assessment_Model!$A$5:$A$884,0)),"")</f>
        <v/>
      </c>
      <c r="X899">
        <f>IFERROR(INDEX(_DATA_Assessment_Model!$Y$5:$Y$884,MATCH($E899,_DATA_Assessment_Model!$A$5:$A$884,0)),"")</f>
        <v/>
      </c>
      <c r="Y899" t="inlineStr">
        <is>
          <t>Cyberattack/ransomware; Regulatory/legal shock</t>
        </is>
      </c>
      <c r="Z899" t="inlineStr">
        <is>
          <t>CISO / Procurement</t>
        </is>
      </c>
      <c r="AA899" t="inlineStr">
        <is>
          <t>Policy/SOP; owner/RACI; system report; dashboard; contracts; test records; incident history; interview evidence related to vendor offboarding with access revocation, data return or deletion and post-contract security obligations</t>
        </is>
      </c>
      <c r="AB899">
        <f>IFERROR(INDEX(_DATA_Assessment_Model!$U$5:$U$884,MATCH($E899,_DATA_Assessment_Model!$A$5:$A$884,0)),"")</f>
        <v/>
      </c>
      <c r="AF899" t="inlineStr">
        <is>
          <t>How mature is the organization in managing vendor offboarding with access revocation, data return or deletion and post-contract security obligations, including ownership, evidence, metrics, fallback procedures and crisis stress testing?</t>
        </is>
      </c>
      <c r="AO899">
        <f>IF($B899="Yes",IFERROR(INDEX(_ENGINE_Crisis!$F$501:$F$517,MATCH($C899,_ENGINE_Crisis!$A$501:$A$517,0)),1),"")</f>
        <v/>
      </c>
      <c r="AP899">
        <f>IF(AO899="","",ROUND($L899*AO899,1))</f>
        <v/>
      </c>
      <c r="AQ899">
        <f>IF(OR(AO899="",$S899=""),"",ROUND($S899*(0.7+0.3*AO899),2))</f>
        <v/>
      </c>
      <c r="AR899">
        <f>IFERROR(INDEX(_ENGINE_Crisis!$E$41:$E$700,MATCH('Resilience &amp; Risk Scenario'!$B$60&amp;"|"&amp;$C899,_ENGINE_Crisis!$I$41:$I$700,0)),"")</f>
        <v/>
      </c>
      <c r="AS899">
        <f>IFERROR(INDEX(_ENGINE_Crisis!$G$41:$G$700,MATCH('Resilience &amp; Risk Scenario'!$B$60&amp;"|"&amp;$C899,_ENGINE_Crisis!$I$41:$I$700,0)),"")</f>
        <v/>
      </c>
      <c r="AT899">
        <f>IFERROR(INDEX(_ENGINE_Initiatives!$A$5:$A$532,MATCH(1,INDEX((_ENGINE_Initiatives!$B$5:$B$532=$C899)*(_ENGINE_Initiatives!$C$5:$C$532=$D899),0),0)),"")</f>
        <v/>
      </c>
      <c r="AU899">
        <f>IFERROR(INDEX(_ENGINE_Initiatives!$F$5:$F$532,MATCH(1,INDEX((_ENGINE_Initiatives!$B$5:$B$532=$C899)*(_ENGINE_Initiatives!$C$5:$C$532=$D899),0),0)),"")</f>
        <v/>
      </c>
      <c r="AV899">
        <f>IFERROR(INDEX(_ENGINE_Initiatives!$AC$5:$AC$532,MATCH(1,INDEX((_ENGINE_Initiatives!$B$5:$B$532=$C899)*(_ENGINE_Initiatives!$C$5:$C$532=$D899),0),0)),"")</f>
        <v/>
      </c>
      <c r="AW899">
        <f>IFERROR(INDEX(_ENGINE_Initiatives!$AE$5:$AE$532,MATCH(1,INDEX((_ENGINE_Initiatives!$B$5:$B$532=$C899)*(_ENGINE_Initiatives!$C$5:$C$532=$D899),0),0)),"")</f>
        <v/>
      </c>
      <c r="AX899">
        <f>IF($B899="Yes",IFERROR(IF(SUMIFS(_REF_Model_Content!$E$1:$E$613,_REF_Model_Content!$A$1:$A$613,'Company Profile'!$B$9,_REF_Model_Content!$B$1:$B$613,$C899)=0,1,SUMIFS(_REF_Model_Content!$E$1:$E$613,_REF_Model_Content!$A$1:$A$613,'Company Profile'!$B$9,_REF_Model_Content!$B$1:$B$613,$C899)),1),"")</f>
        <v/>
      </c>
      <c r="AY899">
        <f>IF($L899="","",ROUND(IF($AP899="",$L899,$AP899)*IF($AX899="",1,$AX899),2))</f>
        <v/>
      </c>
      <c r="AZ899">
        <f>IF($S899="","",ROUND(IF($AQ899="",$S899,$AQ899)*IF($AX899="",1,$AX899),2))</f>
        <v/>
      </c>
      <c r="BB899">
        <f>IF($H899="","",IFERROR(INDEX('_ENGINE_Risk'!$AE$41:$AE$920,MATCH($E899,'_ENGINE_Risk'!$A$41:$A$920,0)),"Medium"))</f>
        <v/>
      </c>
      <c r="BC899">
        <f>IF($BB899="","",IF($BB899="Fast",1.25,IF($BB899="Slow",0.85,1)))</f>
        <v/>
      </c>
      <c r="BD899">
        <f>IF(OR($AZ899="",$BC899=""),"",ROUND($AZ899*$BC899,2))</f>
        <v/>
      </c>
      <c r="BF899">
        <f>IF(OR($H899="",$J899=""),"",_xlfn.IFNA(VLOOKUP($J899,_CONFIG_Model_Settings!$D$610:$E$614,2,0),""))</f>
        <v/>
      </c>
      <c r="BG899">
        <f>IF(OR($H899="",$K899=""),"",ROUND('Company Profile'!$B$569*INDEX(_CONFIG_Model_Settings!$H$610:$H$614,MATCH($K899,_CONFIG_Model_Settings!$G$610:$G$614,0)),0))</f>
        <v/>
      </c>
      <c r="BH899">
        <f>IF(OR($BF899="",$BG899=""),"",ROUND($BF899*$BG899,1))</f>
        <v/>
      </c>
      <c r="BI899">
        <f>IF($BH899="","",IF($AO899="",$BH899,ROUND($BH899*$AO899,1)))</f>
        <v/>
      </c>
      <c r="BJ899">
        <f>IF($E899="","",IFERROR(VLOOKUP($C899,'_CONFIG_Risk_Calibration'!$A$5:$H$21,2,FALSE),3))</f>
        <v/>
      </c>
      <c r="BK899">
        <f>IF($E899="","",IFERROR(VLOOKUP($C899,'_CONFIG_Risk_Calibration'!$A$5:$H$21,3,FALSE),0))</f>
        <v/>
      </c>
      <c r="BL899">
        <f>IF($E899="","",IFERROR(VLOOKUP($C899,'_CONFIG_Risk_Calibration'!$A$5:$H$21,4,FALSE),3))</f>
        <v/>
      </c>
      <c r="BM899">
        <f>IF($E899="","",IFERROR(VLOOKUP($C899,'_CONFIG_Risk_Calibration'!$A$5:$H$21,5,FALSE),3))</f>
        <v/>
      </c>
      <c r="BN899">
        <f>IF($E899="","",IFERROR(VLOOKUP($C899,'_CONFIG_Risk_Calibration'!$A$5:$H$21,6,FALSE),"No"))</f>
        <v/>
      </c>
      <c r="BO899">
        <f>IF($E899="","",IFERROR(VLOOKUP($C899,'_CONFIG_Risk_Calibration'!$A$5:$H$21,7,FALSE),1))</f>
        <v/>
      </c>
      <c r="BP899">
        <f>IF($H899="","",MAX(1,MIN(5,((6-$H899)*0.45)+($BJ899*0.20)+('Resilience &amp; Risk Scenario'!$B$7*0.15)+($BK899*0.10)+($BL899*0.05)+(IF($BB899="Fast",5,IF($BB899="Slow",1,3))*0.05))))</f>
        <v/>
      </c>
      <c r="BQ899">
        <f>IF($H899="","",MAX(IF($BN899="Yes",$BO899,1),MIN(5,($U899*0.20)+($V899*0.15)+($W899*0.25)+($X899*0.15)+($BJ899*0.10)+($BM899*0.15))))</f>
        <v/>
      </c>
      <c r="BR899">
        <f>IF(OR($BP899="",$BQ899=""),"",ROUND($BP899*$BQ899,2))</f>
        <v/>
      </c>
      <c r="BS899">
        <f>IF($BR899="","",ROUND($BR899*IF($AO899="",1,$AO899)*IF($AX899="",1,$AX899)*(1+(($BM899-3)*0.10))*IF($BC899="",1,$BC899),2))</f>
        <v/>
      </c>
    </row>
    <row r="900" ht="69.90000000000001" customHeight="1" s="209">
      <c r="A900">
        <f>IF($BD900="","",SUMPRODUCT(ISNUMBER($BD$500:$BD$923)*($BD$500:$BD$923&gt;$BD900))+COUNTIF($BD$500:$BD900,$BD900))</f>
        <v/>
      </c>
      <c r="B900">
        <f>IF($H900="","",IF($H900&lt;5,"Yes","Maintain"))</f>
        <v/>
      </c>
      <c r="C900" t="inlineStr">
        <is>
          <t>Cyber Privacy</t>
        </is>
      </c>
      <c r="D900" t="inlineStr">
        <is>
          <t>Detection and response</t>
        </is>
      </c>
      <c r="E900" t="inlineStr">
        <is>
          <t>CYBE-037</t>
        </is>
      </c>
      <c r="F900" t="inlineStr">
        <is>
          <t>Threat detection and response</t>
        </is>
      </c>
      <c r="G900">
        <f>IF($H900="","",IFERROR(INDEX('_ENGINE_Risk'!$H$41:$M$920,MATCH($E900,'_ENGINE_Risk'!$A$41:$A$920,0),$H900+1),""))</f>
        <v/>
      </c>
      <c r="H900">
        <f>IFERROR(VALUE(INDEX(_DATA_Assessment_Model!$H$5:$H$884,MATCH($E900,_DATA_Assessment_Model!$A$5:$A$884,0))),"")</f>
        <v/>
      </c>
      <c r="I900">
        <f>IF($H900="","",IFERROR(INDEX(_DATA_Assessment_Model!$L$5:$L$884,MATCH($E900,_DATA_Assessment_Model!$A$5:$A$884,0)),IF($H900&lt;=1,"Critical",IF($H900=2,"High",IF($H900=3,"Medium",IF($H900=4,"Low","Resilient"))))))</f>
        <v/>
      </c>
      <c r="J900">
        <f>IF($H900="","",MIN(5,MAX(1,6-$H900)))</f>
        <v/>
      </c>
      <c r="K900">
        <f>IF($H900="","",MAX(1,MIN(5,ROUNDUP(($U900*0.45)+($W900*0.35)+($X900*0.2),0))))</f>
        <v/>
      </c>
      <c r="L900">
        <f>IF($H900="","",$J900*$K900)</f>
        <v/>
      </c>
      <c r="M900">
        <f>IF($H900="","",MAX(1,MIN(5,ROUNDUP($L900/5,0))))</f>
        <v/>
      </c>
      <c r="N900">
        <f>IF($H900="","",IFERROR(INDEX('_ENGINE_Risk'!$T$41:$Y$920,MATCH($E900,'_ENGINE_Risk'!$A$41:$A$920,0),$H900+1),""))</f>
        <v/>
      </c>
      <c r="O900">
        <f>IF($H900="","",MAX(1,MIN(5,($U900+$V900+$X900)/3)))</f>
        <v/>
      </c>
      <c r="P900">
        <f>IF($H900="","",IF($I900="Critical",5,IF($I900="High",4,IF($I900="Medium",3,IF($I900="Low",2,1)))))</f>
        <v/>
      </c>
      <c r="Q900">
        <f>IF($H900="","",MAX(1,MIN(5,((5-$H900)*0.65)+($W900*0.35))))</f>
        <v/>
      </c>
      <c r="R900">
        <f>IF($H900="","",MAX(1,MIN(5,($V900+$X900)/2)))</f>
        <v/>
      </c>
      <c r="S900">
        <f>IF(OR($H900="",$N900=""),"",ROUND(($O900+$P900+$Q900+$R900)/$N900,2))</f>
        <v/>
      </c>
      <c r="T900">
        <f>IF($H900="","",IFERROR(INDEX('_ENGINE_Risk'!$N$41:$S$920,MATCH($E900,'_ENGINE_Risk'!$A$41:$A$920,0),$H900+1),""))</f>
        <v/>
      </c>
      <c r="U900">
        <f>IFERROR(INDEX(_DATA_Assessment_Model!$G$5:$G$884,MATCH($E900,_DATA_Assessment_Model!$A$5:$A$884,0)),"")</f>
        <v/>
      </c>
      <c r="V900">
        <f>IFERROR(INDEX(_DATA_Assessment_Model!$W$5:$W$884,MATCH($E900,_DATA_Assessment_Model!$A$5:$A$884,0)),"")</f>
        <v/>
      </c>
      <c r="W900">
        <f>IFERROR(INDEX(_DATA_Assessment_Model!$X$5:$X$884,MATCH($E900,_DATA_Assessment_Model!$A$5:$A$884,0)),"")</f>
        <v/>
      </c>
      <c r="X900">
        <f>IFERROR(INDEX(_DATA_Assessment_Model!$Y$5:$Y$884,MATCH($E900,_DATA_Assessment_Model!$A$5:$A$884,0)),"")</f>
        <v/>
      </c>
      <c r="Y900" t="inlineStr">
        <is>
          <t>Cyberattack/ransomware</t>
        </is>
      </c>
      <c r="Z900" t="inlineStr">
        <is>
          <t>CISO / SOC</t>
        </is>
      </c>
      <c r="AA900" t="inlineStr">
        <is>
          <t>Policy/SOP; owner/RACI; system report; dashboard; contracts; test records; incident history; interview evidence related to threat intelligence intake from CERT, sector and vendor sources integrated into detection and patch priorities</t>
        </is>
      </c>
      <c r="AB900">
        <f>IFERROR(INDEX(_DATA_Assessment_Model!$U$5:$U$884,MATCH($E900,_DATA_Assessment_Model!$A$5:$A$884,0)),"")</f>
        <v/>
      </c>
      <c r="AF900" t="inlineStr">
        <is>
          <t>How mature is the organization in managing threat intelligence intake from CERT, sector and vendor sources integrated into detection and patch priorities, including ownership, evidence, metrics, fallback procedures and crisis stress testing?</t>
        </is>
      </c>
      <c r="AO900">
        <f>IF($B900="Yes",IFERROR(INDEX(_ENGINE_Crisis!$F$501:$F$517,MATCH($C900,_ENGINE_Crisis!$A$501:$A$517,0)),1),"")</f>
        <v/>
      </c>
      <c r="AP900">
        <f>IF(AO900="","",ROUND($L900*AO900,1))</f>
        <v/>
      </c>
      <c r="AQ900">
        <f>IF(OR(AO900="",$S900=""),"",ROUND($S900*(0.7+0.3*AO900),2))</f>
        <v/>
      </c>
      <c r="AR900">
        <f>IFERROR(INDEX(_ENGINE_Crisis!$E$41:$E$700,MATCH('Resilience &amp; Risk Scenario'!$B$60&amp;"|"&amp;$C900,_ENGINE_Crisis!$I$41:$I$700,0)),"")</f>
        <v/>
      </c>
      <c r="AS900">
        <f>IFERROR(INDEX(_ENGINE_Crisis!$G$41:$G$700,MATCH('Resilience &amp; Risk Scenario'!$B$60&amp;"|"&amp;$C900,_ENGINE_Crisis!$I$41:$I$700,0)),"")</f>
        <v/>
      </c>
      <c r="AT900">
        <f>IFERROR(INDEX(_ENGINE_Initiatives!$A$5:$A$532,MATCH(1,INDEX((_ENGINE_Initiatives!$B$5:$B$532=$C900)*(_ENGINE_Initiatives!$C$5:$C$532=$D900),0),0)),"")</f>
        <v/>
      </c>
      <c r="AU900">
        <f>IFERROR(INDEX(_ENGINE_Initiatives!$F$5:$F$532,MATCH(1,INDEX((_ENGINE_Initiatives!$B$5:$B$532=$C900)*(_ENGINE_Initiatives!$C$5:$C$532=$D900),0),0)),"")</f>
        <v/>
      </c>
      <c r="AV900">
        <f>IFERROR(INDEX(_ENGINE_Initiatives!$AC$5:$AC$532,MATCH(1,INDEX((_ENGINE_Initiatives!$B$5:$B$532=$C900)*(_ENGINE_Initiatives!$C$5:$C$532=$D900),0),0)),"")</f>
        <v/>
      </c>
      <c r="AW900">
        <f>IFERROR(INDEX(_ENGINE_Initiatives!$AE$5:$AE$532,MATCH(1,INDEX((_ENGINE_Initiatives!$B$5:$B$532=$C900)*(_ENGINE_Initiatives!$C$5:$C$532=$D900),0),0)),"")</f>
        <v/>
      </c>
      <c r="AX900">
        <f>IF($B900="Yes",IFERROR(IF(SUMIFS(_REF_Model_Content!$E$1:$E$613,_REF_Model_Content!$A$1:$A$613,'Company Profile'!$B$9,_REF_Model_Content!$B$1:$B$613,$C900)=0,1,SUMIFS(_REF_Model_Content!$E$1:$E$613,_REF_Model_Content!$A$1:$A$613,'Company Profile'!$B$9,_REF_Model_Content!$B$1:$B$613,$C900)),1),"")</f>
        <v/>
      </c>
      <c r="AY900">
        <f>IF($L900="","",ROUND(IF($AP900="",$L900,$AP900)*IF($AX900="",1,$AX900),2))</f>
        <v/>
      </c>
      <c r="AZ900">
        <f>IF($S900="","",ROUND(IF($AQ900="",$S900,$AQ900)*IF($AX900="",1,$AX900),2))</f>
        <v/>
      </c>
      <c r="BB900">
        <f>IF($H900="","",IFERROR(INDEX('_ENGINE_Risk'!$AE$41:$AE$920,MATCH($E900,'_ENGINE_Risk'!$A$41:$A$920,0)),"Medium"))</f>
        <v/>
      </c>
      <c r="BC900">
        <f>IF($BB900="","",IF($BB900="Fast",1.25,IF($BB900="Slow",0.85,1)))</f>
        <v/>
      </c>
      <c r="BD900">
        <f>IF(OR($AZ900="",$BC900=""),"",ROUND($AZ900*$BC900,2))</f>
        <v/>
      </c>
      <c r="BF900">
        <f>IF(OR($H900="",$J900=""),"",_xlfn.IFNA(VLOOKUP($J900,_CONFIG_Model_Settings!$D$610:$E$614,2,0),""))</f>
        <v/>
      </c>
      <c r="BG900">
        <f>IF(OR($H900="",$K900=""),"",ROUND('Company Profile'!$B$569*INDEX(_CONFIG_Model_Settings!$H$610:$H$614,MATCH($K900,_CONFIG_Model_Settings!$G$610:$G$614,0)),0))</f>
        <v/>
      </c>
      <c r="BH900">
        <f>IF(OR($BF900="",$BG900=""),"",ROUND($BF900*$BG900,1))</f>
        <v/>
      </c>
      <c r="BI900">
        <f>IF($BH900="","",IF($AO900="",$BH900,ROUND($BH900*$AO900,1)))</f>
        <v/>
      </c>
      <c r="BJ900">
        <f>IF($E900="","",IFERROR(VLOOKUP($C900,'_CONFIG_Risk_Calibration'!$A$5:$H$21,2,FALSE),3))</f>
        <v/>
      </c>
      <c r="BK900">
        <f>IF($E900="","",IFERROR(VLOOKUP($C900,'_CONFIG_Risk_Calibration'!$A$5:$H$21,3,FALSE),0))</f>
        <v/>
      </c>
      <c r="BL900">
        <f>IF($E900="","",IFERROR(VLOOKUP($C900,'_CONFIG_Risk_Calibration'!$A$5:$H$21,4,FALSE),3))</f>
        <v/>
      </c>
      <c r="BM900">
        <f>IF($E900="","",IFERROR(VLOOKUP($C900,'_CONFIG_Risk_Calibration'!$A$5:$H$21,5,FALSE),3))</f>
        <v/>
      </c>
      <c r="BN900">
        <f>IF($E900="","",IFERROR(VLOOKUP($C900,'_CONFIG_Risk_Calibration'!$A$5:$H$21,6,FALSE),"No"))</f>
        <v/>
      </c>
      <c r="BO900">
        <f>IF($E900="","",IFERROR(VLOOKUP($C900,'_CONFIG_Risk_Calibration'!$A$5:$H$21,7,FALSE),1))</f>
        <v/>
      </c>
      <c r="BP900">
        <f>IF($H900="","",MAX(1,MIN(5,((6-$H900)*0.45)+($BJ900*0.20)+('Resilience &amp; Risk Scenario'!$B$7*0.15)+($BK900*0.10)+($BL900*0.05)+(IF($BB900="Fast",5,IF($BB900="Slow",1,3))*0.05))))</f>
        <v/>
      </c>
      <c r="BQ900">
        <f>IF($H900="","",MAX(IF($BN900="Yes",$BO900,1),MIN(5,($U900*0.20)+($V900*0.15)+($W900*0.25)+($X900*0.15)+($BJ900*0.10)+($BM900*0.15))))</f>
        <v/>
      </c>
      <c r="BR900">
        <f>IF(OR($BP900="",$BQ900=""),"",ROUND($BP900*$BQ900,2))</f>
        <v/>
      </c>
      <c r="BS900">
        <f>IF($BR900="","",ROUND($BR900*IF($AO900="",1,$AO900)*IF($AX900="",1,$AX900)*(1+(($BM900-3)*0.10))*IF($BC900="",1,$BC900),2))</f>
        <v/>
      </c>
    </row>
    <row r="901" ht="69.90000000000001" customHeight="1" s="209">
      <c r="A901">
        <f>IF($BD901="","",SUMPRODUCT(ISNUMBER($BD$500:$BD$923)*($BD$500:$BD$923&gt;$BD901))+COUNTIF($BD$500:$BD901,$BD901))</f>
        <v/>
      </c>
      <c r="B901">
        <f>IF($H901="","",IF($H901&lt;5,"Yes","Maintain"))</f>
        <v/>
      </c>
      <c r="C901" t="inlineStr">
        <is>
          <t>Cyber Privacy</t>
        </is>
      </c>
      <c r="D901" t="inlineStr">
        <is>
          <t>Detection and response</t>
        </is>
      </c>
      <c r="E901" t="inlineStr">
        <is>
          <t>CYBE-038</t>
        </is>
      </c>
      <c r="F901" t="inlineStr">
        <is>
          <t>Threat detection and response</t>
        </is>
      </c>
      <c r="G901">
        <f>IF($H901="","",IFERROR(INDEX('_ENGINE_Risk'!$H$41:$M$920,MATCH($E901,'_ENGINE_Risk'!$A$41:$A$920,0),$H901+1),""))</f>
        <v/>
      </c>
      <c r="H901">
        <f>IFERROR(VALUE(INDEX(_DATA_Assessment_Model!$H$5:$H$884,MATCH($E901,_DATA_Assessment_Model!$A$5:$A$884,0))),"")</f>
        <v/>
      </c>
      <c r="I901">
        <f>IF($H901="","",IFERROR(INDEX(_DATA_Assessment_Model!$L$5:$L$884,MATCH($E901,_DATA_Assessment_Model!$A$5:$A$884,0)),IF($H901&lt;=1,"Critical",IF($H901=2,"High",IF($H901=3,"Medium",IF($H901=4,"Low","Resilient"))))))</f>
        <v/>
      </c>
      <c r="J901">
        <f>IF($H901="","",MIN(5,MAX(1,6-$H901)))</f>
        <v/>
      </c>
      <c r="K901">
        <f>IF($H901="","",MAX(1,MIN(5,ROUNDUP(($U901*0.45)+($W901*0.35)+($X901*0.2),0))))</f>
        <v/>
      </c>
      <c r="L901">
        <f>IF($H901="","",$J901*$K901)</f>
        <v/>
      </c>
      <c r="M901">
        <f>IF($H901="","",MAX(1,MIN(5,ROUNDUP($L901/5,0))))</f>
        <v/>
      </c>
      <c r="N901">
        <f>IF($H901="","",IFERROR(INDEX('_ENGINE_Risk'!$T$41:$Y$920,MATCH($E901,'_ENGINE_Risk'!$A$41:$A$920,0),$H901+1),""))</f>
        <v/>
      </c>
      <c r="O901">
        <f>IF($H901="","",MAX(1,MIN(5,($U901+$V901+$X901)/3)))</f>
        <v/>
      </c>
      <c r="P901">
        <f>IF($H901="","",IF($I901="Critical",5,IF($I901="High",4,IF($I901="Medium",3,IF($I901="Low",2,1)))))</f>
        <v/>
      </c>
      <c r="Q901">
        <f>IF($H901="","",MAX(1,MIN(5,((5-$H901)*0.65)+($W901*0.35))))</f>
        <v/>
      </c>
      <c r="R901">
        <f>IF($H901="","",MAX(1,MIN(5,($V901+$X901)/2)))</f>
        <v/>
      </c>
      <c r="S901">
        <f>IF(OR($H901="",$N901=""),"",ROUND(($O901+$P901+$Q901+$R901)/$N901,2))</f>
        <v/>
      </c>
      <c r="T901">
        <f>IF($H901="","",IFERROR(INDEX('_ENGINE_Risk'!$N$41:$S$920,MATCH($E901,'_ENGINE_Risk'!$A$41:$A$920,0),$H901+1),""))</f>
        <v/>
      </c>
      <c r="U901">
        <f>IFERROR(INDEX(_DATA_Assessment_Model!$G$5:$G$884,MATCH($E901,_DATA_Assessment_Model!$A$5:$A$884,0)),"")</f>
        <v/>
      </c>
      <c r="V901">
        <f>IFERROR(INDEX(_DATA_Assessment_Model!$W$5:$W$884,MATCH($E901,_DATA_Assessment_Model!$A$5:$A$884,0)),"")</f>
        <v/>
      </c>
      <c r="W901">
        <f>IFERROR(INDEX(_DATA_Assessment_Model!$X$5:$X$884,MATCH($E901,_DATA_Assessment_Model!$A$5:$A$884,0)),"")</f>
        <v/>
      </c>
      <c r="X901">
        <f>IFERROR(INDEX(_DATA_Assessment_Model!$Y$5:$Y$884,MATCH($E901,_DATA_Assessment_Model!$A$5:$A$884,0)),"")</f>
        <v/>
      </c>
      <c r="Y901" t="inlineStr">
        <is>
          <t>Cyberattack/ransomware; Regulatory/legal shock</t>
        </is>
      </c>
      <c r="Z901" t="inlineStr">
        <is>
          <t>CISO / Legal</t>
        </is>
      </c>
      <c r="AA901" t="inlineStr">
        <is>
          <t>Policy/SOP; owner/RACI; system report; dashboard; contracts; test records; incident history; interview evidence related to forensic evidence preservation with defined collection procedures, integrity protection and chain of custody</t>
        </is>
      </c>
      <c r="AB901">
        <f>IFERROR(INDEX(_DATA_Assessment_Model!$U$5:$U$884,MATCH($E901,_DATA_Assessment_Model!$A$5:$A$884,0)),"")</f>
        <v/>
      </c>
      <c r="AF901" t="inlineStr">
        <is>
          <t>How mature is the organization in managing forensic evidence preservation with defined collection procedures, integrity protection and chain of custody, including ownership, evidence, metrics, fallback procedures and crisis stress testing?</t>
        </is>
      </c>
      <c r="AO901">
        <f>IF($B901="Yes",IFERROR(INDEX(_ENGINE_Crisis!$F$501:$F$517,MATCH($C901,_ENGINE_Crisis!$A$501:$A$517,0)),1),"")</f>
        <v/>
      </c>
      <c r="AP901">
        <f>IF(AO901="","",ROUND($L901*AO901,1))</f>
        <v/>
      </c>
      <c r="AQ901">
        <f>IF(OR(AO901="",$S901=""),"",ROUND($S901*(0.7+0.3*AO901),2))</f>
        <v/>
      </c>
      <c r="AR901">
        <f>IFERROR(INDEX(_ENGINE_Crisis!$E$41:$E$700,MATCH('Resilience &amp; Risk Scenario'!$B$60&amp;"|"&amp;$C901,_ENGINE_Crisis!$I$41:$I$700,0)),"")</f>
        <v/>
      </c>
      <c r="AS901">
        <f>IFERROR(INDEX(_ENGINE_Crisis!$G$41:$G$700,MATCH('Resilience &amp; Risk Scenario'!$B$60&amp;"|"&amp;$C901,_ENGINE_Crisis!$I$41:$I$700,0)),"")</f>
        <v/>
      </c>
      <c r="AT901">
        <f>IFERROR(INDEX(_ENGINE_Initiatives!$A$5:$A$532,MATCH(1,INDEX((_ENGINE_Initiatives!$B$5:$B$532=$C901)*(_ENGINE_Initiatives!$C$5:$C$532=$D901),0),0)),"")</f>
        <v/>
      </c>
      <c r="AU901">
        <f>IFERROR(INDEX(_ENGINE_Initiatives!$F$5:$F$532,MATCH(1,INDEX((_ENGINE_Initiatives!$B$5:$B$532=$C901)*(_ENGINE_Initiatives!$C$5:$C$532=$D901),0),0)),"")</f>
        <v/>
      </c>
      <c r="AV901">
        <f>IFERROR(INDEX(_ENGINE_Initiatives!$AC$5:$AC$532,MATCH(1,INDEX((_ENGINE_Initiatives!$B$5:$B$532=$C901)*(_ENGINE_Initiatives!$C$5:$C$532=$D901),0),0)),"")</f>
        <v/>
      </c>
      <c r="AW901">
        <f>IFERROR(INDEX(_ENGINE_Initiatives!$AE$5:$AE$532,MATCH(1,INDEX((_ENGINE_Initiatives!$B$5:$B$532=$C901)*(_ENGINE_Initiatives!$C$5:$C$532=$D901),0),0)),"")</f>
        <v/>
      </c>
      <c r="AX901">
        <f>IF($B901="Yes",IFERROR(IF(SUMIFS(_REF_Model_Content!$E$1:$E$613,_REF_Model_Content!$A$1:$A$613,'Company Profile'!$B$9,_REF_Model_Content!$B$1:$B$613,$C901)=0,1,SUMIFS(_REF_Model_Content!$E$1:$E$613,_REF_Model_Content!$A$1:$A$613,'Company Profile'!$B$9,_REF_Model_Content!$B$1:$B$613,$C901)),1),"")</f>
        <v/>
      </c>
      <c r="AY901">
        <f>IF($L901="","",ROUND(IF($AP901="",$L901,$AP901)*IF($AX901="",1,$AX901),2))</f>
        <v/>
      </c>
      <c r="AZ901">
        <f>IF($S901="","",ROUND(IF($AQ901="",$S901,$AQ901)*IF($AX901="",1,$AX901),2))</f>
        <v/>
      </c>
      <c r="BB901">
        <f>IF($H901="","",IFERROR(INDEX('_ENGINE_Risk'!$AE$41:$AE$920,MATCH($E901,'_ENGINE_Risk'!$A$41:$A$920,0)),"Medium"))</f>
        <v/>
      </c>
      <c r="BC901">
        <f>IF($BB901="","",IF($BB901="Fast",1.25,IF($BB901="Slow",0.85,1)))</f>
        <v/>
      </c>
      <c r="BD901">
        <f>IF(OR($AZ901="",$BC901=""),"",ROUND($AZ901*$BC901,2))</f>
        <v/>
      </c>
      <c r="BF901">
        <f>IF(OR($H901="",$J901=""),"",_xlfn.IFNA(VLOOKUP($J901,_CONFIG_Model_Settings!$D$610:$E$614,2,0),""))</f>
        <v/>
      </c>
      <c r="BG901">
        <f>IF(OR($H901="",$K901=""),"",ROUND('Company Profile'!$B$569*INDEX(_CONFIG_Model_Settings!$H$610:$H$614,MATCH($K901,_CONFIG_Model_Settings!$G$610:$G$614,0)),0))</f>
        <v/>
      </c>
      <c r="BH901">
        <f>IF(OR($BF901="",$BG901=""),"",ROUND($BF901*$BG901,1))</f>
        <v/>
      </c>
      <c r="BI901">
        <f>IF($BH901="","",IF($AO901="",$BH901,ROUND($BH901*$AO901,1)))</f>
        <v/>
      </c>
      <c r="BJ901">
        <f>IF($E901="","",IFERROR(VLOOKUP($C901,'_CONFIG_Risk_Calibration'!$A$5:$H$21,2,FALSE),3))</f>
        <v/>
      </c>
      <c r="BK901">
        <f>IF($E901="","",IFERROR(VLOOKUP($C901,'_CONFIG_Risk_Calibration'!$A$5:$H$21,3,FALSE),0))</f>
        <v/>
      </c>
      <c r="BL901">
        <f>IF($E901="","",IFERROR(VLOOKUP($C901,'_CONFIG_Risk_Calibration'!$A$5:$H$21,4,FALSE),3))</f>
        <v/>
      </c>
      <c r="BM901">
        <f>IF($E901="","",IFERROR(VLOOKUP($C901,'_CONFIG_Risk_Calibration'!$A$5:$H$21,5,FALSE),3))</f>
        <v/>
      </c>
      <c r="BN901">
        <f>IF($E901="","",IFERROR(VLOOKUP($C901,'_CONFIG_Risk_Calibration'!$A$5:$H$21,6,FALSE),"No"))</f>
        <v/>
      </c>
      <c r="BO901">
        <f>IF($E901="","",IFERROR(VLOOKUP($C901,'_CONFIG_Risk_Calibration'!$A$5:$H$21,7,FALSE),1))</f>
        <v/>
      </c>
      <c r="BP901">
        <f>IF($H901="","",MAX(1,MIN(5,((6-$H901)*0.45)+($BJ901*0.20)+('Resilience &amp; Risk Scenario'!$B$7*0.15)+($BK901*0.10)+($BL901*0.05)+(IF($BB901="Fast",5,IF($BB901="Slow",1,3))*0.05))))</f>
        <v/>
      </c>
      <c r="BQ901">
        <f>IF($H901="","",MAX(IF($BN901="Yes",$BO901,1),MIN(5,($U901*0.20)+($V901*0.15)+($W901*0.25)+($X901*0.15)+($BJ901*0.10)+($BM901*0.15))))</f>
        <v/>
      </c>
      <c r="BR901">
        <f>IF(OR($BP901="",$BQ901=""),"",ROUND($BP901*$BQ901,2))</f>
        <v/>
      </c>
      <c r="BS901">
        <f>IF($BR901="","",ROUND($BR901*IF($AO901="",1,$AO901)*IF($AX901="",1,$AX901)*(1+(($BM901-3)*0.10))*IF($BC901="",1,$BC901),2))</f>
        <v/>
      </c>
    </row>
    <row r="902" ht="69.90000000000001" customHeight="1" s="209">
      <c r="A902">
        <f>IF($BD902="","",SUMPRODUCT(ISNUMBER($BD$500:$BD$923)*($BD$500:$BD$923&gt;$BD902))+COUNTIF($BD$500:$BD902,$BD902))</f>
        <v/>
      </c>
      <c r="B902">
        <f>IF($H902="","",IF($H902&lt;5,"Yes","Maintain"))</f>
        <v/>
      </c>
      <c r="C902" t="inlineStr">
        <is>
          <t>Quality Portfolio</t>
        </is>
      </c>
      <c r="D902" t="inlineStr">
        <is>
          <t>Process management</t>
        </is>
      </c>
      <c r="E902" t="inlineStr">
        <is>
          <t>QUAL-001</t>
        </is>
      </c>
      <c r="F902" t="inlineStr">
        <is>
          <t>Quality, portfolio and change execution risk</t>
        </is>
      </c>
      <c r="G902">
        <f>IF($H902="","",IFERROR(INDEX('_ENGINE_Risk'!$H$41:$M$920,MATCH($E902,'_ENGINE_Risk'!$A$41:$A$920,0),$H902+1),""))</f>
        <v/>
      </c>
      <c r="H902">
        <f>IFERROR(VALUE(INDEX(_DATA_Assessment_Model!$H$5:$H$884,MATCH($E902,_DATA_Assessment_Model!$A$5:$A$884,0))),"")</f>
        <v/>
      </c>
      <c r="I902">
        <f>IF($H902="","",IFERROR(INDEX(_DATA_Assessment_Model!$L$5:$L$884,MATCH($E902,_DATA_Assessment_Model!$A$5:$A$884,0)),IF($H902&lt;=1,"Critical",IF($H902=2,"High",IF($H902=3,"Medium",IF($H902=4,"Low","Resilient"))))))</f>
        <v/>
      </c>
      <c r="J902">
        <f>IF($H902="","",MIN(5,MAX(1,6-$H902)))</f>
        <v/>
      </c>
      <c r="K902">
        <f>IF($H902="","",MAX(1,MIN(5,ROUNDUP(($U902*0.45)+($W902*0.35)+($X902*0.2),0))))</f>
        <v/>
      </c>
      <c r="L902">
        <f>IF($H902="","",$J902*$K902)</f>
        <v/>
      </c>
      <c r="M902">
        <f>IF($H902="","",MAX(1,MIN(5,ROUNDUP($L902/5,0))))</f>
        <v/>
      </c>
      <c r="N902">
        <f>IF($H902="","",IFERROR(INDEX('_ENGINE_Risk'!$T$41:$Y$920,MATCH($E902,'_ENGINE_Risk'!$A$41:$A$920,0),$H902+1),""))</f>
        <v/>
      </c>
      <c r="O902">
        <f>IF($H902="","",MAX(1,MIN(5,($U902+$V902+$X902)/3)))</f>
        <v/>
      </c>
      <c r="P902">
        <f>IF($H902="","",IF($I902="Critical",5,IF($I902="High",4,IF($I902="Medium",3,IF($I902="Low",2,1)))))</f>
        <v/>
      </c>
      <c r="Q902">
        <f>IF($H902="","",MAX(1,MIN(5,((5-$H902)*0.65)+($W902*0.35))))</f>
        <v/>
      </c>
      <c r="R902">
        <f>IF($H902="","",MAX(1,MIN(5,($V902+$X902)/2)))</f>
        <v/>
      </c>
      <c r="S902">
        <f>IF(OR($H902="",$N902=""),"",ROUND(($O902+$P902+$Q902+$R902)/$N902,2))</f>
        <v/>
      </c>
      <c r="T902">
        <f>IF($H902="","",IFERROR(INDEX('_ENGINE_Risk'!$N$41:$S$920,MATCH($E902,'_ENGINE_Risk'!$A$41:$A$920,0),$H902+1),""))</f>
        <v/>
      </c>
      <c r="U902">
        <f>IFERROR(INDEX(_DATA_Assessment_Model!$G$5:$G$884,MATCH($E902,_DATA_Assessment_Model!$A$5:$A$884,0)),"")</f>
        <v/>
      </c>
      <c r="V902">
        <f>IFERROR(INDEX(_DATA_Assessment_Model!$W$5:$W$884,MATCH($E902,_DATA_Assessment_Model!$A$5:$A$884,0)),"")</f>
        <v/>
      </c>
      <c r="W902">
        <f>IFERROR(INDEX(_DATA_Assessment_Model!$X$5:$X$884,MATCH($E902,_DATA_Assessment_Model!$A$5:$A$884,0)),"")</f>
        <v/>
      </c>
      <c r="X902">
        <f>IFERROR(INDEX(_DATA_Assessment_Model!$Y$5:$Y$884,MATCH($E902,_DATA_Assessment_Model!$A$5:$A$884,0)),"")</f>
        <v/>
      </c>
      <c r="Y902" t="inlineStr">
        <is>
          <t>Execution failure; Delivery disruption; Decision failure</t>
        </is>
      </c>
      <c r="Z902" t="inlineStr">
        <is>
          <t>COO / PMO / Quality</t>
        </is>
      </c>
      <c r="AA902" t="inlineStr">
        <is>
          <t>Policy/SOP; owner/RACI; system report; dashboard; contracts; test records; incident history; interview evidence related to process architecture covering major value streams and support processes.</t>
        </is>
      </c>
      <c r="AB902">
        <f>IFERROR(INDEX(_DATA_Assessment_Model!$U$5:$U$884,MATCH($E902,_DATA_Assessment_Model!$A$5:$A$884,0)),"")</f>
        <v/>
      </c>
      <c r="AF902" t="inlineStr">
        <is>
          <t>How mature is the organization in managing process architecture covering major value streams and support processes, including ownership, evidence, metrics, fallback procedures and crisis stress testing?</t>
        </is>
      </c>
      <c r="AO902">
        <f>IF($B902="Yes",IFERROR(INDEX(_ENGINE_Crisis!$F$501:$F$517,MATCH($C902,_ENGINE_Crisis!$A$501:$A$517,0)),1),"")</f>
        <v/>
      </c>
      <c r="AP902">
        <f>IF(AO902="","",ROUND($L902*AO902,1))</f>
        <v/>
      </c>
      <c r="AQ902">
        <f>IF(OR(AO902="",$S902=""),"",ROUND($S902*(0.7+0.3*AO902),2))</f>
        <v/>
      </c>
      <c r="AR902">
        <f>IFERROR(INDEX(_ENGINE_Crisis!$E$41:$E$700,MATCH('Resilience &amp; Risk Scenario'!$B$60&amp;"|"&amp;$C902,_ENGINE_Crisis!$I$41:$I$700,0)),"")</f>
        <v/>
      </c>
      <c r="AS902">
        <f>IFERROR(INDEX(_ENGINE_Crisis!$G$41:$G$700,MATCH('Resilience &amp; Risk Scenario'!$B$60&amp;"|"&amp;$C902,_ENGINE_Crisis!$I$41:$I$700,0)),"")</f>
        <v/>
      </c>
      <c r="AT902">
        <f>IFERROR(INDEX(_ENGINE_Initiatives!$A$5:$A$532,MATCH(1,INDEX((_ENGINE_Initiatives!$B$5:$B$532=$C902)*(_ENGINE_Initiatives!$C$5:$C$532=$D902),0),0)),"")</f>
        <v/>
      </c>
      <c r="AU902">
        <f>IFERROR(INDEX(_ENGINE_Initiatives!$F$5:$F$532,MATCH(1,INDEX((_ENGINE_Initiatives!$B$5:$B$532=$C902)*(_ENGINE_Initiatives!$C$5:$C$532=$D902),0),0)),"")</f>
        <v/>
      </c>
      <c r="AV902">
        <f>IFERROR(INDEX(_ENGINE_Initiatives!$AC$5:$AC$532,MATCH(1,INDEX((_ENGINE_Initiatives!$B$5:$B$532=$C902)*(_ENGINE_Initiatives!$C$5:$C$532=$D902),0),0)),"")</f>
        <v/>
      </c>
      <c r="AW902">
        <f>IFERROR(INDEX(_ENGINE_Initiatives!$AE$5:$AE$532,MATCH(1,INDEX((_ENGINE_Initiatives!$B$5:$B$532=$C902)*(_ENGINE_Initiatives!$C$5:$C$532=$D902),0),0)),"")</f>
        <v/>
      </c>
      <c r="AX902">
        <f>IF($B902="Yes",IFERROR(IF(SUMIFS(_REF_Model_Content!$E$1:$E$613,_REF_Model_Content!$A$1:$A$613,'Company Profile'!$B$9,_REF_Model_Content!$B$1:$B$613,$C902)=0,1,SUMIFS(_REF_Model_Content!$E$1:$E$613,_REF_Model_Content!$A$1:$A$613,'Company Profile'!$B$9,_REF_Model_Content!$B$1:$B$613,$C902)),1),"")</f>
        <v/>
      </c>
      <c r="AY902">
        <f>IF($L902="","",ROUND(IF($AP902="",$L902,$AP902)*IF($AX902="",1,$AX902),2))</f>
        <v/>
      </c>
      <c r="AZ902">
        <f>IF($S902="","",ROUND(IF($AQ902="",$S902,$AQ902)*IF($AX902="",1,$AX902),2))</f>
        <v/>
      </c>
      <c r="BB902">
        <f>IF($H902="","",IFERROR(INDEX('_ENGINE_Risk'!$AE$41:$AE$920,MATCH($E902,'_ENGINE_Risk'!$A$41:$A$920,0)),"Medium"))</f>
        <v/>
      </c>
      <c r="BC902">
        <f>IF($BB902="","",IF($BB902="Fast",1.25,IF($BB902="Slow",0.85,1)))</f>
        <v/>
      </c>
      <c r="BD902">
        <f>IF(OR($AZ902="",$BC902=""),"",ROUND($AZ902*$BC902,2))</f>
        <v/>
      </c>
      <c r="BF902">
        <f>IF(OR($H902="",$J902=""),"",_xlfn.IFNA(VLOOKUP($J902,_CONFIG_Model_Settings!$D$610:$E$614,2,0),""))</f>
        <v/>
      </c>
      <c r="BG902">
        <f>IF(OR($H902="",$K902=""),"",ROUND('Company Profile'!$B$569*INDEX(_CONFIG_Model_Settings!$H$610:$H$614,MATCH($K902,_CONFIG_Model_Settings!$G$610:$G$614,0)),0))</f>
        <v/>
      </c>
      <c r="BH902">
        <f>IF(OR($BF902="",$BG902=""),"",ROUND($BF902*$BG902,1))</f>
        <v/>
      </c>
      <c r="BI902">
        <f>IF($BH902="","",IF($AO902="",$BH902,ROUND($BH902*$AO902,1)))</f>
        <v/>
      </c>
      <c r="BJ902">
        <f>IF($E902="","",IFERROR(VLOOKUP($C902,'_CONFIG_Risk_Calibration'!$A$5:$H$21,2,FALSE),3))</f>
        <v/>
      </c>
      <c r="BK902">
        <f>IF($E902="","",IFERROR(VLOOKUP($C902,'_CONFIG_Risk_Calibration'!$A$5:$H$21,3,FALSE),0))</f>
        <v/>
      </c>
      <c r="BL902">
        <f>IF($E902="","",IFERROR(VLOOKUP($C902,'_CONFIG_Risk_Calibration'!$A$5:$H$21,4,FALSE),3))</f>
        <v/>
      </c>
      <c r="BM902">
        <f>IF($E902="","",IFERROR(VLOOKUP($C902,'_CONFIG_Risk_Calibration'!$A$5:$H$21,5,FALSE),3))</f>
        <v/>
      </c>
      <c r="BN902">
        <f>IF($E902="","",IFERROR(VLOOKUP($C902,'_CONFIG_Risk_Calibration'!$A$5:$H$21,6,FALSE),"No"))</f>
        <v/>
      </c>
      <c r="BO902">
        <f>IF($E902="","",IFERROR(VLOOKUP($C902,'_CONFIG_Risk_Calibration'!$A$5:$H$21,7,FALSE),1))</f>
        <v/>
      </c>
      <c r="BP902">
        <f>IF($H902="","",MAX(1,MIN(5,((6-$H902)*0.45)+($BJ902*0.20)+('Resilience &amp; Risk Scenario'!$B$7*0.15)+($BK902*0.10)+($BL902*0.05)+(IF($BB902="Fast",5,IF($BB902="Slow",1,3))*0.05))))</f>
        <v/>
      </c>
      <c r="BQ902">
        <f>IF($H902="","",MAX(IF($BN902="Yes",$BO902,1),MIN(5,($U902*0.20)+($V902*0.15)+($W902*0.25)+($X902*0.15)+($BJ902*0.10)+($BM902*0.15))))</f>
        <v/>
      </c>
      <c r="BR902">
        <f>IF(OR($BP902="",$BQ902=""),"",ROUND($BP902*$BQ902,2))</f>
        <v/>
      </c>
      <c r="BS902">
        <f>IF($BR902="","",ROUND($BR902*IF($AO902="",1,$AO902)*IF($AX902="",1,$AX902)*(1+(($BM902-3)*0.10))*IF($BC902="",1,$BC902),2))</f>
        <v/>
      </c>
    </row>
    <row r="903" ht="69.90000000000001" customHeight="1" s="209">
      <c r="A903">
        <f>IF($BD903="","",SUMPRODUCT(ISNUMBER($BD$500:$BD$923)*($BD$500:$BD$923&gt;$BD903))+COUNTIF($BD$500:$BD903,$BD903))</f>
        <v/>
      </c>
      <c r="B903">
        <f>IF($H903="","",IF($H903&lt;5,"Yes","Maintain"))</f>
        <v/>
      </c>
      <c r="C903" t="inlineStr">
        <is>
          <t>Quality Portfolio</t>
        </is>
      </c>
      <c r="D903" t="inlineStr">
        <is>
          <t>Process management</t>
        </is>
      </c>
      <c r="E903" t="inlineStr">
        <is>
          <t>QUAL-002</t>
        </is>
      </c>
      <c r="F903" t="inlineStr">
        <is>
          <t>Quality, portfolio and change execution risk</t>
        </is>
      </c>
      <c r="G903">
        <f>IF($H903="","",IFERROR(INDEX('_ENGINE_Risk'!$H$41:$M$920,MATCH($E903,'_ENGINE_Risk'!$A$41:$A$920,0),$H903+1),""))</f>
        <v/>
      </c>
      <c r="H903">
        <f>IFERROR(VALUE(INDEX(_DATA_Assessment_Model!$H$5:$H$884,MATCH($E903,_DATA_Assessment_Model!$A$5:$A$884,0))),"")</f>
        <v/>
      </c>
      <c r="I903">
        <f>IF($H903="","",IFERROR(INDEX(_DATA_Assessment_Model!$L$5:$L$884,MATCH($E903,_DATA_Assessment_Model!$A$5:$A$884,0)),IF($H903&lt;=1,"Critical",IF($H903=2,"High",IF($H903=3,"Medium",IF($H903=4,"Low","Resilient"))))))</f>
        <v/>
      </c>
      <c r="J903">
        <f>IF($H903="","",MIN(5,MAX(1,6-$H903)))</f>
        <v/>
      </c>
      <c r="K903">
        <f>IF($H903="","",MAX(1,MIN(5,ROUNDUP(($U903*0.45)+($W903*0.35)+($X903*0.2),0))))</f>
        <v/>
      </c>
      <c r="L903">
        <f>IF($H903="","",$J903*$K903)</f>
        <v/>
      </c>
      <c r="M903">
        <f>IF($H903="","",MAX(1,MIN(5,ROUNDUP($L903/5,0))))</f>
        <v/>
      </c>
      <c r="N903">
        <f>IF($H903="","",IFERROR(INDEX('_ENGINE_Risk'!$T$41:$Y$920,MATCH($E903,'_ENGINE_Risk'!$A$41:$A$920,0),$H903+1),""))</f>
        <v/>
      </c>
      <c r="O903">
        <f>IF($H903="","",MAX(1,MIN(5,($U903+$V903+$X903)/3)))</f>
        <v/>
      </c>
      <c r="P903">
        <f>IF($H903="","",IF($I903="Critical",5,IF($I903="High",4,IF($I903="Medium",3,IF($I903="Low",2,1)))))</f>
        <v/>
      </c>
      <c r="Q903">
        <f>IF($H903="","",MAX(1,MIN(5,((5-$H903)*0.65)+($W903*0.35))))</f>
        <v/>
      </c>
      <c r="R903">
        <f>IF($H903="","",MAX(1,MIN(5,($V903+$X903)/2)))</f>
        <v/>
      </c>
      <c r="S903">
        <f>IF(OR($H903="",$N903=""),"",ROUND(($O903+$P903+$Q903+$R903)/$N903,2))</f>
        <v/>
      </c>
      <c r="T903">
        <f>IF($H903="","",IFERROR(INDEX('_ENGINE_Risk'!$N$41:$S$920,MATCH($E903,'_ENGINE_Risk'!$A$41:$A$920,0),$H903+1),""))</f>
        <v/>
      </c>
      <c r="U903">
        <f>IFERROR(INDEX(_DATA_Assessment_Model!$G$5:$G$884,MATCH($E903,_DATA_Assessment_Model!$A$5:$A$884,0)),"")</f>
        <v/>
      </c>
      <c r="V903">
        <f>IFERROR(INDEX(_DATA_Assessment_Model!$W$5:$W$884,MATCH($E903,_DATA_Assessment_Model!$A$5:$A$884,0)),"")</f>
        <v/>
      </c>
      <c r="W903">
        <f>IFERROR(INDEX(_DATA_Assessment_Model!$X$5:$X$884,MATCH($E903,_DATA_Assessment_Model!$A$5:$A$884,0)),"")</f>
        <v/>
      </c>
      <c r="X903">
        <f>IFERROR(INDEX(_DATA_Assessment_Model!$Y$5:$Y$884,MATCH($E903,_DATA_Assessment_Model!$A$5:$A$884,0)),"")</f>
        <v/>
      </c>
      <c r="Y903" t="inlineStr">
        <is>
          <t>Execution failure; Delivery disruption; Decision failure</t>
        </is>
      </c>
      <c r="Z903" t="inlineStr">
        <is>
          <t>COO / PMO / Quality</t>
        </is>
      </c>
      <c r="AA903" t="inlineStr">
        <is>
          <t>Policy/SOP; owner/RACI; system report; dashboard; contracts; test records; incident history; interview evidence related to process ownership for critical processes with inputs, outputs, controls and KPIs.</t>
        </is>
      </c>
      <c r="AB903">
        <f>IFERROR(INDEX(_DATA_Assessment_Model!$U$5:$U$884,MATCH($E903,_DATA_Assessment_Model!$A$5:$A$884,0)),"")</f>
        <v/>
      </c>
      <c r="AF903" t="inlineStr">
        <is>
          <t>How mature is the organization in managing process ownership for critical processes with inputs, outputs, controls and KPIs, including ownership, evidence, metrics, fallback procedures and crisis stress testing?</t>
        </is>
      </c>
      <c r="AO903">
        <f>IF($B903="Yes",IFERROR(INDEX(_ENGINE_Crisis!$F$501:$F$517,MATCH($C903,_ENGINE_Crisis!$A$501:$A$517,0)),1),"")</f>
        <v/>
      </c>
      <c r="AP903">
        <f>IF(AO903="","",ROUND($L903*AO903,1))</f>
        <v/>
      </c>
      <c r="AQ903">
        <f>IF(OR(AO903="",$S903=""),"",ROUND($S903*(0.7+0.3*AO903),2))</f>
        <v/>
      </c>
      <c r="AR903">
        <f>IFERROR(INDEX(_ENGINE_Crisis!$E$41:$E$700,MATCH('Resilience &amp; Risk Scenario'!$B$60&amp;"|"&amp;$C903,_ENGINE_Crisis!$I$41:$I$700,0)),"")</f>
        <v/>
      </c>
      <c r="AS903">
        <f>IFERROR(INDEX(_ENGINE_Crisis!$G$41:$G$700,MATCH('Resilience &amp; Risk Scenario'!$B$60&amp;"|"&amp;$C903,_ENGINE_Crisis!$I$41:$I$700,0)),"")</f>
        <v/>
      </c>
      <c r="AT903">
        <f>IFERROR(INDEX(_ENGINE_Initiatives!$A$5:$A$532,MATCH(1,INDEX((_ENGINE_Initiatives!$B$5:$B$532=$C903)*(_ENGINE_Initiatives!$C$5:$C$532=$D903),0),0)),"")</f>
        <v/>
      </c>
      <c r="AU903">
        <f>IFERROR(INDEX(_ENGINE_Initiatives!$F$5:$F$532,MATCH(1,INDEX((_ENGINE_Initiatives!$B$5:$B$532=$C903)*(_ENGINE_Initiatives!$C$5:$C$532=$D903),0),0)),"")</f>
        <v/>
      </c>
      <c r="AV903">
        <f>IFERROR(INDEX(_ENGINE_Initiatives!$AC$5:$AC$532,MATCH(1,INDEX((_ENGINE_Initiatives!$B$5:$B$532=$C903)*(_ENGINE_Initiatives!$C$5:$C$532=$D903),0),0)),"")</f>
        <v/>
      </c>
      <c r="AW903">
        <f>IFERROR(INDEX(_ENGINE_Initiatives!$AE$5:$AE$532,MATCH(1,INDEX((_ENGINE_Initiatives!$B$5:$B$532=$C903)*(_ENGINE_Initiatives!$C$5:$C$532=$D903),0),0)),"")</f>
        <v/>
      </c>
      <c r="AX903">
        <f>IF($B903="Yes",IFERROR(IF(SUMIFS(_REF_Model_Content!$E$1:$E$613,_REF_Model_Content!$A$1:$A$613,'Company Profile'!$B$9,_REF_Model_Content!$B$1:$B$613,$C903)=0,1,SUMIFS(_REF_Model_Content!$E$1:$E$613,_REF_Model_Content!$A$1:$A$613,'Company Profile'!$B$9,_REF_Model_Content!$B$1:$B$613,$C903)),1),"")</f>
        <v/>
      </c>
      <c r="AY903">
        <f>IF($L903="","",ROUND(IF($AP903="",$L903,$AP903)*IF($AX903="",1,$AX903),2))</f>
        <v/>
      </c>
      <c r="AZ903">
        <f>IF($S903="","",ROUND(IF($AQ903="",$S903,$AQ903)*IF($AX903="",1,$AX903),2))</f>
        <v/>
      </c>
      <c r="BB903">
        <f>IF($H903="","",IFERROR(INDEX('_ENGINE_Risk'!$AE$41:$AE$920,MATCH($E903,'_ENGINE_Risk'!$A$41:$A$920,0)),"Medium"))</f>
        <v/>
      </c>
      <c r="BC903">
        <f>IF($BB903="","",IF($BB903="Fast",1.25,IF($BB903="Slow",0.85,1)))</f>
        <v/>
      </c>
      <c r="BD903">
        <f>IF(OR($AZ903="",$BC903=""),"",ROUND($AZ903*$BC903,2))</f>
        <v/>
      </c>
      <c r="BF903">
        <f>IF(OR($H903="",$J903=""),"",_xlfn.IFNA(VLOOKUP($J903,_CONFIG_Model_Settings!$D$610:$E$614,2,0),""))</f>
        <v/>
      </c>
      <c r="BG903">
        <f>IF(OR($H903="",$K903=""),"",ROUND('Company Profile'!$B$569*INDEX(_CONFIG_Model_Settings!$H$610:$H$614,MATCH($K903,_CONFIG_Model_Settings!$G$610:$G$614,0)),0))</f>
        <v/>
      </c>
      <c r="BH903">
        <f>IF(OR($BF903="",$BG903=""),"",ROUND($BF903*$BG903,1))</f>
        <v/>
      </c>
      <c r="BI903">
        <f>IF($BH903="","",IF($AO903="",$BH903,ROUND($BH903*$AO903,1)))</f>
        <v/>
      </c>
      <c r="BJ903">
        <f>IF($E903="","",IFERROR(VLOOKUP($C903,'_CONFIG_Risk_Calibration'!$A$5:$H$21,2,FALSE),3))</f>
        <v/>
      </c>
      <c r="BK903">
        <f>IF($E903="","",IFERROR(VLOOKUP($C903,'_CONFIG_Risk_Calibration'!$A$5:$H$21,3,FALSE),0))</f>
        <v/>
      </c>
      <c r="BL903">
        <f>IF($E903="","",IFERROR(VLOOKUP($C903,'_CONFIG_Risk_Calibration'!$A$5:$H$21,4,FALSE),3))</f>
        <v/>
      </c>
      <c r="BM903">
        <f>IF($E903="","",IFERROR(VLOOKUP($C903,'_CONFIG_Risk_Calibration'!$A$5:$H$21,5,FALSE),3))</f>
        <v/>
      </c>
      <c r="BN903">
        <f>IF($E903="","",IFERROR(VLOOKUP($C903,'_CONFIG_Risk_Calibration'!$A$5:$H$21,6,FALSE),"No"))</f>
        <v/>
      </c>
      <c r="BO903">
        <f>IF($E903="","",IFERROR(VLOOKUP($C903,'_CONFIG_Risk_Calibration'!$A$5:$H$21,7,FALSE),1))</f>
        <v/>
      </c>
      <c r="BP903">
        <f>IF($H903="","",MAX(1,MIN(5,((6-$H903)*0.45)+($BJ903*0.20)+('Resilience &amp; Risk Scenario'!$B$7*0.15)+($BK903*0.10)+($BL903*0.05)+(IF($BB903="Fast",5,IF($BB903="Slow",1,3))*0.05))))</f>
        <v/>
      </c>
      <c r="BQ903">
        <f>IF($H903="","",MAX(IF($BN903="Yes",$BO903,1),MIN(5,($U903*0.20)+($V903*0.15)+($W903*0.25)+($X903*0.15)+($BJ903*0.10)+($BM903*0.15))))</f>
        <v/>
      </c>
      <c r="BR903">
        <f>IF(OR($BP903="",$BQ903=""),"",ROUND($BP903*$BQ903,2))</f>
        <v/>
      </c>
      <c r="BS903">
        <f>IF($BR903="","",ROUND($BR903*IF($AO903="",1,$AO903)*IF($AX903="",1,$AX903)*(1+(($BM903-3)*0.10))*IF($BC903="",1,$BC903),2))</f>
        <v/>
      </c>
    </row>
    <row r="904" ht="69.90000000000001" customHeight="1" s="209">
      <c r="A904">
        <f>IF($BD904="","",SUMPRODUCT(ISNUMBER($BD$500:$BD$923)*($BD$500:$BD$923&gt;$BD904))+COUNTIF($BD$500:$BD904,$BD904))</f>
        <v/>
      </c>
      <c r="B904">
        <f>IF($H904="","",IF($H904&lt;5,"Yes","Maintain"))</f>
        <v/>
      </c>
      <c r="C904" t="inlineStr">
        <is>
          <t>Quality Portfolio</t>
        </is>
      </c>
      <c r="D904" t="inlineStr">
        <is>
          <t>Process management</t>
        </is>
      </c>
      <c r="E904" t="inlineStr">
        <is>
          <t>QUAL-004</t>
        </is>
      </c>
      <c r="F904" t="inlineStr">
        <is>
          <t>Quality, portfolio and change execution risk</t>
        </is>
      </c>
      <c r="G904">
        <f>IF($H904="","",IFERROR(INDEX('_ENGINE_Risk'!$H$41:$M$920,MATCH($E904,'_ENGINE_Risk'!$A$41:$A$920,0),$H904+1),""))</f>
        <v/>
      </c>
      <c r="H904">
        <f>IFERROR(VALUE(INDEX(_DATA_Assessment_Model!$H$5:$H$884,MATCH($E904,_DATA_Assessment_Model!$A$5:$A$884,0))),"")</f>
        <v/>
      </c>
      <c r="I904">
        <f>IF($H904="","",IFERROR(INDEX(_DATA_Assessment_Model!$L$5:$L$884,MATCH($E904,_DATA_Assessment_Model!$A$5:$A$884,0)),IF($H904&lt;=1,"Critical",IF($H904=2,"High",IF($H904=3,"Medium",IF($H904=4,"Low","Resilient"))))))</f>
        <v/>
      </c>
      <c r="J904">
        <f>IF($H904="","",MIN(5,MAX(1,6-$H904)))</f>
        <v/>
      </c>
      <c r="K904">
        <f>IF($H904="","",MAX(1,MIN(5,ROUNDUP(($U904*0.45)+($W904*0.35)+($X904*0.2),0))))</f>
        <v/>
      </c>
      <c r="L904">
        <f>IF($H904="","",$J904*$K904)</f>
        <v/>
      </c>
      <c r="M904">
        <f>IF($H904="","",MAX(1,MIN(5,ROUNDUP($L904/5,0))))</f>
        <v/>
      </c>
      <c r="N904">
        <f>IF($H904="","",IFERROR(INDEX('_ENGINE_Risk'!$T$41:$Y$920,MATCH($E904,'_ENGINE_Risk'!$A$41:$A$920,0),$H904+1),""))</f>
        <v/>
      </c>
      <c r="O904">
        <f>IF($H904="","",MAX(1,MIN(5,($U904+$V904+$X904)/3)))</f>
        <v/>
      </c>
      <c r="P904">
        <f>IF($H904="","",IF($I904="Critical",5,IF($I904="High",4,IF($I904="Medium",3,IF($I904="Low",2,1)))))</f>
        <v/>
      </c>
      <c r="Q904">
        <f>IF($H904="","",MAX(1,MIN(5,((5-$H904)*0.65)+($W904*0.35))))</f>
        <v/>
      </c>
      <c r="R904">
        <f>IF($H904="","",MAX(1,MIN(5,($V904+$X904)/2)))</f>
        <v/>
      </c>
      <c r="S904">
        <f>IF(OR($H904="",$N904=""),"",ROUND(($O904+$P904+$Q904+$R904)/$N904,2))</f>
        <v/>
      </c>
      <c r="T904">
        <f>IF($H904="","",IFERROR(INDEX('_ENGINE_Risk'!$N$41:$S$920,MATCH($E904,'_ENGINE_Risk'!$A$41:$A$920,0),$H904+1),""))</f>
        <v/>
      </c>
      <c r="U904">
        <f>IFERROR(INDEX(_DATA_Assessment_Model!$G$5:$G$884,MATCH($E904,_DATA_Assessment_Model!$A$5:$A$884,0)),"")</f>
        <v/>
      </c>
      <c r="V904">
        <f>IFERROR(INDEX(_DATA_Assessment_Model!$W$5:$W$884,MATCH($E904,_DATA_Assessment_Model!$A$5:$A$884,0)),"")</f>
        <v/>
      </c>
      <c r="W904">
        <f>IFERROR(INDEX(_DATA_Assessment_Model!$X$5:$X$884,MATCH($E904,_DATA_Assessment_Model!$A$5:$A$884,0)),"")</f>
        <v/>
      </c>
      <c r="X904">
        <f>IFERROR(INDEX(_DATA_Assessment_Model!$Y$5:$Y$884,MATCH($E904,_DATA_Assessment_Model!$A$5:$A$884,0)),"")</f>
        <v/>
      </c>
      <c r="Y904" t="inlineStr">
        <is>
          <t>Execution failure; Delivery disruption; Decision failure</t>
        </is>
      </c>
      <c r="Z904" t="inlineStr">
        <is>
          <t>COO / PMO / Quality</t>
        </is>
      </c>
      <c r="AA904" t="inlineStr">
        <is>
          <t>Policy/SOP; owner/RACI; system report; dashboard; contracts; test records; incident history; interview evidence related to SOP and policy document control with versioning, ownership and review cadence.</t>
        </is>
      </c>
      <c r="AB904">
        <f>IFERROR(INDEX(_DATA_Assessment_Model!$U$5:$U$884,MATCH($E904,_DATA_Assessment_Model!$A$5:$A$884,0)),"")</f>
        <v/>
      </c>
      <c r="AF904" t="inlineStr">
        <is>
          <t>How mature is the organization in managing SOP and policy document control with versioning, ownership and review cadence, including ownership, evidence, metrics, fallback procedures and crisis stress testing?</t>
        </is>
      </c>
      <c r="AO904">
        <f>IF($B904="Yes",IFERROR(INDEX(_ENGINE_Crisis!$F$501:$F$517,MATCH($C904,_ENGINE_Crisis!$A$501:$A$517,0)),1),"")</f>
        <v/>
      </c>
      <c r="AP904">
        <f>IF(AO904="","",ROUND($L904*AO904,1))</f>
        <v/>
      </c>
      <c r="AQ904">
        <f>IF(OR(AO904="",$S904=""),"",ROUND($S904*(0.7+0.3*AO904),2))</f>
        <v/>
      </c>
      <c r="AR904">
        <f>IFERROR(INDEX(_ENGINE_Crisis!$E$41:$E$700,MATCH('Resilience &amp; Risk Scenario'!$B$60&amp;"|"&amp;$C904,_ENGINE_Crisis!$I$41:$I$700,0)),"")</f>
        <v/>
      </c>
      <c r="AS904">
        <f>IFERROR(INDEX(_ENGINE_Crisis!$G$41:$G$700,MATCH('Resilience &amp; Risk Scenario'!$B$60&amp;"|"&amp;$C904,_ENGINE_Crisis!$I$41:$I$700,0)),"")</f>
        <v/>
      </c>
      <c r="AT904">
        <f>IFERROR(INDEX(_ENGINE_Initiatives!$A$5:$A$532,MATCH(1,INDEX((_ENGINE_Initiatives!$B$5:$B$532=$C904)*(_ENGINE_Initiatives!$C$5:$C$532=$D904),0),0)),"")</f>
        <v/>
      </c>
      <c r="AU904">
        <f>IFERROR(INDEX(_ENGINE_Initiatives!$F$5:$F$532,MATCH(1,INDEX((_ENGINE_Initiatives!$B$5:$B$532=$C904)*(_ENGINE_Initiatives!$C$5:$C$532=$D904),0),0)),"")</f>
        <v/>
      </c>
      <c r="AV904">
        <f>IFERROR(INDEX(_ENGINE_Initiatives!$AC$5:$AC$532,MATCH(1,INDEX((_ENGINE_Initiatives!$B$5:$B$532=$C904)*(_ENGINE_Initiatives!$C$5:$C$532=$D904),0),0)),"")</f>
        <v/>
      </c>
      <c r="AW904">
        <f>IFERROR(INDEX(_ENGINE_Initiatives!$AE$5:$AE$532,MATCH(1,INDEX((_ENGINE_Initiatives!$B$5:$B$532=$C904)*(_ENGINE_Initiatives!$C$5:$C$532=$D904),0),0)),"")</f>
        <v/>
      </c>
      <c r="AX904">
        <f>IF($B904="Yes",IFERROR(IF(SUMIFS(_REF_Model_Content!$E$1:$E$613,_REF_Model_Content!$A$1:$A$613,'Company Profile'!$B$9,_REF_Model_Content!$B$1:$B$613,$C904)=0,1,SUMIFS(_REF_Model_Content!$E$1:$E$613,_REF_Model_Content!$A$1:$A$613,'Company Profile'!$B$9,_REF_Model_Content!$B$1:$B$613,$C904)),1),"")</f>
        <v/>
      </c>
      <c r="AY904">
        <f>IF($L904="","",ROUND(IF($AP904="",$L904,$AP904)*IF($AX904="",1,$AX904),2))</f>
        <v/>
      </c>
      <c r="AZ904">
        <f>IF($S904="","",ROUND(IF($AQ904="",$S904,$AQ904)*IF($AX904="",1,$AX904),2))</f>
        <v/>
      </c>
      <c r="BB904">
        <f>IF($H904="","",IFERROR(INDEX('_ENGINE_Risk'!$AE$41:$AE$920,MATCH($E904,'_ENGINE_Risk'!$A$41:$A$920,0)),"Medium"))</f>
        <v/>
      </c>
      <c r="BC904">
        <f>IF($BB904="","",IF($BB904="Fast",1.25,IF($BB904="Slow",0.85,1)))</f>
        <v/>
      </c>
      <c r="BD904">
        <f>IF(OR($AZ904="",$BC904=""),"",ROUND($AZ904*$BC904,2))</f>
        <v/>
      </c>
      <c r="BF904">
        <f>IF(OR($H904="",$J904=""),"",_xlfn.IFNA(VLOOKUP($J904,_CONFIG_Model_Settings!$D$610:$E$614,2,0),""))</f>
        <v/>
      </c>
      <c r="BG904">
        <f>IF(OR($H904="",$K904=""),"",ROUND('Company Profile'!$B$569*INDEX(_CONFIG_Model_Settings!$H$610:$H$614,MATCH($K904,_CONFIG_Model_Settings!$G$610:$G$614,0)),0))</f>
        <v/>
      </c>
      <c r="BH904">
        <f>IF(OR($BF904="",$BG904=""),"",ROUND($BF904*$BG904,1))</f>
        <v/>
      </c>
      <c r="BI904">
        <f>IF($BH904="","",IF($AO904="",$BH904,ROUND($BH904*$AO904,1)))</f>
        <v/>
      </c>
      <c r="BJ904">
        <f>IF($E904="","",IFERROR(VLOOKUP($C904,'_CONFIG_Risk_Calibration'!$A$5:$H$21,2,FALSE),3))</f>
        <v/>
      </c>
      <c r="BK904">
        <f>IF($E904="","",IFERROR(VLOOKUP($C904,'_CONFIG_Risk_Calibration'!$A$5:$H$21,3,FALSE),0))</f>
        <v/>
      </c>
      <c r="BL904">
        <f>IF($E904="","",IFERROR(VLOOKUP($C904,'_CONFIG_Risk_Calibration'!$A$5:$H$21,4,FALSE),3))</f>
        <v/>
      </c>
      <c r="BM904">
        <f>IF($E904="","",IFERROR(VLOOKUP($C904,'_CONFIG_Risk_Calibration'!$A$5:$H$21,5,FALSE),3))</f>
        <v/>
      </c>
      <c r="BN904">
        <f>IF($E904="","",IFERROR(VLOOKUP($C904,'_CONFIG_Risk_Calibration'!$A$5:$H$21,6,FALSE),"No"))</f>
        <v/>
      </c>
      <c r="BO904">
        <f>IF($E904="","",IFERROR(VLOOKUP($C904,'_CONFIG_Risk_Calibration'!$A$5:$H$21,7,FALSE),1))</f>
        <v/>
      </c>
      <c r="BP904">
        <f>IF($H904="","",MAX(1,MIN(5,((6-$H904)*0.45)+($BJ904*0.20)+('Resilience &amp; Risk Scenario'!$B$7*0.15)+($BK904*0.10)+($BL904*0.05)+(IF($BB904="Fast",5,IF($BB904="Slow",1,3))*0.05))))</f>
        <v/>
      </c>
      <c r="BQ904">
        <f>IF($H904="","",MAX(IF($BN904="Yes",$BO904,1),MIN(5,($U904*0.20)+($V904*0.15)+($W904*0.25)+($X904*0.15)+($BJ904*0.10)+($BM904*0.15))))</f>
        <v/>
      </c>
      <c r="BR904">
        <f>IF(OR($BP904="",$BQ904=""),"",ROUND($BP904*$BQ904,2))</f>
        <v/>
      </c>
      <c r="BS904">
        <f>IF($BR904="","",ROUND($BR904*IF($AO904="",1,$AO904)*IF($AX904="",1,$AX904)*(1+(($BM904-3)*0.10))*IF($BC904="",1,$BC904),2))</f>
        <v/>
      </c>
    </row>
    <row r="905" ht="69.90000000000001" customHeight="1" s="209">
      <c r="A905">
        <f>IF($BD905="","",SUMPRODUCT(ISNUMBER($BD$500:$BD$923)*($BD$500:$BD$923&gt;$BD905))+COUNTIF($BD$500:$BD905,$BD905))</f>
        <v/>
      </c>
      <c r="B905">
        <f>IF($H905="","",IF($H905&lt;5,"Yes","Maintain"))</f>
        <v/>
      </c>
      <c r="C905" t="inlineStr">
        <is>
          <t>Quality Portfolio</t>
        </is>
      </c>
      <c r="D905" t="inlineStr">
        <is>
          <t>Process management</t>
        </is>
      </c>
      <c r="E905" t="inlineStr">
        <is>
          <t>QUAL-005</t>
        </is>
      </c>
      <c r="F905" t="inlineStr">
        <is>
          <t>Quality, portfolio and change execution risk</t>
        </is>
      </c>
      <c r="G905">
        <f>IF($H905="","",IFERROR(INDEX('_ENGINE_Risk'!$H$41:$M$920,MATCH($E905,'_ENGINE_Risk'!$A$41:$A$920,0),$H905+1),""))</f>
        <v/>
      </c>
      <c r="H905">
        <f>IFERROR(VALUE(INDEX(_DATA_Assessment_Model!$H$5:$H$884,MATCH($E905,_DATA_Assessment_Model!$A$5:$A$884,0))),"")</f>
        <v/>
      </c>
      <c r="I905">
        <f>IF($H905="","",IFERROR(INDEX(_DATA_Assessment_Model!$L$5:$L$884,MATCH($E905,_DATA_Assessment_Model!$A$5:$A$884,0)),IF($H905&lt;=1,"Critical",IF($H905=2,"High",IF($H905=3,"Medium",IF($H905=4,"Low","Resilient"))))))</f>
        <v/>
      </c>
      <c r="J905">
        <f>IF($H905="","",MIN(5,MAX(1,6-$H905)))</f>
        <v/>
      </c>
      <c r="K905">
        <f>IF($H905="","",MAX(1,MIN(5,ROUNDUP(($U905*0.45)+($W905*0.35)+($X905*0.2),0))))</f>
        <v/>
      </c>
      <c r="L905">
        <f>IF($H905="","",$J905*$K905)</f>
        <v/>
      </c>
      <c r="M905">
        <f>IF($H905="","",MAX(1,MIN(5,ROUNDUP($L905/5,0))))</f>
        <v/>
      </c>
      <c r="N905">
        <f>IF($H905="","",IFERROR(INDEX('_ENGINE_Risk'!$T$41:$Y$920,MATCH($E905,'_ENGINE_Risk'!$A$41:$A$920,0),$H905+1),""))</f>
        <v/>
      </c>
      <c r="O905">
        <f>IF($H905="","",MAX(1,MIN(5,($U905+$V905+$X905)/3)))</f>
        <v/>
      </c>
      <c r="P905">
        <f>IF($H905="","",IF($I905="Critical",5,IF($I905="High",4,IF($I905="Medium",3,IF($I905="Low",2,1)))))</f>
        <v/>
      </c>
      <c r="Q905">
        <f>IF($H905="","",MAX(1,MIN(5,((5-$H905)*0.65)+($W905*0.35))))</f>
        <v/>
      </c>
      <c r="R905">
        <f>IF($H905="","",MAX(1,MIN(5,($V905+$X905)/2)))</f>
        <v/>
      </c>
      <c r="S905">
        <f>IF(OR($H905="",$N905=""),"",ROUND(($O905+$P905+$Q905+$R905)/$N905,2))</f>
        <v/>
      </c>
      <c r="T905">
        <f>IF($H905="","",IFERROR(INDEX('_ENGINE_Risk'!$N$41:$S$920,MATCH($E905,'_ENGINE_Risk'!$A$41:$A$920,0),$H905+1),""))</f>
        <v/>
      </c>
      <c r="U905">
        <f>IFERROR(INDEX(_DATA_Assessment_Model!$G$5:$G$884,MATCH($E905,_DATA_Assessment_Model!$A$5:$A$884,0)),"")</f>
        <v/>
      </c>
      <c r="V905">
        <f>IFERROR(INDEX(_DATA_Assessment_Model!$W$5:$W$884,MATCH($E905,_DATA_Assessment_Model!$A$5:$A$884,0)),"")</f>
        <v/>
      </c>
      <c r="W905">
        <f>IFERROR(INDEX(_DATA_Assessment_Model!$X$5:$X$884,MATCH($E905,_DATA_Assessment_Model!$A$5:$A$884,0)),"")</f>
        <v/>
      </c>
      <c r="X905">
        <f>IFERROR(INDEX(_DATA_Assessment_Model!$Y$5:$Y$884,MATCH($E905,_DATA_Assessment_Model!$A$5:$A$884,0)),"")</f>
        <v/>
      </c>
      <c r="Y905" t="inlineStr">
        <is>
          <t>Execution failure; Delivery disruption; Decision failure</t>
        </is>
      </c>
      <c r="Z905" t="inlineStr">
        <is>
          <t>COO / PMO / Quality</t>
        </is>
      </c>
      <c r="AA905" t="inlineStr">
        <is>
          <t>Policy/SOP; owner/RACI; system report; dashboard; contracts; test records; incident history; interview evidence related to process automation documented, monitored and covered by manual fallback.</t>
        </is>
      </c>
      <c r="AB905">
        <f>IFERROR(INDEX(_DATA_Assessment_Model!$U$5:$U$884,MATCH($E905,_DATA_Assessment_Model!$A$5:$A$884,0)),"")</f>
        <v/>
      </c>
      <c r="AF905" t="inlineStr">
        <is>
          <t>How mature is the organization in managing process automation documented, monitored and covered by manual fallback, including ownership, evidence, metrics, fallback procedures and crisis stress testing?</t>
        </is>
      </c>
      <c r="AO905">
        <f>IF($B905="Yes",IFERROR(INDEX(_ENGINE_Crisis!$F$501:$F$517,MATCH($C905,_ENGINE_Crisis!$A$501:$A$517,0)),1),"")</f>
        <v/>
      </c>
      <c r="AP905">
        <f>IF(AO905="","",ROUND($L905*AO905,1))</f>
        <v/>
      </c>
      <c r="AQ905">
        <f>IF(OR(AO905="",$S905=""),"",ROUND($S905*(0.7+0.3*AO905),2))</f>
        <v/>
      </c>
      <c r="AR905">
        <f>IFERROR(INDEX(_ENGINE_Crisis!$E$41:$E$700,MATCH('Resilience &amp; Risk Scenario'!$B$60&amp;"|"&amp;$C905,_ENGINE_Crisis!$I$41:$I$700,0)),"")</f>
        <v/>
      </c>
      <c r="AS905">
        <f>IFERROR(INDEX(_ENGINE_Crisis!$G$41:$G$700,MATCH('Resilience &amp; Risk Scenario'!$B$60&amp;"|"&amp;$C905,_ENGINE_Crisis!$I$41:$I$700,0)),"")</f>
        <v/>
      </c>
      <c r="AT905">
        <f>IFERROR(INDEX(_ENGINE_Initiatives!$A$5:$A$532,MATCH(1,INDEX((_ENGINE_Initiatives!$B$5:$B$532=$C905)*(_ENGINE_Initiatives!$C$5:$C$532=$D905),0),0)),"")</f>
        <v/>
      </c>
      <c r="AU905">
        <f>IFERROR(INDEX(_ENGINE_Initiatives!$F$5:$F$532,MATCH(1,INDEX((_ENGINE_Initiatives!$B$5:$B$532=$C905)*(_ENGINE_Initiatives!$C$5:$C$532=$D905),0),0)),"")</f>
        <v/>
      </c>
      <c r="AV905">
        <f>IFERROR(INDEX(_ENGINE_Initiatives!$AC$5:$AC$532,MATCH(1,INDEX((_ENGINE_Initiatives!$B$5:$B$532=$C905)*(_ENGINE_Initiatives!$C$5:$C$532=$D905),0),0)),"")</f>
        <v/>
      </c>
      <c r="AW905">
        <f>IFERROR(INDEX(_ENGINE_Initiatives!$AE$5:$AE$532,MATCH(1,INDEX((_ENGINE_Initiatives!$B$5:$B$532=$C905)*(_ENGINE_Initiatives!$C$5:$C$532=$D905),0),0)),"")</f>
        <v/>
      </c>
      <c r="AX905">
        <f>IF($B905="Yes",IFERROR(IF(SUMIFS(_REF_Model_Content!$E$1:$E$613,_REF_Model_Content!$A$1:$A$613,'Company Profile'!$B$9,_REF_Model_Content!$B$1:$B$613,$C905)=0,1,SUMIFS(_REF_Model_Content!$E$1:$E$613,_REF_Model_Content!$A$1:$A$613,'Company Profile'!$B$9,_REF_Model_Content!$B$1:$B$613,$C905)),1),"")</f>
        <v/>
      </c>
      <c r="AY905">
        <f>IF($L905="","",ROUND(IF($AP905="",$L905,$AP905)*IF($AX905="",1,$AX905),2))</f>
        <v/>
      </c>
      <c r="AZ905">
        <f>IF($S905="","",ROUND(IF($AQ905="",$S905,$AQ905)*IF($AX905="",1,$AX905),2))</f>
        <v/>
      </c>
      <c r="BB905">
        <f>IF($H905="","",IFERROR(INDEX('_ENGINE_Risk'!$AE$41:$AE$920,MATCH($E905,'_ENGINE_Risk'!$A$41:$A$920,0)),"Medium"))</f>
        <v/>
      </c>
      <c r="BC905">
        <f>IF($BB905="","",IF($BB905="Fast",1.25,IF($BB905="Slow",0.85,1)))</f>
        <v/>
      </c>
      <c r="BD905">
        <f>IF(OR($AZ905="",$BC905=""),"",ROUND($AZ905*$BC905,2))</f>
        <v/>
      </c>
      <c r="BF905">
        <f>IF(OR($H905="",$J905=""),"",_xlfn.IFNA(VLOOKUP($J905,_CONFIG_Model_Settings!$D$610:$E$614,2,0),""))</f>
        <v/>
      </c>
      <c r="BG905">
        <f>IF(OR($H905="",$K905=""),"",ROUND('Company Profile'!$B$569*INDEX(_CONFIG_Model_Settings!$H$610:$H$614,MATCH($K905,_CONFIG_Model_Settings!$G$610:$G$614,0)),0))</f>
        <v/>
      </c>
      <c r="BH905">
        <f>IF(OR($BF905="",$BG905=""),"",ROUND($BF905*$BG905,1))</f>
        <v/>
      </c>
      <c r="BI905">
        <f>IF($BH905="","",IF($AO905="",$BH905,ROUND($BH905*$AO905,1)))</f>
        <v/>
      </c>
      <c r="BJ905">
        <f>IF($E905="","",IFERROR(VLOOKUP($C905,'_CONFIG_Risk_Calibration'!$A$5:$H$21,2,FALSE),3))</f>
        <v/>
      </c>
      <c r="BK905">
        <f>IF($E905="","",IFERROR(VLOOKUP($C905,'_CONFIG_Risk_Calibration'!$A$5:$H$21,3,FALSE),0))</f>
        <v/>
      </c>
      <c r="BL905">
        <f>IF($E905="","",IFERROR(VLOOKUP($C905,'_CONFIG_Risk_Calibration'!$A$5:$H$21,4,FALSE),3))</f>
        <v/>
      </c>
      <c r="BM905">
        <f>IF($E905="","",IFERROR(VLOOKUP($C905,'_CONFIG_Risk_Calibration'!$A$5:$H$21,5,FALSE),3))</f>
        <v/>
      </c>
      <c r="BN905">
        <f>IF($E905="","",IFERROR(VLOOKUP($C905,'_CONFIG_Risk_Calibration'!$A$5:$H$21,6,FALSE),"No"))</f>
        <v/>
      </c>
      <c r="BO905">
        <f>IF($E905="","",IFERROR(VLOOKUP($C905,'_CONFIG_Risk_Calibration'!$A$5:$H$21,7,FALSE),1))</f>
        <v/>
      </c>
      <c r="BP905">
        <f>IF($H905="","",MAX(1,MIN(5,((6-$H905)*0.45)+($BJ905*0.20)+('Resilience &amp; Risk Scenario'!$B$7*0.15)+($BK905*0.10)+($BL905*0.05)+(IF($BB905="Fast",5,IF($BB905="Slow",1,3))*0.05))))</f>
        <v/>
      </c>
      <c r="BQ905">
        <f>IF($H905="","",MAX(IF($BN905="Yes",$BO905,1),MIN(5,($U905*0.20)+($V905*0.15)+($W905*0.25)+($X905*0.15)+($BJ905*0.10)+($BM905*0.15))))</f>
        <v/>
      </c>
      <c r="BR905">
        <f>IF(OR($BP905="",$BQ905=""),"",ROUND($BP905*$BQ905,2))</f>
        <v/>
      </c>
      <c r="BS905">
        <f>IF($BR905="","",ROUND($BR905*IF($AO905="",1,$AO905)*IF($AX905="",1,$AX905)*(1+(($BM905-3)*0.10))*IF($BC905="",1,$BC905),2))</f>
        <v/>
      </c>
    </row>
    <row r="906" ht="69.90000000000001" customHeight="1" s="209">
      <c r="A906">
        <f>IF($BD906="","",SUMPRODUCT(ISNUMBER($BD$500:$BD$923)*($BD$500:$BD$923&gt;$BD906))+COUNTIF($BD$500:$BD906,$BD906))</f>
        <v/>
      </c>
      <c r="B906">
        <f>IF($H906="","",IF($H906&lt;5,"Yes","Maintain"))</f>
        <v/>
      </c>
      <c r="C906" t="inlineStr">
        <is>
          <t>Quality Portfolio</t>
        </is>
      </c>
      <c r="D906" t="inlineStr">
        <is>
          <t>Quality management</t>
        </is>
      </c>
      <c r="E906" t="inlineStr">
        <is>
          <t>QUAL-006</t>
        </is>
      </c>
      <c r="F906" t="inlineStr">
        <is>
          <t>Quality, portfolio and change execution risk</t>
        </is>
      </c>
      <c r="G906">
        <f>IF($H906="","",IFERROR(INDEX('_ENGINE_Risk'!$H$41:$M$920,MATCH($E906,'_ENGINE_Risk'!$A$41:$A$920,0),$H906+1),""))</f>
        <v/>
      </c>
      <c r="H906">
        <f>IFERROR(VALUE(INDEX(_DATA_Assessment_Model!$H$5:$H$884,MATCH($E906,_DATA_Assessment_Model!$A$5:$A$884,0))),"")</f>
        <v/>
      </c>
      <c r="I906">
        <f>IF($H906="","",IFERROR(INDEX(_DATA_Assessment_Model!$L$5:$L$884,MATCH($E906,_DATA_Assessment_Model!$A$5:$A$884,0)),IF($H906&lt;=1,"Critical",IF($H906=2,"High",IF($H906=3,"Medium",IF($H906=4,"Low","Resilient"))))))</f>
        <v/>
      </c>
      <c r="J906">
        <f>IF($H906="","",MIN(5,MAX(1,6-$H906)))</f>
        <v/>
      </c>
      <c r="K906">
        <f>IF($H906="","",MAX(1,MIN(5,ROUNDUP(($U906*0.45)+($W906*0.35)+($X906*0.2),0))))</f>
        <v/>
      </c>
      <c r="L906">
        <f>IF($H906="","",$J906*$K906)</f>
        <v/>
      </c>
      <c r="M906">
        <f>IF($H906="","",MAX(1,MIN(5,ROUNDUP($L906/5,0))))</f>
        <v/>
      </c>
      <c r="N906">
        <f>IF($H906="","",IFERROR(INDEX('_ENGINE_Risk'!$T$41:$Y$920,MATCH($E906,'_ENGINE_Risk'!$A$41:$A$920,0),$H906+1),""))</f>
        <v/>
      </c>
      <c r="O906">
        <f>IF($H906="","",MAX(1,MIN(5,($U906+$V906+$X906)/3)))</f>
        <v/>
      </c>
      <c r="P906">
        <f>IF($H906="","",IF($I906="Critical",5,IF($I906="High",4,IF($I906="Medium",3,IF($I906="Low",2,1)))))</f>
        <v/>
      </c>
      <c r="Q906">
        <f>IF($H906="","",MAX(1,MIN(5,((5-$H906)*0.65)+($W906*0.35))))</f>
        <v/>
      </c>
      <c r="R906">
        <f>IF($H906="","",MAX(1,MIN(5,($V906+$X906)/2)))</f>
        <v/>
      </c>
      <c r="S906">
        <f>IF(OR($H906="",$N906=""),"",ROUND(($O906+$P906+$Q906+$R906)/$N906,2))</f>
        <v/>
      </c>
      <c r="T906">
        <f>IF($H906="","",IFERROR(INDEX('_ENGINE_Risk'!$N$41:$S$920,MATCH($E906,'_ENGINE_Risk'!$A$41:$A$920,0),$H906+1),""))</f>
        <v/>
      </c>
      <c r="U906">
        <f>IFERROR(INDEX(_DATA_Assessment_Model!$G$5:$G$884,MATCH($E906,_DATA_Assessment_Model!$A$5:$A$884,0)),"")</f>
        <v/>
      </c>
      <c r="V906">
        <f>IFERROR(INDEX(_DATA_Assessment_Model!$W$5:$W$884,MATCH($E906,_DATA_Assessment_Model!$A$5:$A$884,0)),"")</f>
        <v/>
      </c>
      <c r="W906">
        <f>IFERROR(INDEX(_DATA_Assessment_Model!$X$5:$X$884,MATCH($E906,_DATA_Assessment_Model!$A$5:$A$884,0)),"")</f>
        <v/>
      </c>
      <c r="X906">
        <f>IFERROR(INDEX(_DATA_Assessment_Model!$Y$5:$Y$884,MATCH($E906,_DATA_Assessment_Model!$A$5:$A$884,0)),"")</f>
        <v/>
      </c>
      <c r="Y906" t="inlineStr">
        <is>
          <t>Execution failure; Delivery disruption; Decision failure</t>
        </is>
      </c>
      <c r="Z906" t="inlineStr">
        <is>
          <t>COO / PMO / Quality</t>
        </is>
      </c>
      <c r="AA906" t="inlineStr">
        <is>
          <t>Policy/SOP; owner/RACI; system report; dashboard; contracts; test records; incident history; interview evidence related to quality objectives linked to customer, delivery and operational performance.</t>
        </is>
      </c>
      <c r="AB906">
        <f>IFERROR(INDEX(_DATA_Assessment_Model!$U$5:$U$884,MATCH($E906,_DATA_Assessment_Model!$A$5:$A$884,0)),"")</f>
        <v/>
      </c>
      <c r="AF906" t="inlineStr">
        <is>
          <t>How mature is the organization in managing quality objectives linked to customer, delivery and operational performance, including ownership, evidence, metrics, fallback procedures and crisis stress testing?</t>
        </is>
      </c>
      <c r="AO906">
        <f>IF($B906="Yes",IFERROR(INDEX(_ENGINE_Crisis!$F$501:$F$517,MATCH($C906,_ENGINE_Crisis!$A$501:$A$517,0)),1),"")</f>
        <v/>
      </c>
      <c r="AP906">
        <f>IF(AO906="","",ROUND($L906*AO906,1))</f>
        <v/>
      </c>
      <c r="AQ906">
        <f>IF(OR(AO906="",$S906=""),"",ROUND($S906*(0.7+0.3*AO906),2))</f>
        <v/>
      </c>
      <c r="AR906">
        <f>IFERROR(INDEX(_ENGINE_Crisis!$E$41:$E$700,MATCH('Resilience &amp; Risk Scenario'!$B$60&amp;"|"&amp;$C906,_ENGINE_Crisis!$I$41:$I$700,0)),"")</f>
        <v/>
      </c>
      <c r="AS906">
        <f>IFERROR(INDEX(_ENGINE_Crisis!$G$41:$G$700,MATCH('Resilience &amp; Risk Scenario'!$B$60&amp;"|"&amp;$C906,_ENGINE_Crisis!$I$41:$I$700,0)),"")</f>
        <v/>
      </c>
      <c r="AT906">
        <f>IFERROR(INDEX(_ENGINE_Initiatives!$A$5:$A$532,MATCH(1,INDEX((_ENGINE_Initiatives!$B$5:$B$532=$C906)*(_ENGINE_Initiatives!$C$5:$C$532=$D906),0),0)),"")</f>
        <v/>
      </c>
      <c r="AU906">
        <f>IFERROR(INDEX(_ENGINE_Initiatives!$F$5:$F$532,MATCH(1,INDEX((_ENGINE_Initiatives!$B$5:$B$532=$C906)*(_ENGINE_Initiatives!$C$5:$C$532=$D906),0),0)),"")</f>
        <v/>
      </c>
      <c r="AV906">
        <f>IFERROR(INDEX(_ENGINE_Initiatives!$AC$5:$AC$532,MATCH(1,INDEX((_ENGINE_Initiatives!$B$5:$B$532=$C906)*(_ENGINE_Initiatives!$C$5:$C$532=$D906),0),0)),"")</f>
        <v/>
      </c>
      <c r="AW906">
        <f>IFERROR(INDEX(_ENGINE_Initiatives!$AE$5:$AE$532,MATCH(1,INDEX((_ENGINE_Initiatives!$B$5:$B$532=$C906)*(_ENGINE_Initiatives!$C$5:$C$532=$D906),0),0)),"")</f>
        <v/>
      </c>
      <c r="AX906">
        <f>IF($B906="Yes",IFERROR(IF(SUMIFS(_REF_Model_Content!$E$1:$E$613,_REF_Model_Content!$A$1:$A$613,'Company Profile'!$B$9,_REF_Model_Content!$B$1:$B$613,$C906)=0,1,SUMIFS(_REF_Model_Content!$E$1:$E$613,_REF_Model_Content!$A$1:$A$613,'Company Profile'!$B$9,_REF_Model_Content!$B$1:$B$613,$C906)),1),"")</f>
        <v/>
      </c>
      <c r="AY906">
        <f>IF($L906="","",ROUND(IF($AP906="",$L906,$AP906)*IF($AX906="",1,$AX906),2))</f>
        <v/>
      </c>
      <c r="AZ906">
        <f>IF($S906="","",ROUND(IF($AQ906="",$S906,$AQ906)*IF($AX906="",1,$AX906),2))</f>
        <v/>
      </c>
      <c r="BB906">
        <f>IF($H906="","",IFERROR(INDEX('_ENGINE_Risk'!$AE$41:$AE$920,MATCH($E906,'_ENGINE_Risk'!$A$41:$A$920,0)),"Medium"))</f>
        <v/>
      </c>
      <c r="BC906">
        <f>IF($BB906="","",IF($BB906="Fast",1.25,IF($BB906="Slow",0.85,1)))</f>
        <v/>
      </c>
      <c r="BD906">
        <f>IF(OR($AZ906="",$BC906=""),"",ROUND($AZ906*$BC906,2))</f>
        <v/>
      </c>
      <c r="BF906">
        <f>IF(OR($H906="",$J906=""),"",_xlfn.IFNA(VLOOKUP($J906,_CONFIG_Model_Settings!$D$610:$E$614,2,0),""))</f>
        <v/>
      </c>
      <c r="BG906">
        <f>IF(OR($H906="",$K906=""),"",ROUND('Company Profile'!$B$569*INDEX(_CONFIG_Model_Settings!$H$610:$H$614,MATCH($K906,_CONFIG_Model_Settings!$G$610:$G$614,0)),0))</f>
        <v/>
      </c>
      <c r="BH906">
        <f>IF(OR($BF906="",$BG906=""),"",ROUND($BF906*$BG906,1))</f>
        <v/>
      </c>
      <c r="BI906">
        <f>IF($BH906="","",IF($AO906="",$BH906,ROUND($BH906*$AO906,1)))</f>
        <v/>
      </c>
      <c r="BJ906">
        <f>IF($E906="","",IFERROR(VLOOKUP($C906,'_CONFIG_Risk_Calibration'!$A$5:$H$21,2,FALSE),3))</f>
        <v/>
      </c>
      <c r="BK906">
        <f>IF($E906="","",IFERROR(VLOOKUP($C906,'_CONFIG_Risk_Calibration'!$A$5:$H$21,3,FALSE),0))</f>
        <v/>
      </c>
      <c r="BL906">
        <f>IF($E906="","",IFERROR(VLOOKUP($C906,'_CONFIG_Risk_Calibration'!$A$5:$H$21,4,FALSE),3))</f>
        <v/>
      </c>
      <c r="BM906">
        <f>IF($E906="","",IFERROR(VLOOKUP($C906,'_CONFIG_Risk_Calibration'!$A$5:$H$21,5,FALSE),3))</f>
        <v/>
      </c>
      <c r="BN906">
        <f>IF($E906="","",IFERROR(VLOOKUP($C906,'_CONFIG_Risk_Calibration'!$A$5:$H$21,6,FALSE),"No"))</f>
        <v/>
      </c>
      <c r="BO906">
        <f>IF($E906="","",IFERROR(VLOOKUP($C906,'_CONFIG_Risk_Calibration'!$A$5:$H$21,7,FALSE),1))</f>
        <v/>
      </c>
      <c r="BP906">
        <f>IF($H906="","",MAX(1,MIN(5,((6-$H906)*0.45)+($BJ906*0.20)+('Resilience &amp; Risk Scenario'!$B$7*0.15)+($BK906*0.10)+($BL906*0.05)+(IF($BB906="Fast",5,IF($BB906="Slow",1,3))*0.05))))</f>
        <v/>
      </c>
      <c r="BQ906">
        <f>IF($H906="","",MAX(IF($BN906="Yes",$BO906,1),MIN(5,($U906*0.20)+($V906*0.15)+($W906*0.25)+($X906*0.15)+($BJ906*0.10)+($BM906*0.15))))</f>
        <v/>
      </c>
      <c r="BR906">
        <f>IF(OR($BP906="",$BQ906=""),"",ROUND($BP906*$BQ906,2))</f>
        <v/>
      </c>
      <c r="BS906">
        <f>IF($BR906="","",ROUND($BR906*IF($AO906="",1,$AO906)*IF($AX906="",1,$AX906)*(1+(($BM906-3)*0.10))*IF($BC906="",1,$BC906),2))</f>
        <v/>
      </c>
    </row>
    <row r="907">
      <c r="A907">
        <f>IF($BD907="","",SUMPRODUCT(ISNUMBER($BD$500:$BD$923)*($BD$500:$BD$923&gt;$BD907))+COUNTIF($BD$500:$BD907,$BD907))</f>
        <v/>
      </c>
      <c r="B907">
        <f>IF($H907="","",IF($H907&lt;5,"Yes","Maintain"))</f>
        <v/>
      </c>
      <c r="C907" t="inlineStr">
        <is>
          <t>Quality Portfolio</t>
        </is>
      </c>
      <c r="D907" t="inlineStr">
        <is>
          <t>Quality management</t>
        </is>
      </c>
      <c r="E907" t="inlineStr">
        <is>
          <t>QUAL-007</t>
        </is>
      </c>
      <c r="F907" t="inlineStr">
        <is>
          <t>Quality, portfolio and change execution risk</t>
        </is>
      </c>
      <c r="G907">
        <f>IF($H907="","",IFERROR(INDEX('_ENGINE_Risk'!$H$41:$M$920,MATCH($E907,'_ENGINE_Risk'!$A$41:$A$920,0),$H907+1),""))</f>
        <v/>
      </c>
      <c r="H907">
        <f>IFERROR(VALUE(INDEX(_DATA_Assessment_Model!$H$5:$H$884,MATCH($E907,_DATA_Assessment_Model!$A$5:$A$884,0))),"")</f>
        <v/>
      </c>
      <c r="I907">
        <f>IF($H907="","",IFERROR(INDEX(_DATA_Assessment_Model!$L$5:$L$884,MATCH($E907,_DATA_Assessment_Model!$A$5:$A$884,0)),IF($H907&lt;=1,"Critical",IF($H907=2,"High",IF($H907=3,"Medium",IF($H907=4,"Low","Resilient"))))))</f>
        <v/>
      </c>
      <c r="J907">
        <f>IF($H907="","",MIN(5,MAX(1,6-$H907)))</f>
        <v/>
      </c>
      <c r="K907">
        <f>IF($H907="","",MAX(1,MIN(5,ROUNDUP(($U907*0.45)+($W907*0.35)+($X907*0.2),0))))</f>
        <v/>
      </c>
      <c r="L907">
        <f>IF($H907="","",$J907*$K907)</f>
        <v/>
      </c>
      <c r="M907">
        <f>IF($H907="","",MAX(1,MIN(5,ROUNDUP($L907/5,0))))</f>
        <v/>
      </c>
      <c r="N907">
        <f>IF($H907="","",IFERROR(INDEX('_ENGINE_Risk'!$T$41:$Y$920,MATCH($E907,'_ENGINE_Risk'!$A$41:$A$920,0),$H907+1),""))</f>
        <v/>
      </c>
      <c r="O907">
        <f>IF($H907="","",MAX(1,MIN(5,($U907+$V907+$X907)/3)))</f>
        <v/>
      </c>
      <c r="P907">
        <f>IF($H907="","",IF($I907="Critical",5,IF($I907="High",4,IF($I907="Medium",3,IF($I907="Low",2,1)))))</f>
        <v/>
      </c>
      <c r="Q907">
        <f>IF($H907="","",MAX(1,MIN(5,((5-$H907)*0.65)+($W907*0.35))))</f>
        <v/>
      </c>
      <c r="R907">
        <f>IF($H907="","",MAX(1,MIN(5,($V907+$X907)/2)))</f>
        <v/>
      </c>
      <c r="S907">
        <f>IF(OR($H907="",$N907=""),"",ROUND(($O907+$P907+$Q907+$R907)/$N907,2))</f>
        <v/>
      </c>
      <c r="T907">
        <f>IF($H907="","",IFERROR(INDEX('_ENGINE_Risk'!$N$41:$S$920,MATCH($E907,'_ENGINE_Risk'!$A$41:$A$920,0),$H907+1),""))</f>
        <v/>
      </c>
      <c r="U907">
        <f>IFERROR(INDEX(_DATA_Assessment_Model!$G$5:$G$884,MATCH($E907,_DATA_Assessment_Model!$A$5:$A$884,0)),"")</f>
        <v/>
      </c>
      <c r="V907">
        <f>IFERROR(INDEX(_DATA_Assessment_Model!$W$5:$W$884,MATCH($E907,_DATA_Assessment_Model!$A$5:$A$884,0)),"")</f>
        <v/>
      </c>
      <c r="W907">
        <f>IFERROR(INDEX(_DATA_Assessment_Model!$X$5:$X$884,MATCH($E907,_DATA_Assessment_Model!$A$5:$A$884,0)),"")</f>
        <v/>
      </c>
      <c r="X907">
        <f>IFERROR(INDEX(_DATA_Assessment_Model!$Y$5:$Y$884,MATCH($E907,_DATA_Assessment_Model!$A$5:$A$884,0)),"")</f>
        <v/>
      </c>
      <c r="Y907" t="inlineStr">
        <is>
          <t>Execution failure; Delivery disruption; Decision failure</t>
        </is>
      </c>
      <c r="Z907" t="inlineStr">
        <is>
          <t>COO / PMO / Quality</t>
        </is>
      </c>
      <c r="AA907" t="inlineStr">
        <is>
          <t>Policy/SOP; owner/RACI; system report; dashboard; contracts; test records; incident history; interview evidence related to nonconformity, defect, complaint and corrective action management.</t>
        </is>
      </c>
      <c r="AB907">
        <f>IFERROR(INDEX(_DATA_Assessment_Model!$U$5:$U$884,MATCH($E907,_DATA_Assessment_Model!$A$5:$A$884,0)),"")</f>
        <v/>
      </c>
      <c r="AF907" t="inlineStr">
        <is>
          <t>How mature is the organization in managing nonconformity, defect, complaint and corrective action management, including ownership, evidence, metrics, fallback procedures and crisis stress testing?</t>
        </is>
      </c>
      <c r="AO907">
        <f>IF($B907="Yes",IFERROR(INDEX(_ENGINE_Crisis!$F$501:$F$517,MATCH($C907,_ENGINE_Crisis!$A$501:$A$517,0)),1),"")</f>
        <v/>
      </c>
      <c r="AP907">
        <f>IF(AO907="","",ROUND($L907*AO907,1))</f>
        <v/>
      </c>
      <c r="AQ907">
        <f>IF(OR(AO907="",$S907=""),"",ROUND($S907*(0.7+0.3*AO907),2))</f>
        <v/>
      </c>
      <c r="AR907">
        <f>IFERROR(INDEX(_ENGINE_Crisis!$E$41:$E$700,MATCH('Resilience &amp; Risk Scenario'!$B$60&amp;"|"&amp;$C907,_ENGINE_Crisis!$I$41:$I$700,0)),"")</f>
        <v/>
      </c>
      <c r="AS907">
        <f>IFERROR(INDEX(_ENGINE_Crisis!$G$41:$G$700,MATCH('Resilience &amp; Risk Scenario'!$B$60&amp;"|"&amp;$C907,_ENGINE_Crisis!$I$41:$I$700,0)),"")</f>
        <v/>
      </c>
      <c r="AT907">
        <f>IFERROR(INDEX(_ENGINE_Initiatives!$A$5:$A$532,MATCH(1,INDEX((_ENGINE_Initiatives!$B$5:$B$532=$C907)*(_ENGINE_Initiatives!$C$5:$C$532=$D907),0),0)),"")</f>
        <v/>
      </c>
      <c r="AU907">
        <f>IFERROR(INDEX(_ENGINE_Initiatives!$F$5:$F$532,MATCH(1,INDEX((_ENGINE_Initiatives!$B$5:$B$532=$C907)*(_ENGINE_Initiatives!$C$5:$C$532=$D907),0),0)),"")</f>
        <v/>
      </c>
      <c r="AV907">
        <f>IFERROR(INDEX(_ENGINE_Initiatives!$AC$5:$AC$532,MATCH(1,INDEX((_ENGINE_Initiatives!$B$5:$B$532=$C907)*(_ENGINE_Initiatives!$C$5:$C$532=$D907),0),0)),"")</f>
        <v/>
      </c>
      <c r="AW907">
        <f>IFERROR(INDEX(_ENGINE_Initiatives!$AE$5:$AE$532,MATCH(1,INDEX((_ENGINE_Initiatives!$B$5:$B$532=$C907)*(_ENGINE_Initiatives!$C$5:$C$532=$D907),0),0)),"")</f>
        <v/>
      </c>
      <c r="AX907">
        <f>IF($B907="Yes",IFERROR(IF(SUMIFS(_REF_Model_Content!$E$1:$E$613,_REF_Model_Content!$A$1:$A$613,'Company Profile'!$B$9,_REF_Model_Content!$B$1:$B$613,$C907)=0,1,SUMIFS(_REF_Model_Content!$E$1:$E$613,_REF_Model_Content!$A$1:$A$613,'Company Profile'!$B$9,_REF_Model_Content!$B$1:$B$613,$C907)),1),"")</f>
        <v/>
      </c>
      <c r="AY907">
        <f>IF($L907="","",ROUND(IF($AP907="",$L907,$AP907)*IF($AX907="",1,$AX907),2))</f>
        <v/>
      </c>
      <c r="AZ907">
        <f>IF($S907="","",ROUND(IF($AQ907="",$S907,$AQ907)*IF($AX907="",1,$AX907),2))</f>
        <v/>
      </c>
      <c r="BB907">
        <f>IF($H907="","",IFERROR(INDEX('_ENGINE_Risk'!$AE$41:$AE$920,MATCH($E907,'_ENGINE_Risk'!$A$41:$A$920,0)),"Medium"))</f>
        <v/>
      </c>
      <c r="BC907">
        <f>IF($BB907="","",IF($BB907="Fast",1.25,IF($BB907="Slow",0.85,1)))</f>
        <v/>
      </c>
      <c r="BD907">
        <f>IF(OR($AZ907="",$BC907=""),"",ROUND($AZ907*$BC907,2))</f>
        <v/>
      </c>
      <c r="BF907">
        <f>IF(OR($H907="",$J907=""),"",_xlfn.IFNA(VLOOKUP($J907,_CONFIG_Model_Settings!$D$610:$E$614,2,0),""))</f>
        <v/>
      </c>
      <c r="BG907">
        <f>IF(OR($H907="",$K907=""),"",ROUND('Company Profile'!$B$569*INDEX(_CONFIG_Model_Settings!$H$610:$H$614,MATCH($K907,_CONFIG_Model_Settings!$G$610:$G$614,0)),0))</f>
        <v/>
      </c>
      <c r="BH907">
        <f>IF(OR($BF907="",$BG907=""),"",ROUND($BF907*$BG907,1))</f>
        <v/>
      </c>
      <c r="BI907">
        <f>IF($BH907="","",IF($AO907="",$BH907,ROUND($BH907*$AO907,1)))</f>
        <v/>
      </c>
      <c r="BJ907">
        <f>IF($E907="","",IFERROR(VLOOKUP($C907,'_CONFIG_Risk_Calibration'!$A$5:$H$21,2,FALSE),3))</f>
        <v/>
      </c>
      <c r="BK907">
        <f>IF($E907="","",IFERROR(VLOOKUP($C907,'_CONFIG_Risk_Calibration'!$A$5:$H$21,3,FALSE),0))</f>
        <v/>
      </c>
      <c r="BL907">
        <f>IF($E907="","",IFERROR(VLOOKUP($C907,'_CONFIG_Risk_Calibration'!$A$5:$H$21,4,FALSE),3))</f>
        <v/>
      </c>
      <c r="BM907">
        <f>IF($E907="","",IFERROR(VLOOKUP($C907,'_CONFIG_Risk_Calibration'!$A$5:$H$21,5,FALSE),3))</f>
        <v/>
      </c>
      <c r="BN907">
        <f>IF($E907="","",IFERROR(VLOOKUP($C907,'_CONFIG_Risk_Calibration'!$A$5:$H$21,6,FALSE),"No"))</f>
        <v/>
      </c>
      <c r="BO907">
        <f>IF($E907="","",IFERROR(VLOOKUP($C907,'_CONFIG_Risk_Calibration'!$A$5:$H$21,7,FALSE),1))</f>
        <v/>
      </c>
      <c r="BP907">
        <f>IF($H907="","",MAX(1,MIN(5,((6-$H907)*0.45)+($BJ907*0.20)+('Resilience &amp; Risk Scenario'!$B$7*0.15)+($BK907*0.10)+($BL907*0.05)+(IF($BB907="Fast",5,IF($BB907="Slow",1,3))*0.05))))</f>
        <v/>
      </c>
      <c r="BQ907">
        <f>IF($H907="","",MAX(IF($BN907="Yes",$BO907,1),MIN(5,($U907*0.20)+($V907*0.15)+($W907*0.25)+($X907*0.15)+($BJ907*0.10)+($BM907*0.15))))</f>
        <v/>
      </c>
      <c r="BR907">
        <f>IF(OR($BP907="",$BQ907=""),"",ROUND($BP907*$BQ907,2))</f>
        <v/>
      </c>
      <c r="BS907">
        <f>IF($BR907="","",ROUND($BR907*IF($AO907="",1,$AO907)*IF($AX907="",1,$AX907)*(1+(($BM907-3)*0.10))*IF($BC907="",1,$BC907),2))</f>
        <v/>
      </c>
    </row>
    <row r="908">
      <c r="A908">
        <f>IF($BD908="","",SUMPRODUCT(ISNUMBER($BD$500:$BD$923)*($BD$500:$BD$923&gt;$BD908))+COUNTIF($BD$500:$BD908,$BD908))</f>
        <v/>
      </c>
      <c r="B908">
        <f>IF($H908="","",IF($H908&lt;5,"Yes","Maintain"))</f>
        <v/>
      </c>
      <c r="C908" t="inlineStr">
        <is>
          <t>Quality Portfolio</t>
        </is>
      </c>
      <c r="D908" t="inlineStr">
        <is>
          <t>Quality management</t>
        </is>
      </c>
      <c r="E908" t="inlineStr">
        <is>
          <t>QUAL-008</t>
        </is>
      </c>
      <c r="F908" t="inlineStr">
        <is>
          <t>Quality, portfolio and change execution risk</t>
        </is>
      </c>
      <c r="G908">
        <f>IF($H908="","",IFERROR(INDEX('_ENGINE_Risk'!$H$41:$M$920,MATCH($E908,'_ENGINE_Risk'!$A$41:$A$920,0),$H908+1),""))</f>
        <v/>
      </c>
      <c r="H908">
        <f>IFERROR(VALUE(INDEX(_DATA_Assessment_Model!$H$5:$H$884,MATCH($E908,_DATA_Assessment_Model!$A$5:$A$884,0))),"")</f>
        <v/>
      </c>
      <c r="I908">
        <f>IF($H908="","",IFERROR(INDEX(_DATA_Assessment_Model!$L$5:$L$884,MATCH($E908,_DATA_Assessment_Model!$A$5:$A$884,0)),IF($H908&lt;=1,"Critical",IF($H908=2,"High",IF($H908=3,"Medium",IF($H908=4,"Low","Resilient"))))))</f>
        <v/>
      </c>
      <c r="J908">
        <f>IF($H908="","",MIN(5,MAX(1,6-$H908)))</f>
        <v/>
      </c>
      <c r="K908">
        <f>IF($H908="","",MAX(1,MIN(5,ROUNDUP(($U908*0.45)+($W908*0.35)+($X908*0.2),0))))</f>
        <v/>
      </c>
      <c r="L908">
        <f>IF($H908="","",$J908*$K908)</f>
        <v/>
      </c>
      <c r="M908">
        <f>IF($H908="","",MAX(1,MIN(5,ROUNDUP($L908/5,0))))</f>
        <v/>
      </c>
      <c r="N908">
        <f>IF($H908="","",IFERROR(INDEX('_ENGINE_Risk'!$T$41:$Y$920,MATCH($E908,'_ENGINE_Risk'!$A$41:$A$920,0),$H908+1),""))</f>
        <v/>
      </c>
      <c r="O908">
        <f>IF($H908="","",MAX(1,MIN(5,($U908+$V908+$X908)/3)))</f>
        <v/>
      </c>
      <c r="P908">
        <f>IF($H908="","",IF($I908="Critical",5,IF($I908="High",4,IF($I908="Medium",3,IF($I908="Low",2,1)))))</f>
        <v/>
      </c>
      <c r="Q908">
        <f>IF($H908="","",MAX(1,MIN(5,((5-$H908)*0.65)+($W908*0.35))))</f>
        <v/>
      </c>
      <c r="R908">
        <f>IF($H908="","",MAX(1,MIN(5,($V908+$X908)/2)))</f>
        <v/>
      </c>
      <c r="S908">
        <f>IF(OR($H908="",$N908=""),"",ROUND(($O908+$P908+$Q908+$R908)/$N908,2))</f>
        <v/>
      </c>
      <c r="T908">
        <f>IF($H908="","",IFERROR(INDEX('_ENGINE_Risk'!$N$41:$S$920,MATCH($E908,'_ENGINE_Risk'!$A$41:$A$920,0),$H908+1),""))</f>
        <v/>
      </c>
      <c r="U908">
        <f>IFERROR(INDEX(_DATA_Assessment_Model!$G$5:$G$884,MATCH($E908,_DATA_Assessment_Model!$A$5:$A$884,0)),"")</f>
        <v/>
      </c>
      <c r="V908">
        <f>IFERROR(INDEX(_DATA_Assessment_Model!$W$5:$W$884,MATCH($E908,_DATA_Assessment_Model!$A$5:$A$884,0)),"")</f>
        <v/>
      </c>
      <c r="W908">
        <f>IFERROR(INDEX(_DATA_Assessment_Model!$X$5:$X$884,MATCH($E908,_DATA_Assessment_Model!$A$5:$A$884,0)),"")</f>
        <v/>
      </c>
      <c r="X908">
        <f>IFERROR(INDEX(_DATA_Assessment_Model!$Y$5:$Y$884,MATCH($E908,_DATA_Assessment_Model!$A$5:$A$884,0)),"")</f>
        <v/>
      </c>
      <c r="Y908" t="inlineStr">
        <is>
          <t>Execution failure; Delivery disruption; Decision failure</t>
        </is>
      </c>
      <c r="Z908" t="inlineStr">
        <is>
          <t>COO / PMO / Quality</t>
        </is>
      </c>
      <c r="AA908" t="inlineStr">
        <is>
          <t>Policy/SOP; owner/RACI; system report; dashboard; contracts; test records; incident history; interview evidence related to internal audit program for critical processes and controls.</t>
        </is>
      </c>
      <c r="AB908">
        <f>IFERROR(INDEX(_DATA_Assessment_Model!$U$5:$U$884,MATCH($E908,_DATA_Assessment_Model!$A$5:$A$884,0)),"")</f>
        <v/>
      </c>
      <c r="AF908" t="inlineStr">
        <is>
          <t>How mature is the organization in managing internal audit program for critical processes and controls, including ownership, evidence, metrics, fallback procedures and crisis stress testing?</t>
        </is>
      </c>
      <c r="AO908">
        <f>IF($B908="Yes",IFERROR(INDEX(_ENGINE_Crisis!$F$501:$F$517,MATCH($C908,_ENGINE_Crisis!$A$501:$A$517,0)),1),"")</f>
        <v/>
      </c>
      <c r="AP908">
        <f>IF(AO908="","",ROUND($L908*AO908,1))</f>
        <v/>
      </c>
      <c r="AQ908">
        <f>IF(OR(AO908="",$S908=""),"",ROUND($S908*(0.7+0.3*AO908),2))</f>
        <v/>
      </c>
      <c r="AR908">
        <f>IFERROR(INDEX(_ENGINE_Crisis!$E$41:$E$700,MATCH('Resilience &amp; Risk Scenario'!$B$60&amp;"|"&amp;$C908,_ENGINE_Crisis!$I$41:$I$700,0)),"")</f>
        <v/>
      </c>
      <c r="AS908">
        <f>IFERROR(INDEX(_ENGINE_Crisis!$G$41:$G$700,MATCH('Resilience &amp; Risk Scenario'!$B$60&amp;"|"&amp;$C908,_ENGINE_Crisis!$I$41:$I$700,0)),"")</f>
        <v/>
      </c>
      <c r="AT908">
        <f>IFERROR(INDEX(_ENGINE_Initiatives!$A$5:$A$532,MATCH(1,INDEX((_ENGINE_Initiatives!$B$5:$B$532=$C908)*(_ENGINE_Initiatives!$C$5:$C$532=$D908),0),0)),"")</f>
        <v/>
      </c>
      <c r="AU908">
        <f>IFERROR(INDEX(_ENGINE_Initiatives!$F$5:$F$532,MATCH(1,INDEX((_ENGINE_Initiatives!$B$5:$B$532=$C908)*(_ENGINE_Initiatives!$C$5:$C$532=$D908),0),0)),"")</f>
        <v/>
      </c>
      <c r="AV908">
        <f>IFERROR(INDEX(_ENGINE_Initiatives!$AC$5:$AC$532,MATCH(1,INDEX((_ENGINE_Initiatives!$B$5:$B$532=$C908)*(_ENGINE_Initiatives!$C$5:$C$532=$D908),0),0)),"")</f>
        <v/>
      </c>
      <c r="AW908">
        <f>IFERROR(INDEX(_ENGINE_Initiatives!$AE$5:$AE$532,MATCH(1,INDEX((_ENGINE_Initiatives!$B$5:$B$532=$C908)*(_ENGINE_Initiatives!$C$5:$C$532=$D908),0),0)),"")</f>
        <v/>
      </c>
      <c r="AX908">
        <f>IF($B908="Yes",IFERROR(IF(SUMIFS(_REF_Model_Content!$E$1:$E$613,_REF_Model_Content!$A$1:$A$613,'Company Profile'!$B$9,_REF_Model_Content!$B$1:$B$613,$C908)=0,1,SUMIFS(_REF_Model_Content!$E$1:$E$613,_REF_Model_Content!$A$1:$A$613,'Company Profile'!$B$9,_REF_Model_Content!$B$1:$B$613,$C908)),1),"")</f>
        <v/>
      </c>
      <c r="AY908">
        <f>IF($L908="","",ROUND(IF($AP908="",$L908,$AP908)*IF($AX908="",1,$AX908),2))</f>
        <v/>
      </c>
      <c r="AZ908">
        <f>IF($S908="","",ROUND(IF($AQ908="",$S908,$AQ908)*IF($AX908="",1,$AX908),2))</f>
        <v/>
      </c>
      <c r="BB908">
        <f>IF($H908="","",IFERROR(INDEX('_ENGINE_Risk'!$AE$41:$AE$920,MATCH($E908,'_ENGINE_Risk'!$A$41:$A$920,0)),"Medium"))</f>
        <v/>
      </c>
      <c r="BC908">
        <f>IF($BB908="","",IF($BB908="Fast",1.25,IF($BB908="Slow",0.85,1)))</f>
        <v/>
      </c>
      <c r="BD908">
        <f>IF(OR($AZ908="",$BC908=""),"",ROUND($AZ908*$BC908,2))</f>
        <v/>
      </c>
      <c r="BF908">
        <f>IF(OR($H908="",$J908=""),"",_xlfn.IFNA(VLOOKUP($J908,_CONFIG_Model_Settings!$D$610:$E$614,2,0),""))</f>
        <v/>
      </c>
      <c r="BG908">
        <f>IF(OR($H908="",$K908=""),"",ROUND('Company Profile'!$B$569*INDEX(_CONFIG_Model_Settings!$H$610:$H$614,MATCH($K908,_CONFIG_Model_Settings!$G$610:$G$614,0)),0))</f>
        <v/>
      </c>
      <c r="BH908">
        <f>IF(OR($BF908="",$BG908=""),"",ROUND($BF908*$BG908,1))</f>
        <v/>
      </c>
      <c r="BI908">
        <f>IF($BH908="","",IF($AO908="",$BH908,ROUND($BH908*$AO908,1)))</f>
        <v/>
      </c>
      <c r="BJ908">
        <f>IF($E908="","",IFERROR(VLOOKUP($C908,'_CONFIG_Risk_Calibration'!$A$5:$H$21,2,FALSE),3))</f>
        <v/>
      </c>
      <c r="BK908">
        <f>IF($E908="","",IFERROR(VLOOKUP($C908,'_CONFIG_Risk_Calibration'!$A$5:$H$21,3,FALSE),0))</f>
        <v/>
      </c>
      <c r="BL908">
        <f>IF($E908="","",IFERROR(VLOOKUP($C908,'_CONFIG_Risk_Calibration'!$A$5:$H$21,4,FALSE),3))</f>
        <v/>
      </c>
      <c r="BM908">
        <f>IF($E908="","",IFERROR(VLOOKUP($C908,'_CONFIG_Risk_Calibration'!$A$5:$H$21,5,FALSE),3))</f>
        <v/>
      </c>
      <c r="BN908">
        <f>IF($E908="","",IFERROR(VLOOKUP($C908,'_CONFIG_Risk_Calibration'!$A$5:$H$21,6,FALSE),"No"))</f>
        <v/>
      </c>
      <c r="BO908">
        <f>IF($E908="","",IFERROR(VLOOKUP($C908,'_CONFIG_Risk_Calibration'!$A$5:$H$21,7,FALSE),1))</f>
        <v/>
      </c>
      <c r="BP908">
        <f>IF($H908="","",MAX(1,MIN(5,((6-$H908)*0.45)+($BJ908*0.20)+('Resilience &amp; Risk Scenario'!$B$7*0.15)+($BK908*0.10)+($BL908*0.05)+(IF($BB908="Fast",5,IF($BB908="Slow",1,3))*0.05))))</f>
        <v/>
      </c>
      <c r="BQ908">
        <f>IF($H908="","",MAX(IF($BN908="Yes",$BO908,1),MIN(5,($U908*0.20)+($V908*0.15)+($W908*0.25)+($X908*0.15)+($BJ908*0.10)+($BM908*0.15))))</f>
        <v/>
      </c>
      <c r="BR908">
        <f>IF(OR($BP908="",$BQ908=""),"",ROUND($BP908*$BQ908,2))</f>
        <v/>
      </c>
      <c r="BS908">
        <f>IF($BR908="","",ROUND($BR908*IF($AO908="",1,$AO908)*IF($AX908="",1,$AX908)*(1+(($BM908-3)*0.10))*IF($BC908="",1,$BC908),2))</f>
        <v/>
      </c>
    </row>
    <row r="909">
      <c r="A909">
        <f>IF($BD909="","",SUMPRODUCT(ISNUMBER($BD$500:$BD$923)*($BD$500:$BD$923&gt;$BD909))+COUNTIF($BD$500:$BD909,$BD909))</f>
        <v/>
      </c>
      <c r="B909">
        <f>IF($H909="","",IF($H909&lt;5,"Yes","Maintain"))</f>
        <v/>
      </c>
      <c r="C909" t="inlineStr">
        <is>
          <t>Quality Portfolio</t>
        </is>
      </c>
      <c r="D909" t="inlineStr">
        <is>
          <t>Quality management</t>
        </is>
      </c>
      <c r="E909" t="inlineStr">
        <is>
          <t>QUAL-009</t>
        </is>
      </c>
      <c r="F909" t="inlineStr">
        <is>
          <t>Quality, portfolio and change execution risk</t>
        </is>
      </c>
      <c r="G909">
        <f>IF($H909="","",IFERROR(INDEX('_ENGINE_Risk'!$H$41:$M$920,MATCH($E909,'_ENGINE_Risk'!$A$41:$A$920,0),$H909+1),""))</f>
        <v/>
      </c>
      <c r="H909">
        <f>IFERROR(VALUE(INDEX(_DATA_Assessment_Model!$H$5:$H$884,MATCH($E909,_DATA_Assessment_Model!$A$5:$A$884,0))),"")</f>
        <v/>
      </c>
      <c r="I909">
        <f>IF($H909="","",IFERROR(INDEX(_DATA_Assessment_Model!$L$5:$L$884,MATCH($E909,_DATA_Assessment_Model!$A$5:$A$884,0)),IF($H909&lt;=1,"Critical",IF($H909=2,"High",IF($H909=3,"Medium",IF($H909=4,"Low","Resilient"))))))</f>
        <v/>
      </c>
      <c r="J909">
        <f>IF($H909="","",MIN(5,MAX(1,6-$H909)))</f>
        <v/>
      </c>
      <c r="K909">
        <f>IF($H909="","",MAX(1,MIN(5,ROUNDUP(($U909*0.45)+($W909*0.35)+($X909*0.2),0))))</f>
        <v/>
      </c>
      <c r="L909">
        <f>IF($H909="","",$J909*$K909)</f>
        <v/>
      </c>
      <c r="M909">
        <f>IF($H909="","",MAX(1,MIN(5,ROUNDUP($L909/5,0))))</f>
        <v/>
      </c>
      <c r="N909">
        <f>IF($H909="","",IFERROR(INDEX('_ENGINE_Risk'!$T$41:$Y$920,MATCH($E909,'_ENGINE_Risk'!$A$41:$A$920,0),$H909+1),""))</f>
        <v/>
      </c>
      <c r="O909">
        <f>IF($H909="","",MAX(1,MIN(5,($U909+$V909+$X909)/3)))</f>
        <v/>
      </c>
      <c r="P909">
        <f>IF($H909="","",IF($I909="Critical",5,IF($I909="High",4,IF($I909="Medium",3,IF($I909="Low",2,1)))))</f>
        <v/>
      </c>
      <c r="Q909">
        <f>IF($H909="","",MAX(1,MIN(5,((5-$H909)*0.65)+($W909*0.35))))</f>
        <v/>
      </c>
      <c r="R909">
        <f>IF($H909="","",MAX(1,MIN(5,($V909+$X909)/2)))</f>
        <v/>
      </c>
      <c r="S909">
        <f>IF(OR($H909="",$N909=""),"",ROUND(($O909+$P909+$Q909+$R909)/$N909,2))</f>
        <v/>
      </c>
      <c r="T909">
        <f>IF($H909="","",IFERROR(INDEX('_ENGINE_Risk'!$N$41:$S$920,MATCH($E909,'_ENGINE_Risk'!$A$41:$A$920,0),$H909+1),""))</f>
        <v/>
      </c>
      <c r="U909">
        <f>IFERROR(INDEX(_DATA_Assessment_Model!$G$5:$G$884,MATCH($E909,_DATA_Assessment_Model!$A$5:$A$884,0)),"")</f>
        <v/>
      </c>
      <c r="V909">
        <f>IFERROR(INDEX(_DATA_Assessment_Model!$W$5:$W$884,MATCH($E909,_DATA_Assessment_Model!$A$5:$A$884,0)),"")</f>
        <v/>
      </c>
      <c r="W909">
        <f>IFERROR(INDEX(_DATA_Assessment_Model!$X$5:$X$884,MATCH($E909,_DATA_Assessment_Model!$A$5:$A$884,0)),"")</f>
        <v/>
      </c>
      <c r="X909">
        <f>IFERROR(INDEX(_DATA_Assessment_Model!$Y$5:$Y$884,MATCH($E909,_DATA_Assessment_Model!$A$5:$A$884,0)),"")</f>
        <v/>
      </c>
      <c r="Y909" t="inlineStr">
        <is>
          <t>Execution failure; Delivery disruption; Decision failure</t>
        </is>
      </c>
      <c r="Z909" t="inlineStr">
        <is>
          <t>COO / PMO / Quality</t>
        </is>
      </c>
      <c r="AA909" t="inlineStr">
        <is>
          <t>Policy/SOP; owner/RACI; system report; dashboard; contracts; test records; incident history; interview evidence related to control testing for effectiveness, not only existence.</t>
        </is>
      </c>
      <c r="AB909">
        <f>IFERROR(INDEX(_DATA_Assessment_Model!$U$5:$U$884,MATCH($E909,_DATA_Assessment_Model!$A$5:$A$884,0)),"")</f>
        <v/>
      </c>
      <c r="AF909" t="inlineStr">
        <is>
          <t>How mature is the organization in managing control testing for effectiveness, not only existence, including ownership, evidence, metrics, fallback procedures and crisis stress testing?</t>
        </is>
      </c>
      <c r="AO909">
        <f>IF($B909="Yes",IFERROR(INDEX(_ENGINE_Crisis!$F$501:$F$517,MATCH($C909,_ENGINE_Crisis!$A$501:$A$517,0)),1),"")</f>
        <v/>
      </c>
      <c r="AP909">
        <f>IF(AO909="","",ROUND($L909*AO909,1))</f>
        <v/>
      </c>
      <c r="AQ909">
        <f>IF(OR(AO909="",$S909=""),"",ROUND($S909*(0.7+0.3*AO909),2))</f>
        <v/>
      </c>
      <c r="AR909">
        <f>IFERROR(INDEX(_ENGINE_Crisis!$E$41:$E$700,MATCH('Resilience &amp; Risk Scenario'!$B$60&amp;"|"&amp;$C909,_ENGINE_Crisis!$I$41:$I$700,0)),"")</f>
        <v/>
      </c>
      <c r="AS909">
        <f>IFERROR(INDEX(_ENGINE_Crisis!$G$41:$G$700,MATCH('Resilience &amp; Risk Scenario'!$B$60&amp;"|"&amp;$C909,_ENGINE_Crisis!$I$41:$I$700,0)),"")</f>
        <v/>
      </c>
      <c r="AT909">
        <f>IFERROR(INDEX(_ENGINE_Initiatives!$A$5:$A$532,MATCH(1,INDEX((_ENGINE_Initiatives!$B$5:$B$532=$C909)*(_ENGINE_Initiatives!$C$5:$C$532=$D909),0),0)),"")</f>
        <v/>
      </c>
      <c r="AU909">
        <f>IFERROR(INDEX(_ENGINE_Initiatives!$F$5:$F$532,MATCH(1,INDEX((_ENGINE_Initiatives!$B$5:$B$532=$C909)*(_ENGINE_Initiatives!$C$5:$C$532=$D909),0),0)),"")</f>
        <v/>
      </c>
      <c r="AV909">
        <f>IFERROR(INDEX(_ENGINE_Initiatives!$AC$5:$AC$532,MATCH(1,INDEX((_ENGINE_Initiatives!$B$5:$B$532=$C909)*(_ENGINE_Initiatives!$C$5:$C$532=$D909),0),0)),"")</f>
        <v/>
      </c>
      <c r="AW909">
        <f>IFERROR(INDEX(_ENGINE_Initiatives!$AE$5:$AE$532,MATCH(1,INDEX((_ENGINE_Initiatives!$B$5:$B$532=$C909)*(_ENGINE_Initiatives!$C$5:$C$532=$D909),0),0)),"")</f>
        <v/>
      </c>
      <c r="AX909">
        <f>IF($B909="Yes",IFERROR(IF(SUMIFS(_REF_Model_Content!$E$1:$E$613,_REF_Model_Content!$A$1:$A$613,'Company Profile'!$B$9,_REF_Model_Content!$B$1:$B$613,$C909)=0,1,SUMIFS(_REF_Model_Content!$E$1:$E$613,_REF_Model_Content!$A$1:$A$613,'Company Profile'!$B$9,_REF_Model_Content!$B$1:$B$613,$C909)),1),"")</f>
        <v/>
      </c>
      <c r="AY909">
        <f>IF($L909="","",ROUND(IF($AP909="",$L909,$AP909)*IF($AX909="",1,$AX909),2))</f>
        <v/>
      </c>
      <c r="AZ909">
        <f>IF($S909="","",ROUND(IF($AQ909="",$S909,$AQ909)*IF($AX909="",1,$AX909),2))</f>
        <v/>
      </c>
      <c r="BB909">
        <f>IF($H909="","",IFERROR(INDEX('_ENGINE_Risk'!$AE$41:$AE$920,MATCH($E909,'_ENGINE_Risk'!$A$41:$A$920,0)),"Medium"))</f>
        <v/>
      </c>
      <c r="BC909">
        <f>IF($BB909="","",IF($BB909="Fast",1.25,IF($BB909="Slow",0.85,1)))</f>
        <v/>
      </c>
      <c r="BD909">
        <f>IF(OR($AZ909="",$BC909=""),"",ROUND($AZ909*$BC909,2))</f>
        <v/>
      </c>
      <c r="BF909">
        <f>IF(OR($H909="",$J909=""),"",_xlfn.IFNA(VLOOKUP($J909,_CONFIG_Model_Settings!$D$610:$E$614,2,0),""))</f>
        <v/>
      </c>
      <c r="BG909">
        <f>IF(OR($H909="",$K909=""),"",ROUND('Company Profile'!$B$569*INDEX(_CONFIG_Model_Settings!$H$610:$H$614,MATCH($K909,_CONFIG_Model_Settings!$G$610:$G$614,0)),0))</f>
        <v/>
      </c>
      <c r="BH909">
        <f>IF(OR($BF909="",$BG909=""),"",ROUND($BF909*$BG909,1))</f>
        <v/>
      </c>
      <c r="BI909">
        <f>IF($BH909="","",IF($AO909="",$BH909,ROUND($BH909*$AO909,1)))</f>
        <v/>
      </c>
      <c r="BJ909">
        <f>IF($E909="","",IFERROR(VLOOKUP($C909,'_CONFIG_Risk_Calibration'!$A$5:$H$21,2,FALSE),3))</f>
        <v/>
      </c>
      <c r="BK909">
        <f>IF($E909="","",IFERROR(VLOOKUP($C909,'_CONFIG_Risk_Calibration'!$A$5:$H$21,3,FALSE),0))</f>
        <v/>
      </c>
      <c r="BL909">
        <f>IF($E909="","",IFERROR(VLOOKUP($C909,'_CONFIG_Risk_Calibration'!$A$5:$H$21,4,FALSE),3))</f>
        <v/>
      </c>
      <c r="BM909">
        <f>IF($E909="","",IFERROR(VLOOKUP($C909,'_CONFIG_Risk_Calibration'!$A$5:$H$21,5,FALSE),3))</f>
        <v/>
      </c>
      <c r="BN909">
        <f>IF($E909="","",IFERROR(VLOOKUP($C909,'_CONFIG_Risk_Calibration'!$A$5:$H$21,6,FALSE),"No"))</f>
        <v/>
      </c>
      <c r="BO909">
        <f>IF($E909="","",IFERROR(VLOOKUP($C909,'_CONFIG_Risk_Calibration'!$A$5:$H$21,7,FALSE),1))</f>
        <v/>
      </c>
      <c r="BP909">
        <f>IF($H909="","",MAX(1,MIN(5,((6-$H909)*0.45)+($BJ909*0.20)+('Resilience &amp; Risk Scenario'!$B$7*0.15)+($BK909*0.10)+($BL909*0.05)+(IF($BB909="Fast",5,IF($BB909="Slow",1,3))*0.05))))</f>
        <v/>
      </c>
      <c r="BQ909">
        <f>IF($H909="","",MAX(IF($BN909="Yes",$BO909,1),MIN(5,($U909*0.20)+($V909*0.15)+($W909*0.25)+($X909*0.15)+($BJ909*0.10)+($BM909*0.15))))</f>
        <v/>
      </c>
      <c r="BR909">
        <f>IF(OR($BP909="",$BQ909=""),"",ROUND($BP909*$BQ909,2))</f>
        <v/>
      </c>
      <c r="BS909">
        <f>IF($BR909="","",ROUND($BR909*IF($AO909="",1,$AO909)*IF($AX909="",1,$AX909)*(1+(($BM909-3)*0.10))*IF($BC909="",1,$BC909),2))</f>
        <v/>
      </c>
    </row>
    <row r="910">
      <c r="A910">
        <f>IF($BD910="","",SUMPRODUCT(ISNUMBER($BD$500:$BD$923)*($BD$500:$BD$923&gt;$BD910))+COUNTIF($BD$500:$BD910,$BD910))</f>
        <v/>
      </c>
      <c r="B910">
        <f>IF($H910="","",IF($H910&lt;5,"Yes","Maintain"))</f>
        <v/>
      </c>
      <c r="C910" t="inlineStr">
        <is>
          <t>Quality Portfolio</t>
        </is>
      </c>
      <c r="D910" t="inlineStr">
        <is>
          <t>Quality management</t>
        </is>
      </c>
      <c r="E910" t="inlineStr">
        <is>
          <t>QUAL-010</t>
        </is>
      </c>
      <c r="F910" t="inlineStr">
        <is>
          <t>Quality, portfolio and change execution risk</t>
        </is>
      </c>
      <c r="G910">
        <f>IF($H910="","",IFERROR(INDEX('_ENGINE_Risk'!$H$41:$M$920,MATCH($E910,'_ENGINE_Risk'!$A$41:$A$920,0),$H910+1),""))</f>
        <v/>
      </c>
      <c r="H910">
        <f>IFERROR(VALUE(INDEX(_DATA_Assessment_Model!$H$5:$H$884,MATCH($E910,_DATA_Assessment_Model!$A$5:$A$884,0))),"")</f>
        <v/>
      </c>
      <c r="I910">
        <f>IF($H910="","",IFERROR(INDEX(_DATA_Assessment_Model!$L$5:$L$884,MATCH($E910,_DATA_Assessment_Model!$A$5:$A$884,0)),IF($H910&lt;=1,"Critical",IF($H910=2,"High",IF($H910=3,"Medium",IF($H910=4,"Low","Resilient"))))))</f>
        <v/>
      </c>
      <c r="J910">
        <f>IF($H910="","",MIN(5,MAX(1,6-$H910)))</f>
        <v/>
      </c>
      <c r="K910">
        <f>IF($H910="","",MAX(1,MIN(5,ROUNDUP(($U910*0.45)+($W910*0.35)+($X910*0.2),0))))</f>
        <v/>
      </c>
      <c r="L910">
        <f>IF($H910="","",$J910*$K910)</f>
        <v/>
      </c>
      <c r="M910">
        <f>IF($H910="","",MAX(1,MIN(5,ROUNDUP($L910/5,0))))</f>
        <v/>
      </c>
      <c r="N910">
        <f>IF($H910="","",IFERROR(INDEX('_ENGINE_Risk'!$T$41:$Y$920,MATCH($E910,'_ENGINE_Risk'!$A$41:$A$920,0),$H910+1),""))</f>
        <v/>
      </c>
      <c r="O910">
        <f>IF($H910="","",MAX(1,MIN(5,($U910+$V910+$X910)/3)))</f>
        <v/>
      </c>
      <c r="P910">
        <f>IF($H910="","",IF($I910="Critical",5,IF($I910="High",4,IF($I910="Medium",3,IF($I910="Low",2,1)))))</f>
        <v/>
      </c>
      <c r="Q910">
        <f>IF($H910="","",MAX(1,MIN(5,((5-$H910)*0.65)+($W910*0.35))))</f>
        <v/>
      </c>
      <c r="R910">
        <f>IF($H910="","",MAX(1,MIN(5,($V910+$X910)/2)))</f>
        <v/>
      </c>
      <c r="S910">
        <f>IF(OR($H910="",$N910=""),"",ROUND(($O910+$P910+$Q910+$R910)/$N910,2))</f>
        <v/>
      </c>
      <c r="T910">
        <f>IF($H910="","",IFERROR(INDEX('_ENGINE_Risk'!$N$41:$S$920,MATCH($E910,'_ENGINE_Risk'!$A$41:$A$920,0),$H910+1),""))</f>
        <v/>
      </c>
      <c r="U910">
        <f>IFERROR(INDEX(_DATA_Assessment_Model!$G$5:$G$884,MATCH($E910,_DATA_Assessment_Model!$A$5:$A$884,0)),"")</f>
        <v/>
      </c>
      <c r="V910">
        <f>IFERROR(INDEX(_DATA_Assessment_Model!$W$5:$W$884,MATCH($E910,_DATA_Assessment_Model!$A$5:$A$884,0)),"")</f>
        <v/>
      </c>
      <c r="W910">
        <f>IFERROR(INDEX(_DATA_Assessment_Model!$X$5:$X$884,MATCH($E910,_DATA_Assessment_Model!$A$5:$A$884,0)),"")</f>
        <v/>
      </c>
      <c r="X910">
        <f>IFERROR(INDEX(_DATA_Assessment_Model!$Y$5:$Y$884,MATCH($E910,_DATA_Assessment_Model!$A$5:$A$884,0)),"")</f>
        <v/>
      </c>
      <c r="Y910" t="inlineStr">
        <is>
          <t>Execution failure; Delivery disruption; Decision failure</t>
        </is>
      </c>
      <c r="Z910" t="inlineStr">
        <is>
          <t>COO / PMO / Quality</t>
        </is>
      </c>
      <c r="AA910" t="inlineStr">
        <is>
          <t>Policy/SOP; owner/RACI; system report; dashboard; contracts; test records; incident history; interview evidence related to customer complaint handling and root cause analysis.</t>
        </is>
      </c>
      <c r="AB910">
        <f>IFERROR(INDEX(_DATA_Assessment_Model!$U$5:$U$884,MATCH($E910,_DATA_Assessment_Model!$A$5:$A$884,0)),"")</f>
        <v/>
      </c>
      <c r="AF910" t="inlineStr">
        <is>
          <t>How mature is the organization in managing customer complaint handling and root cause analysis, including ownership, evidence, metrics, fallback procedures and crisis stress testing?</t>
        </is>
      </c>
      <c r="AO910">
        <f>IF($B910="Yes",IFERROR(INDEX(_ENGINE_Crisis!$F$501:$F$517,MATCH($C910,_ENGINE_Crisis!$A$501:$A$517,0)),1),"")</f>
        <v/>
      </c>
      <c r="AP910">
        <f>IF(AO910="","",ROUND($L910*AO910,1))</f>
        <v/>
      </c>
      <c r="AQ910">
        <f>IF(OR(AO910="",$S910=""),"",ROUND($S910*(0.7+0.3*AO910),2))</f>
        <v/>
      </c>
      <c r="AR910">
        <f>IFERROR(INDEX(_ENGINE_Crisis!$E$41:$E$700,MATCH('Resilience &amp; Risk Scenario'!$B$60&amp;"|"&amp;$C910,_ENGINE_Crisis!$I$41:$I$700,0)),"")</f>
        <v/>
      </c>
      <c r="AS910">
        <f>IFERROR(INDEX(_ENGINE_Crisis!$G$41:$G$700,MATCH('Resilience &amp; Risk Scenario'!$B$60&amp;"|"&amp;$C910,_ENGINE_Crisis!$I$41:$I$700,0)),"")</f>
        <v/>
      </c>
      <c r="AT910">
        <f>IFERROR(INDEX(_ENGINE_Initiatives!$A$5:$A$532,MATCH(1,INDEX((_ENGINE_Initiatives!$B$5:$B$532=$C910)*(_ENGINE_Initiatives!$C$5:$C$532=$D910),0),0)),"")</f>
        <v/>
      </c>
      <c r="AU910">
        <f>IFERROR(INDEX(_ENGINE_Initiatives!$F$5:$F$532,MATCH(1,INDEX((_ENGINE_Initiatives!$B$5:$B$532=$C910)*(_ENGINE_Initiatives!$C$5:$C$532=$D910),0),0)),"")</f>
        <v/>
      </c>
      <c r="AV910">
        <f>IFERROR(INDEX(_ENGINE_Initiatives!$AC$5:$AC$532,MATCH(1,INDEX((_ENGINE_Initiatives!$B$5:$B$532=$C910)*(_ENGINE_Initiatives!$C$5:$C$532=$D910),0),0)),"")</f>
        <v/>
      </c>
      <c r="AW910">
        <f>IFERROR(INDEX(_ENGINE_Initiatives!$AE$5:$AE$532,MATCH(1,INDEX((_ENGINE_Initiatives!$B$5:$B$532=$C910)*(_ENGINE_Initiatives!$C$5:$C$532=$D910),0),0)),"")</f>
        <v/>
      </c>
      <c r="AX910">
        <f>IF($B910="Yes",IFERROR(IF(SUMIFS(_REF_Model_Content!$E$1:$E$613,_REF_Model_Content!$A$1:$A$613,'Company Profile'!$B$9,_REF_Model_Content!$B$1:$B$613,$C910)=0,1,SUMIFS(_REF_Model_Content!$E$1:$E$613,_REF_Model_Content!$A$1:$A$613,'Company Profile'!$B$9,_REF_Model_Content!$B$1:$B$613,$C910)),1),"")</f>
        <v/>
      </c>
      <c r="AY910">
        <f>IF($L910="","",ROUND(IF($AP910="",$L910,$AP910)*IF($AX910="",1,$AX910),2))</f>
        <v/>
      </c>
      <c r="AZ910">
        <f>IF($S910="","",ROUND(IF($AQ910="",$S910,$AQ910)*IF($AX910="",1,$AX910),2))</f>
        <v/>
      </c>
      <c r="BB910">
        <f>IF($H910="","",IFERROR(INDEX('_ENGINE_Risk'!$AE$41:$AE$920,MATCH($E910,'_ENGINE_Risk'!$A$41:$A$920,0)),"Medium"))</f>
        <v/>
      </c>
      <c r="BC910">
        <f>IF($BB910="","",IF($BB910="Fast",1.25,IF($BB910="Slow",0.85,1)))</f>
        <v/>
      </c>
      <c r="BD910">
        <f>IF(OR($AZ910="",$BC910=""),"",ROUND($AZ910*$BC910,2))</f>
        <v/>
      </c>
      <c r="BF910">
        <f>IF(OR($H910="",$J910=""),"",_xlfn.IFNA(VLOOKUP($J910,_CONFIG_Model_Settings!$D$610:$E$614,2,0),""))</f>
        <v/>
      </c>
      <c r="BG910">
        <f>IF(OR($H910="",$K910=""),"",ROUND('Company Profile'!$B$569*INDEX(_CONFIG_Model_Settings!$H$610:$H$614,MATCH($K910,_CONFIG_Model_Settings!$G$610:$G$614,0)),0))</f>
        <v/>
      </c>
      <c r="BH910">
        <f>IF(OR($BF910="",$BG910=""),"",ROUND($BF910*$BG910,1))</f>
        <v/>
      </c>
      <c r="BI910">
        <f>IF($BH910="","",IF($AO910="",$BH910,ROUND($BH910*$AO910,1)))</f>
        <v/>
      </c>
      <c r="BJ910">
        <f>IF($E910="","",IFERROR(VLOOKUP($C910,'_CONFIG_Risk_Calibration'!$A$5:$H$21,2,FALSE),3))</f>
        <v/>
      </c>
      <c r="BK910">
        <f>IF($E910="","",IFERROR(VLOOKUP($C910,'_CONFIG_Risk_Calibration'!$A$5:$H$21,3,FALSE),0))</f>
        <v/>
      </c>
      <c r="BL910">
        <f>IF($E910="","",IFERROR(VLOOKUP($C910,'_CONFIG_Risk_Calibration'!$A$5:$H$21,4,FALSE),3))</f>
        <v/>
      </c>
      <c r="BM910">
        <f>IF($E910="","",IFERROR(VLOOKUP($C910,'_CONFIG_Risk_Calibration'!$A$5:$H$21,5,FALSE),3))</f>
        <v/>
      </c>
      <c r="BN910">
        <f>IF($E910="","",IFERROR(VLOOKUP($C910,'_CONFIG_Risk_Calibration'!$A$5:$H$21,6,FALSE),"No"))</f>
        <v/>
      </c>
      <c r="BO910">
        <f>IF($E910="","",IFERROR(VLOOKUP($C910,'_CONFIG_Risk_Calibration'!$A$5:$H$21,7,FALSE),1))</f>
        <v/>
      </c>
      <c r="BP910">
        <f>IF($H910="","",MAX(1,MIN(5,((6-$H910)*0.45)+($BJ910*0.20)+('Resilience &amp; Risk Scenario'!$B$7*0.15)+($BK910*0.10)+($BL910*0.05)+(IF($BB910="Fast",5,IF($BB910="Slow",1,3))*0.05))))</f>
        <v/>
      </c>
      <c r="BQ910">
        <f>IF($H910="","",MAX(IF($BN910="Yes",$BO910,1),MIN(5,($U910*0.20)+($V910*0.15)+($W910*0.25)+($X910*0.15)+($BJ910*0.10)+($BM910*0.15))))</f>
        <v/>
      </c>
      <c r="BR910">
        <f>IF(OR($BP910="",$BQ910=""),"",ROUND($BP910*$BQ910,2))</f>
        <v/>
      </c>
      <c r="BS910">
        <f>IF($BR910="","",ROUND($BR910*IF($AO910="",1,$AO910)*IF($AX910="",1,$AX910)*(1+(($BM910-3)*0.10))*IF($BC910="",1,$BC910),2))</f>
        <v/>
      </c>
    </row>
    <row r="911">
      <c r="A911">
        <f>IF($BD911="","",SUMPRODUCT(ISNUMBER($BD$500:$BD$923)*($BD$500:$BD$923&gt;$BD911))+COUNTIF($BD$500:$BD911,$BD911))</f>
        <v/>
      </c>
      <c r="B911">
        <f>IF($H911="","",IF($H911&lt;5,"Yes","Maintain"))</f>
        <v/>
      </c>
      <c r="C911" t="inlineStr">
        <is>
          <t>Quality Portfolio</t>
        </is>
      </c>
      <c r="D911" t="inlineStr">
        <is>
          <t>Portfolio and change</t>
        </is>
      </c>
      <c r="E911" t="inlineStr">
        <is>
          <t>QUAL-011</t>
        </is>
      </c>
      <c r="F911" t="inlineStr">
        <is>
          <t>Quality, portfolio and change execution risk</t>
        </is>
      </c>
      <c r="G911">
        <f>IF($H911="","",IFERROR(INDEX('_ENGINE_Risk'!$H$41:$M$920,MATCH($E911,'_ENGINE_Risk'!$A$41:$A$920,0),$H911+1),""))</f>
        <v/>
      </c>
      <c r="H911">
        <f>IFERROR(VALUE(INDEX(_DATA_Assessment_Model!$H$5:$H$884,MATCH($E911,_DATA_Assessment_Model!$A$5:$A$884,0))),"")</f>
        <v/>
      </c>
      <c r="I911">
        <f>IF($H911="","",IFERROR(INDEX(_DATA_Assessment_Model!$L$5:$L$884,MATCH($E911,_DATA_Assessment_Model!$A$5:$A$884,0)),IF($H911&lt;=1,"Critical",IF($H911=2,"High",IF($H911=3,"Medium",IF($H911=4,"Low","Resilient"))))))</f>
        <v/>
      </c>
      <c r="J911">
        <f>IF($H911="","",MIN(5,MAX(1,6-$H911)))</f>
        <v/>
      </c>
      <c r="K911">
        <f>IF($H911="","",MAX(1,MIN(5,ROUNDUP(($U911*0.45)+($W911*0.35)+($X911*0.2),0))))</f>
        <v/>
      </c>
      <c r="L911">
        <f>IF($H911="","",$J911*$K911)</f>
        <v/>
      </c>
      <c r="M911">
        <f>IF($H911="","",MAX(1,MIN(5,ROUNDUP($L911/5,0))))</f>
        <v/>
      </c>
      <c r="N911">
        <f>IF($H911="","",IFERROR(INDEX('_ENGINE_Risk'!$T$41:$Y$920,MATCH($E911,'_ENGINE_Risk'!$A$41:$A$920,0),$H911+1),""))</f>
        <v/>
      </c>
      <c r="O911">
        <f>IF($H911="","",MAX(1,MIN(5,($U911+$V911+$X911)/3)))</f>
        <v/>
      </c>
      <c r="P911">
        <f>IF($H911="","",IF($I911="Critical",5,IF($I911="High",4,IF($I911="Medium",3,IF($I911="Low",2,1)))))</f>
        <v/>
      </c>
      <c r="Q911">
        <f>IF($H911="","",MAX(1,MIN(5,((5-$H911)*0.65)+($W911*0.35))))</f>
        <v/>
      </c>
      <c r="R911">
        <f>IF($H911="","",MAX(1,MIN(5,($V911+$X911)/2)))</f>
        <v/>
      </c>
      <c r="S911">
        <f>IF(OR($H911="",$N911=""),"",ROUND(($O911+$P911+$Q911+$R911)/$N911,2))</f>
        <v/>
      </c>
      <c r="T911">
        <f>IF($H911="","",IFERROR(INDEX('_ENGINE_Risk'!$N$41:$S$920,MATCH($E911,'_ENGINE_Risk'!$A$41:$A$920,0),$H911+1),""))</f>
        <v/>
      </c>
      <c r="U911">
        <f>IFERROR(INDEX(_DATA_Assessment_Model!$G$5:$G$884,MATCH($E911,_DATA_Assessment_Model!$A$5:$A$884,0)),"")</f>
        <v/>
      </c>
      <c r="V911">
        <f>IFERROR(INDEX(_DATA_Assessment_Model!$W$5:$W$884,MATCH($E911,_DATA_Assessment_Model!$A$5:$A$884,0)),"")</f>
        <v/>
      </c>
      <c r="W911">
        <f>IFERROR(INDEX(_DATA_Assessment_Model!$X$5:$X$884,MATCH($E911,_DATA_Assessment_Model!$A$5:$A$884,0)),"")</f>
        <v/>
      </c>
      <c r="X911">
        <f>IFERROR(INDEX(_DATA_Assessment_Model!$Y$5:$Y$884,MATCH($E911,_DATA_Assessment_Model!$A$5:$A$884,0)),"")</f>
        <v/>
      </c>
      <c r="Y911" t="inlineStr">
        <is>
          <t>Execution failure; Delivery disruption; Decision failure</t>
        </is>
      </c>
      <c r="Z911" t="inlineStr">
        <is>
          <t>COO / PMO / Quality</t>
        </is>
      </c>
      <c r="AA911" t="inlineStr">
        <is>
          <t>Policy/SOP; owner/RACI; system report; dashboard; contracts; test records; incident history; interview evidence related to portfolio governance with prioritization, capacity, benefits, risks and dependencies.</t>
        </is>
      </c>
      <c r="AB911">
        <f>IFERROR(INDEX(_DATA_Assessment_Model!$U$5:$U$884,MATCH($E911,_DATA_Assessment_Model!$A$5:$A$884,0)),"")</f>
        <v/>
      </c>
      <c r="AF911" t="inlineStr">
        <is>
          <t>How mature is the organization in managing portfolio governance with prioritization, capacity, benefits, risks and dependencies, including ownership, evidence, metrics, fallback procedures and crisis stress testing?</t>
        </is>
      </c>
      <c r="AO911">
        <f>IF($B911="Yes",IFERROR(INDEX(_ENGINE_Crisis!$F$501:$F$517,MATCH($C911,_ENGINE_Crisis!$A$501:$A$517,0)),1),"")</f>
        <v/>
      </c>
      <c r="AP911">
        <f>IF(AO911="","",ROUND($L911*AO911,1))</f>
        <v/>
      </c>
      <c r="AQ911">
        <f>IF(OR(AO911="",$S911=""),"",ROUND($S911*(0.7+0.3*AO911),2))</f>
        <v/>
      </c>
      <c r="AR911">
        <f>IFERROR(INDEX(_ENGINE_Crisis!$E$41:$E$700,MATCH('Resilience &amp; Risk Scenario'!$B$60&amp;"|"&amp;$C911,_ENGINE_Crisis!$I$41:$I$700,0)),"")</f>
        <v/>
      </c>
      <c r="AS911">
        <f>IFERROR(INDEX(_ENGINE_Crisis!$G$41:$G$700,MATCH('Resilience &amp; Risk Scenario'!$B$60&amp;"|"&amp;$C911,_ENGINE_Crisis!$I$41:$I$700,0)),"")</f>
        <v/>
      </c>
      <c r="AT911">
        <f>IFERROR(INDEX(_ENGINE_Initiatives!$A$5:$A$532,MATCH(1,INDEX((_ENGINE_Initiatives!$B$5:$B$532=$C911)*(_ENGINE_Initiatives!$C$5:$C$532=$D911),0),0)),"")</f>
        <v/>
      </c>
      <c r="AU911">
        <f>IFERROR(INDEX(_ENGINE_Initiatives!$F$5:$F$532,MATCH(1,INDEX((_ENGINE_Initiatives!$B$5:$B$532=$C911)*(_ENGINE_Initiatives!$C$5:$C$532=$D911),0),0)),"")</f>
        <v/>
      </c>
      <c r="AV911">
        <f>IFERROR(INDEX(_ENGINE_Initiatives!$AC$5:$AC$532,MATCH(1,INDEX((_ENGINE_Initiatives!$B$5:$B$532=$C911)*(_ENGINE_Initiatives!$C$5:$C$532=$D911),0),0)),"")</f>
        <v/>
      </c>
      <c r="AW911">
        <f>IFERROR(INDEX(_ENGINE_Initiatives!$AE$5:$AE$532,MATCH(1,INDEX((_ENGINE_Initiatives!$B$5:$B$532=$C911)*(_ENGINE_Initiatives!$C$5:$C$532=$D911),0),0)),"")</f>
        <v/>
      </c>
      <c r="AX911">
        <f>IF($B911="Yes",IFERROR(IF(SUMIFS(_REF_Model_Content!$E$1:$E$613,_REF_Model_Content!$A$1:$A$613,'Company Profile'!$B$9,_REF_Model_Content!$B$1:$B$613,$C911)=0,1,SUMIFS(_REF_Model_Content!$E$1:$E$613,_REF_Model_Content!$A$1:$A$613,'Company Profile'!$B$9,_REF_Model_Content!$B$1:$B$613,$C911)),1),"")</f>
        <v/>
      </c>
      <c r="AY911">
        <f>IF($L911="","",ROUND(IF($AP911="",$L911,$AP911)*IF($AX911="",1,$AX911),2))</f>
        <v/>
      </c>
      <c r="AZ911">
        <f>IF($S911="","",ROUND(IF($AQ911="",$S911,$AQ911)*IF($AX911="",1,$AX911),2))</f>
        <v/>
      </c>
      <c r="BB911">
        <f>IF($H911="","",IFERROR(INDEX('_ENGINE_Risk'!$AE$41:$AE$920,MATCH($E911,'_ENGINE_Risk'!$A$41:$A$920,0)),"Medium"))</f>
        <v/>
      </c>
      <c r="BC911">
        <f>IF($BB911="","",IF($BB911="Fast",1.25,IF($BB911="Slow",0.85,1)))</f>
        <v/>
      </c>
      <c r="BD911">
        <f>IF(OR($AZ911="",$BC911=""),"",ROUND($AZ911*$BC911,2))</f>
        <v/>
      </c>
      <c r="BF911">
        <f>IF(OR($H911="",$J911=""),"",_xlfn.IFNA(VLOOKUP($J911,_CONFIG_Model_Settings!$D$610:$E$614,2,0),""))</f>
        <v/>
      </c>
      <c r="BG911">
        <f>IF(OR($H911="",$K911=""),"",ROUND('Company Profile'!$B$569*INDEX(_CONFIG_Model_Settings!$H$610:$H$614,MATCH($K911,_CONFIG_Model_Settings!$G$610:$G$614,0)),0))</f>
        <v/>
      </c>
      <c r="BH911">
        <f>IF(OR($BF911="",$BG911=""),"",ROUND($BF911*$BG911,1))</f>
        <v/>
      </c>
      <c r="BI911">
        <f>IF($BH911="","",IF($AO911="",$BH911,ROUND($BH911*$AO911,1)))</f>
        <v/>
      </c>
      <c r="BJ911">
        <f>IF($E911="","",IFERROR(VLOOKUP($C911,'_CONFIG_Risk_Calibration'!$A$5:$H$21,2,FALSE),3))</f>
        <v/>
      </c>
      <c r="BK911">
        <f>IF($E911="","",IFERROR(VLOOKUP($C911,'_CONFIG_Risk_Calibration'!$A$5:$H$21,3,FALSE),0))</f>
        <v/>
      </c>
      <c r="BL911">
        <f>IF($E911="","",IFERROR(VLOOKUP($C911,'_CONFIG_Risk_Calibration'!$A$5:$H$21,4,FALSE),3))</f>
        <v/>
      </c>
      <c r="BM911">
        <f>IF($E911="","",IFERROR(VLOOKUP($C911,'_CONFIG_Risk_Calibration'!$A$5:$H$21,5,FALSE),3))</f>
        <v/>
      </c>
      <c r="BN911">
        <f>IF($E911="","",IFERROR(VLOOKUP($C911,'_CONFIG_Risk_Calibration'!$A$5:$H$21,6,FALSE),"No"))</f>
        <v/>
      </c>
      <c r="BO911">
        <f>IF($E911="","",IFERROR(VLOOKUP($C911,'_CONFIG_Risk_Calibration'!$A$5:$H$21,7,FALSE),1))</f>
        <v/>
      </c>
      <c r="BP911">
        <f>IF($H911="","",MAX(1,MIN(5,((6-$H911)*0.45)+($BJ911*0.20)+('Resilience &amp; Risk Scenario'!$B$7*0.15)+($BK911*0.10)+($BL911*0.05)+(IF($BB911="Fast",5,IF($BB911="Slow",1,3))*0.05))))</f>
        <v/>
      </c>
      <c r="BQ911">
        <f>IF($H911="","",MAX(IF($BN911="Yes",$BO911,1),MIN(5,($U911*0.20)+($V911*0.15)+($W911*0.25)+($X911*0.15)+($BJ911*0.10)+($BM911*0.15))))</f>
        <v/>
      </c>
      <c r="BR911">
        <f>IF(OR($BP911="",$BQ911=""),"",ROUND($BP911*$BQ911,2))</f>
        <v/>
      </c>
      <c r="BS911">
        <f>IF($BR911="","",ROUND($BR911*IF($AO911="",1,$AO911)*IF($AX911="",1,$AX911)*(1+(($BM911-3)*0.10))*IF($BC911="",1,$BC911),2))</f>
        <v/>
      </c>
    </row>
    <row r="912">
      <c r="A912">
        <f>IF($BD912="","",SUMPRODUCT(ISNUMBER($BD$500:$BD$923)*($BD$500:$BD$923&gt;$BD912))+COUNTIF($BD$500:$BD912,$BD912))</f>
        <v/>
      </c>
      <c r="B912">
        <f>IF($H912="","",IF($H912&lt;5,"Yes","Maintain"))</f>
        <v/>
      </c>
      <c r="C912" t="inlineStr">
        <is>
          <t>Quality Portfolio</t>
        </is>
      </c>
      <c r="D912" t="inlineStr">
        <is>
          <t>Portfolio and change</t>
        </is>
      </c>
      <c r="E912" t="inlineStr">
        <is>
          <t>QUAL-012</t>
        </is>
      </c>
      <c r="F912" t="inlineStr">
        <is>
          <t>Quality, portfolio and change execution risk</t>
        </is>
      </c>
      <c r="G912">
        <f>IF($H912="","",IFERROR(INDEX('_ENGINE_Risk'!$H$41:$M$920,MATCH($E912,'_ENGINE_Risk'!$A$41:$A$920,0),$H912+1),""))</f>
        <v/>
      </c>
      <c r="H912">
        <f>IFERROR(VALUE(INDEX(_DATA_Assessment_Model!$H$5:$H$884,MATCH($E912,_DATA_Assessment_Model!$A$5:$A$884,0))),"")</f>
        <v/>
      </c>
      <c r="I912">
        <f>IF($H912="","",IFERROR(INDEX(_DATA_Assessment_Model!$L$5:$L$884,MATCH($E912,_DATA_Assessment_Model!$A$5:$A$884,0)),IF($H912&lt;=1,"Critical",IF($H912=2,"High",IF($H912=3,"Medium",IF($H912=4,"Low","Resilient"))))))</f>
        <v/>
      </c>
      <c r="J912">
        <f>IF($H912="","",MIN(5,MAX(1,6-$H912)))</f>
        <v/>
      </c>
      <c r="K912">
        <f>IF($H912="","",MAX(1,MIN(5,ROUNDUP(($U912*0.45)+($W912*0.35)+($X912*0.2),0))))</f>
        <v/>
      </c>
      <c r="L912">
        <f>IF($H912="","",$J912*$K912)</f>
        <v/>
      </c>
      <c r="M912">
        <f>IF($H912="","",MAX(1,MIN(5,ROUNDUP($L912/5,0))))</f>
        <v/>
      </c>
      <c r="N912">
        <f>IF($H912="","",IFERROR(INDEX('_ENGINE_Risk'!$T$41:$Y$920,MATCH($E912,'_ENGINE_Risk'!$A$41:$A$920,0),$H912+1),""))</f>
        <v/>
      </c>
      <c r="O912">
        <f>IF($H912="","",MAX(1,MIN(5,($U912+$V912+$X912)/3)))</f>
        <v/>
      </c>
      <c r="P912">
        <f>IF($H912="","",IF($I912="Critical",5,IF($I912="High",4,IF($I912="Medium",3,IF($I912="Low",2,1)))))</f>
        <v/>
      </c>
      <c r="Q912">
        <f>IF($H912="","",MAX(1,MIN(5,((5-$H912)*0.65)+($W912*0.35))))</f>
        <v/>
      </c>
      <c r="R912">
        <f>IF($H912="","",MAX(1,MIN(5,($V912+$X912)/2)))</f>
        <v/>
      </c>
      <c r="S912">
        <f>IF(OR($H912="",$N912=""),"",ROUND(($O912+$P912+$Q912+$R912)/$N912,2))</f>
        <v/>
      </c>
      <c r="T912">
        <f>IF($H912="","",IFERROR(INDEX('_ENGINE_Risk'!$N$41:$S$920,MATCH($E912,'_ENGINE_Risk'!$A$41:$A$920,0),$H912+1),""))</f>
        <v/>
      </c>
      <c r="U912">
        <f>IFERROR(INDEX(_DATA_Assessment_Model!$G$5:$G$884,MATCH($E912,_DATA_Assessment_Model!$A$5:$A$884,0)),"")</f>
        <v/>
      </c>
      <c r="V912">
        <f>IFERROR(INDEX(_DATA_Assessment_Model!$W$5:$W$884,MATCH($E912,_DATA_Assessment_Model!$A$5:$A$884,0)),"")</f>
        <v/>
      </c>
      <c r="W912">
        <f>IFERROR(INDEX(_DATA_Assessment_Model!$X$5:$X$884,MATCH($E912,_DATA_Assessment_Model!$A$5:$A$884,0)),"")</f>
        <v/>
      </c>
      <c r="X912">
        <f>IFERROR(INDEX(_DATA_Assessment_Model!$Y$5:$Y$884,MATCH($E912,_DATA_Assessment_Model!$A$5:$A$884,0)),"")</f>
        <v/>
      </c>
      <c r="Y912" t="inlineStr">
        <is>
          <t>Execution failure; Delivery disruption; Decision failure</t>
        </is>
      </c>
      <c r="Z912" t="inlineStr">
        <is>
          <t>COO / PMO / Quality</t>
        </is>
      </c>
      <c r="AA912" t="inlineStr">
        <is>
          <t>Policy/SOP; owner/RACI; system report; dashboard; contracts; test records; incident history; interview evidence related to rapid reprioritization of initiatives during crisis using value, urgency, risk and capacity.</t>
        </is>
      </c>
      <c r="AB912">
        <f>IFERROR(INDEX(_DATA_Assessment_Model!$U$5:$U$884,MATCH($E912,_DATA_Assessment_Model!$A$5:$A$884,0)),"")</f>
        <v/>
      </c>
      <c r="AF912" t="inlineStr">
        <is>
          <t>How mature is the organization in managing rapid reprioritization of initiatives during crisis using value, urgency, risk and capacity, including ownership, evidence, metrics, fallback procedures and crisis stress testing?</t>
        </is>
      </c>
      <c r="AO912">
        <f>IF($B912="Yes",IFERROR(INDEX(_ENGINE_Crisis!$F$501:$F$517,MATCH($C912,_ENGINE_Crisis!$A$501:$A$517,0)),1),"")</f>
        <v/>
      </c>
      <c r="AP912">
        <f>IF(AO912="","",ROUND($L912*AO912,1))</f>
        <v/>
      </c>
      <c r="AQ912">
        <f>IF(OR(AO912="",$S912=""),"",ROUND($S912*(0.7+0.3*AO912),2))</f>
        <v/>
      </c>
      <c r="AR912">
        <f>IFERROR(INDEX(_ENGINE_Crisis!$E$41:$E$700,MATCH('Resilience &amp; Risk Scenario'!$B$60&amp;"|"&amp;$C912,_ENGINE_Crisis!$I$41:$I$700,0)),"")</f>
        <v/>
      </c>
      <c r="AS912">
        <f>IFERROR(INDEX(_ENGINE_Crisis!$G$41:$G$700,MATCH('Resilience &amp; Risk Scenario'!$B$60&amp;"|"&amp;$C912,_ENGINE_Crisis!$I$41:$I$700,0)),"")</f>
        <v/>
      </c>
      <c r="AT912">
        <f>IFERROR(INDEX(_ENGINE_Initiatives!$A$5:$A$532,MATCH(1,INDEX((_ENGINE_Initiatives!$B$5:$B$532=$C912)*(_ENGINE_Initiatives!$C$5:$C$532=$D912),0),0)),"")</f>
        <v/>
      </c>
      <c r="AU912">
        <f>IFERROR(INDEX(_ENGINE_Initiatives!$F$5:$F$532,MATCH(1,INDEX((_ENGINE_Initiatives!$B$5:$B$532=$C912)*(_ENGINE_Initiatives!$C$5:$C$532=$D912),0),0)),"")</f>
        <v/>
      </c>
      <c r="AV912">
        <f>IFERROR(INDEX(_ENGINE_Initiatives!$AC$5:$AC$532,MATCH(1,INDEX((_ENGINE_Initiatives!$B$5:$B$532=$C912)*(_ENGINE_Initiatives!$C$5:$C$532=$D912),0),0)),"")</f>
        <v/>
      </c>
      <c r="AW912">
        <f>IFERROR(INDEX(_ENGINE_Initiatives!$AE$5:$AE$532,MATCH(1,INDEX((_ENGINE_Initiatives!$B$5:$B$532=$C912)*(_ENGINE_Initiatives!$C$5:$C$532=$D912),0),0)),"")</f>
        <v/>
      </c>
      <c r="AX912">
        <f>IF($B912="Yes",IFERROR(IF(SUMIFS(_REF_Model_Content!$E$1:$E$613,_REF_Model_Content!$A$1:$A$613,'Company Profile'!$B$9,_REF_Model_Content!$B$1:$B$613,$C912)=0,1,SUMIFS(_REF_Model_Content!$E$1:$E$613,_REF_Model_Content!$A$1:$A$613,'Company Profile'!$B$9,_REF_Model_Content!$B$1:$B$613,$C912)),1),"")</f>
        <v/>
      </c>
      <c r="AY912">
        <f>IF($L912="","",ROUND(IF($AP912="",$L912,$AP912)*IF($AX912="",1,$AX912),2))</f>
        <v/>
      </c>
      <c r="AZ912">
        <f>IF($S912="","",ROUND(IF($AQ912="",$S912,$AQ912)*IF($AX912="",1,$AX912),2))</f>
        <v/>
      </c>
      <c r="BB912">
        <f>IF($H912="","",IFERROR(INDEX('_ENGINE_Risk'!$AE$41:$AE$920,MATCH($E912,'_ENGINE_Risk'!$A$41:$A$920,0)),"Medium"))</f>
        <v/>
      </c>
      <c r="BC912">
        <f>IF($BB912="","",IF($BB912="Fast",1.25,IF($BB912="Slow",0.85,1)))</f>
        <v/>
      </c>
      <c r="BD912">
        <f>IF(OR($AZ912="",$BC912=""),"",ROUND($AZ912*$BC912,2))</f>
        <v/>
      </c>
      <c r="BF912">
        <f>IF(OR($H912="",$J912=""),"",_xlfn.IFNA(VLOOKUP($J912,_CONFIG_Model_Settings!$D$610:$E$614,2,0),""))</f>
        <v/>
      </c>
      <c r="BG912">
        <f>IF(OR($H912="",$K912=""),"",ROUND('Company Profile'!$B$569*INDEX(_CONFIG_Model_Settings!$H$610:$H$614,MATCH($K912,_CONFIG_Model_Settings!$G$610:$G$614,0)),0))</f>
        <v/>
      </c>
      <c r="BH912">
        <f>IF(OR($BF912="",$BG912=""),"",ROUND($BF912*$BG912,1))</f>
        <v/>
      </c>
      <c r="BI912">
        <f>IF($BH912="","",IF($AO912="",$BH912,ROUND($BH912*$AO912,1)))</f>
        <v/>
      </c>
      <c r="BJ912">
        <f>IF($E912="","",IFERROR(VLOOKUP($C912,'_CONFIG_Risk_Calibration'!$A$5:$H$21,2,FALSE),3))</f>
        <v/>
      </c>
      <c r="BK912">
        <f>IF($E912="","",IFERROR(VLOOKUP($C912,'_CONFIG_Risk_Calibration'!$A$5:$H$21,3,FALSE),0))</f>
        <v/>
      </c>
      <c r="BL912">
        <f>IF($E912="","",IFERROR(VLOOKUP($C912,'_CONFIG_Risk_Calibration'!$A$5:$H$21,4,FALSE),3))</f>
        <v/>
      </c>
      <c r="BM912">
        <f>IF($E912="","",IFERROR(VLOOKUP($C912,'_CONFIG_Risk_Calibration'!$A$5:$H$21,5,FALSE),3))</f>
        <v/>
      </c>
      <c r="BN912">
        <f>IF($E912="","",IFERROR(VLOOKUP($C912,'_CONFIG_Risk_Calibration'!$A$5:$H$21,6,FALSE),"No"))</f>
        <v/>
      </c>
      <c r="BO912">
        <f>IF($E912="","",IFERROR(VLOOKUP($C912,'_CONFIG_Risk_Calibration'!$A$5:$H$21,7,FALSE),1))</f>
        <v/>
      </c>
      <c r="BP912">
        <f>IF($H912="","",MAX(1,MIN(5,((6-$H912)*0.45)+($BJ912*0.20)+('Resilience &amp; Risk Scenario'!$B$7*0.15)+($BK912*0.10)+($BL912*0.05)+(IF($BB912="Fast",5,IF($BB912="Slow",1,3))*0.05))))</f>
        <v/>
      </c>
      <c r="BQ912">
        <f>IF($H912="","",MAX(IF($BN912="Yes",$BO912,1),MIN(5,($U912*0.20)+($V912*0.15)+($W912*0.25)+($X912*0.15)+($BJ912*0.10)+($BM912*0.15))))</f>
        <v/>
      </c>
      <c r="BR912">
        <f>IF(OR($BP912="",$BQ912=""),"",ROUND($BP912*$BQ912,2))</f>
        <v/>
      </c>
      <c r="BS912">
        <f>IF($BR912="","",ROUND($BR912*IF($AO912="",1,$AO912)*IF($AX912="",1,$AX912)*(1+(($BM912-3)*0.10))*IF($BC912="",1,$BC912),2))</f>
        <v/>
      </c>
    </row>
    <row r="913">
      <c r="A913">
        <f>IF($BD913="","",SUMPRODUCT(ISNUMBER($BD$500:$BD$923)*($BD$500:$BD$923&gt;$BD913))+COUNTIF($BD$500:$BD913,$BD913))</f>
        <v/>
      </c>
      <c r="B913">
        <f>IF($H913="","",IF($H913&lt;5,"Yes","Maintain"))</f>
        <v/>
      </c>
      <c r="C913" t="inlineStr">
        <is>
          <t>Quality Portfolio</t>
        </is>
      </c>
      <c r="D913" t="inlineStr">
        <is>
          <t>Portfolio and change</t>
        </is>
      </c>
      <c r="E913" t="inlineStr">
        <is>
          <t>QUAL-013</t>
        </is>
      </c>
      <c r="F913" t="inlineStr">
        <is>
          <t>Quality, portfolio and change execution risk</t>
        </is>
      </c>
      <c r="G913">
        <f>IF($H913="","",IFERROR(INDEX('_ENGINE_Risk'!$H$41:$M$920,MATCH($E913,'_ENGINE_Risk'!$A$41:$A$920,0),$H913+1),""))</f>
        <v/>
      </c>
      <c r="H913">
        <f>IFERROR(VALUE(INDEX(_DATA_Assessment_Model!$H$5:$H$884,MATCH($E913,_DATA_Assessment_Model!$A$5:$A$884,0))),"")</f>
        <v/>
      </c>
      <c r="I913">
        <f>IF($H913="","",IFERROR(INDEX(_DATA_Assessment_Model!$L$5:$L$884,MATCH($E913,_DATA_Assessment_Model!$A$5:$A$884,0)),IF($H913&lt;=1,"Critical",IF($H913=2,"High",IF($H913=3,"Medium",IF($H913=4,"Low","Resilient"))))))</f>
        <v/>
      </c>
      <c r="J913">
        <f>IF($H913="","",MIN(5,MAX(1,6-$H913)))</f>
        <v/>
      </c>
      <c r="K913">
        <f>IF($H913="","",MAX(1,MIN(5,ROUNDUP(($U913*0.45)+($W913*0.35)+($X913*0.2),0))))</f>
        <v/>
      </c>
      <c r="L913">
        <f>IF($H913="","",$J913*$K913)</f>
        <v/>
      </c>
      <c r="M913">
        <f>IF($H913="","",MAX(1,MIN(5,ROUNDUP($L913/5,0))))</f>
        <v/>
      </c>
      <c r="N913">
        <f>IF($H913="","",IFERROR(INDEX('_ENGINE_Risk'!$T$41:$Y$920,MATCH($E913,'_ENGINE_Risk'!$A$41:$A$920,0),$H913+1),""))</f>
        <v/>
      </c>
      <c r="O913">
        <f>IF($H913="","",MAX(1,MIN(5,($U913+$V913+$X913)/3)))</f>
        <v/>
      </c>
      <c r="P913">
        <f>IF($H913="","",IF($I913="Critical",5,IF($I913="High",4,IF($I913="Medium",3,IF($I913="Low",2,1)))))</f>
        <v/>
      </c>
      <c r="Q913">
        <f>IF($H913="","",MAX(1,MIN(5,((5-$H913)*0.65)+($W913*0.35))))</f>
        <v/>
      </c>
      <c r="R913">
        <f>IF($H913="","",MAX(1,MIN(5,($V913+$X913)/2)))</f>
        <v/>
      </c>
      <c r="S913">
        <f>IF(OR($H913="",$N913=""),"",ROUND(($O913+$P913+$Q913+$R913)/$N913,2))</f>
        <v/>
      </c>
      <c r="T913">
        <f>IF($H913="","",IFERROR(INDEX('_ENGINE_Risk'!$N$41:$S$920,MATCH($E913,'_ENGINE_Risk'!$A$41:$A$920,0),$H913+1),""))</f>
        <v/>
      </c>
      <c r="U913">
        <f>IFERROR(INDEX(_DATA_Assessment_Model!$G$5:$G$884,MATCH($E913,_DATA_Assessment_Model!$A$5:$A$884,0)),"")</f>
        <v/>
      </c>
      <c r="V913">
        <f>IFERROR(INDEX(_DATA_Assessment_Model!$W$5:$W$884,MATCH($E913,_DATA_Assessment_Model!$A$5:$A$884,0)),"")</f>
        <v/>
      </c>
      <c r="W913">
        <f>IFERROR(INDEX(_DATA_Assessment_Model!$X$5:$X$884,MATCH($E913,_DATA_Assessment_Model!$A$5:$A$884,0)),"")</f>
        <v/>
      </c>
      <c r="X913">
        <f>IFERROR(INDEX(_DATA_Assessment_Model!$Y$5:$Y$884,MATCH($E913,_DATA_Assessment_Model!$A$5:$A$884,0)),"")</f>
        <v/>
      </c>
      <c r="Y913" t="inlineStr">
        <is>
          <t>Execution failure; Delivery disruption; Decision failure</t>
        </is>
      </c>
      <c r="Z913" t="inlineStr">
        <is>
          <t>COO / PMO / Quality</t>
        </is>
      </c>
      <c r="AA913" t="inlineStr">
        <is>
          <t>Policy/SOP; owner/RACI; system report; dashboard; contracts; test records; incident history; interview evidence related to benefits realization tracking for resilience, digital and operational initiatives.</t>
        </is>
      </c>
      <c r="AB913">
        <f>IFERROR(INDEX(_DATA_Assessment_Model!$U$5:$U$884,MATCH($E913,_DATA_Assessment_Model!$A$5:$A$884,0)),"")</f>
        <v/>
      </c>
      <c r="AF913" t="inlineStr">
        <is>
          <t>How mature is the organization in managing benefits realization tracking for resilience, digital and operational initiatives, including ownership, evidence, metrics, fallback procedures and crisis stress testing?</t>
        </is>
      </c>
      <c r="AO913">
        <f>IF($B913="Yes",IFERROR(INDEX(_ENGINE_Crisis!$F$501:$F$517,MATCH($C913,_ENGINE_Crisis!$A$501:$A$517,0)),1),"")</f>
        <v/>
      </c>
      <c r="AP913">
        <f>IF(AO913="","",ROUND($L913*AO913,1))</f>
        <v/>
      </c>
      <c r="AQ913">
        <f>IF(OR(AO913="",$S913=""),"",ROUND($S913*(0.7+0.3*AO913),2))</f>
        <v/>
      </c>
      <c r="AR913">
        <f>IFERROR(INDEX(_ENGINE_Crisis!$E$41:$E$700,MATCH('Resilience &amp; Risk Scenario'!$B$60&amp;"|"&amp;$C913,_ENGINE_Crisis!$I$41:$I$700,0)),"")</f>
        <v/>
      </c>
      <c r="AS913">
        <f>IFERROR(INDEX(_ENGINE_Crisis!$G$41:$G$700,MATCH('Resilience &amp; Risk Scenario'!$B$60&amp;"|"&amp;$C913,_ENGINE_Crisis!$I$41:$I$700,0)),"")</f>
        <v/>
      </c>
      <c r="AT913">
        <f>IFERROR(INDEX(_ENGINE_Initiatives!$A$5:$A$532,MATCH(1,INDEX((_ENGINE_Initiatives!$B$5:$B$532=$C913)*(_ENGINE_Initiatives!$C$5:$C$532=$D913),0),0)),"")</f>
        <v/>
      </c>
      <c r="AU913">
        <f>IFERROR(INDEX(_ENGINE_Initiatives!$F$5:$F$532,MATCH(1,INDEX((_ENGINE_Initiatives!$B$5:$B$532=$C913)*(_ENGINE_Initiatives!$C$5:$C$532=$D913),0),0)),"")</f>
        <v/>
      </c>
      <c r="AV913">
        <f>IFERROR(INDEX(_ENGINE_Initiatives!$AC$5:$AC$532,MATCH(1,INDEX((_ENGINE_Initiatives!$B$5:$B$532=$C913)*(_ENGINE_Initiatives!$C$5:$C$532=$D913),0),0)),"")</f>
        <v/>
      </c>
      <c r="AW913">
        <f>IFERROR(INDEX(_ENGINE_Initiatives!$AE$5:$AE$532,MATCH(1,INDEX((_ENGINE_Initiatives!$B$5:$B$532=$C913)*(_ENGINE_Initiatives!$C$5:$C$532=$D913),0),0)),"")</f>
        <v/>
      </c>
      <c r="AX913">
        <f>IF($B913="Yes",IFERROR(IF(SUMIFS(_REF_Model_Content!$E$1:$E$613,_REF_Model_Content!$A$1:$A$613,'Company Profile'!$B$9,_REF_Model_Content!$B$1:$B$613,$C913)=0,1,SUMIFS(_REF_Model_Content!$E$1:$E$613,_REF_Model_Content!$A$1:$A$613,'Company Profile'!$B$9,_REF_Model_Content!$B$1:$B$613,$C913)),1),"")</f>
        <v/>
      </c>
      <c r="AY913">
        <f>IF($L913="","",ROUND(IF($AP913="",$L913,$AP913)*IF($AX913="",1,$AX913),2))</f>
        <v/>
      </c>
      <c r="AZ913">
        <f>IF($S913="","",ROUND(IF($AQ913="",$S913,$AQ913)*IF($AX913="",1,$AX913),2))</f>
        <v/>
      </c>
      <c r="BB913">
        <f>IF($H913="","",IFERROR(INDEX('_ENGINE_Risk'!$AE$41:$AE$920,MATCH($E913,'_ENGINE_Risk'!$A$41:$A$920,0)),"Medium"))</f>
        <v/>
      </c>
      <c r="BC913">
        <f>IF($BB913="","",IF($BB913="Fast",1.25,IF($BB913="Slow",0.85,1)))</f>
        <v/>
      </c>
      <c r="BD913">
        <f>IF(OR($AZ913="",$BC913=""),"",ROUND($AZ913*$BC913,2))</f>
        <v/>
      </c>
      <c r="BF913">
        <f>IF(OR($H913="",$J913=""),"",_xlfn.IFNA(VLOOKUP($J913,_CONFIG_Model_Settings!$D$610:$E$614,2,0),""))</f>
        <v/>
      </c>
      <c r="BG913">
        <f>IF(OR($H913="",$K913=""),"",ROUND('Company Profile'!$B$569*INDEX(_CONFIG_Model_Settings!$H$610:$H$614,MATCH($K913,_CONFIG_Model_Settings!$G$610:$G$614,0)),0))</f>
        <v/>
      </c>
      <c r="BH913">
        <f>IF(OR($BF913="",$BG913=""),"",ROUND($BF913*$BG913,1))</f>
        <v/>
      </c>
      <c r="BI913">
        <f>IF($BH913="","",IF($AO913="",$BH913,ROUND($BH913*$AO913,1)))</f>
        <v/>
      </c>
      <c r="BJ913">
        <f>IF($E913="","",IFERROR(VLOOKUP($C913,'_CONFIG_Risk_Calibration'!$A$5:$H$21,2,FALSE),3))</f>
        <v/>
      </c>
      <c r="BK913">
        <f>IF($E913="","",IFERROR(VLOOKUP($C913,'_CONFIG_Risk_Calibration'!$A$5:$H$21,3,FALSE),0))</f>
        <v/>
      </c>
      <c r="BL913">
        <f>IF($E913="","",IFERROR(VLOOKUP($C913,'_CONFIG_Risk_Calibration'!$A$5:$H$21,4,FALSE),3))</f>
        <v/>
      </c>
      <c r="BM913">
        <f>IF($E913="","",IFERROR(VLOOKUP($C913,'_CONFIG_Risk_Calibration'!$A$5:$H$21,5,FALSE),3))</f>
        <v/>
      </c>
      <c r="BN913">
        <f>IF($E913="","",IFERROR(VLOOKUP($C913,'_CONFIG_Risk_Calibration'!$A$5:$H$21,6,FALSE),"No"))</f>
        <v/>
      </c>
      <c r="BO913">
        <f>IF($E913="","",IFERROR(VLOOKUP($C913,'_CONFIG_Risk_Calibration'!$A$5:$H$21,7,FALSE),1))</f>
        <v/>
      </c>
      <c r="BP913">
        <f>IF($H913="","",MAX(1,MIN(5,((6-$H913)*0.45)+($BJ913*0.20)+('Resilience &amp; Risk Scenario'!$B$7*0.15)+($BK913*0.10)+($BL913*0.05)+(IF($BB913="Fast",5,IF($BB913="Slow",1,3))*0.05))))</f>
        <v/>
      </c>
      <c r="BQ913">
        <f>IF($H913="","",MAX(IF($BN913="Yes",$BO913,1),MIN(5,($U913*0.20)+($V913*0.15)+($W913*0.25)+($X913*0.15)+($BJ913*0.10)+($BM913*0.15))))</f>
        <v/>
      </c>
      <c r="BR913">
        <f>IF(OR($BP913="",$BQ913=""),"",ROUND($BP913*$BQ913,2))</f>
        <v/>
      </c>
      <c r="BS913">
        <f>IF($BR913="","",ROUND($BR913*IF($AO913="",1,$AO913)*IF($AX913="",1,$AX913)*(1+(($BM913-3)*0.10))*IF($BC913="",1,$BC913),2))</f>
        <v/>
      </c>
    </row>
    <row r="914">
      <c r="A914">
        <f>IF($BD914="","",SUMPRODUCT(ISNUMBER($BD$500:$BD$923)*($BD$500:$BD$923&gt;$BD914))+COUNTIF($BD$500:$BD914,$BD914))</f>
        <v/>
      </c>
      <c r="B914">
        <f>IF($H914="","",IF($H914&lt;5,"Yes","Maintain"))</f>
        <v/>
      </c>
      <c r="C914" t="inlineStr">
        <is>
          <t>Quality Portfolio</t>
        </is>
      </c>
      <c r="D914" t="inlineStr">
        <is>
          <t>Portfolio and change</t>
        </is>
      </c>
      <c r="E914" t="inlineStr">
        <is>
          <t>QUAL-014</t>
        </is>
      </c>
      <c r="F914" t="inlineStr">
        <is>
          <t>Quality, portfolio and change execution risk</t>
        </is>
      </c>
      <c r="G914">
        <f>IF($H914="","",IFERROR(INDEX('_ENGINE_Risk'!$H$41:$M$920,MATCH($E914,'_ENGINE_Risk'!$A$41:$A$920,0),$H914+1),""))</f>
        <v/>
      </c>
      <c r="H914">
        <f>IFERROR(VALUE(INDEX(_DATA_Assessment_Model!$H$5:$H$884,MATCH($E914,_DATA_Assessment_Model!$A$5:$A$884,0))),"")</f>
        <v/>
      </c>
      <c r="I914">
        <f>IF($H914="","",IFERROR(INDEX(_DATA_Assessment_Model!$L$5:$L$884,MATCH($E914,_DATA_Assessment_Model!$A$5:$A$884,0)),IF($H914&lt;=1,"Critical",IF($H914=2,"High",IF($H914=3,"Medium",IF($H914=4,"Low","Resilient"))))))</f>
        <v/>
      </c>
      <c r="J914">
        <f>IF($H914="","",MIN(5,MAX(1,6-$H914)))</f>
        <v/>
      </c>
      <c r="K914">
        <f>IF($H914="","",MAX(1,MIN(5,ROUNDUP(($U914*0.45)+($W914*0.35)+($X914*0.2),0))))</f>
        <v/>
      </c>
      <c r="L914">
        <f>IF($H914="","",$J914*$K914)</f>
        <v/>
      </c>
      <c r="M914">
        <f>IF($H914="","",MAX(1,MIN(5,ROUNDUP($L914/5,0))))</f>
        <v/>
      </c>
      <c r="N914">
        <f>IF($H914="","",IFERROR(INDEX('_ENGINE_Risk'!$T$41:$Y$920,MATCH($E914,'_ENGINE_Risk'!$A$41:$A$920,0),$H914+1),""))</f>
        <v/>
      </c>
      <c r="O914">
        <f>IF($H914="","",MAX(1,MIN(5,($U914+$V914+$X914)/3)))</f>
        <v/>
      </c>
      <c r="P914">
        <f>IF($H914="","",IF($I914="Critical",5,IF($I914="High",4,IF($I914="Medium",3,IF($I914="Low",2,1)))))</f>
        <v/>
      </c>
      <c r="Q914">
        <f>IF($H914="","",MAX(1,MIN(5,((5-$H914)*0.65)+($W914*0.35))))</f>
        <v/>
      </c>
      <c r="R914">
        <f>IF($H914="","",MAX(1,MIN(5,($V914+$X914)/2)))</f>
        <v/>
      </c>
      <c r="S914">
        <f>IF(OR($H914="",$N914=""),"",ROUND(($O914+$P914+$Q914+$R914)/$N914,2))</f>
        <v/>
      </c>
      <c r="T914">
        <f>IF($H914="","",IFERROR(INDEX('_ENGINE_Risk'!$N$41:$S$920,MATCH($E914,'_ENGINE_Risk'!$A$41:$A$920,0),$H914+1),""))</f>
        <v/>
      </c>
      <c r="U914">
        <f>IFERROR(INDEX(_DATA_Assessment_Model!$G$5:$G$884,MATCH($E914,_DATA_Assessment_Model!$A$5:$A$884,0)),"")</f>
        <v/>
      </c>
      <c r="V914">
        <f>IFERROR(INDEX(_DATA_Assessment_Model!$W$5:$W$884,MATCH($E914,_DATA_Assessment_Model!$A$5:$A$884,0)),"")</f>
        <v/>
      </c>
      <c r="W914">
        <f>IFERROR(INDEX(_DATA_Assessment_Model!$X$5:$X$884,MATCH($E914,_DATA_Assessment_Model!$A$5:$A$884,0)),"")</f>
        <v/>
      </c>
      <c r="X914">
        <f>IFERROR(INDEX(_DATA_Assessment_Model!$Y$5:$Y$884,MATCH($E914,_DATA_Assessment_Model!$A$5:$A$884,0)),"")</f>
        <v/>
      </c>
      <c r="Y914" t="inlineStr">
        <is>
          <t>Execution failure; Delivery disruption; Decision failure</t>
        </is>
      </c>
      <c r="Z914" t="inlineStr">
        <is>
          <t>COO / PMO / Quality</t>
        </is>
      </c>
      <c r="AA914" t="inlineStr">
        <is>
          <t>Policy/SOP; owner/RACI; system report; dashboard; contracts; test records; incident history; interview evidence related to change adoption management with communication, training, sponsor accountability and adoption metrics.</t>
        </is>
      </c>
      <c r="AB914">
        <f>IFERROR(INDEX(_DATA_Assessment_Model!$U$5:$U$884,MATCH($E914,_DATA_Assessment_Model!$A$5:$A$884,0)),"")</f>
        <v/>
      </c>
      <c r="AF914" t="inlineStr">
        <is>
          <t>How mature is the organization in managing change adoption management with communication, training, sponsor accountability and adoption metrics, including ownership, evidence, metrics, fallback procedures and crisis stress testing?</t>
        </is>
      </c>
      <c r="AO914">
        <f>IF($B914="Yes",IFERROR(INDEX(_ENGINE_Crisis!$F$501:$F$517,MATCH($C914,_ENGINE_Crisis!$A$501:$A$517,0)),1),"")</f>
        <v/>
      </c>
      <c r="AP914">
        <f>IF(AO914="","",ROUND($L914*AO914,1))</f>
        <v/>
      </c>
      <c r="AQ914">
        <f>IF(OR(AO914="",$S914=""),"",ROUND($S914*(0.7+0.3*AO914),2))</f>
        <v/>
      </c>
      <c r="AR914">
        <f>IFERROR(INDEX(_ENGINE_Crisis!$E$41:$E$700,MATCH('Resilience &amp; Risk Scenario'!$B$60&amp;"|"&amp;$C914,_ENGINE_Crisis!$I$41:$I$700,0)),"")</f>
        <v/>
      </c>
      <c r="AS914">
        <f>IFERROR(INDEX(_ENGINE_Crisis!$G$41:$G$700,MATCH('Resilience &amp; Risk Scenario'!$B$60&amp;"|"&amp;$C914,_ENGINE_Crisis!$I$41:$I$700,0)),"")</f>
        <v/>
      </c>
      <c r="AT914">
        <f>IFERROR(INDEX(_ENGINE_Initiatives!$A$5:$A$532,MATCH(1,INDEX((_ENGINE_Initiatives!$B$5:$B$532=$C914)*(_ENGINE_Initiatives!$C$5:$C$532=$D914),0),0)),"")</f>
        <v/>
      </c>
      <c r="AU914">
        <f>IFERROR(INDEX(_ENGINE_Initiatives!$F$5:$F$532,MATCH(1,INDEX((_ENGINE_Initiatives!$B$5:$B$532=$C914)*(_ENGINE_Initiatives!$C$5:$C$532=$D914),0),0)),"")</f>
        <v/>
      </c>
      <c r="AV914">
        <f>IFERROR(INDEX(_ENGINE_Initiatives!$AC$5:$AC$532,MATCH(1,INDEX((_ENGINE_Initiatives!$B$5:$B$532=$C914)*(_ENGINE_Initiatives!$C$5:$C$532=$D914),0),0)),"")</f>
        <v/>
      </c>
      <c r="AW914">
        <f>IFERROR(INDEX(_ENGINE_Initiatives!$AE$5:$AE$532,MATCH(1,INDEX((_ENGINE_Initiatives!$B$5:$B$532=$C914)*(_ENGINE_Initiatives!$C$5:$C$532=$D914),0),0)),"")</f>
        <v/>
      </c>
      <c r="AX914">
        <f>IF($B914="Yes",IFERROR(IF(SUMIFS(_REF_Model_Content!$E$1:$E$613,_REF_Model_Content!$A$1:$A$613,'Company Profile'!$B$9,_REF_Model_Content!$B$1:$B$613,$C914)=0,1,SUMIFS(_REF_Model_Content!$E$1:$E$613,_REF_Model_Content!$A$1:$A$613,'Company Profile'!$B$9,_REF_Model_Content!$B$1:$B$613,$C914)),1),"")</f>
        <v/>
      </c>
      <c r="AY914">
        <f>IF($L914="","",ROUND(IF($AP914="",$L914,$AP914)*IF($AX914="",1,$AX914),2))</f>
        <v/>
      </c>
      <c r="AZ914">
        <f>IF($S914="","",ROUND(IF($AQ914="",$S914,$AQ914)*IF($AX914="",1,$AX914),2))</f>
        <v/>
      </c>
      <c r="BB914">
        <f>IF($H914="","",IFERROR(INDEX('_ENGINE_Risk'!$AE$41:$AE$920,MATCH($E914,'_ENGINE_Risk'!$A$41:$A$920,0)),"Medium"))</f>
        <v/>
      </c>
      <c r="BC914">
        <f>IF($BB914="","",IF($BB914="Fast",1.25,IF($BB914="Slow",0.85,1)))</f>
        <v/>
      </c>
      <c r="BD914">
        <f>IF(OR($AZ914="",$BC914=""),"",ROUND($AZ914*$BC914,2))</f>
        <v/>
      </c>
      <c r="BF914">
        <f>IF(OR($H914="",$J914=""),"",_xlfn.IFNA(VLOOKUP($J914,_CONFIG_Model_Settings!$D$610:$E$614,2,0),""))</f>
        <v/>
      </c>
      <c r="BG914">
        <f>IF(OR($H914="",$K914=""),"",ROUND('Company Profile'!$B$569*INDEX(_CONFIG_Model_Settings!$H$610:$H$614,MATCH($K914,_CONFIG_Model_Settings!$G$610:$G$614,0)),0))</f>
        <v/>
      </c>
      <c r="BH914">
        <f>IF(OR($BF914="",$BG914=""),"",ROUND($BF914*$BG914,1))</f>
        <v/>
      </c>
      <c r="BI914">
        <f>IF($BH914="","",IF($AO914="",$BH914,ROUND($BH914*$AO914,1)))</f>
        <v/>
      </c>
      <c r="BJ914">
        <f>IF($E914="","",IFERROR(VLOOKUP($C914,'_CONFIG_Risk_Calibration'!$A$5:$H$21,2,FALSE),3))</f>
        <v/>
      </c>
      <c r="BK914">
        <f>IF($E914="","",IFERROR(VLOOKUP($C914,'_CONFIG_Risk_Calibration'!$A$5:$H$21,3,FALSE),0))</f>
        <v/>
      </c>
      <c r="BL914">
        <f>IF($E914="","",IFERROR(VLOOKUP($C914,'_CONFIG_Risk_Calibration'!$A$5:$H$21,4,FALSE),3))</f>
        <v/>
      </c>
      <c r="BM914">
        <f>IF($E914="","",IFERROR(VLOOKUP($C914,'_CONFIG_Risk_Calibration'!$A$5:$H$21,5,FALSE),3))</f>
        <v/>
      </c>
      <c r="BN914">
        <f>IF($E914="","",IFERROR(VLOOKUP($C914,'_CONFIG_Risk_Calibration'!$A$5:$H$21,6,FALSE),"No"))</f>
        <v/>
      </c>
      <c r="BO914">
        <f>IF($E914="","",IFERROR(VLOOKUP($C914,'_CONFIG_Risk_Calibration'!$A$5:$H$21,7,FALSE),1))</f>
        <v/>
      </c>
      <c r="BP914">
        <f>IF($H914="","",MAX(1,MIN(5,((6-$H914)*0.45)+($BJ914*0.20)+('Resilience &amp; Risk Scenario'!$B$7*0.15)+($BK914*0.10)+($BL914*0.05)+(IF($BB914="Fast",5,IF($BB914="Slow",1,3))*0.05))))</f>
        <v/>
      </c>
      <c r="BQ914">
        <f>IF($H914="","",MAX(IF($BN914="Yes",$BO914,1),MIN(5,($U914*0.20)+($V914*0.15)+($W914*0.25)+($X914*0.15)+($BJ914*0.10)+($BM914*0.15))))</f>
        <v/>
      </c>
      <c r="BR914">
        <f>IF(OR($BP914="",$BQ914=""),"",ROUND($BP914*$BQ914,2))</f>
        <v/>
      </c>
      <c r="BS914">
        <f>IF($BR914="","",ROUND($BR914*IF($AO914="",1,$AO914)*IF($AX914="",1,$AX914)*(1+(($BM914-3)*0.10))*IF($BC914="",1,$BC914),2))</f>
        <v/>
      </c>
    </row>
    <row r="915">
      <c r="A915">
        <f>IF($BD915="","",SUMPRODUCT(ISNUMBER($BD$500:$BD$923)*($BD$500:$BD$923&gt;$BD915))+COUNTIF($BD$500:$BD915,$BD915))</f>
        <v/>
      </c>
      <c r="B915">
        <f>IF($H915="","",IF($H915&lt;5,"Yes","Maintain"))</f>
        <v/>
      </c>
      <c r="C915" t="inlineStr">
        <is>
          <t>Quality Portfolio</t>
        </is>
      </c>
      <c r="D915" t="inlineStr">
        <is>
          <t>Portfolio and change</t>
        </is>
      </c>
      <c r="E915" t="inlineStr">
        <is>
          <t>QUAL-015</t>
        </is>
      </c>
      <c r="F915" t="inlineStr">
        <is>
          <t>Quality, portfolio and change execution risk</t>
        </is>
      </c>
      <c r="G915">
        <f>IF($H915="","",IFERROR(INDEX('_ENGINE_Risk'!$H$41:$M$920,MATCH($E915,'_ENGINE_Risk'!$A$41:$A$920,0),$H915+1),""))</f>
        <v/>
      </c>
      <c r="H915">
        <f>IFERROR(VALUE(INDEX(_DATA_Assessment_Model!$H$5:$H$884,MATCH($E915,_DATA_Assessment_Model!$A$5:$A$884,0))),"")</f>
        <v/>
      </c>
      <c r="I915">
        <f>IF($H915="","",IFERROR(INDEX(_DATA_Assessment_Model!$L$5:$L$884,MATCH($E915,_DATA_Assessment_Model!$A$5:$A$884,0)),IF($H915&lt;=1,"Critical",IF($H915=2,"High",IF($H915=3,"Medium",IF($H915=4,"Low","Resilient"))))))</f>
        <v/>
      </c>
      <c r="J915">
        <f>IF($H915="","",MIN(5,MAX(1,6-$H915)))</f>
        <v/>
      </c>
      <c r="K915">
        <f>IF($H915="","",MAX(1,MIN(5,ROUNDUP(($U915*0.45)+($W915*0.35)+($X915*0.2),0))))</f>
        <v/>
      </c>
      <c r="L915">
        <f>IF($H915="","",$J915*$K915)</f>
        <v/>
      </c>
      <c r="M915">
        <f>IF($H915="","",MAX(1,MIN(5,ROUNDUP($L915/5,0))))</f>
        <v/>
      </c>
      <c r="N915">
        <f>IF($H915="","",IFERROR(INDEX('_ENGINE_Risk'!$T$41:$Y$920,MATCH($E915,'_ENGINE_Risk'!$A$41:$A$920,0),$H915+1),""))</f>
        <v/>
      </c>
      <c r="O915">
        <f>IF($H915="","",MAX(1,MIN(5,($U915+$V915+$X915)/3)))</f>
        <v/>
      </c>
      <c r="P915">
        <f>IF($H915="","",IF($I915="Critical",5,IF($I915="High",4,IF($I915="Medium",3,IF($I915="Low",2,1)))))</f>
        <v/>
      </c>
      <c r="Q915">
        <f>IF($H915="","",MAX(1,MIN(5,((5-$H915)*0.65)+($W915*0.35))))</f>
        <v/>
      </c>
      <c r="R915">
        <f>IF($H915="","",MAX(1,MIN(5,($V915+$X915)/2)))</f>
        <v/>
      </c>
      <c r="S915">
        <f>IF(OR($H915="",$N915=""),"",ROUND(($O915+$P915+$Q915+$R915)/$N915,2))</f>
        <v/>
      </c>
      <c r="T915">
        <f>IF($H915="","",IFERROR(INDEX('_ENGINE_Risk'!$N$41:$S$920,MATCH($E915,'_ENGINE_Risk'!$A$41:$A$920,0),$H915+1),""))</f>
        <v/>
      </c>
      <c r="U915">
        <f>IFERROR(INDEX(_DATA_Assessment_Model!$G$5:$G$884,MATCH($E915,_DATA_Assessment_Model!$A$5:$A$884,0)),"")</f>
        <v/>
      </c>
      <c r="V915">
        <f>IFERROR(INDEX(_DATA_Assessment_Model!$W$5:$W$884,MATCH($E915,_DATA_Assessment_Model!$A$5:$A$884,0)),"")</f>
        <v/>
      </c>
      <c r="W915">
        <f>IFERROR(INDEX(_DATA_Assessment_Model!$X$5:$X$884,MATCH($E915,_DATA_Assessment_Model!$A$5:$A$884,0)),"")</f>
        <v/>
      </c>
      <c r="X915">
        <f>IFERROR(INDEX(_DATA_Assessment_Model!$Y$5:$Y$884,MATCH($E915,_DATA_Assessment_Model!$A$5:$A$884,0)),"")</f>
        <v/>
      </c>
      <c r="Y915" t="inlineStr">
        <is>
          <t>Execution failure; Delivery disruption; Decision failure</t>
        </is>
      </c>
      <c r="Z915" t="inlineStr">
        <is>
          <t>COO / PMO / Quality</t>
        </is>
      </c>
      <c r="AA915" t="inlineStr">
        <is>
          <t>Policy/SOP; owner/RACI; system report; dashboard; contracts; test records; incident history; interview evidence related to improvement backlog linked to incidents, audits, customer feedback, risk and strategy.</t>
        </is>
      </c>
      <c r="AB915">
        <f>IFERROR(INDEX(_DATA_Assessment_Model!$U$5:$U$884,MATCH($E915,_DATA_Assessment_Model!$A$5:$A$884,0)),"")</f>
        <v/>
      </c>
      <c r="AF915" t="inlineStr">
        <is>
          <t>How mature is the organization in managing improvement backlog linked to incidents, audits, customer feedback, risk and strategy, including ownership, evidence, metrics, fallback procedures and crisis stress testing?</t>
        </is>
      </c>
      <c r="AO915">
        <f>IF($B915="Yes",IFERROR(INDEX(_ENGINE_Crisis!$F$501:$F$517,MATCH($C915,_ENGINE_Crisis!$A$501:$A$517,0)),1),"")</f>
        <v/>
      </c>
      <c r="AP915">
        <f>IF(AO915="","",ROUND($L915*AO915,1))</f>
        <v/>
      </c>
      <c r="AQ915">
        <f>IF(OR(AO915="",$S915=""),"",ROUND($S915*(0.7+0.3*AO915),2))</f>
        <v/>
      </c>
      <c r="AR915">
        <f>IFERROR(INDEX(_ENGINE_Crisis!$E$41:$E$700,MATCH('Resilience &amp; Risk Scenario'!$B$60&amp;"|"&amp;$C915,_ENGINE_Crisis!$I$41:$I$700,0)),"")</f>
        <v/>
      </c>
      <c r="AS915">
        <f>IFERROR(INDEX(_ENGINE_Crisis!$G$41:$G$700,MATCH('Resilience &amp; Risk Scenario'!$B$60&amp;"|"&amp;$C915,_ENGINE_Crisis!$I$41:$I$700,0)),"")</f>
        <v/>
      </c>
      <c r="AT915">
        <f>IFERROR(INDEX(_ENGINE_Initiatives!$A$5:$A$532,MATCH(1,INDEX((_ENGINE_Initiatives!$B$5:$B$532=$C915)*(_ENGINE_Initiatives!$C$5:$C$532=$D915),0),0)),"")</f>
        <v/>
      </c>
      <c r="AU915">
        <f>IFERROR(INDEX(_ENGINE_Initiatives!$F$5:$F$532,MATCH(1,INDEX((_ENGINE_Initiatives!$B$5:$B$532=$C915)*(_ENGINE_Initiatives!$C$5:$C$532=$D915),0),0)),"")</f>
        <v/>
      </c>
      <c r="AV915">
        <f>IFERROR(INDEX(_ENGINE_Initiatives!$AC$5:$AC$532,MATCH(1,INDEX((_ENGINE_Initiatives!$B$5:$B$532=$C915)*(_ENGINE_Initiatives!$C$5:$C$532=$D915),0),0)),"")</f>
        <v/>
      </c>
      <c r="AW915">
        <f>IFERROR(INDEX(_ENGINE_Initiatives!$AE$5:$AE$532,MATCH(1,INDEX((_ENGINE_Initiatives!$B$5:$B$532=$C915)*(_ENGINE_Initiatives!$C$5:$C$532=$D915),0),0)),"")</f>
        <v/>
      </c>
      <c r="AX915">
        <f>IF($B915="Yes",IFERROR(IF(SUMIFS(_REF_Model_Content!$E$1:$E$613,_REF_Model_Content!$A$1:$A$613,'Company Profile'!$B$9,_REF_Model_Content!$B$1:$B$613,$C915)=0,1,SUMIFS(_REF_Model_Content!$E$1:$E$613,_REF_Model_Content!$A$1:$A$613,'Company Profile'!$B$9,_REF_Model_Content!$B$1:$B$613,$C915)),1),"")</f>
        <v/>
      </c>
      <c r="AY915">
        <f>IF($L915="","",ROUND(IF($AP915="",$L915,$AP915)*IF($AX915="",1,$AX915),2))</f>
        <v/>
      </c>
      <c r="AZ915">
        <f>IF($S915="","",ROUND(IF($AQ915="",$S915,$AQ915)*IF($AX915="",1,$AX915),2))</f>
        <v/>
      </c>
      <c r="BB915">
        <f>IF($H915="","",IFERROR(INDEX('_ENGINE_Risk'!$AE$41:$AE$920,MATCH($E915,'_ENGINE_Risk'!$A$41:$A$920,0)),"Medium"))</f>
        <v/>
      </c>
      <c r="BC915">
        <f>IF($BB915="","",IF($BB915="Fast",1.25,IF($BB915="Slow",0.85,1)))</f>
        <v/>
      </c>
      <c r="BD915">
        <f>IF(OR($AZ915="",$BC915=""),"",ROUND($AZ915*$BC915,2))</f>
        <v/>
      </c>
      <c r="BF915">
        <f>IF(OR($H915="",$J915=""),"",_xlfn.IFNA(VLOOKUP($J915,_CONFIG_Model_Settings!$D$610:$E$614,2,0),""))</f>
        <v/>
      </c>
      <c r="BG915">
        <f>IF(OR($H915="",$K915=""),"",ROUND('Company Profile'!$B$569*INDEX(_CONFIG_Model_Settings!$H$610:$H$614,MATCH($K915,_CONFIG_Model_Settings!$G$610:$G$614,0)),0))</f>
        <v/>
      </c>
      <c r="BH915">
        <f>IF(OR($BF915="",$BG915=""),"",ROUND($BF915*$BG915,1))</f>
        <v/>
      </c>
      <c r="BI915">
        <f>IF($BH915="","",IF($AO915="",$BH915,ROUND($BH915*$AO915,1)))</f>
        <v/>
      </c>
      <c r="BJ915">
        <f>IF($E915="","",IFERROR(VLOOKUP($C915,'_CONFIG_Risk_Calibration'!$A$5:$H$21,2,FALSE),3))</f>
        <v/>
      </c>
      <c r="BK915">
        <f>IF($E915="","",IFERROR(VLOOKUP($C915,'_CONFIG_Risk_Calibration'!$A$5:$H$21,3,FALSE),0))</f>
        <v/>
      </c>
      <c r="BL915">
        <f>IF($E915="","",IFERROR(VLOOKUP($C915,'_CONFIG_Risk_Calibration'!$A$5:$H$21,4,FALSE),3))</f>
        <v/>
      </c>
      <c r="BM915">
        <f>IF($E915="","",IFERROR(VLOOKUP($C915,'_CONFIG_Risk_Calibration'!$A$5:$H$21,5,FALSE),3))</f>
        <v/>
      </c>
      <c r="BN915">
        <f>IF($E915="","",IFERROR(VLOOKUP($C915,'_CONFIG_Risk_Calibration'!$A$5:$H$21,6,FALSE),"No"))</f>
        <v/>
      </c>
      <c r="BO915">
        <f>IF($E915="","",IFERROR(VLOOKUP($C915,'_CONFIG_Risk_Calibration'!$A$5:$H$21,7,FALSE),1))</f>
        <v/>
      </c>
      <c r="BP915">
        <f>IF($H915="","",MAX(1,MIN(5,((6-$H915)*0.45)+($BJ915*0.20)+('Resilience &amp; Risk Scenario'!$B$7*0.15)+($BK915*0.10)+($BL915*0.05)+(IF($BB915="Fast",5,IF($BB915="Slow",1,3))*0.05))))</f>
        <v/>
      </c>
      <c r="BQ915">
        <f>IF($H915="","",MAX(IF($BN915="Yes",$BO915,1),MIN(5,($U915*0.20)+($V915*0.15)+($W915*0.25)+($X915*0.15)+($BJ915*0.10)+($BM915*0.15))))</f>
        <v/>
      </c>
      <c r="BR915">
        <f>IF(OR($BP915="",$BQ915=""),"",ROUND($BP915*$BQ915,2))</f>
        <v/>
      </c>
      <c r="BS915">
        <f>IF($BR915="","",ROUND($BR915*IF($AO915="",1,$AO915)*IF($AX915="",1,$AX915)*(1+(($BM915-3)*0.10))*IF($BC915="",1,$BC915),2))</f>
        <v/>
      </c>
    </row>
    <row r="916">
      <c r="A916">
        <f>IF($BD916="","",SUMPRODUCT(ISNUMBER($BD$500:$BD$923)*($BD$500:$BD$923&gt;$BD916))+COUNTIF($BD$500:$BD916,$BD916))</f>
        <v/>
      </c>
      <c r="B916">
        <f>IF($H916="","",IF($H916&lt;5,"Yes","Maintain"))</f>
        <v/>
      </c>
      <c r="C916" t="inlineStr">
        <is>
          <t>Quality Portfolio</t>
        </is>
      </c>
      <c r="D916" t="inlineStr">
        <is>
          <t>Management system</t>
        </is>
      </c>
      <c r="E916" t="inlineStr">
        <is>
          <t>QUAL-016</t>
        </is>
      </c>
      <c r="F916" t="inlineStr">
        <is>
          <t>Quality, portfolio and change execution risk</t>
        </is>
      </c>
      <c r="G916">
        <f>IF($H916="","",IFERROR(INDEX('_ENGINE_Risk'!$H$41:$M$920,MATCH($E916,'_ENGINE_Risk'!$A$41:$A$920,0),$H916+1),""))</f>
        <v/>
      </c>
      <c r="H916">
        <f>IFERROR(VALUE(INDEX(_DATA_Assessment_Model!$H$5:$H$884,MATCH($E916,_DATA_Assessment_Model!$A$5:$A$884,0))),"")</f>
        <v/>
      </c>
      <c r="I916">
        <f>IF($H916="","",IFERROR(INDEX(_DATA_Assessment_Model!$L$5:$L$884,MATCH($E916,_DATA_Assessment_Model!$A$5:$A$884,0)),IF($H916&lt;=1,"Critical",IF($H916=2,"High",IF($H916=3,"Medium",IF($H916=4,"Low","Resilient"))))))</f>
        <v/>
      </c>
      <c r="J916">
        <f>IF($H916="","",MIN(5,MAX(1,6-$H916)))</f>
        <v/>
      </c>
      <c r="K916">
        <f>IF($H916="","",MAX(1,MIN(5,ROUNDUP(($U916*0.45)+($W916*0.35)+($X916*0.2),0))))</f>
        <v/>
      </c>
      <c r="L916">
        <f>IF($H916="","",$J916*$K916)</f>
        <v/>
      </c>
      <c r="M916">
        <f>IF($H916="","",MAX(1,MIN(5,ROUNDUP($L916/5,0))))</f>
        <v/>
      </c>
      <c r="N916">
        <f>IF($H916="","",IFERROR(INDEX('_ENGINE_Risk'!$T$41:$Y$920,MATCH($E916,'_ENGINE_Risk'!$A$41:$A$920,0),$H916+1),""))</f>
        <v/>
      </c>
      <c r="O916">
        <f>IF($H916="","",MAX(1,MIN(5,($U916+$V916+$X916)/3)))</f>
        <v/>
      </c>
      <c r="P916">
        <f>IF($H916="","",IF($I916="Critical",5,IF($I916="High",4,IF($I916="Medium",3,IF($I916="Low",2,1)))))</f>
        <v/>
      </c>
      <c r="Q916">
        <f>IF($H916="","",MAX(1,MIN(5,((5-$H916)*0.65)+($W916*0.35))))</f>
        <v/>
      </c>
      <c r="R916">
        <f>IF($H916="","",MAX(1,MIN(5,($V916+$X916)/2)))</f>
        <v/>
      </c>
      <c r="S916">
        <f>IF(OR($H916="",$N916=""),"",ROUND(($O916+$P916+$Q916+$R916)/$N916,2))</f>
        <v/>
      </c>
      <c r="T916">
        <f>IF($H916="","",IFERROR(INDEX('_ENGINE_Risk'!$N$41:$S$920,MATCH($E916,'_ENGINE_Risk'!$A$41:$A$920,0),$H916+1),""))</f>
        <v/>
      </c>
      <c r="U916">
        <f>IFERROR(INDEX(_DATA_Assessment_Model!$G$5:$G$884,MATCH($E916,_DATA_Assessment_Model!$A$5:$A$884,0)),"")</f>
        <v/>
      </c>
      <c r="V916">
        <f>IFERROR(INDEX(_DATA_Assessment_Model!$W$5:$W$884,MATCH($E916,_DATA_Assessment_Model!$A$5:$A$884,0)),"")</f>
        <v/>
      </c>
      <c r="W916">
        <f>IFERROR(INDEX(_DATA_Assessment_Model!$X$5:$X$884,MATCH($E916,_DATA_Assessment_Model!$A$5:$A$884,0)),"")</f>
        <v/>
      </c>
      <c r="X916">
        <f>IFERROR(INDEX(_DATA_Assessment_Model!$Y$5:$Y$884,MATCH($E916,_DATA_Assessment_Model!$A$5:$A$884,0)),"")</f>
        <v/>
      </c>
      <c r="Y916" t="inlineStr">
        <is>
          <t>Execution failure; Delivery disruption; Decision failure</t>
        </is>
      </c>
      <c r="Z916" t="inlineStr">
        <is>
          <t>COO / PMO / Quality</t>
        </is>
      </c>
      <c r="AA916" t="inlineStr">
        <is>
          <t>Policy/SOP; owner/RACI; system report; dashboard; contracts; test records; incident history; interview evidence related to KPI hierarchy from strategy to functions, processes, teams and crisis readiness.</t>
        </is>
      </c>
      <c r="AB916">
        <f>IFERROR(INDEX(_DATA_Assessment_Model!$U$5:$U$884,MATCH($E916,_DATA_Assessment_Model!$A$5:$A$884,0)),"")</f>
        <v/>
      </c>
      <c r="AF916" t="inlineStr">
        <is>
          <t>How mature is the organization in managing KPI hierarchy from strategy to functions, processes, teams and crisis readiness, including ownership, evidence, metrics, fallback procedures and crisis stress testing?</t>
        </is>
      </c>
      <c r="AO916">
        <f>IF($B916="Yes",IFERROR(INDEX(_ENGINE_Crisis!$F$501:$F$517,MATCH($C916,_ENGINE_Crisis!$A$501:$A$517,0)),1),"")</f>
        <v/>
      </c>
      <c r="AP916">
        <f>IF(AO916="","",ROUND($L916*AO916,1))</f>
        <v/>
      </c>
      <c r="AQ916">
        <f>IF(OR(AO916="",$S916=""),"",ROUND($S916*(0.7+0.3*AO916),2))</f>
        <v/>
      </c>
      <c r="AR916">
        <f>IFERROR(INDEX(_ENGINE_Crisis!$E$41:$E$700,MATCH('Resilience &amp; Risk Scenario'!$B$60&amp;"|"&amp;$C916,_ENGINE_Crisis!$I$41:$I$700,0)),"")</f>
        <v/>
      </c>
      <c r="AS916">
        <f>IFERROR(INDEX(_ENGINE_Crisis!$G$41:$G$700,MATCH('Resilience &amp; Risk Scenario'!$B$60&amp;"|"&amp;$C916,_ENGINE_Crisis!$I$41:$I$700,0)),"")</f>
        <v/>
      </c>
      <c r="AT916">
        <f>IFERROR(INDEX(_ENGINE_Initiatives!$A$5:$A$532,MATCH(1,INDEX((_ENGINE_Initiatives!$B$5:$B$532=$C916)*(_ENGINE_Initiatives!$C$5:$C$532=$D916),0),0)),"")</f>
        <v/>
      </c>
      <c r="AU916">
        <f>IFERROR(INDEX(_ENGINE_Initiatives!$F$5:$F$532,MATCH(1,INDEX((_ENGINE_Initiatives!$B$5:$B$532=$C916)*(_ENGINE_Initiatives!$C$5:$C$532=$D916),0),0)),"")</f>
        <v/>
      </c>
      <c r="AV916">
        <f>IFERROR(INDEX(_ENGINE_Initiatives!$AC$5:$AC$532,MATCH(1,INDEX((_ENGINE_Initiatives!$B$5:$B$532=$C916)*(_ENGINE_Initiatives!$C$5:$C$532=$D916),0),0)),"")</f>
        <v/>
      </c>
      <c r="AW916">
        <f>IFERROR(INDEX(_ENGINE_Initiatives!$AE$5:$AE$532,MATCH(1,INDEX((_ENGINE_Initiatives!$B$5:$B$532=$C916)*(_ENGINE_Initiatives!$C$5:$C$532=$D916),0),0)),"")</f>
        <v/>
      </c>
      <c r="AX916">
        <f>IF($B916="Yes",IFERROR(IF(SUMIFS(_REF_Model_Content!$E$1:$E$613,_REF_Model_Content!$A$1:$A$613,'Company Profile'!$B$9,_REF_Model_Content!$B$1:$B$613,$C916)=0,1,SUMIFS(_REF_Model_Content!$E$1:$E$613,_REF_Model_Content!$A$1:$A$613,'Company Profile'!$B$9,_REF_Model_Content!$B$1:$B$613,$C916)),1),"")</f>
        <v/>
      </c>
      <c r="AY916">
        <f>IF($L916="","",ROUND(IF($AP916="",$L916,$AP916)*IF($AX916="",1,$AX916),2))</f>
        <v/>
      </c>
      <c r="AZ916">
        <f>IF($S916="","",ROUND(IF($AQ916="",$S916,$AQ916)*IF($AX916="",1,$AX916),2))</f>
        <v/>
      </c>
      <c r="BB916">
        <f>IF($H916="","",IFERROR(INDEX('_ENGINE_Risk'!$AE$41:$AE$920,MATCH($E916,'_ENGINE_Risk'!$A$41:$A$920,0)),"Medium"))</f>
        <v/>
      </c>
      <c r="BC916">
        <f>IF($BB916="","",IF($BB916="Fast",1.25,IF($BB916="Slow",0.85,1)))</f>
        <v/>
      </c>
      <c r="BD916">
        <f>IF(OR($AZ916="",$BC916=""),"",ROUND($AZ916*$BC916,2))</f>
        <v/>
      </c>
      <c r="BF916">
        <f>IF(OR($H916="",$J916=""),"",_xlfn.IFNA(VLOOKUP($J916,_CONFIG_Model_Settings!$D$610:$E$614,2,0),""))</f>
        <v/>
      </c>
      <c r="BG916">
        <f>IF(OR($H916="",$K916=""),"",ROUND('Company Profile'!$B$569*INDEX(_CONFIG_Model_Settings!$H$610:$H$614,MATCH($K916,_CONFIG_Model_Settings!$G$610:$G$614,0)),0))</f>
        <v/>
      </c>
      <c r="BH916">
        <f>IF(OR($BF916="",$BG916=""),"",ROUND($BF916*$BG916,1))</f>
        <v/>
      </c>
      <c r="BI916">
        <f>IF($BH916="","",IF($AO916="",$BH916,ROUND($BH916*$AO916,1)))</f>
        <v/>
      </c>
      <c r="BJ916">
        <f>IF($E916="","",IFERROR(VLOOKUP($C916,'_CONFIG_Risk_Calibration'!$A$5:$H$21,2,FALSE),3))</f>
        <v/>
      </c>
      <c r="BK916">
        <f>IF($E916="","",IFERROR(VLOOKUP($C916,'_CONFIG_Risk_Calibration'!$A$5:$H$21,3,FALSE),0))</f>
        <v/>
      </c>
      <c r="BL916">
        <f>IF($E916="","",IFERROR(VLOOKUP($C916,'_CONFIG_Risk_Calibration'!$A$5:$H$21,4,FALSE),3))</f>
        <v/>
      </c>
      <c r="BM916">
        <f>IF($E916="","",IFERROR(VLOOKUP($C916,'_CONFIG_Risk_Calibration'!$A$5:$H$21,5,FALSE),3))</f>
        <v/>
      </c>
      <c r="BN916">
        <f>IF($E916="","",IFERROR(VLOOKUP($C916,'_CONFIG_Risk_Calibration'!$A$5:$H$21,6,FALSE),"No"))</f>
        <v/>
      </c>
      <c r="BO916">
        <f>IF($E916="","",IFERROR(VLOOKUP($C916,'_CONFIG_Risk_Calibration'!$A$5:$H$21,7,FALSE),1))</f>
        <v/>
      </c>
      <c r="BP916">
        <f>IF($H916="","",MAX(1,MIN(5,((6-$H916)*0.45)+($BJ916*0.20)+('Resilience &amp; Risk Scenario'!$B$7*0.15)+($BK916*0.10)+($BL916*0.05)+(IF($BB916="Fast",5,IF($BB916="Slow",1,3))*0.05))))</f>
        <v/>
      </c>
      <c r="BQ916">
        <f>IF($H916="","",MAX(IF($BN916="Yes",$BO916,1),MIN(5,($U916*0.20)+($V916*0.15)+($W916*0.25)+($X916*0.15)+($BJ916*0.10)+($BM916*0.15))))</f>
        <v/>
      </c>
      <c r="BR916">
        <f>IF(OR($BP916="",$BQ916=""),"",ROUND($BP916*$BQ916,2))</f>
        <v/>
      </c>
      <c r="BS916">
        <f>IF($BR916="","",ROUND($BR916*IF($AO916="",1,$AO916)*IF($AX916="",1,$AX916)*(1+(($BM916-3)*0.10))*IF($BC916="",1,$BC916),2))</f>
        <v/>
      </c>
    </row>
    <row r="917">
      <c r="A917">
        <f>IF($BD917="","",SUMPRODUCT(ISNUMBER($BD$500:$BD$923)*($BD$500:$BD$923&gt;$BD917))+COUNTIF($BD$500:$BD917,$BD917))</f>
        <v/>
      </c>
      <c r="B917">
        <f>IF($H917="","",IF($H917&lt;5,"Yes","Maintain"))</f>
        <v/>
      </c>
      <c r="C917" t="inlineStr">
        <is>
          <t>Quality Portfolio</t>
        </is>
      </c>
      <c r="D917" t="inlineStr">
        <is>
          <t>Management system</t>
        </is>
      </c>
      <c r="E917" t="inlineStr">
        <is>
          <t>QUAL-017</t>
        </is>
      </c>
      <c r="F917" t="inlineStr">
        <is>
          <t>Quality, portfolio and change execution risk</t>
        </is>
      </c>
      <c r="G917">
        <f>IF($H917="","",IFERROR(INDEX('_ENGINE_Risk'!$H$41:$M$920,MATCH($E917,'_ENGINE_Risk'!$A$41:$A$920,0),$H917+1),""))</f>
        <v/>
      </c>
      <c r="H917">
        <f>IFERROR(VALUE(INDEX(_DATA_Assessment_Model!$H$5:$H$884,MATCH($E917,_DATA_Assessment_Model!$A$5:$A$884,0))),"")</f>
        <v/>
      </c>
      <c r="I917">
        <f>IF($H917="","",IFERROR(INDEX(_DATA_Assessment_Model!$L$5:$L$884,MATCH($E917,_DATA_Assessment_Model!$A$5:$A$884,0)),IF($H917&lt;=1,"Critical",IF($H917=2,"High",IF($H917=3,"Medium",IF($H917=4,"Low","Resilient"))))))</f>
        <v/>
      </c>
      <c r="J917">
        <f>IF($H917="","",MIN(5,MAX(1,6-$H917)))</f>
        <v/>
      </c>
      <c r="K917">
        <f>IF($H917="","",MAX(1,MIN(5,ROUNDUP(($U917*0.45)+($W917*0.35)+($X917*0.2),0))))</f>
        <v/>
      </c>
      <c r="L917">
        <f>IF($H917="","",$J917*$K917)</f>
        <v/>
      </c>
      <c r="M917">
        <f>IF($H917="","",MAX(1,MIN(5,ROUNDUP($L917/5,0))))</f>
        <v/>
      </c>
      <c r="N917">
        <f>IF($H917="","",IFERROR(INDEX('_ENGINE_Risk'!$T$41:$Y$920,MATCH($E917,'_ENGINE_Risk'!$A$41:$A$920,0),$H917+1),""))</f>
        <v/>
      </c>
      <c r="O917">
        <f>IF($H917="","",MAX(1,MIN(5,($U917+$V917+$X917)/3)))</f>
        <v/>
      </c>
      <c r="P917">
        <f>IF($H917="","",IF($I917="Critical",5,IF($I917="High",4,IF($I917="Medium",3,IF($I917="Low",2,1)))))</f>
        <v/>
      </c>
      <c r="Q917">
        <f>IF($H917="","",MAX(1,MIN(5,((5-$H917)*0.65)+($W917*0.35))))</f>
        <v/>
      </c>
      <c r="R917">
        <f>IF($H917="","",MAX(1,MIN(5,($V917+$X917)/2)))</f>
        <v/>
      </c>
      <c r="S917">
        <f>IF(OR($H917="",$N917=""),"",ROUND(($O917+$P917+$Q917+$R917)/$N917,2))</f>
        <v/>
      </c>
      <c r="T917">
        <f>IF($H917="","",IFERROR(INDEX('_ENGINE_Risk'!$N$41:$S$920,MATCH($E917,'_ENGINE_Risk'!$A$41:$A$920,0),$H917+1),""))</f>
        <v/>
      </c>
      <c r="U917">
        <f>IFERROR(INDEX(_DATA_Assessment_Model!$G$5:$G$884,MATCH($E917,_DATA_Assessment_Model!$A$5:$A$884,0)),"")</f>
        <v/>
      </c>
      <c r="V917">
        <f>IFERROR(INDEX(_DATA_Assessment_Model!$W$5:$W$884,MATCH($E917,_DATA_Assessment_Model!$A$5:$A$884,0)),"")</f>
        <v/>
      </c>
      <c r="W917">
        <f>IFERROR(INDEX(_DATA_Assessment_Model!$X$5:$X$884,MATCH($E917,_DATA_Assessment_Model!$A$5:$A$884,0)),"")</f>
        <v/>
      </c>
      <c r="X917">
        <f>IFERROR(INDEX(_DATA_Assessment_Model!$Y$5:$Y$884,MATCH($E917,_DATA_Assessment_Model!$A$5:$A$884,0)),"")</f>
        <v/>
      </c>
      <c r="Y917" t="inlineStr">
        <is>
          <t>Execution failure; Delivery disruption; Decision failure</t>
        </is>
      </c>
      <c r="Z917" t="inlineStr">
        <is>
          <t>COO / PMO / Quality</t>
        </is>
      </c>
      <c r="AA917" t="inlineStr">
        <is>
          <t>Policy/SOP; owner/RACI; system report; dashboard; contracts; test records; incident history; interview evidence related to management review of performance, risks, audit findings, incidents, customers and improvements.</t>
        </is>
      </c>
      <c r="AB917">
        <f>IFERROR(INDEX(_DATA_Assessment_Model!$U$5:$U$884,MATCH($E917,_DATA_Assessment_Model!$A$5:$A$884,0)),"")</f>
        <v/>
      </c>
      <c r="AF917" t="inlineStr">
        <is>
          <t>How mature is the organization in managing management review of performance, risks, audit findings, incidents, customers and improvements, including ownership, evidence, metrics, fallback procedures and crisis stress testing?</t>
        </is>
      </c>
      <c r="AO917">
        <f>IF($B917="Yes",IFERROR(INDEX(_ENGINE_Crisis!$F$501:$F$517,MATCH($C917,_ENGINE_Crisis!$A$501:$A$517,0)),1),"")</f>
        <v/>
      </c>
      <c r="AP917">
        <f>IF(AO917="","",ROUND($L917*AO917,1))</f>
        <v/>
      </c>
      <c r="AQ917">
        <f>IF(OR(AO917="",$S917=""),"",ROUND($S917*(0.7+0.3*AO917),2))</f>
        <v/>
      </c>
      <c r="AR917">
        <f>IFERROR(INDEX(_ENGINE_Crisis!$E$41:$E$700,MATCH('Resilience &amp; Risk Scenario'!$B$60&amp;"|"&amp;$C917,_ENGINE_Crisis!$I$41:$I$700,0)),"")</f>
        <v/>
      </c>
      <c r="AS917">
        <f>IFERROR(INDEX(_ENGINE_Crisis!$G$41:$G$700,MATCH('Resilience &amp; Risk Scenario'!$B$60&amp;"|"&amp;$C917,_ENGINE_Crisis!$I$41:$I$700,0)),"")</f>
        <v/>
      </c>
      <c r="AT917">
        <f>IFERROR(INDEX(_ENGINE_Initiatives!$A$5:$A$532,MATCH(1,INDEX((_ENGINE_Initiatives!$B$5:$B$532=$C917)*(_ENGINE_Initiatives!$C$5:$C$532=$D917),0),0)),"")</f>
        <v/>
      </c>
      <c r="AU917">
        <f>IFERROR(INDEX(_ENGINE_Initiatives!$F$5:$F$532,MATCH(1,INDEX((_ENGINE_Initiatives!$B$5:$B$532=$C917)*(_ENGINE_Initiatives!$C$5:$C$532=$D917),0),0)),"")</f>
        <v/>
      </c>
      <c r="AV917">
        <f>IFERROR(INDEX(_ENGINE_Initiatives!$AC$5:$AC$532,MATCH(1,INDEX((_ENGINE_Initiatives!$B$5:$B$532=$C917)*(_ENGINE_Initiatives!$C$5:$C$532=$D917),0),0)),"")</f>
        <v/>
      </c>
      <c r="AW917">
        <f>IFERROR(INDEX(_ENGINE_Initiatives!$AE$5:$AE$532,MATCH(1,INDEX((_ENGINE_Initiatives!$B$5:$B$532=$C917)*(_ENGINE_Initiatives!$C$5:$C$532=$D917),0),0)),"")</f>
        <v/>
      </c>
      <c r="AX917">
        <f>IF($B917="Yes",IFERROR(IF(SUMIFS(_REF_Model_Content!$E$1:$E$613,_REF_Model_Content!$A$1:$A$613,'Company Profile'!$B$9,_REF_Model_Content!$B$1:$B$613,$C917)=0,1,SUMIFS(_REF_Model_Content!$E$1:$E$613,_REF_Model_Content!$A$1:$A$613,'Company Profile'!$B$9,_REF_Model_Content!$B$1:$B$613,$C917)),1),"")</f>
        <v/>
      </c>
      <c r="AY917">
        <f>IF($L917="","",ROUND(IF($AP917="",$L917,$AP917)*IF($AX917="",1,$AX917),2))</f>
        <v/>
      </c>
      <c r="AZ917">
        <f>IF($S917="","",ROUND(IF($AQ917="",$S917,$AQ917)*IF($AX917="",1,$AX917),2))</f>
        <v/>
      </c>
      <c r="BB917">
        <f>IF($H917="","",IFERROR(INDEX('_ENGINE_Risk'!$AE$41:$AE$920,MATCH($E917,'_ENGINE_Risk'!$A$41:$A$920,0)),"Medium"))</f>
        <v/>
      </c>
      <c r="BC917">
        <f>IF($BB917="","",IF($BB917="Fast",1.25,IF($BB917="Slow",0.85,1)))</f>
        <v/>
      </c>
      <c r="BD917">
        <f>IF(OR($AZ917="",$BC917=""),"",ROUND($AZ917*$BC917,2))</f>
        <v/>
      </c>
      <c r="BF917">
        <f>IF(OR($H917="",$J917=""),"",_xlfn.IFNA(VLOOKUP($J917,_CONFIG_Model_Settings!$D$610:$E$614,2,0),""))</f>
        <v/>
      </c>
      <c r="BG917">
        <f>IF(OR($H917="",$K917=""),"",ROUND('Company Profile'!$B$569*INDEX(_CONFIG_Model_Settings!$H$610:$H$614,MATCH($K917,_CONFIG_Model_Settings!$G$610:$G$614,0)),0))</f>
        <v/>
      </c>
      <c r="BH917">
        <f>IF(OR($BF917="",$BG917=""),"",ROUND($BF917*$BG917,1))</f>
        <v/>
      </c>
      <c r="BI917">
        <f>IF($BH917="","",IF($AO917="",$BH917,ROUND($BH917*$AO917,1)))</f>
        <v/>
      </c>
      <c r="BJ917">
        <f>IF($E917="","",IFERROR(VLOOKUP($C917,'_CONFIG_Risk_Calibration'!$A$5:$H$21,2,FALSE),3))</f>
        <v/>
      </c>
      <c r="BK917">
        <f>IF($E917="","",IFERROR(VLOOKUP($C917,'_CONFIG_Risk_Calibration'!$A$5:$H$21,3,FALSE),0))</f>
        <v/>
      </c>
      <c r="BL917">
        <f>IF($E917="","",IFERROR(VLOOKUP($C917,'_CONFIG_Risk_Calibration'!$A$5:$H$21,4,FALSE),3))</f>
        <v/>
      </c>
      <c r="BM917">
        <f>IF($E917="","",IFERROR(VLOOKUP($C917,'_CONFIG_Risk_Calibration'!$A$5:$H$21,5,FALSE),3))</f>
        <v/>
      </c>
      <c r="BN917">
        <f>IF($E917="","",IFERROR(VLOOKUP($C917,'_CONFIG_Risk_Calibration'!$A$5:$H$21,6,FALSE),"No"))</f>
        <v/>
      </c>
      <c r="BO917">
        <f>IF($E917="","",IFERROR(VLOOKUP($C917,'_CONFIG_Risk_Calibration'!$A$5:$H$21,7,FALSE),1))</f>
        <v/>
      </c>
      <c r="BP917">
        <f>IF($H917="","",MAX(1,MIN(5,((6-$H917)*0.45)+($BJ917*0.20)+('Resilience &amp; Risk Scenario'!$B$7*0.15)+($BK917*0.10)+($BL917*0.05)+(IF($BB917="Fast",5,IF($BB917="Slow",1,3))*0.05))))</f>
        <v/>
      </c>
      <c r="BQ917">
        <f>IF($H917="","",MAX(IF($BN917="Yes",$BO917,1),MIN(5,($U917*0.20)+($V917*0.15)+($W917*0.25)+($X917*0.15)+($BJ917*0.10)+($BM917*0.15))))</f>
        <v/>
      </c>
      <c r="BR917">
        <f>IF(OR($BP917="",$BQ917=""),"",ROUND($BP917*$BQ917,2))</f>
        <v/>
      </c>
      <c r="BS917">
        <f>IF($BR917="","",ROUND($BR917*IF($AO917="",1,$AO917)*IF($AX917="",1,$AX917)*(1+(($BM917-3)*0.10))*IF($BC917="",1,$BC917),2))</f>
        <v/>
      </c>
    </row>
    <row r="918">
      <c r="A918">
        <f>IF($BD918="","",SUMPRODUCT(ISNUMBER($BD$500:$BD$923)*($BD$500:$BD$923&gt;$BD918))+COUNTIF($BD$500:$BD918,$BD918))</f>
        <v/>
      </c>
      <c r="B918">
        <f>IF($H918="","",IF($H918&lt;5,"Yes","Maintain"))</f>
        <v/>
      </c>
      <c r="C918" t="inlineStr">
        <is>
          <t>Quality Portfolio</t>
        </is>
      </c>
      <c r="D918" t="inlineStr">
        <is>
          <t>Management system</t>
        </is>
      </c>
      <c r="E918" t="inlineStr">
        <is>
          <t>QUAL-018</t>
        </is>
      </c>
      <c r="F918" t="inlineStr">
        <is>
          <t>Quality, portfolio and change execution risk</t>
        </is>
      </c>
      <c r="G918">
        <f>IF($H918="","",IFERROR(INDEX('_ENGINE_Risk'!$H$41:$M$920,MATCH($E918,'_ENGINE_Risk'!$A$41:$A$920,0),$H918+1),""))</f>
        <v/>
      </c>
      <c r="H918">
        <f>IFERROR(VALUE(INDEX(_DATA_Assessment_Model!$H$5:$H$884,MATCH($E918,_DATA_Assessment_Model!$A$5:$A$884,0))),"")</f>
        <v/>
      </c>
      <c r="I918">
        <f>IF($H918="","",IFERROR(INDEX(_DATA_Assessment_Model!$L$5:$L$884,MATCH($E918,_DATA_Assessment_Model!$A$5:$A$884,0)),IF($H918&lt;=1,"Critical",IF($H918=2,"High",IF($H918=3,"Medium",IF($H918=4,"Low","Resilient"))))))</f>
        <v/>
      </c>
      <c r="J918">
        <f>IF($H918="","",MIN(5,MAX(1,6-$H918)))</f>
        <v/>
      </c>
      <c r="K918">
        <f>IF($H918="","",MAX(1,MIN(5,ROUNDUP(($U918*0.45)+($W918*0.35)+($X918*0.2),0))))</f>
        <v/>
      </c>
      <c r="L918">
        <f>IF($H918="","",$J918*$K918)</f>
        <v/>
      </c>
      <c r="M918">
        <f>IF($H918="","",MAX(1,MIN(5,ROUNDUP($L918/5,0))))</f>
        <v/>
      </c>
      <c r="N918">
        <f>IF($H918="","",IFERROR(INDEX('_ENGINE_Risk'!$T$41:$Y$920,MATCH($E918,'_ENGINE_Risk'!$A$41:$A$920,0),$H918+1),""))</f>
        <v/>
      </c>
      <c r="O918">
        <f>IF($H918="","",MAX(1,MIN(5,($U918+$V918+$X918)/3)))</f>
        <v/>
      </c>
      <c r="P918">
        <f>IF($H918="","",IF($I918="Critical",5,IF($I918="High",4,IF($I918="Medium",3,IF($I918="Low",2,1)))))</f>
        <v/>
      </c>
      <c r="Q918">
        <f>IF($H918="","",MAX(1,MIN(5,((5-$H918)*0.65)+($W918*0.35))))</f>
        <v/>
      </c>
      <c r="R918">
        <f>IF($H918="","",MAX(1,MIN(5,($V918+$X918)/2)))</f>
        <v/>
      </c>
      <c r="S918">
        <f>IF(OR($H918="",$N918=""),"",ROUND(($O918+$P918+$Q918+$R918)/$N918,2))</f>
        <v/>
      </c>
      <c r="T918">
        <f>IF($H918="","",IFERROR(INDEX('_ENGINE_Risk'!$N$41:$S$920,MATCH($E918,'_ENGINE_Risk'!$A$41:$A$920,0),$H918+1),""))</f>
        <v/>
      </c>
      <c r="U918">
        <f>IFERROR(INDEX(_DATA_Assessment_Model!$G$5:$G$884,MATCH($E918,_DATA_Assessment_Model!$A$5:$A$884,0)),"")</f>
        <v/>
      </c>
      <c r="V918">
        <f>IFERROR(INDEX(_DATA_Assessment_Model!$W$5:$W$884,MATCH($E918,_DATA_Assessment_Model!$A$5:$A$884,0)),"")</f>
        <v/>
      </c>
      <c r="W918">
        <f>IFERROR(INDEX(_DATA_Assessment_Model!$X$5:$X$884,MATCH($E918,_DATA_Assessment_Model!$A$5:$A$884,0)),"")</f>
        <v/>
      </c>
      <c r="X918">
        <f>IFERROR(INDEX(_DATA_Assessment_Model!$Y$5:$Y$884,MATCH($E918,_DATA_Assessment_Model!$A$5:$A$884,0)),"")</f>
        <v/>
      </c>
      <c r="Y918" t="inlineStr">
        <is>
          <t>Execution failure; Delivery disruption; Decision failure</t>
        </is>
      </c>
      <c r="Z918" t="inlineStr">
        <is>
          <t>COO / PMO / Quality</t>
        </is>
      </c>
      <c r="AA918" t="inlineStr">
        <is>
          <t>Policy/SOP; owner/RACI; system report; dashboard; contracts; test records; incident history; interview evidence related to decision log for major decisions with alternatives, risks, assumptions, owners and follow-up.</t>
        </is>
      </c>
      <c r="AB918">
        <f>IFERROR(INDEX(_DATA_Assessment_Model!$U$5:$U$884,MATCH($E918,_DATA_Assessment_Model!$A$5:$A$884,0)),"")</f>
        <v/>
      </c>
      <c r="AF918" t="inlineStr">
        <is>
          <t>How mature is the organization in managing decision log for major decisions with alternatives, risks, assumptions, owners and follow-up, including ownership, evidence, metrics, fallback procedures and crisis stress testing?</t>
        </is>
      </c>
      <c r="AO918">
        <f>IF($B918="Yes",IFERROR(INDEX(_ENGINE_Crisis!$F$501:$F$517,MATCH($C918,_ENGINE_Crisis!$A$501:$A$517,0)),1),"")</f>
        <v/>
      </c>
      <c r="AP918">
        <f>IF(AO918="","",ROUND($L918*AO918,1))</f>
        <v/>
      </c>
      <c r="AQ918">
        <f>IF(OR(AO918="",$S918=""),"",ROUND($S918*(0.7+0.3*AO918),2))</f>
        <v/>
      </c>
      <c r="AR918">
        <f>IFERROR(INDEX(_ENGINE_Crisis!$E$41:$E$700,MATCH('Resilience &amp; Risk Scenario'!$B$60&amp;"|"&amp;$C918,_ENGINE_Crisis!$I$41:$I$700,0)),"")</f>
        <v/>
      </c>
      <c r="AS918">
        <f>IFERROR(INDEX(_ENGINE_Crisis!$G$41:$G$700,MATCH('Resilience &amp; Risk Scenario'!$B$60&amp;"|"&amp;$C918,_ENGINE_Crisis!$I$41:$I$700,0)),"")</f>
        <v/>
      </c>
      <c r="AT918">
        <f>IFERROR(INDEX(_ENGINE_Initiatives!$A$5:$A$532,MATCH(1,INDEX((_ENGINE_Initiatives!$B$5:$B$532=$C918)*(_ENGINE_Initiatives!$C$5:$C$532=$D918),0),0)),"")</f>
        <v/>
      </c>
      <c r="AU918">
        <f>IFERROR(INDEX(_ENGINE_Initiatives!$F$5:$F$532,MATCH(1,INDEX((_ENGINE_Initiatives!$B$5:$B$532=$C918)*(_ENGINE_Initiatives!$C$5:$C$532=$D918),0),0)),"")</f>
        <v/>
      </c>
      <c r="AV918">
        <f>IFERROR(INDEX(_ENGINE_Initiatives!$AC$5:$AC$532,MATCH(1,INDEX((_ENGINE_Initiatives!$B$5:$B$532=$C918)*(_ENGINE_Initiatives!$C$5:$C$532=$D918),0),0)),"")</f>
        <v/>
      </c>
      <c r="AW918">
        <f>IFERROR(INDEX(_ENGINE_Initiatives!$AE$5:$AE$532,MATCH(1,INDEX((_ENGINE_Initiatives!$B$5:$B$532=$C918)*(_ENGINE_Initiatives!$C$5:$C$532=$D918),0),0)),"")</f>
        <v/>
      </c>
      <c r="AX918">
        <f>IF($B918="Yes",IFERROR(IF(SUMIFS(_REF_Model_Content!$E$1:$E$613,_REF_Model_Content!$A$1:$A$613,'Company Profile'!$B$9,_REF_Model_Content!$B$1:$B$613,$C918)=0,1,SUMIFS(_REF_Model_Content!$E$1:$E$613,_REF_Model_Content!$A$1:$A$613,'Company Profile'!$B$9,_REF_Model_Content!$B$1:$B$613,$C918)),1),"")</f>
        <v/>
      </c>
      <c r="AY918">
        <f>IF($L918="","",ROUND(IF($AP918="",$L918,$AP918)*IF($AX918="",1,$AX918),2))</f>
        <v/>
      </c>
      <c r="AZ918">
        <f>IF($S918="","",ROUND(IF($AQ918="",$S918,$AQ918)*IF($AX918="",1,$AX918),2))</f>
        <v/>
      </c>
      <c r="BB918">
        <f>IF($H918="","",IFERROR(INDEX('_ENGINE_Risk'!$AE$41:$AE$920,MATCH($E918,'_ENGINE_Risk'!$A$41:$A$920,0)),"Medium"))</f>
        <v/>
      </c>
      <c r="BC918">
        <f>IF($BB918="","",IF($BB918="Fast",1.25,IF($BB918="Slow",0.85,1)))</f>
        <v/>
      </c>
      <c r="BD918">
        <f>IF(OR($AZ918="",$BC918=""),"",ROUND($AZ918*$BC918,2))</f>
        <v/>
      </c>
      <c r="BF918">
        <f>IF(OR($H918="",$J918=""),"",_xlfn.IFNA(VLOOKUP($J918,_CONFIG_Model_Settings!$D$610:$E$614,2,0),""))</f>
        <v/>
      </c>
      <c r="BG918">
        <f>IF(OR($H918="",$K918=""),"",ROUND('Company Profile'!$B$569*INDEX(_CONFIG_Model_Settings!$H$610:$H$614,MATCH($K918,_CONFIG_Model_Settings!$G$610:$G$614,0)),0))</f>
        <v/>
      </c>
      <c r="BH918">
        <f>IF(OR($BF918="",$BG918=""),"",ROUND($BF918*$BG918,1))</f>
        <v/>
      </c>
      <c r="BI918">
        <f>IF($BH918="","",IF($AO918="",$BH918,ROUND($BH918*$AO918,1)))</f>
        <v/>
      </c>
      <c r="BJ918">
        <f>IF($E918="","",IFERROR(VLOOKUP($C918,'_CONFIG_Risk_Calibration'!$A$5:$H$21,2,FALSE),3))</f>
        <v/>
      </c>
      <c r="BK918">
        <f>IF($E918="","",IFERROR(VLOOKUP($C918,'_CONFIG_Risk_Calibration'!$A$5:$H$21,3,FALSE),0))</f>
        <v/>
      </c>
      <c r="BL918">
        <f>IF($E918="","",IFERROR(VLOOKUP($C918,'_CONFIG_Risk_Calibration'!$A$5:$H$21,4,FALSE),3))</f>
        <v/>
      </c>
      <c r="BM918">
        <f>IF($E918="","",IFERROR(VLOOKUP($C918,'_CONFIG_Risk_Calibration'!$A$5:$H$21,5,FALSE),3))</f>
        <v/>
      </c>
      <c r="BN918">
        <f>IF($E918="","",IFERROR(VLOOKUP($C918,'_CONFIG_Risk_Calibration'!$A$5:$H$21,6,FALSE),"No"))</f>
        <v/>
      </c>
      <c r="BO918">
        <f>IF($E918="","",IFERROR(VLOOKUP($C918,'_CONFIG_Risk_Calibration'!$A$5:$H$21,7,FALSE),1))</f>
        <v/>
      </c>
      <c r="BP918">
        <f>IF($H918="","",MAX(1,MIN(5,((6-$H918)*0.45)+($BJ918*0.20)+('Resilience &amp; Risk Scenario'!$B$7*0.15)+($BK918*0.10)+($BL918*0.05)+(IF($BB918="Fast",5,IF($BB918="Slow",1,3))*0.05))))</f>
        <v/>
      </c>
      <c r="BQ918">
        <f>IF($H918="","",MAX(IF($BN918="Yes",$BO918,1),MIN(5,($U918*0.20)+($V918*0.15)+($W918*0.25)+($X918*0.15)+($BJ918*0.10)+($BM918*0.15))))</f>
        <v/>
      </c>
      <c r="BR918">
        <f>IF(OR($BP918="",$BQ918=""),"",ROUND($BP918*$BQ918,2))</f>
        <v/>
      </c>
      <c r="BS918">
        <f>IF($BR918="","",ROUND($BR918*IF($AO918="",1,$AO918)*IF($AX918="",1,$AX918)*(1+(($BM918-3)*0.10))*IF($BC918="",1,$BC918),2))</f>
        <v/>
      </c>
    </row>
    <row r="919">
      <c r="A919">
        <f>IF($BD919="","",SUMPRODUCT(ISNUMBER($BD$500:$BD$923)*($BD$500:$BD$923&gt;$BD919))+COUNTIF($BD$500:$BD919,$BD919))</f>
        <v/>
      </c>
      <c r="B919">
        <f>IF($H919="","",IF($H919&lt;5,"Yes","Maintain"))</f>
        <v/>
      </c>
      <c r="C919" t="inlineStr">
        <is>
          <t>Quality Portfolio</t>
        </is>
      </c>
      <c r="D919" t="inlineStr">
        <is>
          <t>Management system</t>
        </is>
      </c>
      <c r="E919" t="inlineStr">
        <is>
          <t>QUAL-019</t>
        </is>
      </c>
      <c r="F919" t="inlineStr">
        <is>
          <t>Quality, portfolio and change execution risk</t>
        </is>
      </c>
      <c r="G919">
        <f>IF($H919="","",IFERROR(INDEX('_ENGINE_Risk'!$H$41:$M$920,MATCH($E919,'_ENGINE_Risk'!$A$41:$A$920,0),$H919+1),""))</f>
        <v/>
      </c>
      <c r="H919">
        <f>IFERROR(VALUE(INDEX(_DATA_Assessment_Model!$H$5:$H$884,MATCH($E919,_DATA_Assessment_Model!$A$5:$A$884,0))),"")</f>
        <v/>
      </c>
      <c r="I919">
        <f>IF($H919="","",IFERROR(INDEX(_DATA_Assessment_Model!$L$5:$L$884,MATCH($E919,_DATA_Assessment_Model!$A$5:$A$884,0)),IF($H919&lt;=1,"Critical",IF($H919=2,"High",IF($H919=3,"Medium",IF($H919=4,"Low","Resilient"))))))</f>
        <v/>
      </c>
      <c r="J919">
        <f>IF($H919="","",MIN(5,MAX(1,6-$H919)))</f>
        <v/>
      </c>
      <c r="K919">
        <f>IF($H919="","",MAX(1,MIN(5,ROUNDUP(($U919*0.45)+($W919*0.35)+($X919*0.2),0))))</f>
        <v/>
      </c>
      <c r="L919">
        <f>IF($H919="","",$J919*$K919)</f>
        <v/>
      </c>
      <c r="M919">
        <f>IF($H919="","",MAX(1,MIN(5,ROUNDUP($L919/5,0))))</f>
        <v/>
      </c>
      <c r="N919">
        <f>IF($H919="","",IFERROR(INDEX('_ENGINE_Risk'!$T$41:$Y$920,MATCH($E919,'_ENGINE_Risk'!$A$41:$A$920,0),$H919+1),""))</f>
        <v/>
      </c>
      <c r="O919">
        <f>IF($H919="","",MAX(1,MIN(5,($U919+$V919+$X919)/3)))</f>
        <v/>
      </c>
      <c r="P919">
        <f>IF($H919="","",IF($I919="Critical",5,IF($I919="High",4,IF($I919="Medium",3,IF($I919="Low",2,1)))))</f>
        <v/>
      </c>
      <c r="Q919">
        <f>IF($H919="","",MAX(1,MIN(5,((5-$H919)*0.65)+($W919*0.35))))</f>
        <v/>
      </c>
      <c r="R919">
        <f>IF($H919="","",MAX(1,MIN(5,($V919+$X919)/2)))</f>
        <v/>
      </c>
      <c r="S919">
        <f>IF(OR($H919="",$N919=""),"",ROUND(($O919+$P919+$Q919+$R919)/$N919,2))</f>
        <v/>
      </c>
      <c r="T919">
        <f>IF($H919="","",IFERROR(INDEX('_ENGINE_Risk'!$N$41:$S$920,MATCH($E919,'_ENGINE_Risk'!$A$41:$A$920,0),$H919+1),""))</f>
        <v/>
      </c>
      <c r="U919">
        <f>IFERROR(INDEX(_DATA_Assessment_Model!$G$5:$G$884,MATCH($E919,_DATA_Assessment_Model!$A$5:$A$884,0)),"")</f>
        <v/>
      </c>
      <c r="V919">
        <f>IFERROR(INDEX(_DATA_Assessment_Model!$W$5:$W$884,MATCH($E919,_DATA_Assessment_Model!$A$5:$A$884,0)),"")</f>
        <v/>
      </c>
      <c r="W919">
        <f>IFERROR(INDEX(_DATA_Assessment_Model!$X$5:$X$884,MATCH($E919,_DATA_Assessment_Model!$A$5:$A$884,0)),"")</f>
        <v/>
      </c>
      <c r="X919">
        <f>IFERROR(INDEX(_DATA_Assessment_Model!$Y$5:$Y$884,MATCH($E919,_DATA_Assessment_Model!$A$5:$A$884,0)),"")</f>
        <v/>
      </c>
      <c r="Y919" t="inlineStr">
        <is>
          <t>Execution failure; Delivery disruption; Decision failure</t>
        </is>
      </c>
      <c r="Z919" t="inlineStr">
        <is>
          <t>COO / PMO / Quality</t>
        </is>
      </c>
      <c r="AA919" t="inlineStr">
        <is>
          <t>Policy/SOP; owner/RACI; system report; dashboard; contracts; test records; incident history; interview evidence related to evidence readiness for audits, customers, insurers or regulators during crisis.</t>
        </is>
      </c>
      <c r="AB919">
        <f>IFERROR(INDEX(_DATA_Assessment_Model!$U$5:$U$884,MATCH($E919,_DATA_Assessment_Model!$A$5:$A$884,0)),"")</f>
        <v/>
      </c>
      <c r="AF919" t="inlineStr">
        <is>
          <t>How mature is the organization in managing evidence readiness for audits, customers, insurers or regulators during crisis, including ownership, evidence, metrics, fallback procedures and crisis stress testing?</t>
        </is>
      </c>
      <c r="AO919">
        <f>IF($B919="Yes",IFERROR(INDEX(_ENGINE_Crisis!$F$501:$F$517,MATCH($C919,_ENGINE_Crisis!$A$501:$A$517,0)),1),"")</f>
        <v/>
      </c>
      <c r="AP919">
        <f>IF(AO919="","",ROUND($L919*AO919,1))</f>
        <v/>
      </c>
      <c r="AQ919">
        <f>IF(OR(AO919="",$S919=""),"",ROUND($S919*(0.7+0.3*AO919),2))</f>
        <v/>
      </c>
      <c r="AR919">
        <f>IFERROR(INDEX(_ENGINE_Crisis!$E$41:$E$700,MATCH('Resilience &amp; Risk Scenario'!$B$60&amp;"|"&amp;$C919,_ENGINE_Crisis!$I$41:$I$700,0)),"")</f>
        <v/>
      </c>
      <c r="AS919">
        <f>IFERROR(INDEX(_ENGINE_Crisis!$G$41:$G$700,MATCH('Resilience &amp; Risk Scenario'!$B$60&amp;"|"&amp;$C919,_ENGINE_Crisis!$I$41:$I$700,0)),"")</f>
        <v/>
      </c>
      <c r="AT919">
        <f>IFERROR(INDEX(_ENGINE_Initiatives!$A$5:$A$532,MATCH(1,INDEX((_ENGINE_Initiatives!$B$5:$B$532=$C919)*(_ENGINE_Initiatives!$C$5:$C$532=$D919),0),0)),"")</f>
        <v/>
      </c>
      <c r="AU919">
        <f>IFERROR(INDEX(_ENGINE_Initiatives!$F$5:$F$532,MATCH(1,INDEX((_ENGINE_Initiatives!$B$5:$B$532=$C919)*(_ENGINE_Initiatives!$C$5:$C$532=$D919),0),0)),"")</f>
        <v/>
      </c>
      <c r="AV919">
        <f>IFERROR(INDEX(_ENGINE_Initiatives!$AC$5:$AC$532,MATCH(1,INDEX((_ENGINE_Initiatives!$B$5:$B$532=$C919)*(_ENGINE_Initiatives!$C$5:$C$532=$D919),0),0)),"")</f>
        <v/>
      </c>
      <c r="AW919">
        <f>IFERROR(INDEX(_ENGINE_Initiatives!$AE$5:$AE$532,MATCH(1,INDEX((_ENGINE_Initiatives!$B$5:$B$532=$C919)*(_ENGINE_Initiatives!$C$5:$C$532=$D919),0),0)),"")</f>
        <v/>
      </c>
      <c r="AX919">
        <f>IF($B919="Yes",IFERROR(IF(SUMIFS(_REF_Model_Content!$E$1:$E$613,_REF_Model_Content!$A$1:$A$613,'Company Profile'!$B$9,_REF_Model_Content!$B$1:$B$613,$C919)=0,1,SUMIFS(_REF_Model_Content!$E$1:$E$613,_REF_Model_Content!$A$1:$A$613,'Company Profile'!$B$9,_REF_Model_Content!$B$1:$B$613,$C919)),1),"")</f>
        <v/>
      </c>
      <c r="AY919">
        <f>IF($L919="","",ROUND(IF($AP919="",$L919,$AP919)*IF($AX919="",1,$AX919),2))</f>
        <v/>
      </c>
      <c r="AZ919">
        <f>IF($S919="","",ROUND(IF($AQ919="",$S919,$AQ919)*IF($AX919="",1,$AX919),2))</f>
        <v/>
      </c>
      <c r="BB919">
        <f>IF($H919="","",IFERROR(INDEX('_ENGINE_Risk'!$AE$41:$AE$920,MATCH($E919,'_ENGINE_Risk'!$A$41:$A$920,0)),"Medium"))</f>
        <v/>
      </c>
      <c r="BC919">
        <f>IF($BB919="","",IF($BB919="Fast",1.25,IF($BB919="Slow",0.85,1)))</f>
        <v/>
      </c>
      <c r="BD919">
        <f>IF(OR($AZ919="",$BC919=""),"",ROUND($AZ919*$BC919,2))</f>
        <v/>
      </c>
      <c r="BF919">
        <f>IF(OR($H919="",$J919=""),"",_xlfn.IFNA(VLOOKUP($J919,_CONFIG_Model_Settings!$D$610:$E$614,2,0),""))</f>
        <v/>
      </c>
      <c r="BG919">
        <f>IF(OR($H919="",$K919=""),"",ROUND('Company Profile'!$B$569*INDEX(_CONFIG_Model_Settings!$H$610:$H$614,MATCH($K919,_CONFIG_Model_Settings!$G$610:$G$614,0)),0))</f>
        <v/>
      </c>
      <c r="BH919">
        <f>IF(OR($BF919="",$BG919=""),"",ROUND($BF919*$BG919,1))</f>
        <v/>
      </c>
      <c r="BI919">
        <f>IF($BH919="","",IF($AO919="",$BH919,ROUND($BH919*$AO919,1)))</f>
        <v/>
      </c>
      <c r="BJ919">
        <f>IF($E919="","",IFERROR(VLOOKUP($C919,'_CONFIG_Risk_Calibration'!$A$5:$H$21,2,FALSE),3))</f>
        <v/>
      </c>
      <c r="BK919">
        <f>IF($E919="","",IFERROR(VLOOKUP($C919,'_CONFIG_Risk_Calibration'!$A$5:$H$21,3,FALSE),0))</f>
        <v/>
      </c>
      <c r="BL919">
        <f>IF($E919="","",IFERROR(VLOOKUP($C919,'_CONFIG_Risk_Calibration'!$A$5:$H$21,4,FALSE),3))</f>
        <v/>
      </c>
      <c r="BM919">
        <f>IF($E919="","",IFERROR(VLOOKUP($C919,'_CONFIG_Risk_Calibration'!$A$5:$H$21,5,FALSE),3))</f>
        <v/>
      </c>
      <c r="BN919">
        <f>IF($E919="","",IFERROR(VLOOKUP($C919,'_CONFIG_Risk_Calibration'!$A$5:$H$21,6,FALSE),"No"))</f>
        <v/>
      </c>
      <c r="BO919">
        <f>IF($E919="","",IFERROR(VLOOKUP($C919,'_CONFIG_Risk_Calibration'!$A$5:$H$21,7,FALSE),1))</f>
        <v/>
      </c>
      <c r="BP919">
        <f>IF($H919="","",MAX(1,MIN(5,((6-$H919)*0.45)+($BJ919*0.20)+('Resilience &amp; Risk Scenario'!$B$7*0.15)+($BK919*0.10)+($BL919*0.05)+(IF($BB919="Fast",5,IF($BB919="Slow",1,3))*0.05))))</f>
        <v/>
      </c>
      <c r="BQ919">
        <f>IF($H919="","",MAX(IF($BN919="Yes",$BO919,1),MIN(5,($U919*0.20)+($V919*0.15)+($W919*0.25)+($X919*0.15)+($BJ919*0.10)+($BM919*0.15))))</f>
        <v/>
      </c>
      <c r="BR919">
        <f>IF(OR($BP919="",$BQ919=""),"",ROUND($BP919*$BQ919,2))</f>
        <v/>
      </c>
      <c r="BS919">
        <f>IF($BR919="","",ROUND($BR919*IF($AO919="",1,$AO919)*IF($AX919="",1,$AX919)*(1+(($BM919-3)*0.10))*IF($BC919="",1,$BC919),2))</f>
        <v/>
      </c>
    </row>
    <row r="920">
      <c r="A920">
        <f>IF($BD920="","",SUMPRODUCT(ISNUMBER($BD$500:$BD$923)*($BD$500:$BD$923&gt;$BD920))+COUNTIF($BD$500:$BD920,$BD920))</f>
        <v/>
      </c>
      <c r="B920">
        <f>IF($H920="","",IF($H920&lt;5,"Yes","Maintain"))</f>
        <v/>
      </c>
      <c r="C920" t="inlineStr">
        <is>
          <t>Quality Portfolio</t>
        </is>
      </c>
      <c r="D920" t="inlineStr">
        <is>
          <t>Portfolio and change</t>
        </is>
      </c>
      <c r="E920" t="inlineStr">
        <is>
          <t>QUAL-021</t>
        </is>
      </c>
      <c r="F920" t="inlineStr">
        <is>
          <t>Portfolio governance and delivery capability</t>
        </is>
      </c>
      <c r="G920">
        <f>IF($H920="","",IFERROR(INDEX('_ENGINE_Risk'!$H$41:$M$920,MATCH($E920,'_ENGINE_Risk'!$A$41:$A$920,0),$H920+1),""))</f>
        <v/>
      </c>
      <c r="H920">
        <f>IFERROR(VALUE(INDEX(_DATA_Assessment_Model!$H$5:$H$884,MATCH($E920,_DATA_Assessment_Model!$A$5:$A$884,0))),"")</f>
        <v/>
      </c>
      <c r="I920">
        <f>IF($H920="","",IFERROR(INDEX(_DATA_Assessment_Model!$L$5:$L$884,MATCH($E920,_DATA_Assessment_Model!$A$5:$A$884,0)),IF($H920&lt;=1,"Critical",IF($H920=2,"High",IF($H920=3,"Medium",IF($H920=4,"Low","Resilient"))))))</f>
        <v/>
      </c>
      <c r="J920">
        <f>IF($H920="","",MIN(5,MAX(1,6-$H920)))</f>
        <v/>
      </c>
      <c r="K920">
        <f>IF($H920="","",MAX(1,MIN(5,ROUNDUP(($U920*0.45)+($W920*0.35)+($X920*0.2),0))))</f>
        <v/>
      </c>
      <c r="L920">
        <f>IF($H920="","",$J920*$K920)</f>
        <v/>
      </c>
      <c r="M920">
        <f>IF($H920="","",MAX(1,MIN(5,ROUNDUP($L920/5,0))))</f>
        <v/>
      </c>
      <c r="N920">
        <f>IF($H920="","",IFERROR(INDEX('_ENGINE_Risk'!$T$41:$Y$920,MATCH($E920,'_ENGINE_Risk'!$A$41:$A$920,0),$H920+1),""))</f>
        <v/>
      </c>
      <c r="O920">
        <f>IF($H920="","",MAX(1,MIN(5,($U920+$V920+$X920)/3)))</f>
        <v/>
      </c>
      <c r="P920">
        <f>IF($H920="","",IF($I920="Critical",5,IF($I920="High",4,IF($I920="Medium",3,IF($I920="Low",2,1)))))</f>
        <v/>
      </c>
      <c r="Q920">
        <f>IF($H920="","",MAX(1,MIN(5,((5-$H920)*0.65)+($W920*0.35))))</f>
        <v/>
      </c>
      <c r="R920">
        <f>IF($H920="","",MAX(1,MIN(5,($V920+$X920)/2)))</f>
        <v/>
      </c>
      <c r="S920">
        <f>IF(OR($H920="",$N920=""),"",ROUND(($O920+$P920+$Q920+$R920)/$N920,2))</f>
        <v/>
      </c>
      <c r="T920">
        <f>IF($H920="","",IFERROR(INDEX('_ENGINE_Risk'!$N$41:$S$920,MATCH($E920,'_ENGINE_Risk'!$A$41:$A$920,0),$H920+1),""))</f>
        <v/>
      </c>
      <c r="U920">
        <f>IFERROR(INDEX(_DATA_Assessment_Model!$G$5:$G$884,MATCH($E920,_DATA_Assessment_Model!$A$5:$A$884,0)),"")</f>
        <v/>
      </c>
      <c r="V920">
        <f>IFERROR(INDEX(_DATA_Assessment_Model!$W$5:$W$884,MATCH($E920,_DATA_Assessment_Model!$A$5:$A$884,0)),"")</f>
        <v/>
      </c>
      <c r="W920">
        <f>IFERROR(INDEX(_DATA_Assessment_Model!$X$5:$X$884,MATCH($E920,_DATA_Assessment_Model!$A$5:$A$884,0)),"")</f>
        <v/>
      </c>
      <c r="X920">
        <f>IFERROR(INDEX(_DATA_Assessment_Model!$Y$5:$Y$884,MATCH($E920,_DATA_Assessment_Model!$A$5:$A$884,0)),"")</f>
        <v/>
      </c>
      <c r="Y920" t="inlineStr">
        <is>
          <t>Financial/liquidity crisis; Demand shock</t>
        </is>
      </c>
      <c r="Z920" t="inlineStr">
        <is>
          <t>PMO / COO</t>
        </is>
      </c>
      <c r="AA920" t="inlineStr">
        <is>
          <t>Policy/SOP; owner/RACI; system report; dashboard; contracts; test records; incident history; interview evidence related to organizational project management alignment connecting strategy to portfolios, programs and projects with defined governance layers</t>
        </is>
      </c>
      <c r="AB920">
        <f>IFERROR(INDEX(_DATA_Assessment_Model!$U$5:$U$884,MATCH($E920,_DATA_Assessment_Model!$A$5:$A$884,0)),"")</f>
        <v/>
      </c>
      <c r="AF920" t="inlineStr">
        <is>
          <t>How mature is the organization in managing organizational project management alignment connecting strategy to portfolios, programs and projects with defined governance layers, including ownership, evidence, metrics, fallback procedures and crisis stress testing?</t>
        </is>
      </c>
      <c r="AO920">
        <f>IF($B920="Yes",IFERROR(INDEX(_ENGINE_Crisis!$F$501:$F$517,MATCH($C920,_ENGINE_Crisis!$A$501:$A$517,0)),1),"")</f>
        <v/>
      </c>
      <c r="AP920">
        <f>IF(AO920="","",ROUND($L920*AO920,1))</f>
        <v/>
      </c>
      <c r="AQ920">
        <f>IF(OR(AO920="",$S920=""),"",ROUND($S920*(0.7+0.3*AO920),2))</f>
        <v/>
      </c>
      <c r="AR920">
        <f>IFERROR(INDEX(_ENGINE_Crisis!$E$41:$E$700,MATCH('Resilience &amp; Risk Scenario'!$B$60&amp;"|"&amp;$C920,_ENGINE_Crisis!$I$41:$I$700,0)),"")</f>
        <v/>
      </c>
      <c r="AS920">
        <f>IFERROR(INDEX(_ENGINE_Crisis!$G$41:$G$700,MATCH('Resilience &amp; Risk Scenario'!$B$60&amp;"|"&amp;$C920,_ENGINE_Crisis!$I$41:$I$700,0)),"")</f>
        <v/>
      </c>
      <c r="AT920">
        <f>IFERROR(INDEX(_ENGINE_Initiatives!$A$5:$A$532,MATCH(1,INDEX((_ENGINE_Initiatives!$B$5:$B$532=$C920)*(_ENGINE_Initiatives!$C$5:$C$532=$D920),0),0)),"")</f>
        <v/>
      </c>
      <c r="AU920">
        <f>IFERROR(INDEX(_ENGINE_Initiatives!$F$5:$F$532,MATCH(1,INDEX((_ENGINE_Initiatives!$B$5:$B$532=$C920)*(_ENGINE_Initiatives!$C$5:$C$532=$D920),0),0)),"")</f>
        <v/>
      </c>
      <c r="AV920">
        <f>IFERROR(INDEX(_ENGINE_Initiatives!$AC$5:$AC$532,MATCH(1,INDEX((_ENGINE_Initiatives!$B$5:$B$532=$C920)*(_ENGINE_Initiatives!$C$5:$C$532=$D920),0),0)),"")</f>
        <v/>
      </c>
      <c r="AW920">
        <f>IFERROR(INDEX(_ENGINE_Initiatives!$AE$5:$AE$532,MATCH(1,INDEX((_ENGINE_Initiatives!$B$5:$B$532=$C920)*(_ENGINE_Initiatives!$C$5:$C$532=$D920),0),0)),"")</f>
        <v/>
      </c>
      <c r="AX920">
        <f>IF($B920="Yes",IFERROR(IF(SUMIFS(_REF_Model_Content!$E$1:$E$613,_REF_Model_Content!$A$1:$A$613,'Company Profile'!$B$9,_REF_Model_Content!$B$1:$B$613,$C920)=0,1,SUMIFS(_REF_Model_Content!$E$1:$E$613,_REF_Model_Content!$A$1:$A$613,'Company Profile'!$B$9,_REF_Model_Content!$B$1:$B$613,$C920)),1),"")</f>
        <v/>
      </c>
      <c r="AY920">
        <f>IF($L920="","",ROUND(IF($AP920="",$L920,$AP920)*IF($AX920="",1,$AX920),2))</f>
        <v/>
      </c>
      <c r="AZ920">
        <f>IF($S920="","",ROUND(IF($AQ920="",$S920,$AQ920)*IF($AX920="",1,$AX920),2))</f>
        <v/>
      </c>
      <c r="BB920">
        <f>IF($H920="","",IFERROR(INDEX('_ENGINE_Risk'!$AE$41:$AE$920,MATCH($E920,'_ENGINE_Risk'!$A$41:$A$920,0)),"Medium"))</f>
        <v/>
      </c>
      <c r="BC920">
        <f>IF($BB920="","",IF($BB920="Fast",1.25,IF($BB920="Slow",0.85,1)))</f>
        <v/>
      </c>
      <c r="BD920">
        <f>IF(OR($AZ920="",$BC920=""),"",ROUND($AZ920*$BC920,2))</f>
        <v/>
      </c>
      <c r="BF920">
        <f>IF(OR($H920="",$J920=""),"",_xlfn.IFNA(VLOOKUP($J920,_CONFIG_Model_Settings!$D$610:$E$614,2,0),""))</f>
        <v/>
      </c>
      <c r="BG920">
        <f>IF(OR($H920="",$K920=""),"",ROUND('Company Profile'!$B$569*INDEX(_CONFIG_Model_Settings!$H$610:$H$614,MATCH($K920,_CONFIG_Model_Settings!$G$610:$G$614,0)),0))</f>
        <v/>
      </c>
      <c r="BH920">
        <f>IF(OR($BF920="",$BG920=""),"",ROUND($BF920*$BG920,1))</f>
        <v/>
      </c>
      <c r="BI920">
        <f>IF($BH920="","",IF($AO920="",$BH920,ROUND($BH920*$AO920,1)))</f>
        <v/>
      </c>
      <c r="BJ920">
        <f>IF($E920="","",IFERROR(VLOOKUP($C920,'_CONFIG_Risk_Calibration'!$A$5:$H$21,2,FALSE),3))</f>
        <v/>
      </c>
      <c r="BK920">
        <f>IF($E920="","",IFERROR(VLOOKUP($C920,'_CONFIG_Risk_Calibration'!$A$5:$H$21,3,FALSE),0))</f>
        <v/>
      </c>
      <c r="BL920">
        <f>IF($E920="","",IFERROR(VLOOKUP($C920,'_CONFIG_Risk_Calibration'!$A$5:$H$21,4,FALSE),3))</f>
        <v/>
      </c>
      <c r="BM920">
        <f>IF($E920="","",IFERROR(VLOOKUP($C920,'_CONFIG_Risk_Calibration'!$A$5:$H$21,5,FALSE),3))</f>
        <v/>
      </c>
      <c r="BN920">
        <f>IF($E920="","",IFERROR(VLOOKUP($C920,'_CONFIG_Risk_Calibration'!$A$5:$H$21,6,FALSE),"No"))</f>
        <v/>
      </c>
      <c r="BO920">
        <f>IF($E920="","",IFERROR(VLOOKUP($C920,'_CONFIG_Risk_Calibration'!$A$5:$H$21,7,FALSE),1))</f>
        <v/>
      </c>
      <c r="BP920">
        <f>IF($H920="","",MAX(1,MIN(5,((6-$H920)*0.45)+($BJ920*0.20)+('Resilience &amp; Risk Scenario'!$B$7*0.15)+($BK920*0.10)+($BL920*0.05)+(IF($BB920="Fast",5,IF($BB920="Slow",1,3))*0.05))))</f>
        <v/>
      </c>
      <c r="BQ920">
        <f>IF($H920="","",MAX(IF($BN920="Yes",$BO920,1),MIN(5,($U920*0.20)+($V920*0.15)+($W920*0.25)+($X920*0.15)+($BJ920*0.10)+($BM920*0.15))))</f>
        <v/>
      </c>
      <c r="BR920">
        <f>IF(OR($BP920="",$BQ920=""),"",ROUND($BP920*$BQ920,2))</f>
        <v/>
      </c>
      <c r="BS920">
        <f>IF($BR920="","",ROUND($BR920*IF($AO920="",1,$AO920)*IF($AX920="",1,$AX920)*(1+(($BM920-3)*0.10))*IF($BC920="",1,$BC920),2))</f>
        <v/>
      </c>
    </row>
    <row r="921">
      <c r="A921">
        <f>IF($BD921="","",SUMPRODUCT(ISNUMBER($BD$500:$BD$923)*($BD$500:$BD$923&gt;$BD921))+COUNTIF($BD$500:$BD921,$BD921))</f>
        <v/>
      </c>
      <c r="B921">
        <f>IF($H921="","",IF($H921&lt;5,"Yes","Maintain"))</f>
        <v/>
      </c>
      <c r="C921" t="inlineStr">
        <is>
          <t>Quality Portfolio</t>
        </is>
      </c>
      <c r="D921" t="inlineStr">
        <is>
          <t>Portfolio and change</t>
        </is>
      </c>
      <c r="E921" t="inlineStr">
        <is>
          <t>QUAL-022</t>
        </is>
      </c>
      <c r="F921" t="inlineStr">
        <is>
          <t>Portfolio governance and delivery capability</t>
        </is>
      </c>
      <c r="G921">
        <f>IF($H921="","",IFERROR(INDEX('_ENGINE_Risk'!$H$41:$M$920,MATCH($E921,'_ENGINE_Risk'!$A$41:$A$920,0),$H921+1),""))</f>
        <v/>
      </c>
      <c r="H921">
        <f>IFERROR(VALUE(INDEX(_DATA_Assessment_Model!$H$5:$H$884,MATCH($E921,_DATA_Assessment_Model!$A$5:$A$884,0))),"")</f>
        <v/>
      </c>
      <c r="I921">
        <f>IF($H921="","",IFERROR(INDEX(_DATA_Assessment_Model!$L$5:$L$884,MATCH($E921,_DATA_Assessment_Model!$A$5:$A$884,0)),IF($H921&lt;=1,"Critical",IF($H921=2,"High",IF($H921=3,"Medium",IF($H921=4,"Low","Resilient"))))))</f>
        <v/>
      </c>
      <c r="J921">
        <f>IF($H921="","",MIN(5,MAX(1,6-$H921)))</f>
        <v/>
      </c>
      <c r="K921">
        <f>IF($H921="","",MAX(1,MIN(5,ROUNDUP(($U921*0.45)+($W921*0.35)+($X921*0.2),0))))</f>
        <v/>
      </c>
      <c r="L921">
        <f>IF($H921="","",$J921*$K921)</f>
        <v/>
      </c>
      <c r="M921">
        <f>IF($H921="","",MAX(1,MIN(5,ROUNDUP($L921/5,0))))</f>
        <v/>
      </c>
      <c r="N921">
        <f>IF($H921="","",IFERROR(INDEX('_ENGINE_Risk'!$T$41:$Y$920,MATCH($E921,'_ENGINE_Risk'!$A$41:$A$920,0),$H921+1),""))</f>
        <v/>
      </c>
      <c r="O921">
        <f>IF($H921="","",MAX(1,MIN(5,($U921+$V921+$X921)/3)))</f>
        <v/>
      </c>
      <c r="P921">
        <f>IF($H921="","",IF($I921="Critical",5,IF($I921="High",4,IF($I921="Medium",3,IF($I921="Low",2,1)))))</f>
        <v/>
      </c>
      <c r="Q921">
        <f>IF($H921="","",MAX(1,MIN(5,((5-$H921)*0.65)+($W921*0.35))))</f>
        <v/>
      </c>
      <c r="R921">
        <f>IF($H921="","",MAX(1,MIN(5,($V921+$X921)/2)))</f>
        <v/>
      </c>
      <c r="S921">
        <f>IF(OR($H921="",$N921=""),"",ROUND(($O921+$P921+$Q921+$R921)/$N921,2))</f>
        <v/>
      </c>
      <c r="T921">
        <f>IF($H921="","",IFERROR(INDEX('_ENGINE_Risk'!$N$41:$S$920,MATCH($E921,'_ENGINE_Risk'!$A$41:$A$920,0),$H921+1),""))</f>
        <v/>
      </c>
      <c r="U921">
        <f>IFERROR(INDEX(_DATA_Assessment_Model!$G$5:$G$884,MATCH($E921,_DATA_Assessment_Model!$A$5:$A$884,0)),"")</f>
        <v/>
      </c>
      <c r="V921">
        <f>IFERROR(INDEX(_DATA_Assessment_Model!$W$5:$W$884,MATCH($E921,_DATA_Assessment_Model!$A$5:$A$884,0)),"")</f>
        <v/>
      </c>
      <c r="W921">
        <f>IFERROR(INDEX(_DATA_Assessment_Model!$X$5:$X$884,MATCH($E921,_DATA_Assessment_Model!$A$5:$A$884,0)),"")</f>
        <v/>
      </c>
      <c r="X921">
        <f>IFERROR(INDEX(_DATA_Assessment_Model!$Y$5:$Y$884,MATCH($E921,_DATA_Assessment_Model!$A$5:$A$884,0)),"")</f>
        <v/>
      </c>
      <c r="Y921" t="inlineStr">
        <is>
          <t>Demand shock; Workforce disruption</t>
        </is>
      </c>
      <c r="Z921" t="inlineStr">
        <is>
          <t>PMO</t>
        </is>
      </c>
      <c r="AA921" t="inlineStr">
        <is>
          <t>Policy/SOP; owner/RACI; system report; dashboard; contracts; test records; incident history; interview evidence related to standardized and tailored project delivery methodology with knowledge transfer between initiatives</t>
        </is>
      </c>
      <c r="AB921">
        <f>IFERROR(INDEX(_DATA_Assessment_Model!$U$5:$U$884,MATCH($E921,_DATA_Assessment_Model!$A$5:$A$884,0)),"")</f>
        <v/>
      </c>
      <c r="AF921" t="inlineStr">
        <is>
          <t>How mature is the organization in managing standardized and tailored project delivery methodology with knowledge transfer between initiatives, including ownership, evidence, metrics, fallback procedures and crisis stress testing?</t>
        </is>
      </c>
      <c r="AO921">
        <f>IF($B921="Yes",IFERROR(INDEX(_ENGINE_Crisis!$F$501:$F$517,MATCH($C921,_ENGINE_Crisis!$A$501:$A$517,0)),1),"")</f>
        <v/>
      </c>
      <c r="AP921">
        <f>IF(AO921="","",ROUND($L921*AO921,1))</f>
        <v/>
      </c>
      <c r="AQ921">
        <f>IF(OR(AO921="",$S921=""),"",ROUND($S921*(0.7+0.3*AO921),2))</f>
        <v/>
      </c>
      <c r="AR921">
        <f>IFERROR(INDEX(_ENGINE_Crisis!$E$41:$E$700,MATCH('Resilience &amp; Risk Scenario'!$B$60&amp;"|"&amp;$C921,_ENGINE_Crisis!$I$41:$I$700,0)),"")</f>
        <v/>
      </c>
      <c r="AS921">
        <f>IFERROR(INDEX(_ENGINE_Crisis!$G$41:$G$700,MATCH('Resilience &amp; Risk Scenario'!$B$60&amp;"|"&amp;$C921,_ENGINE_Crisis!$I$41:$I$700,0)),"")</f>
        <v/>
      </c>
      <c r="AT921">
        <f>IFERROR(INDEX(_ENGINE_Initiatives!$A$5:$A$532,MATCH(1,INDEX((_ENGINE_Initiatives!$B$5:$B$532=$C921)*(_ENGINE_Initiatives!$C$5:$C$532=$D921),0),0)),"")</f>
        <v/>
      </c>
      <c r="AU921">
        <f>IFERROR(INDEX(_ENGINE_Initiatives!$F$5:$F$532,MATCH(1,INDEX((_ENGINE_Initiatives!$B$5:$B$532=$C921)*(_ENGINE_Initiatives!$C$5:$C$532=$D921),0),0)),"")</f>
        <v/>
      </c>
      <c r="AV921">
        <f>IFERROR(INDEX(_ENGINE_Initiatives!$AC$5:$AC$532,MATCH(1,INDEX((_ENGINE_Initiatives!$B$5:$B$532=$C921)*(_ENGINE_Initiatives!$C$5:$C$532=$D921),0),0)),"")</f>
        <v/>
      </c>
      <c r="AW921">
        <f>IFERROR(INDEX(_ENGINE_Initiatives!$AE$5:$AE$532,MATCH(1,INDEX((_ENGINE_Initiatives!$B$5:$B$532=$C921)*(_ENGINE_Initiatives!$C$5:$C$532=$D921),0),0)),"")</f>
        <v/>
      </c>
      <c r="AX921">
        <f>IF($B921="Yes",IFERROR(IF(SUMIFS(_REF_Model_Content!$E$1:$E$613,_REF_Model_Content!$A$1:$A$613,'Company Profile'!$B$9,_REF_Model_Content!$B$1:$B$613,$C921)=0,1,SUMIFS(_REF_Model_Content!$E$1:$E$613,_REF_Model_Content!$A$1:$A$613,'Company Profile'!$B$9,_REF_Model_Content!$B$1:$B$613,$C921)),1),"")</f>
        <v/>
      </c>
      <c r="AY921">
        <f>IF($L921="","",ROUND(IF($AP921="",$L921,$AP921)*IF($AX921="",1,$AX921),2))</f>
        <v/>
      </c>
      <c r="AZ921">
        <f>IF($S921="","",ROUND(IF($AQ921="",$S921,$AQ921)*IF($AX921="",1,$AX921),2))</f>
        <v/>
      </c>
      <c r="BB921">
        <f>IF($H921="","",IFERROR(INDEX('_ENGINE_Risk'!$AE$41:$AE$920,MATCH($E921,'_ENGINE_Risk'!$A$41:$A$920,0)),"Medium"))</f>
        <v/>
      </c>
      <c r="BC921">
        <f>IF($BB921="","",IF($BB921="Fast",1.25,IF($BB921="Slow",0.85,1)))</f>
        <v/>
      </c>
      <c r="BD921">
        <f>IF(OR($AZ921="",$BC921=""),"",ROUND($AZ921*$BC921,2))</f>
        <v/>
      </c>
      <c r="BF921">
        <f>IF(OR($H921="",$J921=""),"",_xlfn.IFNA(VLOOKUP($J921,_CONFIG_Model_Settings!$D$610:$E$614,2,0),""))</f>
        <v/>
      </c>
      <c r="BG921">
        <f>IF(OR($H921="",$K921=""),"",ROUND('Company Profile'!$B$569*INDEX(_CONFIG_Model_Settings!$H$610:$H$614,MATCH($K921,_CONFIG_Model_Settings!$G$610:$G$614,0)),0))</f>
        <v/>
      </c>
      <c r="BH921">
        <f>IF(OR($BF921="",$BG921=""),"",ROUND($BF921*$BG921,1))</f>
        <v/>
      </c>
      <c r="BI921">
        <f>IF($BH921="","",IF($AO921="",$BH921,ROUND($BH921*$AO921,1)))</f>
        <v/>
      </c>
      <c r="BJ921">
        <f>IF($E921="","",IFERROR(VLOOKUP($C921,'_CONFIG_Risk_Calibration'!$A$5:$H$21,2,FALSE),3))</f>
        <v/>
      </c>
      <c r="BK921">
        <f>IF($E921="","",IFERROR(VLOOKUP($C921,'_CONFIG_Risk_Calibration'!$A$5:$H$21,3,FALSE),0))</f>
        <v/>
      </c>
      <c r="BL921">
        <f>IF($E921="","",IFERROR(VLOOKUP($C921,'_CONFIG_Risk_Calibration'!$A$5:$H$21,4,FALSE),3))</f>
        <v/>
      </c>
      <c r="BM921">
        <f>IF($E921="","",IFERROR(VLOOKUP($C921,'_CONFIG_Risk_Calibration'!$A$5:$H$21,5,FALSE),3))</f>
        <v/>
      </c>
      <c r="BN921">
        <f>IF($E921="","",IFERROR(VLOOKUP($C921,'_CONFIG_Risk_Calibration'!$A$5:$H$21,6,FALSE),"No"))</f>
        <v/>
      </c>
      <c r="BO921">
        <f>IF($E921="","",IFERROR(VLOOKUP($C921,'_CONFIG_Risk_Calibration'!$A$5:$H$21,7,FALSE),1))</f>
        <v/>
      </c>
      <c r="BP921">
        <f>IF($H921="","",MAX(1,MIN(5,((6-$H921)*0.45)+($BJ921*0.20)+('Resilience &amp; Risk Scenario'!$B$7*0.15)+($BK921*0.10)+($BL921*0.05)+(IF($BB921="Fast",5,IF($BB921="Slow",1,3))*0.05))))</f>
        <v/>
      </c>
      <c r="BQ921">
        <f>IF($H921="","",MAX(IF($BN921="Yes",$BO921,1),MIN(5,($U921*0.20)+($V921*0.15)+($W921*0.25)+($X921*0.15)+($BJ921*0.10)+($BM921*0.15))))</f>
        <v/>
      </c>
      <c r="BR921">
        <f>IF(OR($BP921="",$BQ921=""),"",ROUND($BP921*$BQ921,2))</f>
        <v/>
      </c>
      <c r="BS921">
        <f>IF($BR921="","",ROUND($BR921*IF($AO921="",1,$AO921)*IF($AX921="",1,$AX921)*(1+(($BM921-3)*0.10))*IF($BC921="",1,$BC921),2))</f>
        <v/>
      </c>
    </row>
    <row r="922">
      <c r="A922">
        <f>IF($BD922="","",SUMPRODUCT(ISNUMBER($BD$500:$BD$923)*($BD$500:$BD$923&gt;$BD922))+COUNTIF($BD$500:$BD922,$BD922))</f>
        <v/>
      </c>
      <c r="B922">
        <f>IF($H922="","",IF($H922&lt;5,"Yes","Maintain"))</f>
        <v/>
      </c>
      <c r="C922" t="inlineStr">
        <is>
          <t>Quality Portfolio</t>
        </is>
      </c>
      <c r="D922" t="inlineStr">
        <is>
          <t>Portfolio and change</t>
        </is>
      </c>
      <c r="E922" t="inlineStr">
        <is>
          <t>QUAL-023</t>
        </is>
      </c>
      <c r="F922" t="inlineStr">
        <is>
          <t>Portfolio governance and delivery capability</t>
        </is>
      </c>
      <c r="G922">
        <f>IF($H922="","",IFERROR(INDEX('_ENGINE_Risk'!$H$41:$M$920,MATCH($E922,'_ENGINE_Risk'!$A$41:$A$920,0),$H922+1),""))</f>
        <v/>
      </c>
      <c r="H922">
        <f>IFERROR(VALUE(INDEX(_DATA_Assessment_Model!$H$5:$H$884,MATCH($E922,_DATA_Assessment_Model!$A$5:$A$884,0))),"")</f>
        <v/>
      </c>
      <c r="I922">
        <f>IF($H922="","",IFERROR(INDEX(_DATA_Assessment_Model!$L$5:$L$884,MATCH($E922,_DATA_Assessment_Model!$A$5:$A$884,0)),IF($H922&lt;=1,"Critical",IF($H922=2,"High",IF($H922=3,"Medium",IF($H922=4,"Low","Resilient"))))))</f>
        <v/>
      </c>
      <c r="J922">
        <f>IF($H922="","",MIN(5,MAX(1,6-$H922)))</f>
        <v/>
      </c>
      <c r="K922">
        <f>IF($H922="","",MAX(1,MIN(5,ROUNDUP(($U922*0.45)+($W922*0.35)+($X922*0.2),0))))</f>
        <v/>
      </c>
      <c r="L922">
        <f>IF($H922="","",$J922*$K922)</f>
        <v/>
      </c>
      <c r="M922">
        <f>IF($H922="","",MAX(1,MIN(5,ROUNDUP($L922/5,0))))</f>
        <v/>
      </c>
      <c r="N922">
        <f>IF($H922="","",IFERROR(INDEX('_ENGINE_Risk'!$T$41:$Y$920,MATCH($E922,'_ENGINE_Risk'!$A$41:$A$920,0),$H922+1),""))</f>
        <v/>
      </c>
      <c r="O922">
        <f>IF($H922="","",MAX(1,MIN(5,($U922+$V922+$X922)/3)))</f>
        <v/>
      </c>
      <c r="P922">
        <f>IF($H922="","",IF($I922="Critical",5,IF($I922="High",4,IF($I922="Medium",3,IF($I922="Low",2,1)))))</f>
        <v/>
      </c>
      <c r="Q922">
        <f>IF($H922="","",MAX(1,MIN(5,((5-$H922)*0.65)+($W922*0.35))))</f>
        <v/>
      </c>
      <c r="R922">
        <f>IF($H922="","",MAX(1,MIN(5,($V922+$X922)/2)))</f>
        <v/>
      </c>
      <c r="S922">
        <f>IF(OR($H922="",$N922=""),"",ROUND(($O922+$P922+$Q922+$R922)/$N922,2))</f>
        <v/>
      </c>
      <c r="T922">
        <f>IF($H922="","",IFERROR(INDEX('_ENGINE_Risk'!$N$41:$S$920,MATCH($E922,'_ENGINE_Risk'!$A$41:$A$920,0),$H922+1),""))</f>
        <v/>
      </c>
      <c r="U922">
        <f>IFERROR(INDEX(_DATA_Assessment_Model!$G$5:$G$884,MATCH($E922,_DATA_Assessment_Model!$A$5:$A$884,0)),"")</f>
        <v/>
      </c>
      <c r="V922">
        <f>IFERROR(INDEX(_DATA_Assessment_Model!$W$5:$W$884,MATCH($E922,_DATA_Assessment_Model!$A$5:$A$884,0)),"")</f>
        <v/>
      </c>
      <c r="W922">
        <f>IFERROR(INDEX(_DATA_Assessment_Model!$X$5:$X$884,MATCH($E922,_DATA_Assessment_Model!$A$5:$A$884,0)),"")</f>
        <v/>
      </c>
      <c r="X922">
        <f>IFERROR(INDEX(_DATA_Assessment_Model!$Y$5:$Y$884,MATCH($E922,_DATA_Assessment_Model!$A$5:$A$884,0)),"")</f>
        <v/>
      </c>
      <c r="Y922" t="inlineStr">
        <is>
          <t>Workforce disruption; Demand shock</t>
        </is>
      </c>
      <c r="Z922" t="inlineStr">
        <is>
          <t>PMO / HR</t>
        </is>
      </c>
      <c r="AA922" t="inlineStr">
        <is>
          <t>Policy/SOP; owner/RACI; system report; dashboard; contracts; test records; incident history; interview evidence related to project and change management competency development with a visible resource pool and capacity view</t>
        </is>
      </c>
      <c r="AB922">
        <f>IFERROR(INDEX(_DATA_Assessment_Model!$U$5:$U$884,MATCH($E922,_DATA_Assessment_Model!$A$5:$A$884,0)),"")</f>
        <v/>
      </c>
      <c r="AF922" t="inlineStr">
        <is>
          <t>How mature is the organization in managing project and change management competency development with a visible resource pool and capacity view, including ownership, evidence, metrics, fallback procedures and crisis stress testing?</t>
        </is>
      </c>
      <c r="AO922">
        <f>IF($B922="Yes",IFERROR(INDEX(_ENGINE_Crisis!$F$501:$F$517,MATCH($C922,_ENGINE_Crisis!$A$501:$A$517,0)),1),"")</f>
        <v/>
      </c>
      <c r="AP922">
        <f>IF(AO922="","",ROUND($L922*AO922,1))</f>
        <v/>
      </c>
      <c r="AQ922">
        <f>IF(OR(AO922="",$S922=""),"",ROUND($S922*(0.7+0.3*AO922),2))</f>
        <v/>
      </c>
      <c r="AR922">
        <f>IFERROR(INDEX(_ENGINE_Crisis!$E$41:$E$700,MATCH('Resilience &amp; Risk Scenario'!$B$60&amp;"|"&amp;$C922,_ENGINE_Crisis!$I$41:$I$700,0)),"")</f>
        <v/>
      </c>
      <c r="AS922">
        <f>IFERROR(INDEX(_ENGINE_Crisis!$G$41:$G$700,MATCH('Resilience &amp; Risk Scenario'!$B$60&amp;"|"&amp;$C922,_ENGINE_Crisis!$I$41:$I$700,0)),"")</f>
        <v/>
      </c>
      <c r="AT922">
        <f>IFERROR(INDEX(_ENGINE_Initiatives!$A$5:$A$532,MATCH(1,INDEX((_ENGINE_Initiatives!$B$5:$B$532=$C922)*(_ENGINE_Initiatives!$C$5:$C$532=$D922),0),0)),"")</f>
        <v/>
      </c>
      <c r="AU922">
        <f>IFERROR(INDEX(_ENGINE_Initiatives!$F$5:$F$532,MATCH(1,INDEX((_ENGINE_Initiatives!$B$5:$B$532=$C922)*(_ENGINE_Initiatives!$C$5:$C$532=$D922),0),0)),"")</f>
        <v/>
      </c>
      <c r="AV922">
        <f>IFERROR(INDEX(_ENGINE_Initiatives!$AC$5:$AC$532,MATCH(1,INDEX((_ENGINE_Initiatives!$B$5:$B$532=$C922)*(_ENGINE_Initiatives!$C$5:$C$532=$D922),0),0)),"")</f>
        <v/>
      </c>
      <c r="AW922">
        <f>IFERROR(INDEX(_ENGINE_Initiatives!$AE$5:$AE$532,MATCH(1,INDEX((_ENGINE_Initiatives!$B$5:$B$532=$C922)*(_ENGINE_Initiatives!$C$5:$C$532=$D922),0),0)),"")</f>
        <v/>
      </c>
      <c r="AX922">
        <f>IF($B922="Yes",IFERROR(IF(SUMIFS(_REF_Model_Content!$E$1:$E$613,_REF_Model_Content!$A$1:$A$613,'Company Profile'!$B$9,_REF_Model_Content!$B$1:$B$613,$C922)=0,1,SUMIFS(_REF_Model_Content!$E$1:$E$613,_REF_Model_Content!$A$1:$A$613,'Company Profile'!$B$9,_REF_Model_Content!$B$1:$B$613,$C922)),1),"")</f>
        <v/>
      </c>
      <c r="AY922">
        <f>IF($L922="","",ROUND(IF($AP922="",$L922,$AP922)*IF($AX922="",1,$AX922),2))</f>
        <v/>
      </c>
      <c r="AZ922">
        <f>IF($S922="","",ROUND(IF($AQ922="",$S922,$AQ922)*IF($AX922="",1,$AX922),2))</f>
        <v/>
      </c>
      <c r="BB922">
        <f>IF($H922="","",IFERROR(INDEX('_ENGINE_Risk'!$AE$41:$AE$920,MATCH($E922,'_ENGINE_Risk'!$A$41:$A$920,0)),"Medium"))</f>
        <v/>
      </c>
      <c r="BC922">
        <f>IF($BB922="","",IF($BB922="Fast",1.25,IF($BB922="Slow",0.85,1)))</f>
        <v/>
      </c>
      <c r="BD922">
        <f>IF(OR($AZ922="",$BC922=""),"",ROUND($AZ922*$BC922,2))</f>
        <v/>
      </c>
      <c r="BF922">
        <f>IF(OR($H922="",$J922=""),"",_xlfn.IFNA(VLOOKUP($J922,_CONFIG_Model_Settings!$D$610:$E$614,2,0),""))</f>
        <v/>
      </c>
      <c r="BG922">
        <f>IF(OR($H922="",$K922=""),"",ROUND('Company Profile'!$B$569*INDEX(_CONFIG_Model_Settings!$H$610:$H$614,MATCH($K922,_CONFIG_Model_Settings!$G$610:$G$614,0)),0))</f>
        <v/>
      </c>
      <c r="BH922">
        <f>IF(OR($BF922="",$BG922=""),"",ROUND($BF922*$BG922,1))</f>
        <v/>
      </c>
      <c r="BI922">
        <f>IF($BH922="","",IF($AO922="",$BH922,ROUND($BH922*$AO922,1)))</f>
        <v/>
      </c>
      <c r="BJ922">
        <f>IF($E922="","",IFERROR(VLOOKUP($C922,'_CONFIG_Risk_Calibration'!$A$5:$H$21,2,FALSE),3))</f>
        <v/>
      </c>
      <c r="BK922">
        <f>IF($E922="","",IFERROR(VLOOKUP($C922,'_CONFIG_Risk_Calibration'!$A$5:$H$21,3,FALSE),0))</f>
        <v/>
      </c>
      <c r="BL922">
        <f>IF($E922="","",IFERROR(VLOOKUP($C922,'_CONFIG_Risk_Calibration'!$A$5:$H$21,4,FALSE),3))</f>
        <v/>
      </c>
      <c r="BM922">
        <f>IF($E922="","",IFERROR(VLOOKUP($C922,'_CONFIG_Risk_Calibration'!$A$5:$H$21,5,FALSE),3))</f>
        <v/>
      </c>
      <c r="BN922">
        <f>IF($E922="","",IFERROR(VLOOKUP($C922,'_CONFIG_Risk_Calibration'!$A$5:$H$21,6,FALSE),"No"))</f>
        <v/>
      </c>
      <c r="BO922">
        <f>IF($E922="","",IFERROR(VLOOKUP($C922,'_CONFIG_Risk_Calibration'!$A$5:$H$21,7,FALSE),1))</f>
        <v/>
      </c>
      <c r="BP922">
        <f>IF($H922="","",MAX(1,MIN(5,((6-$H922)*0.45)+($BJ922*0.20)+('Resilience &amp; Risk Scenario'!$B$7*0.15)+($BK922*0.10)+($BL922*0.05)+(IF($BB922="Fast",5,IF($BB922="Slow",1,3))*0.05))))</f>
        <v/>
      </c>
      <c r="BQ922">
        <f>IF($H922="","",MAX(IF($BN922="Yes",$BO922,1),MIN(5,($U922*0.20)+($V922*0.15)+($W922*0.25)+($X922*0.15)+($BJ922*0.10)+($BM922*0.15))))</f>
        <v/>
      </c>
      <c r="BR922">
        <f>IF(OR($BP922="",$BQ922=""),"",ROUND($BP922*$BQ922,2))</f>
        <v/>
      </c>
      <c r="BS922">
        <f>IF($BR922="","",ROUND($BR922*IF($AO922="",1,$AO922)*IF($AX922="",1,$AX922)*(1+(($BM922-3)*0.10))*IF($BC922="",1,$BC922),2))</f>
        <v/>
      </c>
    </row>
    <row r="923">
      <c r="A923">
        <f>IF($BD923="","",SUMPRODUCT(ISNUMBER($BD$500:$BD$923)*($BD$500:$BD$923&gt;$BD923))+COUNTIF($BD$500:$BD923,$BD923))</f>
        <v/>
      </c>
      <c r="B923">
        <f>IF($H923="","",IF($H923&lt;5,"Yes","Maintain"))</f>
        <v/>
      </c>
      <c r="C923" t="inlineStr">
        <is>
          <t>Quality Portfolio</t>
        </is>
      </c>
      <c r="D923" t="inlineStr">
        <is>
          <t>Portfolio and change</t>
        </is>
      </c>
      <c r="E923" t="inlineStr">
        <is>
          <t>QUAL-024</t>
        </is>
      </c>
      <c r="F923" t="inlineStr">
        <is>
          <t>Portfolio governance and delivery capability</t>
        </is>
      </c>
      <c r="G923">
        <f>IF($H923="","",IFERROR(INDEX('_ENGINE_Risk'!$H$41:$M$920,MATCH($E923,'_ENGINE_Risk'!$A$41:$A$920,0),$H923+1),""))</f>
        <v/>
      </c>
      <c r="H923">
        <f>IFERROR(VALUE(INDEX(_DATA_Assessment_Model!$H$5:$H$884,MATCH($E923,_DATA_Assessment_Model!$A$5:$A$884,0))),"")</f>
        <v/>
      </c>
      <c r="I923">
        <f>IF($H923="","",IFERROR(INDEX(_DATA_Assessment_Model!$L$5:$L$884,MATCH($E923,_DATA_Assessment_Model!$A$5:$A$884,0)),IF($H923&lt;=1,"Critical",IF($H923=2,"High",IF($H923=3,"Medium",IF($H923=4,"Low","Resilient"))))))</f>
        <v/>
      </c>
      <c r="J923">
        <f>IF($H923="","",MIN(5,MAX(1,6-$H923)))</f>
        <v/>
      </c>
      <c r="K923">
        <f>IF($H923="","",MAX(1,MIN(5,ROUNDUP(($U923*0.45)+($W923*0.35)+($X923*0.2),0))))</f>
        <v/>
      </c>
      <c r="L923">
        <f>IF($H923="","",$J923*$K923)</f>
        <v/>
      </c>
      <c r="M923">
        <f>IF($H923="","",MAX(1,MIN(5,ROUNDUP($L923/5,0))))</f>
        <v/>
      </c>
      <c r="N923">
        <f>IF($H923="","",IFERROR(INDEX('_ENGINE_Risk'!$T$41:$Y$920,MATCH($E923,'_ENGINE_Risk'!$A$41:$A$920,0),$H923+1),""))</f>
        <v/>
      </c>
      <c r="O923">
        <f>IF($H923="","",MAX(1,MIN(5,($U923+$V923+$X923)/3)))</f>
        <v/>
      </c>
      <c r="P923">
        <f>IF($H923="","",IF($I923="Critical",5,IF($I923="High",4,IF($I923="Medium",3,IF($I923="Low",2,1)))))</f>
        <v/>
      </c>
      <c r="Q923">
        <f>IF($H923="","",MAX(1,MIN(5,((5-$H923)*0.65)+($W923*0.35))))</f>
        <v/>
      </c>
      <c r="R923">
        <f>IF($H923="","",MAX(1,MIN(5,($V923+$X923)/2)))</f>
        <v/>
      </c>
      <c r="S923">
        <f>IF(OR($H923="",$N923=""),"",ROUND(($O923+$P923+$Q923+$R923)/$N923,2))</f>
        <v/>
      </c>
      <c r="T923">
        <f>IF($H923="","",IFERROR(INDEX('_ENGINE_Risk'!$N$41:$S$920,MATCH($E923,'_ENGINE_Risk'!$A$41:$A$920,0),$H923+1),""))</f>
        <v/>
      </c>
      <c r="U923">
        <f>IFERROR(INDEX(_DATA_Assessment_Model!$G$5:$G$884,MATCH($E923,_DATA_Assessment_Model!$A$5:$A$884,0)),"")</f>
        <v/>
      </c>
      <c r="V923">
        <f>IFERROR(INDEX(_DATA_Assessment_Model!$W$5:$W$884,MATCH($E923,_DATA_Assessment_Model!$A$5:$A$884,0)),"")</f>
        <v/>
      </c>
      <c r="W923">
        <f>IFERROR(INDEX(_DATA_Assessment_Model!$X$5:$X$884,MATCH($E923,_DATA_Assessment_Model!$A$5:$A$884,0)),"")</f>
        <v/>
      </c>
      <c r="X923">
        <f>IFERROR(INDEX(_DATA_Assessment_Model!$Y$5:$Y$884,MATCH($E923,_DATA_Assessment_Model!$A$5:$A$884,0)),"")</f>
        <v/>
      </c>
      <c r="Y923" t="inlineStr">
        <is>
          <t>Demand shock; Reputation crisis</t>
        </is>
      </c>
      <c r="Z923" t="inlineStr">
        <is>
          <t>CEO / PMO</t>
        </is>
      </c>
      <c r="AA923" t="inlineStr">
        <is>
          <t>Policy/SOP; owner/RACI; system report; dashboard; contracts; test records; incident history; interview evidence related to innovation and idea pipeline capturing, evaluating and funding employee and customer-driven improvements</t>
        </is>
      </c>
      <c r="AB923">
        <f>IFERROR(INDEX(_DATA_Assessment_Model!$U$5:$U$884,MATCH($E923,_DATA_Assessment_Model!$A$5:$A$884,0)),"")</f>
        <v/>
      </c>
      <c r="AF923" t="inlineStr">
        <is>
          <t>How mature is the organization in managing innovation and idea pipeline capturing, evaluating and funding employee and customer-driven improvements, including ownership, evidence, metrics, fallback procedures and crisis stress testing?</t>
        </is>
      </c>
      <c r="AO923">
        <f>IF($B923="Yes",IFERROR(INDEX(_ENGINE_Crisis!$F$501:$F$517,MATCH($C923,_ENGINE_Crisis!$A$501:$A$517,0)),1),"")</f>
        <v/>
      </c>
      <c r="AP923">
        <f>IF(AO923="","",ROUND($L923*AO923,1))</f>
        <v/>
      </c>
      <c r="AQ923">
        <f>IF(OR(AO923="",$S923=""),"",ROUND($S923*(0.7+0.3*AO923),2))</f>
        <v/>
      </c>
      <c r="AR923">
        <f>IFERROR(INDEX(_ENGINE_Crisis!$E$41:$E$700,MATCH('Resilience &amp; Risk Scenario'!$B$60&amp;"|"&amp;$C923,_ENGINE_Crisis!$I$41:$I$700,0)),"")</f>
        <v/>
      </c>
      <c r="AS923">
        <f>IFERROR(INDEX(_ENGINE_Crisis!$G$41:$G$700,MATCH('Resilience &amp; Risk Scenario'!$B$60&amp;"|"&amp;$C923,_ENGINE_Crisis!$I$41:$I$700,0)),"")</f>
        <v/>
      </c>
      <c r="AT923">
        <f>IFERROR(INDEX(_ENGINE_Initiatives!$A$5:$A$532,MATCH(1,INDEX((_ENGINE_Initiatives!$B$5:$B$532=$C923)*(_ENGINE_Initiatives!$C$5:$C$532=$D923),0),0)),"")</f>
        <v/>
      </c>
      <c r="AU923">
        <f>IFERROR(INDEX(_ENGINE_Initiatives!$F$5:$F$532,MATCH(1,INDEX((_ENGINE_Initiatives!$B$5:$B$532=$C923)*(_ENGINE_Initiatives!$C$5:$C$532=$D923),0),0)),"")</f>
        <v/>
      </c>
      <c r="AV923">
        <f>IFERROR(INDEX(_ENGINE_Initiatives!$AC$5:$AC$532,MATCH(1,INDEX((_ENGINE_Initiatives!$B$5:$B$532=$C923)*(_ENGINE_Initiatives!$C$5:$C$532=$D923),0),0)),"")</f>
        <v/>
      </c>
      <c r="AW923">
        <f>IFERROR(INDEX(_ENGINE_Initiatives!$AE$5:$AE$532,MATCH(1,INDEX((_ENGINE_Initiatives!$B$5:$B$532=$C923)*(_ENGINE_Initiatives!$C$5:$C$532=$D923),0),0)),"")</f>
        <v/>
      </c>
      <c r="AX923">
        <f>IF($B923="Yes",IFERROR(IF(SUMIFS(_REF_Model_Content!$E$1:$E$613,_REF_Model_Content!$A$1:$A$613,'Company Profile'!$B$9,_REF_Model_Content!$B$1:$B$613,$C923)=0,1,SUMIFS(_REF_Model_Content!$E$1:$E$613,_REF_Model_Content!$A$1:$A$613,'Company Profile'!$B$9,_REF_Model_Content!$B$1:$B$613,$C923)),1),"")</f>
        <v/>
      </c>
      <c r="AY923">
        <f>IF($L923="","",ROUND(IF($AP923="",$L923,$AP923)*IF($AX923="",1,$AX923),2))</f>
        <v/>
      </c>
      <c r="AZ923">
        <f>IF($S923="","",ROUND(IF($AQ923="",$S923,$AQ923)*IF($AX923="",1,$AX923),2))</f>
        <v/>
      </c>
      <c r="BB923">
        <f>IF($H923="","",IFERROR(INDEX('_ENGINE_Risk'!$AE$41:$AE$920,MATCH($E923,'_ENGINE_Risk'!$A$41:$A$920,0)),"Medium"))</f>
        <v/>
      </c>
      <c r="BC923">
        <f>IF($BB923="","",IF($BB923="Fast",1.25,IF($BB923="Slow",0.85,1)))</f>
        <v/>
      </c>
      <c r="BD923">
        <f>IF(OR($AZ923="",$BC923=""),"",ROUND($AZ923*$BC923,2))</f>
        <v/>
      </c>
      <c r="BF923">
        <f>IF(OR($H923="",$J923=""),"",_xlfn.IFNA(VLOOKUP($J923,_CONFIG_Model_Settings!$D$610:$E$614,2,0),""))</f>
        <v/>
      </c>
      <c r="BG923">
        <f>IF(OR($H923="",$K923=""),"",ROUND('Company Profile'!$B$569*INDEX(_CONFIG_Model_Settings!$H$610:$H$614,MATCH($K923,_CONFIG_Model_Settings!$G$610:$G$614,0)),0))</f>
        <v/>
      </c>
      <c r="BH923">
        <f>IF(OR($BF923="",$BG923=""),"",ROUND($BF923*$BG923,1))</f>
        <v/>
      </c>
      <c r="BI923">
        <f>IF($BH923="","",IF($AO923="",$BH923,ROUND($BH923*$AO923,1)))</f>
        <v/>
      </c>
      <c r="BJ923">
        <f>IF($E923="","",IFERROR(VLOOKUP($C923,'_CONFIG_Risk_Calibration'!$A$5:$H$21,2,FALSE),3))</f>
        <v/>
      </c>
      <c r="BK923">
        <f>IF($E923="","",IFERROR(VLOOKUP($C923,'_CONFIG_Risk_Calibration'!$A$5:$H$21,3,FALSE),0))</f>
        <v/>
      </c>
      <c r="BL923">
        <f>IF($E923="","",IFERROR(VLOOKUP($C923,'_CONFIG_Risk_Calibration'!$A$5:$H$21,4,FALSE),3))</f>
        <v/>
      </c>
      <c r="BM923">
        <f>IF($E923="","",IFERROR(VLOOKUP($C923,'_CONFIG_Risk_Calibration'!$A$5:$H$21,5,FALSE),3))</f>
        <v/>
      </c>
      <c r="BN923">
        <f>IF($E923="","",IFERROR(VLOOKUP($C923,'_CONFIG_Risk_Calibration'!$A$5:$H$21,6,FALSE),"No"))</f>
        <v/>
      </c>
      <c r="BO923">
        <f>IF($E923="","",IFERROR(VLOOKUP($C923,'_CONFIG_Risk_Calibration'!$A$5:$H$21,7,FALSE),1))</f>
        <v/>
      </c>
      <c r="BP923">
        <f>IF($H923="","",MAX(1,MIN(5,((6-$H923)*0.45)+($BJ923*0.20)+('Resilience &amp; Risk Scenario'!$B$7*0.15)+($BK923*0.10)+($BL923*0.05)+(IF($BB923="Fast",5,IF($BB923="Slow",1,3))*0.05))))</f>
        <v/>
      </c>
      <c r="BQ923">
        <f>IF($H923="","",MAX(IF($BN923="Yes",$BO923,1),MIN(5,($U923*0.20)+($V923*0.15)+($W923*0.25)+($X923*0.15)+($BJ923*0.10)+($BM923*0.15))))</f>
        <v/>
      </c>
      <c r="BR923">
        <f>IF(OR($BP923="",$BQ923=""),"",ROUND($BP923*$BQ923,2))</f>
        <v/>
      </c>
      <c r="BS923">
        <f>IF($BR923="","",ROUND($BR923*IF($AO923="",1,$AO923)*IF($AX923="",1,$AX923)*(1+(($BM923-3)*0.10))*IF($BC923="",1,$BC923),2))</f>
        <v/>
      </c>
    </row>
  </sheetData>
  <autoFilter ref="A4:AL428"/>
  <mergeCells count="2">
    <mergeCell ref="A2:AD2"/>
    <mergeCell ref="A1:AD1"/>
  </mergeCells>
  <pageMargins left="0.75" right="0.75" top="1" bottom="1" header="0.5" footer="0.5"/>
  <pageSetup orientation="landscape" fitToHeight="0"/>
  <headerFooter>
    <oddHeader/>
    <oddFooter>&amp;R© Roman Reznikov / RR-framework — CC BY-NC-SA 4.0 — For authorized use only</oddFooter>
    <evenHeader/>
    <evenFooter>&amp;R© Roman Reznikov / RR-framework — CC BY-NC-SA 4.0 — For authorized use only</evenFooter>
    <firstHeader/>
    <firstFooter>&amp;R© Roman Reznikov / RR-framework — CC BY-NC-SA 4.0 — For authorized use only</firstFooter>
  </headerFooter>
  <legacyDrawing r:id="anysvml"/>
</worksheet>
</file>

<file path=xl/worksheets/sheet18.xml><?xml version="1.0" encoding="utf-8"?>
<worksheet xmlns="http://schemas.openxmlformats.org/spreadsheetml/2006/main" xmlns:r="http://schemas.openxmlformats.org/officeDocument/2006/relationships">
  <sheetPr>
    <tabColor rgb="FF111827"/>
    <outlinePr summaryBelow="1" summaryRight="1"/>
    <pageSetUpPr fitToPage="1"/>
  </sheetPr>
  <dimension ref="A1:BB308"/>
  <sheetViews>
    <sheetView showGridLines="0" workbookViewId="0">
      <pane ySplit="3" topLeftCell="A4" activePane="bottomLeft" state="frozen"/>
      <selection pane="bottomLeft" activeCell="A1" sqref="A1"/>
    </sheetView>
  </sheetViews>
  <sheetFormatPr baseColWidth="8" defaultRowHeight="13.8"/>
  <cols>
    <col width="28" customWidth="1" style="209" min="1" max="1"/>
    <col width="24" customWidth="1" style="209" min="2" max="2"/>
    <col width="16" customWidth="1" style="209" min="3" max="3"/>
    <col width="22" customWidth="1" style="209" min="4" max="4"/>
    <col width="55" customWidth="1" style="209" min="5" max="5"/>
    <col width="30" customWidth="1" style="209" min="6" max="6"/>
    <col width="55" customWidth="1" style="209" min="7" max="7"/>
    <col width="35" customWidth="1" style="209" min="8" max="8"/>
    <col width="45" customWidth="1" style="209" min="9" max="10"/>
    <col width="26" customWidth="1" style="209" min="1" max="1"/>
    <col width="26" customWidth="1" style="209" min="33" max="33"/>
  </cols>
  <sheetData>
    <row r="1" ht="25.95" customHeight="1" s="209">
      <c r="A1" s="256" t="inlineStr">
        <is>
          <t>_ENGINE_Crisis — Consolidated Crisis, Dependency &amp; Cascade Engine</t>
        </is>
      </c>
      <c r="B1" s="215" t="n"/>
      <c r="C1" s="215" t="n"/>
      <c r="D1" s="215" t="n"/>
      <c r="E1" s="215" t="n"/>
      <c r="F1" s="215" t="n"/>
      <c r="G1" s="215" t="n"/>
      <c r="H1" s="215" t="n"/>
      <c r="I1" s="215" t="n"/>
      <c r="J1" s="216" t="n"/>
      <c r="K1" s="256" t="n"/>
    </row>
    <row r="2" ht="34.05" customHeight="1" s="209">
      <c r="A2" s="302" t="inlineStr">
        <is>
          <t>Current v1.93 consolidated crisis engine. Rows 1–208 contain crisis model logic; rows 250+ contain dependency/cascade/link logic.</t>
        </is>
      </c>
      <c r="K2" s="125" t="n"/>
    </row>
    <row r="4" ht="27.9" customHeight="1" s="209">
      <c r="A4" s="23" t="inlineStr">
        <is>
          <t>Scenario</t>
        </is>
      </c>
      <c r="B4" s="23" t="inlineStr">
        <is>
          <t>Domain</t>
        </is>
      </c>
      <c r="C4" s="23" t="inlineStr">
        <is>
          <t>Base multiplier</t>
        </is>
      </c>
      <c r="D4" s="23" t="inlineStr">
        <is>
          <t>Severity-adjusted multiplier</t>
        </is>
      </c>
      <c r="E4" s="23" t="inlineStr">
        <is>
          <t>Rationale</t>
        </is>
      </c>
      <c r="F4" s="23" t="inlineStr">
        <is>
          <t>Priority emphasis</t>
        </is>
      </c>
      <c r="G4" s="23" t="inlineStr">
        <is>
          <t>Mitigation theme</t>
        </is>
      </c>
      <c r="H4" s="23" t="inlineStr">
        <is>
          <t>Most relevant standards</t>
        </is>
      </c>
      <c r="I4" s="23" t="inlineStr">
        <is>
          <t>Key</t>
        </is>
      </c>
      <c r="J4" s="23" t="inlineStr">
        <is>
          <t>Notes</t>
        </is>
      </c>
      <c r="K4" t="inlineStr">
        <is>
          <t>Coupling to selected primary</t>
        </is>
      </c>
    </row>
    <row r="5" ht="28.5" customHeight="1" s="209">
      <c r="A5" s="247" t="inlineStr">
        <is>
          <t>War / security crisis</t>
        </is>
      </c>
      <c r="B5" s="247" t="inlineStr">
        <is>
          <t>Company Geography</t>
        </is>
      </c>
      <c r="C5" s="247" t="n">
        <v>1.6</v>
      </c>
      <c r="D5" s="247">
        <f>ROUND(C5*(1+('Resilience &amp; Risk Scenario'!$B$7-3)*0.15),2)</f>
        <v/>
      </c>
      <c r="E5" s="247" t="inlineStr">
        <is>
          <t>Geographic concentration, legal entity exposure and site dependency can amplify crisis impact.</t>
        </is>
      </c>
      <c r="F5" s="247" t="inlineStr">
        <is>
          <t>Secondary focus under this crisis scenario</t>
        </is>
      </c>
      <c r="G5" s="247" t="inlineStr">
        <is>
          <t>Map entities, locations, markets, revenue exposure and alternate operating options.</t>
        </is>
      </c>
      <c r="H5" s="247" t="inlineStr">
        <is>
          <t>ISO 22301; ISO 31000; ISO 9001; ISO 37000; PESTLE</t>
        </is>
      </c>
      <c r="I5" s="247">
        <f>A5&amp;"|"&amp;B5</f>
        <v/>
      </c>
      <c r="J5" s="247" t="inlineStr">
        <is>
          <t>Multiplier is increased/decreased by severity: severity 3 = base; severity 5 = +30%; severity 1 = -30%.</t>
        </is>
      </c>
      <c r="K5">
        <f>IFERROR(INDEX(_ENGINE_Crisis!$AH$292:$AS$303,MATCH('Resilience &amp; Risk Scenario'!$B$6,_ENGINE_Crisis!$AG$292:$AG$303,0),MATCH($A5,_ENGINE_Crisis!$AH$291:$AS$291,0)),0)</f>
        <v/>
      </c>
    </row>
    <row r="6" ht="28.5" customHeight="1" s="209">
      <c r="A6" s="247" t="inlineStr">
        <is>
          <t>War / security crisis</t>
        </is>
      </c>
      <c r="B6" s="247" t="inlineStr">
        <is>
          <t>Strategy GTM</t>
        </is>
      </c>
      <c r="C6" s="247" t="n">
        <v>1</v>
      </c>
      <c r="D6" s="247">
        <f>ROUND(C6*(1+('Resilience &amp; Risk Scenario'!$B$7-3)*0.15),2)</f>
        <v/>
      </c>
      <c r="E6" s="247" t="inlineStr">
        <is>
          <t>Market positioning, ICP clarity and offer structure determine whether the company can adapt revenue during crisis.</t>
        </is>
      </c>
      <c r="F6" s="247" t="inlineStr">
        <is>
          <t>Monitor; not a primary scenario driver</t>
        </is>
      </c>
      <c r="G6" s="247" t="inlineStr">
        <is>
          <t>Stress-test ICP, offering, pricing, channels and market focus under the selected crisis.</t>
        </is>
      </c>
      <c r="H6" s="247" t="inlineStr">
        <is>
          <t>Business Model Canvas; Porter; Bain Elements of Value; ISO 9001</t>
        </is>
      </c>
      <c r="I6" s="247">
        <f>A6&amp;"|"&amp;B6</f>
        <v/>
      </c>
      <c r="J6" s="247" t="inlineStr">
        <is>
          <t>Multiplier is increased/decreased by severity: severity 3 = base; severity 5 = +30%; severity 1 = -30%.</t>
        </is>
      </c>
      <c r="K6">
        <f>IFERROR(INDEX(_ENGINE_Crisis!$AH$292:$AS$303,MATCH('Resilience &amp; Risk Scenario'!$B$6,_ENGINE_Crisis!$AG$292:$AG$303,0),MATCH($A6,_ENGINE_Crisis!$AH$291:$AS$291,0)),0)</f>
        <v/>
      </c>
    </row>
    <row r="7" ht="28.5" customHeight="1" s="209">
      <c r="A7" s="247" t="inlineStr">
        <is>
          <t>War / security crisis</t>
        </is>
      </c>
      <c r="B7" s="247" t="inlineStr">
        <is>
          <t>Governance Crisis</t>
        </is>
      </c>
      <c r="C7" s="247" t="n">
        <v>1.4</v>
      </c>
      <c r="D7" s="247">
        <f>ROUND(C7*(1+('Resilience &amp; Risk Scenario'!$B$7-3)*0.15),2)</f>
        <v/>
      </c>
      <c r="E7" s="247" t="inlineStr">
        <is>
          <t>Decision rights, escalation and crisis governance determine response speed under pressure.</t>
        </is>
      </c>
      <c r="F7" s="247" t="inlineStr">
        <is>
          <t>Secondary focus under this crisis scenario</t>
        </is>
      </c>
      <c r="G7" s="247" t="inlineStr">
        <is>
          <t>Define crisis roles, escalation path, decision cadence and management war room routines.</t>
        </is>
      </c>
      <c r="H7" s="247" t="inlineStr">
        <is>
          <t>ISO 22301; ISO 31000; ISO 37000; Bain RAPID</t>
        </is>
      </c>
      <c r="I7" s="247">
        <f>A7&amp;"|"&amp;B7</f>
        <v/>
      </c>
      <c r="J7" s="247" t="inlineStr">
        <is>
          <t>Multiplier is increased/decreased by severity: severity 3 = base; severity 5 = +30%; severity 1 = -30%.</t>
        </is>
      </c>
      <c r="K7">
        <f>IFERROR(INDEX(_ENGINE_Crisis!$AH$292:$AS$303,MATCH('Resilience &amp; Risk Scenario'!$B$6,_ENGINE_Crisis!$AG$292:$AG$303,0),MATCH($A7,_ENGINE_Crisis!$AH$291:$AS$291,0)),0)</f>
        <v/>
      </c>
    </row>
    <row r="8" ht="28.5" customHeight="1" s="209">
      <c r="A8" s="247" t="inlineStr">
        <is>
          <t>War / security crisis</t>
        </is>
      </c>
      <c r="B8" s="247" t="inlineStr">
        <is>
          <t>HR Workforce</t>
        </is>
      </c>
      <c r="C8" s="247" t="n">
        <v>1.8</v>
      </c>
      <c r="D8" s="247">
        <f>ROUND(C8*(1+('Resilience &amp; Risk Scenario'!$B$7-3)*0.15),2)</f>
        <v/>
      </c>
      <c r="E8" s="247" t="inlineStr">
        <is>
          <t>Workforce availability, critical people and knowledge continuity determine operational capacity.</t>
        </is>
      </c>
      <c r="F8" s="247" t="inlineStr">
        <is>
          <t>Primary focus under this crisis scenario</t>
        </is>
      </c>
      <c r="G8" s="247" t="inlineStr">
        <is>
          <t>Create critical role backups, knowledge transfer, cross-training and workforce continuity plans.</t>
        </is>
      </c>
      <c r="H8" s="247" t="inlineStr">
        <is>
          <t>ISO 30414; ISO 30405; ISO 45001; workforce planning</t>
        </is>
      </c>
      <c r="I8" s="247">
        <f>A8&amp;"|"&amp;B8</f>
        <v/>
      </c>
      <c r="J8" s="247" t="inlineStr">
        <is>
          <t>Multiplier is increased/decreased by severity: severity 3 = base; severity 5 = +30%; severity 1 = -30%.</t>
        </is>
      </c>
      <c r="K8">
        <f>IFERROR(INDEX(_ENGINE_Crisis!$AH$292:$AS$303,MATCH('Resilience &amp; Risk Scenario'!$B$6,_ENGINE_Crisis!$AG$292:$AG$303,0),MATCH($A8,_ENGINE_Crisis!$AH$291:$AS$291,0)),0)</f>
        <v/>
      </c>
    </row>
    <row r="9" ht="28.5" customHeight="1" s="209">
      <c r="A9" s="247" t="inlineStr">
        <is>
          <t>War / security crisis</t>
        </is>
      </c>
      <c r="B9" s="247" t="inlineStr">
        <is>
          <t>Finance Procurement</t>
        </is>
      </c>
      <c r="C9" s="247" t="n">
        <v>1.3</v>
      </c>
      <c r="D9" s="247">
        <f>ROUND(C9*(1+('Resilience &amp; Risk Scenario'!$B$7-3)*0.15),2)</f>
        <v/>
      </c>
      <c r="E9" s="247" t="inlineStr">
        <is>
          <t>Cash control, supplier payments and procurement discipline determine financial survival and response options.</t>
        </is>
      </c>
      <c r="F9" s="247" t="inlineStr">
        <is>
          <t>Secondary focus under this crisis scenario</t>
        </is>
      </c>
      <c r="G9" s="247" t="inlineStr">
        <is>
          <t>Build cash stress testing, payment prioritization, supplier risk review and procurement controls.</t>
        </is>
      </c>
      <c r="H9" s="247" t="inlineStr">
        <is>
          <t>COSO; ISO 20400; ISO 31000; IFRS</t>
        </is>
      </c>
      <c r="I9" s="247">
        <f>A9&amp;"|"&amp;B9</f>
        <v/>
      </c>
      <c r="J9" s="247" t="inlineStr">
        <is>
          <t>Multiplier is increased/decreased by severity: severity 3 = base; severity 5 = +30%; severity 1 = -30%.</t>
        </is>
      </c>
      <c r="K9">
        <f>IFERROR(INDEX(_ENGINE_Crisis!$AH$292:$AS$303,MATCH('Resilience &amp; Risk Scenario'!$B$6,_ENGINE_Crisis!$AG$292:$AG$303,0),MATCH($A9,_ENGINE_Crisis!$AH$291:$AS$291,0)),0)</f>
        <v/>
      </c>
    </row>
    <row r="10" ht="28.5" customHeight="1" s="209">
      <c r="A10" s="247" t="inlineStr">
        <is>
          <t>War / security crisis</t>
        </is>
      </c>
      <c r="B10" s="247" t="inlineStr">
        <is>
          <t>Legal Risk</t>
        </is>
      </c>
      <c r="C10" s="247" t="n">
        <v>1.4</v>
      </c>
      <c r="D10" s="247">
        <f>ROUND(C10*(1+('Resilience &amp; Risk Scenario'!$B$7-3)*0.15),2)</f>
        <v/>
      </c>
      <c r="E10" s="247" t="inlineStr">
        <is>
          <t>Contracts, obligations and compliance exposure can turn operational crisis into legal or regulatory failure.</t>
        </is>
      </c>
      <c r="F10" s="247" t="inlineStr">
        <is>
          <t>Secondary focus under this crisis scenario</t>
        </is>
      </c>
      <c r="G10" s="247" t="inlineStr">
        <is>
          <t>Review critical contracts, compliance obligations, force majeure, data protection and legal continuity.</t>
        </is>
      </c>
      <c r="H10" s="247" t="inlineStr">
        <is>
          <t>ISO 37301; ISO 31000; GDPR; ISO 27701</t>
        </is>
      </c>
      <c r="I10" s="247">
        <f>A10&amp;"|"&amp;B10</f>
        <v/>
      </c>
      <c r="J10" s="247" t="inlineStr">
        <is>
          <t>Multiplier is increased/decreased by severity: severity 3 = base; severity 5 = +30%; severity 1 = -30%.</t>
        </is>
      </c>
      <c r="K10">
        <f>IFERROR(INDEX(_ENGINE_Crisis!$AH$292:$AS$303,MATCH('Resilience &amp; Risk Scenario'!$B$6,_ENGINE_Crisis!$AG$292:$AG$303,0),MATCH($A10,_ENGINE_Crisis!$AH$291:$AS$291,0)),0)</f>
        <v/>
      </c>
    </row>
    <row r="11" ht="28.5" customHeight="1" s="209">
      <c r="A11" s="247" t="inlineStr">
        <is>
          <t>War / security crisis</t>
        </is>
      </c>
      <c r="B11" s="247" t="inlineStr">
        <is>
          <t>Physical Safety</t>
        </is>
      </c>
      <c r="C11" s="247" t="n">
        <v>2</v>
      </c>
      <c r="D11" s="247">
        <f>ROUND(C11*(1+('Resilience &amp; Risk Scenario'!$B$7-3)*0.15),2)</f>
        <v/>
      </c>
      <c r="E11" s="247" t="inlineStr">
        <is>
          <t>Employee safety, access control, evacuation and facilities resilience are direct crisis constraints.</t>
        </is>
      </c>
      <c r="F11" s="247" t="inlineStr">
        <is>
          <t>Primary focus under this crisis scenario</t>
        </is>
      </c>
      <c r="G11" s="247" t="inlineStr">
        <is>
          <t>Implement evacuation, access control, emergency response, site security and travel-risk procedures.</t>
        </is>
      </c>
      <c r="H11" s="247" t="inlineStr">
        <is>
          <t>ISO 45001; ISO 22320; ISO 31030; ISO 22301</t>
        </is>
      </c>
      <c r="I11" s="247">
        <f>A11&amp;"|"&amp;B11</f>
        <v/>
      </c>
      <c r="J11" s="247" t="inlineStr">
        <is>
          <t>Multiplier is increased/decreased by severity: severity 3 = base; severity 5 = +30%; severity 1 = -30%.</t>
        </is>
      </c>
      <c r="K11">
        <f>IFERROR(INDEX(_ENGINE_Crisis!$AH$292:$AS$303,MATCH('Resilience &amp; Risk Scenario'!$B$6,_ENGINE_Crisis!$AG$292:$AG$303,0),MATCH($A11,_ENGINE_Crisis!$AH$291:$AS$291,0)),0)</f>
        <v/>
      </c>
    </row>
    <row r="12" ht="28.5" customHeight="1" s="209">
      <c r="A12" s="247" t="inlineStr">
        <is>
          <t>War / security crisis</t>
        </is>
      </c>
      <c r="B12" s="247" t="inlineStr">
        <is>
          <t>Delivery Ops</t>
        </is>
      </c>
      <c r="C12" s="247" t="n">
        <v>1.7</v>
      </c>
      <c r="D12" s="247">
        <f>ROUND(C12*(1+('Resilience &amp; Risk Scenario'!$B$7-3)*0.15),2)</f>
        <v/>
      </c>
      <c r="E12" s="247" t="inlineStr">
        <is>
          <t>Delivery capacity, SLA control and operational handover determine customer continuity.</t>
        </is>
      </c>
      <c r="F12" s="247" t="inlineStr">
        <is>
          <t>Primary focus under this crisis scenario</t>
        </is>
      </c>
      <c r="G12" s="247" t="inlineStr">
        <is>
          <t>Define alternative delivery models, capacity buffers, SLA triage and incident recovery procedures.</t>
        </is>
      </c>
      <c r="H12" s="247" t="inlineStr">
        <is>
          <t>ISO 9001; ISO 22301; ITIL; SLA management</t>
        </is>
      </c>
      <c r="I12" s="247">
        <f>A12&amp;"|"&amp;B12</f>
        <v/>
      </c>
      <c r="J12" s="247" t="inlineStr">
        <is>
          <t>Multiplier is increased/decreased by severity: severity 3 = base; severity 5 = +30%; severity 1 = -30%.</t>
        </is>
      </c>
      <c r="K12">
        <f>IFERROR(INDEX(_ENGINE_Crisis!$AH$292:$AS$303,MATCH('Resilience &amp; Risk Scenario'!$B$6,_ENGINE_Crisis!$AG$292:$AG$303,0),MATCH($A12,_ENGINE_Crisis!$AH$291:$AS$291,0)),0)</f>
        <v/>
      </c>
    </row>
    <row r="13" ht="28.5" customHeight="1" s="209">
      <c r="A13" s="247" t="inlineStr">
        <is>
          <t>War / security crisis</t>
        </is>
      </c>
      <c r="B13" s="247" t="inlineStr">
        <is>
          <t>Supply Chain</t>
        </is>
      </c>
      <c r="C13" s="247" t="n">
        <v>1.7</v>
      </c>
      <c r="D13" s="247">
        <f>ROUND(C13*(1+('Resilience &amp; Risk Scenario'!$B$7-3)*0.15),2)</f>
        <v/>
      </c>
      <c r="E13" s="247" t="inlineStr">
        <is>
          <t>Supplier concentration, logistics and inventory visibility determine production and delivery continuity.</t>
        </is>
      </c>
      <c r="F13" s="247" t="inlineStr">
        <is>
          <t>Primary focus under this crisis scenario</t>
        </is>
      </c>
      <c r="G13" s="247" t="inlineStr">
        <is>
          <t>Diversify suppliers, define safety stock, alternate routes, supplier monitoring and substitution rules.</t>
        </is>
      </c>
      <c r="H13" s="247" t="inlineStr">
        <is>
          <t>SCOR; ISO 28000; ISO 20400; ISO 22301</t>
        </is>
      </c>
      <c r="I13" s="247">
        <f>A13&amp;"|"&amp;B13</f>
        <v/>
      </c>
      <c r="J13" s="247" t="inlineStr">
        <is>
          <t>Multiplier is increased/decreased by severity: severity 3 = base; severity 5 = +30%; severity 1 = -30%.</t>
        </is>
      </c>
      <c r="K13">
        <f>IFERROR(INDEX(_ENGINE_Crisis!$AH$292:$AS$303,MATCH('Resilience &amp; Risk Scenario'!$B$6,_ENGINE_Crisis!$AG$292:$AG$303,0),MATCH($A13,_ENGINE_Crisis!$AH$291:$AS$291,0)),0)</f>
        <v/>
      </c>
    </row>
    <row r="14" ht="28.5" customHeight="1" s="209">
      <c r="A14" s="247" t="inlineStr">
        <is>
          <t>War / security crisis</t>
        </is>
      </c>
      <c r="B14" s="247" t="inlineStr">
        <is>
          <t>Manufacturing MES</t>
        </is>
      </c>
      <c r="C14" s="247" t="n">
        <v>1.4</v>
      </c>
      <c r="D14" s="247">
        <f>ROUND(C14*(1+('Resilience &amp; Risk Scenario'!$B$7-3)*0.15),2)</f>
        <v/>
      </c>
      <c r="E14" s="247" t="inlineStr">
        <is>
          <t>Production assets, MES, maintenance and utilities determine manufacturing recoverability.</t>
        </is>
      </c>
      <c r="F14" s="247" t="inlineStr">
        <is>
          <t>Secondary focus under this crisis scenario</t>
        </is>
      </c>
      <c r="G14" s="247" t="inlineStr">
        <is>
          <t>Define production fallback, maintenance priorities, spare parts, MES continuity and utility backup.</t>
        </is>
      </c>
      <c r="H14" s="247" t="inlineStr">
        <is>
          <t>ISA-95; ISO 9001; TPM; IEC 62443; ISO 22301</t>
        </is>
      </c>
      <c r="I14" s="247">
        <f>A14&amp;"|"&amp;B14</f>
        <v/>
      </c>
      <c r="J14" s="247" t="inlineStr">
        <is>
          <t>Multiplier is increased/decreased by severity: severity 3 = base; severity 5 = +30%; severity 1 = -30%.</t>
        </is>
      </c>
      <c r="K14">
        <f>IFERROR(INDEX(_ENGINE_Crisis!$AH$292:$AS$303,MATCH('Resilience &amp; Risk Scenario'!$B$6,_ENGINE_Crisis!$AG$292:$AG$303,0),MATCH($A14,_ENGINE_Crisis!$AH$291:$AS$291,0)),0)</f>
        <v/>
      </c>
    </row>
    <row r="15" ht="28.5" customHeight="1" s="209">
      <c r="A15" s="247" t="inlineStr">
        <is>
          <t>War / security crisis</t>
        </is>
      </c>
      <c r="B15" s="247" t="inlineStr">
        <is>
          <t>Sales CRM</t>
        </is>
      </c>
      <c r="C15" s="247" t="n">
        <v>1</v>
      </c>
      <c r="D15" s="247">
        <f>ROUND(C15*(1+('Resilience &amp; Risk Scenario'!$B$7-3)*0.15),2)</f>
        <v/>
      </c>
      <c r="E15" s="247" t="inlineStr">
        <is>
          <t>CRM discipline, pipeline visibility and retention actions determine revenue protection.</t>
        </is>
      </c>
      <c r="F15" s="247" t="inlineStr">
        <is>
          <t>Monitor; not a primary scenario driver</t>
        </is>
      </c>
      <c r="G15" s="247" t="inlineStr">
        <is>
          <t>Improve CRM hygiene, retention playbooks, pipeline scenarios and customer segmentation.</t>
        </is>
      </c>
      <c r="H15" s="247" t="inlineStr">
        <is>
          <t>CRM best practices; ISO 10002; ISO 10004; revenue operations</t>
        </is>
      </c>
      <c r="I15" s="247">
        <f>A15&amp;"|"&amp;B15</f>
        <v/>
      </c>
      <c r="J15" s="247" t="inlineStr">
        <is>
          <t>Multiplier is increased/decreased by severity: severity 3 = base; severity 5 = +30%; severity 1 = -30%.</t>
        </is>
      </c>
      <c r="K15">
        <f>IFERROR(INDEX(_ENGINE_Crisis!$AH$292:$AS$303,MATCH('Resilience &amp; Risk Scenario'!$B$6,_ENGINE_Crisis!$AG$292:$AG$303,0),MATCH($A15,_ENGINE_Crisis!$AH$291:$AS$291,0)),0)</f>
        <v/>
      </c>
    </row>
    <row r="16" ht="28.5" customHeight="1" s="209">
      <c r="A16" s="247" t="inlineStr">
        <is>
          <t>War / security crisis</t>
        </is>
      </c>
      <c r="B16" s="247" t="inlineStr">
        <is>
          <t>Marketing Comms</t>
        </is>
      </c>
      <c r="C16" s="247" t="n">
        <v>1.2</v>
      </c>
      <c r="D16" s="247">
        <f>ROUND(C16*(1+('Resilience &amp; Risk Scenario'!$B$7-3)*0.15),2)</f>
        <v/>
      </c>
      <c r="E16" s="247" t="inlineStr">
        <is>
          <t>Customer communication and reputation control determine trust during uncertainty.</t>
        </is>
      </c>
      <c r="F16" s="247" t="inlineStr">
        <is>
          <t>Monitor; not a primary scenario driver</t>
        </is>
      </c>
      <c r="G16" s="247" t="inlineStr">
        <is>
          <t>Prepare crisis messages, customer notification templates, comms approval flow and brand monitoring.</t>
        </is>
      </c>
      <c r="H16" s="247" t="inlineStr">
        <is>
          <t>ISO 10002; ISO 10004; crisis communication practices</t>
        </is>
      </c>
      <c r="I16" s="247">
        <f>A16&amp;"|"&amp;B16</f>
        <v/>
      </c>
      <c r="J16" s="247" t="inlineStr">
        <is>
          <t>Multiplier is increased/decreased by severity: severity 3 = base; severity 5 = +30%; severity 1 = -30%.</t>
        </is>
      </c>
      <c r="K16">
        <f>IFERROR(INDEX(_ENGINE_Crisis!$AH$292:$AS$303,MATCH('Resilience &amp; Risk Scenario'!$B$6,_ENGINE_Crisis!$AG$292:$AG$303,0),MATCH($A16,_ENGINE_Crisis!$AH$291:$AS$291,0)),0)</f>
        <v/>
      </c>
    </row>
    <row r="17" ht="28.5" customHeight="1" s="209">
      <c r="A17" s="247" t="inlineStr">
        <is>
          <t>War / security crisis</t>
        </is>
      </c>
      <c r="B17" s="247" t="inlineStr">
        <is>
          <t>IT Cloud DR</t>
        </is>
      </c>
      <c r="C17" s="247" t="n">
        <v>1.7</v>
      </c>
      <c r="D17" s="247">
        <f>ROUND(C17*(1+('Resilience &amp; Risk Scenario'!$B$7-3)*0.15),2)</f>
        <v/>
      </c>
      <c r="E17" s="247" t="inlineStr">
        <is>
          <t>Cloud, infrastructure, backups, RTO and RPO determine system recoverability.</t>
        </is>
      </c>
      <c r="F17" s="247" t="inlineStr">
        <is>
          <t>Primary focus under this crisis scenario</t>
        </is>
      </c>
      <c r="G17" s="247" t="inlineStr">
        <is>
          <t>Implement tested backups, DR runbooks, failover, cloud landing zones and RTO/RPO monitoring.</t>
        </is>
      </c>
      <c r="H17" s="247" t="inlineStr">
        <is>
          <t>ISO 27001; NIST CSF; NIST SP 800-34; ISO 20000</t>
        </is>
      </c>
      <c r="I17" s="247">
        <f>A17&amp;"|"&amp;B17</f>
        <v/>
      </c>
      <c r="J17" s="247" t="inlineStr">
        <is>
          <t>Multiplier is increased/decreased by severity: severity 3 = base; severity 5 = +30%; severity 1 = -30%.</t>
        </is>
      </c>
      <c r="K17">
        <f>IFERROR(INDEX(_ENGINE_Crisis!$AH$292:$AS$303,MATCH('Resilience &amp; Risk Scenario'!$B$6,_ENGINE_Crisis!$AG$292:$AG$303,0),MATCH($A17,_ENGINE_Crisis!$AH$291:$AS$291,0)),0)</f>
        <v/>
      </c>
    </row>
    <row r="18" ht="28.5" customHeight="1" s="209">
      <c r="A18" s="247" t="inlineStr">
        <is>
          <t>War / security crisis</t>
        </is>
      </c>
      <c r="B18" s="247" t="inlineStr">
        <is>
          <t>Business Systems</t>
        </is>
      </c>
      <c r="C18" s="247" t="n">
        <v>1</v>
      </c>
      <c r="D18" s="247">
        <f>ROUND(C18*(1+('Resilience &amp; Risk Scenario'!$B$7-3)*0.15),2)</f>
        <v/>
      </c>
      <c r="E18" s="247" t="inlineStr">
        <is>
          <t>ERP, CRM, HRMS, MES and SaaS continuity determine transaction and process continuity.</t>
        </is>
      </c>
      <c r="F18" s="247" t="inlineStr">
        <is>
          <t>Monitor; not a primary scenario driver</t>
        </is>
      </c>
      <c r="G18" s="247" t="inlineStr">
        <is>
          <t>Document system dependencies, SaaS continuity, role access, data exports and manual fallback.</t>
        </is>
      </c>
      <c r="H18" s="247" t="inlineStr">
        <is>
          <t>COBIT; ITIL; ISO 20000; ERP/CRM/MES governance</t>
        </is>
      </c>
      <c r="I18" s="247">
        <f>A18&amp;"|"&amp;B18</f>
        <v/>
      </c>
      <c r="J18" s="247" t="inlineStr">
        <is>
          <t>Multiplier is increased/decreased by severity: severity 3 = base; severity 5 = +30%; severity 1 = -30%.</t>
        </is>
      </c>
      <c r="K18">
        <f>IFERROR(INDEX(_ENGINE_Crisis!$AH$292:$AS$303,MATCH('Resilience &amp; Risk Scenario'!$B$6,_ENGINE_Crisis!$AG$292:$AG$303,0),MATCH($A18,_ENGINE_Crisis!$AH$291:$AS$291,0)),0)</f>
        <v/>
      </c>
    </row>
    <row r="19" ht="28.5" customHeight="1" s="209">
      <c r="A19" s="247" t="inlineStr">
        <is>
          <t>War / security crisis</t>
        </is>
      </c>
      <c r="B19" s="247" t="inlineStr">
        <is>
          <t>Data BI AI</t>
        </is>
      </c>
      <c r="C19" s="247" t="n">
        <v>1</v>
      </c>
      <c r="D19" s="247">
        <f>ROUND(C19*(1+('Resilience &amp; Risk Scenario'!$B$7-3)*0.15),2)</f>
        <v/>
      </c>
      <c r="E19" s="247" t="inlineStr">
        <is>
          <t>Data quality, BI and analytics determine decision visibility and forecasting under stress.</t>
        </is>
      </c>
      <c r="F19" s="247" t="inlineStr">
        <is>
          <t>Monitor; not a primary scenario driver</t>
        </is>
      </c>
      <c r="G19" s="247" t="inlineStr">
        <is>
          <t>Assign data owners, improve data quality, dashboards, forecasting and AI governance.</t>
        </is>
      </c>
      <c r="H19" s="247" t="inlineStr">
        <is>
          <t>DAMA-DMBOK; ISO 42001; ISO 23894; data governance</t>
        </is>
      </c>
      <c r="I19" s="247">
        <f>A19&amp;"|"&amp;B19</f>
        <v/>
      </c>
      <c r="J19" s="247" t="inlineStr">
        <is>
          <t>Multiplier is increased/decreased by severity: severity 3 = base; severity 5 = +30%; severity 1 = -30%.</t>
        </is>
      </c>
      <c r="K19">
        <f>IFERROR(INDEX(_ENGINE_Crisis!$AH$292:$AS$303,MATCH('Resilience &amp; Risk Scenario'!$B$6,_ENGINE_Crisis!$AG$292:$AG$303,0),MATCH($A19,_ENGINE_Crisis!$AH$291:$AS$291,0)),0)</f>
        <v/>
      </c>
    </row>
    <row r="20" ht="28.5" customHeight="1" s="209">
      <c r="A20" s="247" t="inlineStr">
        <is>
          <t>War / security crisis</t>
        </is>
      </c>
      <c r="B20" s="247" t="inlineStr">
        <is>
          <t>Cyber Privacy</t>
        </is>
      </c>
      <c r="C20" s="247" t="n">
        <v>1.5</v>
      </c>
      <c r="D20" s="247">
        <f>ROUND(C20*(1+('Resilience &amp; Risk Scenario'!$B$7-3)*0.15),2)</f>
        <v/>
      </c>
      <c r="E20" s="247" t="inlineStr">
        <is>
          <t>Cybersecurity and privacy controls determine resistance to digital disruption and regulatory exposure.</t>
        </is>
      </c>
      <c r="F20" s="247" t="inlineStr">
        <is>
          <t>Secondary focus under this crisis scenario</t>
        </is>
      </c>
      <c r="G20" s="247" t="inlineStr">
        <is>
          <t>Strengthen MFA, EDR, logging, IR playbooks, restore testing, privacy controls and awareness.</t>
        </is>
      </c>
      <c r="H20" s="247" t="inlineStr">
        <is>
          <t>ISO 27001; NIST CSF; CIS Controls; ISO 27701; GDPR</t>
        </is>
      </c>
      <c r="I20" s="247">
        <f>A20&amp;"|"&amp;B20</f>
        <v/>
      </c>
      <c r="J20" s="247" t="inlineStr">
        <is>
          <t>Multiplier is increased/decreased by severity: severity 3 = base; severity 5 = +30%; severity 1 = -30%.</t>
        </is>
      </c>
      <c r="K20">
        <f>IFERROR(INDEX(_ENGINE_Crisis!$AH$292:$AS$303,MATCH('Resilience &amp; Risk Scenario'!$B$6,_ENGINE_Crisis!$AG$292:$AG$303,0),MATCH($A20,_ENGINE_Crisis!$AH$291:$AS$291,0)),0)</f>
        <v/>
      </c>
    </row>
    <row r="21" ht="28.5" customHeight="1" s="209">
      <c r="A21" s="247" t="inlineStr">
        <is>
          <t>War / security crisis</t>
        </is>
      </c>
      <c r="B21" s="247" t="inlineStr">
        <is>
          <t>Quality Portfolio</t>
        </is>
      </c>
      <c r="C21" s="247" t="n">
        <v>1</v>
      </c>
      <c r="D21" s="247">
        <f>ROUND(C21*(1+('Resilience &amp; Risk Scenario'!$B$7-3)*0.15),2)</f>
        <v/>
      </c>
      <c r="E21" s="247" t="inlineStr">
        <is>
          <t>Portfolio discipline and benefits realization determine whether scarce resources are focused on the right actions.</t>
        </is>
      </c>
      <c r="F21" s="247" t="inlineStr">
        <is>
          <t>Monitor; not a primary scenario driver</t>
        </is>
      </c>
      <c r="G21" s="247" t="inlineStr">
        <is>
          <t>Prioritize crisis initiatives by value, risk reduction, dependencies and implementation waves.</t>
        </is>
      </c>
      <c r="H21" s="247" t="inlineStr">
        <is>
          <t>ISO 9001; PMI; ISO 21502; benefits realization; APQC</t>
        </is>
      </c>
      <c r="I21" s="247">
        <f>A21&amp;"|"&amp;B21</f>
        <v/>
      </c>
      <c r="J21" s="247" t="inlineStr">
        <is>
          <t>Multiplier is increased/decreased by severity: severity 3 = base; severity 5 = +30%; severity 1 = -30%.</t>
        </is>
      </c>
      <c r="K21">
        <f>IFERROR(INDEX(_ENGINE_Crisis!$AH$292:$AS$303,MATCH('Resilience &amp; Risk Scenario'!$B$6,_ENGINE_Crisis!$AG$292:$AG$303,0),MATCH($A21,_ENGINE_Crisis!$AH$291:$AS$291,0)),0)</f>
        <v/>
      </c>
    </row>
    <row r="22" ht="28.5" customHeight="1" s="209">
      <c r="A22" s="247" t="inlineStr">
        <is>
          <t>Physical site loss</t>
        </is>
      </c>
      <c r="B22" s="247" t="inlineStr">
        <is>
          <t>Company Geography</t>
        </is>
      </c>
      <c r="C22" s="247" t="n">
        <v>1.3</v>
      </c>
      <c r="D22" s="247">
        <f>ROUND(C22*(1+('Resilience &amp; Risk Scenario'!$B$7-3)*0.15),2)</f>
        <v/>
      </c>
      <c r="E22" s="247" t="inlineStr">
        <is>
          <t>Geographic concentration, legal entity exposure and site dependency can amplify crisis impact.</t>
        </is>
      </c>
      <c r="F22" s="247" t="inlineStr">
        <is>
          <t>Secondary focus under this crisis scenario</t>
        </is>
      </c>
      <c r="G22" s="247" t="inlineStr">
        <is>
          <t>Map entities, locations, markets, revenue exposure and alternate operating options.</t>
        </is>
      </c>
      <c r="H22" s="247" t="inlineStr">
        <is>
          <t>ISO 22301; ISO 31000; ISO 9001; ISO 37000; PESTLE</t>
        </is>
      </c>
      <c r="I22" s="247">
        <f>A22&amp;"|"&amp;B22</f>
        <v/>
      </c>
      <c r="J22" s="247" t="inlineStr">
        <is>
          <t>Multiplier is increased/decreased by severity: severity 3 = base; severity 5 = +30%; severity 1 = -30%.</t>
        </is>
      </c>
      <c r="K22">
        <f>IFERROR(INDEX(_ENGINE_Crisis!$AH$292:$AS$303,MATCH('Resilience &amp; Risk Scenario'!$B$6,_ENGINE_Crisis!$AG$292:$AG$303,0),MATCH($A22,_ENGINE_Crisis!$AH$291:$AS$291,0)),0)</f>
        <v/>
      </c>
    </row>
    <row r="23" ht="28.5" customHeight="1" s="209">
      <c r="A23" s="247" t="inlineStr">
        <is>
          <t>Physical site loss</t>
        </is>
      </c>
      <c r="B23" s="247" t="inlineStr">
        <is>
          <t>Strategy GTM</t>
        </is>
      </c>
      <c r="C23" s="247" t="n">
        <v>1</v>
      </c>
      <c r="D23" s="247">
        <f>ROUND(C23*(1+('Resilience &amp; Risk Scenario'!$B$7-3)*0.15),2)</f>
        <v/>
      </c>
      <c r="E23" s="247" t="inlineStr">
        <is>
          <t>Market positioning, ICP clarity and offer structure determine whether the company can adapt revenue during crisis.</t>
        </is>
      </c>
      <c r="F23" s="247" t="inlineStr">
        <is>
          <t>Monitor; not a primary scenario driver</t>
        </is>
      </c>
      <c r="G23" s="247" t="inlineStr">
        <is>
          <t>Stress-test ICP, offering, pricing, channels and market focus under the selected crisis.</t>
        </is>
      </c>
      <c r="H23" s="247" t="inlineStr">
        <is>
          <t>Business Model Canvas; Porter; Bain Elements of Value; ISO 9001</t>
        </is>
      </c>
      <c r="I23" s="247">
        <f>A23&amp;"|"&amp;B23</f>
        <v/>
      </c>
      <c r="J23" s="247" t="inlineStr">
        <is>
          <t>Multiplier is increased/decreased by severity: severity 3 = base; severity 5 = +30%; severity 1 = -30%.</t>
        </is>
      </c>
      <c r="K23">
        <f>IFERROR(INDEX(_ENGINE_Crisis!$AH$292:$AS$303,MATCH('Resilience &amp; Risk Scenario'!$B$6,_ENGINE_Crisis!$AG$292:$AG$303,0),MATCH($A23,_ENGINE_Crisis!$AH$291:$AS$291,0)),0)</f>
        <v/>
      </c>
    </row>
    <row r="24" ht="28.5" customHeight="1" s="209">
      <c r="A24" s="247" t="inlineStr">
        <is>
          <t>Physical site loss</t>
        </is>
      </c>
      <c r="B24" s="247" t="inlineStr">
        <is>
          <t>Governance Crisis</t>
        </is>
      </c>
      <c r="C24" s="247" t="n">
        <v>1</v>
      </c>
      <c r="D24" s="247">
        <f>ROUND(C24*(1+('Resilience &amp; Risk Scenario'!$B$7-3)*0.15),2)</f>
        <v/>
      </c>
      <c r="E24" s="247" t="inlineStr">
        <is>
          <t>Decision rights, escalation and crisis governance determine response speed under pressure.</t>
        </is>
      </c>
      <c r="F24" s="247" t="inlineStr">
        <is>
          <t>Monitor; not a primary scenario driver</t>
        </is>
      </c>
      <c r="G24" s="247" t="inlineStr">
        <is>
          <t>Define crisis roles, escalation path, decision cadence and management war room routines.</t>
        </is>
      </c>
      <c r="H24" s="247" t="inlineStr">
        <is>
          <t>ISO 22301; ISO 31000; ISO 37000; Bain RAPID</t>
        </is>
      </c>
      <c r="I24" s="247">
        <f>A24&amp;"|"&amp;B24</f>
        <v/>
      </c>
      <c r="J24" s="247" t="inlineStr">
        <is>
          <t>Multiplier is increased/decreased by severity: severity 3 = base; severity 5 = +30%; severity 1 = -30%.</t>
        </is>
      </c>
      <c r="K24">
        <f>IFERROR(INDEX(_ENGINE_Crisis!$AH$292:$AS$303,MATCH('Resilience &amp; Risk Scenario'!$B$6,_ENGINE_Crisis!$AG$292:$AG$303,0),MATCH($A24,_ENGINE_Crisis!$AH$291:$AS$291,0)),0)</f>
        <v/>
      </c>
    </row>
    <row r="25" ht="28.5" customHeight="1" s="209">
      <c r="A25" s="247" t="inlineStr">
        <is>
          <t>Physical site loss</t>
        </is>
      </c>
      <c r="B25" s="247" t="inlineStr">
        <is>
          <t>HR Workforce</t>
        </is>
      </c>
      <c r="C25" s="247" t="n">
        <v>1.3</v>
      </c>
      <c r="D25" s="247">
        <f>ROUND(C25*(1+('Resilience &amp; Risk Scenario'!$B$7-3)*0.15),2)</f>
        <v/>
      </c>
      <c r="E25" s="247" t="inlineStr">
        <is>
          <t>Workforce availability, critical people and knowledge continuity determine operational capacity.</t>
        </is>
      </c>
      <c r="F25" s="247" t="inlineStr">
        <is>
          <t>Secondary focus under this crisis scenario</t>
        </is>
      </c>
      <c r="G25" s="247" t="inlineStr">
        <is>
          <t>Create critical role backups, knowledge transfer, cross-training and workforce continuity plans.</t>
        </is>
      </c>
      <c r="H25" s="247" t="inlineStr">
        <is>
          <t>ISO 30414; ISO 30405; ISO 45001; workforce planning</t>
        </is>
      </c>
      <c r="I25" s="247">
        <f>A25&amp;"|"&amp;B25</f>
        <v/>
      </c>
      <c r="J25" s="247" t="inlineStr">
        <is>
          <t>Multiplier is increased/decreased by severity: severity 3 = base; severity 5 = +30%; severity 1 = -30%.</t>
        </is>
      </c>
      <c r="K25">
        <f>IFERROR(INDEX(_ENGINE_Crisis!$AH$292:$AS$303,MATCH('Resilience &amp; Risk Scenario'!$B$6,_ENGINE_Crisis!$AG$292:$AG$303,0),MATCH($A25,_ENGINE_Crisis!$AH$291:$AS$291,0)),0)</f>
        <v/>
      </c>
    </row>
    <row r="26" ht="28.5" customHeight="1" s="209">
      <c r="A26" s="247" t="inlineStr">
        <is>
          <t>Physical site loss</t>
        </is>
      </c>
      <c r="B26" s="247" t="inlineStr">
        <is>
          <t>Finance Procurement</t>
        </is>
      </c>
      <c r="C26" s="247" t="n">
        <v>1</v>
      </c>
      <c r="D26" s="247">
        <f>ROUND(C26*(1+('Resilience &amp; Risk Scenario'!$B$7-3)*0.15),2)</f>
        <v/>
      </c>
      <c r="E26" s="247" t="inlineStr">
        <is>
          <t>Cash control, supplier payments and procurement discipline determine financial survival and response options.</t>
        </is>
      </c>
      <c r="F26" s="247" t="inlineStr">
        <is>
          <t>Monitor; not a primary scenario driver</t>
        </is>
      </c>
      <c r="G26" s="247" t="inlineStr">
        <is>
          <t>Build cash stress testing, payment prioritization, supplier risk review and procurement controls.</t>
        </is>
      </c>
      <c r="H26" s="247" t="inlineStr">
        <is>
          <t>COSO; ISO 20400; ISO 31000; IFRS</t>
        </is>
      </c>
      <c r="I26" s="247">
        <f>A26&amp;"|"&amp;B26</f>
        <v/>
      </c>
      <c r="J26" s="247" t="inlineStr">
        <is>
          <t>Multiplier is increased/decreased by severity: severity 3 = base; severity 5 = +30%; severity 1 = -30%.</t>
        </is>
      </c>
      <c r="K26">
        <f>IFERROR(INDEX(_ENGINE_Crisis!$AH$292:$AS$303,MATCH('Resilience &amp; Risk Scenario'!$B$6,_ENGINE_Crisis!$AG$292:$AG$303,0),MATCH($A26,_ENGINE_Crisis!$AH$291:$AS$291,0)),0)</f>
        <v/>
      </c>
    </row>
    <row r="27" ht="28.5" customHeight="1" s="209">
      <c r="A27" s="247" t="inlineStr">
        <is>
          <t>Physical site loss</t>
        </is>
      </c>
      <c r="B27" s="247" t="inlineStr">
        <is>
          <t>Legal Risk</t>
        </is>
      </c>
      <c r="C27" s="247" t="n">
        <v>1</v>
      </c>
      <c r="D27" s="247">
        <f>ROUND(C27*(1+('Resilience &amp; Risk Scenario'!$B$7-3)*0.15),2)</f>
        <v/>
      </c>
      <c r="E27" s="247" t="inlineStr">
        <is>
          <t>Contracts, obligations and compliance exposure can turn operational crisis into legal or regulatory failure.</t>
        </is>
      </c>
      <c r="F27" s="247" t="inlineStr">
        <is>
          <t>Monitor; not a primary scenario driver</t>
        </is>
      </c>
      <c r="G27" s="247" t="inlineStr">
        <is>
          <t>Review critical contracts, compliance obligations, force majeure, data protection and legal continuity.</t>
        </is>
      </c>
      <c r="H27" s="247" t="inlineStr">
        <is>
          <t>ISO 37301; ISO 31000; GDPR; ISO 27701</t>
        </is>
      </c>
      <c r="I27" s="247">
        <f>A27&amp;"|"&amp;B27</f>
        <v/>
      </c>
      <c r="J27" s="247" t="inlineStr">
        <is>
          <t>Multiplier is increased/decreased by severity: severity 3 = base; severity 5 = +30%; severity 1 = -30%.</t>
        </is>
      </c>
      <c r="K27">
        <f>IFERROR(INDEX(_ENGINE_Crisis!$AH$292:$AS$303,MATCH('Resilience &amp; Risk Scenario'!$B$6,_ENGINE_Crisis!$AG$292:$AG$303,0),MATCH($A27,_ENGINE_Crisis!$AH$291:$AS$291,0)),0)</f>
        <v/>
      </c>
    </row>
    <row r="28" ht="28.5" customHeight="1" s="209">
      <c r="A28" s="247" t="inlineStr">
        <is>
          <t>Physical site loss</t>
        </is>
      </c>
      <c r="B28" s="247" t="inlineStr">
        <is>
          <t>Physical Safety</t>
        </is>
      </c>
      <c r="C28" s="247" t="n">
        <v>2</v>
      </c>
      <c r="D28" s="247">
        <f>ROUND(C28*(1+('Resilience &amp; Risk Scenario'!$B$7-3)*0.15),2)</f>
        <v/>
      </c>
      <c r="E28" s="247" t="inlineStr">
        <is>
          <t>Employee safety, access control, evacuation and facilities resilience are direct crisis constraints.</t>
        </is>
      </c>
      <c r="F28" s="247" t="inlineStr">
        <is>
          <t>Primary focus under this crisis scenario</t>
        </is>
      </c>
      <c r="G28" s="247" t="inlineStr">
        <is>
          <t>Implement evacuation, access control, emergency response, site security and travel-risk procedures.</t>
        </is>
      </c>
      <c r="H28" s="247" t="inlineStr">
        <is>
          <t>ISO 45001; ISO 22320; ISO 31030; ISO 22301</t>
        </is>
      </c>
      <c r="I28" s="247">
        <f>A28&amp;"|"&amp;B28</f>
        <v/>
      </c>
      <c r="J28" s="247" t="inlineStr">
        <is>
          <t>Multiplier is increased/decreased by severity: severity 3 = base; severity 5 = +30%; severity 1 = -30%.</t>
        </is>
      </c>
      <c r="K28">
        <f>IFERROR(INDEX(_ENGINE_Crisis!$AH$292:$AS$303,MATCH('Resilience &amp; Risk Scenario'!$B$6,_ENGINE_Crisis!$AG$292:$AG$303,0),MATCH($A28,_ENGINE_Crisis!$AH$291:$AS$291,0)),0)</f>
        <v/>
      </c>
    </row>
    <row r="29" ht="28.5" customHeight="1" s="209">
      <c r="A29" s="247" t="inlineStr">
        <is>
          <t>Physical site loss</t>
        </is>
      </c>
      <c r="B29" s="247" t="inlineStr">
        <is>
          <t>Delivery Ops</t>
        </is>
      </c>
      <c r="C29" s="247" t="n">
        <v>1.7</v>
      </c>
      <c r="D29" s="247">
        <f>ROUND(C29*(1+('Resilience &amp; Risk Scenario'!$B$7-3)*0.15),2)</f>
        <v/>
      </c>
      <c r="E29" s="247" t="inlineStr">
        <is>
          <t>Delivery capacity, SLA control and operational handover determine customer continuity.</t>
        </is>
      </c>
      <c r="F29" s="247" t="inlineStr">
        <is>
          <t>Primary focus under this crisis scenario</t>
        </is>
      </c>
      <c r="G29" s="247" t="inlineStr">
        <is>
          <t>Define alternative delivery models, capacity buffers, SLA triage and incident recovery procedures.</t>
        </is>
      </c>
      <c r="H29" s="247" t="inlineStr">
        <is>
          <t>ISO 9001; ISO 22301; ITIL; SLA management</t>
        </is>
      </c>
      <c r="I29" s="247">
        <f>A29&amp;"|"&amp;B29</f>
        <v/>
      </c>
      <c r="J29" s="247" t="inlineStr">
        <is>
          <t>Multiplier is increased/decreased by severity: severity 3 = base; severity 5 = +30%; severity 1 = -30%.</t>
        </is>
      </c>
      <c r="K29">
        <f>IFERROR(INDEX(_ENGINE_Crisis!$AH$292:$AS$303,MATCH('Resilience &amp; Risk Scenario'!$B$6,_ENGINE_Crisis!$AG$292:$AG$303,0),MATCH($A29,_ENGINE_Crisis!$AH$291:$AS$291,0)),0)</f>
        <v/>
      </c>
    </row>
    <row r="30" ht="28.5" customHeight="1" s="209">
      <c r="A30" s="247" t="inlineStr">
        <is>
          <t>Physical site loss</t>
        </is>
      </c>
      <c r="B30" s="247" t="inlineStr">
        <is>
          <t>Supply Chain</t>
        </is>
      </c>
      <c r="C30" s="247" t="n">
        <v>1.5</v>
      </c>
      <c r="D30" s="247">
        <f>ROUND(C30*(1+('Resilience &amp; Risk Scenario'!$B$7-3)*0.15),2)</f>
        <v/>
      </c>
      <c r="E30" s="247" t="inlineStr">
        <is>
          <t>Supplier concentration, logistics and inventory visibility determine production and delivery continuity.</t>
        </is>
      </c>
      <c r="F30" s="247" t="inlineStr">
        <is>
          <t>Secondary focus under this crisis scenario</t>
        </is>
      </c>
      <c r="G30" s="247" t="inlineStr">
        <is>
          <t>Diversify suppliers, define safety stock, alternate routes, supplier monitoring and substitution rules.</t>
        </is>
      </c>
      <c r="H30" s="247" t="inlineStr">
        <is>
          <t>SCOR; ISO 28000; ISO 20400; ISO 22301</t>
        </is>
      </c>
      <c r="I30" s="247">
        <f>A30&amp;"|"&amp;B30</f>
        <v/>
      </c>
      <c r="J30" s="247" t="inlineStr">
        <is>
          <t>Multiplier is increased/decreased by severity: severity 3 = base; severity 5 = +30%; severity 1 = -30%.</t>
        </is>
      </c>
      <c r="K30">
        <f>IFERROR(INDEX(_ENGINE_Crisis!$AH$292:$AS$303,MATCH('Resilience &amp; Risk Scenario'!$B$6,_ENGINE_Crisis!$AG$292:$AG$303,0),MATCH($A30,_ENGINE_Crisis!$AH$291:$AS$291,0)),0)</f>
        <v/>
      </c>
    </row>
    <row r="31" ht="28.5" customHeight="1" s="209">
      <c r="A31" s="247" t="inlineStr">
        <is>
          <t>Physical site loss</t>
        </is>
      </c>
      <c r="B31" s="247" t="inlineStr">
        <is>
          <t>Manufacturing MES</t>
        </is>
      </c>
      <c r="C31" s="247" t="n">
        <v>1.9</v>
      </c>
      <c r="D31" s="247">
        <f>ROUND(C31*(1+('Resilience &amp; Risk Scenario'!$B$7-3)*0.15),2)</f>
        <v/>
      </c>
      <c r="E31" s="247" t="inlineStr">
        <is>
          <t>Production assets, MES, maintenance and utilities determine manufacturing recoverability.</t>
        </is>
      </c>
      <c r="F31" s="247" t="inlineStr">
        <is>
          <t>Primary focus under this crisis scenario</t>
        </is>
      </c>
      <c r="G31" s="247" t="inlineStr">
        <is>
          <t>Define production fallback, maintenance priorities, spare parts, MES continuity and utility backup.</t>
        </is>
      </c>
      <c r="H31" s="247" t="inlineStr">
        <is>
          <t>ISA-95; ISO 9001; TPM; IEC 62443; ISO 22301</t>
        </is>
      </c>
      <c r="I31" s="247">
        <f>A31&amp;"|"&amp;B31</f>
        <v/>
      </c>
      <c r="J31" s="247" t="inlineStr">
        <is>
          <t>Multiplier is increased/decreased by severity: severity 3 = base; severity 5 = +30%; severity 1 = -30%.</t>
        </is>
      </c>
      <c r="K31">
        <f>IFERROR(INDEX(_ENGINE_Crisis!$AH$292:$AS$303,MATCH('Resilience &amp; Risk Scenario'!$B$6,_ENGINE_Crisis!$AG$292:$AG$303,0),MATCH($A31,_ENGINE_Crisis!$AH$291:$AS$291,0)),0)</f>
        <v/>
      </c>
    </row>
    <row r="32" ht="28.5" customHeight="1" s="209">
      <c r="A32" s="247" t="inlineStr">
        <is>
          <t>Physical site loss</t>
        </is>
      </c>
      <c r="B32" s="247" t="inlineStr">
        <is>
          <t>Sales CRM</t>
        </is>
      </c>
      <c r="C32" s="247" t="n">
        <v>1</v>
      </c>
      <c r="D32" s="247">
        <f>ROUND(C32*(1+('Resilience &amp; Risk Scenario'!$B$7-3)*0.15),2)</f>
        <v/>
      </c>
      <c r="E32" s="247" t="inlineStr">
        <is>
          <t>CRM discipline, pipeline visibility and retention actions determine revenue protection.</t>
        </is>
      </c>
      <c r="F32" s="247" t="inlineStr">
        <is>
          <t>Monitor; not a primary scenario driver</t>
        </is>
      </c>
      <c r="G32" s="247" t="inlineStr">
        <is>
          <t>Improve CRM hygiene, retention playbooks, pipeline scenarios and customer segmentation.</t>
        </is>
      </c>
      <c r="H32" s="247" t="inlineStr">
        <is>
          <t>CRM best practices; ISO 10002; ISO 10004; revenue operations</t>
        </is>
      </c>
      <c r="I32" s="247">
        <f>A32&amp;"|"&amp;B32</f>
        <v/>
      </c>
      <c r="J32" s="247" t="inlineStr">
        <is>
          <t>Multiplier is increased/decreased by severity: severity 3 = base; severity 5 = +30%; severity 1 = -30%.</t>
        </is>
      </c>
      <c r="K32">
        <f>IFERROR(INDEX(_ENGINE_Crisis!$AH$292:$AS$303,MATCH('Resilience &amp; Risk Scenario'!$B$6,_ENGINE_Crisis!$AG$292:$AG$303,0),MATCH($A32,_ENGINE_Crisis!$AH$291:$AS$291,0)),0)</f>
        <v/>
      </c>
    </row>
    <row r="33" ht="28.5" customHeight="1" s="209">
      <c r="A33" s="247" t="inlineStr">
        <is>
          <t>Physical site loss</t>
        </is>
      </c>
      <c r="B33" s="247" t="inlineStr">
        <is>
          <t>Marketing Comms</t>
        </is>
      </c>
      <c r="C33" s="247" t="n">
        <v>1</v>
      </c>
      <c r="D33" s="247">
        <f>ROUND(C33*(1+('Resilience &amp; Risk Scenario'!$B$7-3)*0.15),2)</f>
        <v/>
      </c>
      <c r="E33" s="247" t="inlineStr">
        <is>
          <t>Customer communication and reputation control determine trust during uncertainty.</t>
        </is>
      </c>
      <c r="F33" s="247" t="inlineStr">
        <is>
          <t>Monitor; not a primary scenario driver</t>
        </is>
      </c>
      <c r="G33" s="247" t="inlineStr">
        <is>
          <t>Prepare crisis messages, customer notification templates, comms approval flow and brand monitoring.</t>
        </is>
      </c>
      <c r="H33" s="247" t="inlineStr">
        <is>
          <t>ISO 10002; ISO 10004; crisis communication practices</t>
        </is>
      </c>
      <c r="I33" s="247">
        <f>A33&amp;"|"&amp;B33</f>
        <v/>
      </c>
      <c r="J33" s="247" t="inlineStr">
        <is>
          <t>Multiplier is increased/decreased by severity: severity 3 = base; severity 5 = +30%; severity 1 = -30%.</t>
        </is>
      </c>
      <c r="K33">
        <f>IFERROR(INDEX(_ENGINE_Crisis!$AH$292:$AS$303,MATCH('Resilience &amp; Risk Scenario'!$B$6,_ENGINE_Crisis!$AG$292:$AG$303,0),MATCH($A33,_ENGINE_Crisis!$AH$291:$AS$291,0)),0)</f>
        <v/>
      </c>
    </row>
    <row r="34" ht="28.5" customHeight="1" s="209">
      <c r="A34" s="247" t="inlineStr">
        <is>
          <t>Physical site loss</t>
        </is>
      </c>
      <c r="B34" s="247" t="inlineStr">
        <is>
          <t>IT Cloud DR</t>
        </is>
      </c>
      <c r="C34" s="247" t="n">
        <v>1.6</v>
      </c>
      <c r="D34" s="247">
        <f>ROUND(C34*(1+('Resilience &amp; Risk Scenario'!$B$7-3)*0.15),2)</f>
        <v/>
      </c>
      <c r="E34" s="247" t="inlineStr">
        <is>
          <t>Cloud, infrastructure, backups, RTO and RPO determine system recoverability.</t>
        </is>
      </c>
      <c r="F34" s="247" t="inlineStr">
        <is>
          <t>Secondary focus under this crisis scenario</t>
        </is>
      </c>
      <c r="G34" s="247" t="inlineStr">
        <is>
          <t>Implement tested backups, DR runbooks, failover, cloud landing zones and RTO/RPO monitoring.</t>
        </is>
      </c>
      <c r="H34" s="247" t="inlineStr">
        <is>
          <t>ISO 27001; NIST CSF; NIST SP 800-34; ISO 20000</t>
        </is>
      </c>
      <c r="I34" s="247">
        <f>A34&amp;"|"&amp;B34</f>
        <v/>
      </c>
      <c r="J34" s="247" t="inlineStr">
        <is>
          <t>Multiplier is increased/decreased by severity: severity 3 = base; severity 5 = +30%; severity 1 = -30%.</t>
        </is>
      </c>
      <c r="K34">
        <f>IFERROR(INDEX(_ENGINE_Crisis!$AH$292:$AS$303,MATCH('Resilience &amp; Risk Scenario'!$B$6,_ENGINE_Crisis!$AG$292:$AG$303,0),MATCH($A34,_ENGINE_Crisis!$AH$291:$AS$291,0)),0)</f>
        <v/>
      </c>
    </row>
    <row r="35" ht="28.5" customHeight="1" s="209">
      <c r="A35" s="247" t="inlineStr">
        <is>
          <t>Physical site loss</t>
        </is>
      </c>
      <c r="B35" s="247" t="inlineStr">
        <is>
          <t>Business Systems</t>
        </is>
      </c>
      <c r="C35" s="247" t="n">
        <v>1.3</v>
      </c>
      <c r="D35" s="247">
        <f>ROUND(C35*(1+('Resilience &amp; Risk Scenario'!$B$7-3)*0.15),2)</f>
        <v/>
      </c>
      <c r="E35" s="247" t="inlineStr">
        <is>
          <t>ERP, CRM, HRMS, MES and SaaS continuity determine transaction and process continuity.</t>
        </is>
      </c>
      <c r="F35" s="247" t="inlineStr">
        <is>
          <t>Secondary focus under this crisis scenario</t>
        </is>
      </c>
      <c r="G35" s="247" t="inlineStr">
        <is>
          <t>Document system dependencies, SaaS continuity, role access, data exports and manual fallback.</t>
        </is>
      </c>
      <c r="H35" s="247" t="inlineStr">
        <is>
          <t>COBIT; ITIL; ISO 20000; ERP/CRM/MES governance</t>
        </is>
      </c>
      <c r="I35" s="247">
        <f>A35&amp;"|"&amp;B35</f>
        <v/>
      </c>
      <c r="J35" s="247" t="inlineStr">
        <is>
          <t>Multiplier is increased/decreased by severity: severity 3 = base; severity 5 = +30%; severity 1 = -30%.</t>
        </is>
      </c>
      <c r="K35">
        <f>IFERROR(INDEX(_ENGINE_Crisis!$AH$292:$AS$303,MATCH('Resilience &amp; Risk Scenario'!$B$6,_ENGINE_Crisis!$AG$292:$AG$303,0),MATCH($A35,_ENGINE_Crisis!$AH$291:$AS$291,0)),0)</f>
        <v/>
      </c>
    </row>
    <row r="36" ht="28.5" customHeight="1" s="209">
      <c r="A36" s="247" t="inlineStr">
        <is>
          <t>Physical site loss</t>
        </is>
      </c>
      <c r="B36" s="247" t="inlineStr">
        <is>
          <t>Data BI AI</t>
        </is>
      </c>
      <c r="C36" s="247" t="n">
        <v>1</v>
      </c>
      <c r="D36" s="247">
        <f>ROUND(C36*(1+('Resilience &amp; Risk Scenario'!$B$7-3)*0.15),2)</f>
        <v/>
      </c>
      <c r="E36" s="247" t="inlineStr">
        <is>
          <t>Data quality, BI and analytics determine decision visibility and forecasting under stress.</t>
        </is>
      </c>
      <c r="F36" s="247" t="inlineStr">
        <is>
          <t>Monitor; not a primary scenario driver</t>
        </is>
      </c>
      <c r="G36" s="247" t="inlineStr">
        <is>
          <t>Assign data owners, improve data quality, dashboards, forecasting and AI governance.</t>
        </is>
      </c>
      <c r="H36" s="247" t="inlineStr">
        <is>
          <t>DAMA-DMBOK; ISO 42001; ISO 23894; data governance</t>
        </is>
      </c>
      <c r="I36" s="247">
        <f>A36&amp;"|"&amp;B36</f>
        <v/>
      </c>
      <c r="J36" s="247" t="inlineStr">
        <is>
          <t>Multiplier is increased/decreased by severity: severity 3 = base; severity 5 = +30%; severity 1 = -30%.</t>
        </is>
      </c>
      <c r="K36">
        <f>IFERROR(INDEX(_ENGINE_Crisis!$AH$292:$AS$303,MATCH('Resilience &amp; Risk Scenario'!$B$6,_ENGINE_Crisis!$AG$292:$AG$303,0),MATCH($A36,_ENGINE_Crisis!$AH$291:$AS$291,0)),0)</f>
        <v/>
      </c>
    </row>
    <row r="37" ht="28.5" customHeight="1" s="209">
      <c r="A37" s="247" t="inlineStr">
        <is>
          <t>Physical site loss</t>
        </is>
      </c>
      <c r="B37" s="247" t="inlineStr">
        <is>
          <t>Cyber Privacy</t>
        </is>
      </c>
      <c r="C37" s="247" t="n">
        <v>1</v>
      </c>
      <c r="D37" s="247">
        <f>ROUND(C37*(1+('Resilience &amp; Risk Scenario'!$B$7-3)*0.15),2)</f>
        <v/>
      </c>
      <c r="E37" s="247" t="inlineStr">
        <is>
          <t>Cybersecurity and privacy controls determine resistance to digital disruption and regulatory exposure.</t>
        </is>
      </c>
      <c r="F37" s="247" t="inlineStr">
        <is>
          <t>Monitor; not a primary scenario driver</t>
        </is>
      </c>
      <c r="G37" s="247" t="inlineStr">
        <is>
          <t>Strengthen MFA, EDR, logging, IR playbooks, restore testing, privacy controls and awareness.</t>
        </is>
      </c>
      <c r="H37" s="247" t="inlineStr">
        <is>
          <t>ISO 27001; NIST CSF; CIS Controls; ISO 27701; GDPR</t>
        </is>
      </c>
      <c r="I37" s="247">
        <f>A37&amp;"|"&amp;B37</f>
        <v/>
      </c>
      <c r="J37" s="247" t="inlineStr">
        <is>
          <t>Multiplier is increased/decreased by severity: severity 3 = base; severity 5 = +30%; severity 1 = -30%.</t>
        </is>
      </c>
      <c r="K37">
        <f>IFERROR(INDEX(_ENGINE_Crisis!$AH$292:$AS$303,MATCH('Resilience &amp; Risk Scenario'!$B$6,_ENGINE_Crisis!$AG$292:$AG$303,0),MATCH($A37,_ENGINE_Crisis!$AH$291:$AS$291,0)),0)</f>
        <v/>
      </c>
    </row>
    <row r="38" ht="28.5" customHeight="1" s="209">
      <c r="A38" s="247" t="inlineStr">
        <is>
          <t>Physical site loss</t>
        </is>
      </c>
      <c r="B38" s="247" t="inlineStr">
        <is>
          <t>Quality Portfolio</t>
        </is>
      </c>
      <c r="C38" s="247" t="n">
        <v>1</v>
      </c>
      <c r="D38" s="247">
        <f>ROUND(C38*(1+('Resilience &amp; Risk Scenario'!$B$7-3)*0.15),2)</f>
        <v/>
      </c>
      <c r="E38" s="247" t="inlineStr">
        <is>
          <t>Portfolio discipline and benefits realization determine whether scarce resources are focused on the right actions.</t>
        </is>
      </c>
      <c r="F38" s="247" t="inlineStr">
        <is>
          <t>Monitor; not a primary scenario driver</t>
        </is>
      </c>
      <c r="G38" s="247" t="inlineStr">
        <is>
          <t>Prioritize crisis initiatives by value, risk reduction, dependencies and implementation waves.</t>
        </is>
      </c>
      <c r="H38" s="247" t="inlineStr">
        <is>
          <t>ISO 9001; PMI; ISO 21502; benefits realization; APQC</t>
        </is>
      </c>
      <c r="I38" s="247">
        <f>A38&amp;"|"&amp;B38</f>
        <v/>
      </c>
      <c r="J38" s="247" t="inlineStr">
        <is>
          <t>Multiplier is increased/decreased by severity: severity 3 = base; severity 5 = +30%; severity 1 = -30%.</t>
        </is>
      </c>
      <c r="K38">
        <f>IFERROR(INDEX(_ENGINE_Crisis!$AH$292:$AS$303,MATCH('Resilience &amp; Risk Scenario'!$B$6,_ENGINE_Crisis!$AG$292:$AG$303,0),MATCH($A38,_ENGINE_Crisis!$AH$291:$AS$291,0)),0)</f>
        <v/>
      </c>
    </row>
    <row r="39" ht="28.5" customHeight="1" s="209">
      <c r="A39" s="247" t="inlineStr">
        <is>
          <t>Cyberattack / ransomware</t>
        </is>
      </c>
      <c r="B39" s="247" t="inlineStr">
        <is>
          <t>Company Geography</t>
        </is>
      </c>
      <c r="C39" s="247" t="n">
        <v>1</v>
      </c>
      <c r="D39" s="247">
        <f>ROUND(C39*(1+('Resilience &amp; Risk Scenario'!$B$7-3)*0.15),2)</f>
        <v/>
      </c>
      <c r="E39" s="247" t="inlineStr">
        <is>
          <t>Geographic concentration, legal entity exposure and site dependency can amplify crisis impact.</t>
        </is>
      </c>
      <c r="F39" s="247" t="inlineStr">
        <is>
          <t>Monitor; not a primary scenario driver</t>
        </is>
      </c>
      <c r="G39" s="247" t="inlineStr">
        <is>
          <t>Map entities, locations, markets, revenue exposure and alternate operating options.</t>
        </is>
      </c>
      <c r="H39" s="247" t="inlineStr">
        <is>
          <t>ISO 22301; ISO 31000; ISO 9001; ISO 37000; PESTLE</t>
        </is>
      </c>
      <c r="I39" s="247">
        <f>A39&amp;"|"&amp;B39</f>
        <v/>
      </c>
      <c r="J39" s="247" t="inlineStr">
        <is>
          <t>Multiplier is increased/decreased by severity: severity 3 = base; severity 5 = +30%; severity 1 = -30%.</t>
        </is>
      </c>
      <c r="K39">
        <f>IFERROR(INDEX(_ENGINE_Crisis!$AH$292:$AS$303,MATCH('Resilience &amp; Risk Scenario'!$B$6,_ENGINE_Crisis!$AG$292:$AG$303,0),MATCH($A39,_ENGINE_Crisis!$AH$291:$AS$291,0)),0)</f>
        <v/>
      </c>
    </row>
    <row r="40" ht="28.5" customHeight="1" s="209">
      <c r="A40" s="247" t="inlineStr">
        <is>
          <t>Cyberattack / ransomware</t>
        </is>
      </c>
      <c r="B40" s="247" t="inlineStr">
        <is>
          <t>Strategy GTM</t>
        </is>
      </c>
      <c r="C40" s="247" t="n">
        <v>1</v>
      </c>
      <c r="D40" s="247">
        <f>ROUND(C40*(1+('Resilience &amp; Risk Scenario'!$B$7-3)*0.15),2)</f>
        <v/>
      </c>
      <c r="E40" s="247" t="inlineStr">
        <is>
          <t>Market positioning, ICP clarity and offer structure determine whether the company can adapt revenue during crisis.</t>
        </is>
      </c>
      <c r="F40" s="247" t="inlineStr">
        <is>
          <t>Monitor; not a primary scenario driver</t>
        </is>
      </c>
      <c r="G40" s="247" t="inlineStr">
        <is>
          <t>Stress-test ICP, offering, pricing, channels and market focus under the selected crisis.</t>
        </is>
      </c>
      <c r="H40" s="247" t="inlineStr">
        <is>
          <t>Business Model Canvas; Porter; Bain Elements of Value; ISO 9001</t>
        </is>
      </c>
      <c r="I40" s="247">
        <f>A40&amp;"|"&amp;B40</f>
        <v/>
      </c>
      <c r="J40" s="247" t="inlineStr">
        <is>
          <t>Multiplier is increased/decreased by severity: severity 3 = base; severity 5 = +30%; severity 1 = -30%.</t>
        </is>
      </c>
      <c r="K40">
        <f>IFERROR(INDEX(_ENGINE_Crisis!$AH$292:$AS$303,MATCH('Resilience &amp; Risk Scenario'!$B$6,_ENGINE_Crisis!$AG$292:$AG$303,0),MATCH($A40,_ENGINE_Crisis!$AH$291:$AS$291,0)),0)</f>
        <v/>
      </c>
    </row>
    <row r="41" ht="28.5" customHeight="1" s="209">
      <c r="A41" s="247" t="inlineStr">
        <is>
          <t>Cyberattack / ransomware</t>
        </is>
      </c>
      <c r="B41" s="247" t="inlineStr">
        <is>
          <t>Governance Crisis</t>
        </is>
      </c>
      <c r="C41" s="247" t="n">
        <v>1.2</v>
      </c>
      <c r="D41" s="247">
        <f>ROUND(C41*(1+('Resilience &amp; Risk Scenario'!$B$7-3)*0.15),2)</f>
        <v/>
      </c>
      <c r="E41" s="247" t="inlineStr">
        <is>
          <t>Decision rights, escalation and crisis governance determine response speed under pressure.</t>
        </is>
      </c>
      <c r="F41" s="247" t="inlineStr">
        <is>
          <t>Monitor; not a primary scenario driver</t>
        </is>
      </c>
      <c r="G41" s="247" t="inlineStr">
        <is>
          <t>Define crisis roles, escalation path, decision cadence and management war room routines.</t>
        </is>
      </c>
      <c r="H41" s="247" t="inlineStr">
        <is>
          <t>ISO 22301; ISO 31000; ISO 37000; Bain RAPID</t>
        </is>
      </c>
      <c r="I41" s="247">
        <f>A41&amp;"|"&amp;B41</f>
        <v/>
      </c>
      <c r="J41" s="247" t="inlineStr">
        <is>
          <t>Multiplier is increased/decreased by severity: severity 3 = base; severity 5 = +30%; severity 1 = -30%.</t>
        </is>
      </c>
      <c r="K41">
        <f>IFERROR(INDEX(_ENGINE_Crisis!$AH$292:$AS$303,MATCH('Resilience &amp; Risk Scenario'!$B$6,_ENGINE_Crisis!$AG$292:$AG$303,0),MATCH($A41,_ENGINE_Crisis!$AH$291:$AS$291,0)),0)</f>
        <v/>
      </c>
    </row>
    <row r="42" ht="28.5" customHeight="1" s="209">
      <c r="A42" s="247" t="inlineStr">
        <is>
          <t>Cyberattack / ransomware</t>
        </is>
      </c>
      <c r="B42" s="247" t="inlineStr">
        <is>
          <t>HR Workforce</t>
        </is>
      </c>
      <c r="C42" s="247" t="n">
        <v>1</v>
      </c>
      <c r="D42" s="247">
        <f>ROUND(C42*(1+('Resilience &amp; Risk Scenario'!$B$7-3)*0.15),2)</f>
        <v/>
      </c>
      <c r="E42" s="247" t="inlineStr">
        <is>
          <t>Workforce availability, critical people and knowledge continuity determine operational capacity.</t>
        </is>
      </c>
      <c r="F42" s="247" t="inlineStr">
        <is>
          <t>Monitor; not a primary scenario driver</t>
        </is>
      </c>
      <c r="G42" s="247" t="inlineStr">
        <is>
          <t>Create critical role backups, knowledge transfer, cross-training and workforce continuity plans.</t>
        </is>
      </c>
      <c r="H42" s="247" t="inlineStr">
        <is>
          <t>ISO 30414; ISO 30405; ISO 45001; workforce planning</t>
        </is>
      </c>
      <c r="I42" s="247">
        <f>A42&amp;"|"&amp;B42</f>
        <v/>
      </c>
      <c r="J42" s="247" t="inlineStr">
        <is>
          <t>Multiplier is increased/decreased by severity: severity 3 = base; severity 5 = +30%; severity 1 = -30%.</t>
        </is>
      </c>
      <c r="K42">
        <f>IFERROR(INDEX(_ENGINE_Crisis!$AH$292:$AS$303,MATCH('Resilience &amp; Risk Scenario'!$B$6,_ENGINE_Crisis!$AG$292:$AG$303,0),MATCH($A42,_ENGINE_Crisis!$AH$291:$AS$291,0)),0)</f>
        <v/>
      </c>
    </row>
    <row r="43" ht="28.5" customHeight="1" s="209">
      <c r="A43" s="247" t="inlineStr">
        <is>
          <t>Cyberattack / ransomware</t>
        </is>
      </c>
      <c r="B43" s="247" t="inlineStr">
        <is>
          <t>Finance Procurement</t>
        </is>
      </c>
      <c r="C43" s="247" t="n">
        <v>1.3</v>
      </c>
      <c r="D43" s="247">
        <f>ROUND(C43*(1+('Resilience &amp; Risk Scenario'!$B$7-3)*0.15),2)</f>
        <v/>
      </c>
      <c r="E43" s="247" t="inlineStr">
        <is>
          <t>Cash control, supplier payments and procurement discipline determine financial survival and response options.</t>
        </is>
      </c>
      <c r="F43" s="247" t="inlineStr">
        <is>
          <t>Secondary focus under this crisis scenario</t>
        </is>
      </c>
      <c r="G43" s="247" t="inlineStr">
        <is>
          <t>Build cash stress testing, payment prioritization, supplier risk review and procurement controls.</t>
        </is>
      </c>
      <c r="H43" s="247" t="inlineStr">
        <is>
          <t>COSO; ISO 20400; ISO 31000; IFRS</t>
        </is>
      </c>
      <c r="I43" s="247">
        <f>A43&amp;"|"&amp;B43</f>
        <v/>
      </c>
      <c r="J43" s="247" t="inlineStr">
        <is>
          <t>Multiplier is increased/decreased by severity: severity 3 = base; severity 5 = +30%; severity 1 = -30%.</t>
        </is>
      </c>
      <c r="K43">
        <f>IFERROR(INDEX(_ENGINE_Crisis!$AH$292:$AS$303,MATCH('Resilience &amp; Risk Scenario'!$B$6,_ENGINE_Crisis!$AG$292:$AG$303,0),MATCH($A43,_ENGINE_Crisis!$AH$291:$AS$291,0)),0)</f>
        <v/>
      </c>
    </row>
    <row r="44" ht="28.5" customHeight="1" s="209">
      <c r="A44" s="247" t="inlineStr">
        <is>
          <t>Cyberattack / ransomware</t>
        </is>
      </c>
      <c r="B44" s="247" t="inlineStr">
        <is>
          <t>Legal Risk</t>
        </is>
      </c>
      <c r="C44" s="247" t="n">
        <v>1.5</v>
      </c>
      <c r="D44" s="247">
        <f>ROUND(C44*(1+('Resilience &amp; Risk Scenario'!$B$7-3)*0.15),2)</f>
        <v/>
      </c>
      <c r="E44" s="247" t="inlineStr">
        <is>
          <t>Contracts, obligations and compliance exposure can turn operational crisis into legal or regulatory failure.</t>
        </is>
      </c>
      <c r="F44" s="247" t="inlineStr">
        <is>
          <t>Secondary focus under this crisis scenario</t>
        </is>
      </c>
      <c r="G44" s="247" t="inlineStr">
        <is>
          <t>Review critical contracts, compliance obligations, force majeure, data protection and legal continuity.</t>
        </is>
      </c>
      <c r="H44" s="247" t="inlineStr">
        <is>
          <t>ISO 37301; ISO 31000; GDPR; ISO 27701</t>
        </is>
      </c>
      <c r="I44" s="247">
        <f>A44&amp;"|"&amp;B44</f>
        <v/>
      </c>
      <c r="J44" s="247" t="inlineStr">
        <is>
          <t>Multiplier is increased/decreased by severity: severity 3 = base; severity 5 = +30%; severity 1 = -30%.</t>
        </is>
      </c>
      <c r="K44">
        <f>IFERROR(INDEX(_ENGINE_Crisis!$AH$292:$AS$303,MATCH('Resilience &amp; Risk Scenario'!$B$6,_ENGINE_Crisis!$AG$292:$AG$303,0),MATCH($A44,_ENGINE_Crisis!$AH$291:$AS$291,0)),0)</f>
        <v/>
      </c>
    </row>
    <row r="45" ht="28.5" customHeight="1" s="209">
      <c r="A45" s="247" t="inlineStr">
        <is>
          <t>Cyberattack / ransomware</t>
        </is>
      </c>
      <c r="B45" s="247" t="inlineStr">
        <is>
          <t>Physical Safety</t>
        </is>
      </c>
      <c r="C45" s="247" t="n">
        <v>1</v>
      </c>
      <c r="D45" s="247">
        <f>ROUND(C45*(1+('Resilience &amp; Risk Scenario'!$B$7-3)*0.15),2)</f>
        <v/>
      </c>
      <c r="E45" s="247" t="inlineStr">
        <is>
          <t>Employee safety, access control, evacuation and facilities resilience are direct crisis constraints.</t>
        </is>
      </c>
      <c r="F45" s="247" t="inlineStr">
        <is>
          <t>Monitor; not a primary scenario driver</t>
        </is>
      </c>
      <c r="G45" s="247" t="inlineStr">
        <is>
          <t>Implement evacuation, access control, emergency response, site security and travel-risk procedures.</t>
        </is>
      </c>
      <c r="H45" s="247" t="inlineStr">
        <is>
          <t>ISO 45001; ISO 22320; ISO 31030; ISO 22301</t>
        </is>
      </c>
      <c r="I45" s="247">
        <f>A45&amp;"|"&amp;B45</f>
        <v/>
      </c>
      <c r="J45" s="247" t="inlineStr">
        <is>
          <t>Multiplier is increased/decreased by severity: severity 3 = base; severity 5 = +30%; severity 1 = -30%.</t>
        </is>
      </c>
      <c r="K45">
        <f>IFERROR(INDEX(_ENGINE_Crisis!$AH$292:$AS$303,MATCH('Resilience &amp; Risk Scenario'!$B$6,_ENGINE_Crisis!$AG$292:$AG$303,0),MATCH($A45,_ENGINE_Crisis!$AH$291:$AS$291,0)),0)</f>
        <v/>
      </c>
    </row>
    <row r="46" ht="28.5" customHeight="1" s="209">
      <c r="A46" s="247" t="inlineStr">
        <is>
          <t>Cyberattack / ransomware</t>
        </is>
      </c>
      <c r="B46" s="247" t="inlineStr">
        <is>
          <t>Delivery Ops</t>
        </is>
      </c>
      <c r="C46" s="247" t="n">
        <v>1</v>
      </c>
      <c r="D46" s="247">
        <f>ROUND(C46*(1+('Resilience &amp; Risk Scenario'!$B$7-3)*0.15),2)</f>
        <v/>
      </c>
      <c r="E46" s="247" t="inlineStr">
        <is>
          <t>Delivery capacity, SLA control and operational handover determine customer continuity.</t>
        </is>
      </c>
      <c r="F46" s="247" t="inlineStr">
        <is>
          <t>Monitor; not a primary scenario driver</t>
        </is>
      </c>
      <c r="G46" s="247" t="inlineStr">
        <is>
          <t>Define alternative delivery models, capacity buffers, SLA triage and incident recovery procedures.</t>
        </is>
      </c>
      <c r="H46" s="247" t="inlineStr">
        <is>
          <t>ISO 9001; ISO 22301; ITIL; SLA management</t>
        </is>
      </c>
      <c r="I46" s="247">
        <f>A46&amp;"|"&amp;B46</f>
        <v/>
      </c>
      <c r="J46" s="247" t="inlineStr">
        <is>
          <t>Multiplier is increased/decreased by severity: severity 3 = base; severity 5 = +30%; severity 1 = -30%.</t>
        </is>
      </c>
      <c r="K46">
        <f>IFERROR(INDEX(_ENGINE_Crisis!$AH$292:$AS$303,MATCH('Resilience &amp; Risk Scenario'!$B$6,_ENGINE_Crisis!$AG$292:$AG$303,0),MATCH($A46,_ENGINE_Crisis!$AH$291:$AS$291,0)),0)</f>
        <v/>
      </c>
    </row>
    <row r="47" ht="28.5" customHeight="1" s="209">
      <c r="A47" s="247" t="inlineStr">
        <is>
          <t>Cyberattack / ransomware</t>
        </is>
      </c>
      <c r="B47" s="247" t="inlineStr">
        <is>
          <t>Supply Chain</t>
        </is>
      </c>
      <c r="C47" s="247" t="n">
        <v>1</v>
      </c>
      <c r="D47" s="247">
        <f>ROUND(C47*(1+('Resilience &amp; Risk Scenario'!$B$7-3)*0.15),2)</f>
        <v/>
      </c>
      <c r="E47" s="247" t="inlineStr">
        <is>
          <t>Supplier concentration, logistics and inventory visibility determine production and delivery continuity.</t>
        </is>
      </c>
      <c r="F47" s="247" t="inlineStr">
        <is>
          <t>Monitor; not a primary scenario driver</t>
        </is>
      </c>
      <c r="G47" s="247" t="inlineStr">
        <is>
          <t>Diversify suppliers, define safety stock, alternate routes, supplier monitoring and substitution rules.</t>
        </is>
      </c>
      <c r="H47" s="247" t="inlineStr">
        <is>
          <t>SCOR; ISO 28000; ISO 20400; ISO 22301</t>
        </is>
      </c>
      <c r="I47" s="247">
        <f>A47&amp;"|"&amp;B47</f>
        <v/>
      </c>
      <c r="J47" s="247" t="inlineStr">
        <is>
          <t>Multiplier is increased/decreased by severity: severity 3 = base; severity 5 = +30%; severity 1 = -30%.</t>
        </is>
      </c>
      <c r="K47">
        <f>IFERROR(INDEX(_ENGINE_Crisis!$AH$292:$AS$303,MATCH('Resilience &amp; Risk Scenario'!$B$6,_ENGINE_Crisis!$AG$292:$AG$303,0),MATCH($A47,_ENGINE_Crisis!$AH$291:$AS$291,0)),0)</f>
        <v/>
      </c>
    </row>
    <row r="48" ht="28.5" customHeight="1" s="209">
      <c r="A48" s="247" t="inlineStr">
        <is>
          <t>Cyberattack / ransomware</t>
        </is>
      </c>
      <c r="B48" s="247" t="inlineStr">
        <is>
          <t>Manufacturing MES</t>
        </is>
      </c>
      <c r="C48" s="247" t="n">
        <v>1</v>
      </c>
      <c r="D48" s="247">
        <f>ROUND(C48*(1+('Resilience &amp; Risk Scenario'!$B$7-3)*0.15),2)</f>
        <v/>
      </c>
      <c r="E48" s="247" t="inlineStr">
        <is>
          <t>Production assets, MES, maintenance and utilities determine manufacturing recoverability.</t>
        </is>
      </c>
      <c r="F48" s="247" t="inlineStr">
        <is>
          <t>Monitor; not a primary scenario driver</t>
        </is>
      </c>
      <c r="G48" s="247" t="inlineStr">
        <is>
          <t>Define production fallback, maintenance priorities, spare parts, MES continuity and utility backup.</t>
        </is>
      </c>
      <c r="H48" s="247" t="inlineStr">
        <is>
          <t>ISA-95; ISO 9001; TPM; IEC 62443; ISO 22301</t>
        </is>
      </c>
      <c r="I48" s="247">
        <f>A48&amp;"|"&amp;B48</f>
        <v/>
      </c>
      <c r="J48" s="247" t="inlineStr">
        <is>
          <t>Multiplier is increased/decreased by severity: severity 3 = base; severity 5 = +30%; severity 1 = -30%.</t>
        </is>
      </c>
      <c r="K48">
        <f>IFERROR(INDEX(_ENGINE_Crisis!$AH$292:$AS$303,MATCH('Resilience &amp; Risk Scenario'!$B$6,_ENGINE_Crisis!$AG$292:$AG$303,0),MATCH($A48,_ENGINE_Crisis!$AH$291:$AS$291,0)),0)</f>
        <v/>
      </c>
    </row>
    <row r="49" ht="28.5" customHeight="1" s="209">
      <c r="A49" s="247" t="inlineStr">
        <is>
          <t>Cyberattack / ransomware</t>
        </is>
      </c>
      <c r="B49" s="247" t="inlineStr">
        <is>
          <t>Sales CRM</t>
        </is>
      </c>
      <c r="C49" s="247" t="n">
        <v>1.2</v>
      </c>
      <c r="D49" s="247">
        <f>ROUND(C49*(1+('Resilience &amp; Risk Scenario'!$B$7-3)*0.15),2)</f>
        <v/>
      </c>
      <c r="E49" s="247" t="inlineStr">
        <is>
          <t>CRM discipline, pipeline visibility and retention actions determine revenue protection.</t>
        </is>
      </c>
      <c r="F49" s="247" t="inlineStr">
        <is>
          <t>Monitor; not a primary scenario driver</t>
        </is>
      </c>
      <c r="G49" s="247" t="inlineStr">
        <is>
          <t>Improve CRM hygiene, retention playbooks, pipeline scenarios and customer segmentation.</t>
        </is>
      </c>
      <c r="H49" s="247" t="inlineStr">
        <is>
          <t>CRM best practices; ISO 10002; ISO 10004; revenue operations</t>
        </is>
      </c>
      <c r="I49" s="247">
        <f>A49&amp;"|"&amp;B49</f>
        <v/>
      </c>
      <c r="J49" s="247" t="inlineStr">
        <is>
          <t>Multiplier is increased/decreased by severity: severity 3 = base; severity 5 = +30%; severity 1 = -30%.</t>
        </is>
      </c>
      <c r="K49">
        <f>IFERROR(INDEX(_ENGINE_Crisis!$AH$292:$AS$303,MATCH('Resilience &amp; Risk Scenario'!$B$6,_ENGINE_Crisis!$AG$292:$AG$303,0),MATCH($A49,_ENGINE_Crisis!$AH$291:$AS$291,0)),0)</f>
        <v/>
      </c>
    </row>
    <row r="50" ht="28.5" customHeight="1" s="209">
      <c r="A50" s="247" t="inlineStr">
        <is>
          <t>Cyberattack / ransomware</t>
        </is>
      </c>
      <c r="B50" s="247" t="inlineStr">
        <is>
          <t>Marketing Comms</t>
        </is>
      </c>
      <c r="C50" s="247" t="n">
        <v>1.4</v>
      </c>
      <c r="D50" s="247">
        <f>ROUND(C50*(1+('Resilience &amp; Risk Scenario'!$B$7-3)*0.15),2)</f>
        <v/>
      </c>
      <c r="E50" s="247" t="inlineStr">
        <is>
          <t>Customer communication and reputation control determine trust during uncertainty.</t>
        </is>
      </c>
      <c r="F50" s="247" t="inlineStr">
        <is>
          <t>Secondary focus under this crisis scenario</t>
        </is>
      </c>
      <c r="G50" s="247" t="inlineStr">
        <is>
          <t>Prepare crisis messages, customer notification templates, comms approval flow and brand monitoring.</t>
        </is>
      </c>
      <c r="H50" s="247" t="inlineStr">
        <is>
          <t>ISO 10002; ISO 10004; crisis communication practices</t>
        </is>
      </c>
      <c r="I50" s="247">
        <f>A50&amp;"|"&amp;B50</f>
        <v/>
      </c>
      <c r="J50" s="247" t="inlineStr">
        <is>
          <t>Multiplier is increased/decreased by severity: severity 3 = base; severity 5 = +30%; severity 1 = -30%.</t>
        </is>
      </c>
      <c r="K50">
        <f>IFERROR(INDEX(_ENGINE_Crisis!$AH$292:$AS$303,MATCH('Resilience &amp; Risk Scenario'!$B$6,_ENGINE_Crisis!$AG$292:$AG$303,0),MATCH($A50,_ENGINE_Crisis!$AH$291:$AS$291,0)),0)</f>
        <v/>
      </c>
    </row>
    <row r="51" ht="28.5" customHeight="1" s="209">
      <c r="A51" s="247" t="inlineStr">
        <is>
          <t>Cyberattack / ransomware</t>
        </is>
      </c>
      <c r="B51" s="247" t="inlineStr">
        <is>
          <t>IT Cloud DR</t>
        </is>
      </c>
      <c r="C51" s="247" t="n">
        <v>1.8</v>
      </c>
      <c r="D51" s="247">
        <f>ROUND(C51*(1+('Resilience &amp; Risk Scenario'!$B$7-3)*0.15),2)</f>
        <v/>
      </c>
      <c r="E51" s="247" t="inlineStr">
        <is>
          <t>Cloud, infrastructure, backups, RTO and RPO determine system recoverability.</t>
        </is>
      </c>
      <c r="F51" s="247" t="inlineStr">
        <is>
          <t>Primary focus under this crisis scenario</t>
        </is>
      </c>
      <c r="G51" s="247" t="inlineStr">
        <is>
          <t>Implement tested backups, DR runbooks, failover, cloud landing zones and RTO/RPO monitoring.</t>
        </is>
      </c>
      <c r="H51" s="247" t="inlineStr">
        <is>
          <t>ISO 27001; NIST CSF; NIST SP 800-34; ISO 20000</t>
        </is>
      </c>
      <c r="I51" s="247">
        <f>A51&amp;"|"&amp;B51</f>
        <v/>
      </c>
      <c r="J51" s="247" t="inlineStr">
        <is>
          <t>Multiplier is increased/decreased by severity: severity 3 = base; severity 5 = +30%; severity 1 = -30%.</t>
        </is>
      </c>
      <c r="K51">
        <f>IFERROR(INDEX(_ENGINE_Crisis!$AH$292:$AS$303,MATCH('Resilience &amp; Risk Scenario'!$B$6,_ENGINE_Crisis!$AG$292:$AG$303,0),MATCH($A51,_ENGINE_Crisis!$AH$291:$AS$291,0)),0)</f>
        <v/>
      </c>
    </row>
    <row r="52" ht="28.5" customHeight="1" s="209">
      <c r="A52" s="247" t="inlineStr">
        <is>
          <t>Cyberattack / ransomware</t>
        </is>
      </c>
      <c r="B52" s="247" t="inlineStr">
        <is>
          <t>Business Systems</t>
        </is>
      </c>
      <c r="C52" s="247" t="n">
        <v>1.7</v>
      </c>
      <c r="D52" s="247">
        <f>ROUND(C52*(1+('Resilience &amp; Risk Scenario'!$B$7-3)*0.15),2)</f>
        <v/>
      </c>
      <c r="E52" s="247" t="inlineStr">
        <is>
          <t>ERP, CRM, HRMS, MES and SaaS continuity determine transaction and process continuity.</t>
        </is>
      </c>
      <c r="F52" s="247" t="inlineStr">
        <is>
          <t>Primary focus under this crisis scenario</t>
        </is>
      </c>
      <c r="G52" s="247" t="inlineStr">
        <is>
          <t>Document system dependencies, SaaS continuity, role access, data exports and manual fallback.</t>
        </is>
      </c>
      <c r="H52" s="247" t="inlineStr">
        <is>
          <t>COBIT; ITIL; ISO 20000; ERP/CRM/MES governance</t>
        </is>
      </c>
      <c r="I52" s="247">
        <f>A52&amp;"|"&amp;B52</f>
        <v/>
      </c>
      <c r="J52" s="247" t="inlineStr">
        <is>
          <t>Multiplier is increased/decreased by severity: severity 3 = base; severity 5 = +30%; severity 1 = -30%.</t>
        </is>
      </c>
      <c r="K52">
        <f>IFERROR(INDEX(_ENGINE_Crisis!$AH$292:$AS$303,MATCH('Resilience &amp; Risk Scenario'!$B$6,_ENGINE_Crisis!$AG$292:$AG$303,0),MATCH($A52,_ENGINE_Crisis!$AH$291:$AS$291,0)),0)</f>
        <v/>
      </c>
    </row>
    <row r="53" ht="28.5" customHeight="1" s="209">
      <c r="A53" s="247" t="inlineStr">
        <is>
          <t>Cyberattack / ransomware</t>
        </is>
      </c>
      <c r="B53" s="247" t="inlineStr">
        <is>
          <t>Data BI AI</t>
        </is>
      </c>
      <c r="C53" s="247" t="n">
        <v>1.6</v>
      </c>
      <c r="D53" s="247">
        <f>ROUND(C53*(1+('Resilience &amp; Risk Scenario'!$B$7-3)*0.15),2)</f>
        <v/>
      </c>
      <c r="E53" s="247" t="inlineStr">
        <is>
          <t>Data quality, BI and analytics determine decision visibility and forecasting under stress.</t>
        </is>
      </c>
      <c r="F53" s="247" t="inlineStr">
        <is>
          <t>Secondary focus under this crisis scenario</t>
        </is>
      </c>
      <c r="G53" s="247" t="inlineStr">
        <is>
          <t>Assign data owners, improve data quality, dashboards, forecasting and AI governance.</t>
        </is>
      </c>
      <c r="H53" s="247" t="inlineStr">
        <is>
          <t>DAMA-DMBOK; ISO 42001; ISO 23894; data governance</t>
        </is>
      </c>
      <c r="I53" s="247">
        <f>A53&amp;"|"&amp;B53</f>
        <v/>
      </c>
      <c r="J53" s="247" t="inlineStr">
        <is>
          <t>Multiplier is increased/decreased by severity: severity 3 = base; severity 5 = +30%; severity 1 = -30%.</t>
        </is>
      </c>
      <c r="K53">
        <f>IFERROR(INDEX(_ENGINE_Crisis!$AH$292:$AS$303,MATCH('Resilience &amp; Risk Scenario'!$B$6,_ENGINE_Crisis!$AG$292:$AG$303,0),MATCH($A53,_ENGINE_Crisis!$AH$291:$AS$291,0)),0)</f>
        <v/>
      </c>
    </row>
    <row r="54" ht="28.5" customHeight="1" s="209">
      <c r="A54" s="247" t="inlineStr">
        <is>
          <t>Cyberattack / ransomware</t>
        </is>
      </c>
      <c r="B54" s="247" t="inlineStr">
        <is>
          <t>Cyber Privacy</t>
        </is>
      </c>
      <c r="C54" s="247" t="n">
        <v>2</v>
      </c>
      <c r="D54" s="247">
        <f>ROUND(C54*(1+('Resilience &amp; Risk Scenario'!$B$7-3)*0.15),2)</f>
        <v/>
      </c>
      <c r="E54" s="247" t="inlineStr">
        <is>
          <t>Cybersecurity and privacy controls determine resistance to digital disruption and regulatory exposure.</t>
        </is>
      </c>
      <c r="F54" s="247" t="inlineStr">
        <is>
          <t>Primary focus under this crisis scenario</t>
        </is>
      </c>
      <c r="G54" s="247" t="inlineStr">
        <is>
          <t>Strengthen MFA, EDR, logging, IR playbooks, restore testing, privacy controls and awareness.</t>
        </is>
      </c>
      <c r="H54" s="247" t="inlineStr">
        <is>
          <t>ISO 27001; NIST CSF; CIS Controls; ISO 27701; GDPR</t>
        </is>
      </c>
      <c r="I54" s="247">
        <f>A54&amp;"|"&amp;B54</f>
        <v/>
      </c>
      <c r="J54" s="247" t="inlineStr">
        <is>
          <t>Multiplier is increased/decreased by severity: severity 3 = base; severity 5 = +30%; severity 1 = -30%.</t>
        </is>
      </c>
      <c r="K54">
        <f>IFERROR(INDEX(_ENGINE_Crisis!$AH$292:$AS$303,MATCH('Resilience &amp; Risk Scenario'!$B$6,_ENGINE_Crisis!$AG$292:$AG$303,0),MATCH($A54,_ENGINE_Crisis!$AH$291:$AS$291,0)),0)</f>
        <v/>
      </c>
    </row>
    <row r="55" ht="28.5" customHeight="1" s="209">
      <c r="A55" s="247" t="inlineStr">
        <is>
          <t>Cyberattack / ransomware</t>
        </is>
      </c>
      <c r="B55" s="247" t="inlineStr">
        <is>
          <t>Quality Portfolio</t>
        </is>
      </c>
      <c r="C55" s="247" t="n">
        <v>1</v>
      </c>
      <c r="D55" s="247">
        <f>ROUND(C55*(1+('Resilience &amp; Risk Scenario'!$B$7-3)*0.15),2)</f>
        <v/>
      </c>
      <c r="E55" s="247" t="inlineStr">
        <is>
          <t>Portfolio discipline and benefits realization determine whether scarce resources are focused on the right actions.</t>
        </is>
      </c>
      <c r="F55" s="247" t="inlineStr">
        <is>
          <t>Monitor; not a primary scenario driver</t>
        </is>
      </c>
      <c r="G55" s="247" t="inlineStr">
        <is>
          <t>Prioritize crisis initiatives by value, risk reduction, dependencies and implementation waves.</t>
        </is>
      </c>
      <c r="H55" s="247" t="inlineStr">
        <is>
          <t>ISO 9001; PMI; ISO 21502; benefits realization; APQC</t>
        </is>
      </c>
      <c r="I55" s="247">
        <f>A55&amp;"|"&amp;B55</f>
        <v/>
      </c>
      <c r="J55" s="247" t="inlineStr">
        <is>
          <t>Multiplier is increased/decreased by severity: severity 3 = base; severity 5 = +30%; severity 1 = -30%.</t>
        </is>
      </c>
      <c r="K55">
        <f>IFERROR(INDEX(_ENGINE_Crisis!$AH$292:$AS$303,MATCH('Resilience &amp; Risk Scenario'!$B$6,_ENGINE_Crisis!$AG$292:$AG$303,0),MATCH($A55,_ENGINE_Crisis!$AH$291:$AS$291,0)),0)</f>
        <v/>
      </c>
    </row>
    <row r="56" ht="28.5" customHeight="1" s="209">
      <c r="A56" s="247" t="inlineStr">
        <is>
          <t>Cloud / SaaS outage</t>
        </is>
      </c>
      <c r="B56" s="247" t="inlineStr">
        <is>
          <t>Company Geography</t>
        </is>
      </c>
      <c r="C56" s="247" t="n">
        <v>1</v>
      </c>
      <c r="D56" s="247">
        <f>ROUND(C56*(1+('Resilience &amp; Risk Scenario'!$B$7-3)*0.15),2)</f>
        <v/>
      </c>
      <c r="E56" s="247" t="inlineStr">
        <is>
          <t>Geographic concentration, legal entity exposure and site dependency can amplify crisis impact.</t>
        </is>
      </c>
      <c r="F56" s="247" t="inlineStr">
        <is>
          <t>Monitor; not a primary scenario driver</t>
        </is>
      </c>
      <c r="G56" s="247" t="inlineStr">
        <is>
          <t>Map entities, locations, markets, revenue exposure and alternate operating options.</t>
        </is>
      </c>
      <c r="H56" s="247" t="inlineStr">
        <is>
          <t>ISO 22301; ISO 31000; ISO 9001; ISO 37000; PESTLE</t>
        </is>
      </c>
      <c r="I56" s="247">
        <f>A56&amp;"|"&amp;B56</f>
        <v/>
      </c>
      <c r="J56" s="247" t="inlineStr">
        <is>
          <t>Multiplier is increased/decreased by severity: severity 3 = base; severity 5 = +30%; severity 1 = -30%.</t>
        </is>
      </c>
      <c r="K56">
        <f>IFERROR(INDEX(_ENGINE_Crisis!$AH$292:$AS$303,MATCH('Resilience &amp; Risk Scenario'!$B$6,_ENGINE_Crisis!$AG$292:$AG$303,0),MATCH($A56,_ENGINE_Crisis!$AH$291:$AS$291,0)),0)</f>
        <v/>
      </c>
    </row>
    <row r="57" ht="28.5" customHeight="1" s="209">
      <c r="A57" s="247" t="inlineStr">
        <is>
          <t>Cloud / SaaS outage</t>
        </is>
      </c>
      <c r="B57" s="247" t="inlineStr">
        <is>
          <t>Strategy GTM</t>
        </is>
      </c>
      <c r="C57" s="247" t="n">
        <v>1</v>
      </c>
      <c r="D57" s="247">
        <f>ROUND(C57*(1+('Resilience &amp; Risk Scenario'!$B$7-3)*0.15),2)</f>
        <v/>
      </c>
      <c r="E57" s="247" t="inlineStr">
        <is>
          <t>Market positioning, ICP clarity and offer structure determine whether the company can adapt revenue during crisis.</t>
        </is>
      </c>
      <c r="F57" s="247" t="inlineStr">
        <is>
          <t>Monitor; not a primary scenario driver</t>
        </is>
      </c>
      <c r="G57" s="247" t="inlineStr">
        <is>
          <t>Stress-test ICP, offering, pricing, channels and market focus under the selected crisis.</t>
        </is>
      </c>
      <c r="H57" s="247" t="inlineStr">
        <is>
          <t>Business Model Canvas; Porter; Bain Elements of Value; ISO 9001</t>
        </is>
      </c>
      <c r="I57" s="247">
        <f>A57&amp;"|"&amp;B57</f>
        <v/>
      </c>
      <c r="J57" s="247" t="inlineStr">
        <is>
          <t>Multiplier is increased/decreased by severity: severity 3 = base; severity 5 = +30%; severity 1 = -30%.</t>
        </is>
      </c>
      <c r="K57">
        <f>IFERROR(INDEX(_ENGINE_Crisis!$AH$292:$AS$303,MATCH('Resilience &amp; Risk Scenario'!$B$6,_ENGINE_Crisis!$AG$292:$AG$303,0),MATCH($A57,_ENGINE_Crisis!$AH$291:$AS$291,0)),0)</f>
        <v/>
      </c>
    </row>
    <row r="58" ht="28.5" customHeight="1" s="209">
      <c r="A58" s="247" t="inlineStr">
        <is>
          <t>Cloud / SaaS outage</t>
        </is>
      </c>
      <c r="B58" s="247" t="inlineStr">
        <is>
          <t>Governance Crisis</t>
        </is>
      </c>
      <c r="C58" s="247" t="n">
        <v>1</v>
      </c>
      <c r="D58" s="247">
        <f>ROUND(C58*(1+('Resilience &amp; Risk Scenario'!$B$7-3)*0.15),2)</f>
        <v/>
      </c>
      <c r="E58" s="247" t="inlineStr">
        <is>
          <t>Decision rights, escalation and crisis governance determine response speed under pressure.</t>
        </is>
      </c>
      <c r="F58" s="247" t="inlineStr">
        <is>
          <t>Monitor; not a primary scenario driver</t>
        </is>
      </c>
      <c r="G58" s="247" t="inlineStr">
        <is>
          <t>Define crisis roles, escalation path, decision cadence and management war room routines.</t>
        </is>
      </c>
      <c r="H58" s="247" t="inlineStr">
        <is>
          <t>ISO 22301; ISO 31000; ISO 37000; Bain RAPID</t>
        </is>
      </c>
      <c r="I58" s="247">
        <f>A58&amp;"|"&amp;B58</f>
        <v/>
      </c>
      <c r="J58" s="247" t="inlineStr">
        <is>
          <t>Multiplier is increased/decreased by severity: severity 3 = base; severity 5 = +30%; severity 1 = -30%.</t>
        </is>
      </c>
      <c r="K58">
        <f>IFERROR(INDEX(_ENGINE_Crisis!$AH$292:$AS$303,MATCH('Resilience &amp; Risk Scenario'!$B$6,_ENGINE_Crisis!$AG$292:$AG$303,0),MATCH($A58,_ENGINE_Crisis!$AH$291:$AS$291,0)),0)</f>
        <v/>
      </c>
    </row>
    <row r="59" ht="28.5" customHeight="1" s="209">
      <c r="A59" s="247" t="inlineStr">
        <is>
          <t>Cloud / SaaS outage</t>
        </is>
      </c>
      <c r="B59" s="247" t="inlineStr">
        <is>
          <t>HR Workforce</t>
        </is>
      </c>
      <c r="C59" s="247" t="n">
        <v>1</v>
      </c>
      <c r="D59" s="247">
        <f>ROUND(C59*(1+('Resilience &amp; Risk Scenario'!$B$7-3)*0.15),2)</f>
        <v/>
      </c>
      <c r="E59" s="247" t="inlineStr">
        <is>
          <t>Workforce availability, critical people and knowledge continuity determine operational capacity.</t>
        </is>
      </c>
      <c r="F59" s="247" t="inlineStr">
        <is>
          <t>Monitor; not a primary scenario driver</t>
        </is>
      </c>
      <c r="G59" s="247" t="inlineStr">
        <is>
          <t>Create critical role backups, knowledge transfer, cross-training and workforce continuity plans.</t>
        </is>
      </c>
      <c r="H59" s="247" t="inlineStr">
        <is>
          <t>ISO 30414; ISO 30405; ISO 45001; workforce planning</t>
        </is>
      </c>
      <c r="I59" s="247">
        <f>A59&amp;"|"&amp;B59</f>
        <v/>
      </c>
      <c r="J59" s="247" t="inlineStr">
        <is>
          <t>Multiplier is increased/decreased by severity: severity 3 = base; severity 5 = +30%; severity 1 = -30%.</t>
        </is>
      </c>
      <c r="K59">
        <f>IFERROR(INDEX(_ENGINE_Crisis!$AH$292:$AS$303,MATCH('Resilience &amp; Risk Scenario'!$B$6,_ENGINE_Crisis!$AG$292:$AG$303,0),MATCH($A59,_ENGINE_Crisis!$AH$291:$AS$291,0)),0)</f>
        <v/>
      </c>
    </row>
    <row r="60" ht="28.5" customHeight="1" s="209">
      <c r="A60" s="247" t="inlineStr">
        <is>
          <t>Cloud / SaaS outage</t>
        </is>
      </c>
      <c r="B60" s="247" t="inlineStr">
        <is>
          <t>Finance Procurement</t>
        </is>
      </c>
      <c r="C60" s="247" t="n">
        <v>1.2</v>
      </c>
      <c r="D60" s="247">
        <f>ROUND(C60*(1+('Resilience &amp; Risk Scenario'!$B$7-3)*0.15),2)</f>
        <v/>
      </c>
      <c r="E60" s="247" t="inlineStr">
        <is>
          <t>Cash control, supplier payments and procurement discipline determine financial survival and response options.</t>
        </is>
      </c>
      <c r="F60" s="247" t="inlineStr">
        <is>
          <t>Monitor; not a primary scenario driver</t>
        </is>
      </c>
      <c r="G60" s="247" t="inlineStr">
        <is>
          <t>Build cash stress testing, payment prioritization, supplier risk review and procurement controls.</t>
        </is>
      </c>
      <c r="H60" s="247" t="inlineStr">
        <is>
          <t>COSO; ISO 20400; ISO 31000; IFRS</t>
        </is>
      </c>
      <c r="I60" s="247">
        <f>A60&amp;"|"&amp;B60</f>
        <v/>
      </c>
      <c r="J60" s="247" t="inlineStr">
        <is>
          <t>Multiplier is increased/decreased by severity: severity 3 = base; severity 5 = +30%; severity 1 = -30%.</t>
        </is>
      </c>
      <c r="K60">
        <f>IFERROR(INDEX(_ENGINE_Crisis!$AH$292:$AS$303,MATCH('Resilience &amp; Risk Scenario'!$B$6,_ENGINE_Crisis!$AG$292:$AG$303,0),MATCH($A60,_ENGINE_Crisis!$AH$291:$AS$291,0)),0)</f>
        <v/>
      </c>
    </row>
    <row r="61" ht="28.5" customHeight="1" s="209">
      <c r="A61" s="247" t="inlineStr">
        <is>
          <t>Cloud / SaaS outage</t>
        </is>
      </c>
      <c r="B61" s="247" t="inlineStr">
        <is>
          <t>Legal Risk</t>
        </is>
      </c>
      <c r="C61" s="247" t="n">
        <v>1</v>
      </c>
      <c r="D61" s="247">
        <f>ROUND(C61*(1+('Resilience &amp; Risk Scenario'!$B$7-3)*0.15),2)</f>
        <v/>
      </c>
      <c r="E61" s="247" t="inlineStr">
        <is>
          <t>Contracts, obligations and compliance exposure can turn operational crisis into legal or regulatory failure.</t>
        </is>
      </c>
      <c r="F61" s="247" t="inlineStr">
        <is>
          <t>Monitor; not a primary scenario driver</t>
        </is>
      </c>
      <c r="G61" s="247" t="inlineStr">
        <is>
          <t>Review critical contracts, compliance obligations, force majeure, data protection and legal continuity.</t>
        </is>
      </c>
      <c r="H61" s="247" t="inlineStr">
        <is>
          <t>ISO 37301; ISO 31000; GDPR; ISO 27701</t>
        </is>
      </c>
      <c r="I61" s="247">
        <f>A61&amp;"|"&amp;B61</f>
        <v/>
      </c>
      <c r="J61" s="247" t="inlineStr">
        <is>
          <t>Multiplier is increased/decreased by severity: severity 3 = base; severity 5 = +30%; severity 1 = -30%.</t>
        </is>
      </c>
      <c r="K61">
        <f>IFERROR(INDEX(_ENGINE_Crisis!$AH$292:$AS$303,MATCH('Resilience &amp; Risk Scenario'!$B$6,_ENGINE_Crisis!$AG$292:$AG$303,0),MATCH($A61,_ENGINE_Crisis!$AH$291:$AS$291,0)),0)</f>
        <v/>
      </c>
    </row>
    <row r="62" ht="28.5" customHeight="1" s="209">
      <c r="A62" s="247" t="inlineStr">
        <is>
          <t>Cloud / SaaS outage</t>
        </is>
      </c>
      <c r="B62" s="247" t="inlineStr">
        <is>
          <t>Physical Safety</t>
        </is>
      </c>
      <c r="C62" s="247" t="n">
        <v>1</v>
      </c>
      <c r="D62" s="247">
        <f>ROUND(C62*(1+('Resilience &amp; Risk Scenario'!$B$7-3)*0.15),2)</f>
        <v/>
      </c>
      <c r="E62" s="247" t="inlineStr">
        <is>
          <t>Employee safety, access control, evacuation and facilities resilience are direct crisis constraints.</t>
        </is>
      </c>
      <c r="F62" s="247" t="inlineStr">
        <is>
          <t>Monitor; not a primary scenario driver</t>
        </is>
      </c>
      <c r="G62" s="247" t="inlineStr">
        <is>
          <t>Implement evacuation, access control, emergency response, site security and travel-risk procedures.</t>
        </is>
      </c>
      <c r="H62" s="247" t="inlineStr">
        <is>
          <t>ISO 45001; ISO 22320; ISO 31030; ISO 22301</t>
        </is>
      </c>
      <c r="I62" s="247">
        <f>A62&amp;"|"&amp;B62</f>
        <v/>
      </c>
      <c r="J62" s="247" t="inlineStr">
        <is>
          <t>Multiplier is increased/decreased by severity: severity 3 = base; severity 5 = +30%; severity 1 = -30%.</t>
        </is>
      </c>
      <c r="K62">
        <f>IFERROR(INDEX(_ENGINE_Crisis!$AH$292:$AS$303,MATCH('Resilience &amp; Risk Scenario'!$B$6,_ENGINE_Crisis!$AG$292:$AG$303,0),MATCH($A62,_ENGINE_Crisis!$AH$291:$AS$291,0)),0)</f>
        <v/>
      </c>
    </row>
    <row r="63" ht="28.5" customHeight="1" s="209">
      <c r="A63" s="247" t="inlineStr">
        <is>
          <t>Cloud / SaaS outage</t>
        </is>
      </c>
      <c r="B63" s="247" t="inlineStr">
        <is>
          <t>Delivery Ops</t>
        </is>
      </c>
      <c r="C63" s="247" t="n">
        <v>1.4</v>
      </c>
      <c r="D63" s="247">
        <f>ROUND(C63*(1+('Resilience &amp; Risk Scenario'!$B$7-3)*0.15),2)</f>
        <v/>
      </c>
      <c r="E63" s="247" t="inlineStr">
        <is>
          <t>Delivery capacity, SLA control and operational handover determine customer continuity.</t>
        </is>
      </c>
      <c r="F63" s="247" t="inlineStr">
        <is>
          <t>Secondary focus under this crisis scenario</t>
        </is>
      </c>
      <c r="G63" s="247" t="inlineStr">
        <is>
          <t>Define alternative delivery models, capacity buffers, SLA triage and incident recovery procedures.</t>
        </is>
      </c>
      <c r="H63" s="247" t="inlineStr">
        <is>
          <t>ISO 9001; ISO 22301; ITIL; SLA management</t>
        </is>
      </c>
      <c r="I63" s="247">
        <f>A63&amp;"|"&amp;B63</f>
        <v/>
      </c>
      <c r="J63" s="247" t="inlineStr">
        <is>
          <t>Multiplier is increased/decreased by severity: severity 3 = base; severity 5 = +30%; severity 1 = -30%.</t>
        </is>
      </c>
      <c r="K63">
        <f>IFERROR(INDEX(_ENGINE_Crisis!$AH$292:$AS$303,MATCH('Resilience &amp; Risk Scenario'!$B$6,_ENGINE_Crisis!$AG$292:$AG$303,0),MATCH($A63,_ENGINE_Crisis!$AH$291:$AS$291,0)),0)</f>
        <v/>
      </c>
    </row>
    <row r="64" ht="28.5" customHeight="1" s="209">
      <c r="A64" s="247" t="inlineStr">
        <is>
          <t>Cloud / SaaS outage</t>
        </is>
      </c>
      <c r="B64" s="247" t="inlineStr">
        <is>
          <t>Supply Chain</t>
        </is>
      </c>
      <c r="C64" s="247" t="n">
        <v>1</v>
      </c>
      <c r="D64" s="247">
        <f>ROUND(C64*(1+('Resilience &amp; Risk Scenario'!$B$7-3)*0.15),2)</f>
        <v/>
      </c>
      <c r="E64" s="247" t="inlineStr">
        <is>
          <t>Supplier concentration, logistics and inventory visibility determine production and delivery continuity.</t>
        </is>
      </c>
      <c r="F64" s="247" t="inlineStr">
        <is>
          <t>Monitor; not a primary scenario driver</t>
        </is>
      </c>
      <c r="G64" s="247" t="inlineStr">
        <is>
          <t>Diversify suppliers, define safety stock, alternate routes, supplier monitoring and substitution rules.</t>
        </is>
      </c>
      <c r="H64" s="247" t="inlineStr">
        <is>
          <t>SCOR; ISO 28000; ISO 20400; ISO 22301</t>
        </is>
      </c>
      <c r="I64" s="247">
        <f>A64&amp;"|"&amp;B64</f>
        <v/>
      </c>
      <c r="J64" s="247" t="inlineStr">
        <is>
          <t>Multiplier is increased/decreased by severity: severity 3 = base; severity 5 = +30%; severity 1 = -30%.</t>
        </is>
      </c>
      <c r="K64">
        <f>IFERROR(INDEX(_ENGINE_Crisis!$AH$292:$AS$303,MATCH('Resilience &amp; Risk Scenario'!$B$6,_ENGINE_Crisis!$AG$292:$AG$303,0),MATCH($A64,_ENGINE_Crisis!$AH$291:$AS$291,0)),0)</f>
        <v/>
      </c>
    </row>
    <row r="65" ht="28.5" customHeight="1" s="209">
      <c r="A65" s="247" t="inlineStr">
        <is>
          <t>Cloud / SaaS outage</t>
        </is>
      </c>
      <c r="B65" s="247" t="inlineStr">
        <is>
          <t>Manufacturing MES</t>
        </is>
      </c>
      <c r="C65" s="247" t="n">
        <v>1</v>
      </c>
      <c r="D65" s="247">
        <f>ROUND(C65*(1+('Resilience &amp; Risk Scenario'!$B$7-3)*0.15),2)</f>
        <v/>
      </c>
      <c r="E65" s="247" t="inlineStr">
        <is>
          <t>Production assets, MES, maintenance and utilities determine manufacturing recoverability.</t>
        </is>
      </c>
      <c r="F65" s="247" t="inlineStr">
        <is>
          <t>Monitor; not a primary scenario driver</t>
        </is>
      </c>
      <c r="G65" s="247" t="inlineStr">
        <is>
          <t>Define production fallback, maintenance priorities, spare parts, MES continuity and utility backup.</t>
        </is>
      </c>
      <c r="H65" s="247" t="inlineStr">
        <is>
          <t>ISA-95; ISO 9001; TPM; IEC 62443; ISO 22301</t>
        </is>
      </c>
      <c r="I65" s="247">
        <f>A65&amp;"|"&amp;B65</f>
        <v/>
      </c>
      <c r="J65" s="247" t="inlineStr">
        <is>
          <t>Multiplier is increased/decreased by severity: severity 3 = base; severity 5 = +30%; severity 1 = -30%.</t>
        </is>
      </c>
      <c r="K65">
        <f>IFERROR(INDEX(_ENGINE_Crisis!$AH$292:$AS$303,MATCH('Resilience &amp; Risk Scenario'!$B$6,_ENGINE_Crisis!$AG$292:$AG$303,0),MATCH($A65,_ENGINE_Crisis!$AH$291:$AS$291,0)),0)</f>
        <v/>
      </c>
    </row>
    <row r="66" ht="28.5" customHeight="1" s="209">
      <c r="A66" s="247" t="inlineStr">
        <is>
          <t>Cloud / SaaS outage</t>
        </is>
      </c>
      <c r="B66" s="247" t="inlineStr">
        <is>
          <t>Sales CRM</t>
        </is>
      </c>
      <c r="C66" s="247" t="n">
        <v>1.5</v>
      </c>
      <c r="D66" s="247">
        <f>ROUND(C66*(1+('Resilience &amp; Risk Scenario'!$B$7-3)*0.15),2)</f>
        <v/>
      </c>
      <c r="E66" s="247" t="inlineStr">
        <is>
          <t>CRM discipline, pipeline visibility and retention actions determine revenue protection.</t>
        </is>
      </c>
      <c r="F66" s="247" t="inlineStr">
        <is>
          <t>Secondary focus under this crisis scenario</t>
        </is>
      </c>
      <c r="G66" s="247" t="inlineStr">
        <is>
          <t>Improve CRM hygiene, retention playbooks, pipeline scenarios and customer segmentation.</t>
        </is>
      </c>
      <c r="H66" s="247" t="inlineStr">
        <is>
          <t>CRM best practices; ISO 10002; ISO 10004; revenue operations</t>
        </is>
      </c>
      <c r="I66" s="247">
        <f>A66&amp;"|"&amp;B66</f>
        <v/>
      </c>
      <c r="J66" s="247" t="inlineStr">
        <is>
          <t>Multiplier is increased/decreased by severity: severity 3 = base; severity 5 = +30%; severity 1 = -30%.</t>
        </is>
      </c>
      <c r="K66">
        <f>IFERROR(INDEX(_ENGINE_Crisis!$AH$292:$AS$303,MATCH('Resilience &amp; Risk Scenario'!$B$6,_ENGINE_Crisis!$AG$292:$AG$303,0),MATCH($A66,_ENGINE_Crisis!$AH$291:$AS$291,0)),0)</f>
        <v/>
      </c>
    </row>
    <row r="67" ht="28.5" customHeight="1" s="209">
      <c r="A67" s="247" t="inlineStr">
        <is>
          <t>Cloud / SaaS outage</t>
        </is>
      </c>
      <c r="B67" s="247" t="inlineStr">
        <is>
          <t>Marketing Comms</t>
        </is>
      </c>
      <c r="C67" s="247" t="n">
        <v>1.3</v>
      </c>
      <c r="D67" s="247">
        <f>ROUND(C67*(1+('Resilience &amp; Risk Scenario'!$B$7-3)*0.15),2)</f>
        <v/>
      </c>
      <c r="E67" s="247" t="inlineStr">
        <is>
          <t>Customer communication and reputation control determine trust during uncertainty.</t>
        </is>
      </c>
      <c r="F67" s="247" t="inlineStr">
        <is>
          <t>Secondary focus under this crisis scenario</t>
        </is>
      </c>
      <c r="G67" s="247" t="inlineStr">
        <is>
          <t>Prepare crisis messages, customer notification templates, comms approval flow and brand monitoring.</t>
        </is>
      </c>
      <c r="H67" s="247" t="inlineStr">
        <is>
          <t>ISO 10002; ISO 10004; crisis communication practices</t>
        </is>
      </c>
      <c r="I67" s="247">
        <f>A67&amp;"|"&amp;B67</f>
        <v/>
      </c>
      <c r="J67" s="247" t="inlineStr">
        <is>
          <t>Multiplier is increased/decreased by severity: severity 3 = base; severity 5 = +30%; severity 1 = -30%.</t>
        </is>
      </c>
      <c r="K67">
        <f>IFERROR(INDEX(_ENGINE_Crisis!$AH$292:$AS$303,MATCH('Resilience &amp; Risk Scenario'!$B$6,_ENGINE_Crisis!$AG$292:$AG$303,0),MATCH($A67,_ENGINE_Crisis!$AH$291:$AS$291,0)),0)</f>
        <v/>
      </c>
    </row>
    <row r="68" ht="28.5" customHeight="1" s="209">
      <c r="A68" s="247" t="inlineStr">
        <is>
          <t>Cloud / SaaS outage</t>
        </is>
      </c>
      <c r="B68" s="247" t="inlineStr">
        <is>
          <t>IT Cloud DR</t>
        </is>
      </c>
      <c r="C68" s="247" t="n">
        <v>2</v>
      </c>
      <c r="D68" s="247">
        <f>ROUND(C68*(1+('Resilience &amp; Risk Scenario'!$B$7-3)*0.15),2)</f>
        <v/>
      </c>
      <c r="E68" s="247" t="inlineStr">
        <is>
          <t>Cloud, infrastructure, backups, RTO and RPO determine system recoverability.</t>
        </is>
      </c>
      <c r="F68" s="247" t="inlineStr">
        <is>
          <t>Primary focus under this crisis scenario</t>
        </is>
      </c>
      <c r="G68" s="247" t="inlineStr">
        <is>
          <t>Implement tested backups, DR runbooks, failover, cloud landing zones and RTO/RPO monitoring.</t>
        </is>
      </c>
      <c r="H68" s="247" t="inlineStr">
        <is>
          <t>ISO 27001; NIST CSF; NIST SP 800-34; ISO 20000</t>
        </is>
      </c>
      <c r="I68" s="247">
        <f>A68&amp;"|"&amp;B68</f>
        <v/>
      </c>
      <c r="J68" s="247" t="inlineStr">
        <is>
          <t>Multiplier is increased/decreased by severity: severity 3 = base; severity 5 = +30%; severity 1 = -30%.</t>
        </is>
      </c>
      <c r="K68">
        <f>IFERROR(INDEX(_ENGINE_Crisis!$AH$292:$AS$303,MATCH('Resilience &amp; Risk Scenario'!$B$6,_ENGINE_Crisis!$AG$292:$AG$303,0),MATCH($A68,_ENGINE_Crisis!$AH$291:$AS$291,0)),0)</f>
        <v/>
      </c>
    </row>
    <row r="69" ht="28.5" customHeight="1" s="209">
      <c r="A69" s="247" t="inlineStr">
        <is>
          <t>Cloud / SaaS outage</t>
        </is>
      </c>
      <c r="B69" s="247" t="inlineStr">
        <is>
          <t>Business Systems</t>
        </is>
      </c>
      <c r="C69" s="247" t="n">
        <v>1.8</v>
      </c>
      <c r="D69" s="247">
        <f>ROUND(C69*(1+('Resilience &amp; Risk Scenario'!$B$7-3)*0.15),2)</f>
        <v/>
      </c>
      <c r="E69" s="247" t="inlineStr">
        <is>
          <t>ERP, CRM, HRMS, MES and SaaS continuity determine transaction and process continuity.</t>
        </is>
      </c>
      <c r="F69" s="247" t="inlineStr">
        <is>
          <t>Primary focus under this crisis scenario</t>
        </is>
      </c>
      <c r="G69" s="247" t="inlineStr">
        <is>
          <t>Document system dependencies, SaaS continuity, role access, data exports and manual fallback.</t>
        </is>
      </c>
      <c r="H69" s="247" t="inlineStr">
        <is>
          <t>COBIT; ITIL; ISO 20000; ERP/CRM/MES governance</t>
        </is>
      </c>
      <c r="I69" s="247">
        <f>A69&amp;"|"&amp;B69</f>
        <v/>
      </c>
      <c r="J69" s="247" t="inlineStr">
        <is>
          <t>Multiplier is increased/decreased by severity: severity 3 = base; severity 5 = +30%; severity 1 = -30%.</t>
        </is>
      </c>
      <c r="K69">
        <f>IFERROR(INDEX(_ENGINE_Crisis!$AH$292:$AS$303,MATCH('Resilience &amp; Risk Scenario'!$B$6,_ENGINE_Crisis!$AG$292:$AG$303,0),MATCH($A69,_ENGINE_Crisis!$AH$291:$AS$291,0)),0)</f>
        <v/>
      </c>
    </row>
    <row r="70" ht="28.5" customHeight="1" s="209">
      <c r="A70" s="247" t="inlineStr">
        <is>
          <t>Cloud / SaaS outage</t>
        </is>
      </c>
      <c r="B70" s="247" t="inlineStr">
        <is>
          <t>Data BI AI</t>
        </is>
      </c>
      <c r="C70" s="247" t="n">
        <v>1.6</v>
      </c>
      <c r="D70" s="247">
        <f>ROUND(C70*(1+('Resilience &amp; Risk Scenario'!$B$7-3)*0.15),2)</f>
        <v/>
      </c>
      <c r="E70" s="247" t="inlineStr">
        <is>
          <t>Data quality, BI and analytics determine decision visibility and forecasting under stress.</t>
        </is>
      </c>
      <c r="F70" s="247" t="inlineStr">
        <is>
          <t>Secondary focus under this crisis scenario</t>
        </is>
      </c>
      <c r="G70" s="247" t="inlineStr">
        <is>
          <t>Assign data owners, improve data quality, dashboards, forecasting and AI governance.</t>
        </is>
      </c>
      <c r="H70" s="247" t="inlineStr">
        <is>
          <t>DAMA-DMBOK; ISO 42001; ISO 23894; data governance</t>
        </is>
      </c>
      <c r="I70" s="247">
        <f>A70&amp;"|"&amp;B70</f>
        <v/>
      </c>
      <c r="J70" s="247" t="inlineStr">
        <is>
          <t>Multiplier is increased/decreased by severity: severity 3 = base; severity 5 = +30%; severity 1 = -30%.</t>
        </is>
      </c>
      <c r="K70">
        <f>IFERROR(INDEX(_ENGINE_Crisis!$AH$292:$AS$303,MATCH('Resilience &amp; Risk Scenario'!$B$6,_ENGINE_Crisis!$AG$292:$AG$303,0),MATCH($A70,_ENGINE_Crisis!$AH$291:$AS$291,0)),0)</f>
        <v/>
      </c>
    </row>
    <row r="71" ht="28.5" customHeight="1" s="209">
      <c r="A71" s="247" t="inlineStr">
        <is>
          <t>Cloud / SaaS outage</t>
        </is>
      </c>
      <c r="B71" s="247" t="inlineStr">
        <is>
          <t>Cyber Privacy</t>
        </is>
      </c>
      <c r="C71" s="247" t="n">
        <v>1.3</v>
      </c>
      <c r="D71" s="247">
        <f>ROUND(C71*(1+('Resilience &amp; Risk Scenario'!$B$7-3)*0.15),2)</f>
        <v/>
      </c>
      <c r="E71" s="247" t="inlineStr">
        <is>
          <t>Cybersecurity and privacy controls determine resistance to digital disruption and regulatory exposure.</t>
        </is>
      </c>
      <c r="F71" s="247" t="inlineStr">
        <is>
          <t>Secondary focus under this crisis scenario</t>
        </is>
      </c>
      <c r="G71" s="247" t="inlineStr">
        <is>
          <t>Strengthen MFA, EDR, logging, IR playbooks, restore testing, privacy controls and awareness.</t>
        </is>
      </c>
      <c r="H71" s="247" t="inlineStr">
        <is>
          <t>ISO 27001; NIST CSF; CIS Controls; ISO 27701; GDPR</t>
        </is>
      </c>
      <c r="I71" s="247">
        <f>A71&amp;"|"&amp;B71</f>
        <v/>
      </c>
      <c r="J71" s="247" t="inlineStr">
        <is>
          <t>Multiplier is increased/decreased by severity: severity 3 = base; severity 5 = +30%; severity 1 = -30%.</t>
        </is>
      </c>
      <c r="K71">
        <f>IFERROR(INDEX(_ENGINE_Crisis!$AH$292:$AS$303,MATCH('Resilience &amp; Risk Scenario'!$B$6,_ENGINE_Crisis!$AG$292:$AG$303,0),MATCH($A71,_ENGINE_Crisis!$AH$291:$AS$291,0)),0)</f>
        <v/>
      </c>
    </row>
    <row r="72" ht="28.5" customHeight="1" s="209">
      <c r="A72" s="247" t="inlineStr">
        <is>
          <t>Cloud / SaaS outage</t>
        </is>
      </c>
      <c r="B72" s="247" t="inlineStr">
        <is>
          <t>Quality Portfolio</t>
        </is>
      </c>
      <c r="C72" s="247" t="n">
        <v>1</v>
      </c>
      <c r="D72" s="247">
        <f>ROUND(C72*(1+('Resilience &amp; Risk Scenario'!$B$7-3)*0.15),2)</f>
        <v/>
      </c>
      <c r="E72" s="247" t="inlineStr">
        <is>
          <t>Portfolio discipline and benefits realization determine whether scarce resources are focused on the right actions.</t>
        </is>
      </c>
      <c r="F72" s="247" t="inlineStr">
        <is>
          <t>Monitor; not a primary scenario driver</t>
        </is>
      </c>
      <c r="G72" s="247" t="inlineStr">
        <is>
          <t>Prioritize crisis initiatives by value, risk reduction, dependencies and implementation waves.</t>
        </is>
      </c>
      <c r="H72" s="247" t="inlineStr">
        <is>
          <t>ISO 9001; PMI; ISO 21502; benefits realization; APQC</t>
        </is>
      </c>
      <c r="I72" s="247">
        <f>A72&amp;"|"&amp;B72</f>
        <v/>
      </c>
      <c r="J72" s="247" t="inlineStr">
        <is>
          <t>Multiplier is increased/decreased by severity: severity 3 = base; severity 5 = +30%; severity 1 = -30%.</t>
        </is>
      </c>
      <c r="K72">
        <f>IFERROR(INDEX(_ENGINE_Crisis!$AH$292:$AS$303,MATCH('Resilience &amp; Risk Scenario'!$B$6,_ENGINE_Crisis!$AG$292:$AG$303,0),MATCH($A72,_ENGINE_Crisis!$AH$291:$AS$291,0)),0)</f>
        <v/>
      </c>
    </row>
    <row r="73" ht="28.5" customHeight="1" s="209">
      <c r="A73" s="247" t="inlineStr">
        <is>
          <t>Supplier / logistics disruption</t>
        </is>
      </c>
      <c r="B73" s="247" t="inlineStr">
        <is>
          <t>Company Geography</t>
        </is>
      </c>
      <c r="C73" s="247" t="n">
        <v>1.3</v>
      </c>
      <c r="D73" s="247">
        <f>ROUND(C73*(1+('Resilience &amp; Risk Scenario'!$B$7-3)*0.15),2)</f>
        <v/>
      </c>
      <c r="E73" s="247" t="inlineStr">
        <is>
          <t>Geographic concentration, legal entity exposure and site dependency can amplify crisis impact.</t>
        </is>
      </c>
      <c r="F73" s="247" t="inlineStr">
        <is>
          <t>Secondary focus under this crisis scenario</t>
        </is>
      </c>
      <c r="G73" s="247" t="inlineStr">
        <is>
          <t>Map entities, locations, markets, revenue exposure and alternate operating options.</t>
        </is>
      </c>
      <c r="H73" s="247" t="inlineStr">
        <is>
          <t>ISO 22301; ISO 31000; ISO 9001; ISO 37000; PESTLE</t>
        </is>
      </c>
      <c r="I73" s="247">
        <f>A73&amp;"|"&amp;B73</f>
        <v/>
      </c>
      <c r="J73" s="247" t="inlineStr">
        <is>
          <t>Multiplier is increased/decreased by severity: severity 3 = base; severity 5 = +30%; severity 1 = -30%.</t>
        </is>
      </c>
      <c r="K73">
        <f>IFERROR(INDEX(_ENGINE_Crisis!$AH$292:$AS$303,MATCH('Resilience &amp; Risk Scenario'!$B$6,_ENGINE_Crisis!$AG$292:$AG$303,0),MATCH($A73,_ENGINE_Crisis!$AH$291:$AS$291,0)),0)</f>
        <v/>
      </c>
    </row>
    <row r="74" ht="28.5" customHeight="1" s="209">
      <c r="A74" s="247" t="inlineStr">
        <is>
          <t>Supplier / logistics disruption</t>
        </is>
      </c>
      <c r="B74" s="247" t="inlineStr">
        <is>
          <t>Strategy GTM</t>
        </is>
      </c>
      <c r="C74" s="247" t="n">
        <v>1.2</v>
      </c>
      <c r="D74" s="247">
        <f>ROUND(C74*(1+('Resilience &amp; Risk Scenario'!$B$7-3)*0.15),2)</f>
        <v/>
      </c>
      <c r="E74" s="247" t="inlineStr">
        <is>
          <t>Market positioning, ICP clarity and offer structure determine whether the company can adapt revenue during crisis.</t>
        </is>
      </c>
      <c r="F74" s="247" t="inlineStr">
        <is>
          <t>Monitor; not a primary scenario driver</t>
        </is>
      </c>
      <c r="G74" s="247" t="inlineStr">
        <is>
          <t>Stress-test ICP, offering, pricing, channels and market focus under the selected crisis.</t>
        </is>
      </c>
      <c r="H74" s="247" t="inlineStr">
        <is>
          <t>Business Model Canvas; Porter; Bain Elements of Value; ISO 9001</t>
        </is>
      </c>
      <c r="I74" s="247">
        <f>A74&amp;"|"&amp;B74</f>
        <v/>
      </c>
      <c r="J74" s="247" t="inlineStr">
        <is>
          <t>Multiplier is increased/decreased by severity: severity 3 = base; severity 5 = +30%; severity 1 = -30%.</t>
        </is>
      </c>
      <c r="K74">
        <f>IFERROR(INDEX(_ENGINE_Crisis!$AH$292:$AS$303,MATCH('Resilience &amp; Risk Scenario'!$B$6,_ENGINE_Crisis!$AG$292:$AG$303,0),MATCH($A74,_ENGINE_Crisis!$AH$291:$AS$291,0)),0)</f>
        <v/>
      </c>
    </row>
    <row r="75" ht="28.5" customHeight="1" s="209">
      <c r="A75" s="247" t="inlineStr">
        <is>
          <t>Supplier / logistics disruption</t>
        </is>
      </c>
      <c r="B75" s="247" t="inlineStr">
        <is>
          <t>Governance Crisis</t>
        </is>
      </c>
      <c r="C75" s="247" t="n">
        <v>1</v>
      </c>
      <c r="D75" s="247">
        <f>ROUND(C75*(1+('Resilience &amp; Risk Scenario'!$B$7-3)*0.15),2)</f>
        <v/>
      </c>
      <c r="E75" s="247" t="inlineStr">
        <is>
          <t>Decision rights, escalation and crisis governance determine response speed under pressure.</t>
        </is>
      </c>
      <c r="F75" s="247" t="inlineStr">
        <is>
          <t>Monitor; not a primary scenario driver</t>
        </is>
      </c>
      <c r="G75" s="247" t="inlineStr">
        <is>
          <t>Define crisis roles, escalation path, decision cadence and management war room routines.</t>
        </is>
      </c>
      <c r="H75" s="247" t="inlineStr">
        <is>
          <t>ISO 22301; ISO 31000; ISO 37000; Bain RAPID</t>
        </is>
      </c>
      <c r="I75" s="247">
        <f>A75&amp;"|"&amp;B75</f>
        <v/>
      </c>
      <c r="J75" s="247" t="inlineStr">
        <is>
          <t>Multiplier is increased/decreased by severity: severity 3 = base; severity 5 = +30%; severity 1 = -30%.</t>
        </is>
      </c>
      <c r="K75">
        <f>IFERROR(INDEX(_ENGINE_Crisis!$AH$292:$AS$303,MATCH('Resilience &amp; Risk Scenario'!$B$6,_ENGINE_Crisis!$AG$292:$AG$303,0),MATCH($A75,_ENGINE_Crisis!$AH$291:$AS$291,0)),0)</f>
        <v/>
      </c>
    </row>
    <row r="76" ht="28.5" customHeight="1" s="209">
      <c r="A76" s="247" t="inlineStr">
        <is>
          <t>Supplier / logistics disruption</t>
        </is>
      </c>
      <c r="B76" s="247" t="inlineStr">
        <is>
          <t>HR Workforce</t>
        </is>
      </c>
      <c r="C76" s="247" t="n">
        <v>1</v>
      </c>
      <c r="D76" s="247">
        <f>ROUND(C76*(1+('Resilience &amp; Risk Scenario'!$B$7-3)*0.15),2)</f>
        <v/>
      </c>
      <c r="E76" s="247" t="inlineStr">
        <is>
          <t>Workforce availability, critical people and knowledge continuity determine operational capacity.</t>
        </is>
      </c>
      <c r="F76" s="247" t="inlineStr">
        <is>
          <t>Monitor; not a primary scenario driver</t>
        </is>
      </c>
      <c r="G76" s="247" t="inlineStr">
        <is>
          <t>Create critical role backups, knowledge transfer, cross-training and workforce continuity plans.</t>
        </is>
      </c>
      <c r="H76" s="247" t="inlineStr">
        <is>
          <t>ISO 30414; ISO 30405; ISO 45001; workforce planning</t>
        </is>
      </c>
      <c r="I76" s="247">
        <f>A76&amp;"|"&amp;B76</f>
        <v/>
      </c>
      <c r="J76" s="247" t="inlineStr">
        <is>
          <t>Multiplier is increased/decreased by severity: severity 3 = base; severity 5 = +30%; severity 1 = -30%.</t>
        </is>
      </c>
      <c r="K76">
        <f>IFERROR(INDEX(_ENGINE_Crisis!$AH$292:$AS$303,MATCH('Resilience &amp; Risk Scenario'!$B$6,_ENGINE_Crisis!$AG$292:$AG$303,0),MATCH($A76,_ENGINE_Crisis!$AH$291:$AS$291,0)),0)</f>
        <v/>
      </c>
    </row>
    <row r="77" ht="28.5" customHeight="1" s="209">
      <c r="A77" s="247" t="inlineStr">
        <is>
          <t>Supplier / logistics disruption</t>
        </is>
      </c>
      <c r="B77" s="247" t="inlineStr">
        <is>
          <t>Finance Procurement</t>
        </is>
      </c>
      <c r="C77" s="247" t="n">
        <v>1.4</v>
      </c>
      <c r="D77" s="247">
        <f>ROUND(C77*(1+('Resilience &amp; Risk Scenario'!$B$7-3)*0.15),2)</f>
        <v/>
      </c>
      <c r="E77" s="247" t="inlineStr">
        <is>
          <t>Cash control, supplier payments and procurement discipline determine financial survival and response options.</t>
        </is>
      </c>
      <c r="F77" s="247" t="inlineStr">
        <is>
          <t>Secondary focus under this crisis scenario</t>
        </is>
      </c>
      <c r="G77" s="247" t="inlineStr">
        <is>
          <t>Build cash stress testing, payment prioritization, supplier risk review and procurement controls.</t>
        </is>
      </c>
      <c r="H77" s="247" t="inlineStr">
        <is>
          <t>COSO; ISO 20400; ISO 31000; IFRS</t>
        </is>
      </c>
      <c r="I77" s="247">
        <f>A77&amp;"|"&amp;B77</f>
        <v/>
      </c>
      <c r="J77" s="247" t="inlineStr">
        <is>
          <t>Multiplier is increased/decreased by severity: severity 3 = base; severity 5 = +30%; severity 1 = -30%.</t>
        </is>
      </c>
      <c r="K77">
        <f>IFERROR(INDEX(_ENGINE_Crisis!$AH$292:$AS$303,MATCH('Resilience &amp; Risk Scenario'!$B$6,_ENGINE_Crisis!$AG$292:$AG$303,0),MATCH($A77,_ENGINE_Crisis!$AH$291:$AS$291,0)),0)</f>
        <v/>
      </c>
    </row>
    <row r="78" ht="28.5" customHeight="1" s="209">
      <c r="A78" s="247" t="inlineStr">
        <is>
          <t>Supplier / logistics disruption</t>
        </is>
      </c>
      <c r="B78" s="247" t="inlineStr">
        <is>
          <t>Legal Risk</t>
        </is>
      </c>
      <c r="C78" s="247" t="n">
        <v>1</v>
      </c>
      <c r="D78" s="247">
        <f>ROUND(C78*(1+('Resilience &amp; Risk Scenario'!$B$7-3)*0.15),2)</f>
        <v/>
      </c>
      <c r="E78" s="247" t="inlineStr">
        <is>
          <t>Contracts, obligations and compliance exposure can turn operational crisis into legal or regulatory failure.</t>
        </is>
      </c>
      <c r="F78" s="247" t="inlineStr">
        <is>
          <t>Monitor; not a primary scenario driver</t>
        </is>
      </c>
      <c r="G78" s="247" t="inlineStr">
        <is>
          <t>Review critical contracts, compliance obligations, force majeure, data protection and legal continuity.</t>
        </is>
      </c>
      <c r="H78" s="247" t="inlineStr">
        <is>
          <t>ISO 37301; ISO 31000; GDPR; ISO 27701</t>
        </is>
      </c>
      <c r="I78" s="247">
        <f>A78&amp;"|"&amp;B78</f>
        <v/>
      </c>
      <c r="J78" s="247" t="inlineStr">
        <is>
          <t>Multiplier is increased/decreased by severity: severity 3 = base; severity 5 = +30%; severity 1 = -30%.</t>
        </is>
      </c>
      <c r="K78">
        <f>IFERROR(INDEX(_ENGINE_Crisis!$AH$292:$AS$303,MATCH('Resilience &amp; Risk Scenario'!$B$6,_ENGINE_Crisis!$AG$292:$AG$303,0),MATCH($A78,_ENGINE_Crisis!$AH$291:$AS$291,0)),0)</f>
        <v/>
      </c>
    </row>
    <row r="79" ht="28.5" customHeight="1" s="209">
      <c r="A79" s="247" t="inlineStr">
        <is>
          <t>Supplier / logistics disruption</t>
        </is>
      </c>
      <c r="B79" s="247" t="inlineStr">
        <is>
          <t>Physical Safety</t>
        </is>
      </c>
      <c r="C79" s="247" t="n">
        <v>1.2</v>
      </c>
      <c r="D79" s="247">
        <f>ROUND(C79*(1+('Resilience &amp; Risk Scenario'!$B$7-3)*0.15),2)</f>
        <v/>
      </c>
      <c r="E79" s="247" t="inlineStr">
        <is>
          <t>Employee safety, access control, evacuation and facilities resilience are direct crisis constraints.</t>
        </is>
      </c>
      <c r="F79" s="247" t="inlineStr">
        <is>
          <t>Monitor; not a primary scenario driver</t>
        </is>
      </c>
      <c r="G79" s="247" t="inlineStr">
        <is>
          <t>Implement evacuation, access control, emergency response, site security and travel-risk procedures.</t>
        </is>
      </c>
      <c r="H79" s="247" t="inlineStr">
        <is>
          <t>ISO 45001; ISO 22320; ISO 31030; ISO 22301</t>
        </is>
      </c>
      <c r="I79" s="247">
        <f>A79&amp;"|"&amp;B79</f>
        <v/>
      </c>
      <c r="J79" s="247" t="inlineStr">
        <is>
          <t>Multiplier is increased/decreased by severity: severity 3 = base; severity 5 = +30%; severity 1 = -30%.</t>
        </is>
      </c>
      <c r="K79">
        <f>IFERROR(INDEX(_ENGINE_Crisis!$AH$292:$AS$303,MATCH('Resilience &amp; Risk Scenario'!$B$6,_ENGINE_Crisis!$AG$292:$AG$303,0),MATCH($A79,_ENGINE_Crisis!$AH$291:$AS$291,0)),0)</f>
        <v/>
      </c>
    </row>
    <row r="80" ht="28.5" customHeight="1" s="209">
      <c r="A80" s="247" t="inlineStr">
        <is>
          <t>Supplier / logistics disruption</t>
        </is>
      </c>
      <c r="B80" s="247" t="inlineStr">
        <is>
          <t>Delivery Ops</t>
        </is>
      </c>
      <c r="C80" s="247" t="n">
        <v>1.7</v>
      </c>
      <c r="D80" s="247">
        <f>ROUND(C80*(1+('Resilience &amp; Risk Scenario'!$B$7-3)*0.15),2)</f>
        <v/>
      </c>
      <c r="E80" s="247" t="inlineStr">
        <is>
          <t>Delivery capacity, SLA control and operational handover determine customer continuity.</t>
        </is>
      </c>
      <c r="F80" s="247" t="inlineStr">
        <is>
          <t>Primary focus under this crisis scenario</t>
        </is>
      </c>
      <c r="G80" s="247" t="inlineStr">
        <is>
          <t>Define alternative delivery models, capacity buffers, SLA triage and incident recovery procedures.</t>
        </is>
      </c>
      <c r="H80" s="247" t="inlineStr">
        <is>
          <t>ISO 9001; ISO 22301; ITIL; SLA management</t>
        </is>
      </c>
      <c r="I80" s="247">
        <f>A80&amp;"|"&amp;B80</f>
        <v/>
      </c>
      <c r="J80" s="247" t="inlineStr">
        <is>
          <t>Multiplier is increased/decreased by severity: severity 3 = base; severity 5 = +30%; severity 1 = -30%.</t>
        </is>
      </c>
      <c r="K80">
        <f>IFERROR(INDEX(_ENGINE_Crisis!$AH$292:$AS$303,MATCH('Resilience &amp; Risk Scenario'!$B$6,_ENGINE_Crisis!$AG$292:$AG$303,0),MATCH($A80,_ENGINE_Crisis!$AH$291:$AS$291,0)),0)</f>
        <v/>
      </c>
    </row>
    <row r="81" ht="28.5" customHeight="1" s="209">
      <c r="A81" s="247" t="inlineStr">
        <is>
          <t>Supplier / logistics disruption</t>
        </is>
      </c>
      <c r="B81" s="247" t="inlineStr">
        <is>
          <t>Supply Chain</t>
        </is>
      </c>
      <c r="C81" s="247" t="n">
        <v>2</v>
      </c>
      <c r="D81" s="247">
        <f>ROUND(C81*(1+('Resilience &amp; Risk Scenario'!$B$7-3)*0.15),2)</f>
        <v/>
      </c>
      <c r="E81" s="247" t="inlineStr">
        <is>
          <t>Supplier concentration, logistics and inventory visibility determine production and delivery continuity.</t>
        </is>
      </c>
      <c r="F81" s="247" t="inlineStr">
        <is>
          <t>Primary focus under this crisis scenario</t>
        </is>
      </c>
      <c r="G81" s="247" t="inlineStr">
        <is>
          <t>Diversify suppliers, define safety stock, alternate routes, supplier monitoring and substitution rules.</t>
        </is>
      </c>
      <c r="H81" s="247" t="inlineStr">
        <is>
          <t>SCOR; ISO 28000; ISO 20400; ISO 22301</t>
        </is>
      </c>
      <c r="I81" s="247">
        <f>A81&amp;"|"&amp;B81</f>
        <v/>
      </c>
      <c r="J81" s="247" t="inlineStr">
        <is>
          <t>Multiplier is increased/decreased by severity: severity 3 = base; severity 5 = +30%; severity 1 = -30%.</t>
        </is>
      </c>
      <c r="K81">
        <f>IFERROR(INDEX(_ENGINE_Crisis!$AH$292:$AS$303,MATCH('Resilience &amp; Risk Scenario'!$B$6,_ENGINE_Crisis!$AG$292:$AG$303,0),MATCH($A81,_ENGINE_Crisis!$AH$291:$AS$291,0)),0)</f>
        <v/>
      </c>
    </row>
    <row r="82" ht="28.5" customHeight="1" s="209">
      <c r="A82" s="247" t="inlineStr">
        <is>
          <t>Supplier / logistics disruption</t>
        </is>
      </c>
      <c r="B82" s="247" t="inlineStr">
        <is>
          <t>Manufacturing MES</t>
        </is>
      </c>
      <c r="C82" s="247" t="n">
        <v>1.8</v>
      </c>
      <c r="D82" s="247">
        <f>ROUND(C82*(1+('Resilience &amp; Risk Scenario'!$B$7-3)*0.15),2)</f>
        <v/>
      </c>
      <c r="E82" s="247" t="inlineStr">
        <is>
          <t>Production assets, MES, maintenance and utilities determine manufacturing recoverability.</t>
        </is>
      </c>
      <c r="F82" s="247" t="inlineStr">
        <is>
          <t>Primary focus under this crisis scenario</t>
        </is>
      </c>
      <c r="G82" s="247" t="inlineStr">
        <is>
          <t>Define production fallback, maintenance priorities, spare parts, MES continuity and utility backup.</t>
        </is>
      </c>
      <c r="H82" s="247" t="inlineStr">
        <is>
          <t>ISA-95; ISO 9001; TPM; IEC 62443; ISO 22301</t>
        </is>
      </c>
      <c r="I82" s="247">
        <f>A82&amp;"|"&amp;B82</f>
        <v/>
      </c>
      <c r="J82" s="247" t="inlineStr">
        <is>
          <t>Multiplier is increased/decreased by severity: severity 3 = base; severity 5 = +30%; severity 1 = -30%.</t>
        </is>
      </c>
      <c r="K82">
        <f>IFERROR(INDEX(_ENGINE_Crisis!$AH$292:$AS$303,MATCH('Resilience &amp; Risk Scenario'!$B$6,_ENGINE_Crisis!$AG$292:$AG$303,0),MATCH($A82,_ENGINE_Crisis!$AH$291:$AS$291,0)),0)</f>
        <v/>
      </c>
    </row>
    <row r="83" ht="28.5" customHeight="1" s="209">
      <c r="A83" s="247" t="inlineStr">
        <is>
          <t>Supplier / logistics disruption</t>
        </is>
      </c>
      <c r="B83" s="247" t="inlineStr">
        <is>
          <t>Sales CRM</t>
        </is>
      </c>
      <c r="C83" s="247" t="n">
        <v>1</v>
      </c>
      <c r="D83" s="247">
        <f>ROUND(C83*(1+('Resilience &amp; Risk Scenario'!$B$7-3)*0.15),2)</f>
        <v/>
      </c>
      <c r="E83" s="247" t="inlineStr">
        <is>
          <t>CRM discipline, pipeline visibility and retention actions determine revenue protection.</t>
        </is>
      </c>
      <c r="F83" s="247" t="inlineStr">
        <is>
          <t>Monitor; not a primary scenario driver</t>
        </is>
      </c>
      <c r="G83" s="247" t="inlineStr">
        <is>
          <t>Improve CRM hygiene, retention playbooks, pipeline scenarios and customer segmentation.</t>
        </is>
      </c>
      <c r="H83" s="247" t="inlineStr">
        <is>
          <t>CRM best practices; ISO 10002; ISO 10004; revenue operations</t>
        </is>
      </c>
      <c r="I83" s="247">
        <f>A83&amp;"|"&amp;B83</f>
        <v/>
      </c>
      <c r="J83" s="247" t="inlineStr">
        <is>
          <t>Multiplier is increased/decreased by severity: severity 3 = base; severity 5 = +30%; severity 1 = -30%.</t>
        </is>
      </c>
      <c r="K83">
        <f>IFERROR(INDEX(_ENGINE_Crisis!$AH$292:$AS$303,MATCH('Resilience &amp; Risk Scenario'!$B$6,_ENGINE_Crisis!$AG$292:$AG$303,0),MATCH($A83,_ENGINE_Crisis!$AH$291:$AS$291,0)),0)</f>
        <v/>
      </c>
    </row>
    <row r="84" ht="28.5" customHeight="1" s="209">
      <c r="A84" s="247" t="inlineStr">
        <is>
          <t>Supplier / logistics disruption</t>
        </is>
      </c>
      <c r="B84" s="247" t="inlineStr">
        <is>
          <t>Marketing Comms</t>
        </is>
      </c>
      <c r="C84" s="247" t="n">
        <v>1</v>
      </c>
      <c r="D84" s="247">
        <f>ROUND(C84*(1+('Resilience &amp; Risk Scenario'!$B$7-3)*0.15),2)</f>
        <v/>
      </c>
      <c r="E84" s="247" t="inlineStr">
        <is>
          <t>Customer communication and reputation control determine trust during uncertainty.</t>
        </is>
      </c>
      <c r="F84" s="247" t="inlineStr">
        <is>
          <t>Monitor; not a primary scenario driver</t>
        </is>
      </c>
      <c r="G84" s="247" t="inlineStr">
        <is>
          <t>Prepare crisis messages, customer notification templates, comms approval flow and brand monitoring.</t>
        </is>
      </c>
      <c r="H84" s="247" t="inlineStr">
        <is>
          <t>ISO 10002; ISO 10004; crisis communication practices</t>
        </is>
      </c>
      <c r="I84" s="247">
        <f>A84&amp;"|"&amp;B84</f>
        <v/>
      </c>
      <c r="J84" s="247" t="inlineStr">
        <is>
          <t>Multiplier is increased/decreased by severity: severity 3 = base; severity 5 = +30%; severity 1 = -30%.</t>
        </is>
      </c>
      <c r="K84">
        <f>IFERROR(INDEX(_ENGINE_Crisis!$AH$292:$AS$303,MATCH('Resilience &amp; Risk Scenario'!$B$6,_ENGINE_Crisis!$AG$292:$AG$303,0),MATCH($A84,_ENGINE_Crisis!$AH$291:$AS$291,0)),0)</f>
        <v/>
      </c>
    </row>
    <row r="85" ht="28.5" customHeight="1" s="209">
      <c r="A85" s="247" t="inlineStr">
        <is>
          <t>Supplier / logistics disruption</t>
        </is>
      </c>
      <c r="B85" s="247" t="inlineStr">
        <is>
          <t>IT Cloud DR</t>
        </is>
      </c>
      <c r="C85" s="247" t="n">
        <v>1</v>
      </c>
      <c r="D85" s="247">
        <f>ROUND(C85*(1+('Resilience &amp; Risk Scenario'!$B$7-3)*0.15),2)</f>
        <v/>
      </c>
      <c r="E85" s="247" t="inlineStr">
        <is>
          <t>Cloud, infrastructure, backups, RTO and RPO determine system recoverability.</t>
        </is>
      </c>
      <c r="F85" s="247" t="inlineStr">
        <is>
          <t>Monitor; not a primary scenario driver</t>
        </is>
      </c>
      <c r="G85" s="247" t="inlineStr">
        <is>
          <t>Implement tested backups, DR runbooks, failover, cloud landing zones and RTO/RPO monitoring.</t>
        </is>
      </c>
      <c r="H85" s="247" t="inlineStr">
        <is>
          <t>ISO 27001; NIST CSF; NIST SP 800-34; ISO 20000</t>
        </is>
      </c>
      <c r="I85" s="247">
        <f>A85&amp;"|"&amp;B85</f>
        <v/>
      </c>
      <c r="J85" s="247" t="inlineStr">
        <is>
          <t>Multiplier is increased/decreased by severity: severity 3 = base; severity 5 = +30%; severity 1 = -30%.</t>
        </is>
      </c>
      <c r="K85">
        <f>IFERROR(INDEX(_ENGINE_Crisis!$AH$292:$AS$303,MATCH('Resilience &amp; Risk Scenario'!$B$6,_ENGINE_Crisis!$AG$292:$AG$303,0),MATCH($A85,_ENGINE_Crisis!$AH$291:$AS$291,0)),0)</f>
        <v/>
      </c>
    </row>
    <row r="86" ht="28.5" customHeight="1" s="209">
      <c r="A86" s="247" t="inlineStr">
        <is>
          <t>Supplier / logistics disruption</t>
        </is>
      </c>
      <c r="B86" s="247" t="inlineStr">
        <is>
          <t>Business Systems</t>
        </is>
      </c>
      <c r="C86" s="247" t="n">
        <v>1</v>
      </c>
      <c r="D86" s="247">
        <f>ROUND(C86*(1+('Resilience &amp; Risk Scenario'!$B$7-3)*0.15),2)</f>
        <v/>
      </c>
      <c r="E86" s="247" t="inlineStr">
        <is>
          <t>ERP, CRM, HRMS, MES and SaaS continuity determine transaction and process continuity.</t>
        </is>
      </c>
      <c r="F86" s="247" t="inlineStr">
        <is>
          <t>Monitor; not a primary scenario driver</t>
        </is>
      </c>
      <c r="G86" s="247" t="inlineStr">
        <is>
          <t>Document system dependencies, SaaS continuity, role access, data exports and manual fallback.</t>
        </is>
      </c>
      <c r="H86" s="247" t="inlineStr">
        <is>
          <t>COBIT; ITIL; ISO 20000; ERP/CRM/MES governance</t>
        </is>
      </c>
      <c r="I86" s="247">
        <f>A86&amp;"|"&amp;B86</f>
        <v/>
      </c>
      <c r="J86" s="247" t="inlineStr">
        <is>
          <t>Multiplier is increased/decreased by severity: severity 3 = base; severity 5 = +30%; severity 1 = -30%.</t>
        </is>
      </c>
      <c r="K86">
        <f>IFERROR(INDEX(_ENGINE_Crisis!$AH$292:$AS$303,MATCH('Resilience &amp; Risk Scenario'!$B$6,_ENGINE_Crisis!$AG$292:$AG$303,0),MATCH($A86,_ENGINE_Crisis!$AH$291:$AS$291,0)),0)</f>
        <v/>
      </c>
    </row>
    <row r="87" ht="28.5" customHeight="1" s="209">
      <c r="A87" s="247" t="inlineStr">
        <is>
          <t>Supplier / logistics disruption</t>
        </is>
      </c>
      <c r="B87" s="247" t="inlineStr">
        <is>
          <t>Data BI AI</t>
        </is>
      </c>
      <c r="C87" s="247" t="n">
        <v>1</v>
      </c>
      <c r="D87" s="247">
        <f>ROUND(C87*(1+('Resilience &amp; Risk Scenario'!$B$7-3)*0.15),2)</f>
        <v/>
      </c>
      <c r="E87" s="247" t="inlineStr">
        <is>
          <t>Data quality, BI and analytics determine decision visibility and forecasting under stress.</t>
        </is>
      </c>
      <c r="F87" s="247" t="inlineStr">
        <is>
          <t>Monitor; not a primary scenario driver</t>
        </is>
      </c>
      <c r="G87" s="247" t="inlineStr">
        <is>
          <t>Assign data owners, improve data quality, dashboards, forecasting and AI governance.</t>
        </is>
      </c>
      <c r="H87" s="247" t="inlineStr">
        <is>
          <t>DAMA-DMBOK; ISO 42001; ISO 23894; data governance</t>
        </is>
      </c>
      <c r="I87" s="247">
        <f>A87&amp;"|"&amp;B87</f>
        <v/>
      </c>
      <c r="J87" s="247" t="inlineStr">
        <is>
          <t>Multiplier is increased/decreased by severity: severity 3 = base; severity 5 = +30%; severity 1 = -30%.</t>
        </is>
      </c>
      <c r="K87">
        <f>IFERROR(INDEX(_ENGINE_Crisis!$AH$292:$AS$303,MATCH('Resilience &amp; Risk Scenario'!$B$6,_ENGINE_Crisis!$AG$292:$AG$303,0),MATCH($A87,_ENGINE_Crisis!$AH$291:$AS$291,0)),0)</f>
        <v/>
      </c>
    </row>
    <row r="88" ht="28.5" customHeight="1" s="209">
      <c r="A88" s="247" t="inlineStr">
        <is>
          <t>Supplier / logistics disruption</t>
        </is>
      </c>
      <c r="B88" s="247" t="inlineStr">
        <is>
          <t>Cyber Privacy</t>
        </is>
      </c>
      <c r="C88" s="247" t="n">
        <v>1</v>
      </c>
      <c r="D88" s="247">
        <f>ROUND(C88*(1+('Resilience &amp; Risk Scenario'!$B$7-3)*0.15),2)</f>
        <v/>
      </c>
      <c r="E88" s="247" t="inlineStr">
        <is>
          <t>Cybersecurity and privacy controls determine resistance to digital disruption and regulatory exposure.</t>
        </is>
      </c>
      <c r="F88" s="247" t="inlineStr">
        <is>
          <t>Monitor; not a primary scenario driver</t>
        </is>
      </c>
      <c r="G88" s="247" t="inlineStr">
        <is>
          <t>Strengthen MFA, EDR, logging, IR playbooks, restore testing, privacy controls and awareness.</t>
        </is>
      </c>
      <c r="H88" s="247" t="inlineStr">
        <is>
          <t>ISO 27001; NIST CSF; CIS Controls; ISO 27701; GDPR</t>
        </is>
      </c>
      <c r="I88" s="247">
        <f>A88&amp;"|"&amp;B88</f>
        <v/>
      </c>
      <c r="J88" s="247" t="inlineStr">
        <is>
          <t>Multiplier is increased/decreased by severity: severity 3 = base; severity 5 = +30%; severity 1 = -30%.</t>
        </is>
      </c>
      <c r="K88">
        <f>IFERROR(INDEX(_ENGINE_Crisis!$AH$292:$AS$303,MATCH('Resilience &amp; Risk Scenario'!$B$6,_ENGINE_Crisis!$AG$292:$AG$303,0),MATCH($A88,_ENGINE_Crisis!$AH$291:$AS$291,0)),0)</f>
        <v/>
      </c>
    </row>
    <row r="89" ht="28.5" customHeight="1" s="209">
      <c r="A89" s="247" t="inlineStr">
        <is>
          <t>Supplier / logistics disruption</t>
        </is>
      </c>
      <c r="B89" s="247" t="inlineStr">
        <is>
          <t>Quality Portfolio</t>
        </is>
      </c>
      <c r="C89" s="247" t="n">
        <v>1</v>
      </c>
      <c r="D89" s="247">
        <f>ROUND(C89*(1+('Resilience &amp; Risk Scenario'!$B$7-3)*0.15),2)</f>
        <v/>
      </c>
      <c r="E89" s="247" t="inlineStr">
        <is>
          <t>Portfolio discipline and benefits realization determine whether scarce resources are focused on the right actions.</t>
        </is>
      </c>
      <c r="F89" s="247" t="inlineStr">
        <is>
          <t>Monitor; not a primary scenario driver</t>
        </is>
      </c>
      <c r="G89" s="247" t="inlineStr">
        <is>
          <t>Prioritize crisis initiatives by value, risk reduction, dependencies and implementation waves.</t>
        </is>
      </c>
      <c r="H89" s="247" t="inlineStr">
        <is>
          <t>ISO 9001; PMI; ISO 21502; benefits realization; APQC</t>
        </is>
      </c>
      <c r="I89" s="247">
        <f>A89&amp;"|"&amp;B89</f>
        <v/>
      </c>
      <c r="J89" s="247" t="inlineStr">
        <is>
          <t>Multiplier is increased/decreased by severity: severity 3 = base; severity 5 = +30%; severity 1 = -30%.</t>
        </is>
      </c>
      <c r="K89">
        <f>IFERROR(INDEX(_ENGINE_Crisis!$AH$292:$AS$303,MATCH('Resilience &amp; Risk Scenario'!$B$6,_ENGINE_Crisis!$AG$292:$AG$303,0),MATCH($A89,_ENGINE_Crisis!$AH$291:$AS$291,0)),0)</f>
        <v/>
      </c>
    </row>
    <row r="90" ht="28.5" customHeight="1" s="209">
      <c r="A90" s="247" t="inlineStr">
        <is>
          <t>Energy / utilities outage</t>
        </is>
      </c>
      <c r="B90" s="247" t="inlineStr">
        <is>
          <t>Company Geography</t>
        </is>
      </c>
      <c r="C90" s="247" t="n">
        <v>1</v>
      </c>
      <c r="D90" s="247">
        <f>ROUND(C90*(1+('Resilience &amp; Risk Scenario'!$B$7-3)*0.15),2)</f>
        <v/>
      </c>
      <c r="E90" s="247" t="inlineStr">
        <is>
          <t>Geographic concentration, legal entity exposure and site dependency can amplify crisis impact.</t>
        </is>
      </c>
      <c r="F90" s="247" t="inlineStr">
        <is>
          <t>Monitor; not a primary scenario driver</t>
        </is>
      </c>
      <c r="G90" s="247" t="inlineStr">
        <is>
          <t>Map entities, locations, markets, revenue exposure and alternate operating options.</t>
        </is>
      </c>
      <c r="H90" s="247" t="inlineStr">
        <is>
          <t>ISO 22301; ISO 31000; ISO 9001; ISO 37000; PESTLE</t>
        </is>
      </c>
      <c r="I90" s="247">
        <f>A90&amp;"|"&amp;B90</f>
        <v/>
      </c>
      <c r="J90" s="247" t="inlineStr">
        <is>
          <t>Multiplier is increased/decreased by severity: severity 3 = base; severity 5 = +30%; severity 1 = -30%.</t>
        </is>
      </c>
      <c r="K90">
        <f>IFERROR(INDEX(_ENGINE_Crisis!$AH$292:$AS$303,MATCH('Resilience &amp; Risk Scenario'!$B$6,_ENGINE_Crisis!$AG$292:$AG$303,0),MATCH($A90,_ENGINE_Crisis!$AH$291:$AS$291,0)),0)</f>
        <v/>
      </c>
    </row>
    <row r="91" ht="28.5" customHeight="1" s="209">
      <c r="A91" s="247" t="inlineStr">
        <is>
          <t>Energy / utilities outage</t>
        </is>
      </c>
      <c r="B91" s="247" t="inlineStr">
        <is>
          <t>Strategy GTM</t>
        </is>
      </c>
      <c r="C91" s="247" t="n">
        <v>1</v>
      </c>
      <c r="D91" s="247">
        <f>ROUND(C91*(1+('Resilience &amp; Risk Scenario'!$B$7-3)*0.15),2)</f>
        <v/>
      </c>
      <c r="E91" s="247" t="inlineStr">
        <is>
          <t>Market positioning, ICP clarity and offer structure determine whether the company can adapt revenue during crisis.</t>
        </is>
      </c>
      <c r="F91" s="247" t="inlineStr">
        <is>
          <t>Monitor; not a primary scenario driver</t>
        </is>
      </c>
      <c r="G91" s="247" t="inlineStr">
        <is>
          <t>Stress-test ICP, offering, pricing, channels and market focus under the selected crisis.</t>
        </is>
      </c>
      <c r="H91" s="247" t="inlineStr">
        <is>
          <t>Business Model Canvas; Porter; Bain Elements of Value; ISO 9001</t>
        </is>
      </c>
      <c r="I91" s="247">
        <f>A91&amp;"|"&amp;B91</f>
        <v/>
      </c>
      <c r="J91" s="247" t="inlineStr">
        <is>
          <t>Multiplier is increased/decreased by severity: severity 3 = base; severity 5 = +30%; severity 1 = -30%.</t>
        </is>
      </c>
      <c r="K91">
        <f>IFERROR(INDEX(_ENGINE_Crisis!$AH$292:$AS$303,MATCH('Resilience &amp; Risk Scenario'!$B$6,_ENGINE_Crisis!$AG$292:$AG$303,0),MATCH($A91,_ENGINE_Crisis!$AH$291:$AS$291,0)),0)</f>
        <v/>
      </c>
    </row>
    <row r="92" ht="28.5" customHeight="1" s="209">
      <c r="A92" s="247" t="inlineStr">
        <is>
          <t>Energy / utilities outage</t>
        </is>
      </c>
      <c r="B92" s="247" t="inlineStr">
        <is>
          <t>Governance Crisis</t>
        </is>
      </c>
      <c r="C92" s="247" t="n">
        <v>1</v>
      </c>
      <c r="D92" s="247">
        <f>ROUND(C92*(1+('Resilience &amp; Risk Scenario'!$B$7-3)*0.15),2)</f>
        <v/>
      </c>
      <c r="E92" s="247" t="inlineStr">
        <is>
          <t>Decision rights, escalation and crisis governance determine response speed under pressure.</t>
        </is>
      </c>
      <c r="F92" s="247" t="inlineStr">
        <is>
          <t>Monitor; not a primary scenario driver</t>
        </is>
      </c>
      <c r="G92" s="247" t="inlineStr">
        <is>
          <t>Define crisis roles, escalation path, decision cadence and management war room routines.</t>
        </is>
      </c>
      <c r="H92" s="247" t="inlineStr">
        <is>
          <t>ISO 22301; ISO 31000; ISO 37000; Bain RAPID</t>
        </is>
      </c>
      <c r="I92" s="247">
        <f>A92&amp;"|"&amp;B92</f>
        <v/>
      </c>
      <c r="J92" s="247" t="inlineStr">
        <is>
          <t>Multiplier is increased/decreased by severity: severity 3 = base; severity 5 = +30%; severity 1 = -30%.</t>
        </is>
      </c>
      <c r="K92">
        <f>IFERROR(INDEX(_ENGINE_Crisis!$AH$292:$AS$303,MATCH('Resilience &amp; Risk Scenario'!$B$6,_ENGINE_Crisis!$AG$292:$AG$303,0),MATCH($A92,_ENGINE_Crisis!$AH$291:$AS$291,0)),0)</f>
        <v/>
      </c>
    </row>
    <row r="93" ht="28.5" customHeight="1" s="209">
      <c r="A93" s="247" t="inlineStr">
        <is>
          <t>Energy / utilities outage</t>
        </is>
      </c>
      <c r="B93" s="247" t="inlineStr">
        <is>
          <t>HR Workforce</t>
        </is>
      </c>
      <c r="C93" s="247" t="n">
        <v>1.2</v>
      </c>
      <c r="D93" s="247">
        <f>ROUND(C93*(1+('Resilience &amp; Risk Scenario'!$B$7-3)*0.15),2)</f>
        <v/>
      </c>
      <c r="E93" s="247" t="inlineStr">
        <is>
          <t>Workforce availability, critical people and knowledge continuity determine operational capacity.</t>
        </is>
      </c>
      <c r="F93" s="247" t="inlineStr">
        <is>
          <t>Monitor; not a primary scenario driver</t>
        </is>
      </c>
      <c r="G93" s="247" t="inlineStr">
        <is>
          <t>Create critical role backups, knowledge transfer, cross-training and workforce continuity plans.</t>
        </is>
      </c>
      <c r="H93" s="247" t="inlineStr">
        <is>
          <t>ISO 30414; ISO 30405; ISO 45001; workforce planning</t>
        </is>
      </c>
      <c r="I93" s="247">
        <f>A93&amp;"|"&amp;B93</f>
        <v/>
      </c>
      <c r="J93" s="247" t="inlineStr">
        <is>
          <t>Multiplier is increased/decreased by severity: severity 3 = base; severity 5 = +30%; severity 1 = -30%.</t>
        </is>
      </c>
      <c r="K93">
        <f>IFERROR(INDEX(_ENGINE_Crisis!$AH$292:$AS$303,MATCH('Resilience &amp; Risk Scenario'!$B$6,_ENGINE_Crisis!$AG$292:$AG$303,0),MATCH($A93,_ENGINE_Crisis!$AH$291:$AS$291,0)),0)</f>
        <v/>
      </c>
    </row>
    <row r="94" ht="28.5" customHeight="1" s="209">
      <c r="A94" s="247" t="inlineStr">
        <is>
          <t>Energy / utilities outage</t>
        </is>
      </c>
      <c r="B94" s="247" t="inlineStr">
        <is>
          <t>Finance Procurement</t>
        </is>
      </c>
      <c r="C94" s="247" t="n">
        <v>1</v>
      </c>
      <c r="D94" s="247">
        <f>ROUND(C94*(1+('Resilience &amp; Risk Scenario'!$B$7-3)*0.15),2)</f>
        <v/>
      </c>
      <c r="E94" s="247" t="inlineStr">
        <is>
          <t>Cash control, supplier payments and procurement discipline determine financial survival and response options.</t>
        </is>
      </c>
      <c r="F94" s="247" t="inlineStr">
        <is>
          <t>Monitor; not a primary scenario driver</t>
        </is>
      </c>
      <c r="G94" s="247" t="inlineStr">
        <is>
          <t>Build cash stress testing, payment prioritization, supplier risk review and procurement controls.</t>
        </is>
      </c>
      <c r="H94" s="247" t="inlineStr">
        <is>
          <t>COSO; ISO 20400; ISO 31000; IFRS</t>
        </is>
      </c>
      <c r="I94" s="247">
        <f>A94&amp;"|"&amp;B94</f>
        <v/>
      </c>
      <c r="J94" s="247" t="inlineStr">
        <is>
          <t>Multiplier is increased/decreased by severity: severity 3 = base; severity 5 = +30%; severity 1 = -30%.</t>
        </is>
      </c>
      <c r="K94">
        <f>IFERROR(INDEX(_ENGINE_Crisis!$AH$292:$AS$303,MATCH('Resilience &amp; Risk Scenario'!$B$6,_ENGINE_Crisis!$AG$292:$AG$303,0),MATCH($A94,_ENGINE_Crisis!$AH$291:$AS$291,0)),0)</f>
        <v/>
      </c>
    </row>
    <row r="95" ht="28.5" customHeight="1" s="209">
      <c r="A95" s="247" t="inlineStr">
        <is>
          <t>Energy / utilities outage</t>
        </is>
      </c>
      <c r="B95" s="247" t="inlineStr">
        <is>
          <t>Legal Risk</t>
        </is>
      </c>
      <c r="C95" s="247" t="n">
        <v>1</v>
      </c>
      <c r="D95" s="247">
        <f>ROUND(C95*(1+('Resilience &amp; Risk Scenario'!$B$7-3)*0.15),2)</f>
        <v/>
      </c>
      <c r="E95" s="247" t="inlineStr">
        <is>
          <t>Contracts, obligations and compliance exposure can turn operational crisis into legal or regulatory failure.</t>
        </is>
      </c>
      <c r="F95" s="247" t="inlineStr">
        <is>
          <t>Monitor; not a primary scenario driver</t>
        </is>
      </c>
      <c r="G95" s="247" t="inlineStr">
        <is>
          <t>Review critical contracts, compliance obligations, force majeure, data protection and legal continuity.</t>
        </is>
      </c>
      <c r="H95" s="247" t="inlineStr">
        <is>
          <t>ISO 37301; ISO 31000; GDPR; ISO 27701</t>
        </is>
      </c>
      <c r="I95" s="247">
        <f>A95&amp;"|"&amp;B95</f>
        <v/>
      </c>
      <c r="J95" s="247" t="inlineStr">
        <is>
          <t>Multiplier is increased/decreased by severity: severity 3 = base; severity 5 = +30%; severity 1 = -30%.</t>
        </is>
      </c>
      <c r="K95">
        <f>IFERROR(INDEX(_ENGINE_Crisis!$AH$292:$AS$303,MATCH('Resilience &amp; Risk Scenario'!$B$6,_ENGINE_Crisis!$AG$292:$AG$303,0),MATCH($A95,_ENGINE_Crisis!$AH$291:$AS$291,0)),0)</f>
        <v/>
      </c>
    </row>
    <row r="96" ht="28.5" customHeight="1" s="209">
      <c r="A96" s="247" t="inlineStr">
        <is>
          <t>Energy / utilities outage</t>
        </is>
      </c>
      <c r="B96" s="247" t="inlineStr">
        <is>
          <t>Physical Safety</t>
        </is>
      </c>
      <c r="C96" s="247" t="n">
        <v>1.8</v>
      </c>
      <c r="D96" s="247">
        <f>ROUND(C96*(1+('Resilience &amp; Risk Scenario'!$B$7-3)*0.15),2)</f>
        <v/>
      </c>
      <c r="E96" s="247" t="inlineStr">
        <is>
          <t>Employee safety, access control, evacuation and facilities resilience are direct crisis constraints.</t>
        </is>
      </c>
      <c r="F96" s="247" t="inlineStr">
        <is>
          <t>Primary focus under this crisis scenario</t>
        </is>
      </c>
      <c r="G96" s="247" t="inlineStr">
        <is>
          <t>Implement evacuation, access control, emergency response, site security and travel-risk procedures.</t>
        </is>
      </c>
      <c r="H96" s="247" t="inlineStr">
        <is>
          <t>ISO 45001; ISO 22320; ISO 31030; ISO 22301</t>
        </is>
      </c>
      <c r="I96" s="247">
        <f>A96&amp;"|"&amp;B96</f>
        <v/>
      </c>
      <c r="J96" s="247" t="inlineStr">
        <is>
          <t>Multiplier is increased/decreased by severity: severity 3 = base; severity 5 = +30%; severity 1 = -30%.</t>
        </is>
      </c>
      <c r="K96">
        <f>IFERROR(INDEX(_ENGINE_Crisis!$AH$292:$AS$303,MATCH('Resilience &amp; Risk Scenario'!$B$6,_ENGINE_Crisis!$AG$292:$AG$303,0),MATCH($A96,_ENGINE_Crisis!$AH$291:$AS$291,0)),0)</f>
        <v/>
      </c>
    </row>
    <row r="97" ht="28.5" customHeight="1" s="209">
      <c r="A97" s="247" t="inlineStr">
        <is>
          <t>Energy / utilities outage</t>
        </is>
      </c>
      <c r="B97" s="247" t="inlineStr">
        <is>
          <t>Delivery Ops</t>
        </is>
      </c>
      <c r="C97" s="247" t="n">
        <v>1.4</v>
      </c>
      <c r="D97" s="247">
        <f>ROUND(C97*(1+('Resilience &amp; Risk Scenario'!$B$7-3)*0.15),2)</f>
        <v/>
      </c>
      <c r="E97" s="247" t="inlineStr">
        <is>
          <t>Delivery capacity, SLA control and operational handover determine customer continuity.</t>
        </is>
      </c>
      <c r="F97" s="247" t="inlineStr">
        <is>
          <t>Secondary focus under this crisis scenario</t>
        </is>
      </c>
      <c r="G97" s="247" t="inlineStr">
        <is>
          <t>Define alternative delivery models, capacity buffers, SLA triage and incident recovery procedures.</t>
        </is>
      </c>
      <c r="H97" s="247" t="inlineStr">
        <is>
          <t>ISO 9001; ISO 22301; ITIL; SLA management</t>
        </is>
      </c>
      <c r="I97" s="247">
        <f>A97&amp;"|"&amp;B97</f>
        <v/>
      </c>
      <c r="J97" s="247" t="inlineStr">
        <is>
          <t>Multiplier is increased/decreased by severity: severity 3 = base; severity 5 = +30%; severity 1 = -30%.</t>
        </is>
      </c>
      <c r="K97">
        <f>IFERROR(INDEX(_ENGINE_Crisis!$AH$292:$AS$303,MATCH('Resilience &amp; Risk Scenario'!$B$6,_ENGINE_Crisis!$AG$292:$AG$303,0),MATCH($A97,_ENGINE_Crisis!$AH$291:$AS$291,0)),0)</f>
        <v/>
      </c>
    </row>
    <row r="98" ht="28.5" customHeight="1" s="209">
      <c r="A98" s="247" t="inlineStr">
        <is>
          <t>Energy / utilities outage</t>
        </is>
      </c>
      <c r="B98" s="247" t="inlineStr">
        <is>
          <t>Supply Chain</t>
        </is>
      </c>
      <c r="C98" s="247" t="n">
        <v>1.3</v>
      </c>
      <c r="D98" s="247">
        <f>ROUND(C98*(1+('Resilience &amp; Risk Scenario'!$B$7-3)*0.15),2)</f>
        <v/>
      </c>
      <c r="E98" s="247" t="inlineStr">
        <is>
          <t>Supplier concentration, logistics and inventory visibility determine production and delivery continuity.</t>
        </is>
      </c>
      <c r="F98" s="247" t="inlineStr">
        <is>
          <t>Secondary focus under this crisis scenario</t>
        </is>
      </c>
      <c r="G98" s="247" t="inlineStr">
        <is>
          <t>Diversify suppliers, define safety stock, alternate routes, supplier monitoring and substitution rules.</t>
        </is>
      </c>
      <c r="H98" s="247" t="inlineStr">
        <is>
          <t>SCOR; ISO 28000; ISO 20400; ISO 22301</t>
        </is>
      </c>
      <c r="I98" s="247">
        <f>A98&amp;"|"&amp;B98</f>
        <v/>
      </c>
      <c r="J98" s="247" t="inlineStr">
        <is>
          <t>Multiplier is increased/decreased by severity: severity 3 = base; severity 5 = +30%; severity 1 = -30%.</t>
        </is>
      </c>
      <c r="K98">
        <f>IFERROR(INDEX(_ENGINE_Crisis!$AH$292:$AS$303,MATCH('Resilience &amp; Risk Scenario'!$B$6,_ENGINE_Crisis!$AG$292:$AG$303,0),MATCH($A98,_ENGINE_Crisis!$AH$291:$AS$291,0)),0)</f>
        <v/>
      </c>
    </row>
    <row r="99" ht="28.5" customHeight="1" s="209">
      <c r="A99" s="247" t="inlineStr">
        <is>
          <t>Energy / utilities outage</t>
        </is>
      </c>
      <c r="B99" s="247" t="inlineStr">
        <is>
          <t>Manufacturing MES</t>
        </is>
      </c>
      <c r="C99" s="247" t="n">
        <v>2</v>
      </c>
      <c r="D99" s="247">
        <f>ROUND(C99*(1+('Resilience &amp; Risk Scenario'!$B$7-3)*0.15),2)</f>
        <v/>
      </c>
      <c r="E99" s="247" t="inlineStr">
        <is>
          <t>Production assets, MES, maintenance and utilities determine manufacturing recoverability.</t>
        </is>
      </c>
      <c r="F99" s="247" t="inlineStr">
        <is>
          <t>Primary focus under this crisis scenario</t>
        </is>
      </c>
      <c r="G99" s="247" t="inlineStr">
        <is>
          <t>Define production fallback, maintenance priorities, spare parts, MES continuity and utility backup.</t>
        </is>
      </c>
      <c r="H99" s="247" t="inlineStr">
        <is>
          <t>ISA-95; ISO 9001; TPM; IEC 62443; ISO 22301</t>
        </is>
      </c>
      <c r="I99" s="247">
        <f>A99&amp;"|"&amp;B99</f>
        <v/>
      </c>
      <c r="J99" s="247" t="inlineStr">
        <is>
          <t>Multiplier is increased/decreased by severity: severity 3 = base; severity 5 = +30%; severity 1 = -30%.</t>
        </is>
      </c>
      <c r="K99">
        <f>IFERROR(INDEX(_ENGINE_Crisis!$AH$292:$AS$303,MATCH('Resilience &amp; Risk Scenario'!$B$6,_ENGINE_Crisis!$AG$292:$AG$303,0),MATCH($A99,_ENGINE_Crisis!$AH$291:$AS$291,0)),0)</f>
        <v/>
      </c>
    </row>
    <row r="100" ht="28.5" customHeight="1" s="209">
      <c r="A100" s="247" t="inlineStr">
        <is>
          <t>Energy / utilities outage</t>
        </is>
      </c>
      <c r="B100" s="247" t="inlineStr">
        <is>
          <t>Sales CRM</t>
        </is>
      </c>
      <c r="C100" s="247" t="n">
        <v>1</v>
      </c>
      <c r="D100" s="247">
        <f>ROUND(C100*(1+('Resilience &amp; Risk Scenario'!$B$7-3)*0.15),2)</f>
        <v/>
      </c>
      <c r="E100" s="247" t="inlineStr">
        <is>
          <t>CRM discipline, pipeline visibility and retention actions determine revenue protection.</t>
        </is>
      </c>
      <c r="F100" s="247" t="inlineStr">
        <is>
          <t>Monitor; not a primary scenario driver</t>
        </is>
      </c>
      <c r="G100" s="247" t="inlineStr">
        <is>
          <t>Improve CRM hygiene, retention playbooks, pipeline scenarios and customer segmentation.</t>
        </is>
      </c>
      <c r="H100" s="247" t="inlineStr">
        <is>
          <t>CRM best practices; ISO 10002; ISO 10004; revenue operations</t>
        </is>
      </c>
      <c r="I100" s="247">
        <f>A100&amp;"|"&amp;B100</f>
        <v/>
      </c>
      <c r="J100" s="247" t="inlineStr">
        <is>
          <t>Multiplier is increased/decreased by severity: severity 3 = base; severity 5 = +30%; severity 1 = -30%.</t>
        </is>
      </c>
      <c r="K100">
        <f>IFERROR(INDEX(_ENGINE_Crisis!$AH$292:$AS$303,MATCH('Resilience &amp; Risk Scenario'!$B$6,_ENGINE_Crisis!$AG$292:$AG$303,0),MATCH($A100,_ENGINE_Crisis!$AH$291:$AS$291,0)),0)</f>
        <v/>
      </c>
    </row>
    <row r="101" ht="28.5" customHeight="1" s="209">
      <c r="A101" s="247" t="inlineStr">
        <is>
          <t>Energy / utilities outage</t>
        </is>
      </c>
      <c r="B101" s="247" t="inlineStr">
        <is>
          <t>Marketing Comms</t>
        </is>
      </c>
      <c r="C101" s="247" t="n">
        <v>1</v>
      </c>
      <c r="D101" s="247">
        <f>ROUND(C101*(1+('Resilience &amp; Risk Scenario'!$B$7-3)*0.15),2)</f>
        <v/>
      </c>
      <c r="E101" s="247" t="inlineStr">
        <is>
          <t>Customer communication and reputation control determine trust during uncertainty.</t>
        </is>
      </c>
      <c r="F101" s="247" t="inlineStr">
        <is>
          <t>Monitor; not a primary scenario driver</t>
        </is>
      </c>
      <c r="G101" s="247" t="inlineStr">
        <is>
          <t>Prepare crisis messages, customer notification templates, comms approval flow and brand monitoring.</t>
        </is>
      </c>
      <c r="H101" s="247" t="inlineStr">
        <is>
          <t>ISO 10002; ISO 10004; crisis communication practices</t>
        </is>
      </c>
      <c r="I101" s="247">
        <f>A101&amp;"|"&amp;B101</f>
        <v/>
      </c>
      <c r="J101" s="247" t="inlineStr">
        <is>
          <t>Multiplier is increased/decreased by severity: severity 3 = base; severity 5 = +30%; severity 1 = -30%.</t>
        </is>
      </c>
      <c r="K101">
        <f>IFERROR(INDEX(_ENGINE_Crisis!$AH$292:$AS$303,MATCH('Resilience &amp; Risk Scenario'!$B$6,_ENGINE_Crisis!$AG$292:$AG$303,0),MATCH($A101,_ENGINE_Crisis!$AH$291:$AS$291,0)),0)</f>
        <v/>
      </c>
    </row>
    <row r="102" ht="28.5" customHeight="1" s="209">
      <c r="A102" s="247" t="inlineStr">
        <is>
          <t>Energy / utilities outage</t>
        </is>
      </c>
      <c r="B102" s="247" t="inlineStr">
        <is>
          <t>IT Cloud DR</t>
        </is>
      </c>
      <c r="C102" s="247" t="n">
        <v>1.5</v>
      </c>
      <c r="D102" s="247">
        <f>ROUND(C102*(1+('Resilience &amp; Risk Scenario'!$B$7-3)*0.15),2)</f>
        <v/>
      </c>
      <c r="E102" s="247" t="inlineStr">
        <is>
          <t>Cloud, infrastructure, backups, RTO and RPO determine system recoverability.</t>
        </is>
      </c>
      <c r="F102" s="247" t="inlineStr">
        <is>
          <t>Secondary focus under this crisis scenario</t>
        </is>
      </c>
      <c r="G102" s="247" t="inlineStr">
        <is>
          <t>Implement tested backups, DR runbooks, failover, cloud landing zones and RTO/RPO monitoring.</t>
        </is>
      </c>
      <c r="H102" s="247" t="inlineStr">
        <is>
          <t>ISO 27001; NIST CSF; NIST SP 800-34; ISO 20000</t>
        </is>
      </c>
      <c r="I102" s="247">
        <f>A102&amp;"|"&amp;B102</f>
        <v/>
      </c>
      <c r="J102" s="247" t="inlineStr">
        <is>
          <t>Multiplier is increased/decreased by severity: severity 3 = base; severity 5 = +30%; severity 1 = -30%.</t>
        </is>
      </c>
      <c r="K102">
        <f>IFERROR(INDEX(_ENGINE_Crisis!$AH$292:$AS$303,MATCH('Resilience &amp; Risk Scenario'!$B$6,_ENGINE_Crisis!$AG$292:$AG$303,0),MATCH($A102,_ENGINE_Crisis!$AH$291:$AS$291,0)),0)</f>
        <v/>
      </c>
    </row>
    <row r="103" ht="28.5" customHeight="1" s="209">
      <c r="A103" s="247" t="inlineStr">
        <is>
          <t>Energy / utilities outage</t>
        </is>
      </c>
      <c r="B103" s="247" t="inlineStr">
        <is>
          <t>Business Systems</t>
        </is>
      </c>
      <c r="C103" s="247" t="n">
        <v>1.3</v>
      </c>
      <c r="D103" s="247">
        <f>ROUND(C103*(1+('Resilience &amp; Risk Scenario'!$B$7-3)*0.15),2)</f>
        <v/>
      </c>
      <c r="E103" s="247" t="inlineStr">
        <is>
          <t>ERP, CRM, HRMS, MES and SaaS continuity determine transaction and process continuity.</t>
        </is>
      </c>
      <c r="F103" s="247" t="inlineStr">
        <is>
          <t>Secondary focus under this crisis scenario</t>
        </is>
      </c>
      <c r="G103" s="247" t="inlineStr">
        <is>
          <t>Document system dependencies, SaaS continuity, role access, data exports and manual fallback.</t>
        </is>
      </c>
      <c r="H103" s="247" t="inlineStr">
        <is>
          <t>COBIT; ITIL; ISO 20000; ERP/CRM/MES governance</t>
        </is>
      </c>
      <c r="I103" s="247">
        <f>A103&amp;"|"&amp;B103</f>
        <v/>
      </c>
      <c r="J103" s="247" t="inlineStr">
        <is>
          <t>Multiplier is increased/decreased by severity: severity 3 = base; severity 5 = +30%; severity 1 = -30%.</t>
        </is>
      </c>
      <c r="K103">
        <f>IFERROR(INDEX(_ENGINE_Crisis!$AH$292:$AS$303,MATCH('Resilience &amp; Risk Scenario'!$B$6,_ENGINE_Crisis!$AG$292:$AG$303,0),MATCH($A103,_ENGINE_Crisis!$AH$291:$AS$291,0)),0)</f>
        <v/>
      </c>
    </row>
    <row r="104" ht="28.5" customHeight="1" s="209">
      <c r="A104" s="247" t="inlineStr">
        <is>
          <t>Energy / utilities outage</t>
        </is>
      </c>
      <c r="B104" s="247" t="inlineStr">
        <is>
          <t>Data BI AI</t>
        </is>
      </c>
      <c r="C104" s="247" t="n">
        <v>1</v>
      </c>
      <c r="D104" s="247">
        <f>ROUND(C104*(1+('Resilience &amp; Risk Scenario'!$B$7-3)*0.15),2)</f>
        <v/>
      </c>
      <c r="E104" s="247" t="inlineStr">
        <is>
          <t>Data quality, BI and analytics determine decision visibility and forecasting under stress.</t>
        </is>
      </c>
      <c r="F104" s="247" t="inlineStr">
        <is>
          <t>Monitor; not a primary scenario driver</t>
        </is>
      </c>
      <c r="G104" s="247" t="inlineStr">
        <is>
          <t>Assign data owners, improve data quality, dashboards, forecasting and AI governance.</t>
        </is>
      </c>
      <c r="H104" s="247" t="inlineStr">
        <is>
          <t>DAMA-DMBOK; ISO 42001; ISO 23894; data governance</t>
        </is>
      </c>
      <c r="I104" s="247">
        <f>A104&amp;"|"&amp;B104</f>
        <v/>
      </c>
      <c r="J104" s="247" t="inlineStr">
        <is>
          <t>Multiplier is increased/decreased by severity: severity 3 = base; severity 5 = +30%; severity 1 = -30%.</t>
        </is>
      </c>
      <c r="K104">
        <f>IFERROR(INDEX(_ENGINE_Crisis!$AH$292:$AS$303,MATCH('Resilience &amp; Risk Scenario'!$B$6,_ENGINE_Crisis!$AG$292:$AG$303,0),MATCH($A104,_ENGINE_Crisis!$AH$291:$AS$291,0)),0)</f>
        <v/>
      </c>
    </row>
    <row r="105" ht="28.5" customHeight="1" s="209">
      <c r="A105" s="247" t="inlineStr">
        <is>
          <t>Energy / utilities outage</t>
        </is>
      </c>
      <c r="B105" s="247" t="inlineStr">
        <is>
          <t>Cyber Privacy</t>
        </is>
      </c>
      <c r="C105" s="247" t="n">
        <v>1</v>
      </c>
      <c r="D105" s="247">
        <f>ROUND(C105*(1+('Resilience &amp; Risk Scenario'!$B$7-3)*0.15),2)</f>
        <v/>
      </c>
      <c r="E105" s="247" t="inlineStr">
        <is>
          <t>Cybersecurity and privacy controls determine resistance to digital disruption and regulatory exposure.</t>
        </is>
      </c>
      <c r="F105" s="247" t="inlineStr">
        <is>
          <t>Monitor; not a primary scenario driver</t>
        </is>
      </c>
      <c r="G105" s="247" t="inlineStr">
        <is>
          <t>Strengthen MFA, EDR, logging, IR playbooks, restore testing, privacy controls and awareness.</t>
        </is>
      </c>
      <c r="H105" s="247" t="inlineStr">
        <is>
          <t>ISO 27001; NIST CSF; CIS Controls; ISO 27701; GDPR</t>
        </is>
      </c>
      <c r="I105" s="247">
        <f>A105&amp;"|"&amp;B105</f>
        <v/>
      </c>
      <c r="J105" s="247" t="inlineStr">
        <is>
          <t>Multiplier is increased/decreased by severity: severity 3 = base; severity 5 = +30%; severity 1 = -30%.</t>
        </is>
      </c>
      <c r="K105">
        <f>IFERROR(INDEX(_ENGINE_Crisis!$AH$292:$AS$303,MATCH('Resilience &amp; Risk Scenario'!$B$6,_ENGINE_Crisis!$AG$292:$AG$303,0),MATCH($A105,_ENGINE_Crisis!$AH$291:$AS$291,0)),0)</f>
        <v/>
      </c>
    </row>
    <row r="106" ht="28.5" customHeight="1" s="209">
      <c r="A106" s="247" t="inlineStr">
        <is>
          <t>Energy / utilities outage</t>
        </is>
      </c>
      <c r="B106" s="247" t="inlineStr">
        <is>
          <t>Quality Portfolio</t>
        </is>
      </c>
      <c r="C106" s="247" t="n">
        <v>1</v>
      </c>
      <c r="D106" s="247">
        <f>ROUND(C106*(1+('Resilience &amp; Risk Scenario'!$B$7-3)*0.15),2)</f>
        <v/>
      </c>
      <c r="E106" s="247" t="inlineStr">
        <is>
          <t>Portfolio discipline and benefits realization determine whether scarce resources are focused on the right actions.</t>
        </is>
      </c>
      <c r="F106" s="247" t="inlineStr">
        <is>
          <t>Monitor; not a primary scenario driver</t>
        </is>
      </c>
      <c r="G106" s="247" t="inlineStr">
        <is>
          <t>Prioritize crisis initiatives by value, risk reduction, dependencies and implementation waves.</t>
        </is>
      </c>
      <c r="H106" s="247" t="inlineStr">
        <is>
          <t>ISO 9001; PMI; ISO 21502; benefits realization; APQC</t>
        </is>
      </c>
      <c r="I106" s="247">
        <f>A106&amp;"|"&amp;B106</f>
        <v/>
      </c>
      <c r="J106" s="247" t="inlineStr">
        <is>
          <t>Multiplier is increased/decreased by severity: severity 3 = base; severity 5 = +30%; severity 1 = -30%.</t>
        </is>
      </c>
      <c r="K106">
        <f>IFERROR(INDEX(_ENGINE_Crisis!$AH$292:$AS$303,MATCH('Resilience &amp; Risk Scenario'!$B$6,_ENGINE_Crisis!$AG$292:$AG$303,0),MATCH($A106,_ENGINE_Crisis!$AH$291:$AS$291,0)),0)</f>
        <v/>
      </c>
    </row>
    <row r="107" ht="28.5" customHeight="1" s="209">
      <c r="A107" s="247" t="inlineStr">
        <is>
          <t>Financial liquidity crisis</t>
        </is>
      </c>
      <c r="B107" s="247" t="inlineStr">
        <is>
          <t>Company Geography</t>
        </is>
      </c>
      <c r="C107" s="247" t="n">
        <v>1</v>
      </c>
      <c r="D107" s="247">
        <f>ROUND(C107*(1+('Resilience &amp; Risk Scenario'!$B$7-3)*0.15),2)</f>
        <v/>
      </c>
      <c r="E107" s="247" t="inlineStr">
        <is>
          <t>Geographic concentration, legal entity exposure and site dependency can amplify crisis impact.</t>
        </is>
      </c>
      <c r="F107" s="247" t="inlineStr">
        <is>
          <t>Monitor; not a primary scenario driver</t>
        </is>
      </c>
      <c r="G107" s="247" t="inlineStr">
        <is>
          <t>Map entities, locations, markets, revenue exposure and alternate operating options.</t>
        </is>
      </c>
      <c r="H107" s="247" t="inlineStr">
        <is>
          <t>ISO 22301; ISO 31000; ISO 9001; ISO 37000; PESTLE</t>
        </is>
      </c>
      <c r="I107" s="247">
        <f>A107&amp;"|"&amp;B107</f>
        <v/>
      </c>
      <c r="J107" s="247" t="inlineStr">
        <is>
          <t>Multiplier is increased/decreased by severity: severity 3 = base; severity 5 = +30%; severity 1 = -30%.</t>
        </is>
      </c>
      <c r="K107">
        <f>IFERROR(INDEX(_ENGINE_Crisis!$AH$292:$AS$303,MATCH('Resilience &amp; Risk Scenario'!$B$6,_ENGINE_Crisis!$AG$292:$AG$303,0),MATCH($A107,_ENGINE_Crisis!$AH$291:$AS$291,0)),0)</f>
        <v/>
      </c>
    </row>
    <row r="108" ht="28.5" customHeight="1" s="209">
      <c r="A108" s="247" t="inlineStr">
        <is>
          <t>Financial liquidity crisis</t>
        </is>
      </c>
      <c r="B108" s="247" t="inlineStr">
        <is>
          <t>Strategy GTM</t>
        </is>
      </c>
      <c r="C108" s="247" t="n">
        <v>1.8</v>
      </c>
      <c r="D108" s="247">
        <f>ROUND(C108*(1+('Resilience &amp; Risk Scenario'!$B$7-3)*0.15),2)</f>
        <v/>
      </c>
      <c r="E108" s="247" t="inlineStr">
        <is>
          <t>Market positioning, ICP clarity and offer structure determine whether the company can adapt revenue during crisis.</t>
        </is>
      </c>
      <c r="F108" s="247" t="inlineStr">
        <is>
          <t>Primary focus under this crisis scenario</t>
        </is>
      </c>
      <c r="G108" s="247" t="inlineStr">
        <is>
          <t>Stress-test ICP, offering, pricing, channels and market focus under the selected crisis.</t>
        </is>
      </c>
      <c r="H108" s="247" t="inlineStr">
        <is>
          <t>Business Model Canvas; Porter; Bain Elements of Value; ISO 9001</t>
        </is>
      </c>
      <c r="I108" s="247">
        <f>A108&amp;"|"&amp;B108</f>
        <v/>
      </c>
      <c r="J108" s="247" t="inlineStr">
        <is>
          <t>Multiplier is increased/decreased by severity: severity 3 = base; severity 5 = +30%; severity 1 = -30%.</t>
        </is>
      </c>
      <c r="K108">
        <f>IFERROR(INDEX(_ENGINE_Crisis!$AH$292:$AS$303,MATCH('Resilience &amp; Risk Scenario'!$B$6,_ENGINE_Crisis!$AG$292:$AG$303,0),MATCH($A108,_ENGINE_Crisis!$AH$291:$AS$291,0)),0)</f>
        <v/>
      </c>
    </row>
    <row r="109" ht="28.5" customHeight="1" s="209">
      <c r="A109" s="247" t="inlineStr">
        <is>
          <t>Financial liquidity crisis</t>
        </is>
      </c>
      <c r="B109" s="247" t="inlineStr">
        <is>
          <t>Governance Crisis</t>
        </is>
      </c>
      <c r="C109" s="247" t="n">
        <v>1.4</v>
      </c>
      <c r="D109" s="247">
        <f>ROUND(C109*(1+('Resilience &amp; Risk Scenario'!$B$7-3)*0.15),2)</f>
        <v/>
      </c>
      <c r="E109" s="247" t="inlineStr">
        <is>
          <t>Decision rights, escalation and crisis governance determine response speed under pressure.</t>
        </is>
      </c>
      <c r="F109" s="247" t="inlineStr">
        <is>
          <t>Secondary focus under this crisis scenario</t>
        </is>
      </c>
      <c r="G109" s="247" t="inlineStr">
        <is>
          <t>Define crisis roles, escalation path, decision cadence and management war room routines.</t>
        </is>
      </c>
      <c r="H109" s="247" t="inlineStr">
        <is>
          <t>ISO 22301; ISO 31000; ISO 37000; Bain RAPID</t>
        </is>
      </c>
      <c r="I109" s="247">
        <f>A109&amp;"|"&amp;B109</f>
        <v/>
      </c>
      <c r="J109" s="247" t="inlineStr">
        <is>
          <t>Multiplier is increased/decreased by severity: severity 3 = base; severity 5 = +30%; severity 1 = -30%.</t>
        </is>
      </c>
      <c r="K109">
        <f>IFERROR(INDEX(_ENGINE_Crisis!$AH$292:$AS$303,MATCH('Resilience &amp; Risk Scenario'!$B$6,_ENGINE_Crisis!$AG$292:$AG$303,0),MATCH($A109,_ENGINE_Crisis!$AH$291:$AS$291,0)),0)</f>
        <v/>
      </c>
    </row>
    <row r="110" ht="28.5" customHeight="1" s="209">
      <c r="A110" s="247" t="inlineStr">
        <is>
          <t>Financial liquidity crisis</t>
        </is>
      </c>
      <c r="B110" s="247" t="inlineStr">
        <is>
          <t>HR Workforce</t>
        </is>
      </c>
      <c r="C110" s="247" t="n">
        <v>1.2</v>
      </c>
      <c r="D110" s="247">
        <f>ROUND(C110*(1+('Resilience &amp; Risk Scenario'!$B$7-3)*0.15),2)</f>
        <v/>
      </c>
      <c r="E110" s="247" t="inlineStr">
        <is>
          <t>Workforce availability, critical people and knowledge continuity determine operational capacity.</t>
        </is>
      </c>
      <c r="F110" s="247" t="inlineStr">
        <is>
          <t>Monitor; not a primary scenario driver</t>
        </is>
      </c>
      <c r="G110" s="247" t="inlineStr">
        <is>
          <t>Create critical role backups, knowledge transfer, cross-training and workforce continuity plans.</t>
        </is>
      </c>
      <c r="H110" s="247" t="inlineStr">
        <is>
          <t>ISO 30414; ISO 30405; ISO 45001; workforce planning</t>
        </is>
      </c>
      <c r="I110" s="247">
        <f>A110&amp;"|"&amp;B110</f>
        <v/>
      </c>
      <c r="J110" s="247" t="inlineStr">
        <is>
          <t>Multiplier is increased/decreased by severity: severity 3 = base; severity 5 = +30%; severity 1 = -30%.</t>
        </is>
      </c>
      <c r="K110">
        <f>IFERROR(INDEX(_ENGINE_Crisis!$AH$292:$AS$303,MATCH('Resilience &amp; Risk Scenario'!$B$6,_ENGINE_Crisis!$AG$292:$AG$303,0),MATCH($A110,_ENGINE_Crisis!$AH$291:$AS$291,0)),0)</f>
        <v/>
      </c>
    </row>
    <row r="111" ht="28.5" customHeight="1" s="209">
      <c r="A111" s="247" t="inlineStr">
        <is>
          <t>Financial liquidity crisis</t>
        </is>
      </c>
      <c r="B111" s="247" t="inlineStr">
        <is>
          <t>Finance Procurement</t>
        </is>
      </c>
      <c r="C111" s="247" t="n">
        <v>2</v>
      </c>
      <c r="D111" s="247">
        <f>ROUND(C111*(1+('Resilience &amp; Risk Scenario'!$B$7-3)*0.15),2)</f>
        <v/>
      </c>
      <c r="E111" s="247" t="inlineStr">
        <is>
          <t>Cash control, supplier payments and procurement discipline determine financial survival and response options.</t>
        </is>
      </c>
      <c r="F111" s="247" t="inlineStr">
        <is>
          <t>Primary focus under this crisis scenario</t>
        </is>
      </c>
      <c r="G111" s="247" t="inlineStr">
        <is>
          <t>Build cash stress testing, payment prioritization, supplier risk review and procurement controls.</t>
        </is>
      </c>
      <c r="H111" s="247" t="inlineStr">
        <is>
          <t>COSO; ISO 20400; ISO 31000; IFRS</t>
        </is>
      </c>
      <c r="I111" s="247">
        <f>A111&amp;"|"&amp;B111</f>
        <v/>
      </c>
      <c r="J111" s="247" t="inlineStr">
        <is>
          <t>Multiplier is increased/decreased by severity: severity 3 = base; severity 5 = +30%; severity 1 = -30%.</t>
        </is>
      </c>
      <c r="K111">
        <f>IFERROR(INDEX(_ENGINE_Crisis!$AH$292:$AS$303,MATCH('Resilience &amp; Risk Scenario'!$B$6,_ENGINE_Crisis!$AG$292:$AG$303,0),MATCH($A111,_ENGINE_Crisis!$AH$291:$AS$291,0)),0)</f>
        <v/>
      </c>
    </row>
    <row r="112" ht="28.5" customHeight="1" s="209">
      <c r="A112" s="247" t="inlineStr">
        <is>
          <t>Financial liquidity crisis</t>
        </is>
      </c>
      <c r="B112" s="247" t="inlineStr">
        <is>
          <t>Legal Risk</t>
        </is>
      </c>
      <c r="C112" s="247" t="n">
        <v>1</v>
      </c>
      <c r="D112" s="247">
        <f>ROUND(C112*(1+('Resilience &amp; Risk Scenario'!$B$7-3)*0.15),2)</f>
        <v/>
      </c>
      <c r="E112" s="247" t="inlineStr">
        <is>
          <t>Contracts, obligations and compliance exposure can turn operational crisis into legal or regulatory failure.</t>
        </is>
      </c>
      <c r="F112" s="247" t="inlineStr">
        <is>
          <t>Monitor; not a primary scenario driver</t>
        </is>
      </c>
      <c r="G112" s="247" t="inlineStr">
        <is>
          <t>Review critical contracts, compliance obligations, force majeure, data protection and legal continuity.</t>
        </is>
      </c>
      <c r="H112" s="247" t="inlineStr">
        <is>
          <t>ISO 37301; ISO 31000; GDPR; ISO 27701</t>
        </is>
      </c>
      <c r="I112" s="247">
        <f>A112&amp;"|"&amp;B112</f>
        <v/>
      </c>
      <c r="J112" s="247" t="inlineStr">
        <is>
          <t>Multiplier is increased/decreased by severity: severity 3 = base; severity 5 = +30%; severity 1 = -30%.</t>
        </is>
      </c>
      <c r="K112">
        <f>IFERROR(INDEX(_ENGINE_Crisis!$AH$292:$AS$303,MATCH('Resilience &amp; Risk Scenario'!$B$6,_ENGINE_Crisis!$AG$292:$AG$303,0),MATCH($A112,_ENGINE_Crisis!$AH$291:$AS$291,0)),0)</f>
        <v/>
      </c>
    </row>
    <row r="113" ht="28.5" customHeight="1" s="209">
      <c r="A113" s="247" t="inlineStr">
        <is>
          <t>Financial liquidity crisis</t>
        </is>
      </c>
      <c r="B113" s="247" t="inlineStr">
        <is>
          <t>Physical Safety</t>
        </is>
      </c>
      <c r="C113" s="247" t="n">
        <v>1</v>
      </c>
      <c r="D113" s="247">
        <f>ROUND(C113*(1+('Resilience &amp; Risk Scenario'!$B$7-3)*0.15),2)</f>
        <v/>
      </c>
      <c r="E113" s="247" t="inlineStr">
        <is>
          <t>Employee safety, access control, evacuation and facilities resilience are direct crisis constraints.</t>
        </is>
      </c>
      <c r="F113" s="247" t="inlineStr">
        <is>
          <t>Monitor; not a primary scenario driver</t>
        </is>
      </c>
      <c r="G113" s="247" t="inlineStr">
        <is>
          <t>Implement evacuation, access control, emergency response, site security and travel-risk procedures.</t>
        </is>
      </c>
      <c r="H113" s="247" t="inlineStr">
        <is>
          <t>ISO 45001; ISO 22320; ISO 31030; ISO 22301</t>
        </is>
      </c>
      <c r="I113" s="247">
        <f>A113&amp;"|"&amp;B113</f>
        <v/>
      </c>
      <c r="J113" s="247" t="inlineStr">
        <is>
          <t>Multiplier is increased/decreased by severity: severity 3 = base; severity 5 = +30%; severity 1 = -30%.</t>
        </is>
      </c>
      <c r="K113">
        <f>IFERROR(INDEX(_ENGINE_Crisis!$AH$292:$AS$303,MATCH('Resilience &amp; Risk Scenario'!$B$6,_ENGINE_Crisis!$AG$292:$AG$303,0),MATCH($A113,_ENGINE_Crisis!$AH$291:$AS$291,0)),0)</f>
        <v/>
      </c>
    </row>
    <row r="114" ht="28.5" customHeight="1" s="209">
      <c r="A114" s="247" t="inlineStr">
        <is>
          <t>Financial liquidity crisis</t>
        </is>
      </c>
      <c r="B114" s="247" t="inlineStr">
        <is>
          <t>Delivery Ops</t>
        </is>
      </c>
      <c r="C114" s="247" t="n">
        <v>1</v>
      </c>
      <c r="D114" s="247">
        <f>ROUND(C114*(1+('Resilience &amp; Risk Scenario'!$B$7-3)*0.15),2)</f>
        <v/>
      </c>
      <c r="E114" s="247" t="inlineStr">
        <is>
          <t>Delivery capacity, SLA control and operational handover determine customer continuity.</t>
        </is>
      </c>
      <c r="F114" s="247" t="inlineStr">
        <is>
          <t>Monitor; not a primary scenario driver</t>
        </is>
      </c>
      <c r="G114" s="247" t="inlineStr">
        <is>
          <t>Define alternative delivery models, capacity buffers, SLA triage and incident recovery procedures.</t>
        </is>
      </c>
      <c r="H114" s="247" t="inlineStr">
        <is>
          <t>ISO 9001; ISO 22301; ITIL; SLA management</t>
        </is>
      </c>
      <c r="I114" s="247">
        <f>A114&amp;"|"&amp;B114</f>
        <v/>
      </c>
      <c r="J114" s="247" t="inlineStr">
        <is>
          <t>Multiplier is increased/decreased by severity: severity 3 = base; severity 5 = +30%; severity 1 = -30%.</t>
        </is>
      </c>
      <c r="K114">
        <f>IFERROR(INDEX(_ENGINE_Crisis!$AH$292:$AS$303,MATCH('Resilience &amp; Risk Scenario'!$B$6,_ENGINE_Crisis!$AG$292:$AG$303,0),MATCH($A114,_ENGINE_Crisis!$AH$291:$AS$291,0)),0)</f>
        <v/>
      </c>
    </row>
    <row r="115" ht="28.5" customHeight="1" s="209">
      <c r="A115" s="247" t="inlineStr">
        <is>
          <t>Financial liquidity crisis</t>
        </is>
      </c>
      <c r="B115" s="247" t="inlineStr">
        <is>
          <t>Supply Chain</t>
        </is>
      </c>
      <c r="C115" s="247" t="n">
        <v>1</v>
      </c>
      <c r="D115" s="247">
        <f>ROUND(C115*(1+('Resilience &amp; Risk Scenario'!$B$7-3)*0.15),2)</f>
        <v/>
      </c>
      <c r="E115" s="247" t="inlineStr">
        <is>
          <t>Supplier concentration, logistics and inventory visibility determine production and delivery continuity.</t>
        </is>
      </c>
      <c r="F115" s="247" t="inlineStr">
        <is>
          <t>Monitor; not a primary scenario driver</t>
        </is>
      </c>
      <c r="G115" s="247" t="inlineStr">
        <is>
          <t>Diversify suppliers, define safety stock, alternate routes, supplier monitoring and substitution rules.</t>
        </is>
      </c>
      <c r="H115" s="247" t="inlineStr">
        <is>
          <t>SCOR; ISO 28000; ISO 20400; ISO 22301</t>
        </is>
      </c>
      <c r="I115" s="247">
        <f>A115&amp;"|"&amp;B115</f>
        <v/>
      </c>
      <c r="J115" s="247" t="inlineStr">
        <is>
          <t>Multiplier is increased/decreased by severity: severity 3 = base; severity 5 = +30%; severity 1 = -30%.</t>
        </is>
      </c>
      <c r="K115">
        <f>IFERROR(INDEX(_ENGINE_Crisis!$AH$292:$AS$303,MATCH('Resilience &amp; Risk Scenario'!$B$6,_ENGINE_Crisis!$AG$292:$AG$303,0),MATCH($A115,_ENGINE_Crisis!$AH$291:$AS$291,0)),0)</f>
        <v/>
      </c>
    </row>
    <row r="116" ht="28.5" customHeight="1" s="209">
      <c r="A116" s="247" t="inlineStr">
        <is>
          <t>Financial liquidity crisis</t>
        </is>
      </c>
      <c r="B116" s="247" t="inlineStr">
        <is>
          <t>Manufacturing MES</t>
        </is>
      </c>
      <c r="C116" s="247" t="n">
        <v>1</v>
      </c>
      <c r="D116" s="247">
        <f>ROUND(C116*(1+('Resilience &amp; Risk Scenario'!$B$7-3)*0.15),2)</f>
        <v/>
      </c>
      <c r="E116" s="247" t="inlineStr">
        <is>
          <t>Production assets, MES, maintenance and utilities determine manufacturing recoverability.</t>
        </is>
      </c>
      <c r="F116" s="247" t="inlineStr">
        <is>
          <t>Monitor; not a primary scenario driver</t>
        </is>
      </c>
      <c r="G116" s="247" t="inlineStr">
        <is>
          <t>Define production fallback, maintenance priorities, spare parts, MES continuity and utility backup.</t>
        </is>
      </c>
      <c r="H116" s="247" t="inlineStr">
        <is>
          <t>ISA-95; ISO 9001; TPM; IEC 62443; ISO 22301</t>
        </is>
      </c>
      <c r="I116" s="247">
        <f>A116&amp;"|"&amp;B116</f>
        <v/>
      </c>
      <c r="J116" s="247" t="inlineStr">
        <is>
          <t>Multiplier is increased/decreased by severity: severity 3 = base; severity 5 = +30%; severity 1 = -30%.</t>
        </is>
      </c>
      <c r="K116">
        <f>IFERROR(INDEX(_ENGINE_Crisis!$AH$292:$AS$303,MATCH('Resilience &amp; Risk Scenario'!$B$6,_ENGINE_Crisis!$AG$292:$AG$303,0),MATCH($A116,_ENGINE_Crisis!$AH$291:$AS$291,0)),0)</f>
        <v/>
      </c>
    </row>
    <row r="117" ht="28.5" customHeight="1" s="209">
      <c r="A117" s="247" t="inlineStr">
        <is>
          <t>Financial liquidity crisis</t>
        </is>
      </c>
      <c r="B117" s="247" t="inlineStr">
        <is>
          <t>Sales CRM</t>
        </is>
      </c>
      <c r="C117" s="247" t="n">
        <v>1.6</v>
      </c>
      <c r="D117" s="247">
        <f>ROUND(C117*(1+('Resilience &amp; Risk Scenario'!$B$7-3)*0.15),2)</f>
        <v/>
      </c>
      <c r="E117" s="247" t="inlineStr">
        <is>
          <t>CRM discipline, pipeline visibility and retention actions determine revenue protection.</t>
        </is>
      </c>
      <c r="F117" s="247" t="inlineStr">
        <is>
          <t>Secondary focus under this crisis scenario</t>
        </is>
      </c>
      <c r="G117" s="247" t="inlineStr">
        <is>
          <t>Improve CRM hygiene, retention playbooks, pipeline scenarios and customer segmentation.</t>
        </is>
      </c>
      <c r="H117" s="247" t="inlineStr">
        <is>
          <t>CRM best practices; ISO 10002; ISO 10004; revenue operations</t>
        </is>
      </c>
      <c r="I117" s="247">
        <f>A117&amp;"|"&amp;B117</f>
        <v/>
      </c>
      <c r="J117" s="247" t="inlineStr">
        <is>
          <t>Multiplier is increased/decreased by severity: severity 3 = base; severity 5 = +30%; severity 1 = -30%.</t>
        </is>
      </c>
      <c r="K117">
        <f>IFERROR(INDEX(_ENGINE_Crisis!$AH$292:$AS$303,MATCH('Resilience &amp; Risk Scenario'!$B$6,_ENGINE_Crisis!$AG$292:$AG$303,0),MATCH($A117,_ENGINE_Crisis!$AH$291:$AS$291,0)),0)</f>
        <v/>
      </c>
    </row>
    <row r="118" ht="28.5" customHeight="1" s="209">
      <c r="A118" s="247" t="inlineStr">
        <is>
          <t>Financial liquidity crisis</t>
        </is>
      </c>
      <c r="B118" s="247" t="inlineStr">
        <is>
          <t>Marketing Comms</t>
        </is>
      </c>
      <c r="C118" s="247" t="n">
        <v>1</v>
      </c>
      <c r="D118" s="247">
        <f>ROUND(C118*(1+('Resilience &amp; Risk Scenario'!$B$7-3)*0.15),2)</f>
        <v/>
      </c>
      <c r="E118" s="247" t="inlineStr">
        <is>
          <t>Customer communication and reputation control determine trust during uncertainty.</t>
        </is>
      </c>
      <c r="F118" s="247" t="inlineStr">
        <is>
          <t>Monitor; not a primary scenario driver</t>
        </is>
      </c>
      <c r="G118" s="247" t="inlineStr">
        <is>
          <t>Prepare crisis messages, customer notification templates, comms approval flow and brand monitoring.</t>
        </is>
      </c>
      <c r="H118" s="247" t="inlineStr">
        <is>
          <t>ISO 10002; ISO 10004; crisis communication practices</t>
        </is>
      </c>
      <c r="I118" s="247">
        <f>A118&amp;"|"&amp;B118</f>
        <v/>
      </c>
      <c r="J118" s="247" t="inlineStr">
        <is>
          <t>Multiplier is increased/decreased by severity: severity 3 = base; severity 5 = +30%; severity 1 = -30%.</t>
        </is>
      </c>
      <c r="K118">
        <f>IFERROR(INDEX(_ENGINE_Crisis!$AH$292:$AS$303,MATCH('Resilience &amp; Risk Scenario'!$B$6,_ENGINE_Crisis!$AG$292:$AG$303,0),MATCH($A118,_ENGINE_Crisis!$AH$291:$AS$291,0)),0)</f>
        <v/>
      </c>
    </row>
    <row r="119" ht="28.5" customHeight="1" s="209">
      <c r="A119" s="247" t="inlineStr">
        <is>
          <t>Financial liquidity crisis</t>
        </is>
      </c>
      <c r="B119" s="247" t="inlineStr">
        <is>
          <t>IT Cloud DR</t>
        </is>
      </c>
      <c r="C119" s="247" t="n">
        <v>1</v>
      </c>
      <c r="D119" s="247">
        <f>ROUND(C119*(1+('Resilience &amp; Risk Scenario'!$B$7-3)*0.15),2)</f>
        <v/>
      </c>
      <c r="E119" s="247" t="inlineStr">
        <is>
          <t>Cloud, infrastructure, backups, RTO and RPO determine system recoverability.</t>
        </is>
      </c>
      <c r="F119" s="247" t="inlineStr">
        <is>
          <t>Monitor; not a primary scenario driver</t>
        </is>
      </c>
      <c r="G119" s="247" t="inlineStr">
        <is>
          <t>Implement tested backups, DR runbooks, failover, cloud landing zones and RTO/RPO monitoring.</t>
        </is>
      </c>
      <c r="H119" s="247" t="inlineStr">
        <is>
          <t>ISO 27001; NIST CSF; NIST SP 800-34; ISO 20000</t>
        </is>
      </c>
      <c r="I119" s="247">
        <f>A119&amp;"|"&amp;B119</f>
        <v/>
      </c>
      <c r="J119" s="247" t="inlineStr">
        <is>
          <t>Multiplier is increased/decreased by severity: severity 3 = base; severity 5 = +30%; severity 1 = -30%.</t>
        </is>
      </c>
      <c r="K119">
        <f>IFERROR(INDEX(_ENGINE_Crisis!$AH$292:$AS$303,MATCH('Resilience &amp; Risk Scenario'!$B$6,_ENGINE_Crisis!$AG$292:$AG$303,0),MATCH($A119,_ENGINE_Crisis!$AH$291:$AS$291,0)),0)</f>
        <v/>
      </c>
    </row>
    <row r="120" ht="28.5" customHeight="1" s="209">
      <c r="A120" s="247" t="inlineStr">
        <is>
          <t>Financial liquidity crisis</t>
        </is>
      </c>
      <c r="B120" s="247" t="inlineStr">
        <is>
          <t>Business Systems</t>
        </is>
      </c>
      <c r="C120" s="247" t="n">
        <v>1</v>
      </c>
      <c r="D120" s="247">
        <f>ROUND(C120*(1+('Resilience &amp; Risk Scenario'!$B$7-3)*0.15),2)</f>
        <v/>
      </c>
      <c r="E120" s="247" t="inlineStr">
        <is>
          <t>ERP, CRM, HRMS, MES and SaaS continuity determine transaction and process continuity.</t>
        </is>
      </c>
      <c r="F120" s="247" t="inlineStr">
        <is>
          <t>Monitor; not a primary scenario driver</t>
        </is>
      </c>
      <c r="G120" s="247" t="inlineStr">
        <is>
          <t>Document system dependencies, SaaS continuity, role access, data exports and manual fallback.</t>
        </is>
      </c>
      <c r="H120" s="247" t="inlineStr">
        <is>
          <t>COBIT; ITIL; ISO 20000; ERP/CRM/MES governance</t>
        </is>
      </c>
      <c r="I120" s="247">
        <f>A120&amp;"|"&amp;B120</f>
        <v/>
      </c>
      <c r="J120" s="247" t="inlineStr">
        <is>
          <t>Multiplier is increased/decreased by severity: severity 3 = base; severity 5 = +30%; severity 1 = -30%.</t>
        </is>
      </c>
      <c r="K120">
        <f>IFERROR(INDEX(_ENGINE_Crisis!$AH$292:$AS$303,MATCH('Resilience &amp; Risk Scenario'!$B$6,_ENGINE_Crisis!$AG$292:$AG$303,0),MATCH($A120,_ENGINE_Crisis!$AH$291:$AS$291,0)),0)</f>
        <v/>
      </c>
    </row>
    <row r="121" ht="28.5" customHeight="1" s="209">
      <c r="A121" s="247" t="inlineStr">
        <is>
          <t>Financial liquidity crisis</t>
        </is>
      </c>
      <c r="B121" s="247" t="inlineStr">
        <is>
          <t>Data BI AI</t>
        </is>
      </c>
      <c r="C121" s="247" t="n">
        <v>1.2</v>
      </c>
      <c r="D121" s="247">
        <f>ROUND(C121*(1+('Resilience &amp; Risk Scenario'!$B$7-3)*0.15),2)</f>
        <v/>
      </c>
      <c r="E121" s="247" t="inlineStr">
        <is>
          <t>Data quality, BI and analytics determine decision visibility and forecasting under stress.</t>
        </is>
      </c>
      <c r="F121" s="247" t="inlineStr">
        <is>
          <t>Monitor; not a primary scenario driver</t>
        </is>
      </c>
      <c r="G121" s="247" t="inlineStr">
        <is>
          <t>Assign data owners, improve data quality, dashboards, forecasting and AI governance.</t>
        </is>
      </c>
      <c r="H121" s="247" t="inlineStr">
        <is>
          <t>DAMA-DMBOK; ISO 42001; ISO 23894; data governance</t>
        </is>
      </c>
      <c r="I121" s="247">
        <f>A121&amp;"|"&amp;B121</f>
        <v/>
      </c>
      <c r="J121" s="247" t="inlineStr">
        <is>
          <t>Multiplier is increased/decreased by severity: severity 3 = base; severity 5 = +30%; severity 1 = -30%.</t>
        </is>
      </c>
      <c r="K121">
        <f>IFERROR(INDEX(_ENGINE_Crisis!$AH$292:$AS$303,MATCH('Resilience &amp; Risk Scenario'!$B$6,_ENGINE_Crisis!$AG$292:$AG$303,0),MATCH($A121,_ENGINE_Crisis!$AH$291:$AS$291,0)),0)</f>
        <v/>
      </c>
    </row>
    <row r="122" ht="28.5" customHeight="1" s="209">
      <c r="A122" s="247" t="inlineStr">
        <is>
          <t>Financial liquidity crisis</t>
        </is>
      </c>
      <c r="B122" s="247" t="inlineStr">
        <is>
          <t>Cyber Privacy</t>
        </is>
      </c>
      <c r="C122" s="247" t="n">
        <v>1</v>
      </c>
      <c r="D122" s="247">
        <f>ROUND(C122*(1+('Resilience &amp; Risk Scenario'!$B$7-3)*0.15),2)</f>
        <v/>
      </c>
      <c r="E122" s="247" t="inlineStr">
        <is>
          <t>Cybersecurity and privacy controls determine resistance to digital disruption and regulatory exposure.</t>
        </is>
      </c>
      <c r="F122" s="247" t="inlineStr">
        <is>
          <t>Monitor; not a primary scenario driver</t>
        </is>
      </c>
      <c r="G122" s="247" t="inlineStr">
        <is>
          <t>Strengthen MFA, EDR, logging, IR playbooks, restore testing, privacy controls and awareness.</t>
        </is>
      </c>
      <c r="H122" s="247" t="inlineStr">
        <is>
          <t>ISO 27001; NIST CSF; CIS Controls; ISO 27701; GDPR</t>
        </is>
      </c>
      <c r="I122" s="247">
        <f>A122&amp;"|"&amp;B122</f>
        <v/>
      </c>
      <c r="J122" s="247" t="inlineStr">
        <is>
          <t>Multiplier is increased/decreased by severity: severity 3 = base; severity 5 = +30%; severity 1 = -30%.</t>
        </is>
      </c>
      <c r="K122">
        <f>IFERROR(INDEX(_ENGINE_Crisis!$AH$292:$AS$303,MATCH('Resilience &amp; Risk Scenario'!$B$6,_ENGINE_Crisis!$AG$292:$AG$303,0),MATCH($A122,_ENGINE_Crisis!$AH$291:$AS$291,0)),0)</f>
        <v/>
      </c>
    </row>
    <row r="123" ht="28.5" customHeight="1" s="209">
      <c r="A123" s="247" t="inlineStr">
        <is>
          <t>Financial liquidity crisis</t>
        </is>
      </c>
      <c r="B123" s="247" t="inlineStr">
        <is>
          <t>Quality Portfolio</t>
        </is>
      </c>
      <c r="C123" s="247" t="n">
        <v>1.3</v>
      </c>
      <c r="D123" s="247">
        <f>ROUND(C123*(1+('Resilience &amp; Risk Scenario'!$B$7-3)*0.15),2)</f>
        <v/>
      </c>
      <c r="E123" s="247" t="inlineStr">
        <is>
          <t>Portfolio discipline and benefits realization determine whether scarce resources are focused on the right actions.</t>
        </is>
      </c>
      <c r="F123" s="247" t="inlineStr">
        <is>
          <t>Secondary focus under this crisis scenario</t>
        </is>
      </c>
      <c r="G123" s="247" t="inlineStr">
        <is>
          <t>Prioritize crisis initiatives by value, risk reduction, dependencies and implementation waves.</t>
        </is>
      </c>
      <c r="H123" s="247" t="inlineStr">
        <is>
          <t>ISO 9001; PMI; ISO 21502; benefits realization; APQC</t>
        </is>
      </c>
      <c r="I123" s="247">
        <f>A123&amp;"|"&amp;B123</f>
        <v/>
      </c>
      <c r="J123" s="247" t="inlineStr">
        <is>
          <t>Multiplier is increased/decreased by severity: severity 3 = base; severity 5 = +30%; severity 1 = -30%.</t>
        </is>
      </c>
      <c r="K123">
        <f>IFERROR(INDEX(_ENGINE_Crisis!$AH$292:$AS$303,MATCH('Resilience &amp; Risk Scenario'!$B$6,_ENGINE_Crisis!$AG$292:$AG$303,0),MATCH($A123,_ENGINE_Crisis!$AH$291:$AS$291,0)),0)</f>
        <v/>
      </c>
    </row>
    <row r="124" ht="28.5" customHeight="1" s="209">
      <c r="A124" s="247" t="inlineStr">
        <is>
          <t>Demand shock</t>
        </is>
      </c>
      <c r="B124" s="247" t="inlineStr">
        <is>
          <t>Company Geography</t>
        </is>
      </c>
      <c r="C124" s="247" t="n">
        <v>1</v>
      </c>
      <c r="D124" s="247">
        <f>ROUND(C124*(1+('Resilience &amp; Risk Scenario'!$B$7-3)*0.15),2)</f>
        <v/>
      </c>
      <c r="E124" s="247" t="inlineStr">
        <is>
          <t>Geographic concentration, legal entity exposure and site dependency can amplify crisis impact.</t>
        </is>
      </c>
      <c r="F124" s="247" t="inlineStr">
        <is>
          <t>Monitor; not a primary scenario driver</t>
        </is>
      </c>
      <c r="G124" s="247" t="inlineStr">
        <is>
          <t>Map entities, locations, markets, revenue exposure and alternate operating options.</t>
        </is>
      </c>
      <c r="H124" s="247" t="inlineStr">
        <is>
          <t>ISO 22301; ISO 31000; ISO 9001; ISO 37000; PESTLE</t>
        </is>
      </c>
      <c r="I124" s="247">
        <f>A124&amp;"|"&amp;B124</f>
        <v/>
      </c>
      <c r="J124" s="247" t="inlineStr">
        <is>
          <t>Multiplier is increased/decreased by severity: severity 3 = base; severity 5 = +30%; severity 1 = -30%.</t>
        </is>
      </c>
      <c r="K124">
        <f>IFERROR(INDEX(_ENGINE_Crisis!$AH$292:$AS$303,MATCH('Resilience &amp; Risk Scenario'!$B$6,_ENGINE_Crisis!$AG$292:$AG$303,0),MATCH($A124,_ENGINE_Crisis!$AH$291:$AS$291,0)),0)</f>
        <v/>
      </c>
    </row>
    <row r="125" ht="28.5" customHeight="1" s="209">
      <c r="A125" s="247" t="inlineStr">
        <is>
          <t>Demand shock</t>
        </is>
      </c>
      <c r="B125" s="247" t="inlineStr">
        <is>
          <t>Strategy GTM</t>
        </is>
      </c>
      <c r="C125" s="247" t="n">
        <v>2</v>
      </c>
      <c r="D125" s="247">
        <f>ROUND(C125*(1+('Resilience &amp; Risk Scenario'!$B$7-3)*0.15),2)</f>
        <v/>
      </c>
      <c r="E125" s="247" t="inlineStr">
        <is>
          <t>Market positioning, ICP clarity and offer structure determine whether the company can adapt revenue during crisis.</t>
        </is>
      </c>
      <c r="F125" s="247" t="inlineStr">
        <is>
          <t>Primary focus under this crisis scenario</t>
        </is>
      </c>
      <c r="G125" s="247" t="inlineStr">
        <is>
          <t>Stress-test ICP, offering, pricing, channels and market focus under the selected crisis.</t>
        </is>
      </c>
      <c r="H125" s="247" t="inlineStr">
        <is>
          <t>Business Model Canvas; Porter; Bain Elements of Value; ISO 9001</t>
        </is>
      </c>
      <c r="I125" s="247">
        <f>A125&amp;"|"&amp;B125</f>
        <v/>
      </c>
      <c r="J125" s="247" t="inlineStr">
        <is>
          <t>Multiplier is increased/decreased by severity: severity 3 = base; severity 5 = +30%; severity 1 = -30%.</t>
        </is>
      </c>
      <c r="K125">
        <f>IFERROR(INDEX(_ENGINE_Crisis!$AH$292:$AS$303,MATCH('Resilience &amp; Risk Scenario'!$B$6,_ENGINE_Crisis!$AG$292:$AG$303,0),MATCH($A125,_ENGINE_Crisis!$AH$291:$AS$291,0)),0)</f>
        <v/>
      </c>
    </row>
    <row r="126" ht="28.5" customHeight="1" s="209">
      <c r="A126" s="247" t="inlineStr">
        <is>
          <t>Demand shock</t>
        </is>
      </c>
      <c r="B126" s="247" t="inlineStr">
        <is>
          <t>Governance Crisis</t>
        </is>
      </c>
      <c r="C126" s="247" t="n">
        <v>1</v>
      </c>
      <c r="D126" s="247">
        <f>ROUND(C126*(1+('Resilience &amp; Risk Scenario'!$B$7-3)*0.15),2)</f>
        <v/>
      </c>
      <c r="E126" s="247" t="inlineStr">
        <is>
          <t>Decision rights, escalation and crisis governance determine response speed under pressure.</t>
        </is>
      </c>
      <c r="F126" s="247" t="inlineStr">
        <is>
          <t>Monitor; not a primary scenario driver</t>
        </is>
      </c>
      <c r="G126" s="247" t="inlineStr">
        <is>
          <t>Define crisis roles, escalation path, decision cadence and management war room routines.</t>
        </is>
      </c>
      <c r="H126" s="247" t="inlineStr">
        <is>
          <t>ISO 22301; ISO 31000; ISO 37000; Bain RAPID</t>
        </is>
      </c>
      <c r="I126" s="247">
        <f>A126&amp;"|"&amp;B126</f>
        <v/>
      </c>
      <c r="J126" s="247" t="inlineStr">
        <is>
          <t>Multiplier is increased/decreased by severity: severity 3 = base; severity 5 = +30%; severity 1 = -30%.</t>
        </is>
      </c>
      <c r="K126">
        <f>IFERROR(INDEX(_ENGINE_Crisis!$AH$292:$AS$303,MATCH('Resilience &amp; Risk Scenario'!$B$6,_ENGINE_Crisis!$AG$292:$AG$303,0),MATCH($A126,_ENGINE_Crisis!$AH$291:$AS$291,0)),0)</f>
        <v/>
      </c>
    </row>
    <row r="127" ht="28.5" customHeight="1" s="209">
      <c r="A127" s="247" t="inlineStr">
        <is>
          <t>Demand shock</t>
        </is>
      </c>
      <c r="B127" s="247" t="inlineStr">
        <is>
          <t>HR Workforce</t>
        </is>
      </c>
      <c r="C127" s="247" t="n">
        <v>1</v>
      </c>
      <c r="D127" s="247">
        <f>ROUND(C127*(1+('Resilience &amp; Risk Scenario'!$B$7-3)*0.15),2)</f>
        <v/>
      </c>
      <c r="E127" s="247" t="inlineStr">
        <is>
          <t>Workforce availability, critical people and knowledge continuity determine operational capacity.</t>
        </is>
      </c>
      <c r="F127" s="247" t="inlineStr">
        <is>
          <t>Monitor; not a primary scenario driver</t>
        </is>
      </c>
      <c r="G127" s="247" t="inlineStr">
        <is>
          <t>Create critical role backups, knowledge transfer, cross-training and workforce continuity plans.</t>
        </is>
      </c>
      <c r="H127" s="247" t="inlineStr">
        <is>
          <t>ISO 30414; ISO 30405; ISO 45001; workforce planning</t>
        </is>
      </c>
      <c r="I127" s="247">
        <f>A127&amp;"|"&amp;B127</f>
        <v/>
      </c>
      <c r="J127" s="247" t="inlineStr">
        <is>
          <t>Multiplier is increased/decreased by severity: severity 3 = base; severity 5 = +30%; severity 1 = -30%.</t>
        </is>
      </c>
      <c r="K127">
        <f>IFERROR(INDEX(_ENGINE_Crisis!$AH$292:$AS$303,MATCH('Resilience &amp; Risk Scenario'!$B$6,_ENGINE_Crisis!$AG$292:$AG$303,0),MATCH($A127,_ENGINE_Crisis!$AH$291:$AS$291,0)),0)</f>
        <v/>
      </c>
    </row>
    <row r="128" ht="28.5" customHeight="1" s="209">
      <c r="A128" s="247" t="inlineStr">
        <is>
          <t>Demand shock</t>
        </is>
      </c>
      <c r="B128" s="247" t="inlineStr">
        <is>
          <t>Finance Procurement</t>
        </is>
      </c>
      <c r="C128" s="247" t="n">
        <v>1.5</v>
      </c>
      <c r="D128" s="247">
        <f>ROUND(C128*(1+('Resilience &amp; Risk Scenario'!$B$7-3)*0.15),2)</f>
        <v/>
      </c>
      <c r="E128" s="247" t="inlineStr">
        <is>
          <t>Cash control, supplier payments and procurement discipline determine financial survival and response options.</t>
        </is>
      </c>
      <c r="F128" s="247" t="inlineStr">
        <is>
          <t>Secondary focus under this crisis scenario</t>
        </is>
      </c>
      <c r="G128" s="247" t="inlineStr">
        <is>
          <t>Build cash stress testing, payment prioritization, supplier risk review and procurement controls.</t>
        </is>
      </c>
      <c r="H128" s="247" t="inlineStr">
        <is>
          <t>COSO; ISO 20400; ISO 31000; IFRS</t>
        </is>
      </c>
      <c r="I128" s="247">
        <f>A128&amp;"|"&amp;B128</f>
        <v/>
      </c>
      <c r="J128" s="247" t="inlineStr">
        <is>
          <t>Multiplier is increased/decreased by severity: severity 3 = base; severity 5 = +30%; severity 1 = -30%.</t>
        </is>
      </c>
      <c r="K128">
        <f>IFERROR(INDEX(_ENGINE_Crisis!$AH$292:$AS$303,MATCH('Resilience &amp; Risk Scenario'!$B$6,_ENGINE_Crisis!$AG$292:$AG$303,0),MATCH($A128,_ENGINE_Crisis!$AH$291:$AS$291,0)),0)</f>
        <v/>
      </c>
    </row>
    <row r="129" ht="28.5" customHeight="1" s="209">
      <c r="A129" s="247" t="inlineStr">
        <is>
          <t>Demand shock</t>
        </is>
      </c>
      <c r="B129" s="247" t="inlineStr">
        <is>
          <t>Legal Risk</t>
        </is>
      </c>
      <c r="C129" s="247" t="n">
        <v>1</v>
      </c>
      <c r="D129" s="247">
        <f>ROUND(C129*(1+('Resilience &amp; Risk Scenario'!$B$7-3)*0.15),2)</f>
        <v/>
      </c>
      <c r="E129" s="247" t="inlineStr">
        <is>
          <t>Contracts, obligations and compliance exposure can turn operational crisis into legal or regulatory failure.</t>
        </is>
      </c>
      <c r="F129" s="247" t="inlineStr">
        <is>
          <t>Monitor; not a primary scenario driver</t>
        </is>
      </c>
      <c r="G129" s="247" t="inlineStr">
        <is>
          <t>Review critical contracts, compliance obligations, force majeure, data protection and legal continuity.</t>
        </is>
      </c>
      <c r="H129" s="247" t="inlineStr">
        <is>
          <t>ISO 37301; ISO 31000; GDPR; ISO 27701</t>
        </is>
      </c>
      <c r="I129" s="247">
        <f>A129&amp;"|"&amp;B129</f>
        <v/>
      </c>
      <c r="J129" s="247" t="inlineStr">
        <is>
          <t>Multiplier is increased/decreased by severity: severity 3 = base; severity 5 = +30%; severity 1 = -30%.</t>
        </is>
      </c>
      <c r="K129">
        <f>IFERROR(INDEX(_ENGINE_Crisis!$AH$292:$AS$303,MATCH('Resilience &amp; Risk Scenario'!$B$6,_ENGINE_Crisis!$AG$292:$AG$303,0),MATCH($A129,_ENGINE_Crisis!$AH$291:$AS$291,0)),0)</f>
        <v/>
      </c>
    </row>
    <row r="130" ht="28.5" customHeight="1" s="209">
      <c r="A130" s="247" t="inlineStr">
        <is>
          <t>Demand shock</t>
        </is>
      </c>
      <c r="B130" s="247" t="inlineStr">
        <is>
          <t>Physical Safety</t>
        </is>
      </c>
      <c r="C130" s="247" t="n">
        <v>1</v>
      </c>
      <c r="D130" s="247">
        <f>ROUND(C130*(1+('Resilience &amp; Risk Scenario'!$B$7-3)*0.15),2)</f>
        <v/>
      </c>
      <c r="E130" s="247" t="inlineStr">
        <is>
          <t>Employee safety, access control, evacuation and facilities resilience are direct crisis constraints.</t>
        </is>
      </c>
      <c r="F130" s="247" t="inlineStr">
        <is>
          <t>Monitor; not a primary scenario driver</t>
        </is>
      </c>
      <c r="G130" s="247" t="inlineStr">
        <is>
          <t>Implement evacuation, access control, emergency response, site security and travel-risk procedures.</t>
        </is>
      </c>
      <c r="H130" s="247" t="inlineStr">
        <is>
          <t>ISO 45001; ISO 22320; ISO 31030; ISO 22301</t>
        </is>
      </c>
      <c r="I130" s="247">
        <f>A130&amp;"|"&amp;B130</f>
        <v/>
      </c>
      <c r="J130" s="247" t="inlineStr">
        <is>
          <t>Multiplier is increased/decreased by severity: severity 3 = base; severity 5 = +30%; severity 1 = -30%.</t>
        </is>
      </c>
      <c r="K130">
        <f>IFERROR(INDEX(_ENGINE_Crisis!$AH$292:$AS$303,MATCH('Resilience &amp; Risk Scenario'!$B$6,_ENGINE_Crisis!$AG$292:$AG$303,0),MATCH($A130,_ENGINE_Crisis!$AH$291:$AS$291,0)),0)</f>
        <v/>
      </c>
    </row>
    <row r="131" ht="28.5" customHeight="1" s="209">
      <c r="A131" s="247" t="inlineStr">
        <is>
          <t>Demand shock</t>
        </is>
      </c>
      <c r="B131" s="247" t="inlineStr">
        <is>
          <t>Delivery Ops</t>
        </is>
      </c>
      <c r="C131" s="247" t="n">
        <v>1.2</v>
      </c>
      <c r="D131" s="247">
        <f>ROUND(C131*(1+('Resilience &amp; Risk Scenario'!$B$7-3)*0.15),2)</f>
        <v/>
      </c>
      <c r="E131" s="247" t="inlineStr">
        <is>
          <t>Delivery capacity, SLA control and operational handover determine customer continuity.</t>
        </is>
      </c>
      <c r="F131" s="247" t="inlineStr">
        <is>
          <t>Monitor; not a primary scenario driver</t>
        </is>
      </c>
      <c r="G131" s="247" t="inlineStr">
        <is>
          <t>Define alternative delivery models, capacity buffers, SLA triage and incident recovery procedures.</t>
        </is>
      </c>
      <c r="H131" s="247" t="inlineStr">
        <is>
          <t>ISO 9001; ISO 22301; ITIL; SLA management</t>
        </is>
      </c>
      <c r="I131" s="247">
        <f>A131&amp;"|"&amp;B131</f>
        <v/>
      </c>
      <c r="J131" s="247" t="inlineStr">
        <is>
          <t>Multiplier is increased/decreased by severity: severity 3 = base; severity 5 = +30%; severity 1 = -30%.</t>
        </is>
      </c>
      <c r="K131">
        <f>IFERROR(INDEX(_ENGINE_Crisis!$AH$292:$AS$303,MATCH('Resilience &amp; Risk Scenario'!$B$6,_ENGINE_Crisis!$AG$292:$AG$303,0),MATCH($A131,_ENGINE_Crisis!$AH$291:$AS$291,0)),0)</f>
        <v/>
      </c>
    </row>
    <row r="132" ht="28.5" customHeight="1" s="209">
      <c r="A132" s="247" t="inlineStr">
        <is>
          <t>Demand shock</t>
        </is>
      </c>
      <c r="B132" s="247" t="inlineStr">
        <is>
          <t>Supply Chain</t>
        </is>
      </c>
      <c r="C132" s="247" t="n">
        <v>1</v>
      </c>
      <c r="D132" s="247">
        <f>ROUND(C132*(1+('Resilience &amp; Risk Scenario'!$B$7-3)*0.15),2)</f>
        <v/>
      </c>
      <c r="E132" s="247" t="inlineStr">
        <is>
          <t>Supplier concentration, logistics and inventory visibility determine production and delivery continuity.</t>
        </is>
      </c>
      <c r="F132" s="247" t="inlineStr">
        <is>
          <t>Monitor; not a primary scenario driver</t>
        </is>
      </c>
      <c r="G132" s="247" t="inlineStr">
        <is>
          <t>Diversify suppliers, define safety stock, alternate routes, supplier monitoring and substitution rules.</t>
        </is>
      </c>
      <c r="H132" s="247" t="inlineStr">
        <is>
          <t>SCOR; ISO 28000; ISO 20400; ISO 22301</t>
        </is>
      </c>
      <c r="I132" s="247">
        <f>A132&amp;"|"&amp;B132</f>
        <v/>
      </c>
      <c r="J132" s="247" t="inlineStr">
        <is>
          <t>Multiplier is increased/decreased by severity: severity 3 = base; severity 5 = +30%; severity 1 = -30%.</t>
        </is>
      </c>
      <c r="K132">
        <f>IFERROR(INDEX(_ENGINE_Crisis!$AH$292:$AS$303,MATCH('Resilience &amp; Risk Scenario'!$B$6,_ENGINE_Crisis!$AG$292:$AG$303,0),MATCH($A132,_ENGINE_Crisis!$AH$291:$AS$291,0)),0)</f>
        <v/>
      </c>
    </row>
    <row r="133" ht="28.5" customHeight="1" s="209">
      <c r="A133" s="247" t="inlineStr">
        <is>
          <t>Demand shock</t>
        </is>
      </c>
      <c r="B133" s="247" t="inlineStr">
        <is>
          <t>Manufacturing MES</t>
        </is>
      </c>
      <c r="C133" s="247" t="n">
        <v>1</v>
      </c>
      <c r="D133" s="247">
        <f>ROUND(C133*(1+('Resilience &amp; Risk Scenario'!$B$7-3)*0.15),2)</f>
        <v/>
      </c>
      <c r="E133" s="247" t="inlineStr">
        <is>
          <t>Production assets, MES, maintenance and utilities determine manufacturing recoverability.</t>
        </is>
      </c>
      <c r="F133" s="247" t="inlineStr">
        <is>
          <t>Monitor; not a primary scenario driver</t>
        </is>
      </c>
      <c r="G133" s="247" t="inlineStr">
        <is>
          <t>Define production fallback, maintenance priorities, spare parts, MES continuity and utility backup.</t>
        </is>
      </c>
      <c r="H133" s="247" t="inlineStr">
        <is>
          <t>ISA-95; ISO 9001; TPM; IEC 62443; ISO 22301</t>
        </is>
      </c>
      <c r="I133" s="247">
        <f>A133&amp;"|"&amp;B133</f>
        <v/>
      </c>
      <c r="J133" s="247" t="inlineStr">
        <is>
          <t>Multiplier is increased/decreased by severity: severity 3 = base; severity 5 = +30%; severity 1 = -30%.</t>
        </is>
      </c>
      <c r="K133">
        <f>IFERROR(INDEX(_ENGINE_Crisis!$AH$292:$AS$303,MATCH('Resilience &amp; Risk Scenario'!$B$6,_ENGINE_Crisis!$AG$292:$AG$303,0),MATCH($A133,_ENGINE_Crisis!$AH$291:$AS$291,0)),0)</f>
        <v/>
      </c>
    </row>
    <row r="134" ht="28.5" customHeight="1" s="209">
      <c r="A134" s="247" t="inlineStr">
        <is>
          <t>Demand shock</t>
        </is>
      </c>
      <c r="B134" s="247" t="inlineStr">
        <is>
          <t>Sales CRM</t>
        </is>
      </c>
      <c r="C134" s="247" t="n">
        <v>1.9</v>
      </c>
      <c r="D134" s="247">
        <f>ROUND(C134*(1+('Resilience &amp; Risk Scenario'!$B$7-3)*0.15),2)</f>
        <v/>
      </c>
      <c r="E134" s="247" t="inlineStr">
        <is>
          <t>CRM discipline, pipeline visibility and retention actions determine revenue protection.</t>
        </is>
      </c>
      <c r="F134" s="247" t="inlineStr">
        <is>
          <t>Primary focus under this crisis scenario</t>
        </is>
      </c>
      <c r="G134" s="247" t="inlineStr">
        <is>
          <t>Improve CRM hygiene, retention playbooks, pipeline scenarios and customer segmentation.</t>
        </is>
      </c>
      <c r="H134" s="247" t="inlineStr">
        <is>
          <t>CRM best practices; ISO 10002; ISO 10004; revenue operations</t>
        </is>
      </c>
      <c r="I134" s="247">
        <f>A134&amp;"|"&amp;B134</f>
        <v/>
      </c>
      <c r="J134" s="247" t="inlineStr">
        <is>
          <t>Multiplier is increased/decreased by severity: severity 3 = base; severity 5 = +30%; severity 1 = -30%.</t>
        </is>
      </c>
      <c r="K134">
        <f>IFERROR(INDEX(_ENGINE_Crisis!$AH$292:$AS$303,MATCH('Resilience &amp; Risk Scenario'!$B$6,_ENGINE_Crisis!$AG$292:$AG$303,0),MATCH($A134,_ENGINE_Crisis!$AH$291:$AS$291,0)),0)</f>
        <v/>
      </c>
    </row>
    <row r="135" ht="28.5" customHeight="1" s="209">
      <c r="A135" s="247" t="inlineStr">
        <is>
          <t>Demand shock</t>
        </is>
      </c>
      <c r="B135" s="247" t="inlineStr">
        <is>
          <t>Marketing Comms</t>
        </is>
      </c>
      <c r="C135" s="247" t="n">
        <v>1.7</v>
      </c>
      <c r="D135" s="247">
        <f>ROUND(C135*(1+('Resilience &amp; Risk Scenario'!$B$7-3)*0.15),2)</f>
        <v/>
      </c>
      <c r="E135" s="247" t="inlineStr">
        <is>
          <t>Customer communication and reputation control determine trust during uncertainty.</t>
        </is>
      </c>
      <c r="F135" s="247" t="inlineStr">
        <is>
          <t>Primary focus under this crisis scenario</t>
        </is>
      </c>
      <c r="G135" s="247" t="inlineStr">
        <is>
          <t>Prepare crisis messages, customer notification templates, comms approval flow and brand monitoring.</t>
        </is>
      </c>
      <c r="H135" s="247" t="inlineStr">
        <is>
          <t>ISO 10002; ISO 10004; crisis communication practices</t>
        </is>
      </c>
      <c r="I135" s="247">
        <f>A135&amp;"|"&amp;B135</f>
        <v/>
      </c>
      <c r="J135" s="247" t="inlineStr">
        <is>
          <t>Multiplier is increased/decreased by severity: severity 3 = base; severity 5 = +30%; severity 1 = -30%.</t>
        </is>
      </c>
      <c r="K135">
        <f>IFERROR(INDEX(_ENGINE_Crisis!$AH$292:$AS$303,MATCH('Resilience &amp; Risk Scenario'!$B$6,_ENGINE_Crisis!$AG$292:$AG$303,0),MATCH($A135,_ENGINE_Crisis!$AH$291:$AS$291,0)),0)</f>
        <v/>
      </c>
    </row>
    <row r="136" ht="28.5" customHeight="1" s="209">
      <c r="A136" s="247" t="inlineStr">
        <is>
          <t>Demand shock</t>
        </is>
      </c>
      <c r="B136" s="247" t="inlineStr">
        <is>
          <t>IT Cloud DR</t>
        </is>
      </c>
      <c r="C136" s="247" t="n">
        <v>1</v>
      </c>
      <c r="D136" s="247">
        <f>ROUND(C136*(1+('Resilience &amp; Risk Scenario'!$B$7-3)*0.15),2)</f>
        <v/>
      </c>
      <c r="E136" s="247" t="inlineStr">
        <is>
          <t>Cloud, infrastructure, backups, RTO and RPO determine system recoverability.</t>
        </is>
      </c>
      <c r="F136" s="247" t="inlineStr">
        <is>
          <t>Monitor; not a primary scenario driver</t>
        </is>
      </c>
      <c r="G136" s="247" t="inlineStr">
        <is>
          <t>Implement tested backups, DR runbooks, failover, cloud landing zones and RTO/RPO monitoring.</t>
        </is>
      </c>
      <c r="H136" s="247" t="inlineStr">
        <is>
          <t>ISO 27001; NIST CSF; NIST SP 800-34; ISO 20000</t>
        </is>
      </c>
      <c r="I136" s="247">
        <f>A136&amp;"|"&amp;B136</f>
        <v/>
      </c>
      <c r="J136" s="247" t="inlineStr">
        <is>
          <t>Multiplier is increased/decreased by severity: severity 3 = base; severity 5 = +30%; severity 1 = -30%.</t>
        </is>
      </c>
      <c r="K136">
        <f>IFERROR(INDEX(_ENGINE_Crisis!$AH$292:$AS$303,MATCH('Resilience &amp; Risk Scenario'!$B$6,_ENGINE_Crisis!$AG$292:$AG$303,0),MATCH($A136,_ENGINE_Crisis!$AH$291:$AS$291,0)),0)</f>
        <v/>
      </c>
    </row>
    <row r="137" ht="28.5" customHeight="1" s="209">
      <c r="A137" s="247" t="inlineStr">
        <is>
          <t>Demand shock</t>
        </is>
      </c>
      <c r="B137" s="247" t="inlineStr">
        <is>
          <t>Business Systems</t>
        </is>
      </c>
      <c r="C137" s="247" t="n">
        <v>1</v>
      </c>
      <c r="D137" s="247">
        <f>ROUND(C137*(1+('Resilience &amp; Risk Scenario'!$B$7-3)*0.15),2)</f>
        <v/>
      </c>
      <c r="E137" s="247" t="inlineStr">
        <is>
          <t>ERP, CRM, HRMS, MES and SaaS continuity determine transaction and process continuity.</t>
        </is>
      </c>
      <c r="F137" s="247" t="inlineStr">
        <is>
          <t>Monitor; not a primary scenario driver</t>
        </is>
      </c>
      <c r="G137" s="247" t="inlineStr">
        <is>
          <t>Document system dependencies, SaaS continuity, role access, data exports and manual fallback.</t>
        </is>
      </c>
      <c r="H137" s="247" t="inlineStr">
        <is>
          <t>COBIT; ITIL; ISO 20000; ERP/CRM/MES governance</t>
        </is>
      </c>
      <c r="I137" s="247">
        <f>A137&amp;"|"&amp;B137</f>
        <v/>
      </c>
      <c r="J137" s="247" t="inlineStr">
        <is>
          <t>Multiplier is increased/decreased by severity: severity 3 = base; severity 5 = +30%; severity 1 = -30%.</t>
        </is>
      </c>
      <c r="K137">
        <f>IFERROR(INDEX(_ENGINE_Crisis!$AH$292:$AS$303,MATCH('Resilience &amp; Risk Scenario'!$B$6,_ENGINE_Crisis!$AG$292:$AG$303,0),MATCH($A137,_ENGINE_Crisis!$AH$291:$AS$291,0)),0)</f>
        <v/>
      </c>
    </row>
    <row r="138" ht="28.5" customHeight="1" s="209">
      <c r="A138" s="247" t="inlineStr">
        <is>
          <t>Demand shock</t>
        </is>
      </c>
      <c r="B138" s="247" t="inlineStr">
        <is>
          <t>Data BI AI</t>
        </is>
      </c>
      <c r="C138" s="247" t="n">
        <v>1.3</v>
      </c>
      <c r="D138" s="247">
        <f>ROUND(C138*(1+('Resilience &amp; Risk Scenario'!$B$7-3)*0.15),2)</f>
        <v/>
      </c>
      <c r="E138" s="247" t="inlineStr">
        <is>
          <t>Data quality, BI and analytics determine decision visibility and forecasting under stress.</t>
        </is>
      </c>
      <c r="F138" s="247" t="inlineStr">
        <is>
          <t>Secondary focus under this crisis scenario</t>
        </is>
      </c>
      <c r="G138" s="247" t="inlineStr">
        <is>
          <t>Assign data owners, improve data quality, dashboards, forecasting and AI governance.</t>
        </is>
      </c>
      <c r="H138" s="247" t="inlineStr">
        <is>
          <t>DAMA-DMBOK; ISO 42001; ISO 23894; data governance</t>
        </is>
      </c>
      <c r="I138" s="247">
        <f>A138&amp;"|"&amp;B138</f>
        <v/>
      </c>
      <c r="J138" s="247" t="inlineStr">
        <is>
          <t>Multiplier is increased/decreased by severity: severity 3 = base; severity 5 = +30%; severity 1 = -30%.</t>
        </is>
      </c>
      <c r="K138">
        <f>IFERROR(INDEX(_ENGINE_Crisis!$AH$292:$AS$303,MATCH('Resilience &amp; Risk Scenario'!$B$6,_ENGINE_Crisis!$AG$292:$AG$303,0),MATCH($A138,_ENGINE_Crisis!$AH$291:$AS$291,0)),0)</f>
        <v/>
      </c>
    </row>
    <row r="139" ht="28.5" customHeight="1" s="209">
      <c r="A139" s="247" t="inlineStr">
        <is>
          <t>Demand shock</t>
        </is>
      </c>
      <c r="B139" s="247" t="inlineStr">
        <is>
          <t>Cyber Privacy</t>
        </is>
      </c>
      <c r="C139" s="247" t="n">
        <v>1</v>
      </c>
      <c r="D139" s="247">
        <f>ROUND(C139*(1+('Resilience &amp; Risk Scenario'!$B$7-3)*0.15),2)</f>
        <v/>
      </c>
      <c r="E139" s="247" t="inlineStr">
        <is>
          <t>Cybersecurity and privacy controls determine resistance to digital disruption and regulatory exposure.</t>
        </is>
      </c>
      <c r="F139" s="247" t="inlineStr">
        <is>
          <t>Monitor; not a primary scenario driver</t>
        </is>
      </c>
      <c r="G139" s="247" t="inlineStr">
        <is>
          <t>Strengthen MFA, EDR, logging, IR playbooks, restore testing, privacy controls and awareness.</t>
        </is>
      </c>
      <c r="H139" s="247" t="inlineStr">
        <is>
          <t>ISO 27001; NIST CSF; CIS Controls; ISO 27701; GDPR</t>
        </is>
      </c>
      <c r="I139" s="247">
        <f>A139&amp;"|"&amp;B139</f>
        <v/>
      </c>
      <c r="J139" s="247" t="inlineStr">
        <is>
          <t>Multiplier is increased/decreased by severity: severity 3 = base; severity 5 = +30%; severity 1 = -30%.</t>
        </is>
      </c>
      <c r="K139">
        <f>IFERROR(INDEX(_ENGINE_Crisis!$AH$292:$AS$303,MATCH('Resilience &amp; Risk Scenario'!$B$6,_ENGINE_Crisis!$AG$292:$AG$303,0),MATCH($A139,_ENGINE_Crisis!$AH$291:$AS$291,0)),0)</f>
        <v/>
      </c>
    </row>
    <row r="140" ht="28.5" customHeight="1" s="209">
      <c r="A140" s="247" t="inlineStr">
        <is>
          <t>Demand shock</t>
        </is>
      </c>
      <c r="B140" s="247" t="inlineStr">
        <is>
          <t>Quality Portfolio</t>
        </is>
      </c>
      <c r="C140" s="247" t="n">
        <v>1.2</v>
      </c>
      <c r="D140" s="247">
        <f>ROUND(C140*(1+('Resilience &amp; Risk Scenario'!$B$7-3)*0.15),2)</f>
        <v/>
      </c>
      <c r="E140" s="247" t="inlineStr">
        <is>
          <t>Portfolio discipline and benefits realization determine whether scarce resources are focused on the right actions.</t>
        </is>
      </c>
      <c r="F140" s="247" t="inlineStr">
        <is>
          <t>Monitor; not a primary scenario driver</t>
        </is>
      </c>
      <c r="G140" s="247" t="inlineStr">
        <is>
          <t>Prioritize crisis initiatives by value, risk reduction, dependencies and implementation waves.</t>
        </is>
      </c>
      <c r="H140" s="247" t="inlineStr">
        <is>
          <t>ISO 9001; PMI; ISO 21502; benefits realization; APQC</t>
        </is>
      </c>
      <c r="I140" s="247">
        <f>A140&amp;"|"&amp;B140</f>
        <v/>
      </c>
      <c r="J140" s="247" t="inlineStr">
        <is>
          <t>Multiplier is increased/decreased by severity: severity 3 = base; severity 5 = +30%; severity 1 = -30%.</t>
        </is>
      </c>
      <c r="K140">
        <f>IFERROR(INDEX(_ENGINE_Crisis!$AH$292:$AS$303,MATCH('Resilience &amp; Risk Scenario'!$B$6,_ENGINE_Crisis!$AG$292:$AG$303,0),MATCH($A140,_ENGINE_Crisis!$AH$291:$AS$291,0)),0)</f>
        <v/>
      </c>
    </row>
    <row r="141" ht="28.5" customHeight="1" s="209">
      <c r="A141" s="247" t="inlineStr">
        <is>
          <t>Pandemic / health crisis</t>
        </is>
      </c>
      <c r="B141" s="247" t="inlineStr">
        <is>
          <t>Company Geography</t>
        </is>
      </c>
      <c r="C141" s="247" t="n">
        <v>1</v>
      </c>
      <c r="D141" s="247">
        <f>ROUND(C141*(1+('Resilience &amp; Risk Scenario'!$B$7-3)*0.15),2)</f>
        <v/>
      </c>
      <c r="E141" s="247" t="inlineStr">
        <is>
          <t>Geographic concentration, legal entity exposure and site dependency can amplify crisis impact.</t>
        </is>
      </c>
      <c r="F141" s="247" t="inlineStr">
        <is>
          <t>Monitor; not a primary scenario driver</t>
        </is>
      </c>
      <c r="G141" s="247" t="inlineStr">
        <is>
          <t>Map entities, locations, markets, revenue exposure and alternate operating options.</t>
        </is>
      </c>
      <c r="H141" s="247" t="inlineStr">
        <is>
          <t>ISO 22301; ISO 31000; ISO 9001; ISO 37000; PESTLE</t>
        </is>
      </c>
      <c r="I141" s="247">
        <f>A141&amp;"|"&amp;B141</f>
        <v/>
      </c>
      <c r="J141" s="247" t="inlineStr">
        <is>
          <t>Multiplier is increased/decreased by severity: severity 3 = base; severity 5 = +30%; severity 1 = -30%.</t>
        </is>
      </c>
      <c r="K141">
        <f>IFERROR(INDEX(_ENGINE_Crisis!$AH$292:$AS$303,MATCH('Resilience &amp; Risk Scenario'!$B$6,_ENGINE_Crisis!$AG$292:$AG$303,0),MATCH($A141,_ENGINE_Crisis!$AH$291:$AS$291,0)),0)</f>
        <v/>
      </c>
    </row>
    <row r="142" ht="28.5" customHeight="1" s="209">
      <c r="A142" s="247" t="inlineStr">
        <is>
          <t>Pandemic / health crisis</t>
        </is>
      </c>
      <c r="B142" s="247" t="inlineStr">
        <is>
          <t>Strategy GTM</t>
        </is>
      </c>
      <c r="C142" s="247" t="n">
        <v>1</v>
      </c>
      <c r="D142" s="247">
        <f>ROUND(C142*(1+('Resilience &amp; Risk Scenario'!$B$7-3)*0.15),2)</f>
        <v/>
      </c>
      <c r="E142" s="247" t="inlineStr">
        <is>
          <t>Market positioning, ICP clarity and offer structure determine whether the company can adapt revenue during crisis.</t>
        </is>
      </c>
      <c r="F142" s="247" t="inlineStr">
        <is>
          <t>Monitor; not a primary scenario driver</t>
        </is>
      </c>
      <c r="G142" s="247" t="inlineStr">
        <is>
          <t>Stress-test ICP, offering, pricing, channels and market focus under the selected crisis.</t>
        </is>
      </c>
      <c r="H142" s="247" t="inlineStr">
        <is>
          <t>Business Model Canvas; Porter; Bain Elements of Value; ISO 9001</t>
        </is>
      </c>
      <c r="I142" s="247">
        <f>A142&amp;"|"&amp;B142</f>
        <v/>
      </c>
      <c r="J142" s="247" t="inlineStr">
        <is>
          <t>Multiplier is increased/decreased by severity: severity 3 = base; severity 5 = +30%; severity 1 = -30%.</t>
        </is>
      </c>
      <c r="K142">
        <f>IFERROR(INDEX(_ENGINE_Crisis!$AH$292:$AS$303,MATCH('Resilience &amp; Risk Scenario'!$B$6,_ENGINE_Crisis!$AG$292:$AG$303,0),MATCH($A142,_ENGINE_Crisis!$AH$291:$AS$291,0)),0)</f>
        <v/>
      </c>
    </row>
    <row r="143" ht="28.5" customHeight="1" s="209">
      <c r="A143" s="247" t="inlineStr">
        <is>
          <t>Pandemic / health crisis</t>
        </is>
      </c>
      <c r="B143" s="247" t="inlineStr">
        <is>
          <t>Governance Crisis</t>
        </is>
      </c>
      <c r="C143" s="247" t="n">
        <v>1.3</v>
      </c>
      <c r="D143" s="247">
        <f>ROUND(C143*(1+('Resilience &amp; Risk Scenario'!$B$7-3)*0.15),2)</f>
        <v/>
      </c>
      <c r="E143" s="247" t="inlineStr">
        <is>
          <t>Decision rights, escalation and crisis governance determine response speed under pressure.</t>
        </is>
      </c>
      <c r="F143" s="247" t="inlineStr">
        <is>
          <t>Secondary focus under this crisis scenario</t>
        </is>
      </c>
      <c r="G143" s="247" t="inlineStr">
        <is>
          <t>Define crisis roles, escalation path, decision cadence and management war room routines.</t>
        </is>
      </c>
      <c r="H143" s="247" t="inlineStr">
        <is>
          <t>ISO 22301; ISO 31000; ISO 37000; Bain RAPID</t>
        </is>
      </c>
      <c r="I143" s="247">
        <f>A143&amp;"|"&amp;B143</f>
        <v/>
      </c>
      <c r="J143" s="247" t="inlineStr">
        <is>
          <t>Multiplier is increased/decreased by severity: severity 3 = base; severity 5 = +30%; severity 1 = -30%.</t>
        </is>
      </c>
      <c r="K143">
        <f>IFERROR(INDEX(_ENGINE_Crisis!$AH$292:$AS$303,MATCH('Resilience &amp; Risk Scenario'!$B$6,_ENGINE_Crisis!$AG$292:$AG$303,0),MATCH($A143,_ENGINE_Crisis!$AH$291:$AS$291,0)),0)</f>
        <v/>
      </c>
    </row>
    <row r="144" ht="28.5" customHeight="1" s="209">
      <c r="A144" s="247" t="inlineStr">
        <is>
          <t>Pandemic / health crisis</t>
        </is>
      </c>
      <c r="B144" s="247" t="inlineStr">
        <is>
          <t>HR Workforce</t>
        </is>
      </c>
      <c r="C144" s="247" t="n">
        <v>2</v>
      </c>
      <c r="D144" s="247">
        <f>ROUND(C144*(1+('Resilience &amp; Risk Scenario'!$B$7-3)*0.15),2)</f>
        <v/>
      </c>
      <c r="E144" s="247" t="inlineStr">
        <is>
          <t>Workforce availability, critical people and knowledge continuity determine operational capacity.</t>
        </is>
      </c>
      <c r="F144" s="247" t="inlineStr">
        <is>
          <t>Primary focus under this crisis scenario</t>
        </is>
      </c>
      <c r="G144" s="247" t="inlineStr">
        <is>
          <t>Create critical role backups, knowledge transfer, cross-training and workforce continuity plans.</t>
        </is>
      </c>
      <c r="H144" s="247" t="inlineStr">
        <is>
          <t>ISO 30414; ISO 30405; ISO 45001; workforce planning</t>
        </is>
      </c>
      <c r="I144" s="247">
        <f>A144&amp;"|"&amp;B144</f>
        <v/>
      </c>
      <c r="J144" s="247" t="inlineStr">
        <is>
          <t>Multiplier is increased/decreased by severity: severity 3 = base; severity 5 = +30%; severity 1 = -30%.</t>
        </is>
      </c>
      <c r="K144">
        <f>IFERROR(INDEX(_ENGINE_Crisis!$AH$292:$AS$303,MATCH('Resilience &amp; Risk Scenario'!$B$6,_ENGINE_Crisis!$AG$292:$AG$303,0),MATCH($A144,_ENGINE_Crisis!$AH$291:$AS$291,0)),0)</f>
        <v/>
      </c>
    </row>
    <row r="145" ht="28.5" customHeight="1" s="209">
      <c r="A145" s="247" t="inlineStr">
        <is>
          <t>Pandemic / health crisis</t>
        </is>
      </c>
      <c r="B145" s="247" t="inlineStr">
        <is>
          <t>Finance Procurement</t>
        </is>
      </c>
      <c r="C145" s="247" t="n">
        <v>1</v>
      </c>
      <c r="D145" s="247">
        <f>ROUND(C145*(1+('Resilience &amp; Risk Scenario'!$B$7-3)*0.15),2)</f>
        <v/>
      </c>
      <c r="E145" s="247" t="inlineStr">
        <is>
          <t>Cash control, supplier payments and procurement discipline determine financial survival and response options.</t>
        </is>
      </c>
      <c r="F145" s="247" t="inlineStr">
        <is>
          <t>Monitor; not a primary scenario driver</t>
        </is>
      </c>
      <c r="G145" s="247" t="inlineStr">
        <is>
          <t>Build cash stress testing, payment prioritization, supplier risk review and procurement controls.</t>
        </is>
      </c>
      <c r="H145" s="247" t="inlineStr">
        <is>
          <t>COSO; ISO 20400; ISO 31000; IFRS</t>
        </is>
      </c>
      <c r="I145" s="247">
        <f>A145&amp;"|"&amp;B145</f>
        <v/>
      </c>
      <c r="J145" s="247" t="inlineStr">
        <is>
          <t>Multiplier is increased/decreased by severity: severity 3 = base; severity 5 = +30%; severity 1 = -30%.</t>
        </is>
      </c>
      <c r="K145">
        <f>IFERROR(INDEX(_ENGINE_Crisis!$AH$292:$AS$303,MATCH('Resilience &amp; Risk Scenario'!$B$6,_ENGINE_Crisis!$AG$292:$AG$303,0),MATCH($A145,_ENGINE_Crisis!$AH$291:$AS$291,0)),0)</f>
        <v/>
      </c>
    </row>
    <row r="146" ht="28.5" customHeight="1" s="209">
      <c r="A146" s="247" t="inlineStr">
        <is>
          <t>Pandemic / health crisis</t>
        </is>
      </c>
      <c r="B146" s="247" t="inlineStr">
        <is>
          <t>Legal Risk</t>
        </is>
      </c>
      <c r="C146" s="247" t="n">
        <v>1</v>
      </c>
      <c r="D146" s="247">
        <f>ROUND(C146*(1+('Resilience &amp; Risk Scenario'!$B$7-3)*0.15),2)</f>
        <v/>
      </c>
      <c r="E146" s="247" t="inlineStr">
        <is>
          <t>Contracts, obligations and compliance exposure can turn operational crisis into legal or regulatory failure.</t>
        </is>
      </c>
      <c r="F146" s="247" t="inlineStr">
        <is>
          <t>Monitor; not a primary scenario driver</t>
        </is>
      </c>
      <c r="G146" s="247" t="inlineStr">
        <is>
          <t>Review critical contracts, compliance obligations, force majeure, data protection and legal continuity.</t>
        </is>
      </c>
      <c r="H146" s="247" t="inlineStr">
        <is>
          <t>ISO 37301; ISO 31000; GDPR; ISO 27701</t>
        </is>
      </c>
      <c r="I146" s="247">
        <f>A146&amp;"|"&amp;B146</f>
        <v/>
      </c>
      <c r="J146" s="247" t="inlineStr">
        <is>
          <t>Multiplier is increased/decreased by severity: severity 3 = base; severity 5 = +30%; severity 1 = -30%.</t>
        </is>
      </c>
      <c r="K146">
        <f>IFERROR(INDEX(_ENGINE_Crisis!$AH$292:$AS$303,MATCH('Resilience &amp; Risk Scenario'!$B$6,_ENGINE_Crisis!$AG$292:$AG$303,0),MATCH($A146,_ENGINE_Crisis!$AH$291:$AS$291,0)),0)</f>
        <v/>
      </c>
    </row>
    <row r="147" ht="28.5" customHeight="1" s="209">
      <c r="A147" s="247" t="inlineStr">
        <is>
          <t>Pandemic / health crisis</t>
        </is>
      </c>
      <c r="B147" s="247" t="inlineStr">
        <is>
          <t>Physical Safety</t>
        </is>
      </c>
      <c r="C147" s="247" t="n">
        <v>1.6</v>
      </c>
      <c r="D147" s="247">
        <f>ROUND(C147*(1+('Resilience &amp; Risk Scenario'!$B$7-3)*0.15),2)</f>
        <v/>
      </c>
      <c r="E147" s="247" t="inlineStr">
        <is>
          <t>Employee safety, access control, evacuation and facilities resilience are direct crisis constraints.</t>
        </is>
      </c>
      <c r="F147" s="247" t="inlineStr">
        <is>
          <t>Secondary focus under this crisis scenario</t>
        </is>
      </c>
      <c r="G147" s="247" t="inlineStr">
        <is>
          <t>Implement evacuation, access control, emergency response, site security and travel-risk procedures.</t>
        </is>
      </c>
      <c r="H147" s="247" t="inlineStr">
        <is>
          <t>ISO 45001; ISO 22320; ISO 31030; ISO 22301</t>
        </is>
      </c>
      <c r="I147" s="247">
        <f>A147&amp;"|"&amp;B147</f>
        <v/>
      </c>
      <c r="J147" s="247" t="inlineStr">
        <is>
          <t>Multiplier is increased/decreased by severity: severity 3 = base; severity 5 = +30%; severity 1 = -30%.</t>
        </is>
      </c>
      <c r="K147">
        <f>IFERROR(INDEX(_ENGINE_Crisis!$AH$292:$AS$303,MATCH('Resilience &amp; Risk Scenario'!$B$6,_ENGINE_Crisis!$AG$292:$AG$303,0),MATCH($A147,_ENGINE_Crisis!$AH$291:$AS$291,0)),0)</f>
        <v/>
      </c>
    </row>
    <row r="148" ht="28.5" customHeight="1" s="209">
      <c r="A148" s="247" t="inlineStr">
        <is>
          <t>Pandemic / health crisis</t>
        </is>
      </c>
      <c r="B148" s="247" t="inlineStr">
        <is>
          <t>Delivery Ops</t>
        </is>
      </c>
      <c r="C148" s="247" t="n">
        <v>1.5</v>
      </c>
      <c r="D148" s="247">
        <f>ROUND(C148*(1+('Resilience &amp; Risk Scenario'!$B$7-3)*0.15),2)</f>
        <v/>
      </c>
      <c r="E148" s="247" t="inlineStr">
        <is>
          <t>Delivery capacity, SLA control and operational handover determine customer continuity.</t>
        </is>
      </c>
      <c r="F148" s="247" t="inlineStr">
        <is>
          <t>Secondary focus under this crisis scenario</t>
        </is>
      </c>
      <c r="G148" s="247" t="inlineStr">
        <is>
          <t>Define alternative delivery models, capacity buffers, SLA triage and incident recovery procedures.</t>
        </is>
      </c>
      <c r="H148" s="247" t="inlineStr">
        <is>
          <t>ISO 9001; ISO 22301; ITIL; SLA management</t>
        </is>
      </c>
      <c r="I148" s="247">
        <f>A148&amp;"|"&amp;B148</f>
        <v/>
      </c>
      <c r="J148" s="247" t="inlineStr">
        <is>
          <t>Multiplier is increased/decreased by severity: severity 3 = base; severity 5 = +30%; severity 1 = -30%.</t>
        </is>
      </c>
      <c r="K148">
        <f>IFERROR(INDEX(_ENGINE_Crisis!$AH$292:$AS$303,MATCH('Resilience &amp; Risk Scenario'!$B$6,_ENGINE_Crisis!$AG$292:$AG$303,0),MATCH($A148,_ENGINE_Crisis!$AH$291:$AS$291,0)),0)</f>
        <v/>
      </c>
    </row>
    <row r="149" ht="28.5" customHeight="1" s="209">
      <c r="A149" s="247" t="inlineStr">
        <is>
          <t>Pandemic / health crisis</t>
        </is>
      </c>
      <c r="B149" s="247" t="inlineStr">
        <is>
          <t>Supply Chain</t>
        </is>
      </c>
      <c r="C149" s="247" t="n">
        <v>1.4</v>
      </c>
      <c r="D149" s="247">
        <f>ROUND(C149*(1+('Resilience &amp; Risk Scenario'!$B$7-3)*0.15),2)</f>
        <v/>
      </c>
      <c r="E149" s="247" t="inlineStr">
        <is>
          <t>Supplier concentration, logistics and inventory visibility determine production and delivery continuity.</t>
        </is>
      </c>
      <c r="F149" s="247" t="inlineStr">
        <is>
          <t>Secondary focus under this crisis scenario</t>
        </is>
      </c>
      <c r="G149" s="247" t="inlineStr">
        <is>
          <t>Diversify suppliers, define safety stock, alternate routes, supplier monitoring and substitution rules.</t>
        </is>
      </c>
      <c r="H149" s="247" t="inlineStr">
        <is>
          <t>SCOR; ISO 28000; ISO 20400; ISO 22301</t>
        </is>
      </c>
      <c r="I149" s="247">
        <f>A149&amp;"|"&amp;B149</f>
        <v/>
      </c>
      <c r="J149" s="247" t="inlineStr">
        <is>
          <t>Multiplier is increased/decreased by severity: severity 3 = base; severity 5 = +30%; severity 1 = -30%.</t>
        </is>
      </c>
      <c r="K149">
        <f>IFERROR(INDEX(_ENGINE_Crisis!$AH$292:$AS$303,MATCH('Resilience &amp; Risk Scenario'!$B$6,_ENGINE_Crisis!$AG$292:$AG$303,0),MATCH($A149,_ENGINE_Crisis!$AH$291:$AS$291,0)),0)</f>
        <v/>
      </c>
    </row>
    <row r="150" ht="28.5" customHeight="1" s="209">
      <c r="A150" s="247" t="inlineStr">
        <is>
          <t>Pandemic / health crisis</t>
        </is>
      </c>
      <c r="B150" s="247" t="inlineStr">
        <is>
          <t>Manufacturing MES</t>
        </is>
      </c>
      <c r="C150" s="247" t="n">
        <v>1</v>
      </c>
      <c r="D150" s="247">
        <f>ROUND(C150*(1+('Resilience &amp; Risk Scenario'!$B$7-3)*0.15),2)</f>
        <v/>
      </c>
      <c r="E150" s="247" t="inlineStr">
        <is>
          <t>Production assets, MES, maintenance and utilities determine manufacturing recoverability.</t>
        </is>
      </c>
      <c r="F150" s="247" t="inlineStr">
        <is>
          <t>Monitor; not a primary scenario driver</t>
        </is>
      </c>
      <c r="G150" s="247" t="inlineStr">
        <is>
          <t>Define production fallback, maintenance priorities, spare parts, MES continuity and utility backup.</t>
        </is>
      </c>
      <c r="H150" s="247" t="inlineStr">
        <is>
          <t>ISA-95; ISO 9001; TPM; IEC 62443; ISO 22301</t>
        </is>
      </c>
      <c r="I150" s="247">
        <f>A150&amp;"|"&amp;B150</f>
        <v/>
      </c>
      <c r="J150" s="247" t="inlineStr">
        <is>
          <t>Multiplier is increased/decreased by severity: severity 3 = base; severity 5 = +30%; severity 1 = -30%.</t>
        </is>
      </c>
      <c r="K150">
        <f>IFERROR(INDEX(_ENGINE_Crisis!$AH$292:$AS$303,MATCH('Resilience &amp; Risk Scenario'!$B$6,_ENGINE_Crisis!$AG$292:$AG$303,0),MATCH($A150,_ENGINE_Crisis!$AH$291:$AS$291,0)),0)</f>
        <v/>
      </c>
    </row>
    <row r="151" ht="28.5" customHeight="1" s="209">
      <c r="A151" s="247" t="inlineStr">
        <is>
          <t>Pandemic / health crisis</t>
        </is>
      </c>
      <c r="B151" s="247" t="inlineStr">
        <is>
          <t>Sales CRM</t>
        </is>
      </c>
      <c r="C151" s="247" t="n">
        <v>1</v>
      </c>
      <c r="D151" s="247">
        <f>ROUND(C151*(1+('Resilience &amp; Risk Scenario'!$B$7-3)*0.15),2)</f>
        <v/>
      </c>
      <c r="E151" s="247" t="inlineStr">
        <is>
          <t>CRM discipline, pipeline visibility and retention actions determine revenue protection.</t>
        </is>
      </c>
      <c r="F151" s="247" t="inlineStr">
        <is>
          <t>Monitor; not a primary scenario driver</t>
        </is>
      </c>
      <c r="G151" s="247" t="inlineStr">
        <is>
          <t>Improve CRM hygiene, retention playbooks, pipeline scenarios and customer segmentation.</t>
        </is>
      </c>
      <c r="H151" s="247" t="inlineStr">
        <is>
          <t>CRM best practices; ISO 10002; ISO 10004; revenue operations</t>
        </is>
      </c>
      <c r="I151" s="247">
        <f>A151&amp;"|"&amp;B151</f>
        <v/>
      </c>
      <c r="J151" s="247" t="inlineStr">
        <is>
          <t>Multiplier is increased/decreased by severity: severity 3 = base; severity 5 = +30%; severity 1 = -30%.</t>
        </is>
      </c>
      <c r="K151">
        <f>IFERROR(INDEX(_ENGINE_Crisis!$AH$292:$AS$303,MATCH('Resilience &amp; Risk Scenario'!$B$6,_ENGINE_Crisis!$AG$292:$AG$303,0),MATCH($A151,_ENGINE_Crisis!$AH$291:$AS$291,0)),0)</f>
        <v/>
      </c>
    </row>
    <row r="152" ht="28.5" customHeight="1" s="209">
      <c r="A152" s="247" t="inlineStr">
        <is>
          <t>Pandemic / health crisis</t>
        </is>
      </c>
      <c r="B152" s="247" t="inlineStr">
        <is>
          <t>Marketing Comms</t>
        </is>
      </c>
      <c r="C152" s="247" t="n">
        <v>1.2</v>
      </c>
      <c r="D152" s="247">
        <f>ROUND(C152*(1+('Resilience &amp; Risk Scenario'!$B$7-3)*0.15),2)</f>
        <v/>
      </c>
      <c r="E152" s="247" t="inlineStr">
        <is>
          <t>Customer communication and reputation control determine trust during uncertainty.</t>
        </is>
      </c>
      <c r="F152" s="247" t="inlineStr">
        <is>
          <t>Monitor; not a primary scenario driver</t>
        </is>
      </c>
      <c r="G152" s="247" t="inlineStr">
        <is>
          <t>Prepare crisis messages, customer notification templates, comms approval flow and brand monitoring.</t>
        </is>
      </c>
      <c r="H152" s="247" t="inlineStr">
        <is>
          <t>ISO 10002; ISO 10004; crisis communication practices</t>
        </is>
      </c>
      <c r="I152" s="247">
        <f>A152&amp;"|"&amp;B152</f>
        <v/>
      </c>
      <c r="J152" s="247" t="inlineStr">
        <is>
          <t>Multiplier is increased/decreased by severity: severity 3 = base; severity 5 = +30%; severity 1 = -30%.</t>
        </is>
      </c>
      <c r="K152">
        <f>IFERROR(INDEX(_ENGINE_Crisis!$AH$292:$AS$303,MATCH('Resilience &amp; Risk Scenario'!$B$6,_ENGINE_Crisis!$AG$292:$AG$303,0),MATCH($A152,_ENGINE_Crisis!$AH$291:$AS$291,0)),0)</f>
        <v/>
      </c>
    </row>
    <row r="153" ht="28.5" customHeight="1" s="209">
      <c r="A153" s="247" t="inlineStr">
        <is>
          <t>Pandemic / health crisis</t>
        </is>
      </c>
      <c r="B153" s="247" t="inlineStr">
        <is>
          <t>IT Cloud DR</t>
        </is>
      </c>
      <c r="C153" s="247" t="n">
        <v>1.4</v>
      </c>
      <c r="D153" s="247">
        <f>ROUND(C153*(1+('Resilience &amp; Risk Scenario'!$B$7-3)*0.15),2)</f>
        <v/>
      </c>
      <c r="E153" s="247" t="inlineStr">
        <is>
          <t>Cloud, infrastructure, backups, RTO and RPO determine system recoverability.</t>
        </is>
      </c>
      <c r="F153" s="247" t="inlineStr">
        <is>
          <t>Secondary focus under this crisis scenario</t>
        </is>
      </c>
      <c r="G153" s="247" t="inlineStr">
        <is>
          <t>Implement tested backups, DR runbooks, failover, cloud landing zones and RTO/RPO monitoring.</t>
        </is>
      </c>
      <c r="H153" s="247" t="inlineStr">
        <is>
          <t>ISO 27001; NIST CSF; NIST SP 800-34; ISO 20000</t>
        </is>
      </c>
      <c r="I153" s="247">
        <f>A153&amp;"|"&amp;B153</f>
        <v/>
      </c>
      <c r="J153" s="247" t="inlineStr">
        <is>
          <t>Multiplier is increased/decreased by severity: severity 3 = base; severity 5 = +30%; severity 1 = -30%.</t>
        </is>
      </c>
      <c r="K153">
        <f>IFERROR(INDEX(_ENGINE_Crisis!$AH$292:$AS$303,MATCH('Resilience &amp; Risk Scenario'!$B$6,_ENGINE_Crisis!$AG$292:$AG$303,0),MATCH($A153,_ENGINE_Crisis!$AH$291:$AS$291,0)),0)</f>
        <v/>
      </c>
    </row>
    <row r="154" ht="28.5" customHeight="1" s="209">
      <c r="A154" s="247" t="inlineStr">
        <is>
          <t>Pandemic / health crisis</t>
        </is>
      </c>
      <c r="B154" s="247" t="inlineStr">
        <is>
          <t>Business Systems</t>
        </is>
      </c>
      <c r="C154" s="247" t="n">
        <v>1.2</v>
      </c>
      <c r="D154" s="247">
        <f>ROUND(C154*(1+('Resilience &amp; Risk Scenario'!$B$7-3)*0.15),2)</f>
        <v/>
      </c>
      <c r="E154" s="247" t="inlineStr">
        <is>
          <t>ERP, CRM, HRMS, MES and SaaS continuity determine transaction and process continuity.</t>
        </is>
      </c>
      <c r="F154" s="247" t="inlineStr">
        <is>
          <t>Monitor; not a primary scenario driver</t>
        </is>
      </c>
      <c r="G154" s="247" t="inlineStr">
        <is>
          <t>Document system dependencies, SaaS continuity, role access, data exports and manual fallback.</t>
        </is>
      </c>
      <c r="H154" s="247" t="inlineStr">
        <is>
          <t>COBIT; ITIL; ISO 20000; ERP/CRM/MES governance</t>
        </is>
      </c>
      <c r="I154" s="247">
        <f>A154&amp;"|"&amp;B154</f>
        <v/>
      </c>
      <c r="J154" s="247" t="inlineStr">
        <is>
          <t>Multiplier is increased/decreased by severity: severity 3 = base; severity 5 = +30%; severity 1 = -30%.</t>
        </is>
      </c>
      <c r="K154">
        <f>IFERROR(INDEX(_ENGINE_Crisis!$AH$292:$AS$303,MATCH('Resilience &amp; Risk Scenario'!$B$6,_ENGINE_Crisis!$AG$292:$AG$303,0),MATCH($A154,_ENGINE_Crisis!$AH$291:$AS$291,0)),0)</f>
        <v/>
      </c>
    </row>
    <row r="155" ht="28.5" customHeight="1" s="209">
      <c r="A155" s="247" t="inlineStr">
        <is>
          <t>Pandemic / health crisis</t>
        </is>
      </c>
      <c r="B155" s="247" t="inlineStr">
        <is>
          <t>Data BI AI</t>
        </is>
      </c>
      <c r="C155" s="247" t="n">
        <v>1</v>
      </c>
      <c r="D155" s="247">
        <f>ROUND(C155*(1+('Resilience &amp; Risk Scenario'!$B$7-3)*0.15),2)</f>
        <v/>
      </c>
      <c r="E155" s="247" t="inlineStr">
        <is>
          <t>Data quality, BI and analytics determine decision visibility and forecasting under stress.</t>
        </is>
      </c>
      <c r="F155" s="247" t="inlineStr">
        <is>
          <t>Monitor; not a primary scenario driver</t>
        </is>
      </c>
      <c r="G155" s="247" t="inlineStr">
        <is>
          <t>Assign data owners, improve data quality, dashboards, forecasting and AI governance.</t>
        </is>
      </c>
      <c r="H155" s="247" t="inlineStr">
        <is>
          <t>DAMA-DMBOK; ISO 42001; ISO 23894; data governance</t>
        </is>
      </c>
      <c r="I155" s="247">
        <f>A155&amp;"|"&amp;B155</f>
        <v/>
      </c>
      <c r="J155" s="247" t="inlineStr">
        <is>
          <t>Multiplier is increased/decreased by severity: severity 3 = base; severity 5 = +30%; severity 1 = -30%.</t>
        </is>
      </c>
      <c r="K155">
        <f>IFERROR(INDEX(_ENGINE_Crisis!$AH$292:$AS$303,MATCH('Resilience &amp; Risk Scenario'!$B$6,_ENGINE_Crisis!$AG$292:$AG$303,0),MATCH($A155,_ENGINE_Crisis!$AH$291:$AS$291,0)),0)</f>
        <v/>
      </c>
    </row>
    <row r="156" ht="28.5" customHeight="1" s="209">
      <c r="A156" s="247" t="inlineStr">
        <is>
          <t>Pandemic / health crisis</t>
        </is>
      </c>
      <c r="B156" s="247" t="inlineStr">
        <is>
          <t>Cyber Privacy</t>
        </is>
      </c>
      <c r="C156" s="247" t="n">
        <v>1</v>
      </c>
      <c r="D156" s="247">
        <f>ROUND(C156*(1+('Resilience &amp; Risk Scenario'!$B$7-3)*0.15),2)</f>
        <v/>
      </c>
      <c r="E156" s="247" t="inlineStr">
        <is>
          <t>Cybersecurity and privacy controls determine resistance to digital disruption and regulatory exposure.</t>
        </is>
      </c>
      <c r="F156" s="247" t="inlineStr">
        <is>
          <t>Monitor; not a primary scenario driver</t>
        </is>
      </c>
      <c r="G156" s="247" t="inlineStr">
        <is>
          <t>Strengthen MFA, EDR, logging, IR playbooks, restore testing, privacy controls and awareness.</t>
        </is>
      </c>
      <c r="H156" s="247" t="inlineStr">
        <is>
          <t>ISO 27001; NIST CSF; CIS Controls; ISO 27701; GDPR</t>
        </is>
      </c>
      <c r="I156" s="247">
        <f>A156&amp;"|"&amp;B156</f>
        <v/>
      </c>
      <c r="J156" s="247" t="inlineStr">
        <is>
          <t>Multiplier is increased/decreased by severity: severity 3 = base; severity 5 = +30%; severity 1 = -30%.</t>
        </is>
      </c>
      <c r="K156">
        <f>IFERROR(INDEX(_ENGINE_Crisis!$AH$292:$AS$303,MATCH('Resilience &amp; Risk Scenario'!$B$6,_ENGINE_Crisis!$AG$292:$AG$303,0),MATCH($A156,_ENGINE_Crisis!$AH$291:$AS$291,0)),0)</f>
        <v/>
      </c>
    </row>
    <row r="157" ht="28.5" customHeight="1" s="209">
      <c r="A157" s="247" t="inlineStr">
        <is>
          <t>Pandemic / health crisis</t>
        </is>
      </c>
      <c r="B157" s="247" t="inlineStr">
        <is>
          <t>Quality Portfolio</t>
        </is>
      </c>
      <c r="C157" s="247" t="n">
        <v>1</v>
      </c>
      <c r="D157" s="247">
        <f>ROUND(C157*(1+('Resilience &amp; Risk Scenario'!$B$7-3)*0.15),2)</f>
        <v/>
      </c>
      <c r="E157" s="247" t="inlineStr">
        <is>
          <t>Portfolio discipline and benefits realization determine whether scarce resources are focused on the right actions.</t>
        </is>
      </c>
      <c r="F157" s="247" t="inlineStr">
        <is>
          <t>Monitor; not a primary scenario driver</t>
        </is>
      </c>
      <c r="G157" s="247" t="inlineStr">
        <is>
          <t>Prioritize crisis initiatives by value, risk reduction, dependencies and implementation waves.</t>
        </is>
      </c>
      <c r="H157" s="247" t="inlineStr">
        <is>
          <t>ISO 9001; PMI; ISO 21502; benefits realization; APQC</t>
        </is>
      </c>
      <c r="I157" s="247">
        <f>A157&amp;"|"&amp;B157</f>
        <v/>
      </c>
      <c r="J157" s="247" t="inlineStr">
        <is>
          <t>Multiplier is increased/decreased by severity: severity 3 = base; severity 5 = +30%; severity 1 = -30%.</t>
        </is>
      </c>
      <c r="K157">
        <f>IFERROR(INDEX(_ENGINE_Crisis!$AH$292:$AS$303,MATCH('Resilience &amp; Risk Scenario'!$B$6,_ENGINE_Crisis!$AG$292:$AG$303,0),MATCH($A157,_ENGINE_Crisis!$AH$291:$AS$291,0)),0)</f>
        <v/>
      </c>
    </row>
    <row r="158" ht="28.5" customHeight="1" s="209">
      <c r="A158" s="247" t="inlineStr">
        <is>
          <t>Regulatory / legal shock</t>
        </is>
      </c>
      <c r="B158" s="247" t="inlineStr">
        <is>
          <t>Company Geography</t>
        </is>
      </c>
      <c r="C158" s="247" t="n">
        <v>1</v>
      </c>
      <c r="D158" s="247">
        <f>ROUND(C158*(1+('Resilience &amp; Risk Scenario'!$B$7-3)*0.15),2)</f>
        <v/>
      </c>
      <c r="E158" s="247" t="inlineStr">
        <is>
          <t>Geographic concentration, legal entity exposure and site dependency can amplify crisis impact.</t>
        </is>
      </c>
      <c r="F158" s="247" t="inlineStr">
        <is>
          <t>Monitor; not a primary scenario driver</t>
        </is>
      </c>
      <c r="G158" s="247" t="inlineStr">
        <is>
          <t>Map entities, locations, markets, revenue exposure and alternate operating options.</t>
        </is>
      </c>
      <c r="H158" s="247" t="inlineStr">
        <is>
          <t>ISO 22301; ISO 31000; ISO 9001; ISO 37000; PESTLE</t>
        </is>
      </c>
      <c r="I158" s="247">
        <f>A158&amp;"|"&amp;B158</f>
        <v/>
      </c>
      <c r="J158" s="247" t="inlineStr">
        <is>
          <t>Multiplier is increased/decreased by severity: severity 3 = base; severity 5 = +30%; severity 1 = -30%.</t>
        </is>
      </c>
      <c r="K158">
        <f>IFERROR(INDEX(_ENGINE_Crisis!$AH$292:$AS$303,MATCH('Resilience &amp; Risk Scenario'!$B$6,_ENGINE_Crisis!$AG$292:$AG$303,0),MATCH($A158,_ENGINE_Crisis!$AH$291:$AS$291,0)),0)</f>
        <v/>
      </c>
    </row>
    <row r="159" ht="28.5" customHeight="1" s="209">
      <c r="A159" s="247" t="inlineStr">
        <is>
          <t>Regulatory / legal shock</t>
        </is>
      </c>
      <c r="B159" s="247" t="inlineStr">
        <is>
          <t>Strategy GTM</t>
        </is>
      </c>
      <c r="C159" s="247" t="n">
        <v>1.2</v>
      </c>
      <c r="D159" s="247">
        <f>ROUND(C159*(1+('Resilience &amp; Risk Scenario'!$B$7-3)*0.15),2)</f>
        <v/>
      </c>
      <c r="E159" s="247" t="inlineStr">
        <is>
          <t>Market positioning, ICP clarity and offer structure determine whether the company can adapt revenue during crisis.</t>
        </is>
      </c>
      <c r="F159" s="247" t="inlineStr">
        <is>
          <t>Monitor; not a primary scenario driver</t>
        </is>
      </c>
      <c r="G159" s="247" t="inlineStr">
        <is>
          <t>Stress-test ICP, offering, pricing, channels and market focus under the selected crisis.</t>
        </is>
      </c>
      <c r="H159" s="247" t="inlineStr">
        <is>
          <t>Business Model Canvas; Porter; Bain Elements of Value; ISO 9001</t>
        </is>
      </c>
      <c r="I159" s="247">
        <f>A159&amp;"|"&amp;B159</f>
        <v/>
      </c>
      <c r="J159" s="247" t="inlineStr">
        <is>
          <t>Multiplier is increased/decreased by severity: severity 3 = base; severity 5 = +30%; severity 1 = -30%.</t>
        </is>
      </c>
      <c r="K159">
        <f>IFERROR(INDEX(_ENGINE_Crisis!$AH$292:$AS$303,MATCH('Resilience &amp; Risk Scenario'!$B$6,_ENGINE_Crisis!$AG$292:$AG$303,0),MATCH($A159,_ENGINE_Crisis!$AH$291:$AS$291,0)),0)</f>
        <v/>
      </c>
    </row>
    <row r="160" ht="28.5" customHeight="1" s="209">
      <c r="A160" s="247" t="inlineStr">
        <is>
          <t>Regulatory / legal shock</t>
        </is>
      </c>
      <c r="B160" s="247" t="inlineStr">
        <is>
          <t>Governance Crisis</t>
        </is>
      </c>
      <c r="C160" s="247" t="n">
        <v>1.3</v>
      </c>
      <c r="D160" s="247">
        <f>ROUND(C160*(1+('Resilience &amp; Risk Scenario'!$B$7-3)*0.15),2)</f>
        <v/>
      </c>
      <c r="E160" s="247" t="inlineStr">
        <is>
          <t>Decision rights, escalation and crisis governance determine response speed under pressure.</t>
        </is>
      </c>
      <c r="F160" s="247" t="inlineStr">
        <is>
          <t>Secondary focus under this crisis scenario</t>
        </is>
      </c>
      <c r="G160" s="247" t="inlineStr">
        <is>
          <t>Define crisis roles, escalation path, decision cadence and management war room routines.</t>
        </is>
      </c>
      <c r="H160" s="247" t="inlineStr">
        <is>
          <t>ISO 22301; ISO 31000; ISO 37000; Bain RAPID</t>
        </is>
      </c>
      <c r="I160" s="247">
        <f>A160&amp;"|"&amp;B160</f>
        <v/>
      </c>
      <c r="J160" s="247" t="inlineStr">
        <is>
          <t>Multiplier is increased/decreased by severity: severity 3 = base; severity 5 = +30%; severity 1 = -30%.</t>
        </is>
      </c>
      <c r="K160">
        <f>IFERROR(INDEX(_ENGINE_Crisis!$AH$292:$AS$303,MATCH('Resilience &amp; Risk Scenario'!$B$6,_ENGINE_Crisis!$AG$292:$AG$303,0),MATCH($A160,_ENGINE_Crisis!$AH$291:$AS$291,0)),0)</f>
        <v/>
      </c>
    </row>
    <row r="161" ht="28.5" customHeight="1" s="209">
      <c r="A161" s="247" t="inlineStr">
        <is>
          <t>Regulatory / legal shock</t>
        </is>
      </c>
      <c r="B161" s="247" t="inlineStr">
        <is>
          <t>HR Workforce</t>
        </is>
      </c>
      <c r="C161" s="247" t="n">
        <v>1</v>
      </c>
      <c r="D161" s="247">
        <f>ROUND(C161*(1+('Resilience &amp; Risk Scenario'!$B$7-3)*0.15),2)</f>
        <v/>
      </c>
      <c r="E161" s="247" t="inlineStr">
        <is>
          <t>Workforce availability, critical people and knowledge continuity determine operational capacity.</t>
        </is>
      </c>
      <c r="F161" s="247" t="inlineStr">
        <is>
          <t>Monitor; not a primary scenario driver</t>
        </is>
      </c>
      <c r="G161" s="247" t="inlineStr">
        <is>
          <t>Create critical role backups, knowledge transfer, cross-training and workforce continuity plans.</t>
        </is>
      </c>
      <c r="H161" s="247" t="inlineStr">
        <is>
          <t>ISO 30414; ISO 30405; ISO 45001; workforce planning</t>
        </is>
      </c>
      <c r="I161" s="247">
        <f>A161&amp;"|"&amp;B161</f>
        <v/>
      </c>
      <c r="J161" s="247" t="inlineStr">
        <is>
          <t>Multiplier is increased/decreased by severity: severity 3 = base; severity 5 = +30%; severity 1 = -30%.</t>
        </is>
      </c>
      <c r="K161">
        <f>IFERROR(INDEX(_ENGINE_Crisis!$AH$292:$AS$303,MATCH('Resilience &amp; Risk Scenario'!$B$6,_ENGINE_Crisis!$AG$292:$AG$303,0),MATCH($A161,_ENGINE_Crisis!$AH$291:$AS$291,0)),0)</f>
        <v/>
      </c>
    </row>
    <row r="162" ht="28.5" customHeight="1" s="209">
      <c r="A162" s="247" t="inlineStr">
        <is>
          <t>Regulatory / legal shock</t>
        </is>
      </c>
      <c r="B162" s="247" t="inlineStr">
        <is>
          <t>Finance Procurement</t>
        </is>
      </c>
      <c r="C162" s="247" t="n">
        <v>1.4</v>
      </c>
      <c r="D162" s="247">
        <f>ROUND(C162*(1+('Resilience &amp; Risk Scenario'!$B$7-3)*0.15),2)</f>
        <v/>
      </c>
      <c r="E162" s="247" t="inlineStr">
        <is>
          <t>Cash control, supplier payments and procurement discipline determine financial survival and response options.</t>
        </is>
      </c>
      <c r="F162" s="247" t="inlineStr">
        <is>
          <t>Secondary focus under this crisis scenario</t>
        </is>
      </c>
      <c r="G162" s="247" t="inlineStr">
        <is>
          <t>Build cash stress testing, payment prioritization, supplier risk review and procurement controls.</t>
        </is>
      </c>
      <c r="H162" s="247" t="inlineStr">
        <is>
          <t>COSO; ISO 20400; ISO 31000; IFRS</t>
        </is>
      </c>
      <c r="I162" s="247">
        <f>A162&amp;"|"&amp;B162</f>
        <v/>
      </c>
      <c r="J162" s="247" t="inlineStr">
        <is>
          <t>Multiplier is increased/decreased by severity: severity 3 = base; severity 5 = +30%; severity 1 = -30%.</t>
        </is>
      </c>
      <c r="K162">
        <f>IFERROR(INDEX(_ENGINE_Crisis!$AH$292:$AS$303,MATCH('Resilience &amp; Risk Scenario'!$B$6,_ENGINE_Crisis!$AG$292:$AG$303,0),MATCH($A162,_ENGINE_Crisis!$AH$291:$AS$291,0)),0)</f>
        <v/>
      </c>
    </row>
    <row r="163" ht="28.5" customHeight="1" s="209">
      <c r="A163" s="247" t="inlineStr">
        <is>
          <t>Regulatory / legal shock</t>
        </is>
      </c>
      <c r="B163" s="247" t="inlineStr">
        <is>
          <t>Legal Risk</t>
        </is>
      </c>
      <c r="C163" s="247" t="n">
        <v>2</v>
      </c>
      <c r="D163" s="247">
        <f>ROUND(C163*(1+('Resilience &amp; Risk Scenario'!$B$7-3)*0.15),2)</f>
        <v/>
      </c>
      <c r="E163" s="247" t="inlineStr">
        <is>
          <t>Contracts, obligations and compliance exposure can turn operational crisis into legal or regulatory failure.</t>
        </is>
      </c>
      <c r="F163" s="247" t="inlineStr">
        <is>
          <t>Primary focus under this crisis scenario</t>
        </is>
      </c>
      <c r="G163" s="247" t="inlineStr">
        <is>
          <t>Review critical contracts, compliance obligations, force majeure, data protection and legal continuity.</t>
        </is>
      </c>
      <c r="H163" s="247" t="inlineStr">
        <is>
          <t>ISO 37301; ISO 31000; GDPR; ISO 27701</t>
        </is>
      </c>
      <c r="I163" s="247">
        <f>A163&amp;"|"&amp;B163</f>
        <v/>
      </c>
      <c r="J163" s="247" t="inlineStr">
        <is>
          <t>Multiplier is increased/decreased by severity: severity 3 = base; severity 5 = +30%; severity 1 = -30%.</t>
        </is>
      </c>
      <c r="K163">
        <f>IFERROR(INDEX(_ENGINE_Crisis!$AH$292:$AS$303,MATCH('Resilience &amp; Risk Scenario'!$B$6,_ENGINE_Crisis!$AG$292:$AG$303,0),MATCH($A163,_ENGINE_Crisis!$AH$291:$AS$291,0)),0)</f>
        <v/>
      </c>
    </row>
    <row r="164" ht="28.5" customHeight="1" s="209">
      <c r="A164" s="247" t="inlineStr">
        <is>
          <t>Regulatory / legal shock</t>
        </is>
      </c>
      <c r="B164" s="247" t="inlineStr">
        <is>
          <t>Physical Safety</t>
        </is>
      </c>
      <c r="C164" s="247" t="n">
        <v>1</v>
      </c>
      <c r="D164" s="247">
        <f>ROUND(C164*(1+('Resilience &amp; Risk Scenario'!$B$7-3)*0.15),2)</f>
        <v/>
      </c>
      <c r="E164" s="247" t="inlineStr">
        <is>
          <t>Employee safety, access control, evacuation and facilities resilience are direct crisis constraints.</t>
        </is>
      </c>
      <c r="F164" s="247" t="inlineStr">
        <is>
          <t>Monitor; not a primary scenario driver</t>
        </is>
      </c>
      <c r="G164" s="247" t="inlineStr">
        <is>
          <t>Implement evacuation, access control, emergency response, site security and travel-risk procedures.</t>
        </is>
      </c>
      <c r="H164" s="247" t="inlineStr">
        <is>
          <t>ISO 45001; ISO 22320; ISO 31030; ISO 22301</t>
        </is>
      </c>
      <c r="I164" s="247">
        <f>A164&amp;"|"&amp;B164</f>
        <v/>
      </c>
      <c r="J164" s="247" t="inlineStr">
        <is>
          <t>Multiplier is increased/decreased by severity: severity 3 = base; severity 5 = +30%; severity 1 = -30%.</t>
        </is>
      </c>
      <c r="K164">
        <f>IFERROR(INDEX(_ENGINE_Crisis!$AH$292:$AS$303,MATCH('Resilience &amp; Risk Scenario'!$B$6,_ENGINE_Crisis!$AG$292:$AG$303,0),MATCH($A164,_ENGINE_Crisis!$AH$291:$AS$291,0)),0)</f>
        <v/>
      </c>
    </row>
    <row r="165" ht="28.5" customHeight="1" s="209">
      <c r="A165" s="247" t="inlineStr">
        <is>
          <t>Regulatory / legal shock</t>
        </is>
      </c>
      <c r="B165" s="247" t="inlineStr">
        <is>
          <t>Delivery Ops</t>
        </is>
      </c>
      <c r="C165" s="247" t="n">
        <v>1</v>
      </c>
      <c r="D165" s="247">
        <f>ROUND(C165*(1+('Resilience &amp; Risk Scenario'!$B$7-3)*0.15),2)</f>
        <v/>
      </c>
      <c r="E165" s="247" t="inlineStr">
        <is>
          <t>Delivery capacity, SLA control and operational handover determine customer continuity.</t>
        </is>
      </c>
      <c r="F165" s="247" t="inlineStr">
        <is>
          <t>Monitor; not a primary scenario driver</t>
        </is>
      </c>
      <c r="G165" s="247" t="inlineStr">
        <is>
          <t>Define alternative delivery models, capacity buffers, SLA triage and incident recovery procedures.</t>
        </is>
      </c>
      <c r="H165" s="247" t="inlineStr">
        <is>
          <t>ISO 9001; ISO 22301; ITIL; SLA management</t>
        </is>
      </c>
      <c r="I165" s="247">
        <f>A165&amp;"|"&amp;B165</f>
        <v/>
      </c>
      <c r="J165" s="247" t="inlineStr">
        <is>
          <t>Multiplier is increased/decreased by severity: severity 3 = base; severity 5 = +30%; severity 1 = -30%.</t>
        </is>
      </c>
      <c r="K165">
        <f>IFERROR(INDEX(_ENGINE_Crisis!$AH$292:$AS$303,MATCH('Resilience &amp; Risk Scenario'!$B$6,_ENGINE_Crisis!$AG$292:$AG$303,0),MATCH($A165,_ENGINE_Crisis!$AH$291:$AS$291,0)),0)</f>
        <v/>
      </c>
    </row>
    <row r="166" ht="28.5" customHeight="1" s="209">
      <c r="A166" s="247" t="inlineStr">
        <is>
          <t>Regulatory / legal shock</t>
        </is>
      </c>
      <c r="B166" s="247" t="inlineStr">
        <is>
          <t>Supply Chain</t>
        </is>
      </c>
      <c r="C166" s="247" t="n">
        <v>1</v>
      </c>
      <c r="D166" s="247">
        <f>ROUND(C166*(1+('Resilience &amp; Risk Scenario'!$B$7-3)*0.15),2)</f>
        <v/>
      </c>
      <c r="E166" s="247" t="inlineStr">
        <is>
          <t>Supplier concentration, logistics and inventory visibility determine production and delivery continuity.</t>
        </is>
      </c>
      <c r="F166" s="247" t="inlineStr">
        <is>
          <t>Monitor; not a primary scenario driver</t>
        </is>
      </c>
      <c r="G166" s="247" t="inlineStr">
        <is>
          <t>Diversify suppliers, define safety stock, alternate routes, supplier monitoring and substitution rules.</t>
        </is>
      </c>
      <c r="H166" s="247" t="inlineStr">
        <is>
          <t>SCOR; ISO 28000; ISO 20400; ISO 22301</t>
        </is>
      </c>
      <c r="I166" s="247">
        <f>A166&amp;"|"&amp;B166</f>
        <v/>
      </c>
      <c r="J166" s="247" t="inlineStr">
        <is>
          <t>Multiplier is increased/decreased by severity: severity 3 = base; severity 5 = +30%; severity 1 = -30%.</t>
        </is>
      </c>
      <c r="K166">
        <f>IFERROR(INDEX(_ENGINE_Crisis!$AH$292:$AS$303,MATCH('Resilience &amp; Risk Scenario'!$B$6,_ENGINE_Crisis!$AG$292:$AG$303,0),MATCH($A166,_ENGINE_Crisis!$AH$291:$AS$291,0)),0)</f>
        <v/>
      </c>
    </row>
    <row r="167" ht="28.5" customHeight="1" s="209">
      <c r="A167" s="247" t="inlineStr">
        <is>
          <t>Regulatory / legal shock</t>
        </is>
      </c>
      <c r="B167" s="247" t="inlineStr">
        <is>
          <t>Manufacturing MES</t>
        </is>
      </c>
      <c r="C167" s="247" t="n">
        <v>1</v>
      </c>
      <c r="D167" s="247">
        <f>ROUND(C167*(1+('Resilience &amp; Risk Scenario'!$B$7-3)*0.15),2)</f>
        <v/>
      </c>
      <c r="E167" s="247" t="inlineStr">
        <is>
          <t>Production assets, MES, maintenance and utilities determine manufacturing recoverability.</t>
        </is>
      </c>
      <c r="F167" s="247" t="inlineStr">
        <is>
          <t>Monitor; not a primary scenario driver</t>
        </is>
      </c>
      <c r="G167" s="247" t="inlineStr">
        <is>
          <t>Define production fallback, maintenance priorities, spare parts, MES continuity and utility backup.</t>
        </is>
      </c>
      <c r="H167" s="247" t="inlineStr">
        <is>
          <t>ISA-95; ISO 9001; TPM; IEC 62443; ISO 22301</t>
        </is>
      </c>
      <c r="I167" s="247">
        <f>A167&amp;"|"&amp;B167</f>
        <v/>
      </c>
      <c r="J167" s="247" t="inlineStr">
        <is>
          <t>Multiplier is increased/decreased by severity: severity 3 = base; severity 5 = +30%; severity 1 = -30%.</t>
        </is>
      </c>
      <c r="K167">
        <f>IFERROR(INDEX(_ENGINE_Crisis!$AH$292:$AS$303,MATCH('Resilience &amp; Risk Scenario'!$B$6,_ENGINE_Crisis!$AG$292:$AG$303,0),MATCH($A167,_ENGINE_Crisis!$AH$291:$AS$291,0)),0)</f>
        <v/>
      </c>
    </row>
    <row r="168" ht="28.5" customHeight="1" s="209">
      <c r="A168" s="247" t="inlineStr">
        <is>
          <t>Regulatory / legal shock</t>
        </is>
      </c>
      <c r="B168" s="247" t="inlineStr">
        <is>
          <t>Sales CRM</t>
        </is>
      </c>
      <c r="C168" s="247" t="n">
        <v>1</v>
      </c>
      <c r="D168" s="247">
        <f>ROUND(C168*(1+('Resilience &amp; Risk Scenario'!$B$7-3)*0.15),2)</f>
        <v/>
      </c>
      <c r="E168" s="247" t="inlineStr">
        <is>
          <t>CRM discipline, pipeline visibility and retention actions determine revenue protection.</t>
        </is>
      </c>
      <c r="F168" s="247" t="inlineStr">
        <is>
          <t>Monitor; not a primary scenario driver</t>
        </is>
      </c>
      <c r="G168" s="247" t="inlineStr">
        <is>
          <t>Improve CRM hygiene, retention playbooks, pipeline scenarios and customer segmentation.</t>
        </is>
      </c>
      <c r="H168" s="247" t="inlineStr">
        <is>
          <t>CRM best practices; ISO 10002; ISO 10004; revenue operations</t>
        </is>
      </c>
      <c r="I168" s="247">
        <f>A168&amp;"|"&amp;B168</f>
        <v/>
      </c>
      <c r="J168" s="247" t="inlineStr">
        <is>
          <t>Multiplier is increased/decreased by severity: severity 3 = base; severity 5 = +30%; severity 1 = -30%.</t>
        </is>
      </c>
      <c r="K168">
        <f>IFERROR(INDEX(_ENGINE_Crisis!$AH$292:$AS$303,MATCH('Resilience &amp; Risk Scenario'!$B$6,_ENGINE_Crisis!$AG$292:$AG$303,0),MATCH($A168,_ENGINE_Crisis!$AH$291:$AS$291,0)),0)</f>
        <v/>
      </c>
    </row>
    <row r="169" ht="28.5" customHeight="1" s="209">
      <c r="A169" s="247" t="inlineStr">
        <is>
          <t>Regulatory / legal shock</t>
        </is>
      </c>
      <c r="B169" s="247" t="inlineStr">
        <is>
          <t>Marketing Comms</t>
        </is>
      </c>
      <c r="C169" s="247" t="n">
        <v>1.2</v>
      </c>
      <c r="D169" s="247">
        <f>ROUND(C169*(1+('Resilience &amp; Risk Scenario'!$B$7-3)*0.15),2)</f>
        <v/>
      </c>
      <c r="E169" s="247" t="inlineStr">
        <is>
          <t>Customer communication and reputation control determine trust during uncertainty.</t>
        </is>
      </c>
      <c r="F169" s="247" t="inlineStr">
        <is>
          <t>Monitor; not a primary scenario driver</t>
        </is>
      </c>
      <c r="G169" s="247" t="inlineStr">
        <is>
          <t>Prepare crisis messages, customer notification templates, comms approval flow and brand monitoring.</t>
        </is>
      </c>
      <c r="H169" s="247" t="inlineStr">
        <is>
          <t>ISO 10002; ISO 10004; crisis communication practices</t>
        </is>
      </c>
      <c r="I169" s="247">
        <f>A169&amp;"|"&amp;B169</f>
        <v/>
      </c>
      <c r="J169" s="247" t="inlineStr">
        <is>
          <t>Multiplier is increased/decreased by severity: severity 3 = base; severity 5 = +30%; severity 1 = -30%.</t>
        </is>
      </c>
      <c r="K169">
        <f>IFERROR(INDEX(_ENGINE_Crisis!$AH$292:$AS$303,MATCH('Resilience &amp; Risk Scenario'!$B$6,_ENGINE_Crisis!$AG$292:$AG$303,0),MATCH($A169,_ENGINE_Crisis!$AH$291:$AS$291,0)),0)</f>
        <v/>
      </c>
    </row>
    <row r="170" ht="28.5" customHeight="1" s="209">
      <c r="A170" s="247" t="inlineStr">
        <is>
          <t>Regulatory / legal shock</t>
        </is>
      </c>
      <c r="B170" s="247" t="inlineStr">
        <is>
          <t>IT Cloud DR</t>
        </is>
      </c>
      <c r="C170" s="247" t="n">
        <v>1</v>
      </c>
      <c r="D170" s="247">
        <f>ROUND(C170*(1+('Resilience &amp; Risk Scenario'!$B$7-3)*0.15),2)</f>
        <v/>
      </c>
      <c r="E170" s="247" t="inlineStr">
        <is>
          <t>Cloud, infrastructure, backups, RTO and RPO determine system recoverability.</t>
        </is>
      </c>
      <c r="F170" s="247" t="inlineStr">
        <is>
          <t>Monitor; not a primary scenario driver</t>
        </is>
      </c>
      <c r="G170" s="247" t="inlineStr">
        <is>
          <t>Implement tested backups, DR runbooks, failover, cloud landing zones and RTO/RPO monitoring.</t>
        </is>
      </c>
      <c r="H170" s="247" t="inlineStr">
        <is>
          <t>ISO 27001; NIST CSF; NIST SP 800-34; ISO 20000</t>
        </is>
      </c>
      <c r="I170" s="247">
        <f>A170&amp;"|"&amp;B170</f>
        <v/>
      </c>
      <c r="J170" s="247" t="inlineStr">
        <is>
          <t>Multiplier is increased/decreased by severity: severity 3 = base; severity 5 = +30%; severity 1 = -30%.</t>
        </is>
      </c>
      <c r="K170">
        <f>IFERROR(INDEX(_ENGINE_Crisis!$AH$292:$AS$303,MATCH('Resilience &amp; Risk Scenario'!$B$6,_ENGINE_Crisis!$AG$292:$AG$303,0),MATCH($A170,_ENGINE_Crisis!$AH$291:$AS$291,0)),0)</f>
        <v/>
      </c>
    </row>
    <row r="171" ht="28.5" customHeight="1" s="209">
      <c r="A171" s="247" t="inlineStr">
        <is>
          <t>Regulatory / legal shock</t>
        </is>
      </c>
      <c r="B171" s="247" t="inlineStr">
        <is>
          <t>Business Systems</t>
        </is>
      </c>
      <c r="C171" s="247" t="n">
        <v>1.2</v>
      </c>
      <c r="D171" s="247">
        <f>ROUND(C171*(1+('Resilience &amp; Risk Scenario'!$B$7-3)*0.15),2)</f>
        <v/>
      </c>
      <c r="E171" s="247" t="inlineStr">
        <is>
          <t>ERP, CRM, HRMS, MES and SaaS continuity determine transaction and process continuity.</t>
        </is>
      </c>
      <c r="F171" s="247" t="inlineStr">
        <is>
          <t>Monitor; not a primary scenario driver</t>
        </is>
      </c>
      <c r="G171" s="247" t="inlineStr">
        <is>
          <t>Document system dependencies, SaaS continuity, role access, data exports and manual fallback.</t>
        </is>
      </c>
      <c r="H171" s="247" t="inlineStr">
        <is>
          <t>COBIT; ITIL; ISO 20000; ERP/CRM/MES governance</t>
        </is>
      </c>
      <c r="I171" s="247">
        <f>A171&amp;"|"&amp;B171</f>
        <v/>
      </c>
      <c r="J171" s="247" t="inlineStr">
        <is>
          <t>Multiplier is increased/decreased by severity: severity 3 = base; severity 5 = +30%; severity 1 = -30%.</t>
        </is>
      </c>
      <c r="K171">
        <f>IFERROR(INDEX(_ENGINE_Crisis!$AH$292:$AS$303,MATCH('Resilience &amp; Risk Scenario'!$B$6,_ENGINE_Crisis!$AG$292:$AG$303,0),MATCH($A171,_ENGINE_Crisis!$AH$291:$AS$291,0)),0)</f>
        <v/>
      </c>
    </row>
    <row r="172" ht="28.5" customHeight="1" s="209">
      <c r="A172" s="247" t="inlineStr">
        <is>
          <t>Regulatory / legal shock</t>
        </is>
      </c>
      <c r="B172" s="247" t="inlineStr">
        <is>
          <t>Data BI AI</t>
        </is>
      </c>
      <c r="C172" s="247" t="n">
        <v>1.4</v>
      </c>
      <c r="D172" s="247">
        <f>ROUND(C172*(1+('Resilience &amp; Risk Scenario'!$B$7-3)*0.15),2)</f>
        <v/>
      </c>
      <c r="E172" s="247" t="inlineStr">
        <is>
          <t>Data quality, BI and analytics determine decision visibility and forecasting under stress.</t>
        </is>
      </c>
      <c r="F172" s="247" t="inlineStr">
        <is>
          <t>Secondary focus under this crisis scenario</t>
        </is>
      </c>
      <c r="G172" s="247" t="inlineStr">
        <is>
          <t>Assign data owners, improve data quality, dashboards, forecasting and AI governance.</t>
        </is>
      </c>
      <c r="H172" s="247" t="inlineStr">
        <is>
          <t>DAMA-DMBOK; ISO 42001; ISO 23894; data governance</t>
        </is>
      </c>
      <c r="I172" s="247">
        <f>A172&amp;"|"&amp;B172</f>
        <v/>
      </c>
      <c r="J172" s="247" t="inlineStr">
        <is>
          <t>Multiplier is increased/decreased by severity: severity 3 = base; severity 5 = +30%; severity 1 = -30%.</t>
        </is>
      </c>
      <c r="K172">
        <f>IFERROR(INDEX(_ENGINE_Crisis!$AH$292:$AS$303,MATCH('Resilience &amp; Risk Scenario'!$B$6,_ENGINE_Crisis!$AG$292:$AG$303,0),MATCH($A172,_ENGINE_Crisis!$AH$291:$AS$291,0)),0)</f>
        <v/>
      </c>
    </row>
    <row r="173" ht="28.5" customHeight="1" s="209">
      <c r="A173" s="247" t="inlineStr">
        <is>
          <t>Regulatory / legal shock</t>
        </is>
      </c>
      <c r="B173" s="247" t="inlineStr">
        <is>
          <t>Cyber Privacy</t>
        </is>
      </c>
      <c r="C173" s="247" t="n">
        <v>1.6</v>
      </c>
      <c r="D173" s="247">
        <f>ROUND(C173*(1+('Resilience &amp; Risk Scenario'!$B$7-3)*0.15),2)</f>
        <v/>
      </c>
      <c r="E173" s="247" t="inlineStr">
        <is>
          <t>Cybersecurity and privacy controls determine resistance to digital disruption and regulatory exposure.</t>
        </is>
      </c>
      <c r="F173" s="247" t="inlineStr">
        <is>
          <t>Secondary focus under this crisis scenario</t>
        </is>
      </c>
      <c r="G173" s="247" t="inlineStr">
        <is>
          <t>Strengthen MFA, EDR, logging, IR playbooks, restore testing, privacy controls and awareness.</t>
        </is>
      </c>
      <c r="H173" s="247" t="inlineStr">
        <is>
          <t>ISO 27001; NIST CSF; CIS Controls; ISO 27701; GDPR</t>
        </is>
      </c>
      <c r="I173" s="247">
        <f>A173&amp;"|"&amp;B173</f>
        <v/>
      </c>
      <c r="J173" s="247" t="inlineStr">
        <is>
          <t>Multiplier is increased/decreased by severity: severity 3 = base; severity 5 = +30%; severity 1 = -30%.</t>
        </is>
      </c>
      <c r="K173">
        <f>IFERROR(INDEX(_ENGINE_Crisis!$AH$292:$AS$303,MATCH('Resilience &amp; Risk Scenario'!$B$6,_ENGINE_Crisis!$AG$292:$AG$303,0),MATCH($A173,_ENGINE_Crisis!$AH$291:$AS$291,0)),0)</f>
        <v/>
      </c>
    </row>
    <row r="174" ht="28.5" customHeight="1" s="209">
      <c r="A174" s="247" t="inlineStr">
        <is>
          <t>Regulatory / legal shock</t>
        </is>
      </c>
      <c r="B174" s="247" t="inlineStr">
        <is>
          <t>Quality Portfolio</t>
        </is>
      </c>
      <c r="C174" s="247" t="n">
        <v>1</v>
      </c>
      <c r="D174" s="247">
        <f>ROUND(C174*(1+('Resilience &amp; Risk Scenario'!$B$7-3)*0.15),2)</f>
        <v/>
      </c>
      <c r="E174" s="247" t="inlineStr">
        <is>
          <t>Portfolio discipline and benefits realization determine whether scarce resources are focused on the right actions.</t>
        </is>
      </c>
      <c r="F174" s="247" t="inlineStr">
        <is>
          <t>Monitor; not a primary scenario driver</t>
        </is>
      </c>
      <c r="G174" s="247" t="inlineStr">
        <is>
          <t>Prioritize crisis initiatives by value, risk reduction, dependencies and implementation waves.</t>
        </is>
      </c>
      <c r="H174" s="247" t="inlineStr">
        <is>
          <t>ISO 9001; PMI; ISO 21502; benefits realization; APQC</t>
        </is>
      </c>
      <c r="I174" s="247">
        <f>A174&amp;"|"&amp;B174</f>
        <v/>
      </c>
      <c r="J174" s="247" t="inlineStr">
        <is>
          <t>Multiplier is increased/decreased by severity: severity 3 = base; severity 5 = +30%; severity 1 = -30%.</t>
        </is>
      </c>
      <c r="K174">
        <f>IFERROR(INDEX(_ENGINE_Crisis!$AH$292:$AS$303,MATCH('Resilience &amp; Risk Scenario'!$B$6,_ENGINE_Crisis!$AG$292:$AG$303,0),MATCH($A174,_ENGINE_Crisis!$AH$291:$AS$291,0)),0)</f>
        <v/>
      </c>
    </row>
    <row r="175" ht="28.5" customHeight="1" s="209">
      <c r="A175" s="247" t="inlineStr">
        <is>
          <t>Reputation crisis</t>
        </is>
      </c>
      <c r="B175" s="247" t="inlineStr">
        <is>
          <t>Company Geography</t>
        </is>
      </c>
      <c r="C175" s="247" t="n">
        <v>1</v>
      </c>
      <c r="D175" s="247">
        <f>ROUND(C175*(1+('Resilience &amp; Risk Scenario'!$B$7-3)*0.15),2)</f>
        <v/>
      </c>
      <c r="E175" s="247" t="inlineStr">
        <is>
          <t>Geographic concentration, legal entity exposure and site dependency can amplify crisis impact.</t>
        </is>
      </c>
      <c r="F175" s="247" t="inlineStr">
        <is>
          <t>Monitor; not a primary scenario driver</t>
        </is>
      </c>
      <c r="G175" s="247" t="inlineStr">
        <is>
          <t>Map entities, locations, markets, revenue exposure and alternate operating options.</t>
        </is>
      </c>
      <c r="H175" s="247" t="inlineStr">
        <is>
          <t>ISO 22301; ISO 31000; ISO 9001; ISO 37000; PESTLE</t>
        </is>
      </c>
      <c r="I175" s="247">
        <f>A175&amp;"|"&amp;B175</f>
        <v/>
      </c>
      <c r="J175" s="247" t="inlineStr">
        <is>
          <t>Multiplier is increased/decreased by severity: severity 3 = base; severity 5 = +30%; severity 1 = -30%.</t>
        </is>
      </c>
      <c r="K175">
        <f>IFERROR(INDEX(_ENGINE_Crisis!$AH$292:$AS$303,MATCH('Resilience &amp; Risk Scenario'!$B$6,_ENGINE_Crisis!$AG$292:$AG$303,0),MATCH($A175,_ENGINE_Crisis!$AH$291:$AS$291,0)),0)</f>
        <v/>
      </c>
    </row>
    <row r="176" ht="28.5" customHeight="1" s="209">
      <c r="A176" s="247" t="inlineStr">
        <is>
          <t>Reputation crisis</t>
        </is>
      </c>
      <c r="B176" s="247" t="inlineStr">
        <is>
          <t>Strategy GTM</t>
        </is>
      </c>
      <c r="C176" s="247" t="n">
        <v>1.3</v>
      </c>
      <c r="D176" s="247">
        <f>ROUND(C176*(1+('Resilience &amp; Risk Scenario'!$B$7-3)*0.15),2)</f>
        <v/>
      </c>
      <c r="E176" s="247" t="inlineStr">
        <is>
          <t>Market positioning, ICP clarity and offer structure determine whether the company can adapt revenue during crisis.</t>
        </is>
      </c>
      <c r="F176" s="247" t="inlineStr">
        <is>
          <t>Secondary focus under this crisis scenario</t>
        </is>
      </c>
      <c r="G176" s="247" t="inlineStr">
        <is>
          <t>Stress-test ICP, offering, pricing, channels and market focus under the selected crisis.</t>
        </is>
      </c>
      <c r="H176" s="247" t="inlineStr">
        <is>
          <t>Business Model Canvas; Porter; Bain Elements of Value; ISO 9001</t>
        </is>
      </c>
      <c r="I176" s="247">
        <f>A176&amp;"|"&amp;B176</f>
        <v/>
      </c>
      <c r="J176" s="247" t="inlineStr">
        <is>
          <t>Multiplier is increased/decreased by severity: severity 3 = base; severity 5 = +30%; severity 1 = -30%.</t>
        </is>
      </c>
      <c r="K176">
        <f>IFERROR(INDEX(_ENGINE_Crisis!$AH$292:$AS$303,MATCH('Resilience &amp; Risk Scenario'!$B$6,_ENGINE_Crisis!$AG$292:$AG$303,0),MATCH($A176,_ENGINE_Crisis!$AH$291:$AS$291,0)),0)</f>
        <v/>
      </c>
    </row>
    <row r="177" ht="28.5" customHeight="1" s="209">
      <c r="A177" s="247" t="inlineStr">
        <is>
          <t>Reputation crisis</t>
        </is>
      </c>
      <c r="B177" s="247" t="inlineStr">
        <is>
          <t>Governance Crisis</t>
        </is>
      </c>
      <c r="C177" s="247" t="n">
        <v>1.5</v>
      </c>
      <c r="D177" s="247">
        <f>ROUND(C177*(1+('Resilience &amp; Risk Scenario'!$B$7-3)*0.15),2)</f>
        <v/>
      </c>
      <c r="E177" s="247" t="inlineStr">
        <is>
          <t>Decision rights, escalation and crisis governance determine response speed under pressure.</t>
        </is>
      </c>
      <c r="F177" s="247" t="inlineStr">
        <is>
          <t>Secondary focus under this crisis scenario</t>
        </is>
      </c>
      <c r="G177" s="247" t="inlineStr">
        <is>
          <t>Define crisis roles, escalation path, decision cadence and management war room routines.</t>
        </is>
      </c>
      <c r="H177" s="247" t="inlineStr">
        <is>
          <t>ISO 22301; ISO 31000; ISO 37000; Bain RAPID</t>
        </is>
      </c>
      <c r="I177" s="247">
        <f>A177&amp;"|"&amp;B177</f>
        <v/>
      </c>
      <c r="J177" s="247" t="inlineStr">
        <is>
          <t>Multiplier is increased/decreased by severity: severity 3 = base; severity 5 = +30%; severity 1 = -30%.</t>
        </is>
      </c>
      <c r="K177">
        <f>IFERROR(INDEX(_ENGINE_Crisis!$AH$292:$AS$303,MATCH('Resilience &amp; Risk Scenario'!$B$6,_ENGINE_Crisis!$AG$292:$AG$303,0),MATCH($A177,_ENGINE_Crisis!$AH$291:$AS$291,0)),0)</f>
        <v/>
      </c>
    </row>
    <row r="178" ht="28.5" customHeight="1" s="209">
      <c r="A178" s="247" t="inlineStr">
        <is>
          <t>Reputation crisis</t>
        </is>
      </c>
      <c r="B178" s="247" t="inlineStr">
        <is>
          <t>HR Workforce</t>
        </is>
      </c>
      <c r="C178" s="247" t="n">
        <v>1.2</v>
      </c>
      <c r="D178" s="247">
        <f>ROUND(C178*(1+('Resilience &amp; Risk Scenario'!$B$7-3)*0.15),2)</f>
        <v/>
      </c>
      <c r="E178" s="247" t="inlineStr">
        <is>
          <t>Workforce availability, critical people and knowledge continuity determine operational capacity.</t>
        </is>
      </c>
      <c r="F178" s="247" t="inlineStr">
        <is>
          <t>Monitor; not a primary scenario driver</t>
        </is>
      </c>
      <c r="G178" s="247" t="inlineStr">
        <is>
          <t>Create critical role backups, knowledge transfer, cross-training and workforce continuity plans.</t>
        </is>
      </c>
      <c r="H178" s="247" t="inlineStr">
        <is>
          <t>ISO 30414; ISO 30405; ISO 45001; workforce planning</t>
        </is>
      </c>
      <c r="I178" s="247">
        <f>A178&amp;"|"&amp;B178</f>
        <v/>
      </c>
      <c r="J178" s="247" t="inlineStr">
        <is>
          <t>Multiplier is increased/decreased by severity: severity 3 = base; severity 5 = +30%; severity 1 = -30%.</t>
        </is>
      </c>
      <c r="K178">
        <f>IFERROR(INDEX(_ENGINE_Crisis!$AH$292:$AS$303,MATCH('Resilience &amp; Risk Scenario'!$B$6,_ENGINE_Crisis!$AG$292:$AG$303,0),MATCH($A178,_ENGINE_Crisis!$AH$291:$AS$291,0)),0)</f>
        <v/>
      </c>
    </row>
    <row r="179" ht="28.5" customHeight="1" s="209">
      <c r="A179" s="247" t="inlineStr">
        <is>
          <t>Reputation crisis</t>
        </is>
      </c>
      <c r="B179" s="247" t="inlineStr">
        <is>
          <t>Finance Procurement</t>
        </is>
      </c>
      <c r="C179" s="247" t="n">
        <v>1</v>
      </c>
      <c r="D179" s="247">
        <f>ROUND(C179*(1+('Resilience &amp; Risk Scenario'!$B$7-3)*0.15),2)</f>
        <v/>
      </c>
      <c r="E179" s="247" t="inlineStr">
        <is>
          <t>Cash control, supplier payments and procurement discipline determine financial survival and response options.</t>
        </is>
      </c>
      <c r="F179" s="247" t="inlineStr">
        <is>
          <t>Monitor; not a primary scenario driver</t>
        </is>
      </c>
      <c r="G179" s="247" t="inlineStr">
        <is>
          <t>Build cash stress testing, payment prioritization, supplier risk review and procurement controls.</t>
        </is>
      </c>
      <c r="H179" s="247" t="inlineStr">
        <is>
          <t>COSO; ISO 20400; ISO 31000; IFRS</t>
        </is>
      </c>
      <c r="I179" s="247">
        <f>A179&amp;"|"&amp;B179</f>
        <v/>
      </c>
      <c r="J179" s="247" t="inlineStr">
        <is>
          <t>Multiplier is increased/decreased by severity: severity 3 = base; severity 5 = +30%; severity 1 = -30%.</t>
        </is>
      </c>
      <c r="K179">
        <f>IFERROR(INDEX(_ENGINE_Crisis!$AH$292:$AS$303,MATCH('Resilience &amp; Risk Scenario'!$B$6,_ENGINE_Crisis!$AG$292:$AG$303,0),MATCH($A179,_ENGINE_Crisis!$AH$291:$AS$291,0)),0)</f>
        <v/>
      </c>
    </row>
    <row r="180" ht="28.5" customHeight="1" s="209">
      <c r="A180" s="247" t="inlineStr">
        <is>
          <t>Reputation crisis</t>
        </is>
      </c>
      <c r="B180" s="247" t="inlineStr">
        <is>
          <t>Legal Risk</t>
        </is>
      </c>
      <c r="C180" s="247" t="n">
        <v>1.4</v>
      </c>
      <c r="D180" s="247">
        <f>ROUND(C180*(1+('Resilience &amp; Risk Scenario'!$B$7-3)*0.15),2)</f>
        <v/>
      </c>
      <c r="E180" s="247" t="inlineStr">
        <is>
          <t>Contracts, obligations and compliance exposure can turn operational crisis into legal or regulatory failure.</t>
        </is>
      </c>
      <c r="F180" s="247" t="inlineStr">
        <is>
          <t>Secondary focus under this crisis scenario</t>
        </is>
      </c>
      <c r="G180" s="247" t="inlineStr">
        <is>
          <t>Review critical contracts, compliance obligations, force majeure, data protection and legal continuity.</t>
        </is>
      </c>
      <c r="H180" s="247" t="inlineStr">
        <is>
          <t>ISO 37301; ISO 31000; GDPR; ISO 27701</t>
        </is>
      </c>
      <c r="I180" s="247">
        <f>A180&amp;"|"&amp;B180</f>
        <v/>
      </c>
      <c r="J180" s="247" t="inlineStr">
        <is>
          <t>Multiplier is increased/decreased by severity: severity 3 = base; severity 5 = +30%; severity 1 = -30%.</t>
        </is>
      </c>
      <c r="K180">
        <f>IFERROR(INDEX(_ENGINE_Crisis!$AH$292:$AS$303,MATCH('Resilience &amp; Risk Scenario'!$B$6,_ENGINE_Crisis!$AG$292:$AG$303,0),MATCH($A180,_ENGINE_Crisis!$AH$291:$AS$291,0)),0)</f>
        <v/>
      </c>
    </row>
    <row r="181" ht="28.5" customHeight="1" s="209">
      <c r="A181" s="247" t="inlineStr">
        <is>
          <t>Reputation crisis</t>
        </is>
      </c>
      <c r="B181" s="247" t="inlineStr">
        <is>
          <t>Physical Safety</t>
        </is>
      </c>
      <c r="C181" s="247" t="n">
        <v>1</v>
      </c>
      <c r="D181" s="247">
        <f>ROUND(C181*(1+('Resilience &amp; Risk Scenario'!$B$7-3)*0.15),2)</f>
        <v/>
      </c>
      <c r="E181" s="247" t="inlineStr">
        <is>
          <t>Employee safety, access control, evacuation and facilities resilience are direct crisis constraints.</t>
        </is>
      </c>
      <c r="F181" s="247" t="inlineStr">
        <is>
          <t>Monitor; not a primary scenario driver</t>
        </is>
      </c>
      <c r="G181" s="247" t="inlineStr">
        <is>
          <t>Implement evacuation, access control, emergency response, site security and travel-risk procedures.</t>
        </is>
      </c>
      <c r="H181" s="247" t="inlineStr">
        <is>
          <t>ISO 45001; ISO 22320; ISO 31030; ISO 22301</t>
        </is>
      </c>
      <c r="I181" s="247">
        <f>A181&amp;"|"&amp;B181</f>
        <v/>
      </c>
      <c r="J181" s="247" t="inlineStr">
        <is>
          <t>Multiplier is increased/decreased by severity: severity 3 = base; severity 5 = +30%; severity 1 = -30%.</t>
        </is>
      </c>
      <c r="K181">
        <f>IFERROR(INDEX(_ENGINE_Crisis!$AH$292:$AS$303,MATCH('Resilience &amp; Risk Scenario'!$B$6,_ENGINE_Crisis!$AG$292:$AG$303,0),MATCH($A181,_ENGINE_Crisis!$AH$291:$AS$291,0)),0)</f>
        <v/>
      </c>
    </row>
    <row r="182" ht="28.5" customHeight="1" s="209">
      <c r="A182" s="247" t="inlineStr">
        <is>
          <t>Reputation crisis</t>
        </is>
      </c>
      <c r="B182" s="247" t="inlineStr">
        <is>
          <t>Delivery Ops</t>
        </is>
      </c>
      <c r="C182" s="247" t="n">
        <v>1</v>
      </c>
      <c r="D182" s="247">
        <f>ROUND(C182*(1+('Resilience &amp; Risk Scenario'!$B$7-3)*0.15),2)</f>
        <v/>
      </c>
      <c r="E182" s="247" t="inlineStr">
        <is>
          <t>Delivery capacity, SLA control and operational handover determine customer continuity.</t>
        </is>
      </c>
      <c r="F182" s="247" t="inlineStr">
        <is>
          <t>Monitor; not a primary scenario driver</t>
        </is>
      </c>
      <c r="G182" s="247" t="inlineStr">
        <is>
          <t>Define alternative delivery models, capacity buffers, SLA triage and incident recovery procedures.</t>
        </is>
      </c>
      <c r="H182" s="247" t="inlineStr">
        <is>
          <t>ISO 9001; ISO 22301; ITIL; SLA management</t>
        </is>
      </c>
      <c r="I182" s="247">
        <f>A182&amp;"|"&amp;B182</f>
        <v/>
      </c>
      <c r="J182" s="247" t="inlineStr">
        <is>
          <t>Multiplier is increased/decreased by severity: severity 3 = base; severity 5 = +30%; severity 1 = -30%.</t>
        </is>
      </c>
      <c r="K182">
        <f>IFERROR(INDEX(_ENGINE_Crisis!$AH$292:$AS$303,MATCH('Resilience &amp; Risk Scenario'!$B$6,_ENGINE_Crisis!$AG$292:$AG$303,0),MATCH($A182,_ENGINE_Crisis!$AH$291:$AS$291,0)),0)</f>
        <v/>
      </c>
    </row>
    <row r="183" ht="28.5" customHeight="1" s="209">
      <c r="A183" s="247" t="inlineStr">
        <is>
          <t>Reputation crisis</t>
        </is>
      </c>
      <c r="B183" s="247" t="inlineStr">
        <is>
          <t>Supply Chain</t>
        </is>
      </c>
      <c r="C183" s="247" t="n">
        <v>1</v>
      </c>
      <c r="D183" s="247">
        <f>ROUND(C183*(1+('Resilience &amp; Risk Scenario'!$B$7-3)*0.15),2)</f>
        <v/>
      </c>
      <c r="E183" s="247" t="inlineStr">
        <is>
          <t>Supplier concentration, logistics and inventory visibility determine production and delivery continuity.</t>
        </is>
      </c>
      <c r="F183" s="247" t="inlineStr">
        <is>
          <t>Monitor; not a primary scenario driver</t>
        </is>
      </c>
      <c r="G183" s="247" t="inlineStr">
        <is>
          <t>Diversify suppliers, define safety stock, alternate routes, supplier monitoring and substitution rules.</t>
        </is>
      </c>
      <c r="H183" s="247" t="inlineStr">
        <is>
          <t>SCOR; ISO 28000; ISO 20400; ISO 22301</t>
        </is>
      </c>
      <c r="I183" s="247">
        <f>A183&amp;"|"&amp;B183</f>
        <v/>
      </c>
      <c r="J183" s="247" t="inlineStr">
        <is>
          <t>Multiplier is increased/decreased by severity: severity 3 = base; severity 5 = +30%; severity 1 = -30%.</t>
        </is>
      </c>
      <c r="K183">
        <f>IFERROR(INDEX(_ENGINE_Crisis!$AH$292:$AS$303,MATCH('Resilience &amp; Risk Scenario'!$B$6,_ENGINE_Crisis!$AG$292:$AG$303,0),MATCH($A183,_ENGINE_Crisis!$AH$291:$AS$291,0)),0)</f>
        <v/>
      </c>
    </row>
    <row r="184" ht="28.5" customHeight="1" s="209">
      <c r="A184" s="247" t="inlineStr">
        <is>
          <t>Reputation crisis</t>
        </is>
      </c>
      <c r="B184" s="247" t="inlineStr">
        <is>
          <t>Manufacturing MES</t>
        </is>
      </c>
      <c r="C184" s="247" t="n">
        <v>1</v>
      </c>
      <c r="D184" s="247">
        <f>ROUND(C184*(1+('Resilience &amp; Risk Scenario'!$B$7-3)*0.15),2)</f>
        <v/>
      </c>
      <c r="E184" s="247" t="inlineStr">
        <is>
          <t>Production assets, MES, maintenance and utilities determine manufacturing recoverability.</t>
        </is>
      </c>
      <c r="F184" s="247" t="inlineStr">
        <is>
          <t>Monitor; not a primary scenario driver</t>
        </is>
      </c>
      <c r="G184" s="247" t="inlineStr">
        <is>
          <t>Define production fallback, maintenance priorities, spare parts, MES continuity and utility backup.</t>
        </is>
      </c>
      <c r="H184" s="247" t="inlineStr">
        <is>
          <t>ISA-95; ISO 9001; TPM; IEC 62443; ISO 22301</t>
        </is>
      </c>
      <c r="I184" s="247">
        <f>A184&amp;"|"&amp;B184</f>
        <v/>
      </c>
      <c r="J184" s="247" t="inlineStr">
        <is>
          <t>Multiplier is increased/decreased by severity: severity 3 = base; severity 5 = +30%; severity 1 = -30%.</t>
        </is>
      </c>
      <c r="K184">
        <f>IFERROR(INDEX(_ENGINE_Crisis!$AH$292:$AS$303,MATCH('Resilience &amp; Risk Scenario'!$B$6,_ENGINE_Crisis!$AG$292:$AG$303,0),MATCH($A184,_ENGINE_Crisis!$AH$291:$AS$291,0)),0)</f>
        <v/>
      </c>
    </row>
    <row r="185" ht="28.5" customHeight="1" s="209">
      <c r="A185" s="247" t="inlineStr">
        <is>
          <t>Reputation crisis</t>
        </is>
      </c>
      <c r="B185" s="247" t="inlineStr">
        <is>
          <t>Sales CRM</t>
        </is>
      </c>
      <c r="C185" s="247" t="n">
        <v>1.8</v>
      </c>
      <c r="D185" s="247">
        <f>ROUND(C185*(1+('Resilience &amp; Risk Scenario'!$B$7-3)*0.15),2)</f>
        <v/>
      </c>
      <c r="E185" s="247" t="inlineStr">
        <is>
          <t>CRM discipline, pipeline visibility and retention actions determine revenue protection.</t>
        </is>
      </c>
      <c r="F185" s="247" t="inlineStr">
        <is>
          <t>Primary focus under this crisis scenario</t>
        </is>
      </c>
      <c r="G185" s="247" t="inlineStr">
        <is>
          <t>Improve CRM hygiene, retention playbooks, pipeline scenarios and customer segmentation.</t>
        </is>
      </c>
      <c r="H185" s="247" t="inlineStr">
        <is>
          <t>CRM best practices; ISO 10002; ISO 10004; revenue operations</t>
        </is>
      </c>
      <c r="I185" s="247">
        <f>A185&amp;"|"&amp;B185</f>
        <v/>
      </c>
      <c r="J185" s="247" t="inlineStr">
        <is>
          <t>Multiplier is increased/decreased by severity: severity 3 = base; severity 5 = +30%; severity 1 = -30%.</t>
        </is>
      </c>
      <c r="K185">
        <f>IFERROR(INDEX(_ENGINE_Crisis!$AH$292:$AS$303,MATCH('Resilience &amp; Risk Scenario'!$B$6,_ENGINE_Crisis!$AG$292:$AG$303,0),MATCH($A185,_ENGINE_Crisis!$AH$291:$AS$291,0)),0)</f>
        <v/>
      </c>
    </row>
    <row r="186" ht="28.5" customHeight="1" s="209">
      <c r="A186" s="247" t="inlineStr">
        <is>
          <t>Reputation crisis</t>
        </is>
      </c>
      <c r="B186" s="247" t="inlineStr">
        <is>
          <t>Marketing Comms</t>
        </is>
      </c>
      <c r="C186" s="247" t="n">
        <v>2</v>
      </c>
      <c r="D186" s="247">
        <f>ROUND(C186*(1+('Resilience &amp; Risk Scenario'!$B$7-3)*0.15),2)</f>
        <v/>
      </c>
      <c r="E186" s="247" t="inlineStr">
        <is>
          <t>Customer communication and reputation control determine trust during uncertainty.</t>
        </is>
      </c>
      <c r="F186" s="247" t="inlineStr">
        <is>
          <t>Primary focus under this crisis scenario</t>
        </is>
      </c>
      <c r="G186" s="247" t="inlineStr">
        <is>
          <t>Prepare crisis messages, customer notification templates, comms approval flow and brand monitoring.</t>
        </is>
      </c>
      <c r="H186" s="247" t="inlineStr">
        <is>
          <t>ISO 10002; ISO 10004; crisis communication practices</t>
        </is>
      </c>
      <c r="I186" s="247">
        <f>A186&amp;"|"&amp;B186</f>
        <v/>
      </c>
      <c r="J186" s="247" t="inlineStr">
        <is>
          <t>Multiplier is increased/decreased by severity: severity 3 = base; severity 5 = +30%; severity 1 = -30%.</t>
        </is>
      </c>
      <c r="K186">
        <f>IFERROR(INDEX(_ENGINE_Crisis!$AH$292:$AS$303,MATCH('Resilience &amp; Risk Scenario'!$B$6,_ENGINE_Crisis!$AG$292:$AG$303,0),MATCH($A186,_ENGINE_Crisis!$AH$291:$AS$291,0)),0)</f>
        <v/>
      </c>
    </row>
    <row r="187" ht="28.5" customHeight="1" s="209">
      <c r="A187" s="247" t="inlineStr">
        <is>
          <t>Reputation crisis</t>
        </is>
      </c>
      <c r="B187" s="247" t="inlineStr">
        <is>
          <t>IT Cloud DR</t>
        </is>
      </c>
      <c r="C187" s="247" t="n">
        <v>1</v>
      </c>
      <c r="D187" s="247">
        <f>ROUND(C187*(1+('Resilience &amp; Risk Scenario'!$B$7-3)*0.15),2)</f>
        <v/>
      </c>
      <c r="E187" s="247" t="inlineStr">
        <is>
          <t>Cloud, infrastructure, backups, RTO and RPO determine system recoverability.</t>
        </is>
      </c>
      <c r="F187" s="247" t="inlineStr">
        <is>
          <t>Monitor; not a primary scenario driver</t>
        </is>
      </c>
      <c r="G187" s="247" t="inlineStr">
        <is>
          <t>Implement tested backups, DR runbooks, failover, cloud landing zones and RTO/RPO monitoring.</t>
        </is>
      </c>
      <c r="H187" s="247" t="inlineStr">
        <is>
          <t>ISO 27001; NIST CSF; NIST SP 800-34; ISO 20000</t>
        </is>
      </c>
      <c r="I187" s="247">
        <f>A187&amp;"|"&amp;B187</f>
        <v/>
      </c>
      <c r="J187" s="247" t="inlineStr">
        <is>
          <t>Multiplier is increased/decreased by severity: severity 3 = base; severity 5 = +30%; severity 1 = -30%.</t>
        </is>
      </c>
      <c r="K187">
        <f>IFERROR(INDEX(_ENGINE_Crisis!$AH$292:$AS$303,MATCH('Resilience &amp; Risk Scenario'!$B$6,_ENGINE_Crisis!$AG$292:$AG$303,0),MATCH($A187,_ENGINE_Crisis!$AH$291:$AS$291,0)),0)</f>
        <v/>
      </c>
    </row>
    <row r="188" ht="28.5" customHeight="1" s="209">
      <c r="A188" s="247" t="inlineStr">
        <is>
          <t>Reputation crisis</t>
        </is>
      </c>
      <c r="B188" s="247" t="inlineStr">
        <is>
          <t>Business Systems</t>
        </is>
      </c>
      <c r="C188" s="247" t="n">
        <v>1</v>
      </c>
      <c r="D188" s="247">
        <f>ROUND(C188*(1+('Resilience &amp; Risk Scenario'!$B$7-3)*0.15),2)</f>
        <v/>
      </c>
      <c r="E188" s="247" t="inlineStr">
        <is>
          <t>ERP, CRM, HRMS, MES and SaaS continuity determine transaction and process continuity.</t>
        </is>
      </c>
      <c r="F188" s="247" t="inlineStr">
        <is>
          <t>Monitor; not a primary scenario driver</t>
        </is>
      </c>
      <c r="G188" s="247" t="inlineStr">
        <is>
          <t>Document system dependencies, SaaS continuity, role access, data exports and manual fallback.</t>
        </is>
      </c>
      <c r="H188" s="247" t="inlineStr">
        <is>
          <t>COBIT; ITIL; ISO 20000; ERP/CRM/MES governance</t>
        </is>
      </c>
      <c r="I188" s="247">
        <f>A188&amp;"|"&amp;B188</f>
        <v/>
      </c>
      <c r="J188" s="247" t="inlineStr">
        <is>
          <t>Multiplier is increased/decreased by severity: severity 3 = base; severity 5 = +30%; severity 1 = -30%.</t>
        </is>
      </c>
      <c r="K188">
        <f>IFERROR(INDEX(_ENGINE_Crisis!$AH$292:$AS$303,MATCH('Resilience &amp; Risk Scenario'!$B$6,_ENGINE_Crisis!$AG$292:$AG$303,0),MATCH($A188,_ENGINE_Crisis!$AH$291:$AS$291,0)),0)</f>
        <v/>
      </c>
    </row>
    <row r="189" ht="28.5" customHeight="1" s="209">
      <c r="A189" s="247" t="inlineStr">
        <is>
          <t>Reputation crisis</t>
        </is>
      </c>
      <c r="B189" s="247" t="inlineStr">
        <is>
          <t>Data BI AI</t>
        </is>
      </c>
      <c r="C189" s="247" t="n">
        <v>1</v>
      </c>
      <c r="D189" s="247">
        <f>ROUND(C189*(1+('Resilience &amp; Risk Scenario'!$B$7-3)*0.15),2)</f>
        <v/>
      </c>
      <c r="E189" s="247" t="inlineStr">
        <is>
          <t>Data quality, BI and analytics determine decision visibility and forecasting under stress.</t>
        </is>
      </c>
      <c r="F189" s="247" t="inlineStr">
        <is>
          <t>Monitor; not a primary scenario driver</t>
        </is>
      </c>
      <c r="G189" s="247" t="inlineStr">
        <is>
          <t>Assign data owners, improve data quality, dashboards, forecasting and AI governance.</t>
        </is>
      </c>
      <c r="H189" s="247" t="inlineStr">
        <is>
          <t>DAMA-DMBOK; ISO 42001; ISO 23894; data governance</t>
        </is>
      </c>
      <c r="I189" s="247">
        <f>A189&amp;"|"&amp;B189</f>
        <v/>
      </c>
      <c r="J189" s="247" t="inlineStr">
        <is>
          <t>Multiplier is increased/decreased by severity: severity 3 = base; severity 5 = +30%; severity 1 = -30%.</t>
        </is>
      </c>
      <c r="K189">
        <f>IFERROR(INDEX(_ENGINE_Crisis!$AH$292:$AS$303,MATCH('Resilience &amp; Risk Scenario'!$B$6,_ENGINE_Crisis!$AG$292:$AG$303,0),MATCH($A189,_ENGINE_Crisis!$AH$291:$AS$291,0)),0)</f>
        <v/>
      </c>
    </row>
    <row r="190" ht="28.5" customHeight="1" s="209">
      <c r="A190" s="247" t="inlineStr">
        <is>
          <t>Reputation crisis</t>
        </is>
      </c>
      <c r="B190" s="247" t="inlineStr">
        <is>
          <t>Cyber Privacy</t>
        </is>
      </c>
      <c r="C190" s="247" t="n">
        <v>1.3</v>
      </c>
      <c r="D190" s="247">
        <f>ROUND(C190*(1+('Resilience &amp; Risk Scenario'!$B$7-3)*0.15),2)</f>
        <v/>
      </c>
      <c r="E190" s="247" t="inlineStr">
        <is>
          <t>Cybersecurity and privacy controls determine resistance to digital disruption and regulatory exposure.</t>
        </is>
      </c>
      <c r="F190" s="247" t="inlineStr">
        <is>
          <t>Secondary focus under this crisis scenario</t>
        </is>
      </c>
      <c r="G190" s="247" t="inlineStr">
        <is>
          <t>Strengthen MFA, EDR, logging, IR playbooks, restore testing, privacy controls and awareness.</t>
        </is>
      </c>
      <c r="H190" s="247" t="inlineStr">
        <is>
          <t>ISO 27001; NIST CSF; CIS Controls; ISO 27701; GDPR</t>
        </is>
      </c>
      <c r="I190" s="247">
        <f>A190&amp;"|"&amp;B190</f>
        <v/>
      </c>
      <c r="J190" s="247" t="inlineStr">
        <is>
          <t>Multiplier is increased/decreased by severity: severity 3 = base; severity 5 = +30%; severity 1 = -30%.</t>
        </is>
      </c>
      <c r="K190">
        <f>IFERROR(INDEX(_ENGINE_Crisis!$AH$292:$AS$303,MATCH('Resilience &amp; Risk Scenario'!$B$6,_ENGINE_Crisis!$AG$292:$AG$303,0),MATCH($A190,_ENGINE_Crisis!$AH$291:$AS$291,0)),0)</f>
        <v/>
      </c>
    </row>
    <row r="191" ht="28.5" customHeight="1" s="209">
      <c r="A191" s="247" t="inlineStr">
        <is>
          <t>Reputation crisis</t>
        </is>
      </c>
      <c r="B191" s="247" t="inlineStr">
        <is>
          <t>Quality Portfolio</t>
        </is>
      </c>
      <c r="C191" s="247" t="n">
        <v>1</v>
      </c>
      <c r="D191" s="247">
        <f>ROUND(C191*(1+('Resilience &amp; Risk Scenario'!$B$7-3)*0.15),2)</f>
        <v/>
      </c>
      <c r="E191" s="247" t="inlineStr">
        <is>
          <t>Portfolio discipline and benefits realization determine whether scarce resources are focused on the right actions.</t>
        </is>
      </c>
      <c r="F191" s="247" t="inlineStr">
        <is>
          <t>Monitor; not a primary scenario driver</t>
        </is>
      </c>
      <c r="G191" s="247" t="inlineStr">
        <is>
          <t>Prioritize crisis initiatives by value, risk reduction, dependencies and implementation waves.</t>
        </is>
      </c>
      <c r="H191" s="247" t="inlineStr">
        <is>
          <t>ISO 9001; PMI; ISO 21502; benefits realization; APQC</t>
        </is>
      </c>
      <c r="I191" s="247">
        <f>A191&amp;"|"&amp;B191</f>
        <v/>
      </c>
      <c r="J191" s="247" t="inlineStr">
        <is>
          <t>Multiplier is increased/decreased by severity: severity 3 = base; severity 5 = +30%; severity 1 = -30%.</t>
        </is>
      </c>
      <c r="K191">
        <f>IFERROR(INDEX(_ENGINE_Crisis!$AH$292:$AS$303,MATCH('Resilience &amp; Risk Scenario'!$B$6,_ENGINE_Crisis!$AG$292:$AG$303,0),MATCH($A191,_ENGINE_Crisis!$AH$291:$AS$291,0)),0)</f>
        <v/>
      </c>
    </row>
    <row r="192">
      <c r="A192" t="inlineStr">
        <is>
          <t>Natural disaster / climate event</t>
        </is>
      </c>
      <c r="B192" t="inlineStr">
        <is>
          <t>Company Geography</t>
        </is>
      </c>
      <c r="C192" t="n">
        <v>1.6</v>
      </c>
      <c r="D192">
        <f>ROUND(C192*(1+('Resilience &amp; Risk Scenario'!$B$7-3)*0.15),2)</f>
        <v/>
      </c>
      <c r="E192" t="inlineStr">
        <is>
          <t>Site and regional concentration determines exposure to floods, storms, heat and other physical climate events.</t>
        </is>
      </c>
      <c r="F192" t="inlineStr">
        <is>
          <t>Primary focus under this crisis scenario</t>
        </is>
      </c>
      <c r="G192" t="inlineStr">
        <is>
          <t>Harden sites, define evacuation and emergency response, alternate logistics and capacity, test DR and remote operations.</t>
        </is>
      </c>
      <c r="H192" t="inlineStr">
        <is>
          <t>ISO 22301; ISO 14090; ISO 45001; ISO 31000; TCFD</t>
        </is>
      </c>
      <c r="I192">
        <f>A192&amp;"|"&amp;B192</f>
        <v/>
      </c>
      <c r="J192" t="inlineStr">
        <is>
          <t>Multiplier is increased/decreased by severity: severity 3 = base; severity 5 = +30%; severity 1 = -30%.</t>
        </is>
      </c>
      <c r="K192">
        <f>IFERROR(INDEX(_ENGINE_Crisis!$AH$292:$AS$303,MATCH('Resilience &amp; Risk Scenario'!$B$6,_ENGINE_Crisis!$AG$292:$AG$303,0),MATCH($A192,_ENGINE_Crisis!$AH$291:$AS$291,0)),0)</f>
        <v/>
      </c>
    </row>
    <row r="193">
      <c r="A193" t="inlineStr">
        <is>
          <t>Natural disaster / climate event</t>
        </is>
      </c>
      <c r="B193" t="inlineStr">
        <is>
          <t>Strategy GTM</t>
        </is>
      </c>
      <c r="C193" t="n">
        <v>1</v>
      </c>
      <c r="D193">
        <f>ROUND(C193*(1+('Resilience &amp; Risk Scenario'!$B$7-3)*0.15),2)</f>
        <v/>
      </c>
      <c r="E193" t="inlineStr">
        <is>
          <t>Market positioning is indirectly affected through demand and cost shifts.</t>
        </is>
      </c>
      <c r="F193" t="inlineStr">
        <is>
          <t>Monitor; not a primary scenario driver</t>
        </is>
      </c>
      <c r="G193" t="inlineStr">
        <is>
          <t>Monitor exposure; ensure communication plans and reprioritization readiness.</t>
        </is>
      </c>
      <c r="H193" t="inlineStr">
        <is>
          <t>ISO 22301; ISO 14090; ISO 45001; ISO 31000; TCFD</t>
        </is>
      </c>
      <c r="I193">
        <f>A193&amp;"|"&amp;B193</f>
        <v/>
      </c>
      <c r="J193" t="inlineStr">
        <is>
          <t>Multiplier is increased/decreased by severity: severity 3 = base; severity 5 = +30%; severity 1 = -30%.</t>
        </is>
      </c>
      <c r="K193">
        <f>IFERROR(INDEX(_ENGINE_Crisis!$AH$292:$AS$303,MATCH('Resilience &amp; Risk Scenario'!$B$6,_ENGINE_Crisis!$AG$292:$AG$303,0),MATCH($A193,_ENGINE_Crisis!$AH$291:$AS$291,0)),0)</f>
        <v/>
      </c>
    </row>
    <row r="194">
      <c r="A194" t="inlineStr">
        <is>
          <t>Natural disaster / climate event</t>
        </is>
      </c>
      <c r="B194" t="inlineStr">
        <is>
          <t>Governance Crisis</t>
        </is>
      </c>
      <c r="C194" t="n">
        <v>1.3</v>
      </c>
      <c r="D194">
        <f>ROUND(C194*(1+('Resilience &amp; Risk Scenario'!$B$7-3)*0.15),2)</f>
        <v/>
      </c>
      <c r="E194" t="inlineStr">
        <is>
          <t>Emergency decision-making and crisis governance determine response speed to physical events.</t>
        </is>
      </c>
      <c r="F194" t="inlineStr">
        <is>
          <t>Secondary focus under this crisis scenario</t>
        </is>
      </c>
      <c r="G194" t="inlineStr">
        <is>
          <t>Review insurance, contingency funding, crisis governance and workforce safety procedures for physical events.</t>
        </is>
      </c>
      <c r="H194" t="inlineStr">
        <is>
          <t>ISO 22301; ISO 14090; ISO 45001; ISO 31000; TCFD</t>
        </is>
      </c>
      <c r="I194">
        <f>A194&amp;"|"&amp;B194</f>
        <v/>
      </c>
      <c r="J194" t="inlineStr">
        <is>
          <t>Multiplier is increased/decreased by severity: severity 3 = base; severity 5 = +30%; severity 1 = -30%.</t>
        </is>
      </c>
      <c r="K194">
        <f>IFERROR(INDEX(_ENGINE_Crisis!$AH$292:$AS$303,MATCH('Resilience &amp; Risk Scenario'!$B$6,_ENGINE_Crisis!$AG$292:$AG$303,0),MATCH($A194,_ENGINE_Crisis!$AH$291:$AS$291,0)),0)</f>
        <v/>
      </c>
    </row>
    <row r="195">
      <c r="A195" t="inlineStr">
        <is>
          <t>Natural disaster / climate event</t>
        </is>
      </c>
      <c r="B195" t="inlineStr">
        <is>
          <t>HR Workforce</t>
        </is>
      </c>
      <c r="C195" t="n">
        <v>1.3</v>
      </c>
      <c r="D195">
        <f>ROUND(C195*(1+('Resilience &amp; Risk Scenario'!$B$7-3)*0.15),2)</f>
        <v/>
      </c>
      <c r="E195" t="inlineStr">
        <is>
          <t>Employee safety, absenteeism and site access drive workforce availability during climate events.</t>
        </is>
      </c>
      <c r="F195" t="inlineStr">
        <is>
          <t>Secondary focus under this crisis scenario</t>
        </is>
      </c>
      <c r="G195" t="inlineStr">
        <is>
          <t>Review insurance, contingency funding, crisis governance and workforce safety procedures for physical events.</t>
        </is>
      </c>
      <c r="H195" t="inlineStr">
        <is>
          <t>ISO 22301; ISO 14090; ISO 45001; ISO 31000; TCFD</t>
        </is>
      </c>
      <c r="I195">
        <f>A195&amp;"|"&amp;B195</f>
        <v/>
      </c>
      <c r="J195" t="inlineStr">
        <is>
          <t>Multiplier is increased/decreased by severity: severity 3 = base; severity 5 = +30%; severity 1 = -30%.</t>
        </is>
      </c>
      <c r="K195">
        <f>IFERROR(INDEX(_ENGINE_Crisis!$AH$292:$AS$303,MATCH('Resilience &amp; Risk Scenario'!$B$6,_ENGINE_Crisis!$AG$292:$AG$303,0),MATCH($A195,_ENGINE_Crisis!$AH$291:$AS$291,0)),0)</f>
        <v/>
      </c>
    </row>
    <row r="196">
      <c r="A196" t="inlineStr">
        <is>
          <t>Natural disaster / climate event</t>
        </is>
      </c>
      <c r="B196" t="inlineStr">
        <is>
          <t>Finance Procurement</t>
        </is>
      </c>
      <c r="C196" t="n">
        <v>1.2</v>
      </c>
      <c r="D196">
        <f>ROUND(C196*(1+('Resilience &amp; Risk Scenario'!$B$7-3)*0.15),2)</f>
        <v/>
      </c>
      <c r="E196" t="inlineStr">
        <is>
          <t>Insurance coverage, contingency funds and supplier payments are stressed by physical damage.</t>
        </is>
      </c>
      <c r="F196" t="inlineStr">
        <is>
          <t>Secondary focus under this crisis scenario</t>
        </is>
      </c>
      <c r="G196" t="inlineStr">
        <is>
          <t>Review insurance, contingency funding, crisis governance and workforce safety procedures for physical events.</t>
        </is>
      </c>
      <c r="H196" t="inlineStr">
        <is>
          <t>ISO 22301; ISO 14090; ISO 45001; ISO 31000; TCFD</t>
        </is>
      </c>
      <c r="I196">
        <f>A196&amp;"|"&amp;B196</f>
        <v/>
      </c>
      <c r="J196" t="inlineStr">
        <is>
          <t>Multiplier is increased/decreased by severity: severity 3 = base; severity 5 = +30%; severity 1 = -30%.</t>
        </is>
      </c>
      <c r="K196">
        <f>IFERROR(INDEX(_ENGINE_Crisis!$AH$292:$AS$303,MATCH('Resilience &amp; Risk Scenario'!$B$6,_ENGINE_Crisis!$AG$292:$AG$303,0),MATCH($A196,_ENGINE_Crisis!$AH$291:$AS$291,0)),0)</f>
        <v/>
      </c>
    </row>
    <row r="197">
      <c r="A197" t="inlineStr">
        <is>
          <t>Natural disaster / climate event</t>
        </is>
      </c>
      <c r="B197" t="inlineStr">
        <is>
          <t>Legal Risk</t>
        </is>
      </c>
      <c r="C197" t="n">
        <v>1.1</v>
      </c>
      <c r="D197">
        <f>ROUND(C197*(1+('Resilience &amp; Risk Scenario'!$B$7-3)*0.15),2)</f>
        <v/>
      </c>
      <c r="E197" t="inlineStr">
        <is>
          <t>Force majeure, insurance claims and contractual SLA exposure arise from physical disruption.</t>
        </is>
      </c>
      <c r="F197" t="inlineStr">
        <is>
          <t>Monitor; not a primary scenario driver</t>
        </is>
      </c>
      <c r="G197" t="inlineStr">
        <is>
          <t>Monitor exposure; ensure communication plans and reprioritization readiness.</t>
        </is>
      </c>
      <c r="H197" t="inlineStr">
        <is>
          <t>ISO 22301; ISO 14090; ISO 45001; ISO 31000; TCFD</t>
        </is>
      </c>
      <c r="I197">
        <f>A197&amp;"|"&amp;B197</f>
        <v/>
      </c>
      <c r="J197" t="inlineStr">
        <is>
          <t>Multiplier is increased/decreased by severity: severity 3 = base; severity 5 = +30%; severity 1 = -30%.</t>
        </is>
      </c>
      <c r="K197">
        <f>IFERROR(INDEX(_ENGINE_Crisis!$AH$292:$AS$303,MATCH('Resilience &amp; Risk Scenario'!$B$6,_ENGINE_Crisis!$AG$292:$AG$303,0),MATCH($A197,_ENGINE_Crisis!$AH$291:$AS$291,0)),0)</f>
        <v/>
      </c>
    </row>
    <row r="198">
      <c r="A198" t="inlineStr">
        <is>
          <t>Natural disaster / climate event</t>
        </is>
      </c>
      <c r="B198" t="inlineStr">
        <is>
          <t>Physical Safety</t>
        </is>
      </c>
      <c r="C198" t="n">
        <v>1.9</v>
      </c>
      <c r="D198">
        <f>ROUND(C198*(1+('Resilience &amp; Risk Scenario'!$B$7-3)*0.15),2)</f>
        <v/>
      </c>
      <c r="E198" t="inlineStr">
        <is>
          <t>Evacuation, site protection and employee safety are the first line of impact in natural disasters.</t>
        </is>
      </c>
      <c r="F198" t="inlineStr">
        <is>
          <t>Primary focus under this crisis scenario</t>
        </is>
      </c>
      <c r="G198" t="inlineStr">
        <is>
          <t>Harden sites, define evacuation and emergency response, alternate logistics and capacity, test DR and remote operations.</t>
        </is>
      </c>
      <c r="H198" t="inlineStr">
        <is>
          <t>ISO 22301; ISO 14090; ISO 45001; ISO 31000; TCFD</t>
        </is>
      </c>
      <c r="I198">
        <f>A198&amp;"|"&amp;B198</f>
        <v/>
      </c>
      <c r="J198" t="inlineStr">
        <is>
          <t>Multiplier is increased/decreased by severity: severity 3 = base; severity 5 = +30%; severity 1 = -30%.</t>
        </is>
      </c>
      <c r="K198">
        <f>IFERROR(INDEX(_ENGINE_Crisis!$AH$292:$AS$303,MATCH('Resilience &amp; Risk Scenario'!$B$6,_ENGINE_Crisis!$AG$292:$AG$303,0),MATCH($A198,_ENGINE_Crisis!$AH$291:$AS$291,0)),0)</f>
        <v/>
      </c>
    </row>
    <row r="199">
      <c r="A199" t="inlineStr">
        <is>
          <t>Natural disaster / climate event</t>
        </is>
      </c>
      <c r="B199" t="inlineStr">
        <is>
          <t>Delivery Ops</t>
        </is>
      </c>
      <c r="C199" t="n">
        <v>1.6</v>
      </c>
      <c r="D199">
        <f>ROUND(C199*(1+('Resilience &amp; Risk Scenario'!$B$7-3)*0.15),2)</f>
        <v/>
      </c>
      <c r="E199" t="inlineStr">
        <is>
          <t>Delivery capacity and SLA continuity depend on site and logistics availability.</t>
        </is>
      </c>
      <c r="F199" t="inlineStr">
        <is>
          <t>Primary focus under this crisis scenario</t>
        </is>
      </c>
      <c r="G199" t="inlineStr">
        <is>
          <t>Harden sites, define evacuation and emergency response, alternate logistics and capacity, test DR and remote operations.</t>
        </is>
      </c>
      <c r="H199" t="inlineStr">
        <is>
          <t>ISO 22301; ISO 14090; ISO 45001; ISO 31000; TCFD</t>
        </is>
      </c>
      <c r="I199">
        <f>A199&amp;"|"&amp;B199</f>
        <v/>
      </c>
      <c r="J199" t="inlineStr">
        <is>
          <t>Multiplier is increased/decreased by severity: severity 3 = base; severity 5 = +30%; severity 1 = -30%.</t>
        </is>
      </c>
      <c r="K199">
        <f>IFERROR(INDEX(_ENGINE_Crisis!$AH$292:$AS$303,MATCH('Resilience &amp; Risk Scenario'!$B$6,_ENGINE_Crisis!$AG$292:$AG$303,0),MATCH($A199,_ENGINE_Crisis!$AH$291:$AS$291,0)),0)</f>
        <v/>
      </c>
    </row>
    <row r="200">
      <c r="A200" t="inlineStr">
        <is>
          <t>Natural disaster / climate event</t>
        </is>
      </c>
      <c r="B200" t="inlineStr">
        <is>
          <t>Supply Chain</t>
        </is>
      </c>
      <c r="C200" t="n">
        <v>1.7</v>
      </c>
      <c r="D200">
        <f>ROUND(C200*(1+('Resilience &amp; Risk Scenario'!$B$7-3)*0.15),2)</f>
        <v/>
      </c>
      <c r="E200" t="inlineStr">
        <is>
          <t>Logistics routes, supplier sites and inventory are directly exposed to physical climate events.</t>
        </is>
      </c>
      <c r="F200" t="inlineStr">
        <is>
          <t>Primary focus under this crisis scenario</t>
        </is>
      </c>
      <c r="G200" t="inlineStr">
        <is>
          <t>Harden sites, define evacuation and emergency response, alternate logistics and capacity, test DR and remote operations.</t>
        </is>
      </c>
      <c r="H200" t="inlineStr">
        <is>
          <t>ISO 22301; ISO 14090; ISO 45001; ISO 31000; TCFD</t>
        </is>
      </c>
      <c r="I200">
        <f>A200&amp;"|"&amp;B200</f>
        <v/>
      </c>
      <c r="J200" t="inlineStr">
        <is>
          <t>Multiplier is increased/decreased by severity: severity 3 = base; severity 5 = +30%; severity 1 = -30%.</t>
        </is>
      </c>
      <c r="K200">
        <f>IFERROR(INDEX(_ENGINE_Crisis!$AH$292:$AS$303,MATCH('Resilience &amp; Risk Scenario'!$B$6,_ENGINE_Crisis!$AG$292:$AG$303,0),MATCH($A200,_ENGINE_Crisis!$AH$291:$AS$291,0)),0)</f>
        <v/>
      </c>
    </row>
    <row r="201">
      <c r="A201" t="inlineStr">
        <is>
          <t>Natural disaster / climate event</t>
        </is>
      </c>
      <c r="B201" t="inlineStr">
        <is>
          <t>Manufacturing MES</t>
        </is>
      </c>
      <c r="C201" t="n">
        <v>1.6</v>
      </c>
      <c r="D201">
        <f>ROUND(C201*(1+('Resilience &amp; Risk Scenario'!$B$7-3)*0.15),2)</f>
        <v/>
      </c>
      <c r="E201" t="inlineStr">
        <is>
          <t>Production assets, utilities and maintenance are vulnerable to flooding, storms and temperature extremes.</t>
        </is>
      </c>
      <c r="F201" t="inlineStr">
        <is>
          <t>Primary focus under this crisis scenario</t>
        </is>
      </c>
      <c r="G201" t="inlineStr">
        <is>
          <t>Harden sites, define evacuation and emergency response, alternate logistics and capacity, test DR and remote operations.</t>
        </is>
      </c>
      <c r="H201" t="inlineStr">
        <is>
          <t>ISO 22301; ISO 14090; ISO 45001; ISO 31000; TCFD</t>
        </is>
      </c>
      <c r="I201">
        <f>A201&amp;"|"&amp;B201</f>
        <v/>
      </c>
      <c r="J201" t="inlineStr">
        <is>
          <t>Multiplier is increased/decreased by severity: severity 3 = base; severity 5 = +30%; severity 1 = -30%.</t>
        </is>
      </c>
      <c r="K201">
        <f>IFERROR(INDEX(_ENGINE_Crisis!$AH$292:$AS$303,MATCH('Resilience &amp; Risk Scenario'!$B$6,_ENGINE_Crisis!$AG$292:$AG$303,0),MATCH($A201,_ENGINE_Crisis!$AH$291:$AS$291,0)),0)</f>
        <v/>
      </c>
    </row>
    <row r="202">
      <c r="A202" t="inlineStr">
        <is>
          <t>Natural disaster / climate event</t>
        </is>
      </c>
      <c r="B202" t="inlineStr">
        <is>
          <t>Sales CRM</t>
        </is>
      </c>
      <c r="C202" t="n">
        <v>1</v>
      </c>
      <c r="D202">
        <f>ROUND(C202*(1+('Resilience &amp; Risk Scenario'!$B$7-3)*0.15),2)</f>
        <v/>
      </c>
      <c r="E202" t="inlineStr">
        <is>
          <t>Revenue impact is indirect via delivery capability and regional demand.</t>
        </is>
      </c>
      <c r="F202" t="inlineStr">
        <is>
          <t>Monitor; not a primary scenario driver</t>
        </is>
      </c>
      <c r="G202" t="inlineStr">
        <is>
          <t>Monitor exposure; ensure communication plans and reprioritization readiness.</t>
        </is>
      </c>
      <c r="H202" t="inlineStr">
        <is>
          <t>ISO 22301; ISO 14090; ISO 45001; ISO 31000; TCFD</t>
        </is>
      </c>
      <c r="I202">
        <f>A202&amp;"|"&amp;B202</f>
        <v/>
      </c>
      <c r="J202" t="inlineStr">
        <is>
          <t>Multiplier is increased/decreased by severity: severity 3 = base; severity 5 = +30%; severity 1 = -30%.</t>
        </is>
      </c>
      <c r="K202">
        <f>IFERROR(INDEX(_ENGINE_Crisis!$AH$292:$AS$303,MATCH('Resilience &amp; Risk Scenario'!$B$6,_ENGINE_Crisis!$AG$292:$AG$303,0),MATCH($A202,_ENGINE_Crisis!$AH$291:$AS$291,0)),0)</f>
        <v/>
      </c>
    </row>
    <row r="203">
      <c r="A203" t="inlineStr">
        <is>
          <t>Natural disaster / climate event</t>
        </is>
      </c>
      <c r="B203" t="inlineStr">
        <is>
          <t>Marketing Comms</t>
        </is>
      </c>
      <c r="C203" t="n">
        <v>1.1</v>
      </c>
      <c r="D203">
        <f>ROUND(C203*(1+('Resilience &amp; Risk Scenario'!$B$7-3)*0.15),2)</f>
        <v/>
      </c>
      <c r="E203" t="inlineStr">
        <is>
          <t>Customer communication and expectation management matter during regional disruption.</t>
        </is>
      </c>
      <c r="F203" t="inlineStr">
        <is>
          <t>Monitor; not a primary scenario driver</t>
        </is>
      </c>
      <c r="G203" t="inlineStr">
        <is>
          <t>Monitor exposure; ensure communication plans and reprioritization readiness.</t>
        </is>
      </c>
      <c r="H203" t="inlineStr">
        <is>
          <t>ISO 22301; ISO 14090; ISO 45001; ISO 31000; TCFD</t>
        </is>
      </c>
      <c r="I203">
        <f>A203&amp;"|"&amp;B203</f>
        <v/>
      </c>
      <c r="J203" t="inlineStr">
        <is>
          <t>Multiplier is increased/decreased by severity: severity 3 = base; severity 5 = +30%; severity 1 = -30%.</t>
        </is>
      </c>
      <c r="K203">
        <f>IFERROR(INDEX(_ENGINE_Crisis!$AH$292:$AS$303,MATCH('Resilience &amp; Risk Scenario'!$B$6,_ENGINE_Crisis!$AG$292:$AG$303,0),MATCH($A203,_ENGINE_Crisis!$AH$291:$AS$291,0)),0)</f>
        <v/>
      </c>
    </row>
    <row r="204">
      <c r="A204" t="inlineStr">
        <is>
          <t>Natural disaster / climate event</t>
        </is>
      </c>
      <c r="B204" t="inlineStr">
        <is>
          <t>IT Cloud DR</t>
        </is>
      </c>
      <c r="C204" t="n">
        <v>1.4</v>
      </c>
      <c r="D204">
        <f>ROUND(C204*(1+('Resilience &amp; Risk Scenario'!$B$7-3)*0.15),2)</f>
        <v/>
      </c>
      <c r="E204" t="inlineStr">
        <is>
          <t>Data center / site loss and connectivity outages require tested DR and failover.</t>
        </is>
      </c>
      <c r="F204" t="inlineStr">
        <is>
          <t>Secondary focus under this crisis scenario</t>
        </is>
      </c>
      <c r="G204" t="inlineStr">
        <is>
          <t>Review insurance, contingency funding, crisis governance and workforce safety procedures for physical events.</t>
        </is>
      </c>
      <c r="H204" t="inlineStr">
        <is>
          <t>ISO 22301; ISO 14090; ISO 45001; ISO 31000; TCFD</t>
        </is>
      </c>
      <c r="I204">
        <f>A204&amp;"|"&amp;B204</f>
        <v/>
      </c>
      <c r="J204" t="inlineStr">
        <is>
          <t>Multiplier is increased/decreased by severity: severity 3 = base; severity 5 = +30%; severity 1 = -30%.</t>
        </is>
      </c>
      <c r="K204">
        <f>IFERROR(INDEX(_ENGINE_Crisis!$AH$292:$AS$303,MATCH('Resilience &amp; Risk Scenario'!$B$6,_ENGINE_Crisis!$AG$292:$AG$303,0),MATCH($A204,_ENGINE_Crisis!$AH$291:$AS$291,0)),0)</f>
        <v/>
      </c>
    </row>
    <row r="205">
      <c r="A205" t="inlineStr">
        <is>
          <t>Natural disaster / climate event</t>
        </is>
      </c>
      <c r="B205" t="inlineStr">
        <is>
          <t>Business Systems</t>
        </is>
      </c>
      <c r="C205" t="n">
        <v>1</v>
      </c>
      <c r="D205">
        <f>ROUND(C205*(1+('Resilience &amp; Risk Scenario'!$B$7-3)*0.15),2)</f>
        <v/>
      </c>
      <c r="E205" t="inlineStr">
        <is>
          <t>Core systems continuity depends on hosting model and DR readiness.</t>
        </is>
      </c>
      <c r="F205" t="inlineStr">
        <is>
          <t>Monitor; not a primary scenario driver</t>
        </is>
      </c>
      <c r="G205" t="inlineStr">
        <is>
          <t>Monitor exposure; ensure communication plans and reprioritization readiness.</t>
        </is>
      </c>
      <c r="H205" t="inlineStr">
        <is>
          <t>ISO 22301; ISO 14090; ISO 45001; ISO 31000; TCFD</t>
        </is>
      </c>
      <c r="I205">
        <f>A205&amp;"|"&amp;B205</f>
        <v/>
      </c>
      <c r="J205" t="inlineStr">
        <is>
          <t>Multiplier is increased/decreased by severity: severity 3 = base; severity 5 = +30%; severity 1 = -30%.</t>
        </is>
      </c>
      <c r="K205">
        <f>IFERROR(INDEX(_ENGINE_Crisis!$AH$292:$AS$303,MATCH('Resilience &amp; Risk Scenario'!$B$6,_ENGINE_Crisis!$AG$292:$AG$303,0),MATCH($A205,_ENGINE_Crisis!$AH$291:$AS$291,0)),0)</f>
        <v/>
      </c>
    </row>
    <row r="206">
      <c r="A206" t="inlineStr">
        <is>
          <t>Natural disaster / climate event</t>
        </is>
      </c>
      <c r="B206" t="inlineStr">
        <is>
          <t>Data BI AI</t>
        </is>
      </c>
      <c r="C206" t="n">
        <v>1</v>
      </c>
      <c r="D206">
        <f>ROUND(C206*(1+('Resilience &amp; Risk Scenario'!$B$7-3)*0.15),2)</f>
        <v/>
      </c>
      <c r="E206" t="inlineStr">
        <is>
          <t>Analytics continuity is indirectly affected via infrastructure.</t>
        </is>
      </c>
      <c r="F206" t="inlineStr">
        <is>
          <t>Monitor; not a primary scenario driver</t>
        </is>
      </c>
      <c r="G206" t="inlineStr">
        <is>
          <t>Monitor exposure; ensure communication plans and reprioritization readiness.</t>
        </is>
      </c>
      <c r="H206" t="inlineStr">
        <is>
          <t>ISO 22301; ISO 14090; ISO 45001; ISO 31000; TCFD</t>
        </is>
      </c>
      <c r="I206">
        <f>A206&amp;"|"&amp;B206</f>
        <v/>
      </c>
      <c r="J206" t="inlineStr">
        <is>
          <t>Multiplier is increased/decreased by severity: severity 3 = base; severity 5 = +30%; severity 1 = -30%.</t>
        </is>
      </c>
      <c r="K206">
        <f>IFERROR(INDEX(_ENGINE_Crisis!$AH$292:$AS$303,MATCH('Resilience &amp; Risk Scenario'!$B$6,_ENGINE_Crisis!$AG$292:$AG$303,0),MATCH($A206,_ENGINE_Crisis!$AH$291:$AS$291,0)),0)</f>
        <v/>
      </c>
    </row>
    <row r="207">
      <c r="A207" t="inlineStr">
        <is>
          <t>Natural disaster / climate event</t>
        </is>
      </c>
      <c r="B207" t="inlineStr">
        <is>
          <t>Cyber Privacy</t>
        </is>
      </c>
      <c r="C207" t="n">
        <v>1</v>
      </c>
      <c r="D207">
        <f>ROUND(C207*(1+('Resilience &amp; Risk Scenario'!$B$7-3)*0.15),2)</f>
        <v/>
      </c>
      <c r="E207" t="inlineStr">
        <is>
          <t>Cyber exposure largely independent of physical climate events.</t>
        </is>
      </c>
      <c r="F207" t="inlineStr">
        <is>
          <t>Monitor; not a primary scenario driver</t>
        </is>
      </c>
      <c r="G207" t="inlineStr">
        <is>
          <t>Monitor exposure; ensure communication plans and reprioritization readiness.</t>
        </is>
      </c>
      <c r="H207" t="inlineStr">
        <is>
          <t>ISO 22301; ISO 14090; ISO 45001; ISO 31000; TCFD</t>
        </is>
      </c>
      <c r="I207">
        <f>A207&amp;"|"&amp;B207</f>
        <v/>
      </c>
      <c r="J207" t="inlineStr">
        <is>
          <t>Multiplier is increased/decreased by severity: severity 3 = base; severity 5 = +30%; severity 1 = -30%.</t>
        </is>
      </c>
      <c r="K207">
        <f>IFERROR(INDEX(_ENGINE_Crisis!$AH$292:$AS$303,MATCH('Resilience &amp; Risk Scenario'!$B$6,_ENGINE_Crisis!$AG$292:$AG$303,0),MATCH($A207,_ENGINE_Crisis!$AH$291:$AS$291,0)),0)</f>
        <v/>
      </c>
    </row>
    <row r="208">
      <c r="A208" t="inlineStr">
        <is>
          <t>Natural disaster / climate event</t>
        </is>
      </c>
      <c r="B208" t="inlineStr">
        <is>
          <t>Quality Portfolio</t>
        </is>
      </c>
      <c r="C208" t="n">
        <v>1</v>
      </c>
      <c r="D208">
        <f>ROUND(C208*(1+('Resilience &amp; Risk Scenario'!$B$7-3)*0.15),2)</f>
        <v/>
      </c>
      <c r="E208" t="inlineStr">
        <is>
          <t>Portfolio discipline determines reprioritization speed after a physical event.</t>
        </is>
      </c>
      <c r="F208" t="inlineStr">
        <is>
          <t>Monitor; not a primary scenario driver</t>
        </is>
      </c>
      <c r="G208" t="inlineStr">
        <is>
          <t>Monitor exposure; ensure communication plans and reprioritization readiness.</t>
        </is>
      </c>
      <c r="H208" t="inlineStr">
        <is>
          <t>ISO 22301; ISO 14090; ISO 45001; ISO 31000; TCFD</t>
        </is>
      </c>
      <c r="I208">
        <f>A208&amp;"|"&amp;B208</f>
        <v/>
      </c>
      <c r="J208" t="inlineStr">
        <is>
          <t>Multiplier is increased/decreased by severity: severity 3 = base; severity 5 = +30%; severity 1 = -30%.</t>
        </is>
      </c>
      <c r="K208">
        <f>IFERROR(INDEX(_ENGINE_Crisis!$AH$292:$AS$303,MATCH('Resilience &amp; Risk Scenario'!$B$6,_ENGINE_Crisis!$AG$292:$AG$303,0),MATCH($A208,_ENGINE_Crisis!$AH$291:$AS$291,0)),0)</f>
        <v/>
      </c>
    </row>
    <row r="250" ht="25.95" customHeight="1" s="209">
      <c r="A250" s="261" t="inlineStr">
        <is>
          <t>Cascade Calculation Engine (do not edit – formula-driven)</t>
        </is>
      </c>
      <c r="B250" s="261" t="n"/>
      <c r="C250" s="261" t="n"/>
      <c r="D250" s="261" t="n"/>
      <c r="E250" s="261" t="n"/>
      <c r="F250" s="261" t="n"/>
      <c r="G250" s="261" t="n"/>
      <c r="H250" s="261" t="n"/>
      <c r="I250" s="261" t="n"/>
      <c r="J250" s="261" t="n"/>
      <c r="K250" s="261" t="n"/>
      <c r="L250" s="261" t="n"/>
      <c r="AG250" s="261" t="inlineStr">
        <is>
          <t>Cross-Domain Dependency Matrix (EDITABLE)</t>
        </is>
      </c>
      <c r="AH250" s="261" t="n"/>
      <c r="AI250" s="261" t="n"/>
      <c r="AJ250" s="261" t="n"/>
      <c r="AK250" s="261" t="n"/>
      <c r="AL250" s="261" t="n"/>
      <c r="AM250" s="261" t="n"/>
      <c r="AN250" s="261" t="n"/>
      <c r="AO250" s="261" t="n"/>
      <c r="AP250" s="261" t="n"/>
      <c r="AQ250" s="261" t="n"/>
      <c r="AR250" s="261" t="n"/>
    </row>
    <row r="251" ht="34.05" customHeight="1" s="209">
      <c r="A251" s="125" t="inlineStr">
        <is>
          <t>Reads existing domain scores via the Dashboard and domain tabs. Tune behaviour in _ENGINE_Dependency_Map.</t>
        </is>
      </c>
      <c r="B251" s="125" t="n"/>
      <c r="C251" s="125" t="n"/>
      <c r="D251" s="125" t="n"/>
      <c r="E251" s="125" t="n"/>
      <c r="F251" s="125" t="n"/>
      <c r="G251" s="125" t="n"/>
      <c r="H251" s="125" t="n"/>
      <c r="I251" s="125" t="n"/>
      <c r="J251" s="125" t="n"/>
      <c r="K251" s="125" t="n"/>
      <c r="L251" s="125" t="n"/>
      <c r="AG251" s="302" t="inlineStr">
        <is>
          <t>M[row source -&gt; col target] = fraction of the source domain's risk that propagates to the target. 0 = independent, 1 = full propagation. Diagonal = 0. Tune these to the client; pre-filled with defaults.</t>
        </is>
      </c>
      <c r="AH251" s="302" t="n"/>
      <c r="AI251" s="302" t="n"/>
      <c r="AJ251" s="302" t="n"/>
      <c r="AK251" s="302" t="n"/>
      <c r="AL251" s="302" t="n"/>
      <c r="AM251" s="302" t="n"/>
      <c r="AN251" s="302" t="n"/>
      <c r="AO251" s="302" t="n"/>
      <c r="AP251" s="302" t="n"/>
      <c r="AQ251" s="302" t="n"/>
      <c r="AR251" s="302" t="n"/>
    </row>
    <row r="252" ht="94.5" customHeight="1" s="209">
      <c r="AG252" s="316" t="inlineStr">
        <is>
          <t>Source \ Target</t>
        </is>
      </c>
      <c r="AI252" s="60" t="inlineStr">
        <is>
          <t>Company Geography</t>
        </is>
      </c>
      <c r="AJ252" s="60" t="inlineStr">
        <is>
          <t>Strategy GTM</t>
        </is>
      </c>
      <c r="AK252" s="60" t="inlineStr">
        <is>
          <t>Governance Crisis</t>
        </is>
      </c>
      <c r="AL252" s="60" t="inlineStr">
        <is>
          <t>HR Workforce</t>
        </is>
      </c>
      <c r="AM252" s="60" t="inlineStr">
        <is>
          <t>Finance Procurement</t>
        </is>
      </c>
      <c r="AN252" s="60" t="inlineStr">
        <is>
          <t>Legal Risk</t>
        </is>
      </c>
      <c r="AO252" s="60" t="inlineStr">
        <is>
          <t>Physical Safety</t>
        </is>
      </c>
      <c r="AP252" s="60" t="inlineStr">
        <is>
          <t>Delivery Ops</t>
        </is>
      </c>
      <c r="AQ252" s="60" t="inlineStr">
        <is>
          <t>Supply Chain</t>
        </is>
      </c>
      <c r="AR252" s="60" t="inlineStr">
        <is>
          <t>Manufacturing MES</t>
        </is>
      </c>
      <c r="AS252" s="60" t="inlineStr">
        <is>
          <t>Sales CRM</t>
        </is>
      </c>
      <c r="AT252" s="60" t="inlineStr">
        <is>
          <t>Marketing Comms</t>
        </is>
      </c>
      <c r="AU252" s="60" t="inlineStr">
        <is>
          <t>IT Cloud DR</t>
        </is>
      </c>
      <c r="AV252" s="60" t="inlineStr">
        <is>
          <t>Business Systems</t>
        </is>
      </c>
      <c r="AW252" s="60" t="inlineStr">
        <is>
          <t>Data BI AI</t>
        </is>
      </c>
      <c r="AX252" s="60" t="inlineStr">
        <is>
          <t>Cyber Privacy</t>
        </is>
      </c>
      <c r="AY252" s="60" t="inlineStr">
        <is>
          <t>Quality Portfolio</t>
        </is>
      </c>
      <c r="BB252" s="317" t="inlineStr">
        <is>
          <t>Outbound (amplifier)</t>
        </is>
      </c>
    </row>
    <row r="253" ht="51" customHeight="1" s="209">
      <c r="A253" s="68" t="inlineStr">
        <is>
          <t>Domain</t>
        </is>
      </c>
      <c r="B253" s="68" t="inlineStr">
        <is>
          <t>Base maturity</t>
        </is>
      </c>
      <c r="C253" s="68" t="inlineStr">
        <is>
          <t>Weakest control</t>
        </is>
      </c>
      <c r="D253" s="68" t="inlineStr">
        <is>
          <t>Adj maturity (weak-link)</t>
        </is>
      </c>
      <c r="E253" s="68" t="inlineStr">
        <is>
          <t>Red-line min</t>
        </is>
      </c>
      <c r="F253" s="68" t="inlineStr">
        <is>
          <t>Red-line breach</t>
        </is>
      </c>
      <c r="G253" s="68" t="inlineStr">
        <is>
          <t>Gated maturity</t>
        </is>
      </c>
      <c r="H253" s="68" t="inlineStr">
        <is>
          <t>SPOF factor</t>
        </is>
      </c>
      <c r="I253" s="68" t="inlineStr">
        <is>
          <t>Own risk</t>
        </is>
      </c>
      <c r="J253" s="68" t="inlineStr">
        <is>
          <t>SPOF risk</t>
        </is>
      </c>
      <c r="K253" s="68" t="inlineStr">
        <is>
          <t>Raw inbound</t>
        </is>
      </c>
      <c r="L253" s="68" t="inlineStr">
        <is>
          <t>Cascade risk +</t>
        </is>
      </c>
      <c r="M253" s="68" t="inlineStr">
        <is>
          <t>Eff risk(num)</t>
        </is>
      </c>
      <c r="N253" s="68" t="inlineStr">
        <is>
          <t>Eff risk</t>
        </is>
      </c>
      <c r="O253" s="68" t="inlineStr">
        <is>
          <t>Eff risk level</t>
        </is>
      </c>
      <c r="P253" s="68" t="inlineStr">
        <is>
          <t>Scen direct x</t>
        </is>
      </c>
      <c r="Q253" s="68" t="inlineStr">
        <is>
          <t>Scen excess</t>
        </is>
      </c>
      <c r="R253" s="68" t="inlineStr">
        <is>
          <t>Scen raw inbound</t>
        </is>
      </c>
      <c r="S253" s="68" t="inlineStr">
        <is>
          <t>Scen factor</t>
        </is>
      </c>
      <c r="T253" s="68" t="inlineStr">
        <is>
          <t>Scen exp(num)</t>
        </is>
      </c>
      <c r="U253" s="68" t="inlineStr">
        <is>
          <t>Scen exposure</t>
        </is>
      </c>
      <c r="V253" s="68" t="inlineStr">
        <is>
          <t>Scen exp level</t>
        </is>
      </c>
      <c r="W253" s="68" t="inlineStr">
        <is>
          <t>Eff maturity</t>
        </is>
      </c>
      <c r="X253" s="68" t="inlineStr">
        <is>
          <t>Scen rank</t>
        </is>
      </c>
      <c r="Y253" s="68" t="inlineStr">
        <is>
          <t>Answered</t>
        </is>
      </c>
      <c r="AG253" s="62" t="inlineStr">
        <is>
          <t>Company Geography</t>
        </is>
      </c>
      <c r="AI253" s="63" t="n">
        <v>0</v>
      </c>
      <c r="AJ253" s="63" t="n">
        <v>0</v>
      </c>
      <c r="AK253" s="63" t="n">
        <v>0</v>
      </c>
      <c r="AL253" s="63" t="n">
        <v>0.3</v>
      </c>
      <c r="AM253" s="63" t="n">
        <v>0</v>
      </c>
      <c r="AN253" s="63" t="n">
        <v>0</v>
      </c>
      <c r="AO253" s="63" t="n">
        <v>0.4</v>
      </c>
      <c r="AP253" s="63" t="n">
        <v>0.3</v>
      </c>
      <c r="AQ253" s="63" t="n">
        <v>0.3</v>
      </c>
      <c r="AR253" s="63" t="n">
        <v>0.3</v>
      </c>
      <c r="AS253" s="63" t="n">
        <v>0</v>
      </c>
      <c r="AT253" s="63" t="n">
        <v>0</v>
      </c>
      <c r="AU253" s="63" t="n">
        <v>0</v>
      </c>
      <c r="AV253" s="63" t="n">
        <v>0</v>
      </c>
      <c r="AW253" s="63" t="n">
        <v>0</v>
      </c>
      <c r="AX253" s="63" t="n">
        <v>0</v>
      </c>
      <c r="AY253" s="63" t="n">
        <v>0</v>
      </c>
      <c r="BB253" s="318">
        <f>SUM(C253:S253)</f>
        <v/>
      </c>
    </row>
    <row r="254">
      <c r="A254">
        <f>_DATA_Dashboard_Facts!$A$5</f>
        <v/>
      </c>
      <c r="B254" s="5">
        <f>IF($Y254=0,"",_DATA_Dashboard_Facts!$H$5)</f>
        <v/>
      </c>
      <c r="C254" s="5">
        <f t="array">IF($Y254=0,"",MIN(IF((_DATA_Assessment_Model!$H$5:$H$23&lt;&gt;"")*(_DATA_Assessment_Model!$H$5:$H$23&lt;&gt;"N/A"),_DATA_Assessment_Model!$H$5:$H$23+0)))</f>
        <v/>
      </c>
      <c r="D254" s="5">
        <f>IF(B254="","",_ENGINE_Crisis!$AH$276*B254+(1-_ENGINE_Crisis!$AH$276)*C254)</f>
        <v/>
      </c>
      <c r="E254" s="5" t="n"/>
      <c r="F254" s="5">
        <f>IF(AND(E254&lt;&gt;"",E254&lt;_ENGINE_Crisis!$AH$279),1,0)</f>
        <v/>
      </c>
      <c r="G254" s="5">
        <f>IF(B254="","",IF(F254=1,MIN(D254,_ENGINE_Crisis!$AH$280),D254))</f>
        <v/>
      </c>
      <c r="H254" s="5">
        <f>1+MIN(_ENGINE_Crisis!$AH$281,MAX(_xlfn.IFNA(VLOOKUP('Company Profile'!$B$74,_ENGINE_Crisis!$AN$276:$AO$281,2,FALSE),0),_xlfn.IFNA(VLOOKUP('Company Profile'!$B$75,_ENGINE_Crisis!$AN$276:$AO$281,2,FALSE),0)))</f>
        <v/>
      </c>
      <c r="I254" s="5">
        <f>IF(B254="",0,5-G254)</f>
        <v/>
      </c>
      <c r="J254" s="5">
        <f>IF(B254="",0,MIN(5,I254*H254))</f>
        <v/>
      </c>
      <c r="K254" s="5">
        <f>SUMPRODUCT(_ENGINE_Crisis!AI$253:AI$269,$J$254:$J$270)</f>
        <v/>
      </c>
      <c r="L254" s="5">
        <f>_ENGINE_Crisis!$AH$277*K254</f>
        <v/>
      </c>
      <c r="M254" s="5">
        <f>MIN(5,J254+L254)</f>
        <v/>
      </c>
      <c r="N254" s="5">
        <f>IF(B254="","",ROUND(M254,2))</f>
        <v/>
      </c>
      <c r="O254">
        <f>IF(B254="","",IF(M254&gt;=4,"Critical",IF(M254&gt;=3,"High",IF(M254&gt;=2,"Medium",IF(M254&gt;=1,"Low","Minimal")))))</f>
        <v/>
      </c>
      <c r="P254" s="5">
        <f>IFERROR(IF(SUMIFS(_ENGINE_Crisis!$C$5:$C$208,_ENGINE_Crisis!$A$5:$A$208,'Resilience &amp; Risk Scenario'!$B$6,_ENGINE_Crisis!$B$5:$B$208,A254)=0,1,SUMIFS(_ENGINE_Crisis!$C$5:$C$208,_ENGINE_Crisis!$A$5:$A$208,'Resilience &amp; Risk Scenario'!$B$6,_ENGINE_Crisis!$B$5:$B$208,A254)),1)</f>
        <v/>
      </c>
      <c r="Q254" s="5">
        <f>MAX(0,P254-1)</f>
        <v/>
      </c>
      <c r="R254" s="5">
        <f>SUMPRODUCT(_ENGINE_Crisis!AI$253:AI$269,$Q$254:$Q$270)</f>
        <v/>
      </c>
      <c r="S254" s="5">
        <f>MIN(_ENGINE_Crisis!$AH$283,1+('Resilience &amp; Risk Scenario'!$B$7/5)*(Q254+_ENGINE_Crisis!$AH$278*R254))</f>
        <v/>
      </c>
      <c r="T254" s="5">
        <f>MIN(5,M254*S254)</f>
        <v/>
      </c>
      <c r="U254" s="5">
        <f>IF(B254="","",ROUND(T254,2))</f>
        <v/>
      </c>
      <c r="V254" s="5">
        <f>IF(B254="","",IF(T254&gt;=4,"Critical",IF(T254&gt;=3,"High",IF(T254&gt;=2,"Medium",IF(T254&gt;=1,"Low","Minimal")))))</f>
        <v/>
      </c>
      <c r="W254" s="5">
        <f>IF(B254="","",ROUND(5-M254,2))</f>
        <v/>
      </c>
      <c r="X254" s="5">
        <f>IF(B254="","",RANK(T254,$T$254:$T$270)+COUNTIF($T$254:T254,T254)-1)</f>
        <v/>
      </c>
      <c r="Y254">
        <f>SUMPRODUCT(--(_DATA_Assessment_Model!$H$5:$H$23&lt;&gt;""),--(_DATA_Assessment_Model!$H$5:$H$23&lt;&gt;"N/A"))</f>
        <v/>
      </c>
      <c r="AG254" s="62" t="inlineStr">
        <is>
          <t>Strategy GTM</t>
        </is>
      </c>
      <c r="AI254" s="63" t="n">
        <v>0</v>
      </c>
      <c r="AJ254" s="63" t="n">
        <v>0</v>
      </c>
      <c r="AK254" s="63" t="n">
        <v>0</v>
      </c>
      <c r="AL254" s="63" t="n">
        <v>0</v>
      </c>
      <c r="AM254" s="63" t="n">
        <v>0</v>
      </c>
      <c r="AN254" s="63" t="n">
        <v>0</v>
      </c>
      <c r="AO254" s="63" t="n">
        <v>0</v>
      </c>
      <c r="AP254" s="63" t="n">
        <v>0</v>
      </c>
      <c r="AQ254" s="63" t="n">
        <v>0</v>
      </c>
      <c r="AR254" s="63" t="n">
        <v>0</v>
      </c>
      <c r="AS254" s="63" t="n">
        <v>0.5</v>
      </c>
      <c r="AT254" s="63" t="n">
        <v>0.5</v>
      </c>
      <c r="AU254" s="63" t="n">
        <v>0</v>
      </c>
      <c r="AV254" s="63" t="n">
        <v>0</v>
      </c>
      <c r="AW254" s="63" t="n">
        <v>0</v>
      </c>
      <c r="AX254" s="63" t="n">
        <v>0</v>
      </c>
      <c r="AY254" s="63" t="n">
        <v>0.3</v>
      </c>
      <c r="BB254" s="318">
        <f>SUM(C254:S254)</f>
        <v/>
      </c>
    </row>
    <row r="255">
      <c r="A255">
        <f>_DATA_Dashboard_Facts!$A$6</f>
        <v/>
      </c>
      <c r="B255" s="5">
        <f>IF($Y255=0,"",_DATA_Dashboard_Facts!$H$6)</f>
        <v/>
      </c>
      <c r="C255" s="5">
        <f t="array">IF($Y255=0,"",MIN(IF((_DATA_Assessment_Model!$H$24:$H$49&lt;&gt;"")*(_DATA_Assessment_Model!$H$24:$H$49&lt;&gt;"N/A"),_DATA_Assessment_Model!$H$24:$H$49+0)))</f>
        <v/>
      </c>
      <c r="D255" s="5">
        <f>IF(B255="","",_ENGINE_Crisis!$AH$276*B255+(1-_ENGINE_Crisis!$AH$276)*C255)</f>
        <v/>
      </c>
      <c r="E255" s="5" t="n"/>
      <c r="F255" s="5">
        <f>IF(AND(E255&lt;&gt;"",E255&lt;_ENGINE_Crisis!$AH$279),1,0)</f>
        <v/>
      </c>
      <c r="G255" s="5">
        <f>IF(B255="","",IF(F255=1,MIN(D255,_ENGINE_Crisis!$AH$280),D255))</f>
        <v/>
      </c>
      <c r="H255" s="5">
        <f>1+MIN(_ENGINE_Crisis!$AH$281,_xlfn.IFNA(VLOOKUP('Company Profile'!$B$54,_ENGINE_Crisis!$AK$276:$AL$282,2,FALSE),0))</f>
        <v/>
      </c>
      <c r="I255" s="5">
        <f>IF(B255="",0,5-G255)</f>
        <v/>
      </c>
      <c r="J255" s="5">
        <f>IF(B255="",0,MIN(5,I255*H255))</f>
        <v/>
      </c>
      <c r="K255" s="5">
        <f>SUMPRODUCT(_ENGINE_Crisis!AJ$253:AJ$269,$J$254:$J$270)</f>
        <v/>
      </c>
      <c r="L255" s="5">
        <f>_ENGINE_Crisis!$AH$277*K255</f>
        <v/>
      </c>
      <c r="M255" s="5">
        <f>MIN(5,J255+L255)</f>
        <v/>
      </c>
      <c r="N255" s="5">
        <f>IF(B255="","",ROUND(M255,2))</f>
        <v/>
      </c>
      <c r="O255">
        <f>IF(B255="","",IF(M255&gt;=4,"Critical",IF(M255&gt;=3,"High",IF(M255&gt;=2,"Medium",IF(M255&gt;=1,"Low","Minimal")))))</f>
        <v/>
      </c>
      <c r="P255" s="5">
        <f>IFERROR(IF(SUMIFS(_ENGINE_Crisis!$C$5:$C$208,_ENGINE_Crisis!$A$5:$A$208,'Resilience &amp; Risk Scenario'!$B$6,_ENGINE_Crisis!$B$5:$B$208,A255)=0,1,SUMIFS(_ENGINE_Crisis!$C$5:$C$208,_ENGINE_Crisis!$A$5:$A$208,'Resilience &amp; Risk Scenario'!$B$6,_ENGINE_Crisis!$B$5:$B$208,A255)),1)</f>
        <v/>
      </c>
      <c r="Q255" s="5">
        <f>MAX(0,P255-1)</f>
        <v/>
      </c>
      <c r="R255" s="5">
        <f>SUMPRODUCT(_ENGINE_Crisis!AJ$253:AJ$269,$Q$254:$Q$270)</f>
        <v/>
      </c>
      <c r="S255" s="5">
        <f>MIN(_ENGINE_Crisis!$AH$283,1+('Resilience &amp; Risk Scenario'!$B$7/5)*(Q255+_ENGINE_Crisis!$AH$278*R255))</f>
        <v/>
      </c>
      <c r="T255" s="5">
        <f>MIN(5,M255*S255)</f>
        <v/>
      </c>
      <c r="U255" s="5">
        <f>IF(B255="","",ROUND(T255,2))</f>
        <v/>
      </c>
      <c r="V255" s="5">
        <f>IF(B255="","",IF(T255&gt;=4,"Critical",IF(T255&gt;=3,"High",IF(T255&gt;=2,"Medium",IF(T255&gt;=1,"Low","Minimal")))))</f>
        <v/>
      </c>
      <c r="W255" s="5">
        <f>IF(B255="","",ROUND(5-M255,2))</f>
        <v/>
      </c>
      <c r="X255" s="5">
        <f>IF(B255="","",RANK(T255,$T$254:$T$270)+COUNTIF($T$254:T255,T255)-1)</f>
        <v/>
      </c>
      <c r="Y255">
        <f>SUMPRODUCT(--(_DATA_Assessment_Model!$H$24:$H$49&lt;&gt;""),--(_DATA_Assessment_Model!$H$24:$H$49&lt;&gt;"N/A"))</f>
        <v/>
      </c>
      <c r="AG255" s="62" t="inlineStr">
        <is>
          <t>Governance Crisis</t>
        </is>
      </c>
      <c r="AI255" s="63" t="n">
        <v>0</v>
      </c>
      <c r="AJ255" s="63" t="n">
        <v>0.3</v>
      </c>
      <c r="AK255" s="63" t="n">
        <v>0</v>
      </c>
      <c r="AL255" s="63" t="n">
        <v>0.2</v>
      </c>
      <c r="AM255" s="63" t="n">
        <v>0.2</v>
      </c>
      <c r="AN255" s="63" t="n">
        <v>0.2</v>
      </c>
      <c r="AO255" s="63" t="n">
        <v>0</v>
      </c>
      <c r="AP255" s="63" t="n">
        <v>0.2</v>
      </c>
      <c r="AQ255" s="63" t="n">
        <v>0</v>
      </c>
      <c r="AR255" s="63" t="n">
        <v>0</v>
      </c>
      <c r="AS255" s="63" t="n">
        <v>0</v>
      </c>
      <c r="AT255" s="63" t="n">
        <v>0.3</v>
      </c>
      <c r="AU255" s="63" t="n">
        <v>0</v>
      </c>
      <c r="AV255" s="63" t="n">
        <v>0</v>
      </c>
      <c r="AW255" s="63" t="n">
        <v>0</v>
      </c>
      <c r="AX255" s="63" t="n">
        <v>0</v>
      </c>
      <c r="AY255" s="63" t="n">
        <v>0</v>
      </c>
      <c r="BB255" s="318">
        <f>SUM(C255:S255)</f>
        <v/>
      </c>
    </row>
    <row r="256">
      <c r="A256">
        <f>_DATA_Dashboard_Facts!$A$7</f>
        <v/>
      </c>
      <c r="B256" s="5">
        <f>IF($Y256=0,"",_DATA_Dashboard_Facts!$H$7)</f>
        <v/>
      </c>
      <c r="C256" s="5">
        <f t="array">IF($Y256=0,"",MIN(IF((_DATA_Assessment_Model!$H$50:$H$71&lt;&gt;"")*(_DATA_Assessment_Model!$H$50:$H$71&lt;&gt;"N/A"),_DATA_Assessment_Model!$H$50:$H$71+0)))</f>
        <v/>
      </c>
      <c r="D256" s="5">
        <f>IF(B256="","",_ENGINE_Crisis!$AH$276*B256+(1-_ENGINE_Crisis!$AH$276)*C256)</f>
        <v/>
      </c>
      <c r="E256" s="5">
        <f>IF(COUNT(AA256:AB256)=0,"",MIN(AA256:AB256))</f>
        <v/>
      </c>
      <c r="F256" s="5">
        <f>IF(AND(E256&lt;&gt;"",E256&lt;_ENGINE_Crisis!$AH$279),1,0)</f>
        <v/>
      </c>
      <c r="G256" s="5">
        <f>IF(B256="","",IF(F256=1,MIN(D256,_ENGINE_Crisis!$AH$280),D256))</f>
        <v/>
      </c>
      <c r="H256" s="5">
        <f>1</f>
        <v/>
      </c>
      <c r="I256" s="5">
        <f>IF(B256="",0,5-G256)</f>
        <v/>
      </c>
      <c r="J256" s="5">
        <f>IF(B256="",0,MIN(5,I256*H256))</f>
        <v/>
      </c>
      <c r="K256" s="5">
        <f>SUMPRODUCT(_ENGINE_Crisis!AK$253:AK$269,$J$254:$J$270)</f>
        <v/>
      </c>
      <c r="L256" s="5">
        <f>_ENGINE_Crisis!$AH$277*K256</f>
        <v/>
      </c>
      <c r="M256" s="5">
        <f>MIN(5,J256+L256)</f>
        <v/>
      </c>
      <c r="N256" s="5">
        <f>IF(B256="","",ROUND(M256,2))</f>
        <v/>
      </c>
      <c r="O256">
        <f>IF(B256="","",IF(M256&gt;=4,"Critical",IF(M256&gt;=3,"High",IF(M256&gt;=2,"Medium",IF(M256&gt;=1,"Low","Minimal")))))</f>
        <v/>
      </c>
      <c r="P256" s="5">
        <f>IFERROR(IF(SUMIFS(_ENGINE_Crisis!$C$5:$C$208,_ENGINE_Crisis!$A$5:$A$208,'Resilience &amp; Risk Scenario'!$B$6,_ENGINE_Crisis!$B$5:$B$208,A256)=0,1,SUMIFS(_ENGINE_Crisis!$C$5:$C$208,_ENGINE_Crisis!$A$5:$A$208,'Resilience &amp; Risk Scenario'!$B$6,_ENGINE_Crisis!$B$5:$B$208,A256)),1)</f>
        <v/>
      </c>
      <c r="Q256" s="5">
        <f>MAX(0,P256-1)</f>
        <v/>
      </c>
      <c r="R256" s="5">
        <f>SUMPRODUCT(_ENGINE_Crisis!AK$253:AK$269,$Q$254:$Q$270)</f>
        <v/>
      </c>
      <c r="S256" s="5">
        <f>MIN(_ENGINE_Crisis!$AH$283,1+('Resilience &amp; Risk Scenario'!$B$7/5)*(Q256+_ENGINE_Crisis!$AH$278*R256))</f>
        <v/>
      </c>
      <c r="T256" s="5">
        <f>MIN(5,M256*S256)</f>
        <v/>
      </c>
      <c r="U256" s="5">
        <f>IF(B256="","",ROUND(T256,2))</f>
        <v/>
      </c>
      <c r="V256" s="5">
        <f>IF(B256="","",IF(T256&gt;=4,"Critical",IF(T256&gt;=3,"High",IF(T256&gt;=2,"Medium",IF(T256&gt;=1,"Low","Minimal")))))</f>
        <v/>
      </c>
      <c r="W256" s="5">
        <f>IF(B256="","",ROUND(5-M256,2))</f>
        <v/>
      </c>
      <c r="X256" s="5">
        <f>IF(B256="","",RANK(T256,$T$254:$T$270)+COUNTIF($T$254:T256,T256)-1)</f>
        <v/>
      </c>
      <c r="Y256">
        <f>SUMPRODUCT(--(_DATA_Assessment_Model!$H$50:$H$71&lt;&gt;""),--(_DATA_Assessment_Model!$H$50:$H$71&lt;&gt;"N/A"))</f>
        <v/>
      </c>
      <c r="AA256">
        <f>IF(OR(_DATA_Assessment_Model!H50="",_DATA_Assessment_Model!H50="N/A"),"",_DATA_Assessment_Model!H50+0)</f>
        <v/>
      </c>
      <c r="AB256">
        <f>IF(OR(_DATA_Assessment_Model!H60="",_DATA_Assessment_Model!H60="N/A"),"",_DATA_Assessment_Model!H60+0)</f>
        <v/>
      </c>
      <c r="AG256" s="62" t="inlineStr">
        <is>
          <t>HR Workforce</t>
        </is>
      </c>
      <c r="AI256" s="63" t="n">
        <v>0</v>
      </c>
      <c r="AJ256" s="63" t="n">
        <v>0</v>
      </c>
      <c r="AK256" s="63" t="n">
        <v>0.3</v>
      </c>
      <c r="AL256" s="63" t="n">
        <v>0</v>
      </c>
      <c r="AM256" s="63" t="n">
        <v>0</v>
      </c>
      <c r="AN256" s="63" t="n">
        <v>0</v>
      </c>
      <c r="AO256" s="63" t="n">
        <v>0.3</v>
      </c>
      <c r="AP256" s="63" t="n">
        <v>0.5</v>
      </c>
      <c r="AQ256" s="63" t="n">
        <v>0</v>
      </c>
      <c r="AR256" s="63" t="n">
        <v>0.5</v>
      </c>
      <c r="AS256" s="63" t="n">
        <v>0.3</v>
      </c>
      <c r="AT256" s="63" t="n">
        <v>0</v>
      </c>
      <c r="AU256" s="63" t="n">
        <v>0.3</v>
      </c>
      <c r="AV256" s="63" t="n">
        <v>0</v>
      </c>
      <c r="AW256" s="63" t="n">
        <v>0</v>
      </c>
      <c r="AX256" s="63" t="n">
        <v>0</v>
      </c>
      <c r="AY256" s="63" t="n">
        <v>0</v>
      </c>
      <c r="BB256" s="318">
        <f>SUM(C256:S256)</f>
        <v/>
      </c>
    </row>
    <row r="257">
      <c r="A257">
        <f>_DATA_Dashboard_Facts!$A$8</f>
        <v/>
      </c>
      <c r="B257" s="5">
        <f>IF($Y257=0,"",_DATA_Dashboard_Facts!$H$8)</f>
        <v/>
      </c>
      <c r="C257" s="5">
        <f t="array">IF($Y257=0,"",MIN(IF((_DATA_Assessment_Model!$H$72:$H$97&lt;&gt;"")*(_DATA_Assessment_Model!$H$72:$H$97&lt;&gt;"N/A"),_DATA_Assessment_Model!$H$72:$H$97+0)))</f>
        <v/>
      </c>
      <c r="D257" s="5">
        <f>IF(B257="","",_ENGINE_Crisis!$AH$276*B257+(1-_ENGINE_Crisis!$AH$276)*C257)</f>
        <v/>
      </c>
      <c r="E257" s="5" t="n"/>
      <c r="F257" s="5">
        <f>IF(AND(E257&lt;&gt;"",E257&lt;_ENGINE_Crisis!$AH$279),1,0)</f>
        <v/>
      </c>
      <c r="G257" s="5">
        <f>IF(B257="","",IF(F257=1,MIN(D257,_ENGINE_Crisis!$AH$280),D257))</f>
        <v/>
      </c>
      <c r="H257" s="5">
        <f>1+MIN(_ENGINE_Crisis!$AH$281,MAX(_xlfn.IFNA(VLOOKUP('Company Profile'!$B$74,_ENGINE_Crisis!$AN$276:$AO$281,2,FALSE),0),_xlfn.IFNA(VLOOKUP('Company Profile'!$B$75,_ENGINE_Crisis!$AN$276:$AO$281,2,FALSE),0)))</f>
        <v/>
      </c>
      <c r="I257" s="5">
        <f>IF(B257="",0,5-G257)</f>
        <v/>
      </c>
      <c r="J257" s="5">
        <f>IF(B257="",0,MIN(5,I257*H257))</f>
        <v/>
      </c>
      <c r="K257" s="5">
        <f>SUMPRODUCT(_ENGINE_Crisis!AL$253:AL$269,$J$254:$J$270)</f>
        <v/>
      </c>
      <c r="L257" s="5">
        <f>_ENGINE_Crisis!$AH$277*K257</f>
        <v/>
      </c>
      <c r="M257" s="5">
        <f>MIN(5,J257+L257)</f>
        <v/>
      </c>
      <c r="N257" s="5">
        <f>IF(B257="","",ROUND(M257,2))</f>
        <v/>
      </c>
      <c r="O257">
        <f>IF(B257="","",IF(M257&gt;=4,"Critical",IF(M257&gt;=3,"High",IF(M257&gt;=2,"Medium",IF(M257&gt;=1,"Low","Minimal")))))</f>
        <v/>
      </c>
      <c r="P257" s="5">
        <f>IFERROR(IF(SUMIFS(_ENGINE_Crisis!$C$5:$C$208,_ENGINE_Crisis!$A$5:$A$208,'Resilience &amp; Risk Scenario'!$B$6,_ENGINE_Crisis!$B$5:$B$208,A257)=0,1,SUMIFS(_ENGINE_Crisis!$C$5:$C$208,_ENGINE_Crisis!$A$5:$A$208,'Resilience &amp; Risk Scenario'!$B$6,_ENGINE_Crisis!$B$5:$B$208,A257)),1)</f>
        <v/>
      </c>
      <c r="Q257" s="5">
        <f>MAX(0,P257-1)</f>
        <v/>
      </c>
      <c r="R257" s="5">
        <f>SUMPRODUCT(_ENGINE_Crisis!AL$253:AL$269,$Q$254:$Q$270)</f>
        <v/>
      </c>
      <c r="S257" s="5">
        <f>MIN(_ENGINE_Crisis!$AH$283,1+('Resilience &amp; Risk Scenario'!$B$7/5)*(Q257+_ENGINE_Crisis!$AH$278*R257))</f>
        <v/>
      </c>
      <c r="T257" s="5">
        <f>MIN(5,M257*S257)</f>
        <v/>
      </c>
      <c r="U257" s="5">
        <f>IF(B257="","",ROUND(T257,2))</f>
        <v/>
      </c>
      <c r="V257" s="5">
        <f>IF(B257="","",IF(T257&gt;=4,"Critical",IF(T257&gt;=3,"High",IF(T257&gt;=2,"Medium",IF(T257&gt;=1,"Low","Minimal")))))</f>
        <v/>
      </c>
      <c r="W257" s="5">
        <f>IF(B257="","",ROUND(5-M257,2))</f>
        <v/>
      </c>
      <c r="X257" s="5">
        <f>IF(B257="","",RANK(T257,$T$254:$T$270)+COUNTIF($T$254:T257,T257)-1)</f>
        <v/>
      </c>
      <c r="Y257">
        <f>SUMPRODUCT(--(_DATA_Assessment_Model!$H$72:$H$97&lt;&gt;""),--(_DATA_Assessment_Model!$H$72:$H$97&lt;&gt;"N/A"))</f>
        <v/>
      </c>
      <c r="AG257" s="62" t="inlineStr">
        <is>
          <t>Finance Procurement</t>
        </is>
      </c>
      <c r="AI257" s="63" t="n">
        <v>0</v>
      </c>
      <c r="AJ257" s="63" t="n">
        <v>0.3</v>
      </c>
      <c r="AK257" s="63" t="n">
        <v>0.3</v>
      </c>
      <c r="AL257" s="63" t="n">
        <v>0</v>
      </c>
      <c r="AM257" s="63" t="n">
        <v>0</v>
      </c>
      <c r="AN257" s="63" t="n">
        <v>0</v>
      </c>
      <c r="AO257" s="63" t="n">
        <v>0</v>
      </c>
      <c r="AP257" s="63" t="n">
        <v>0.3</v>
      </c>
      <c r="AQ257" s="63" t="n">
        <v>0.4</v>
      </c>
      <c r="AR257" s="63" t="n">
        <v>0</v>
      </c>
      <c r="AS257" s="63" t="n">
        <v>0</v>
      </c>
      <c r="AT257" s="63" t="n">
        <v>0</v>
      </c>
      <c r="AU257" s="63" t="n">
        <v>0</v>
      </c>
      <c r="AV257" s="63" t="n">
        <v>0</v>
      </c>
      <c r="AW257" s="63" t="n">
        <v>0</v>
      </c>
      <c r="AX257" s="63" t="n">
        <v>0</v>
      </c>
      <c r="AY257" s="63" t="n">
        <v>0</v>
      </c>
      <c r="BB257" s="318">
        <f>SUM(C257:S257)</f>
        <v/>
      </c>
    </row>
    <row r="258">
      <c r="A258">
        <f>_DATA_Dashboard_Facts!$A$9</f>
        <v/>
      </c>
      <c r="B258" s="5">
        <f>IF($Y258=0,"",_DATA_Dashboard_Facts!$H$9)</f>
        <v/>
      </c>
      <c r="C258" s="5">
        <f t="array">IF($Y258=0,"",MIN(IF((_DATA_Assessment_Model!$H$98:$H$123&lt;&gt;"")*(_DATA_Assessment_Model!$H$98:$H$123&lt;&gt;"N/A"),_DATA_Assessment_Model!$H$98:$H$123+0)))</f>
        <v/>
      </c>
      <c r="D258" s="5">
        <f>IF(B258="","",_ENGINE_Crisis!$AH$276*B258+(1-_ENGINE_Crisis!$AH$276)*C258)</f>
        <v/>
      </c>
      <c r="E258" s="5">
        <f>IF(COUNT(AA258:AB258)=0,"",MIN(AA258:AB258))</f>
        <v/>
      </c>
      <c r="F258" s="5">
        <f>IF(AND(E258&lt;&gt;"",E258&lt;_ENGINE_Crisis!$AH$279),1,0)</f>
        <v/>
      </c>
      <c r="G258" s="5">
        <f>IF(B258="","",IF(F258=1,MIN(D258,_ENGINE_Crisis!$AH$280),D258))</f>
        <v/>
      </c>
      <c r="H258" s="5">
        <f>1+MIN(_ENGINE_Crisis!$AH$281,_xlfn.IFNA(VLOOKUP('Company Profile'!$B$57,_ENGINE_Crisis!$AK$276:$AL$282,2,FALSE),0)+_xlfn.IFNA(VLOOKUP('Company Profile'!$B$59,_ENGINE_Crisis!$AQ$276:$AR$282,2,FALSE),0))</f>
        <v/>
      </c>
      <c r="I258" s="5">
        <f>IF(B258="",0,5-G258)</f>
        <v/>
      </c>
      <c r="J258" s="5">
        <f>IF(B258="",0,MIN(5,I258*H258))</f>
        <v/>
      </c>
      <c r="K258" s="5">
        <f>SUMPRODUCT(_ENGINE_Crisis!AM$253:AM$269,$J$254:$J$270)</f>
        <v/>
      </c>
      <c r="L258" s="5">
        <f>_ENGINE_Crisis!$AH$277*K258</f>
        <v/>
      </c>
      <c r="M258" s="5">
        <f>MIN(5,J258+L258)</f>
        <v/>
      </c>
      <c r="N258" s="5">
        <f>IF(B258="","",ROUND(M258,2))</f>
        <v/>
      </c>
      <c r="O258">
        <f>IF(B258="","",IF(M258&gt;=4,"Critical",IF(M258&gt;=3,"High",IF(M258&gt;=2,"Medium",IF(M258&gt;=1,"Low","Minimal")))))</f>
        <v/>
      </c>
      <c r="P258" s="5">
        <f>IFERROR(IF(SUMIFS(_ENGINE_Crisis!$C$5:$C$208,_ENGINE_Crisis!$A$5:$A$208,'Resilience &amp; Risk Scenario'!$B$6,_ENGINE_Crisis!$B$5:$B$208,A258)=0,1,SUMIFS(_ENGINE_Crisis!$C$5:$C$208,_ENGINE_Crisis!$A$5:$A$208,'Resilience &amp; Risk Scenario'!$B$6,_ENGINE_Crisis!$B$5:$B$208,A258)),1)</f>
        <v/>
      </c>
      <c r="Q258" s="5">
        <f>MAX(0,P258-1)</f>
        <v/>
      </c>
      <c r="R258" s="5">
        <f>SUMPRODUCT(_ENGINE_Crisis!AM$253:AM$269,$Q$254:$Q$270)</f>
        <v/>
      </c>
      <c r="S258" s="5">
        <f>MIN(_ENGINE_Crisis!$AH$283,1+('Resilience &amp; Risk Scenario'!$B$7/5)*(Q258+_ENGINE_Crisis!$AH$278*R258))</f>
        <v/>
      </c>
      <c r="T258" s="5">
        <f>MIN(5,M258*S258)</f>
        <v/>
      </c>
      <c r="U258" s="5">
        <f>IF(B258="","",ROUND(T258,2))</f>
        <v/>
      </c>
      <c r="V258" s="5">
        <f>IF(B258="","",IF(T258&gt;=4,"Critical",IF(T258&gt;=3,"High",IF(T258&gt;=2,"Medium",IF(T258&gt;=1,"Low","Minimal")))))</f>
        <v/>
      </c>
      <c r="W258" s="5">
        <f>IF(B258="","",ROUND(5-M258,2))</f>
        <v/>
      </c>
      <c r="X258" s="5">
        <f>IF(B258="","",RANK(T258,$T$254:$T$270)+COUNTIF($T$254:T258,T258)-1)</f>
        <v/>
      </c>
      <c r="Y258">
        <f>SUMPRODUCT(--(_DATA_Assessment_Model!$H$98:$H$123&lt;&gt;""),--(_DATA_Assessment_Model!$H$98:$H$123&lt;&gt;"N/A"))</f>
        <v/>
      </c>
      <c r="AA258">
        <f>IF(OR(_DATA_Assessment_Model!H100="",_DATA_Assessment_Model!H100="N/A"),"",_DATA_Assessment_Model!H100+0)</f>
        <v/>
      </c>
      <c r="AB258">
        <f>IF(OR(_DATA_Assessment_Model!H105="",_DATA_Assessment_Model!H105="N/A"),"",_DATA_Assessment_Model!H105+0)</f>
        <v/>
      </c>
      <c r="AG258" s="62" t="inlineStr">
        <is>
          <t>Legal Risk</t>
        </is>
      </c>
      <c r="AI258" s="63" t="n">
        <v>0</v>
      </c>
      <c r="AJ258" s="63" t="n">
        <v>0.2</v>
      </c>
      <c r="AK258" s="63" t="n">
        <v>0</v>
      </c>
      <c r="AL258" s="63" t="n">
        <v>0</v>
      </c>
      <c r="AM258" s="63" t="n">
        <v>0.3</v>
      </c>
      <c r="AN258" s="63" t="n">
        <v>0</v>
      </c>
      <c r="AO258" s="63" t="n">
        <v>0</v>
      </c>
      <c r="AP258" s="63" t="n">
        <v>0</v>
      </c>
      <c r="AQ258" s="63" t="n">
        <v>0.3</v>
      </c>
      <c r="AR258" s="63" t="n">
        <v>0</v>
      </c>
      <c r="AS258" s="63" t="n">
        <v>0.3</v>
      </c>
      <c r="AT258" s="63" t="n">
        <v>0</v>
      </c>
      <c r="AU258" s="63" t="n">
        <v>0</v>
      </c>
      <c r="AV258" s="63" t="n">
        <v>0</v>
      </c>
      <c r="AW258" s="63" t="n">
        <v>0</v>
      </c>
      <c r="AX258" s="63" t="n">
        <v>0</v>
      </c>
      <c r="AY258" s="63" t="n">
        <v>0</v>
      </c>
      <c r="BB258" s="318">
        <f>SUM(C258:S258)</f>
        <v/>
      </c>
    </row>
    <row r="259">
      <c r="A259">
        <f>_DATA_Dashboard_Facts!$A$10</f>
        <v/>
      </c>
      <c r="B259" s="5">
        <f>IF($Y259=0,"",_DATA_Dashboard_Facts!$H$10)</f>
        <v/>
      </c>
      <c r="C259" s="5">
        <f t="array">IF($Y259=0,"",MIN(IF((_DATA_Assessment_Model!$H$124:$H$144&lt;&gt;"")*(_DATA_Assessment_Model!$H$124:$H$144&lt;&gt;"N/A"),_DATA_Assessment_Model!$H$124:$H$144+0)))</f>
        <v/>
      </c>
      <c r="D259" s="5">
        <f>IF(B259="","",_ENGINE_Crisis!$AH$276*B259+(1-_ENGINE_Crisis!$AH$276)*C259)</f>
        <v/>
      </c>
      <c r="E259" s="5">
        <f>IF(COUNT(AA259:AB259)=0,"",MIN(AA259:AB259))</f>
        <v/>
      </c>
      <c r="F259" s="5">
        <f>IF(AND(E259&lt;&gt;"",E259&lt;_ENGINE_Crisis!$AH$279),1,0)</f>
        <v/>
      </c>
      <c r="G259" s="5">
        <f>IF(B259="","",IF(F259=1,MIN(D259,_ENGINE_Crisis!$AH$280),D259))</f>
        <v/>
      </c>
      <c r="H259" s="5">
        <f>1</f>
        <v/>
      </c>
      <c r="I259" s="5">
        <f>IF(B259="",0,5-G259)</f>
        <v/>
      </c>
      <c r="J259" s="5">
        <f>IF(B259="",0,MIN(5,I259*H259))</f>
        <v/>
      </c>
      <c r="K259" s="5">
        <f>SUMPRODUCT(_ENGINE_Crisis!AN$253:AN$269,$J$254:$J$270)</f>
        <v/>
      </c>
      <c r="L259" s="5">
        <f>_ENGINE_Crisis!$AH$277*K259</f>
        <v/>
      </c>
      <c r="M259" s="5">
        <f>MIN(5,J259+L259)</f>
        <v/>
      </c>
      <c r="N259" s="5">
        <f>IF(B259="","",ROUND(M259,2))</f>
        <v/>
      </c>
      <c r="O259">
        <f>IF(B259="","",IF(M259&gt;=4,"Critical",IF(M259&gt;=3,"High",IF(M259&gt;=2,"Medium",IF(M259&gt;=1,"Low","Minimal")))))</f>
        <v/>
      </c>
      <c r="P259" s="5">
        <f>IFERROR(IF(SUMIFS(_ENGINE_Crisis!$C$5:$C$208,_ENGINE_Crisis!$A$5:$A$208,'Resilience &amp; Risk Scenario'!$B$6,_ENGINE_Crisis!$B$5:$B$208,A259)=0,1,SUMIFS(_ENGINE_Crisis!$C$5:$C$208,_ENGINE_Crisis!$A$5:$A$208,'Resilience &amp; Risk Scenario'!$B$6,_ENGINE_Crisis!$B$5:$B$208,A259)),1)</f>
        <v/>
      </c>
      <c r="Q259" s="5">
        <f>MAX(0,P259-1)</f>
        <v/>
      </c>
      <c r="R259" s="5">
        <f>SUMPRODUCT(_ENGINE_Crisis!AN$253:AN$269,$Q$254:$Q$270)</f>
        <v/>
      </c>
      <c r="S259" s="5">
        <f>MIN(_ENGINE_Crisis!$AH$283,1+('Resilience &amp; Risk Scenario'!$B$7/5)*(Q259+_ENGINE_Crisis!$AH$278*R259))</f>
        <v/>
      </c>
      <c r="T259" s="5">
        <f>MIN(5,M259*S259)</f>
        <v/>
      </c>
      <c r="U259" s="5">
        <f>IF(B259="","",ROUND(T259,2))</f>
        <v/>
      </c>
      <c r="V259" s="5">
        <f>IF(B259="","",IF(T259&gt;=4,"Critical",IF(T259&gt;=3,"High",IF(T259&gt;=2,"Medium",IF(T259&gt;=1,"Low","Minimal")))))</f>
        <v/>
      </c>
      <c r="W259" s="5">
        <f>IF(B259="","",ROUND(5-M259,2))</f>
        <v/>
      </c>
      <c r="X259" s="5">
        <f>IF(B259="","",RANK(T259,$T$254:$T$270)+COUNTIF($T$254:T259,T259)-1)</f>
        <v/>
      </c>
      <c r="Y259">
        <f>SUMPRODUCT(--(_DATA_Assessment_Model!$H$124:$H$144&lt;&gt;""),--(_DATA_Assessment_Model!$H$124:$H$144&lt;&gt;"N/A"))</f>
        <v/>
      </c>
      <c r="AA259">
        <f>IF(OR(_DATA_Assessment_Model!H124="",_DATA_Assessment_Model!H124="N/A"),"",_DATA_Assessment_Model!H124+0)</f>
        <v/>
      </c>
      <c r="AB259">
        <f>IF(OR(_DATA_Assessment_Model!H137="",_DATA_Assessment_Model!H137="N/A"),"",_DATA_Assessment_Model!H137+0)</f>
        <v/>
      </c>
      <c r="AG259" s="62" t="inlineStr">
        <is>
          <t>Physical Safety</t>
        </is>
      </c>
      <c r="AI259" s="63" t="n">
        <v>0.3</v>
      </c>
      <c r="AJ259" s="63" t="n">
        <v>0</v>
      </c>
      <c r="AK259" s="63" t="n">
        <v>0</v>
      </c>
      <c r="AL259" s="63" t="n">
        <v>0.4</v>
      </c>
      <c r="AM259" s="63" t="n">
        <v>0</v>
      </c>
      <c r="AN259" s="63" t="n">
        <v>0</v>
      </c>
      <c r="AO259" s="63" t="n">
        <v>0</v>
      </c>
      <c r="AP259" s="63" t="n">
        <v>0.4</v>
      </c>
      <c r="AQ259" s="63" t="n">
        <v>0</v>
      </c>
      <c r="AR259" s="63" t="n">
        <v>0.5</v>
      </c>
      <c r="AS259" s="63" t="n">
        <v>0</v>
      </c>
      <c r="AT259" s="63" t="n">
        <v>0</v>
      </c>
      <c r="AU259" s="63" t="n">
        <v>0</v>
      </c>
      <c r="AV259" s="63" t="n">
        <v>0</v>
      </c>
      <c r="AW259" s="63" t="n">
        <v>0</v>
      </c>
      <c r="AX259" s="63" t="n">
        <v>0</v>
      </c>
      <c r="AY259" s="63" t="n">
        <v>0</v>
      </c>
      <c r="BB259" s="318">
        <f>SUM(C259:S259)</f>
        <v/>
      </c>
    </row>
    <row r="260">
      <c r="A260">
        <f>_DATA_Dashboard_Facts!$A$11</f>
        <v/>
      </c>
      <c r="B260" s="5">
        <f>IF($Y260=0,"",_DATA_Dashboard_Facts!$H$11)</f>
        <v/>
      </c>
      <c r="C260" s="5">
        <f t="array">IF($Y260=0,"",MIN(IF((_DATA_Assessment_Model!$H$145:$H$175&lt;&gt;"")*(_DATA_Assessment_Model!$H$145:$H$175&lt;&gt;"N/A"),_DATA_Assessment_Model!$H$145:$H$175+0)))</f>
        <v/>
      </c>
      <c r="D260" s="5">
        <f>IF(B260="","",_ENGINE_Crisis!$AH$276*B260+(1-_ENGINE_Crisis!$AH$276)*C260)</f>
        <v/>
      </c>
      <c r="E260" s="5">
        <f>IF(COUNT(AA260:AB260)=0,"",MIN(AA260:AB260))</f>
        <v/>
      </c>
      <c r="F260" s="5">
        <f>IF(AND(E260&lt;&gt;"",E260&lt;_ENGINE_Crisis!$AH$279),1,0)</f>
        <v/>
      </c>
      <c r="G260" s="5">
        <f>IF(B260="","",IF(F260=1,MIN(D260,_ENGINE_Crisis!$AH$280),D260))</f>
        <v/>
      </c>
      <c r="H260" s="5">
        <f>1+MIN(_ENGINE_Crisis!$AH$281,MAX(_xlfn.IFNA(VLOOKUP('Company Profile'!$B$74,_ENGINE_Crisis!$AN$276:$AO$281,2,FALSE),0),_xlfn.IFNA(VLOOKUP('Company Profile'!$B$75,_ENGINE_Crisis!$AN$276:$AO$281,2,FALSE),0)))</f>
        <v/>
      </c>
      <c r="I260" s="5">
        <f>IF(B260="",0,5-G260)</f>
        <v/>
      </c>
      <c r="J260" s="5">
        <f>IF(B260="",0,MIN(5,I260*H260))</f>
        <v/>
      </c>
      <c r="K260" s="5">
        <f>SUMPRODUCT(_ENGINE_Crisis!AO$253:AO$269,$J$254:$J$270)</f>
        <v/>
      </c>
      <c r="L260" s="5">
        <f>_ENGINE_Crisis!$AH$277*K260</f>
        <v/>
      </c>
      <c r="M260" s="5">
        <f>MIN(5,J260+L260)</f>
        <v/>
      </c>
      <c r="N260" s="5">
        <f>IF(B260="","",ROUND(M260,2))</f>
        <v/>
      </c>
      <c r="O260">
        <f>IF(B260="","",IF(M260&gt;=4,"Critical",IF(M260&gt;=3,"High",IF(M260&gt;=2,"Medium",IF(M260&gt;=1,"Low","Minimal")))))</f>
        <v/>
      </c>
      <c r="P260" s="5">
        <f>IFERROR(IF(SUMIFS(_ENGINE_Crisis!$C$5:$C$208,_ENGINE_Crisis!$A$5:$A$208,'Resilience &amp; Risk Scenario'!$B$6,_ENGINE_Crisis!$B$5:$B$208,A260)=0,1,SUMIFS(_ENGINE_Crisis!$C$5:$C$208,_ENGINE_Crisis!$A$5:$A$208,'Resilience &amp; Risk Scenario'!$B$6,_ENGINE_Crisis!$B$5:$B$208,A260)),1)</f>
        <v/>
      </c>
      <c r="Q260" s="5">
        <f>MAX(0,P260-1)</f>
        <v/>
      </c>
      <c r="R260" s="5">
        <f>SUMPRODUCT(_ENGINE_Crisis!AO$253:AO$269,$Q$254:$Q$270)</f>
        <v/>
      </c>
      <c r="S260" s="5">
        <f>MIN(_ENGINE_Crisis!$AH$283,1+('Resilience &amp; Risk Scenario'!$B$7/5)*(Q260+_ENGINE_Crisis!$AH$278*R260))</f>
        <v/>
      </c>
      <c r="T260" s="5">
        <f>MIN(5,M260*S260)</f>
        <v/>
      </c>
      <c r="U260" s="5">
        <f>IF(B260="","",ROUND(T260,2))</f>
        <v/>
      </c>
      <c r="V260" s="5">
        <f>IF(B260="","",IF(T260&gt;=4,"Critical",IF(T260&gt;=3,"High",IF(T260&gt;=2,"Medium",IF(T260&gt;=1,"Low","Minimal")))))</f>
        <v/>
      </c>
      <c r="W260" s="5">
        <f>IF(B260="","",ROUND(5-M260,2))</f>
        <v/>
      </c>
      <c r="X260" s="5">
        <f>IF(B260="","",RANK(T260,$T$254:$T$270)+COUNTIF($T$254:T260,T260)-1)</f>
        <v/>
      </c>
      <c r="Y260">
        <f>SUMPRODUCT(--(_DATA_Assessment_Model!$H$145:$H$175&lt;&gt;""),--(_DATA_Assessment_Model!$H$145:$H$175&lt;&gt;"N/A"))</f>
        <v/>
      </c>
      <c r="AA260">
        <f>IF(OR(_DATA_Assessment_Model!H157="",_DATA_Assessment_Model!H157="N/A"),"",_DATA_Assessment_Model!H157+0)</f>
        <v/>
      </c>
      <c r="AB260">
        <f>IF(OR(_DATA_Assessment_Model!H158="",_DATA_Assessment_Model!H158="N/A"),"",_DATA_Assessment_Model!H158+0)</f>
        <v/>
      </c>
      <c r="AG260" s="62" t="inlineStr">
        <is>
          <t>Delivery Ops</t>
        </is>
      </c>
      <c r="AI260" s="63" t="n">
        <v>0</v>
      </c>
      <c r="AJ260" s="63" t="n">
        <v>0</v>
      </c>
      <c r="AK260" s="63" t="n">
        <v>0</v>
      </c>
      <c r="AL260" s="63" t="n">
        <v>0</v>
      </c>
      <c r="AM260" s="63" t="n">
        <v>0.4</v>
      </c>
      <c r="AN260" s="63" t="n">
        <v>0</v>
      </c>
      <c r="AO260" s="63" t="n">
        <v>0</v>
      </c>
      <c r="AP260" s="63" t="n">
        <v>0</v>
      </c>
      <c r="AQ260" s="63" t="n">
        <v>0</v>
      </c>
      <c r="AR260" s="63" t="n">
        <v>0</v>
      </c>
      <c r="AS260" s="63" t="n">
        <v>0.5</v>
      </c>
      <c r="AT260" s="63" t="n">
        <v>0.3</v>
      </c>
      <c r="AU260" s="63" t="n">
        <v>0</v>
      </c>
      <c r="AV260" s="63" t="n">
        <v>0</v>
      </c>
      <c r="AW260" s="63" t="n">
        <v>0</v>
      </c>
      <c r="AX260" s="63" t="n">
        <v>0</v>
      </c>
      <c r="AY260" s="63" t="n">
        <v>0.4</v>
      </c>
      <c r="BB260" s="318">
        <f>SUM(C260:S260)</f>
        <v/>
      </c>
    </row>
    <row r="261">
      <c r="A261">
        <f>_DATA_Dashboard_Facts!$A$12</f>
        <v/>
      </c>
      <c r="B261" s="5">
        <f>IF($Y261=0,"",_DATA_Dashboard_Facts!$H$12)</f>
        <v/>
      </c>
      <c r="C261" s="5">
        <f t="array">IF($Y261=0,"",MIN(IF((_DATA_Assessment_Model!$H$176:$H$199&lt;&gt;"")*(_DATA_Assessment_Model!$H$176:$H$199&lt;&gt;"N/A"),_DATA_Assessment_Model!$H$176:$H$199+0)))</f>
        <v/>
      </c>
      <c r="D261" s="5">
        <f>IF(B261="","",_ENGINE_Crisis!$AH$276*B261+(1-_ENGINE_Crisis!$AH$276)*C261)</f>
        <v/>
      </c>
      <c r="E261" s="5" t="n"/>
      <c r="F261" s="5">
        <f>IF(AND(E261&lt;&gt;"",E261&lt;_ENGINE_Crisis!$AH$279),1,0)</f>
        <v/>
      </c>
      <c r="G261" s="5">
        <f>IF(B261="","",IF(F261=1,MIN(D261,_ENGINE_Crisis!$AH$280),D261))</f>
        <v/>
      </c>
      <c r="H261" s="5">
        <f>1+MIN(_ENGINE_Crisis!$AH$281,_xlfn.IFNA(VLOOKUP('Company Profile'!$B$57,_ENGINE_Crisis!$AK$276:$AL$282,2,FALSE),0)+_xlfn.IFNA(VLOOKUP('Company Profile'!$B$59,_ENGINE_Crisis!$AQ$276:$AR$282,2,FALSE),0))</f>
        <v/>
      </c>
      <c r="I261" s="5">
        <f>IF(B261="",0,5-G261)</f>
        <v/>
      </c>
      <c r="J261" s="5">
        <f>IF(B261="",0,MIN(5,I261*H261))</f>
        <v/>
      </c>
      <c r="K261" s="5">
        <f>SUMPRODUCT(_ENGINE_Crisis!AP$253:AP$269,$J$254:$J$270)</f>
        <v/>
      </c>
      <c r="L261" s="5">
        <f>_ENGINE_Crisis!$AH$277*K261</f>
        <v/>
      </c>
      <c r="M261" s="5">
        <f>MIN(5,J261+L261)</f>
        <v/>
      </c>
      <c r="N261" s="5">
        <f>IF(B261="","",ROUND(M261,2))</f>
        <v/>
      </c>
      <c r="O261">
        <f>IF(B261="","",IF(M261&gt;=4,"Critical",IF(M261&gt;=3,"High",IF(M261&gt;=2,"Medium",IF(M261&gt;=1,"Low","Minimal")))))</f>
        <v/>
      </c>
      <c r="P261" s="5">
        <f>IFERROR(IF(SUMIFS(_ENGINE_Crisis!$C$5:$C$208,_ENGINE_Crisis!$A$5:$A$208,'Resilience &amp; Risk Scenario'!$B$6,_ENGINE_Crisis!$B$5:$B$208,A261)=0,1,SUMIFS(_ENGINE_Crisis!$C$5:$C$208,_ENGINE_Crisis!$A$5:$A$208,'Resilience &amp; Risk Scenario'!$B$6,_ENGINE_Crisis!$B$5:$B$208,A261)),1)</f>
        <v/>
      </c>
      <c r="Q261" s="5">
        <f>MAX(0,P261-1)</f>
        <v/>
      </c>
      <c r="R261" s="5">
        <f>SUMPRODUCT(_ENGINE_Crisis!AP$253:AP$269,$Q$254:$Q$270)</f>
        <v/>
      </c>
      <c r="S261" s="5">
        <f>MIN(_ENGINE_Crisis!$AH$283,1+('Resilience &amp; Risk Scenario'!$B$7/5)*(Q261+_ENGINE_Crisis!$AH$278*R261))</f>
        <v/>
      </c>
      <c r="T261" s="5">
        <f>MIN(5,M261*S261)</f>
        <v/>
      </c>
      <c r="U261" s="5">
        <f>IF(B261="","",ROUND(T261,2))</f>
        <v/>
      </c>
      <c r="V261" s="5">
        <f>IF(B261="","",IF(T261&gt;=4,"Critical",IF(T261&gt;=3,"High",IF(T261&gt;=2,"Medium",IF(T261&gt;=1,"Low","Minimal")))))</f>
        <v/>
      </c>
      <c r="W261" s="5">
        <f>IF(B261="","",ROUND(5-M261,2))</f>
        <v/>
      </c>
      <c r="X261" s="5">
        <f>IF(B261="","",RANK(T261,$T$254:$T$270)+COUNTIF($T$254:T261,T261)-1)</f>
        <v/>
      </c>
      <c r="Y261">
        <f>SUMPRODUCT(--(_DATA_Assessment_Model!$H$176:$H$199&lt;&gt;""),--(_DATA_Assessment_Model!$H$176:$H$199&lt;&gt;"N/A"))</f>
        <v/>
      </c>
      <c r="AG261" s="62" t="inlineStr">
        <is>
          <t>Supply Chain</t>
        </is>
      </c>
      <c r="AI261" s="63" t="n">
        <v>0</v>
      </c>
      <c r="AJ261" s="63" t="n">
        <v>0</v>
      </c>
      <c r="AK261" s="63" t="n">
        <v>0</v>
      </c>
      <c r="AL261" s="63" t="n">
        <v>0</v>
      </c>
      <c r="AM261" s="63" t="n">
        <v>0.3</v>
      </c>
      <c r="AN261" s="63" t="n">
        <v>0</v>
      </c>
      <c r="AO261" s="63" t="n">
        <v>0</v>
      </c>
      <c r="AP261" s="63" t="n">
        <v>0.7</v>
      </c>
      <c r="AQ261" s="63" t="n">
        <v>0</v>
      </c>
      <c r="AR261" s="63" t="n">
        <v>0.7</v>
      </c>
      <c r="AS261" s="63" t="n">
        <v>0.3</v>
      </c>
      <c r="AT261" s="63" t="n">
        <v>0</v>
      </c>
      <c r="AU261" s="63" t="n">
        <v>0</v>
      </c>
      <c r="AV261" s="63" t="n">
        <v>0</v>
      </c>
      <c r="AW261" s="63" t="n">
        <v>0</v>
      </c>
      <c r="AX261" s="63" t="n">
        <v>0</v>
      </c>
      <c r="AY261" s="63" t="n">
        <v>0.4</v>
      </c>
      <c r="BB261" s="318">
        <f>SUM(C261:S261)</f>
        <v/>
      </c>
    </row>
    <row r="262">
      <c r="A262">
        <f>_DATA_Dashboard_Facts!$A$13</f>
        <v/>
      </c>
      <c r="B262" s="5">
        <f>IF($Y262=0,"",_DATA_Dashboard_Facts!$H$13)</f>
        <v/>
      </c>
      <c r="C262" s="5">
        <f t="array">IF($Y262=0,"",MIN(IF((_DATA_Assessment_Model!$H$200:$H$228&lt;&gt;"")*(_DATA_Assessment_Model!$H$200:$H$228&lt;&gt;"N/A"),_DATA_Assessment_Model!$H$200:$H$228+0)))</f>
        <v/>
      </c>
      <c r="D262" s="5">
        <f>IF(B262="","",_ENGINE_Crisis!$AH$276*B262+(1-_ENGINE_Crisis!$AH$276)*C262)</f>
        <v/>
      </c>
      <c r="E262" s="5">
        <f>IF(COUNT(AA262:AB262)=0,"",MIN(AA262:AB262))</f>
        <v/>
      </c>
      <c r="F262" s="5">
        <f>IF(AND(E262&lt;&gt;"",E262&lt;_ENGINE_Crisis!$AH$279),1,0)</f>
        <v/>
      </c>
      <c r="G262" s="5">
        <f>IF(B262="","",IF(F262=1,MIN(D262,_ENGINE_Crisis!$AH$280),D262))</f>
        <v/>
      </c>
      <c r="H262" s="5">
        <f>1+MIN(_ENGINE_Crisis!$AH$281,_xlfn.IFNA(VLOOKUP('Company Profile'!$B$57,_ENGINE_Crisis!$AK$276:$AL$282,2,FALSE),0)+_xlfn.IFNA(VLOOKUP('Company Profile'!$B$59,_ENGINE_Crisis!$AQ$276:$AR$282,2,FALSE),0))</f>
        <v/>
      </c>
      <c r="I262" s="5">
        <f>IF(B262="",0,5-G262)</f>
        <v/>
      </c>
      <c r="J262" s="5">
        <f>IF(B262="",0,MIN(5,I262*H262))</f>
        <v/>
      </c>
      <c r="K262" s="5">
        <f>SUMPRODUCT(_ENGINE_Crisis!AQ$253:AQ$269,$J$254:$J$270)</f>
        <v/>
      </c>
      <c r="L262" s="5">
        <f>_ENGINE_Crisis!$AH$277*K262</f>
        <v/>
      </c>
      <c r="M262" s="5">
        <f>MIN(5,J262+L262)</f>
        <v/>
      </c>
      <c r="N262" s="5">
        <f>IF(B262="","",ROUND(M262,2))</f>
        <v/>
      </c>
      <c r="O262">
        <f>IF(B262="","",IF(M262&gt;=4,"Critical",IF(M262&gt;=3,"High",IF(M262&gt;=2,"Medium",IF(M262&gt;=1,"Low","Minimal")))))</f>
        <v/>
      </c>
      <c r="P262" s="5">
        <f>IFERROR(IF(SUMIFS(_ENGINE_Crisis!$C$5:$C$208,_ENGINE_Crisis!$A$5:$A$208,'Resilience &amp; Risk Scenario'!$B$6,_ENGINE_Crisis!$B$5:$B$208,A262)=0,1,SUMIFS(_ENGINE_Crisis!$C$5:$C$208,_ENGINE_Crisis!$A$5:$A$208,'Resilience &amp; Risk Scenario'!$B$6,_ENGINE_Crisis!$B$5:$B$208,A262)),1)</f>
        <v/>
      </c>
      <c r="Q262" s="5">
        <f>MAX(0,P262-1)</f>
        <v/>
      </c>
      <c r="R262" s="5">
        <f>SUMPRODUCT(_ENGINE_Crisis!AQ$253:AQ$269,$Q$254:$Q$270)</f>
        <v/>
      </c>
      <c r="S262" s="5">
        <f>MIN(_ENGINE_Crisis!$AH$283,1+('Resilience &amp; Risk Scenario'!$B$7/5)*(Q262+_ENGINE_Crisis!$AH$278*R262))</f>
        <v/>
      </c>
      <c r="T262" s="5">
        <f>MIN(5,M262*S262)</f>
        <v/>
      </c>
      <c r="U262" s="5">
        <f>IF(B262="","",ROUND(T262,2))</f>
        <v/>
      </c>
      <c r="V262" s="5">
        <f>IF(B262="","",IF(T262&gt;=4,"Critical",IF(T262&gt;=3,"High",IF(T262&gt;=2,"Medium",IF(T262&gt;=1,"Low","Minimal")))))</f>
        <v/>
      </c>
      <c r="W262" s="5">
        <f>IF(B262="","",ROUND(5-M262,2))</f>
        <v/>
      </c>
      <c r="X262" s="5">
        <f>IF(B262="","",RANK(T262,$T$254:$T$270)+COUNTIF($T$254:T262,T262)-1)</f>
        <v/>
      </c>
      <c r="Y262">
        <f>SUMPRODUCT(--(_DATA_Assessment_Model!$H$200:$H$228&lt;&gt;""),--(_DATA_Assessment_Model!$H$200:$H$228&lt;&gt;"N/A"))</f>
        <v/>
      </c>
      <c r="AA262">
        <f>IF(OR(_DATA_Assessment_Model!H204="",_DATA_Assessment_Model!H204="N/A"),"",_DATA_Assessment_Model!H204+0)</f>
        <v/>
      </c>
      <c r="AB262">
        <f>IF(OR(_DATA_Assessment_Model!H205="",_DATA_Assessment_Model!H205="N/A"),"",_DATA_Assessment_Model!H205+0)</f>
        <v/>
      </c>
      <c r="AG262" s="62" t="inlineStr">
        <is>
          <t>Manufacturing MES</t>
        </is>
      </c>
      <c r="AI262" s="63" t="n">
        <v>0</v>
      </c>
      <c r="AJ262" s="63" t="n">
        <v>0</v>
      </c>
      <c r="AK262" s="63" t="n">
        <v>0</v>
      </c>
      <c r="AL262" s="63" t="n">
        <v>0</v>
      </c>
      <c r="AM262" s="63" t="n">
        <v>0</v>
      </c>
      <c r="AN262" s="63" t="n">
        <v>0</v>
      </c>
      <c r="AO262" s="63" t="n">
        <v>0</v>
      </c>
      <c r="AP262" s="63" t="n">
        <v>0.7</v>
      </c>
      <c r="AQ262" s="63" t="n">
        <v>0</v>
      </c>
      <c r="AR262" s="63" t="n">
        <v>0</v>
      </c>
      <c r="AS262" s="63" t="n">
        <v>0.3</v>
      </c>
      <c r="AT262" s="63" t="n">
        <v>0</v>
      </c>
      <c r="AU262" s="63" t="n">
        <v>0</v>
      </c>
      <c r="AV262" s="63" t="n">
        <v>0</v>
      </c>
      <c r="AW262" s="63" t="n">
        <v>0</v>
      </c>
      <c r="AX262" s="63" t="n">
        <v>0</v>
      </c>
      <c r="AY262" s="63" t="n">
        <v>0.5</v>
      </c>
      <c r="BB262" s="318">
        <f>SUM(C262:S262)</f>
        <v/>
      </c>
    </row>
    <row r="263">
      <c r="A263">
        <f>_DATA_Dashboard_Facts!$A$14</f>
        <v/>
      </c>
      <c r="B263" s="5">
        <f>IF($Y263=0,"",_DATA_Dashboard_Facts!$H$14)</f>
        <v/>
      </c>
      <c r="C263" s="5">
        <f t="array">IF($Y263=0,"",MIN(IF((_DATA_Assessment_Model!$H$229:$H$256&lt;&gt;"")*(_DATA_Assessment_Model!$H$229:$H$256&lt;&gt;"N/A"),_DATA_Assessment_Model!$H$229:$H$256+0)))</f>
        <v/>
      </c>
      <c r="D263" s="5">
        <f>IF(B263="","",_ENGINE_Crisis!$AH$276*B263+(1-_ENGINE_Crisis!$AH$276)*C263)</f>
        <v/>
      </c>
      <c r="E263" s="5" t="n"/>
      <c r="F263" s="5">
        <f>IF(AND(E263&lt;&gt;"",E263&lt;_ENGINE_Crisis!$AH$279),1,0)</f>
        <v/>
      </c>
      <c r="G263" s="5">
        <f>IF(B263="","",IF(F263=1,MIN(D263,_ENGINE_Crisis!$AH$280),D263))</f>
        <v/>
      </c>
      <c r="H263" s="5">
        <f>1+MIN(_ENGINE_Crisis!$AH$281,_xlfn.IFNA(VLOOKUP('Company Profile'!$B$57,_ENGINE_Crisis!$AK$276:$AL$282,2,FALSE),0)+_xlfn.IFNA(VLOOKUP('Company Profile'!$B$59,_ENGINE_Crisis!$AQ$276:$AR$282,2,FALSE),0))</f>
        <v/>
      </c>
      <c r="I263" s="5">
        <f>IF(B263="",0,5-G263)</f>
        <v/>
      </c>
      <c r="J263" s="5">
        <f>IF(B263="",0,MIN(5,I263*H263))</f>
        <v/>
      </c>
      <c r="K263" s="5">
        <f>SUMPRODUCT(_ENGINE_Crisis!AR$253:AR$269,$J$254:$J$270)</f>
        <v/>
      </c>
      <c r="L263" s="5">
        <f>_ENGINE_Crisis!$AH$277*K263</f>
        <v/>
      </c>
      <c r="M263" s="5">
        <f>MIN(5,J263+L263)</f>
        <v/>
      </c>
      <c r="N263" s="5">
        <f>IF(B263="","",ROUND(M263,2))</f>
        <v/>
      </c>
      <c r="O263">
        <f>IF(B263="","",IF(M263&gt;=4,"Critical",IF(M263&gt;=3,"High",IF(M263&gt;=2,"Medium",IF(M263&gt;=1,"Low","Minimal")))))</f>
        <v/>
      </c>
      <c r="P263" s="5">
        <f>IFERROR(IF(SUMIFS(_ENGINE_Crisis!$C$5:$C$208,_ENGINE_Crisis!$A$5:$A$208,'Resilience &amp; Risk Scenario'!$B$6,_ENGINE_Crisis!$B$5:$B$208,A263)=0,1,SUMIFS(_ENGINE_Crisis!$C$5:$C$208,_ENGINE_Crisis!$A$5:$A$208,'Resilience &amp; Risk Scenario'!$B$6,_ENGINE_Crisis!$B$5:$B$208,A263)),1)</f>
        <v/>
      </c>
      <c r="Q263" s="5">
        <f>MAX(0,P263-1)</f>
        <v/>
      </c>
      <c r="R263" s="5">
        <f>SUMPRODUCT(_ENGINE_Crisis!AR$253:AR$269,$Q$254:$Q$270)</f>
        <v/>
      </c>
      <c r="S263" s="5">
        <f>MIN(_ENGINE_Crisis!$AH$283,1+('Resilience &amp; Risk Scenario'!$B$7/5)*(Q263+_ENGINE_Crisis!$AH$278*R263))</f>
        <v/>
      </c>
      <c r="T263" s="5">
        <f>MIN(5,M263*S263)</f>
        <v/>
      </c>
      <c r="U263" s="5">
        <f>IF(B263="","",ROUND(T263,2))</f>
        <v/>
      </c>
      <c r="V263" s="5">
        <f>IF(B263="","",IF(T263&gt;=4,"Critical",IF(T263&gt;=3,"High",IF(T263&gt;=2,"Medium",IF(T263&gt;=1,"Low","Minimal")))))</f>
        <v/>
      </c>
      <c r="W263" s="5">
        <f>IF(B263="","",ROUND(5-M263,2))</f>
        <v/>
      </c>
      <c r="X263" s="5">
        <f>IF(B263="","",RANK(T263,$T$254:$T$270)+COUNTIF($T$254:T263,T263)-1)</f>
        <v/>
      </c>
      <c r="Y263">
        <f>SUMPRODUCT(--(_DATA_Assessment_Model!$H$229:$H$256&lt;&gt;""),--(_DATA_Assessment_Model!$H$229:$H$256&lt;&gt;"N/A"))</f>
        <v/>
      </c>
      <c r="AG263" s="62" t="inlineStr">
        <is>
          <t>Sales CRM</t>
        </is>
      </c>
      <c r="AI263" s="63" t="n">
        <v>0</v>
      </c>
      <c r="AJ263" s="63" t="n">
        <v>0</v>
      </c>
      <c r="AK263" s="63" t="n">
        <v>0</v>
      </c>
      <c r="AL263" s="63" t="n">
        <v>0</v>
      </c>
      <c r="AM263" s="63" t="n">
        <v>0.4</v>
      </c>
      <c r="AN263" s="63" t="n">
        <v>0</v>
      </c>
      <c r="AO263" s="63" t="n">
        <v>0</v>
      </c>
      <c r="AP263" s="63" t="n">
        <v>0.3</v>
      </c>
      <c r="AQ263" s="63" t="n">
        <v>0</v>
      </c>
      <c r="AR263" s="63" t="n">
        <v>0</v>
      </c>
      <c r="AS263" s="63" t="n">
        <v>0</v>
      </c>
      <c r="AT263" s="63" t="n">
        <v>0.3</v>
      </c>
      <c r="AU263" s="63" t="n">
        <v>0</v>
      </c>
      <c r="AV263" s="63" t="n">
        <v>0</v>
      </c>
      <c r="AW263" s="63" t="n">
        <v>0</v>
      </c>
      <c r="AX263" s="63" t="n">
        <v>0</v>
      </c>
      <c r="AY263" s="63" t="n">
        <v>0</v>
      </c>
      <c r="BB263" s="318">
        <f>SUM(C263:S263)</f>
        <v/>
      </c>
    </row>
    <row r="264">
      <c r="A264">
        <f>_DATA_Dashboard_Facts!$A$15</f>
        <v/>
      </c>
      <c r="B264" s="5">
        <f>IF($Y264=0,"",_DATA_Dashboard_Facts!$H$15)</f>
        <v/>
      </c>
      <c r="C264" s="5">
        <f t="array">IF($Y264=0,"",MIN(IF((_DATA_Assessment_Model!$H$257:$H$280&lt;&gt;"")*(_DATA_Assessment_Model!$H$257:$H$280&lt;&gt;"N/A"),_DATA_Assessment_Model!$H$257:$H$280+0)))</f>
        <v/>
      </c>
      <c r="D264" s="5">
        <f>IF(B264="","",_ENGINE_Crisis!$AH$276*B264+(1-_ENGINE_Crisis!$AH$276)*C264)</f>
        <v/>
      </c>
      <c r="E264" s="5" t="n"/>
      <c r="F264" s="5">
        <f>IF(AND(E264&lt;&gt;"",E264&lt;_ENGINE_Crisis!$AH$279),1,0)</f>
        <v/>
      </c>
      <c r="G264" s="5">
        <f>IF(B264="","",IF(F264=1,MIN(D264,_ENGINE_Crisis!$AH$280),D264))</f>
        <v/>
      </c>
      <c r="H264" s="5">
        <f>1+MIN(_ENGINE_Crisis!$AH$281,_xlfn.IFNA(VLOOKUP('Company Profile'!$B$54,_ENGINE_Crisis!$AK$276:$AL$282,2,FALSE),0))</f>
        <v/>
      </c>
      <c r="I264" s="5">
        <f>IF(B264="",0,5-G264)</f>
        <v/>
      </c>
      <c r="J264" s="5">
        <f>IF(B264="",0,MIN(5,I264*H264))</f>
        <v/>
      </c>
      <c r="K264" s="5">
        <f>SUMPRODUCT(_ENGINE_Crisis!AS$253:AS$269,$J$254:$J$270)</f>
        <v/>
      </c>
      <c r="L264" s="5">
        <f>_ENGINE_Crisis!$AH$277*K264</f>
        <v/>
      </c>
      <c r="M264" s="5">
        <f>MIN(5,J264+L264)</f>
        <v/>
      </c>
      <c r="N264" s="5">
        <f>IF(B264="","",ROUND(M264,2))</f>
        <v/>
      </c>
      <c r="O264">
        <f>IF(B264="","",IF(M264&gt;=4,"Critical",IF(M264&gt;=3,"High",IF(M264&gt;=2,"Medium",IF(M264&gt;=1,"Low","Minimal")))))</f>
        <v/>
      </c>
      <c r="P264" s="5">
        <f>IFERROR(IF(SUMIFS(_ENGINE_Crisis!$C$5:$C$208,_ENGINE_Crisis!$A$5:$A$208,'Resilience &amp; Risk Scenario'!$B$6,_ENGINE_Crisis!$B$5:$B$208,A264)=0,1,SUMIFS(_ENGINE_Crisis!$C$5:$C$208,_ENGINE_Crisis!$A$5:$A$208,'Resilience &amp; Risk Scenario'!$B$6,_ENGINE_Crisis!$B$5:$B$208,A264)),1)</f>
        <v/>
      </c>
      <c r="Q264" s="5">
        <f>MAX(0,P264-1)</f>
        <v/>
      </c>
      <c r="R264" s="5">
        <f>SUMPRODUCT(_ENGINE_Crisis!AS$253:AS$269,$Q$254:$Q$270)</f>
        <v/>
      </c>
      <c r="S264" s="5">
        <f>MIN(_ENGINE_Crisis!$AH$283,1+('Resilience &amp; Risk Scenario'!$B$7/5)*(Q264+_ENGINE_Crisis!$AH$278*R264))</f>
        <v/>
      </c>
      <c r="T264" s="5">
        <f>MIN(5,M264*S264)</f>
        <v/>
      </c>
      <c r="U264" s="5">
        <f>IF(B264="","",ROUND(T264,2))</f>
        <v/>
      </c>
      <c r="V264" s="5">
        <f>IF(B264="","",IF(T264&gt;=4,"Critical",IF(T264&gt;=3,"High",IF(T264&gt;=2,"Medium",IF(T264&gt;=1,"Low","Minimal")))))</f>
        <v/>
      </c>
      <c r="W264" s="5">
        <f>IF(B264="","",ROUND(5-M264,2))</f>
        <v/>
      </c>
      <c r="X264" s="5">
        <f>IF(B264="","",RANK(T264,$T$254:$T$270)+COUNTIF($T$254:T264,T264)-1)</f>
        <v/>
      </c>
      <c r="Y264">
        <f>SUMPRODUCT(--(_DATA_Assessment_Model!$H$257:$H$280&lt;&gt;""),--(_DATA_Assessment_Model!$H$257:$H$280&lt;&gt;"N/A"))</f>
        <v/>
      </c>
      <c r="AG264" s="62" t="inlineStr">
        <is>
          <t>Marketing Comms</t>
        </is>
      </c>
      <c r="AI264" s="63" t="n">
        <v>0</v>
      </c>
      <c r="AJ264" s="63" t="n">
        <v>0</v>
      </c>
      <c r="AK264" s="63" t="n">
        <v>0.2</v>
      </c>
      <c r="AL264" s="63" t="n">
        <v>0</v>
      </c>
      <c r="AM264" s="63" t="n">
        <v>0</v>
      </c>
      <c r="AN264" s="63" t="n">
        <v>0</v>
      </c>
      <c r="AO264" s="63" t="n">
        <v>0</v>
      </c>
      <c r="AP264" s="63" t="n">
        <v>0</v>
      </c>
      <c r="AQ264" s="63" t="n">
        <v>0</v>
      </c>
      <c r="AR264" s="63" t="n">
        <v>0</v>
      </c>
      <c r="AS264" s="63" t="n">
        <v>0.3</v>
      </c>
      <c r="AT264" s="63" t="n">
        <v>0</v>
      </c>
      <c r="AU264" s="63" t="n">
        <v>0</v>
      </c>
      <c r="AV264" s="63" t="n">
        <v>0</v>
      </c>
      <c r="AW264" s="63" t="n">
        <v>0</v>
      </c>
      <c r="AX264" s="63" t="n">
        <v>0</v>
      </c>
      <c r="AY264" s="63" t="n">
        <v>0</v>
      </c>
      <c r="BB264" s="318">
        <f>SUM(C264:S264)</f>
        <v/>
      </c>
    </row>
    <row r="265">
      <c r="A265">
        <f>_DATA_Dashboard_Facts!$A$16</f>
        <v/>
      </c>
      <c r="B265" s="5">
        <f>IF($Y265=0,"",_DATA_Dashboard_Facts!$H$16)</f>
        <v/>
      </c>
      <c r="C265" s="5">
        <f t="array">IF($Y265=0,"",MIN(IF((_DATA_Assessment_Model!$H$281:$H$296&lt;&gt;"")*(_DATA_Assessment_Model!$H$281:$H$296&lt;&gt;"N/A"),_DATA_Assessment_Model!$H$281:$H$296+0)))</f>
        <v/>
      </c>
      <c r="D265" s="5">
        <f>IF(B265="","",_ENGINE_Crisis!$AH$276*B265+(1-_ENGINE_Crisis!$AH$276)*C265)</f>
        <v/>
      </c>
      <c r="E265" s="5" t="n"/>
      <c r="F265" s="5">
        <f>IF(AND(E265&lt;&gt;"",E265&lt;_ENGINE_Crisis!$AH$279),1,0)</f>
        <v/>
      </c>
      <c r="G265" s="5">
        <f>IF(B265="","",IF(F265=1,MIN(D265,_ENGINE_Crisis!$AH$280),D265))</f>
        <v/>
      </c>
      <c r="H265" s="5">
        <f>1+MIN(_ENGINE_Crisis!$AH$281,_xlfn.IFNA(VLOOKUP('Company Profile'!$B$54,_ENGINE_Crisis!$AK$276:$AL$282,2,FALSE),0))</f>
        <v/>
      </c>
      <c r="I265" s="5">
        <f>IF(B265="",0,5-G265)</f>
        <v/>
      </c>
      <c r="J265" s="5">
        <f>IF(B265="",0,MIN(5,I265*H265))</f>
        <v/>
      </c>
      <c r="K265" s="5">
        <f>SUMPRODUCT(_ENGINE_Crisis!AT$253:AT$269,$J$254:$J$270)</f>
        <v/>
      </c>
      <c r="L265" s="5">
        <f>_ENGINE_Crisis!$AH$277*K265</f>
        <v/>
      </c>
      <c r="M265" s="5">
        <f>MIN(5,J265+L265)</f>
        <v/>
      </c>
      <c r="N265" s="5">
        <f>IF(B265="","",ROUND(M265,2))</f>
        <v/>
      </c>
      <c r="O265">
        <f>IF(B265="","",IF(M265&gt;=4,"Critical",IF(M265&gt;=3,"High",IF(M265&gt;=2,"Medium",IF(M265&gt;=1,"Low","Minimal")))))</f>
        <v/>
      </c>
      <c r="P265" s="5">
        <f>IFERROR(IF(SUMIFS(_ENGINE_Crisis!$C$5:$C$208,_ENGINE_Crisis!$A$5:$A$208,'Resilience &amp; Risk Scenario'!$B$6,_ENGINE_Crisis!$B$5:$B$208,A265)=0,1,SUMIFS(_ENGINE_Crisis!$C$5:$C$208,_ENGINE_Crisis!$A$5:$A$208,'Resilience &amp; Risk Scenario'!$B$6,_ENGINE_Crisis!$B$5:$B$208,A265)),1)</f>
        <v/>
      </c>
      <c r="Q265" s="5">
        <f>MAX(0,P265-1)</f>
        <v/>
      </c>
      <c r="R265" s="5">
        <f>SUMPRODUCT(_ENGINE_Crisis!AT$253:AT$269,$Q$254:$Q$270)</f>
        <v/>
      </c>
      <c r="S265" s="5">
        <f>MIN(_ENGINE_Crisis!$AH$283,1+('Resilience &amp; Risk Scenario'!$B$7/5)*(Q265+_ENGINE_Crisis!$AH$278*R265))</f>
        <v/>
      </c>
      <c r="T265" s="5">
        <f>MIN(5,M265*S265)</f>
        <v/>
      </c>
      <c r="U265" s="5">
        <f>IF(B265="","",ROUND(T265,2))</f>
        <v/>
      </c>
      <c r="V265" s="5">
        <f>IF(B265="","",IF(T265&gt;=4,"Critical",IF(T265&gt;=3,"High",IF(T265&gt;=2,"Medium",IF(T265&gt;=1,"Low","Minimal")))))</f>
        <v/>
      </c>
      <c r="W265" s="5">
        <f>IF(B265="","",ROUND(5-M265,2))</f>
        <v/>
      </c>
      <c r="X265" s="5">
        <f>IF(B265="","",RANK(T265,$T$254:$T$270)+COUNTIF($T$254:T265,T265)-1)</f>
        <v/>
      </c>
      <c r="Y265">
        <f>SUMPRODUCT(--(_DATA_Assessment_Model!$H$281:$H$296&lt;&gt;""),--(_DATA_Assessment_Model!$H$281:$H$296&lt;&gt;"N/A"))</f>
        <v/>
      </c>
      <c r="AG265" s="62" t="inlineStr">
        <is>
          <t>IT Cloud DR</t>
        </is>
      </c>
      <c r="AI265" s="63" t="n">
        <v>0</v>
      </c>
      <c r="AJ265" s="63" t="n">
        <v>0</v>
      </c>
      <c r="AK265" s="63" t="n">
        <v>0</v>
      </c>
      <c r="AL265" s="63" t="n">
        <v>0</v>
      </c>
      <c r="AM265" s="63" t="n">
        <v>0.5</v>
      </c>
      <c r="AN265" s="63" t="n">
        <v>0</v>
      </c>
      <c r="AO265" s="63" t="n">
        <v>0</v>
      </c>
      <c r="AP265" s="63" t="n">
        <v>0.5</v>
      </c>
      <c r="AQ265" s="63" t="n">
        <v>0</v>
      </c>
      <c r="AR265" s="63" t="n">
        <v>0.5</v>
      </c>
      <c r="AS265" s="63" t="n">
        <v>0.5</v>
      </c>
      <c r="AT265" s="63" t="n">
        <v>0.3</v>
      </c>
      <c r="AU265" s="63" t="n">
        <v>0</v>
      </c>
      <c r="AV265" s="63" t="n">
        <v>0.7</v>
      </c>
      <c r="AW265" s="63" t="n">
        <v>0.6</v>
      </c>
      <c r="AX265" s="63" t="n">
        <v>0</v>
      </c>
      <c r="AY265" s="63" t="n">
        <v>0.3</v>
      </c>
      <c r="BB265" s="318">
        <f>SUM(C265:S265)</f>
        <v/>
      </c>
    </row>
    <row r="266">
      <c r="A266">
        <f>_DATA_Dashboard_Facts!$A$17</f>
        <v/>
      </c>
      <c r="B266" s="5">
        <f>IF($Y266=0,"",_DATA_Dashboard_Facts!$H$17)</f>
        <v/>
      </c>
      <c r="C266" s="5">
        <f t="array">IF($Y266=0,"",MIN(IF((_DATA_Assessment_Model!$H$297:$H$324&lt;&gt;"")*(_DATA_Assessment_Model!$H$297:$H$324&lt;&gt;"N/A"),_DATA_Assessment_Model!$H$297:$H$324+0)))</f>
        <v/>
      </c>
      <c r="D266" s="5">
        <f>IF(B266="","",_ENGINE_Crisis!$AH$276*B266+(1-_ENGINE_Crisis!$AH$276)*C266)</f>
        <v/>
      </c>
      <c r="E266" s="5">
        <f>IF(COUNT(AA266:AB266)=0,"",MIN(AA266:AB266))</f>
        <v/>
      </c>
      <c r="F266" s="5">
        <f>IF(AND(E266&lt;&gt;"",E266&lt;_ENGINE_Crisis!$AH$279),1,0)</f>
        <v/>
      </c>
      <c r="G266" s="5">
        <f>IF(B266="","",IF(F266=1,MIN(D266,_ENGINE_Crisis!$AH$280),D266))</f>
        <v/>
      </c>
      <c r="H266" s="5">
        <f>1</f>
        <v/>
      </c>
      <c r="I266" s="5">
        <f>IF(B266="",0,5-G266)</f>
        <v/>
      </c>
      <c r="J266" s="5">
        <f>IF(B266="",0,MIN(5,I266*H266))</f>
        <v/>
      </c>
      <c r="K266" s="5">
        <f>SUMPRODUCT(_ENGINE_Crisis!AU$253:AU$269,$J$254:$J$270)</f>
        <v/>
      </c>
      <c r="L266" s="5">
        <f>_ENGINE_Crisis!$AH$277*K266</f>
        <v/>
      </c>
      <c r="M266" s="5">
        <f>MIN(5,J266+L266)</f>
        <v/>
      </c>
      <c r="N266" s="5">
        <f>IF(B266="","",ROUND(M266,2))</f>
        <v/>
      </c>
      <c r="O266">
        <f>IF(B266="","",IF(M266&gt;=4,"Critical",IF(M266&gt;=3,"High",IF(M266&gt;=2,"Medium",IF(M266&gt;=1,"Low","Minimal")))))</f>
        <v/>
      </c>
      <c r="P266" s="5">
        <f>IFERROR(IF(SUMIFS(_ENGINE_Crisis!$C$5:$C$208,_ENGINE_Crisis!$A$5:$A$208,'Resilience &amp; Risk Scenario'!$B$6,_ENGINE_Crisis!$B$5:$B$208,A266)=0,1,SUMIFS(_ENGINE_Crisis!$C$5:$C$208,_ENGINE_Crisis!$A$5:$A$208,'Resilience &amp; Risk Scenario'!$B$6,_ENGINE_Crisis!$B$5:$B$208,A266)),1)</f>
        <v/>
      </c>
      <c r="Q266" s="5">
        <f>MAX(0,P266-1)</f>
        <v/>
      </c>
      <c r="R266" s="5">
        <f>SUMPRODUCT(_ENGINE_Crisis!AU$253:AU$269,$Q$254:$Q$270)</f>
        <v/>
      </c>
      <c r="S266" s="5">
        <f>MIN(_ENGINE_Crisis!$AH$283,1+('Resilience &amp; Risk Scenario'!$B$7/5)*(Q266+_ENGINE_Crisis!$AH$278*R266))</f>
        <v/>
      </c>
      <c r="T266" s="5">
        <f>MIN(5,M266*S266)</f>
        <v/>
      </c>
      <c r="U266" s="5">
        <f>IF(B266="","",ROUND(T266,2))</f>
        <v/>
      </c>
      <c r="V266" s="5">
        <f>IF(B266="","",IF(T266&gt;=4,"Critical",IF(T266&gt;=3,"High",IF(T266&gt;=2,"Medium",IF(T266&gt;=1,"Low","Minimal")))))</f>
        <v/>
      </c>
      <c r="W266" s="5">
        <f>IF(B266="","",ROUND(5-M266,2))</f>
        <v/>
      </c>
      <c r="X266" s="5">
        <f>IF(B266="","",RANK(T266,$T$254:$T$270)+COUNTIF($T$254:T266,T266)-1)</f>
        <v/>
      </c>
      <c r="Y266">
        <f>SUMPRODUCT(--(_DATA_Assessment_Model!$H$297:$H$324&lt;&gt;""),--(_DATA_Assessment_Model!$H$297:$H$324&lt;&gt;"N/A"))</f>
        <v/>
      </c>
      <c r="AA266">
        <f>IF(OR(_DATA_Assessment_Model!H309="",_DATA_Assessment_Model!H309="N/A"),"",_DATA_Assessment_Model!H309+0)</f>
        <v/>
      </c>
      <c r="AB266">
        <f>IF(OR(_DATA_Assessment_Model!H310="",_DATA_Assessment_Model!H310="N/A"),"",_DATA_Assessment_Model!H310+0)</f>
        <v/>
      </c>
      <c r="AG266" s="62" t="inlineStr">
        <is>
          <t>Business Systems</t>
        </is>
      </c>
      <c r="AI266" s="63" t="n">
        <v>0</v>
      </c>
      <c r="AJ266" s="63" t="n">
        <v>0</v>
      </c>
      <c r="AK266" s="63" t="n">
        <v>0</v>
      </c>
      <c r="AL266" s="63" t="n">
        <v>0</v>
      </c>
      <c r="AM266" s="63" t="n">
        <v>0.5</v>
      </c>
      <c r="AN266" s="63" t="n">
        <v>0</v>
      </c>
      <c r="AO266" s="63" t="n">
        <v>0</v>
      </c>
      <c r="AP266" s="63" t="n">
        <v>0.5</v>
      </c>
      <c r="AQ266" s="63" t="n">
        <v>0.4</v>
      </c>
      <c r="AR266" s="63" t="n">
        <v>0.4</v>
      </c>
      <c r="AS266" s="63" t="n">
        <v>0.4</v>
      </c>
      <c r="AT266" s="63" t="n">
        <v>0</v>
      </c>
      <c r="AU266" s="63" t="n">
        <v>0</v>
      </c>
      <c r="AV266" s="63" t="n">
        <v>0</v>
      </c>
      <c r="AW266" s="63" t="n">
        <v>0.5</v>
      </c>
      <c r="AX266" s="63" t="n">
        <v>0</v>
      </c>
      <c r="AY266" s="63" t="n">
        <v>0</v>
      </c>
      <c r="BB266" s="318">
        <f>SUM(C266:S266)</f>
        <v/>
      </c>
    </row>
    <row r="267">
      <c r="A267">
        <f>_DATA_Dashboard_Facts!$A$18</f>
        <v/>
      </c>
      <c r="B267" s="5">
        <f>IF($Y267=0,"",_DATA_Dashboard_Facts!$H$18)</f>
        <v/>
      </c>
      <c r="C267" s="5">
        <f t="array">IF($Y267=0,"",MIN(IF((_DATA_Assessment_Model!$H$325:$H$345&lt;&gt;"")*(_DATA_Assessment_Model!$H$325:$H$345&lt;&gt;"N/A"),_DATA_Assessment_Model!$H$325:$H$345+0)))</f>
        <v/>
      </c>
      <c r="D267" s="5">
        <f>IF(B267="","",_ENGINE_Crisis!$AH$276*B267+(1-_ENGINE_Crisis!$AH$276)*C267)</f>
        <v/>
      </c>
      <c r="E267" s="5" t="n"/>
      <c r="F267" s="5">
        <f>IF(AND(E267&lt;&gt;"",E267&lt;_ENGINE_Crisis!$AH$279),1,0)</f>
        <v/>
      </c>
      <c r="G267" s="5">
        <f>IF(B267="","",IF(F267=1,MIN(D267,_ENGINE_Crisis!$AH$280),D267))</f>
        <v/>
      </c>
      <c r="H267" s="5">
        <f>1</f>
        <v/>
      </c>
      <c r="I267" s="5">
        <f>IF(B267="",0,5-G267)</f>
        <v/>
      </c>
      <c r="J267" s="5">
        <f>IF(B267="",0,MIN(5,I267*H267))</f>
        <v/>
      </c>
      <c r="K267" s="5">
        <f>SUMPRODUCT(_ENGINE_Crisis!AV$253:AV$269,$J$254:$J$270)</f>
        <v/>
      </c>
      <c r="L267" s="5">
        <f>_ENGINE_Crisis!$AH$277*K267</f>
        <v/>
      </c>
      <c r="M267" s="5">
        <f>MIN(5,J267+L267)</f>
        <v/>
      </c>
      <c r="N267" s="5">
        <f>IF(B267="","",ROUND(M267,2))</f>
        <v/>
      </c>
      <c r="O267">
        <f>IF(B267="","",IF(M267&gt;=4,"Critical",IF(M267&gt;=3,"High",IF(M267&gt;=2,"Medium",IF(M267&gt;=1,"Low","Minimal")))))</f>
        <v/>
      </c>
      <c r="P267" s="5">
        <f>IFERROR(IF(SUMIFS(_ENGINE_Crisis!$C$5:$C$208,_ENGINE_Crisis!$A$5:$A$208,'Resilience &amp; Risk Scenario'!$B$6,_ENGINE_Crisis!$B$5:$B$208,A267)=0,1,SUMIFS(_ENGINE_Crisis!$C$5:$C$208,_ENGINE_Crisis!$A$5:$A$208,'Resilience &amp; Risk Scenario'!$B$6,_ENGINE_Crisis!$B$5:$B$208,A267)),1)</f>
        <v/>
      </c>
      <c r="Q267" s="5">
        <f>MAX(0,P267-1)</f>
        <v/>
      </c>
      <c r="R267" s="5">
        <f>SUMPRODUCT(_ENGINE_Crisis!AV$253:AV$269,$Q$254:$Q$270)</f>
        <v/>
      </c>
      <c r="S267" s="5">
        <f>MIN(_ENGINE_Crisis!$AH$283,1+('Resilience &amp; Risk Scenario'!$B$7/5)*(Q267+_ENGINE_Crisis!$AH$278*R267))</f>
        <v/>
      </c>
      <c r="T267" s="5">
        <f>MIN(5,M267*S267)</f>
        <v/>
      </c>
      <c r="U267" s="5">
        <f>IF(B267="","",ROUND(T267,2))</f>
        <v/>
      </c>
      <c r="V267" s="5">
        <f>IF(B267="","",IF(T267&gt;=4,"Critical",IF(T267&gt;=3,"High",IF(T267&gt;=2,"Medium",IF(T267&gt;=1,"Low","Minimal")))))</f>
        <v/>
      </c>
      <c r="W267" s="5">
        <f>IF(B267="","",ROUND(5-M267,2))</f>
        <v/>
      </c>
      <c r="X267" s="5">
        <f>IF(B267="","",RANK(T267,$T$254:$T$270)+COUNTIF($T$254:T267,T267)-1)</f>
        <v/>
      </c>
      <c r="Y267">
        <f>SUMPRODUCT(--(_DATA_Assessment_Model!$H$325:$H$345&lt;&gt;""),--(_DATA_Assessment_Model!$H$325:$H$345&lt;&gt;"N/A"))</f>
        <v/>
      </c>
      <c r="AG267" s="62" t="inlineStr">
        <is>
          <t>Data BI AI</t>
        </is>
      </c>
      <c r="AI267" s="63" t="n">
        <v>0</v>
      </c>
      <c r="AJ267" s="63" t="n">
        <v>0.3</v>
      </c>
      <c r="AK267" s="63" t="n">
        <v>0.4</v>
      </c>
      <c r="AL267" s="63" t="n">
        <v>0</v>
      </c>
      <c r="AM267" s="63" t="n">
        <v>0.3</v>
      </c>
      <c r="AN267" s="63" t="n">
        <v>0</v>
      </c>
      <c r="AO267" s="63" t="n">
        <v>0</v>
      </c>
      <c r="AP267" s="63" t="n">
        <v>0</v>
      </c>
      <c r="AQ267" s="63" t="n">
        <v>0</v>
      </c>
      <c r="AR267" s="63" t="n">
        <v>0</v>
      </c>
      <c r="AS267" s="63" t="n">
        <v>0.3</v>
      </c>
      <c r="AT267" s="63" t="n">
        <v>0</v>
      </c>
      <c r="AU267" s="63" t="n">
        <v>0</v>
      </c>
      <c r="AV267" s="63" t="n">
        <v>0</v>
      </c>
      <c r="AW267" s="63" t="n">
        <v>0</v>
      </c>
      <c r="AX267" s="63" t="n">
        <v>0</v>
      </c>
      <c r="AY267" s="63" t="n">
        <v>0.3</v>
      </c>
      <c r="BB267" s="318">
        <f>SUM(C267:S267)</f>
        <v/>
      </c>
    </row>
    <row r="268">
      <c r="A268">
        <f>_DATA_Dashboard_Facts!$A$19</f>
        <v/>
      </c>
      <c r="B268" s="5">
        <f>IF($Y268=0,"",_DATA_Dashboard_Facts!$H$19)</f>
        <v/>
      </c>
      <c r="C268" s="5">
        <f t="array">IF($Y268=0,"",MIN(IF((_DATA_Assessment_Model!$H$346:$H$372&lt;&gt;"")*(_DATA_Assessment_Model!$H$346:$H$372&lt;&gt;"N/A"),_DATA_Assessment_Model!$H$346:$H$372+0)))</f>
        <v/>
      </c>
      <c r="D268" s="5">
        <f>IF(B268="","",_ENGINE_Crisis!$AH$276*B268+(1-_ENGINE_Crisis!$AH$276)*C268)</f>
        <v/>
      </c>
      <c r="E268" s="5">
        <f>IF(COUNT(AA268:AA268)=0,"",MIN(AA268:AA268))</f>
        <v/>
      </c>
      <c r="F268" s="5">
        <f>IF(AND(E268&lt;&gt;"",E268&lt;_ENGINE_Crisis!$AH$279),1,0)</f>
        <v/>
      </c>
      <c r="G268" s="5">
        <f>IF(B268="","",IF(F268=1,MIN(D268,_ENGINE_Crisis!$AH$280),D268))</f>
        <v/>
      </c>
      <c r="H268" s="5">
        <f>1</f>
        <v/>
      </c>
      <c r="I268" s="5">
        <f>IF(B268="",0,5-G268)</f>
        <v/>
      </c>
      <c r="J268" s="5">
        <f>IF(B268="",0,MIN(5,I268*H268))</f>
        <v/>
      </c>
      <c r="K268" s="5">
        <f>SUMPRODUCT(_ENGINE_Crisis!AW$253:AW$269,$J$254:$J$270)</f>
        <v/>
      </c>
      <c r="L268" s="5">
        <f>_ENGINE_Crisis!$AH$277*K268</f>
        <v/>
      </c>
      <c r="M268" s="5">
        <f>MIN(5,J268+L268)</f>
        <v/>
      </c>
      <c r="N268" s="5">
        <f>IF(B268="","",ROUND(M268,2))</f>
        <v/>
      </c>
      <c r="O268">
        <f>IF(B268="","",IF(M268&gt;=4,"Critical",IF(M268&gt;=3,"High",IF(M268&gt;=2,"Medium",IF(M268&gt;=1,"Low","Minimal")))))</f>
        <v/>
      </c>
      <c r="P268" s="5">
        <f>IFERROR(IF(SUMIFS(_ENGINE_Crisis!$C$5:$C$208,_ENGINE_Crisis!$A$5:$A$208,'Resilience &amp; Risk Scenario'!$B$6,_ENGINE_Crisis!$B$5:$B$208,A268)=0,1,SUMIFS(_ENGINE_Crisis!$C$5:$C$208,_ENGINE_Crisis!$A$5:$A$208,'Resilience &amp; Risk Scenario'!$B$6,_ENGINE_Crisis!$B$5:$B$208,A268)),1)</f>
        <v/>
      </c>
      <c r="Q268" s="5">
        <f>MAX(0,P268-1)</f>
        <v/>
      </c>
      <c r="R268" s="5">
        <f>SUMPRODUCT(_ENGINE_Crisis!AW$253:AW$269,$Q$254:$Q$270)</f>
        <v/>
      </c>
      <c r="S268" s="5">
        <f>MIN(_ENGINE_Crisis!$AH$283,1+('Resilience &amp; Risk Scenario'!$B$7/5)*(Q268+_ENGINE_Crisis!$AH$278*R268))</f>
        <v/>
      </c>
      <c r="T268" s="5">
        <f>MIN(5,M268*S268)</f>
        <v/>
      </c>
      <c r="U268" s="5">
        <f>IF(B268="","",ROUND(T268,2))</f>
        <v/>
      </c>
      <c r="V268" s="5">
        <f>IF(B268="","",IF(T268&gt;=4,"Critical",IF(T268&gt;=3,"High",IF(T268&gt;=2,"Medium",IF(T268&gt;=1,"Low","Minimal")))))</f>
        <v/>
      </c>
      <c r="W268" s="5">
        <f>IF(B268="","",ROUND(5-M268,2))</f>
        <v/>
      </c>
      <c r="X268" s="5">
        <f>IF(B268="","",RANK(T268,$T$254:$T$270)+COUNTIF($T$254:T268,T268)-1)</f>
        <v/>
      </c>
      <c r="Y268">
        <f>SUMPRODUCT(--(_DATA_Assessment_Model!$H$346:$H$372&lt;&gt;""),--(_DATA_Assessment_Model!$H$346:$H$372&lt;&gt;"N/A"))</f>
        <v/>
      </c>
      <c r="AA268">
        <f>IF(OR(_DATA_Assessment_Model!H355="",_DATA_Assessment_Model!H355="N/A"),"",_DATA_Assessment_Model!H355+0)</f>
        <v/>
      </c>
      <c r="AG268" s="62" t="inlineStr">
        <is>
          <t>Cyber Privacy</t>
        </is>
      </c>
      <c r="AI268" s="63" t="n">
        <v>0</v>
      </c>
      <c r="AJ268" s="63" t="n">
        <v>0</v>
      </c>
      <c r="AK268" s="63" t="n">
        <v>0</v>
      </c>
      <c r="AL268" s="63" t="n">
        <v>0</v>
      </c>
      <c r="AM268" s="63" t="n">
        <v>0.3</v>
      </c>
      <c r="AN268" s="63" t="n">
        <v>0.4</v>
      </c>
      <c r="AO268" s="63" t="n">
        <v>0</v>
      </c>
      <c r="AP268" s="63" t="n">
        <v>0.3</v>
      </c>
      <c r="AQ268" s="63" t="n">
        <v>0</v>
      </c>
      <c r="AR268" s="63" t="n">
        <v>0.4</v>
      </c>
      <c r="AS268" s="63" t="n">
        <v>0.3</v>
      </c>
      <c r="AT268" s="63" t="n">
        <v>0</v>
      </c>
      <c r="AU268" s="63" t="n">
        <v>0.6</v>
      </c>
      <c r="AV268" s="63" t="n">
        <v>0.5</v>
      </c>
      <c r="AW268" s="63" t="n">
        <v>0.5</v>
      </c>
      <c r="AX268" s="63" t="n">
        <v>0</v>
      </c>
      <c r="AY268" s="63" t="n">
        <v>0</v>
      </c>
      <c r="BB268" s="318">
        <f>SUM(C268:S268)</f>
        <v/>
      </c>
    </row>
    <row r="269">
      <c r="A269">
        <f>_DATA_Dashboard_Facts!$A$20</f>
        <v/>
      </c>
      <c r="B269" s="5">
        <f>IF($Y269=0,"",_DATA_Dashboard_Facts!$H$20)</f>
        <v/>
      </c>
      <c r="C269" s="5">
        <f t="array">IF($Y269=0,"",MIN(IF((_DATA_Assessment_Model!$H$373:$H$406&lt;&gt;"")*(_DATA_Assessment_Model!$H$373:$H$406&lt;&gt;"N/A"),_DATA_Assessment_Model!$H$373:$H$406+0)))</f>
        <v/>
      </c>
      <c r="D269" s="5">
        <f>IF(B269="","",_ENGINE_Crisis!$AH$276*B269+(1-_ENGINE_Crisis!$AH$276)*C269)</f>
        <v/>
      </c>
      <c r="E269" s="5">
        <f>IF(COUNT(AA269:AC269)=0,"",MIN(AA269:AC269))</f>
        <v/>
      </c>
      <c r="F269" s="5">
        <f>IF(AND(E269&lt;&gt;"",E269&lt;_ENGINE_Crisis!$AH$279),1,0)</f>
        <v/>
      </c>
      <c r="G269" s="5">
        <f>IF(B269="","",IF(F269=1,MIN(D269,_ENGINE_Crisis!$AH$280),D269))</f>
        <v/>
      </c>
      <c r="H269" s="5">
        <f>1</f>
        <v/>
      </c>
      <c r="I269" s="5">
        <f>IF(B269="",0,5-G269)</f>
        <v/>
      </c>
      <c r="J269" s="5">
        <f>IF(B269="",0,MIN(5,I269*H269))</f>
        <v/>
      </c>
      <c r="K269" s="5">
        <f>SUMPRODUCT(_ENGINE_Crisis!AX$253:AX$269,$J$254:$J$270)</f>
        <v/>
      </c>
      <c r="L269" s="5">
        <f>_ENGINE_Crisis!$AH$277*K269</f>
        <v/>
      </c>
      <c r="M269" s="5">
        <f>MIN(5,J269+L269)</f>
        <v/>
      </c>
      <c r="N269" s="5">
        <f>IF(B269="","",ROUND(M269,2))</f>
        <v/>
      </c>
      <c r="O269">
        <f>IF(B269="","",IF(M269&gt;=4,"Critical",IF(M269&gt;=3,"High",IF(M269&gt;=2,"Medium",IF(M269&gt;=1,"Low","Minimal")))))</f>
        <v/>
      </c>
      <c r="P269" s="5">
        <f>IFERROR(IF(SUMIFS(_ENGINE_Crisis!$C$5:$C$208,_ENGINE_Crisis!$A$5:$A$208,'Resilience &amp; Risk Scenario'!$B$6,_ENGINE_Crisis!$B$5:$B$208,A269)=0,1,SUMIFS(_ENGINE_Crisis!$C$5:$C$208,_ENGINE_Crisis!$A$5:$A$208,'Resilience &amp; Risk Scenario'!$B$6,_ENGINE_Crisis!$B$5:$B$208,A269)),1)</f>
        <v/>
      </c>
      <c r="Q269" s="5">
        <f>MAX(0,P269-1)</f>
        <v/>
      </c>
      <c r="R269" s="5">
        <f>SUMPRODUCT(_ENGINE_Crisis!AX$253:AX$269,$Q$254:$Q$270)</f>
        <v/>
      </c>
      <c r="S269" s="5">
        <f>MIN(_ENGINE_Crisis!$AH$283,1+('Resilience &amp; Risk Scenario'!$B$7/5)*(Q269+_ENGINE_Crisis!$AH$278*R269))</f>
        <v/>
      </c>
      <c r="T269" s="5">
        <f>MIN(5,M269*S269)</f>
        <v/>
      </c>
      <c r="U269" s="5">
        <f>IF(B269="","",ROUND(T269,2))</f>
        <v/>
      </c>
      <c r="V269" s="5">
        <f>IF(B269="","",IF(T269&gt;=4,"Critical",IF(T269&gt;=3,"High",IF(T269&gt;=2,"Medium",IF(T269&gt;=1,"Low","Minimal")))))</f>
        <v/>
      </c>
      <c r="W269" s="5">
        <f>IF(B269="","",ROUND(5-M269,2))</f>
        <v/>
      </c>
      <c r="X269" s="5">
        <f>IF(B269="","",RANK(T269,$T$254:$T$270)+COUNTIF($T$254:T269,T269)-1)</f>
        <v/>
      </c>
      <c r="Y269">
        <f>SUMPRODUCT(--(_DATA_Assessment_Model!$H$373:$H$406&lt;&gt;""),--(_DATA_Assessment_Model!$H$373:$H$406&lt;&gt;"N/A"))</f>
        <v/>
      </c>
      <c r="AA269">
        <f>IF(OR(_DATA_Assessment_Model!H380="",_DATA_Assessment_Model!H380="N/A"),"",_DATA_Assessment_Model!H380+0)</f>
        <v/>
      </c>
      <c r="AB269">
        <f>IF(OR(_DATA_Assessment_Model!H395="",_DATA_Assessment_Model!H395="N/A"),"",_DATA_Assessment_Model!H395+0)</f>
        <v/>
      </c>
      <c r="AC269">
        <f>IF(OR(_DATA_Assessment_Model!H398="",_DATA_Assessment_Model!H398="N/A"),"",_DATA_Assessment_Model!H398+0)</f>
        <v/>
      </c>
      <c r="AG269" s="62" t="inlineStr">
        <is>
          <t>Quality Portfolio</t>
        </is>
      </c>
      <c r="AI269" s="63" t="n">
        <v>0</v>
      </c>
      <c r="AJ269" s="63" t="n">
        <v>0</v>
      </c>
      <c r="AK269" s="63" t="n">
        <v>0</v>
      </c>
      <c r="AL269" s="63" t="n">
        <v>0</v>
      </c>
      <c r="AM269" s="63" t="n">
        <v>0</v>
      </c>
      <c r="AN269" s="63" t="n">
        <v>0</v>
      </c>
      <c r="AO269" s="63" t="n">
        <v>0</v>
      </c>
      <c r="AP269" s="63" t="n">
        <v>0.3</v>
      </c>
      <c r="AQ269" s="63" t="n">
        <v>0</v>
      </c>
      <c r="AR269" s="63" t="n">
        <v>0.3</v>
      </c>
      <c r="AS269" s="63" t="n">
        <v>0.3</v>
      </c>
      <c r="AT269" s="63" t="n">
        <v>0</v>
      </c>
      <c r="AU269" s="63" t="n">
        <v>0</v>
      </c>
      <c r="AV269" s="63" t="n">
        <v>0</v>
      </c>
      <c r="AW269" s="63" t="n">
        <v>0</v>
      </c>
      <c r="AX269" s="63" t="n">
        <v>0</v>
      </c>
      <c r="AY269" s="63" t="n">
        <v>0</v>
      </c>
      <c r="BB269" s="318">
        <f>SUM(C269:S269)</f>
        <v/>
      </c>
    </row>
    <row r="270">
      <c r="A270">
        <f>_DATA_Dashboard_Facts!$A$21</f>
        <v/>
      </c>
      <c r="B270" s="5">
        <f>IF($Y270=0,"",_DATA_Dashboard_Facts!$H$21)</f>
        <v/>
      </c>
      <c r="C270" s="5">
        <f t="array">IF($Y270=0,"",MIN(IF((_DATA_Assessment_Model!$H$407:$H$428&lt;&gt;"")*(_DATA_Assessment_Model!$H$407:$H$428&lt;&gt;"N/A"),_DATA_Assessment_Model!$H$407:$H$428+0)))</f>
        <v/>
      </c>
      <c r="D270" s="5">
        <f>IF(B270="","",_ENGINE_Crisis!$AH$276*B270+(1-_ENGINE_Crisis!$AH$276)*C270)</f>
        <v/>
      </c>
      <c r="E270" s="5" t="n"/>
      <c r="F270" s="5">
        <f>IF(AND(E270&lt;&gt;"",E270&lt;_ENGINE_Crisis!$AH$279),1,0)</f>
        <v/>
      </c>
      <c r="G270" s="5">
        <f>IF(B270="","",IF(F270=1,MIN(D270,_ENGINE_Crisis!$AH$280),D270))</f>
        <v/>
      </c>
      <c r="H270" s="5">
        <f>1</f>
        <v/>
      </c>
      <c r="I270" s="5">
        <f>IF(B270="",0,5-G270)</f>
        <v/>
      </c>
      <c r="J270" s="5">
        <f>IF(B270="",0,MIN(5,I270*H270))</f>
        <v/>
      </c>
      <c r="K270" s="5">
        <f>SUMPRODUCT(_ENGINE_Crisis!AY$253:AY$269,$J$254:$J$270)</f>
        <v/>
      </c>
      <c r="L270" s="5">
        <f>_ENGINE_Crisis!$AH$277*K270</f>
        <v/>
      </c>
      <c r="M270" s="5">
        <f>MIN(5,J270+L270)</f>
        <v/>
      </c>
      <c r="N270" s="5">
        <f>IF(B270="","",ROUND(M270,2))</f>
        <v/>
      </c>
      <c r="O270">
        <f>IF(B270="","",IF(M270&gt;=4,"Critical",IF(M270&gt;=3,"High",IF(M270&gt;=2,"Medium",IF(M270&gt;=1,"Low","Minimal")))))</f>
        <v/>
      </c>
      <c r="P270" s="5">
        <f>IFERROR(IF(SUMIFS(_ENGINE_Crisis!$C$5:$C$208,_ENGINE_Crisis!$A$5:$A$208,'Resilience &amp; Risk Scenario'!$B$6,_ENGINE_Crisis!$B$5:$B$208,A270)=0,1,SUMIFS(_ENGINE_Crisis!$C$5:$C$208,_ENGINE_Crisis!$A$5:$A$208,'Resilience &amp; Risk Scenario'!$B$6,_ENGINE_Crisis!$B$5:$B$208,A270)),1)</f>
        <v/>
      </c>
      <c r="Q270" s="5">
        <f>MAX(0,P270-1)</f>
        <v/>
      </c>
      <c r="R270" s="5">
        <f>SUMPRODUCT(_ENGINE_Crisis!AY$253:AY$269,$Q$254:$Q$270)</f>
        <v/>
      </c>
      <c r="S270" s="5">
        <f>MIN(_ENGINE_Crisis!$AH$283,1+('Resilience &amp; Risk Scenario'!$B$7/5)*(Q270+_ENGINE_Crisis!$AH$278*R270))</f>
        <v/>
      </c>
      <c r="T270" s="5">
        <f>MIN(5,M270*S270)</f>
        <v/>
      </c>
      <c r="U270" s="5">
        <f>IF(B270="","",ROUND(T270,2))</f>
        <v/>
      </c>
      <c r="V270" s="5">
        <f>IF(B270="","",IF(T270&gt;=4,"Critical",IF(T270&gt;=3,"High",IF(T270&gt;=2,"Medium",IF(T270&gt;=1,"Low","Minimal")))))</f>
        <v/>
      </c>
      <c r="W270" s="5">
        <f>IF(B270="","",ROUND(5-M270,2))</f>
        <v/>
      </c>
      <c r="X270" s="5">
        <f>IF(B270="","",RANK(T270,$T$254:$T$270)+COUNTIF($T$254:T270,T270)-1)</f>
        <v/>
      </c>
      <c r="Y270">
        <f>SUMPRODUCT(--(_DATA_Assessment_Model!$H$407:$H$428&lt;&gt;""),--(_DATA_Assessment_Model!$H$407:$H$428&lt;&gt;"N/A"))</f>
        <v/>
      </c>
      <c r="AG270" s="319" t="inlineStr">
        <is>
          <t>Inbound (exposed)</t>
        </is>
      </c>
      <c r="AI270" s="318">
        <f>SUM(C253:C269)</f>
        <v/>
      </c>
      <c r="AJ270" s="318">
        <f>SUM(D253:D269)</f>
        <v/>
      </c>
      <c r="AK270" s="318">
        <f>SUM(E253:E269)</f>
        <v/>
      </c>
      <c r="AL270" s="318">
        <f>SUM(F253:F269)</f>
        <v/>
      </c>
      <c r="AM270" s="318">
        <f>SUM(G253:G269)</f>
        <v/>
      </c>
      <c r="AN270" s="318">
        <f>SUM(H253:H269)</f>
        <v/>
      </c>
      <c r="AO270" s="318">
        <f>SUM(I253:I269)</f>
        <v/>
      </c>
      <c r="AP270" s="318">
        <f>SUM(J253:J269)</f>
        <v/>
      </c>
      <c r="AQ270" s="318">
        <f>SUM(K253:K269)</f>
        <v/>
      </c>
      <c r="AR270" s="318">
        <f>SUM(L253:L269)</f>
        <v/>
      </c>
      <c r="AS270" s="318">
        <f>SUM(M253:M269)</f>
        <v/>
      </c>
      <c r="AT270" s="318">
        <f>SUM(N253:N269)</f>
        <v/>
      </c>
      <c r="AU270" s="318">
        <f>SUM(O253:O269)</f>
        <v/>
      </c>
      <c r="AV270" s="318">
        <f>SUM(P253:P269)</f>
        <v/>
      </c>
      <c r="AW270" s="318">
        <f>SUM(Q253:Q269)</f>
        <v/>
      </c>
      <c r="AX270" s="318">
        <f>SUM(R253:R269)</f>
        <v/>
      </c>
      <c r="AY270" s="318">
        <f>SUM(S253:S269)</f>
        <v/>
      </c>
    </row>
    <row r="272" ht="15" customHeight="1" s="209">
      <c r="A272" s="65" t="inlineStr">
        <is>
          <t>Org base maturity (0-5)</t>
        </is>
      </c>
      <c r="B272">
        <f>IFERROR(AVERAGE(B254:B270),"")</f>
        <v/>
      </c>
    </row>
    <row r="273" ht="15" customHeight="1" s="209">
      <c r="A273" s="65" t="inlineStr">
        <is>
          <t>Org weak-link maturity avg</t>
        </is>
      </c>
      <c r="B273">
        <f>IFERROR(AVERAGE(G254:G270),"")</f>
        <v/>
      </c>
    </row>
    <row r="274" ht="15" customHeight="1" s="209">
      <c r="A274" s="65" t="inlineStr">
        <is>
          <t>Org weakest domain (min gated)</t>
        </is>
      </c>
      <c r="B274">
        <f>IFERROR(MIN(G254:G270),"")</f>
        <v/>
      </c>
      <c r="AG274" s="320" t="inlineStr">
        <is>
          <t>PARAMETERS (editable)</t>
        </is>
      </c>
      <c r="AK274" s="320" t="inlineStr">
        <is>
          <t>LOOKUP TABLES (band -&gt; SPOF factor)</t>
        </is>
      </c>
    </row>
    <row r="275" ht="15" customHeight="1" s="209">
      <c r="A275" s="65" t="inlineStr">
        <is>
          <t>Org effective resilience</t>
        </is>
      </c>
      <c r="B275">
        <f>IFERROR(_ENGINE_Crisis!$AH$282*B273+(1-_ENGINE_Crisis!$AH$282)*B274,"")</f>
        <v/>
      </c>
      <c r="AG275" s="321" t="inlineStr">
        <is>
          <t>Parameter</t>
        </is>
      </c>
      <c r="AH275" s="321" t="inlineStr">
        <is>
          <t>Value</t>
        </is>
      </c>
      <c r="AI275" s="321" t="inlineStr">
        <is>
          <t>Description</t>
        </is>
      </c>
      <c r="AK275" t="inlineStr">
        <is>
          <t>Concentration band</t>
        </is>
      </c>
      <c r="AL275" t="inlineStr">
        <is>
          <t>Factor</t>
        </is>
      </c>
      <c r="AN275" t="inlineStr">
        <is>
          <t>Workforce share band</t>
        </is>
      </c>
      <c r="AO275" t="inlineStr">
        <is>
          <t>Factor</t>
        </is>
      </c>
      <c r="AQ275" t="inlineStr">
        <is>
          <t>Supplier substitutability</t>
        </is>
      </c>
      <c r="AR275" t="inlineStr">
        <is>
          <t>Factor</t>
        </is>
      </c>
    </row>
    <row r="276" ht="15" customHeight="1" s="209">
      <c r="A276" s="65" t="inlineStr">
        <is>
          <t>Peak effective risk</t>
        </is>
      </c>
      <c r="B276">
        <f>IFERROR(MAX(N254:N270),"")</f>
        <v/>
      </c>
      <c r="AG276" t="inlineStr">
        <is>
          <t>alpha_weaklink</t>
        </is>
      </c>
      <c r="AH276" s="322" t="n">
        <v>0.65</v>
      </c>
      <c r="AI276" s="323" t="inlineStr">
        <is>
          <t>Weak-link blend: effective maturity = a*avg + (1-a)*weakest control</t>
        </is>
      </c>
      <c r="AK276" t="inlineStr">
        <is>
          <t>&lt;10%</t>
        </is>
      </c>
      <c r="AL276" t="n">
        <v>0</v>
      </c>
      <c r="AN276" t="inlineStr">
        <is>
          <t>&lt;25%</t>
        </is>
      </c>
      <c r="AO276" t="n">
        <v>0.05</v>
      </c>
      <c r="AQ276" t="inlineStr">
        <is>
          <t>Multiple qualified alternatives</t>
        </is>
      </c>
      <c r="AR276" t="n">
        <v>0</v>
      </c>
    </row>
    <row r="277" ht="15" customHeight="1" s="209">
      <c r="A277" s="65" t="inlineStr">
        <is>
          <t># Critical risk domains</t>
        </is>
      </c>
      <c r="B277">
        <f>COUNTIF(O254:O270,"Critical")</f>
        <v/>
      </c>
      <c r="AG277" t="inlineStr">
        <is>
          <t>beta_cascade</t>
        </is>
      </c>
      <c r="AH277" s="322" t="n">
        <v>0.35</v>
      </c>
      <c r="AI277" s="323" t="inlineStr">
        <is>
          <t>Cascade gain: inbound risk added = beta * sum(coupling * source risk)</t>
        </is>
      </c>
      <c r="AK277" t="inlineStr">
        <is>
          <t>10-25%</t>
        </is>
      </c>
      <c r="AL277" t="n">
        <v>0.1</v>
      </c>
      <c r="AN277" t="inlineStr">
        <is>
          <t>25-50%</t>
        </is>
      </c>
      <c r="AO277" t="n">
        <v>0.2</v>
      </c>
      <c r="AQ277" t="inlineStr">
        <is>
          <t>Some alternatives identified</t>
        </is>
      </c>
      <c r="AR277" t="n">
        <v>0.1</v>
      </c>
    </row>
    <row r="278" ht="15" customHeight="1" s="209">
      <c r="A278" s="65" t="inlineStr">
        <is>
          <t># High risk domains</t>
        </is>
      </c>
      <c r="B278">
        <f>COUNTIF(O254:O270,"High")</f>
        <v/>
      </c>
      <c r="AG278" t="inlineStr">
        <is>
          <t>gamma_scenario</t>
        </is>
      </c>
      <c r="AH278" s="322" t="n">
        <v>0.5</v>
      </c>
      <c r="AI278" s="323" t="inlineStr">
        <is>
          <t>Scenario chain gain on neighbours' direct hits</t>
        </is>
      </c>
      <c r="AK278" t="inlineStr">
        <is>
          <t>25-50%</t>
        </is>
      </c>
      <c r="AL278" t="n">
        <v>0.25</v>
      </c>
      <c r="AN278" t="inlineStr">
        <is>
          <t>50-75%</t>
        </is>
      </c>
      <c r="AO278" t="n">
        <v>0.4</v>
      </c>
      <c r="AQ278" t="inlineStr">
        <is>
          <t>Partial alternatives exist</t>
        </is>
      </c>
      <c r="AR278" t="n">
        <v>0.2</v>
      </c>
    </row>
    <row r="279" ht="15" customHeight="1" s="209">
      <c r="A279" s="65" t="inlineStr">
        <is>
          <t>Peak scenario exposure</t>
        </is>
      </c>
      <c r="B279">
        <f>IFERROR(MAX(U254:U270),"")</f>
        <v/>
      </c>
      <c r="AG279" t="inlineStr">
        <is>
          <t>redline_threshold</t>
        </is>
      </c>
      <c r="AH279" s="322" t="n">
        <v>3</v>
      </c>
      <c r="AI279" s="323" t="inlineStr">
        <is>
          <t>If a red-line control scores BELOW this, the domain is gated</t>
        </is>
      </c>
      <c r="AK279" t="inlineStr">
        <is>
          <t>50-75%</t>
        </is>
      </c>
      <c r="AL279" t="n">
        <v>0.45</v>
      </c>
      <c r="AN279" t="inlineStr">
        <is>
          <t>&gt;75%</t>
        </is>
      </c>
      <c r="AO279" t="n">
        <v>0.65</v>
      </c>
      <c r="AQ279" t="inlineStr">
        <is>
          <t>Single-source dependency</t>
        </is>
      </c>
      <c r="AR279" t="n">
        <v>0.5</v>
      </c>
    </row>
    <row r="280" ht="15" customHeight="1" s="209">
      <c r="A280" s="65" t="inlineStr">
        <is>
          <t>Top exposed domain (scenario)</t>
        </is>
      </c>
      <c r="B280">
        <f>IFERROR(INDEX(A254:A270,MATCH(MAX(U254:U270),U254:U270,0)),"")</f>
        <v/>
      </c>
      <c r="AG280" t="inlineStr">
        <is>
          <t>redline_cap</t>
        </is>
      </c>
      <c r="AH280" s="322" t="n">
        <v>2</v>
      </c>
      <c r="AI280" s="323" t="inlineStr">
        <is>
          <t>Maturity ceiling applied to a gated domain</t>
        </is>
      </c>
      <c r="AK280" t="inlineStr">
        <is>
          <t>&gt;75%</t>
        </is>
      </c>
      <c r="AL280" t="n">
        <v>0.7</v>
      </c>
      <c r="AN280" t="inlineStr">
        <is>
          <t>Not applicable</t>
        </is>
      </c>
      <c r="AO280" t="n">
        <v>0</v>
      </c>
      <c r="AQ280" t="inlineStr">
        <is>
          <t>No supplier mapping</t>
        </is>
      </c>
      <c r="AR280" t="n">
        <v>0.3</v>
      </c>
    </row>
    <row r="281" ht="15" customHeight="1" s="209">
      <c r="A281" s="65" t="inlineStr">
        <is>
          <t>Top amplifier (outbound)</t>
        </is>
      </c>
      <c r="B281">
        <f>IFERROR(INDEX(_ENGINE_Crisis!AG253:AG269,MATCH(MAX(_ENGINE_Crisis!BB253:BB269),_ENGINE_Crisis!BB253:BB269,0)),"")</f>
        <v/>
      </c>
      <c r="AG281" t="inlineStr">
        <is>
          <t>spof_cap</t>
        </is>
      </c>
      <c r="AH281" s="322" t="n">
        <v>0.8</v>
      </c>
      <c r="AI281" s="323" t="inlineStr">
        <is>
          <t>Max extra single-point-of-failure factor (so SPOF mult &lt;= 1+cap)</t>
        </is>
      </c>
      <c r="AK281" t="inlineStr">
        <is>
          <t>Not applicable</t>
        </is>
      </c>
      <c r="AL281" t="n">
        <v>0</v>
      </c>
      <c r="AN281" t="inlineStr">
        <is>
          <t>Unknown</t>
        </is>
      </c>
      <c r="AO281" t="n">
        <v>0.1</v>
      </c>
      <c r="AQ281" t="inlineStr">
        <is>
          <t>Not applicable</t>
        </is>
      </c>
      <c r="AR281" t="n">
        <v>0</v>
      </c>
    </row>
    <row r="282">
      <c r="AG282" t="inlineStr">
        <is>
          <t>org_alpha</t>
        </is>
      </c>
      <c r="AH282" s="322" t="n">
        <v>0.6</v>
      </c>
      <c r="AI282" s="323" t="inlineStr">
        <is>
          <t>Org resilience blend: a*avg(maturity) + (1-a)*weakest domain</t>
        </is>
      </c>
      <c r="AK282" t="inlineStr">
        <is>
          <t>Unknown</t>
        </is>
      </c>
      <c r="AL282" t="n">
        <v>0.1</v>
      </c>
      <c r="AQ282" t="inlineStr">
        <is>
          <t>Unknown</t>
        </is>
      </c>
      <c r="AR282" t="n">
        <v>0.15</v>
      </c>
    </row>
    <row r="283">
      <c r="AG283" t="inlineStr">
        <is>
          <t>scen_factor_cap</t>
        </is>
      </c>
      <c r="AH283" s="322" t="n">
        <v>2</v>
      </c>
      <c r="AI283" s="323" t="inlineStr">
        <is>
          <t>Max scenario uplift multiplier on effective risk</t>
        </is>
      </c>
    </row>
    <row r="289" ht="25.95" customHeight="1" s="209">
      <c r="AG289" s="261" t="inlineStr">
        <is>
          <t>Crisis-to-Crisis Coupling Matrix (hidden technical sheet)</t>
        </is>
      </c>
      <c r="AH289" s="261" t="n"/>
      <c r="AI289" s="261" t="n"/>
      <c r="AJ289" s="261" t="n"/>
      <c r="AK289" s="261" t="n"/>
      <c r="AL289" s="261" t="n"/>
      <c r="AM289" s="261" t="n"/>
      <c r="AN289" s="261" t="n"/>
      <c r="AO289" s="261" t="n"/>
      <c r="AP289" s="261" t="n"/>
      <c r="AQ289" s="261" t="n"/>
      <c r="AR289" s="261" t="n"/>
    </row>
    <row r="290" ht="34.05" customHeight="1" s="209">
      <c r="AG290" s="302" t="inlineStr">
        <is>
          <t>Row = primary crisis selected in Crisis Simulator; column = secondary crisis it tends to induce. Weight 0-1 = coupling strength. Effective domain multiplier = primary multiplier + kappa * SUM(coupling * max(0, secondary multiplier - 1)), capped. Defaults are expert judgment - calibrate per industry/geography.</t>
        </is>
      </c>
      <c r="AH290" s="302" t="n"/>
      <c r="AI290" s="302" t="n"/>
      <c r="AJ290" s="302" t="n"/>
      <c r="AK290" s="302" t="n"/>
      <c r="AL290" s="302" t="n"/>
      <c r="AM290" s="302" t="n"/>
      <c r="AN290" s="302" t="n"/>
      <c r="AO290" s="302" t="n"/>
      <c r="AP290" s="302" t="n"/>
      <c r="AQ290" s="302" t="n"/>
      <c r="AR290" s="302" t="n"/>
    </row>
    <row r="291">
      <c r="AG291" t="inlineStr">
        <is>
          <t>Primary \ Secondary</t>
        </is>
      </c>
      <c r="AH291" t="inlineStr">
        <is>
          <t>War / security crisis</t>
        </is>
      </c>
      <c r="AI291" t="inlineStr">
        <is>
          <t>Physical site loss</t>
        </is>
      </c>
      <c r="AJ291" t="inlineStr">
        <is>
          <t>Cyberattack / ransomware</t>
        </is>
      </c>
      <c r="AK291" t="inlineStr">
        <is>
          <t>Cloud / SaaS outage</t>
        </is>
      </c>
      <c r="AL291" t="inlineStr">
        <is>
          <t>Supplier / logistics disruption</t>
        </is>
      </c>
      <c r="AM291" t="inlineStr">
        <is>
          <t>Energy / utilities outage</t>
        </is>
      </c>
      <c r="AN291" t="inlineStr">
        <is>
          <t>Financial liquidity crisis</t>
        </is>
      </c>
      <c r="AO291" t="inlineStr">
        <is>
          <t>Demand shock</t>
        </is>
      </c>
      <c r="AP291" t="inlineStr">
        <is>
          <t>Pandemic / health crisis</t>
        </is>
      </c>
      <c r="AQ291" t="inlineStr">
        <is>
          <t>Regulatory / legal shock</t>
        </is>
      </c>
      <c r="AR291" t="inlineStr">
        <is>
          <t>Reputation crisis</t>
        </is>
      </c>
      <c r="AS291" t="inlineStr">
        <is>
          <t>Natural disaster / climate event</t>
        </is>
      </c>
    </row>
    <row r="292">
      <c r="AG292" t="inlineStr">
        <is>
          <t>War / security crisis</t>
        </is>
      </c>
      <c r="AH292" t="n">
        <v>0</v>
      </c>
      <c r="AI292" t="n">
        <v>0.6</v>
      </c>
      <c r="AJ292" t="n">
        <v>0.5</v>
      </c>
      <c r="AK292" t="n">
        <v>0.3</v>
      </c>
      <c r="AL292" t="n">
        <v>0.7</v>
      </c>
      <c r="AM292" t="n">
        <v>0.7</v>
      </c>
      <c r="AN292" t="n">
        <v>0.5</v>
      </c>
      <c r="AO292" t="n">
        <v>0.5</v>
      </c>
      <c r="AP292" t="n">
        <v>0.1</v>
      </c>
      <c r="AQ292" t="n">
        <v>0.4</v>
      </c>
      <c r="AR292" t="n">
        <v>0.1</v>
      </c>
      <c r="AS292" t="n">
        <v>0</v>
      </c>
    </row>
    <row r="293">
      <c r="AG293" t="inlineStr">
        <is>
          <t>Physical site loss</t>
        </is>
      </c>
      <c r="AH293" t="n">
        <v>0</v>
      </c>
      <c r="AI293" t="n">
        <v>0</v>
      </c>
      <c r="AJ293" t="n">
        <v>0.1</v>
      </c>
      <c r="AK293" t="n">
        <v>0.2</v>
      </c>
      <c r="AL293" t="n">
        <v>0.3</v>
      </c>
      <c r="AM293" t="n">
        <v>0.4</v>
      </c>
      <c r="AN293" t="n">
        <v>0.2</v>
      </c>
      <c r="AO293" t="n">
        <v>0.1</v>
      </c>
      <c r="AP293" t="n">
        <v>0</v>
      </c>
      <c r="AQ293" t="n">
        <v>0.1</v>
      </c>
      <c r="AR293" t="n">
        <v>0.2</v>
      </c>
      <c r="AS293" t="n">
        <v>0</v>
      </c>
    </row>
    <row r="294">
      <c r="AG294" t="inlineStr">
        <is>
          <t>Cyberattack / ransomware</t>
        </is>
      </c>
      <c r="AH294" t="n">
        <v>0</v>
      </c>
      <c r="AI294" t="n">
        <v>0</v>
      </c>
      <c r="AJ294" t="n">
        <v>0</v>
      </c>
      <c r="AK294" t="n">
        <v>0.5</v>
      </c>
      <c r="AL294" t="n">
        <v>0.2</v>
      </c>
      <c r="AM294" t="n">
        <v>0.1</v>
      </c>
      <c r="AN294" t="n">
        <v>0.3</v>
      </c>
      <c r="AO294" t="n">
        <v>0.2</v>
      </c>
      <c r="AP294" t="n">
        <v>0</v>
      </c>
      <c r="AQ294" t="n">
        <v>0.6</v>
      </c>
      <c r="AR294" t="n">
        <v>0.7</v>
      </c>
      <c r="AS294" t="n">
        <v>0</v>
      </c>
    </row>
    <row r="295">
      <c r="AG295" t="inlineStr">
        <is>
          <t>Cloud / SaaS outage</t>
        </is>
      </c>
      <c r="AH295" t="n">
        <v>0</v>
      </c>
      <c r="AI295" t="n">
        <v>0</v>
      </c>
      <c r="AJ295" t="n">
        <v>0.2</v>
      </c>
      <c r="AK295" t="n">
        <v>0</v>
      </c>
      <c r="AL295" t="n">
        <v>0.1</v>
      </c>
      <c r="AM295" t="n">
        <v>0</v>
      </c>
      <c r="AN295" t="n">
        <v>0.1</v>
      </c>
      <c r="AO295" t="n">
        <v>0.2</v>
      </c>
      <c r="AP295" t="n">
        <v>0</v>
      </c>
      <c r="AQ295" t="n">
        <v>0.2</v>
      </c>
      <c r="AR295" t="n">
        <v>0.4</v>
      </c>
      <c r="AS295" t="n">
        <v>0</v>
      </c>
    </row>
    <row r="296">
      <c r="AG296" t="inlineStr">
        <is>
          <t>Supplier / logistics disruption</t>
        </is>
      </c>
      <c r="AH296" t="n">
        <v>0</v>
      </c>
      <c r="AI296" t="n">
        <v>0.1</v>
      </c>
      <c r="AJ296" t="n">
        <v>0</v>
      </c>
      <c r="AK296" t="n">
        <v>0</v>
      </c>
      <c r="AL296" t="n">
        <v>0</v>
      </c>
      <c r="AM296" t="n">
        <v>0.1</v>
      </c>
      <c r="AN296" t="n">
        <v>0.4</v>
      </c>
      <c r="AO296" t="n">
        <v>0.3</v>
      </c>
      <c r="AP296" t="n">
        <v>0</v>
      </c>
      <c r="AQ296" t="n">
        <v>0.1</v>
      </c>
      <c r="AR296" t="n">
        <v>0.2</v>
      </c>
      <c r="AS296" t="n">
        <v>0</v>
      </c>
    </row>
    <row r="297">
      <c r="AG297" t="inlineStr">
        <is>
          <t>Energy / utilities outage</t>
        </is>
      </c>
      <c r="AH297" t="n">
        <v>0</v>
      </c>
      <c r="AI297" t="n">
        <v>0.4</v>
      </c>
      <c r="AJ297" t="n">
        <v>0.1</v>
      </c>
      <c r="AK297" t="n">
        <v>0.3</v>
      </c>
      <c r="AL297" t="n">
        <v>0.4</v>
      </c>
      <c r="AM297" t="n">
        <v>0</v>
      </c>
      <c r="AN297" t="n">
        <v>0.3</v>
      </c>
      <c r="AO297" t="n">
        <v>0.2</v>
      </c>
      <c r="AP297" t="n">
        <v>0</v>
      </c>
      <c r="AQ297" t="n">
        <v>0</v>
      </c>
      <c r="AR297" t="n">
        <v>0.1</v>
      </c>
      <c r="AS297" t="n">
        <v>0</v>
      </c>
    </row>
    <row r="298">
      <c r="AG298" t="inlineStr">
        <is>
          <t>Financial liquidity crisis</t>
        </is>
      </c>
      <c r="AH298" t="n">
        <v>0</v>
      </c>
      <c r="AI298" t="n">
        <v>0</v>
      </c>
      <c r="AJ298" t="n">
        <v>0.1</v>
      </c>
      <c r="AK298" t="n">
        <v>0</v>
      </c>
      <c r="AL298" t="n">
        <v>0.4</v>
      </c>
      <c r="AM298" t="n">
        <v>0</v>
      </c>
      <c r="AN298" t="n">
        <v>0</v>
      </c>
      <c r="AO298" t="n">
        <v>0.3</v>
      </c>
      <c r="AP298" t="n">
        <v>0</v>
      </c>
      <c r="AQ298" t="n">
        <v>0.3</v>
      </c>
      <c r="AR298" t="n">
        <v>0.4</v>
      </c>
      <c r="AS298" t="n">
        <v>0</v>
      </c>
    </row>
    <row r="299">
      <c r="AG299" t="inlineStr">
        <is>
          <t>Demand shock</t>
        </is>
      </c>
      <c r="AH299" t="n">
        <v>0</v>
      </c>
      <c r="AI299" t="n">
        <v>0</v>
      </c>
      <c r="AJ299" t="n">
        <v>0</v>
      </c>
      <c r="AK299" t="n">
        <v>0</v>
      </c>
      <c r="AL299" t="n">
        <v>0.2</v>
      </c>
      <c r="AM299" t="n">
        <v>0</v>
      </c>
      <c r="AN299" t="n">
        <v>0.6</v>
      </c>
      <c r="AO299" t="n">
        <v>0</v>
      </c>
      <c r="AP299" t="n">
        <v>0</v>
      </c>
      <c r="AQ299" t="n">
        <v>0.1</v>
      </c>
      <c r="AR299" t="n">
        <v>0.2</v>
      </c>
      <c r="AS299" t="n">
        <v>0</v>
      </c>
    </row>
    <row r="300">
      <c r="AG300" t="inlineStr">
        <is>
          <t>Pandemic / health crisis</t>
        </is>
      </c>
      <c r="AH300" t="n">
        <v>0</v>
      </c>
      <c r="AI300" t="n">
        <v>0.2</v>
      </c>
      <c r="AJ300" t="n">
        <v>0.1</v>
      </c>
      <c r="AK300" t="n">
        <v>0.1</v>
      </c>
      <c r="AL300" t="n">
        <v>0.4</v>
      </c>
      <c r="AM300" t="n">
        <v>0.1</v>
      </c>
      <c r="AN300" t="n">
        <v>0.3</v>
      </c>
      <c r="AO300" t="n">
        <v>0.4</v>
      </c>
      <c r="AP300" t="n">
        <v>0</v>
      </c>
      <c r="AQ300" t="n">
        <v>0.1</v>
      </c>
      <c r="AR300" t="n">
        <v>0</v>
      </c>
      <c r="AS300" t="n">
        <v>0</v>
      </c>
    </row>
    <row r="301">
      <c r="AG301" t="inlineStr">
        <is>
          <t>Regulatory / legal shock</t>
        </is>
      </c>
      <c r="AH301" t="n">
        <v>0</v>
      </c>
      <c r="AI301" t="n">
        <v>0</v>
      </c>
      <c r="AJ301" t="n">
        <v>0</v>
      </c>
      <c r="AK301" t="n">
        <v>0</v>
      </c>
      <c r="AL301" t="n">
        <v>0.1</v>
      </c>
      <c r="AM301" t="n">
        <v>0</v>
      </c>
      <c r="AN301" t="n">
        <v>0.3</v>
      </c>
      <c r="AO301" t="n">
        <v>0.2</v>
      </c>
      <c r="AP301" t="n">
        <v>0</v>
      </c>
      <c r="AQ301" t="n">
        <v>0</v>
      </c>
      <c r="AR301" t="n">
        <v>0.4</v>
      </c>
      <c r="AS301" t="n">
        <v>0</v>
      </c>
    </row>
    <row r="302">
      <c r="AG302" t="inlineStr">
        <is>
          <t>Reputation crisis</t>
        </is>
      </c>
      <c r="AH302" t="n">
        <v>0</v>
      </c>
      <c r="AI302" t="n">
        <v>0</v>
      </c>
      <c r="AJ302" t="n">
        <v>0</v>
      </c>
      <c r="AK302" t="n">
        <v>0</v>
      </c>
      <c r="AL302" t="n">
        <v>0</v>
      </c>
      <c r="AM302" t="n">
        <v>0</v>
      </c>
      <c r="AN302" t="n">
        <v>0.3</v>
      </c>
      <c r="AO302" t="n">
        <v>0.5</v>
      </c>
      <c r="AP302" t="n">
        <v>0</v>
      </c>
      <c r="AQ302" t="n">
        <v>0.3</v>
      </c>
      <c r="AR302" t="n">
        <v>0</v>
      </c>
      <c r="AS302" t="n">
        <v>0</v>
      </c>
    </row>
    <row r="303">
      <c r="AG303" t="inlineStr">
        <is>
          <t>Natural disaster / climate event</t>
        </is>
      </c>
      <c r="AH303" t="n">
        <v>0</v>
      </c>
      <c r="AI303" t="n">
        <v>0.6</v>
      </c>
      <c r="AJ303" t="n">
        <v>0</v>
      </c>
      <c r="AK303" t="n">
        <v>0.2</v>
      </c>
      <c r="AL303" t="n">
        <v>0.5</v>
      </c>
      <c r="AM303" t="n">
        <v>0.5</v>
      </c>
      <c r="AN303" t="n">
        <v>0.2</v>
      </c>
      <c r="AO303" t="n">
        <v>0.1</v>
      </c>
      <c r="AP303" t="n">
        <v>0.1</v>
      </c>
      <c r="AQ303" t="n">
        <v>0.1</v>
      </c>
      <c r="AR303" t="n">
        <v>0.1</v>
      </c>
      <c r="AS303" t="n">
        <v>0</v>
      </c>
    </row>
    <row r="305">
      <c r="AG305" t="inlineStr">
        <is>
          <t>kappa (secondary contribution)</t>
        </is>
      </c>
      <c r="AH305" t="n">
        <v>0.5</v>
      </c>
    </row>
    <row r="306">
      <c r="AG306" t="inlineStr">
        <is>
          <t>Multiplier cap</t>
        </is>
      </c>
      <c r="AH306" t="n">
        <v>2.5</v>
      </c>
    </row>
    <row r="308">
      <c r="AG308" t="inlineStr">
        <is>
          <t>Coupling of selected primary -&gt;</t>
        </is>
      </c>
      <c r="AH308">
        <f>IFERROR(INDEX($B$253:$M$264,MATCH('Resilience &amp; Risk Scenario'!$B$6,$A$253:$A$264,0),1),0)</f>
        <v/>
      </c>
      <c r="AI308">
        <f>IFERROR(INDEX($B$253:$M$264,MATCH('Resilience &amp; Risk Scenario'!$B$6,$A$253:$A$264,0),2),0)</f>
        <v/>
      </c>
      <c r="AJ308">
        <f>IFERROR(INDEX($B$253:$M$264,MATCH('Resilience &amp; Risk Scenario'!$B$6,$A$253:$A$264,0),3),0)</f>
        <v/>
      </c>
      <c r="AK308">
        <f>IFERROR(INDEX($B$253:$M$264,MATCH('Resilience &amp; Risk Scenario'!$B$6,$A$253:$A$264,0),4),0)</f>
        <v/>
      </c>
      <c r="AL308">
        <f>IFERROR(INDEX($B$253:$M$264,MATCH('Resilience &amp; Risk Scenario'!$B$6,$A$253:$A$264,0),5),0)</f>
        <v/>
      </c>
      <c r="AM308">
        <f>IFERROR(INDEX($B$253:$M$264,MATCH('Resilience &amp; Risk Scenario'!$B$6,$A$253:$A$264,0),6),0)</f>
        <v/>
      </c>
      <c r="AN308">
        <f>IFERROR(INDEX($B$253:$M$264,MATCH('Resilience &amp; Risk Scenario'!$B$6,$A$253:$A$264,0),7),0)</f>
        <v/>
      </c>
      <c r="AO308">
        <f>IFERROR(INDEX($B$253:$M$264,MATCH('Resilience &amp; Risk Scenario'!$B$6,$A$253:$A$264,0),8),0)</f>
        <v/>
      </c>
      <c r="AP308">
        <f>IFERROR(INDEX($B$253:$M$264,MATCH('Resilience &amp; Risk Scenario'!$B$6,$A$253:$A$264,0),9),0)</f>
        <v/>
      </c>
      <c r="AQ308">
        <f>IFERROR(INDEX($B$253:$M$264,MATCH('Resilience &amp; Risk Scenario'!$B$6,$A$253:$A$264,0),10),0)</f>
        <v/>
      </c>
      <c r="AR308">
        <f>IFERROR(INDEX($B$253:$M$264,MATCH('Resilience &amp; Risk Scenario'!$B$6,$A$253:$A$264,0),11),0)</f>
        <v/>
      </c>
      <c r="AS308">
        <f>IFERROR(INDEX($B$253:$M$264,MATCH('Resilience &amp; Risk Scenario'!$B$6,$A$253:$A$264,0),12),0)</f>
        <v/>
      </c>
    </row>
    <row r="498">
      <c r="A498" t="inlineStr">
        <is>
          <t>v1.992 crisis/fuzzy staging helper</t>
        </is>
      </c>
    </row>
    <row r="499">
      <c r="A499" t="inlineStr">
        <is>
          <t>Domain</t>
        </is>
      </c>
      <c r="F499" t="inlineStr">
        <is>
          <t>Selected crisis multiplier</t>
        </is>
      </c>
    </row>
    <row r="501">
      <c r="A501">
        <f>_DATA_Dashboard_Facts!$A$5</f>
      </c>
      <c r="F501">
        <f>IFERROR(ROUND(MIN(_ENGINE_Crisis!$AH$306,SUMIFS(_ENGINE_Crisis!$D$5:$D$208,_ENGINE_Crisis!$A$5:$A$208,'Resilience &amp; Risk Scenario'!$B$6,_ENGINE_Crisis!$B$5:$B$208,$A501)+_ENGINE_Crisis!$AH$305*SUMPRODUCT((_ENGINE_Crisis!$A$253:$A$269=$A501)*(_ENGINE_Crisis!$AH$291:$AS$291&lt;&gt;'Resilience &amp; Risk Scenario'!$B$6)*(_ENGINE_Crisis!$AH$292:$AS$292)*(_ENGINE_Crisis!$AH$308:$AS$308))),2),1)</f>
      </c>
    </row>
    <row r="502">
      <c r="A502">
        <f>_DATA_Dashboard_Facts!$A$6</f>
      </c>
      <c r="F502">
        <f>IFERROR(ROUND(MIN(_ENGINE_Crisis!$AH$306,SUMIFS(_ENGINE_Crisis!$D$5:$D$208,_ENGINE_Crisis!$A$5:$A$208,'Resilience &amp; Risk Scenario'!$B$6,_ENGINE_Crisis!$B$5:$B$208,$A502)+_ENGINE_Crisis!$AH$305*SUMPRODUCT((_ENGINE_Crisis!$A$253:$A$269=$A502)*(_ENGINE_Crisis!$AH$291:$AS$291&lt;&gt;'Resilience &amp; Risk Scenario'!$B$6)*(_ENGINE_Crisis!$AH$292:$AS$292)*(_ENGINE_Crisis!$AH$308:$AS$308))),2),1)</f>
      </c>
    </row>
    <row r="503">
      <c r="A503">
        <f>_DATA_Dashboard_Facts!$A$7</f>
      </c>
      <c r="F503">
        <f>IFERROR(ROUND(MIN(_ENGINE_Crisis!$AH$306,SUMIFS(_ENGINE_Crisis!$D$5:$D$208,_ENGINE_Crisis!$A$5:$A$208,'Resilience &amp; Risk Scenario'!$B$6,_ENGINE_Crisis!$B$5:$B$208,$A503)+_ENGINE_Crisis!$AH$305*SUMPRODUCT((_ENGINE_Crisis!$A$253:$A$269=$A503)*(_ENGINE_Crisis!$AH$291:$AS$291&lt;&gt;'Resilience &amp; Risk Scenario'!$B$6)*(_ENGINE_Crisis!$AH$292:$AS$292)*(_ENGINE_Crisis!$AH$308:$AS$308))),2),1)</f>
      </c>
    </row>
    <row r="504">
      <c r="A504">
        <f>_DATA_Dashboard_Facts!$A$8</f>
      </c>
      <c r="F504">
        <f>IFERROR(ROUND(MIN(_ENGINE_Crisis!$AH$306,SUMIFS(_ENGINE_Crisis!$D$5:$D$208,_ENGINE_Crisis!$A$5:$A$208,'Resilience &amp; Risk Scenario'!$B$6,_ENGINE_Crisis!$B$5:$B$208,$A504)+_ENGINE_Crisis!$AH$305*SUMPRODUCT((_ENGINE_Crisis!$A$253:$A$269=$A504)*(_ENGINE_Crisis!$AH$291:$AS$291&lt;&gt;'Resilience &amp; Risk Scenario'!$B$6)*(_ENGINE_Crisis!$AH$292:$AS$292)*(_ENGINE_Crisis!$AH$308:$AS$308))),2),1)</f>
      </c>
    </row>
    <row r="505">
      <c r="A505">
        <f>_DATA_Dashboard_Facts!$A$9</f>
      </c>
      <c r="F505">
        <f>IFERROR(ROUND(MIN(_ENGINE_Crisis!$AH$306,SUMIFS(_ENGINE_Crisis!$D$5:$D$208,_ENGINE_Crisis!$A$5:$A$208,'Resilience &amp; Risk Scenario'!$B$6,_ENGINE_Crisis!$B$5:$B$208,$A505)+_ENGINE_Crisis!$AH$305*SUMPRODUCT((_ENGINE_Crisis!$A$253:$A$269=$A505)*(_ENGINE_Crisis!$AH$291:$AS$291&lt;&gt;'Resilience &amp; Risk Scenario'!$B$6)*(_ENGINE_Crisis!$AH$292:$AS$292)*(_ENGINE_Crisis!$AH$308:$AS$308))),2),1)</f>
      </c>
    </row>
    <row r="506">
      <c r="A506">
        <f>_DATA_Dashboard_Facts!$A$10</f>
      </c>
      <c r="F506">
        <f>IFERROR(ROUND(MIN(_ENGINE_Crisis!$AH$306,SUMIFS(_ENGINE_Crisis!$D$5:$D$208,_ENGINE_Crisis!$A$5:$A$208,'Resilience &amp; Risk Scenario'!$B$6,_ENGINE_Crisis!$B$5:$B$208,$A506)+_ENGINE_Crisis!$AH$305*SUMPRODUCT((_ENGINE_Crisis!$A$253:$A$269=$A506)*(_ENGINE_Crisis!$AH$291:$AS$291&lt;&gt;'Resilience &amp; Risk Scenario'!$B$6)*(_ENGINE_Crisis!$AH$292:$AS$292)*(_ENGINE_Crisis!$AH$308:$AS$308))),2),1)</f>
      </c>
    </row>
    <row r="507">
      <c r="A507">
        <f>_DATA_Dashboard_Facts!$A$11</f>
      </c>
      <c r="F507">
        <f>IFERROR(ROUND(MIN(_ENGINE_Crisis!$AH$306,SUMIFS(_ENGINE_Crisis!$D$5:$D$208,_ENGINE_Crisis!$A$5:$A$208,'Resilience &amp; Risk Scenario'!$B$6,_ENGINE_Crisis!$B$5:$B$208,$A507)+_ENGINE_Crisis!$AH$305*SUMPRODUCT((_ENGINE_Crisis!$A$253:$A$269=$A507)*(_ENGINE_Crisis!$AH$291:$AS$291&lt;&gt;'Resilience &amp; Risk Scenario'!$B$6)*(_ENGINE_Crisis!$AH$292:$AS$292)*(_ENGINE_Crisis!$AH$308:$AS$308))),2),1)</f>
      </c>
    </row>
    <row r="508">
      <c r="A508">
        <f>_DATA_Dashboard_Facts!$A$12</f>
      </c>
      <c r="F508">
        <f>IFERROR(ROUND(MIN(_ENGINE_Crisis!$AH$306,SUMIFS(_ENGINE_Crisis!$D$5:$D$208,_ENGINE_Crisis!$A$5:$A$208,'Resilience &amp; Risk Scenario'!$B$6,_ENGINE_Crisis!$B$5:$B$208,$A508)+_ENGINE_Crisis!$AH$305*SUMPRODUCT((_ENGINE_Crisis!$A$253:$A$269=$A508)*(_ENGINE_Crisis!$AH$291:$AS$291&lt;&gt;'Resilience &amp; Risk Scenario'!$B$6)*(_ENGINE_Crisis!$AH$292:$AS$292)*(_ENGINE_Crisis!$AH$308:$AS$308))),2),1)</f>
      </c>
    </row>
    <row r="509">
      <c r="A509">
        <f>_DATA_Dashboard_Facts!$A$13</f>
      </c>
      <c r="F509">
        <f>IFERROR(ROUND(MIN(_ENGINE_Crisis!$AH$306,SUMIFS(_ENGINE_Crisis!$D$5:$D$208,_ENGINE_Crisis!$A$5:$A$208,'Resilience &amp; Risk Scenario'!$B$6,_ENGINE_Crisis!$B$5:$B$208,$A509)+_ENGINE_Crisis!$AH$305*SUMPRODUCT((_ENGINE_Crisis!$A$253:$A$269=$A509)*(_ENGINE_Crisis!$AH$291:$AS$291&lt;&gt;'Resilience &amp; Risk Scenario'!$B$6)*(_ENGINE_Crisis!$AH$292:$AS$292)*(_ENGINE_Crisis!$AH$308:$AS$308))),2),1)</f>
      </c>
    </row>
    <row r="510">
      <c r="A510">
        <f>_DATA_Dashboard_Facts!$A$14</f>
      </c>
      <c r="F510">
        <f>IFERROR(ROUND(MIN(_ENGINE_Crisis!$AH$306,SUMIFS(_ENGINE_Crisis!$D$5:$D$208,_ENGINE_Crisis!$A$5:$A$208,'Resilience &amp; Risk Scenario'!$B$6,_ENGINE_Crisis!$B$5:$B$208,$A510)+_ENGINE_Crisis!$AH$305*SUMPRODUCT((_ENGINE_Crisis!$A$253:$A$269=$A510)*(_ENGINE_Crisis!$AH$291:$AS$291&lt;&gt;'Resilience &amp; Risk Scenario'!$B$6)*(_ENGINE_Crisis!$AH$292:$AS$292)*(_ENGINE_Crisis!$AH$308:$AS$308))),2),1)</f>
      </c>
    </row>
    <row r="511">
      <c r="A511">
        <f>_DATA_Dashboard_Facts!$A$15</f>
      </c>
      <c r="F511">
        <f>IFERROR(ROUND(MIN(_ENGINE_Crisis!$AH$306,SUMIFS(_ENGINE_Crisis!$D$5:$D$208,_ENGINE_Crisis!$A$5:$A$208,'Resilience &amp; Risk Scenario'!$B$6,_ENGINE_Crisis!$B$5:$B$208,$A511)+_ENGINE_Crisis!$AH$305*SUMPRODUCT((_ENGINE_Crisis!$A$253:$A$269=$A511)*(_ENGINE_Crisis!$AH$291:$AS$291&lt;&gt;'Resilience &amp; Risk Scenario'!$B$6)*(_ENGINE_Crisis!$AH$292:$AS$292)*(_ENGINE_Crisis!$AH$308:$AS$308))),2),1)</f>
      </c>
    </row>
    <row r="512">
      <c r="A512">
        <f>_DATA_Dashboard_Facts!$A$16</f>
      </c>
      <c r="F512">
        <f>IFERROR(ROUND(MIN(_ENGINE_Crisis!$AH$306,SUMIFS(_ENGINE_Crisis!$D$5:$D$208,_ENGINE_Crisis!$A$5:$A$208,'Resilience &amp; Risk Scenario'!$B$6,_ENGINE_Crisis!$B$5:$B$208,$A512)+_ENGINE_Crisis!$AH$305*SUMPRODUCT((_ENGINE_Crisis!$A$253:$A$269=$A512)*(_ENGINE_Crisis!$AH$291:$AS$291&lt;&gt;'Resilience &amp; Risk Scenario'!$B$6)*(_ENGINE_Crisis!$AH$292:$AS$292)*(_ENGINE_Crisis!$AH$308:$AS$308))),2),1)</f>
      </c>
    </row>
    <row r="513">
      <c r="A513">
        <f>_DATA_Dashboard_Facts!$A$17</f>
      </c>
      <c r="F513">
        <f>IFERROR(ROUND(MIN(_ENGINE_Crisis!$AH$306,SUMIFS(_ENGINE_Crisis!$D$5:$D$208,_ENGINE_Crisis!$A$5:$A$208,'Resilience &amp; Risk Scenario'!$B$6,_ENGINE_Crisis!$B$5:$B$208,$A513)+_ENGINE_Crisis!$AH$305*SUMPRODUCT((_ENGINE_Crisis!$A$253:$A$269=$A513)*(_ENGINE_Crisis!$AH$291:$AS$291&lt;&gt;'Resilience &amp; Risk Scenario'!$B$6)*(_ENGINE_Crisis!$AH$292:$AS$292)*(_ENGINE_Crisis!$AH$308:$AS$308))),2),1)</f>
      </c>
    </row>
    <row r="514">
      <c r="A514">
        <f>_DATA_Dashboard_Facts!$A$18</f>
      </c>
      <c r="F514">
        <f>IFERROR(ROUND(MIN(_ENGINE_Crisis!$AH$306,SUMIFS(_ENGINE_Crisis!$D$5:$D$208,_ENGINE_Crisis!$A$5:$A$208,'Resilience &amp; Risk Scenario'!$B$6,_ENGINE_Crisis!$B$5:$B$208,$A514)+_ENGINE_Crisis!$AH$305*SUMPRODUCT((_ENGINE_Crisis!$A$253:$A$269=$A514)*(_ENGINE_Crisis!$AH$291:$AS$291&lt;&gt;'Resilience &amp; Risk Scenario'!$B$6)*(_ENGINE_Crisis!$AH$292:$AS$292)*(_ENGINE_Crisis!$AH$308:$AS$308))),2),1)</f>
      </c>
    </row>
    <row r="515">
      <c r="A515">
        <f>_DATA_Dashboard_Facts!$A$19</f>
      </c>
      <c r="F515">
        <f>IFERROR(ROUND(MIN(_ENGINE_Crisis!$AH$306,SUMIFS(_ENGINE_Crisis!$D$5:$D$208,_ENGINE_Crisis!$A$5:$A$208,'Resilience &amp; Risk Scenario'!$B$6,_ENGINE_Crisis!$B$5:$B$208,$A515)+_ENGINE_Crisis!$AH$305*SUMPRODUCT((_ENGINE_Crisis!$A$253:$A$269=$A515)*(_ENGINE_Crisis!$AH$291:$AS$291&lt;&gt;'Resilience &amp; Risk Scenario'!$B$6)*(_ENGINE_Crisis!$AH$292:$AS$292)*(_ENGINE_Crisis!$AH$308:$AS$308))),2),1)</f>
      </c>
    </row>
    <row r="516">
      <c r="A516">
        <f>_DATA_Dashboard_Facts!$A$20</f>
      </c>
      <c r="F516">
        <f>IFERROR(ROUND(MIN(_ENGINE_Crisis!$AH$306,SUMIFS(_ENGINE_Crisis!$D$5:$D$208,_ENGINE_Crisis!$A$5:$A$208,'Resilience &amp; Risk Scenario'!$B$6,_ENGINE_Crisis!$B$5:$B$208,$A516)+_ENGINE_Crisis!$AH$305*SUMPRODUCT((_ENGINE_Crisis!$A$253:$A$269=$A516)*(_ENGINE_Crisis!$AH$291:$AS$291&lt;&gt;'Resilience &amp; Risk Scenario'!$B$6)*(_ENGINE_Crisis!$AH$292:$AS$292)*(_ENGINE_Crisis!$AH$308:$AS$308))),2),1)</f>
      </c>
    </row>
    <row r="517">
      <c r="A517">
        <f>_DATA_Dashboard_Facts!$A$21</f>
      </c>
      <c r="F517">
        <f>IFERROR(ROUND(MIN(_ENGINE_Crisis!$AH$306,SUMIFS(_ENGINE_Crisis!$D$5:$D$208,_ENGINE_Crisis!$A$5:$A$208,'Resilience &amp; Risk Scenario'!$B$6,_ENGINE_Crisis!$B$5:$B$208,$A517)+_ENGINE_Crisis!$AH$305*SUMPRODUCT((_ENGINE_Crisis!$A$253:$A$269=$A517)*(_ENGINE_Crisis!$AH$291:$AS$291&lt;&gt;'Resilience &amp; Risk Scenario'!$B$6)*(_ENGINE_Crisis!$AH$292:$AS$292)*(_ENGINE_Crisis!$AH$308:$AS$308))),2),1)</f>
      </c>
    </row>
  </sheetData>
  <autoFilter ref="A4:J191"/>
  <mergeCells count="2">
    <mergeCell ref="A1:J1"/>
    <mergeCell ref="A2:J2"/>
  </mergeCells>
  <pageMargins left="0.75" right="0.75" top="1" bottom="1" header="0.5" footer="0.5"/>
  <pageSetup orientation="landscape" fitToHeight="0"/>
  <headerFooter>
    <oddHeader/>
    <oddFooter>&amp;R© Roman Reznikov / RR-framework — CC BY-NC-SA 4.0 — For authorized use only</oddFooter>
    <evenHeader/>
    <evenFooter>&amp;R© Roman Reznikov / RR-framework — CC BY-NC-SA 4.0 — For authorized use only</evenFooter>
    <firstHeader/>
    <firstFooter>&amp;R© Roman Reznikov / RR-framework — CC BY-NC-SA 4.0 — For authorized use only</firstFooter>
  </headerFooter>
  <legacyDrawing r:id="anysvml"/>
</worksheet>
</file>

<file path=xl/worksheets/sheet19.xml><?xml version="1.0" encoding="utf-8"?>
<worksheet xmlns="http://schemas.openxmlformats.org/spreadsheetml/2006/main" xmlns:r="http://schemas.openxmlformats.org/officeDocument/2006/relationships">
  <sheetPr>
    <tabColor rgb="FF111827"/>
    <outlinePr summaryBelow="1" summaryRight="1"/>
    <pageSetUpPr fitToPage="1"/>
  </sheetPr>
  <dimension ref="A1:AR113"/>
  <sheetViews>
    <sheetView showGridLines="0" workbookViewId="0">
      <pane ySplit="3" topLeftCell="A4" activePane="bottomLeft" state="frozen"/>
      <selection pane="bottomLeft" activeCell="A1" sqref="A1"/>
    </sheetView>
  </sheetViews>
  <sheetFormatPr baseColWidth="8" defaultRowHeight="13.8"/>
  <cols>
    <col width="18" customWidth="1" style="209" min="1" max="1"/>
    <col width="42" customWidth="1" style="209" min="2" max="6"/>
    <col width="18" customWidth="1" style="209" min="7" max="8"/>
    <col width="42" customWidth="1" style="209" min="9" max="9"/>
    <col width="18" customWidth="1" style="209" min="10" max="14"/>
    <col width="42" customWidth="1" style="209" min="15" max="15"/>
    <col width="18" customWidth="1" style="209" min="16" max="26"/>
    <col width="16" customWidth="1" style="209" min="27" max="43"/>
    <col width="42" customWidth="1" style="209" min="44" max="44"/>
  </cols>
  <sheetData>
    <row r="1" ht="25.95" customHeight="1" s="209">
      <c r="A1" s="256" t="inlineStr">
        <is>
          <t>Technical Strategy Recommendation Library</t>
        </is>
      </c>
      <c r="B1" s="215" t="n"/>
      <c r="C1" s="215" t="n"/>
      <c r="D1" s="215" t="n"/>
      <c r="E1" s="215" t="n"/>
      <c r="F1" s="215" t="n"/>
      <c r="G1" s="215" t="n"/>
      <c r="H1" s="215" t="n"/>
      <c r="I1" s="215" t="n"/>
      <c r="J1" s="215" t="n"/>
      <c r="K1" s="215" t="n"/>
      <c r="L1" s="215" t="n"/>
      <c r="M1" s="215" t="n"/>
      <c r="N1" s="215" t="n"/>
      <c r="O1" s="215" t="n"/>
      <c r="P1" s="215" t="n"/>
      <c r="Q1" s="215" t="n"/>
      <c r="R1" s="215" t="n"/>
      <c r="S1" s="215" t="n"/>
      <c r="T1" s="215" t="n"/>
      <c r="U1" s="215" t="n"/>
      <c r="V1" s="215" t="n"/>
      <c r="W1" s="215" t="n"/>
      <c r="X1" s="215" t="n"/>
      <c r="Y1" s="215" t="n"/>
      <c r="Z1" s="215" t="n"/>
      <c r="AA1" s="215" t="n"/>
      <c r="AB1" s="215" t="n"/>
      <c r="AC1" s="215" t="n"/>
      <c r="AD1" s="215" t="n"/>
      <c r="AE1" s="215" t="n"/>
      <c r="AF1" s="215" t="n"/>
      <c r="AG1" s="215" t="n"/>
      <c r="AH1" s="215" t="n"/>
      <c r="AI1" s="215" t="n"/>
      <c r="AJ1" s="215" t="n"/>
      <c r="AK1" s="215" t="n"/>
      <c r="AL1" s="215" t="n"/>
      <c r="AM1" s="215" t="n"/>
      <c r="AN1" s="215" t="n"/>
      <c r="AO1" s="215" t="n"/>
      <c r="AP1" s="215" t="n"/>
      <c r="AQ1" s="215" t="n"/>
      <c r="AR1" s="216" t="n"/>
    </row>
    <row r="2" ht="34.05" customHeight="1" s="209">
      <c r="A2" s="302" t="inlineStr">
        <is>
          <t>Internal logic: strategies are scored by crisis fit, domain gaps, active risks and horizontal metric gaps. Used by Strategy Selection.</t>
        </is>
      </c>
    </row>
    <row r="4" ht="27.9" customHeight="1" s="209">
      <c r="A4" s="23" t="inlineStr">
        <is>
          <t>Strategy ID</t>
        </is>
      </c>
      <c r="B4" s="23" t="inlineStr">
        <is>
          <t>Strategy</t>
        </is>
      </c>
      <c r="C4" s="23" t="inlineStr">
        <is>
          <t>Description</t>
        </is>
      </c>
      <c r="D4" s="23" t="inlineStr">
        <is>
          <t>Recommended when</t>
        </is>
      </c>
      <c r="E4" s="23" t="inlineStr">
        <is>
          <t>Typical outcome</t>
        </is>
      </c>
      <c r="F4" s="23" t="inlineStr">
        <is>
          <t>Priority initiative themes</t>
        </is>
      </c>
      <c r="G4" s="23" t="inlineStr">
        <is>
          <t>Owner role</t>
        </is>
      </c>
      <c r="H4" s="23" t="inlineStr">
        <is>
          <t>Default timeline</t>
        </is>
      </c>
      <c r="I4" s="23" t="inlineStr">
        <is>
          <t>KPI examples</t>
        </is>
      </c>
      <c r="J4" s="23" t="inlineStr">
        <is>
          <t>Base importance</t>
        </is>
      </c>
      <c r="K4" s="23" t="inlineStr">
        <is>
          <t>Digital focus weight</t>
        </is>
      </c>
      <c r="L4" s="23" t="inlineStr">
        <is>
          <t>Resilience focus weight</t>
        </is>
      </c>
      <c r="M4" s="23" t="inlineStr">
        <is>
          <t>Process focus weight</t>
        </is>
      </c>
      <c r="N4" s="23" t="inlineStr">
        <is>
          <t>Complexity / job size</t>
        </is>
      </c>
      <c r="O4" s="23" t="inlineStr">
        <is>
          <t>Rationale</t>
        </is>
      </c>
      <c r="P4" s="23" t="inlineStr">
        <is>
          <t>War / security crisis</t>
        </is>
      </c>
      <c r="Q4" s="23" t="inlineStr">
        <is>
          <t>Physical site loss</t>
        </is>
      </c>
      <c r="R4" s="23" t="inlineStr">
        <is>
          <t>Cyberattack / ransomware</t>
        </is>
      </c>
      <c r="S4" s="23" t="inlineStr">
        <is>
          <t>Cloud / SaaS outage</t>
        </is>
      </c>
      <c r="T4" s="23" t="inlineStr">
        <is>
          <t>Supplier / logistics disruption</t>
        </is>
      </c>
      <c r="U4" s="23" t="inlineStr">
        <is>
          <t>Energy / utilities outage</t>
        </is>
      </c>
      <c r="V4" s="23" t="inlineStr">
        <is>
          <t>Financial liquidity crisis</t>
        </is>
      </c>
      <c r="W4" s="23" t="inlineStr">
        <is>
          <t>Demand shock</t>
        </is>
      </c>
      <c r="X4" s="23" t="inlineStr">
        <is>
          <t>Pandemic / health crisis</t>
        </is>
      </c>
      <c r="Y4" s="23" t="inlineStr">
        <is>
          <t>Regulatory / legal shock</t>
        </is>
      </c>
      <c r="Z4" s="23" t="inlineStr">
        <is>
          <t>Reputation crisis</t>
        </is>
      </c>
      <c r="AA4" s="23" t="inlineStr">
        <is>
          <t>Company Geography</t>
        </is>
      </c>
      <c r="AB4" s="23" t="inlineStr">
        <is>
          <t>Strategy GTM</t>
        </is>
      </c>
      <c r="AC4" s="23" t="inlineStr">
        <is>
          <t>Governance Crisis</t>
        </is>
      </c>
      <c r="AD4" s="23" t="inlineStr">
        <is>
          <t>HR Workforce</t>
        </is>
      </c>
      <c r="AE4" s="23" t="inlineStr">
        <is>
          <t>Finance Procurement</t>
        </is>
      </c>
      <c r="AF4" s="23" t="inlineStr">
        <is>
          <t>Legal Risk</t>
        </is>
      </c>
      <c r="AG4" s="23" t="inlineStr">
        <is>
          <t>Physical Safety</t>
        </is>
      </c>
      <c r="AH4" s="23" t="inlineStr">
        <is>
          <t>Delivery Ops</t>
        </is>
      </c>
      <c r="AI4" s="23" t="inlineStr">
        <is>
          <t>Supply Chain</t>
        </is>
      </c>
      <c r="AJ4" s="23" t="inlineStr">
        <is>
          <t>Manufacturing MES</t>
        </is>
      </c>
      <c r="AK4" s="23" t="inlineStr">
        <is>
          <t>Sales CRM</t>
        </is>
      </c>
      <c r="AL4" s="23" t="inlineStr">
        <is>
          <t>Marketing Comms</t>
        </is>
      </c>
      <c r="AM4" s="23" t="inlineStr">
        <is>
          <t>IT Cloud DR</t>
        </is>
      </c>
      <c r="AN4" s="23" t="inlineStr">
        <is>
          <t>Business Systems</t>
        </is>
      </c>
      <c r="AO4" s="23" t="inlineStr">
        <is>
          <t>Data BI AI</t>
        </is>
      </c>
      <c r="AP4" s="23" t="inlineStr">
        <is>
          <t>Cyber Privacy</t>
        </is>
      </c>
      <c r="AQ4" s="23" t="inlineStr">
        <is>
          <t>Quality Portfolio</t>
        </is>
      </c>
      <c r="AR4" s="23" t="inlineStr">
        <is>
          <t>Trigger domains</t>
        </is>
      </c>
    </row>
    <row r="5" ht="28.5" customHeight="1" s="209">
      <c r="A5" s="247" t="inlineStr">
        <is>
          <t>STR-01</t>
        </is>
      </c>
      <c r="B5" s="247" t="inlineStr">
        <is>
          <t>Digital Foundation Strategy</t>
        </is>
      </c>
      <c r="C5" s="247" t="inlineStr">
        <is>
          <t>Establish basic digital tools, ownership, workflows, reporting and system governance.</t>
        </is>
      </c>
      <c r="D5" s="247" t="inlineStr">
        <is>
          <t>Low process maturity and weak digital foundations across core business functions.</t>
        </is>
      </c>
      <c r="E5" s="247" t="inlineStr">
        <is>
          <t>Basic tools, process ownership, reporting and control are established.</t>
        </is>
      </c>
      <c r="F5" s="247" t="inlineStr">
        <is>
          <t>Process ownership, workflow tools, baseline systems, master data, reporting discipline.</t>
        </is>
      </c>
      <c r="G5" s="247" t="inlineStr">
        <is>
          <t>COO / CIO</t>
        </is>
      </c>
      <c r="H5" s="247" t="inlineStr">
        <is>
          <t>0-6 months</t>
        </is>
      </c>
      <c r="I5" s="247" t="inlineStr">
        <is>
          <t>Tool adoption; process coverage; manual work reduction; report cycle time</t>
        </is>
      </c>
      <c r="J5" s="247" t="n">
        <v>4</v>
      </c>
      <c r="K5" s="247" t="n">
        <v>5</v>
      </c>
      <c r="L5" s="247" t="n">
        <v>3</v>
      </c>
      <c r="M5" s="247" t="n">
        <v>4</v>
      </c>
      <c r="N5" s="247" t="n">
        <v>3</v>
      </c>
      <c r="O5" s="247" t="inlineStr">
        <is>
          <t>Establish basic digital tools, ownership, workflows, reporting and system governance.</t>
        </is>
      </c>
      <c r="P5" s="247" t="n">
        <v>1</v>
      </c>
      <c r="Q5" s="247" t="n">
        <v>1</v>
      </c>
      <c r="R5" s="247" t="n">
        <v>1.3</v>
      </c>
      <c r="S5" s="247" t="n">
        <v>1.4</v>
      </c>
      <c r="T5" s="247" t="n">
        <v>1</v>
      </c>
      <c r="U5" s="247" t="n">
        <v>1</v>
      </c>
      <c r="V5" s="247" t="n">
        <v>1.2</v>
      </c>
      <c r="W5" s="247" t="n">
        <v>1.3</v>
      </c>
      <c r="X5" s="247" t="n">
        <v>1</v>
      </c>
      <c r="Y5" s="247" t="n">
        <v>1</v>
      </c>
      <c r="Z5" s="247" t="n">
        <v>1</v>
      </c>
      <c r="AA5" s="247" t="n">
        <v>0</v>
      </c>
      <c r="AB5" s="247" t="n">
        <v>2</v>
      </c>
      <c r="AC5" s="247" t="n">
        <v>3</v>
      </c>
      <c r="AD5" s="247" t="n">
        <v>0</v>
      </c>
      <c r="AE5" s="247" t="n">
        <v>0</v>
      </c>
      <c r="AF5" s="247" t="n">
        <v>0</v>
      </c>
      <c r="AG5" s="247" t="n">
        <v>0</v>
      </c>
      <c r="AH5" s="247" t="n">
        <v>0</v>
      </c>
      <c r="AI5" s="247" t="n">
        <v>0</v>
      </c>
      <c r="AJ5" s="247" t="n">
        <v>0</v>
      </c>
      <c r="AK5" s="247" t="n">
        <v>0</v>
      </c>
      <c r="AL5" s="247" t="n">
        <v>0</v>
      </c>
      <c r="AM5" s="247" t="n">
        <v>4</v>
      </c>
      <c r="AN5" s="247" t="n">
        <v>5</v>
      </c>
      <c r="AO5" s="247" t="n">
        <v>4</v>
      </c>
      <c r="AP5" s="247" t="n">
        <v>0</v>
      </c>
      <c r="AQ5" s="247" t="n">
        <v>3</v>
      </c>
      <c r="AR5" s="247" t="inlineStr">
        <is>
          <t>Business Systems; Data BI AI; IT Cloud DR</t>
        </is>
      </c>
    </row>
    <row r="6" ht="42.75" customHeight="1" s="209">
      <c r="A6" s="247" t="inlineStr">
        <is>
          <t>STR-02</t>
        </is>
      </c>
      <c r="B6" s="247" t="inlineStr">
        <is>
          <t>Business Continuity and Resilience Strategy</t>
        </is>
      </c>
      <c r="C6" s="247" t="inlineStr">
        <is>
          <t>Build continuity governance, BIA, recovery priorities, crisis roles, exercises and recovery playbooks.</t>
        </is>
      </c>
      <c r="D6" s="247" t="inlineStr">
        <is>
          <t>High disruption exposure, low continuity readiness, weak crisis governance or unclear recovery priorities.</t>
        </is>
      </c>
      <c r="E6" s="247" t="inlineStr">
        <is>
          <t>Critical operations can continue or recover faster under crisis conditions.</t>
        </is>
      </c>
      <c r="F6" s="247" t="inlineStr">
        <is>
          <t>BIA, BCP, crisis governance, RTO/RPO alignment, tabletop exercises, recovery playbooks.</t>
        </is>
      </c>
      <c r="G6" s="247" t="inlineStr">
        <is>
          <t>CEO / COO / Risk Lead</t>
        </is>
      </c>
      <c r="H6" s="247" t="inlineStr">
        <is>
          <t>0-6 months</t>
        </is>
      </c>
      <c r="I6" s="247" t="inlineStr">
        <is>
          <t>BIA coverage; tested recovery plans; RTO achievement; crisis exercise completion</t>
        </is>
      </c>
      <c r="J6" s="247" t="n">
        <v>5</v>
      </c>
      <c r="K6" s="247" t="n">
        <v>2</v>
      </c>
      <c r="L6" s="247" t="n">
        <v>5</v>
      </c>
      <c r="M6" s="247" t="n">
        <v>4</v>
      </c>
      <c r="N6" s="247" t="n">
        <v>3</v>
      </c>
      <c r="O6" s="247" t="inlineStr">
        <is>
          <t>Build continuity governance, BIA, recovery priorities, crisis roles, exercises and recovery playbooks.</t>
        </is>
      </c>
      <c r="P6" s="247" t="n">
        <v>1.8</v>
      </c>
      <c r="Q6" s="247" t="n">
        <v>1.8</v>
      </c>
      <c r="R6" s="247" t="n">
        <v>1</v>
      </c>
      <c r="S6" s="247" t="n">
        <v>1.4</v>
      </c>
      <c r="T6" s="247" t="n">
        <v>1.4</v>
      </c>
      <c r="U6" s="247" t="n">
        <v>1.6</v>
      </c>
      <c r="V6" s="247" t="n">
        <v>1</v>
      </c>
      <c r="W6" s="247" t="n">
        <v>1</v>
      </c>
      <c r="X6" s="247" t="n">
        <v>1.5</v>
      </c>
      <c r="Y6" s="247" t="n">
        <v>1</v>
      </c>
      <c r="Z6" s="247" t="n">
        <v>1</v>
      </c>
      <c r="AA6" s="247" t="n">
        <v>3</v>
      </c>
      <c r="AB6" s="247" t="n">
        <v>0</v>
      </c>
      <c r="AC6" s="247" t="n">
        <v>5</v>
      </c>
      <c r="AD6" s="247" t="n">
        <v>4</v>
      </c>
      <c r="AE6" s="247" t="n">
        <v>0</v>
      </c>
      <c r="AF6" s="247" t="n">
        <v>0</v>
      </c>
      <c r="AG6" s="247" t="n">
        <v>5</v>
      </c>
      <c r="AH6" s="247" t="n">
        <v>4</v>
      </c>
      <c r="AI6" s="247" t="n">
        <v>4</v>
      </c>
      <c r="AJ6" s="247" t="n">
        <v>3</v>
      </c>
      <c r="AK6" s="247" t="n">
        <v>0</v>
      </c>
      <c r="AL6" s="247" t="n">
        <v>0</v>
      </c>
      <c r="AM6" s="247" t="n">
        <v>4</v>
      </c>
      <c r="AN6" s="247" t="n">
        <v>0</v>
      </c>
      <c r="AO6" s="247" t="n">
        <v>0</v>
      </c>
      <c r="AP6" s="247" t="n">
        <v>0</v>
      </c>
      <c r="AQ6" s="247" t="n">
        <v>0</v>
      </c>
      <c r="AR6" s="247" t="inlineStr">
        <is>
          <t>Governance Crisis; Physical Safety; Delivery Ops; IT Cloud DR; Supply Chain; HR Workforce</t>
        </is>
      </c>
    </row>
    <row r="7" ht="42.75" customHeight="1" s="209">
      <c r="A7" s="247" t="inlineStr">
        <is>
          <t>STR-03</t>
        </is>
      </c>
      <c r="B7" s="247" t="inlineStr">
        <is>
          <t>Cloud and Infrastructure Resilience Strategy</t>
        </is>
      </c>
      <c r="C7" s="247" t="inlineStr">
        <is>
          <t>Reduce dependency on fragile infrastructure through cloud architecture, DR, backup, failover and remote access readiness.</t>
        </is>
      </c>
      <c r="D7" s="247" t="inlineStr">
        <is>
          <t>Physical infrastructure, cloud, SaaS, backup, RTO/RPO or remote access weaknesses create material continuity risk.</t>
        </is>
      </c>
      <c r="E7" s="247" t="inlineStr">
        <is>
          <t>Infrastructure risk, recovery time and data loss exposure are reduced.</t>
        </is>
      </c>
      <c r="F7" s="247" t="inlineStr">
        <is>
          <t>Cloud landing zone, backup modernization, restore tests, DR runbooks, failover, identity resilience.</t>
        </is>
      </c>
      <c r="G7" s="247" t="inlineStr">
        <is>
          <t>CIO / CTO</t>
        </is>
      </c>
      <c r="H7" s="247" t="inlineStr">
        <is>
          <t>0-9 months</t>
        </is>
      </c>
      <c r="I7" s="247" t="inlineStr">
        <is>
          <t>RTO/RPO achieved; restore test success; backup coverage; cloud resilience score</t>
        </is>
      </c>
      <c r="J7" s="247" t="n">
        <v>5</v>
      </c>
      <c r="K7" s="247" t="n">
        <v>5</v>
      </c>
      <c r="L7" s="247" t="n">
        <v>5</v>
      </c>
      <c r="M7" s="247" t="n">
        <v>3</v>
      </c>
      <c r="N7" s="247" t="n">
        <v>4</v>
      </c>
      <c r="O7" s="247" t="inlineStr">
        <is>
          <t>Reduce dependency on fragile infrastructure through cloud architecture, DR, backup, failover and remote access readiness.</t>
        </is>
      </c>
      <c r="P7" s="247" t="n">
        <v>1.5</v>
      </c>
      <c r="Q7" s="247" t="n">
        <v>1.8</v>
      </c>
      <c r="R7" s="247" t="n">
        <v>1.6</v>
      </c>
      <c r="S7" s="247" t="n">
        <v>2</v>
      </c>
      <c r="T7" s="247" t="n">
        <v>1</v>
      </c>
      <c r="U7" s="247" t="n">
        <v>1.5</v>
      </c>
      <c r="V7" s="247" t="n">
        <v>1</v>
      </c>
      <c r="W7" s="247" t="n">
        <v>1</v>
      </c>
      <c r="X7" s="247" t="n">
        <v>1</v>
      </c>
      <c r="Y7" s="247" t="n">
        <v>1</v>
      </c>
      <c r="Z7" s="247" t="n">
        <v>1</v>
      </c>
      <c r="AA7" s="247" t="n">
        <v>0</v>
      </c>
      <c r="AB7" s="247" t="n">
        <v>0</v>
      </c>
      <c r="AC7" s="247" t="n">
        <v>0</v>
      </c>
      <c r="AD7" s="247" t="n">
        <v>0</v>
      </c>
      <c r="AE7" s="247" t="n">
        <v>0</v>
      </c>
      <c r="AF7" s="247" t="n">
        <v>0</v>
      </c>
      <c r="AG7" s="247" t="n">
        <v>2</v>
      </c>
      <c r="AH7" s="247" t="n">
        <v>2</v>
      </c>
      <c r="AI7" s="247" t="n">
        <v>0</v>
      </c>
      <c r="AJ7" s="247" t="n">
        <v>0</v>
      </c>
      <c r="AK7" s="247" t="n">
        <v>0</v>
      </c>
      <c r="AL7" s="247" t="n">
        <v>0</v>
      </c>
      <c r="AM7" s="247" t="n">
        <v>5</v>
      </c>
      <c r="AN7" s="247" t="n">
        <v>4</v>
      </c>
      <c r="AO7" s="247" t="n">
        <v>3</v>
      </c>
      <c r="AP7" s="247" t="n">
        <v>4</v>
      </c>
      <c r="AQ7" s="247" t="n">
        <v>0</v>
      </c>
      <c r="AR7" s="247" t="inlineStr">
        <is>
          <t>IT Cloud DR; Business Systems; Cyber Privacy</t>
        </is>
      </c>
    </row>
    <row r="8" ht="42.75" customHeight="1" s="209">
      <c r="A8" s="247" t="inlineStr">
        <is>
          <t>STR-04</t>
        </is>
      </c>
      <c r="B8" s="247" t="inlineStr">
        <is>
          <t>Cyber Resilience Strategy</t>
        </is>
      </c>
      <c r="C8" s="247" t="inlineStr">
        <is>
          <t>Strengthen cybersecurity controls, incident response, monitoring, identity protection, backup recovery and security awareness.</t>
        </is>
      </c>
      <c r="D8" s="247" t="inlineStr">
        <is>
          <t>Cyber, ransomware, privacy, access, monitoring or incident response immaturity creates high business risk.</t>
        </is>
      </c>
      <c r="E8" s="247" t="inlineStr">
        <is>
          <t>Probability and impact of cyber disruption are reduced and response speed increases.</t>
        </is>
      </c>
      <c r="F8" s="247" t="inlineStr">
        <is>
          <t>MFA, EDR, SIEM/logging, IR playbook, ransomware tabletop, backup isolation, awareness.</t>
        </is>
      </c>
      <c r="G8" s="247" t="inlineStr">
        <is>
          <t>CISO / CIO</t>
        </is>
      </c>
      <c r="H8" s="247" t="inlineStr">
        <is>
          <t>0-9 months</t>
        </is>
      </c>
      <c r="I8" s="247" t="inlineStr">
        <is>
          <t>MFA coverage; critical vulnerabilities; MTTD/MTTR; phishing failure rate; restore success</t>
        </is>
      </c>
      <c r="J8" s="247" t="n">
        <v>5</v>
      </c>
      <c r="K8" s="247" t="n">
        <v>4</v>
      </c>
      <c r="L8" s="247" t="n">
        <v>5</v>
      </c>
      <c r="M8" s="247" t="n">
        <v>4</v>
      </c>
      <c r="N8" s="247" t="n">
        <v>4</v>
      </c>
      <c r="O8" s="247" t="inlineStr">
        <is>
          <t>Strengthen cybersecurity controls, incident response, monitoring, identity protection, backup recovery and security awareness.</t>
        </is>
      </c>
      <c r="P8" s="247" t="n">
        <v>1</v>
      </c>
      <c r="Q8" s="247" t="n">
        <v>1</v>
      </c>
      <c r="R8" s="247" t="n">
        <v>2</v>
      </c>
      <c r="S8" s="247" t="n">
        <v>1.6</v>
      </c>
      <c r="T8" s="247" t="n">
        <v>1</v>
      </c>
      <c r="U8" s="247" t="n">
        <v>1</v>
      </c>
      <c r="V8" s="247" t="n">
        <v>1</v>
      </c>
      <c r="W8" s="247" t="n">
        <v>1</v>
      </c>
      <c r="X8" s="247" t="n">
        <v>1</v>
      </c>
      <c r="Y8" s="247" t="n">
        <v>1.3</v>
      </c>
      <c r="Z8" s="247" t="n">
        <v>1.4</v>
      </c>
      <c r="AA8" s="247" t="n">
        <v>0</v>
      </c>
      <c r="AB8" s="247" t="n">
        <v>0</v>
      </c>
      <c r="AC8" s="247" t="n">
        <v>0</v>
      </c>
      <c r="AD8" s="247" t="n">
        <v>0</v>
      </c>
      <c r="AE8" s="247" t="n">
        <v>2</v>
      </c>
      <c r="AF8" s="247" t="n">
        <v>3</v>
      </c>
      <c r="AG8" s="247" t="n">
        <v>0</v>
      </c>
      <c r="AH8" s="247" t="n">
        <v>0</v>
      </c>
      <c r="AI8" s="247" t="n">
        <v>0</v>
      </c>
      <c r="AJ8" s="247" t="n">
        <v>0</v>
      </c>
      <c r="AK8" s="247" t="n">
        <v>0</v>
      </c>
      <c r="AL8" s="247" t="n">
        <v>2</v>
      </c>
      <c r="AM8" s="247" t="n">
        <v>4</v>
      </c>
      <c r="AN8" s="247" t="n">
        <v>4</v>
      </c>
      <c r="AO8" s="247" t="n">
        <v>3</v>
      </c>
      <c r="AP8" s="247" t="n">
        <v>5</v>
      </c>
      <c r="AQ8" s="247" t="n">
        <v>0</v>
      </c>
      <c r="AR8" s="247" t="inlineStr">
        <is>
          <t>Cyber Privacy; IT Cloud DR; Business Systems</t>
        </is>
      </c>
    </row>
    <row r="9" ht="42.75" customHeight="1" s="209">
      <c r="A9" s="247" t="inlineStr">
        <is>
          <t>STR-05</t>
        </is>
      </c>
      <c r="B9" s="247" t="inlineStr">
        <is>
          <t>Data Governance and AI Readiness Strategy</t>
        </is>
      </c>
      <c r="C9" s="247" t="inlineStr">
        <is>
          <t>Create data ownership, quality rules, BI governance, analytics discipline and responsible AI controls.</t>
        </is>
      </c>
      <c r="D9" s="247" t="inlineStr">
        <is>
          <t>Data quality, ownership, reporting, BI or AI governance is weak.</t>
        </is>
      </c>
      <c r="E9" s="247" t="inlineStr">
        <is>
          <t>Reliable data foundation for analytics, forecasting, AI and executive decisions.</t>
        </is>
      </c>
      <c r="F9" s="247" t="inlineStr">
        <is>
          <t>Data owners, data catalog, BI standards, data quality rules, AI governance, decision dashboards.</t>
        </is>
      </c>
      <c r="G9" s="247" t="inlineStr">
        <is>
          <t>CDO / CIO / CFO</t>
        </is>
      </c>
      <c r="H9" s="247" t="inlineStr">
        <is>
          <t>3-12 months</t>
        </is>
      </c>
      <c r="I9" s="247" t="inlineStr">
        <is>
          <t>Data owner coverage; data quality score; BI adoption; forecast accuracy; AI use-case governance</t>
        </is>
      </c>
      <c r="J9" s="247" t="n">
        <v>4</v>
      </c>
      <c r="K9" s="247" t="n">
        <v>5</v>
      </c>
      <c r="L9" s="247" t="n">
        <v>3</v>
      </c>
      <c r="M9" s="247" t="n">
        <v>3</v>
      </c>
      <c r="N9" s="247" t="n">
        <v>4</v>
      </c>
      <c r="O9" s="247" t="inlineStr">
        <is>
          <t>Create data ownership, quality rules, BI governance, analytics discipline and responsible AI controls.</t>
        </is>
      </c>
      <c r="P9" s="247" t="n">
        <v>1</v>
      </c>
      <c r="Q9" s="247" t="n">
        <v>1</v>
      </c>
      <c r="R9" s="247" t="n">
        <v>1.2</v>
      </c>
      <c r="S9" s="247" t="n">
        <v>1.2</v>
      </c>
      <c r="T9" s="247" t="n">
        <v>1</v>
      </c>
      <c r="U9" s="247" t="n">
        <v>1</v>
      </c>
      <c r="V9" s="247" t="n">
        <v>1.3</v>
      </c>
      <c r="W9" s="247" t="n">
        <v>1.5</v>
      </c>
      <c r="X9" s="247" t="n">
        <v>1</v>
      </c>
      <c r="Y9" s="247" t="n">
        <v>1.4</v>
      </c>
      <c r="Z9" s="247" t="n">
        <v>1</v>
      </c>
      <c r="AA9" s="247" t="n">
        <v>0</v>
      </c>
      <c r="AB9" s="247" t="n">
        <v>3</v>
      </c>
      <c r="AC9" s="247" t="n">
        <v>0</v>
      </c>
      <c r="AD9" s="247" t="n">
        <v>0</v>
      </c>
      <c r="AE9" s="247" t="n">
        <v>3</v>
      </c>
      <c r="AF9" s="247" t="n">
        <v>0</v>
      </c>
      <c r="AG9" s="247" t="n">
        <v>0</v>
      </c>
      <c r="AH9" s="247" t="n">
        <v>0</v>
      </c>
      <c r="AI9" s="247" t="n">
        <v>0</v>
      </c>
      <c r="AJ9" s="247" t="n">
        <v>0</v>
      </c>
      <c r="AK9" s="247" t="n">
        <v>3</v>
      </c>
      <c r="AL9" s="247" t="n">
        <v>0</v>
      </c>
      <c r="AM9" s="247" t="n">
        <v>0</v>
      </c>
      <c r="AN9" s="247" t="n">
        <v>4</v>
      </c>
      <c r="AO9" s="247" t="n">
        <v>5</v>
      </c>
      <c r="AP9" s="247" t="n">
        <v>2</v>
      </c>
      <c r="AQ9" s="247" t="n">
        <v>2</v>
      </c>
      <c r="AR9" s="247" t="inlineStr">
        <is>
          <t>Data BI AI; Business Systems</t>
        </is>
      </c>
    </row>
    <row r="10" ht="42.75" customHeight="1" s="209">
      <c r="A10" s="247" t="inlineStr">
        <is>
          <t>STR-06</t>
        </is>
      </c>
      <c r="B10" s="247" t="inlineStr">
        <is>
          <t>Workforce Resilience Strategy</t>
        </is>
      </c>
      <c r="C10" s="247" t="inlineStr">
        <is>
          <t>Reduce critical people risk through succession, cross-training, knowledge management, staffing flexibility and wellbeing controls.</t>
        </is>
      </c>
      <c r="D10" s="247" t="inlineStr">
        <is>
          <t>The company depends on critical people, lacks backup roles or faces workforce availability disruption.</t>
        </is>
      </c>
      <c r="E10" s="247" t="inlineStr">
        <is>
          <t>Knowledge, productivity and continuity of critical roles improve.</t>
        </is>
      </c>
      <c r="F10" s="247" t="inlineStr">
        <is>
          <t>Critical role matrix, succession, backup teams, knowledge base, cross-training, remote work readiness.</t>
        </is>
      </c>
      <c r="G10" s="247" t="inlineStr">
        <is>
          <t>CHRO / COO</t>
        </is>
      </c>
      <c r="H10" s="247" t="inlineStr">
        <is>
          <t>0-6 months</t>
        </is>
      </c>
      <c r="I10" s="247" t="inlineStr">
        <is>
          <t>Critical roles with backups; cross-training coverage; attrition risk; onboarding time; knowledge coverage</t>
        </is>
      </c>
      <c r="J10" s="247" t="n">
        <v>4</v>
      </c>
      <c r="K10" s="247" t="n">
        <v>2</v>
      </c>
      <c r="L10" s="247" t="n">
        <v>5</v>
      </c>
      <c r="M10" s="247" t="n">
        <v>4</v>
      </c>
      <c r="N10" s="247" t="n">
        <v>3</v>
      </c>
      <c r="O10" s="247" t="inlineStr">
        <is>
          <t>Reduce critical people risk through succession, cross-training, knowledge management, staffing flexibility and wellbeing controls.</t>
        </is>
      </c>
      <c r="P10" s="247" t="n">
        <v>1.6</v>
      </c>
      <c r="Q10" s="247" t="n">
        <v>1.2</v>
      </c>
      <c r="R10" s="247" t="n">
        <v>1</v>
      </c>
      <c r="S10" s="247" t="n">
        <v>1</v>
      </c>
      <c r="T10" s="247" t="n">
        <v>1</v>
      </c>
      <c r="U10" s="247" t="n">
        <v>1</v>
      </c>
      <c r="V10" s="247" t="n">
        <v>1.2</v>
      </c>
      <c r="W10" s="247" t="n">
        <v>1</v>
      </c>
      <c r="X10" s="247" t="n">
        <v>2</v>
      </c>
      <c r="Y10" s="247" t="n">
        <v>1</v>
      </c>
      <c r="Z10" s="247" t="n">
        <v>1</v>
      </c>
      <c r="AA10" s="247" t="n">
        <v>0</v>
      </c>
      <c r="AB10" s="247" t="n">
        <v>0</v>
      </c>
      <c r="AC10" s="247" t="n">
        <v>3</v>
      </c>
      <c r="AD10" s="247" t="n">
        <v>5</v>
      </c>
      <c r="AE10" s="247" t="n">
        <v>0</v>
      </c>
      <c r="AF10" s="247" t="n">
        <v>0</v>
      </c>
      <c r="AG10" s="247" t="n">
        <v>3</v>
      </c>
      <c r="AH10" s="247" t="n">
        <v>3</v>
      </c>
      <c r="AI10" s="247" t="n">
        <v>0</v>
      </c>
      <c r="AJ10" s="247" t="n">
        <v>0</v>
      </c>
      <c r="AK10" s="247" t="n">
        <v>0</v>
      </c>
      <c r="AL10" s="247" t="n">
        <v>0</v>
      </c>
      <c r="AM10" s="247" t="n">
        <v>0</v>
      </c>
      <c r="AN10" s="247" t="n">
        <v>2</v>
      </c>
      <c r="AO10" s="247" t="n">
        <v>0</v>
      </c>
      <c r="AP10" s="247" t="n">
        <v>0</v>
      </c>
      <c r="AQ10" s="247" t="n">
        <v>2</v>
      </c>
      <c r="AR10" s="247" t="inlineStr">
        <is>
          <t>HR Workforce</t>
        </is>
      </c>
    </row>
    <row r="11" ht="42.75" customHeight="1" s="209">
      <c r="A11" s="247" t="inlineStr">
        <is>
          <t>STR-07</t>
        </is>
      </c>
      <c r="B11" s="247" t="inlineStr">
        <is>
          <t>Operational Excellence and Automation Strategy</t>
        </is>
      </c>
      <c r="C11" s="247" t="inlineStr">
        <is>
          <t>Improve process control, reduce manual effort, automate repetitive work and strengthen KPIs and ownership.</t>
        </is>
      </c>
      <c r="D11" s="247" t="inlineStr">
        <is>
          <t>Processes are manual, slow, costly, fragmented or weakly measured.</t>
        </is>
      </c>
      <c r="E11" s="247" t="inlineStr">
        <is>
          <t>Cost-to-serve decreases and execution reliability improves.</t>
        </is>
      </c>
      <c r="F11" s="247" t="inlineStr">
        <is>
          <t>Process mapping, KPI cadence, automation, workflow redesign, standard work, performance management.</t>
        </is>
      </c>
      <c r="G11" s="247" t="inlineStr">
        <is>
          <t>COO / Transformation Lead</t>
        </is>
      </c>
      <c r="H11" s="247" t="inlineStr">
        <is>
          <t>3-12 months</t>
        </is>
      </c>
      <c r="I11" s="247" t="inlineStr">
        <is>
          <t>Cycle time; automation rate; defect rate; productivity; process owner coverage</t>
        </is>
      </c>
      <c r="J11" s="247" t="n">
        <v>4</v>
      </c>
      <c r="K11" s="247" t="n">
        <v>4</v>
      </c>
      <c r="L11" s="247" t="n">
        <v>3</v>
      </c>
      <c r="M11" s="247" t="n">
        <v>5</v>
      </c>
      <c r="N11" s="247" t="n">
        <v>4</v>
      </c>
      <c r="O11" s="247" t="inlineStr">
        <is>
          <t>Improve process control, reduce manual effort, automate repetitive work and strengthen KPIs and ownership.</t>
        </is>
      </c>
      <c r="P11" s="247" t="n">
        <v>1</v>
      </c>
      <c r="Q11" s="247" t="n">
        <v>1</v>
      </c>
      <c r="R11" s="247" t="n">
        <v>1</v>
      </c>
      <c r="S11" s="247" t="n">
        <v>1</v>
      </c>
      <c r="T11" s="247" t="n">
        <v>1.3</v>
      </c>
      <c r="U11" s="247" t="n">
        <v>1.4</v>
      </c>
      <c r="V11" s="247" t="n">
        <v>1.7</v>
      </c>
      <c r="W11" s="247" t="n">
        <v>1.4</v>
      </c>
      <c r="X11" s="247" t="n">
        <v>1</v>
      </c>
      <c r="Y11" s="247" t="n">
        <v>1</v>
      </c>
      <c r="Z11" s="247" t="n">
        <v>1</v>
      </c>
      <c r="AA11" s="247" t="n">
        <v>0</v>
      </c>
      <c r="AB11" s="247" t="n">
        <v>0</v>
      </c>
      <c r="AC11" s="247" t="n">
        <v>0</v>
      </c>
      <c r="AD11" s="247" t="n">
        <v>0</v>
      </c>
      <c r="AE11" s="247" t="n">
        <v>3</v>
      </c>
      <c r="AF11" s="247" t="n">
        <v>0</v>
      </c>
      <c r="AG11" s="247" t="n">
        <v>0</v>
      </c>
      <c r="AH11" s="247" t="n">
        <v>4</v>
      </c>
      <c r="AI11" s="247" t="n">
        <v>3</v>
      </c>
      <c r="AJ11" s="247" t="n">
        <v>4</v>
      </c>
      <c r="AK11" s="247" t="n">
        <v>0</v>
      </c>
      <c r="AL11" s="247" t="n">
        <v>0</v>
      </c>
      <c r="AM11" s="247" t="n">
        <v>0</v>
      </c>
      <c r="AN11" s="247" t="n">
        <v>4</v>
      </c>
      <c r="AO11" s="247" t="n">
        <v>3</v>
      </c>
      <c r="AP11" s="247" t="n">
        <v>0</v>
      </c>
      <c r="AQ11" s="247" t="n">
        <v>5</v>
      </c>
      <c r="AR11" s="247" t="inlineStr">
        <is>
          <t>Delivery Ops; Manufacturing MES; Business Systems; Quality Portfolio</t>
        </is>
      </c>
    </row>
    <row r="12" ht="42.75" customHeight="1" s="209">
      <c r="A12" s="247" t="inlineStr">
        <is>
          <t>STR-08</t>
        </is>
      </c>
      <c r="B12" s="247" t="inlineStr">
        <is>
          <t>Supply Chain and Delivery Resilience Strategy</t>
        </is>
      </c>
      <c r="C12" s="247" t="inlineStr">
        <is>
          <t>Strengthen supplier diversification, logistics alternatives, inventory visibility, delivery governance and supplier monitoring.</t>
        </is>
      </c>
      <c r="D12" s="247" t="inlineStr">
        <is>
          <t>Supply, logistics or delivery dependencies create material disruption risk.</t>
        </is>
      </c>
      <c r="E12" s="247" t="inlineStr">
        <is>
          <t>Alternative suppliers, locations and delivery models are strengthened.</t>
        </is>
      </c>
      <c r="F12" s="247" t="inlineStr">
        <is>
          <t>Supplier map, dual sourcing, inventory visibility, route alternatives, SLA triage, delivery fallback.</t>
        </is>
      </c>
      <c r="G12" s="247" t="inlineStr">
        <is>
          <t>COO / Procurement Lead</t>
        </is>
      </c>
      <c r="H12" s="247" t="inlineStr">
        <is>
          <t>0-9 months</t>
        </is>
      </c>
      <c r="I12" s="247" t="inlineStr">
        <is>
          <t>Critical suppliers with alternatives; OTIF; safety stock coverage; route alternatives; supplier risk score</t>
        </is>
      </c>
      <c r="J12" s="247" t="n">
        <v>5</v>
      </c>
      <c r="K12" s="247" t="n">
        <v>3</v>
      </c>
      <c r="L12" s="247" t="n">
        <v>5</v>
      </c>
      <c r="M12" s="247" t="n">
        <v>4</v>
      </c>
      <c r="N12" s="247" t="n">
        <v>4</v>
      </c>
      <c r="O12" s="247" t="inlineStr">
        <is>
          <t>Strengthen supplier diversification, logistics alternatives, inventory visibility, delivery governance and supplier monitoring.</t>
        </is>
      </c>
      <c r="P12" s="247" t="n">
        <v>1.6</v>
      </c>
      <c r="Q12" s="247" t="n">
        <v>1.4</v>
      </c>
      <c r="R12" s="247" t="n">
        <v>1</v>
      </c>
      <c r="S12" s="247" t="n">
        <v>1</v>
      </c>
      <c r="T12" s="247" t="n">
        <v>2</v>
      </c>
      <c r="U12" s="247" t="n">
        <v>1.5</v>
      </c>
      <c r="V12" s="247" t="n">
        <v>1</v>
      </c>
      <c r="W12" s="247" t="n">
        <v>1</v>
      </c>
      <c r="X12" s="247" t="n">
        <v>1</v>
      </c>
      <c r="Y12" s="247" t="n">
        <v>1</v>
      </c>
      <c r="Z12" s="247" t="n">
        <v>1</v>
      </c>
      <c r="AA12" s="247" t="n">
        <v>3</v>
      </c>
      <c r="AB12" s="247" t="n">
        <v>0</v>
      </c>
      <c r="AC12" s="247" t="n">
        <v>0</v>
      </c>
      <c r="AD12" s="247" t="n">
        <v>0</v>
      </c>
      <c r="AE12" s="247" t="n">
        <v>3</v>
      </c>
      <c r="AF12" s="247" t="n">
        <v>0</v>
      </c>
      <c r="AG12" s="247" t="n">
        <v>2</v>
      </c>
      <c r="AH12" s="247" t="n">
        <v>5</v>
      </c>
      <c r="AI12" s="247" t="n">
        <v>5</v>
      </c>
      <c r="AJ12" s="247" t="n">
        <v>4</v>
      </c>
      <c r="AK12" s="247" t="n">
        <v>0</v>
      </c>
      <c r="AL12" s="247" t="n">
        <v>0</v>
      </c>
      <c r="AM12" s="247" t="n">
        <v>0</v>
      </c>
      <c r="AN12" s="247" t="n">
        <v>0</v>
      </c>
      <c r="AO12" s="247" t="n">
        <v>0</v>
      </c>
      <c r="AP12" s="247" t="n">
        <v>0</v>
      </c>
      <c r="AQ12" s="247" t="n">
        <v>0</v>
      </c>
      <c r="AR12" s="247" t="inlineStr">
        <is>
          <t>Supply Chain; Delivery Ops; Manufacturing MES</t>
        </is>
      </c>
    </row>
    <row r="13" ht="42.75" customHeight="1" s="209">
      <c r="A13" s="247" t="inlineStr">
        <is>
          <t>STR-09</t>
        </is>
      </c>
      <c r="B13" s="247" t="inlineStr">
        <is>
          <t>Manufacturing Continuity and MES Strategy</t>
        </is>
      </c>
      <c r="C13" s="247" t="inlineStr">
        <is>
          <t>Improve production continuity, MES visibility, asset maintenance, spare parts, utilities backup and production recovery procedures.</t>
        </is>
      </c>
      <c r="D13" s="247" t="inlineStr">
        <is>
          <t>Manufacturing continuity, MES, maintenance or utility dependencies create operational risk.</t>
        </is>
      </c>
      <c r="E13" s="247" t="inlineStr">
        <is>
          <t>Production visibility, recoverability and operational control improve.</t>
        </is>
      </c>
      <c r="F13" s="247" t="inlineStr">
        <is>
          <t>MES continuity, OEE visibility, maintenance planning, spare parts, utility backup, production recovery sequence.</t>
        </is>
      </c>
      <c r="G13" s="247" t="inlineStr">
        <is>
          <t>Plant Manager / COO</t>
        </is>
      </c>
      <c r="H13" s="247" t="inlineStr">
        <is>
          <t>3-12 months</t>
        </is>
      </c>
      <c r="I13" s="247" t="inlineStr">
        <is>
          <t>OEE; unplanned downtime; MES availability; spare parts coverage; production recovery time</t>
        </is>
      </c>
      <c r="J13" s="247" t="n">
        <v>4</v>
      </c>
      <c r="K13" s="247" t="n">
        <v>4</v>
      </c>
      <c r="L13" s="247" t="n">
        <v>5</v>
      </c>
      <c r="M13" s="247" t="n">
        <v>4</v>
      </c>
      <c r="N13" s="247" t="n">
        <v>5</v>
      </c>
      <c r="O13" s="247" t="inlineStr">
        <is>
          <t>Improve production continuity, MES visibility, asset maintenance, spare parts, utilities backup and production recovery procedures.</t>
        </is>
      </c>
      <c r="P13" s="247" t="n">
        <v>1.3</v>
      </c>
      <c r="Q13" s="247" t="n">
        <v>1.7</v>
      </c>
      <c r="R13" s="247" t="n">
        <v>1</v>
      </c>
      <c r="S13" s="247" t="n">
        <v>1</v>
      </c>
      <c r="T13" s="247" t="n">
        <v>1.5</v>
      </c>
      <c r="U13" s="247" t="n">
        <v>1.8</v>
      </c>
      <c r="V13" s="247" t="n">
        <v>1</v>
      </c>
      <c r="W13" s="247" t="n">
        <v>1</v>
      </c>
      <c r="X13" s="247" t="n">
        <v>1</v>
      </c>
      <c r="Y13" s="247" t="n">
        <v>1</v>
      </c>
      <c r="Z13" s="247" t="n">
        <v>1</v>
      </c>
      <c r="AA13" s="247" t="n">
        <v>0</v>
      </c>
      <c r="AB13" s="247" t="n">
        <v>0</v>
      </c>
      <c r="AC13" s="247" t="n">
        <v>0</v>
      </c>
      <c r="AD13" s="247" t="n">
        <v>0</v>
      </c>
      <c r="AE13" s="247" t="n">
        <v>0</v>
      </c>
      <c r="AF13" s="247" t="n">
        <v>0</v>
      </c>
      <c r="AG13" s="247" t="n">
        <v>4</v>
      </c>
      <c r="AH13" s="247" t="n">
        <v>3</v>
      </c>
      <c r="AI13" s="247" t="n">
        <v>4</v>
      </c>
      <c r="AJ13" s="247" t="n">
        <v>5</v>
      </c>
      <c r="AK13" s="247" t="n">
        <v>0</v>
      </c>
      <c r="AL13" s="247" t="n">
        <v>0</v>
      </c>
      <c r="AM13" s="247" t="n">
        <v>3</v>
      </c>
      <c r="AN13" s="247" t="n">
        <v>3</v>
      </c>
      <c r="AO13" s="247" t="n">
        <v>0</v>
      </c>
      <c r="AP13" s="247" t="n">
        <v>0</v>
      </c>
      <c r="AQ13" s="247" t="n">
        <v>0</v>
      </c>
      <c r="AR13" s="247" t="inlineStr">
        <is>
          <t>Manufacturing MES; Physical Safety; Supply Chain</t>
        </is>
      </c>
    </row>
    <row r="14" ht="42.75" customHeight="1" s="209">
      <c r="A14" s="247" t="inlineStr">
        <is>
          <t>STR-10</t>
        </is>
      </c>
      <c r="B14" s="247" t="inlineStr">
        <is>
          <t>Physical Safety and Site Resilience Strategy</t>
        </is>
      </c>
      <c r="C14" s="247" t="inlineStr">
        <is>
          <t>Protect people, sites and physical assets through safety controls, emergency response, access management and alternate-site planning.</t>
        </is>
      </c>
      <c r="D14" s="247" t="inlineStr">
        <is>
          <t>Employee safety, facility, access, emergency response or site loss risks are material.</t>
        </is>
      </c>
      <c r="E14" s="247" t="inlineStr">
        <is>
          <t>People safety and site continuity are strengthened under physical disruption.</t>
        </is>
      </c>
      <c r="F14" s="247" t="inlineStr">
        <is>
          <t>Site risk assessment, evacuation, emergency roles, access control, travel risk, alternate site, security providers.</t>
        </is>
      </c>
      <c r="G14" s="247" t="inlineStr">
        <is>
          <t>COO / HSE / Security Lead</t>
        </is>
      </c>
      <c r="H14" s="247" t="inlineStr">
        <is>
          <t>0-6 months</t>
        </is>
      </c>
      <c r="I14" s="247" t="inlineStr">
        <is>
          <t>Drill completion; incident rate; access review coverage; evacuation readiness; site risk actions closed</t>
        </is>
      </c>
      <c r="J14" s="247" t="n">
        <v>5</v>
      </c>
      <c r="K14" s="247" t="n">
        <v>2</v>
      </c>
      <c r="L14" s="247" t="n">
        <v>5</v>
      </c>
      <c r="M14" s="247" t="n">
        <v>4</v>
      </c>
      <c r="N14" s="247" t="n">
        <v>3</v>
      </c>
      <c r="O14" s="247" t="inlineStr">
        <is>
          <t>Protect people, sites and physical assets through safety controls, emergency response, access management and alternate-site planning.</t>
        </is>
      </c>
      <c r="P14" s="247" t="n">
        <v>1.8</v>
      </c>
      <c r="Q14" s="247" t="n">
        <v>2</v>
      </c>
      <c r="R14" s="247" t="n">
        <v>1</v>
      </c>
      <c r="S14" s="247" t="n">
        <v>1</v>
      </c>
      <c r="T14" s="247" t="n">
        <v>1</v>
      </c>
      <c r="U14" s="247" t="n">
        <v>1.5</v>
      </c>
      <c r="V14" s="247" t="n">
        <v>1</v>
      </c>
      <c r="W14" s="247" t="n">
        <v>1</v>
      </c>
      <c r="X14" s="247" t="n">
        <v>1.5</v>
      </c>
      <c r="Y14" s="247" t="n">
        <v>1</v>
      </c>
      <c r="Z14" s="247" t="n">
        <v>1</v>
      </c>
      <c r="AA14" s="247" t="n">
        <v>3</v>
      </c>
      <c r="AB14" s="247" t="n">
        <v>0</v>
      </c>
      <c r="AC14" s="247" t="n">
        <v>3</v>
      </c>
      <c r="AD14" s="247" t="n">
        <v>3</v>
      </c>
      <c r="AE14" s="247" t="n">
        <v>0</v>
      </c>
      <c r="AF14" s="247" t="n">
        <v>0</v>
      </c>
      <c r="AG14" s="247" t="n">
        <v>5</v>
      </c>
      <c r="AH14" s="247" t="n">
        <v>2</v>
      </c>
      <c r="AI14" s="247" t="n">
        <v>0</v>
      </c>
      <c r="AJ14" s="247" t="n">
        <v>3</v>
      </c>
      <c r="AK14" s="247" t="n">
        <v>0</v>
      </c>
      <c r="AL14" s="247" t="n">
        <v>0</v>
      </c>
      <c r="AM14" s="247" t="n">
        <v>0</v>
      </c>
      <c r="AN14" s="247" t="n">
        <v>0</v>
      </c>
      <c r="AO14" s="247" t="n">
        <v>0</v>
      </c>
      <c r="AP14" s="247" t="n">
        <v>0</v>
      </c>
      <c r="AQ14" s="247" t="n">
        <v>0</v>
      </c>
      <c r="AR14" s="247" t="inlineStr">
        <is>
          <t>Physical Safety</t>
        </is>
      </c>
    </row>
    <row r="15" ht="42.75" customHeight="1" s="209">
      <c r="A15" s="247" t="inlineStr">
        <is>
          <t>STR-11</t>
        </is>
      </c>
      <c r="B15" s="247" t="inlineStr">
        <is>
          <t>Sales Channel Diversification Strategy</t>
        </is>
      </c>
      <c r="C15" s="247" t="inlineStr">
        <is>
          <t>Reduce revenue dependency through digital channels, new markets, CRM discipline, partner channels and offer packaging.</t>
        </is>
      </c>
      <c r="D15" s="247" t="inlineStr">
        <is>
          <t>Revenue depends on one region, customer segment, physical channel or narrow customer base.</t>
        </is>
      </c>
      <c r="E15" s="247" t="inlineStr">
        <is>
          <t>Revenue risk is reduced through digital channels and diversified markets.</t>
        </is>
      </c>
      <c r="F15" s="247" t="inlineStr">
        <is>
          <t>ICP validation, channel mix, ecommerce/digital sales, partner channels, pricing, market diversification.</t>
        </is>
      </c>
      <c r="G15" s="247" t="inlineStr">
        <is>
          <t>CRO / CMO</t>
        </is>
      </c>
      <c r="H15" s="247" t="inlineStr">
        <is>
          <t>3-12 months</t>
        </is>
      </c>
      <c r="I15" s="247" t="inlineStr">
        <is>
          <t>Pipeline diversification; channel revenue mix; win rate; customer concentration; digital lead share</t>
        </is>
      </c>
      <c r="J15" s="247" t="n">
        <v>4</v>
      </c>
      <c r="K15" s="247" t="n">
        <v>4</v>
      </c>
      <c r="L15" s="247" t="n">
        <v>4</v>
      </c>
      <c r="M15" s="247" t="n">
        <v>3</v>
      </c>
      <c r="N15" s="247" t="n">
        <v>4</v>
      </c>
      <c r="O15" s="247" t="inlineStr">
        <is>
          <t>Reduce revenue dependency through digital channels, new markets, CRM discipline, partner channels and offer packaging.</t>
        </is>
      </c>
      <c r="P15" s="247" t="n">
        <v>1.2</v>
      </c>
      <c r="Q15" s="247" t="n">
        <v>1</v>
      </c>
      <c r="R15" s="247" t="n">
        <v>1</v>
      </c>
      <c r="S15" s="247" t="n">
        <v>1</v>
      </c>
      <c r="T15" s="247" t="n">
        <v>1</v>
      </c>
      <c r="U15" s="247" t="n">
        <v>1</v>
      </c>
      <c r="V15" s="247" t="n">
        <v>1.5</v>
      </c>
      <c r="W15" s="247" t="n">
        <v>2</v>
      </c>
      <c r="X15" s="247" t="n">
        <v>1</v>
      </c>
      <c r="Y15" s="247" t="n">
        <v>1</v>
      </c>
      <c r="Z15" s="247" t="n">
        <v>1.4</v>
      </c>
      <c r="AA15" s="247" t="n">
        <v>2</v>
      </c>
      <c r="AB15" s="247" t="n">
        <v>5</v>
      </c>
      <c r="AC15" s="247" t="n">
        <v>0</v>
      </c>
      <c r="AD15" s="247" t="n">
        <v>0</v>
      </c>
      <c r="AE15" s="247" t="n">
        <v>2</v>
      </c>
      <c r="AF15" s="247" t="n">
        <v>0</v>
      </c>
      <c r="AG15" s="247" t="n">
        <v>0</v>
      </c>
      <c r="AH15" s="247" t="n">
        <v>0</v>
      </c>
      <c r="AI15" s="247" t="n">
        <v>0</v>
      </c>
      <c r="AJ15" s="247" t="n">
        <v>0</v>
      </c>
      <c r="AK15" s="247" t="n">
        <v>5</v>
      </c>
      <c r="AL15" s="247" t="n">
        <v>4</v>
      </c>
      <c r="AM15" s="247" t="n">
        <v>0</v>
      </c>
      <c r="AN15" s="247" t="n">
        <v>0</v>
      </c>
      <c r="AO15" s="247" t="n">
        <v>3</v>
      </c>
      <c r="AP15" s="247" t="n">
        <v>0</v>
      </c>
      <c r="AQ15" s="247" t="n">
        <v>0</v>
      </c>
      <c r="AR15" s="247" t="inlineStr">
        <is>
          <t>Strategy GTM; Sales CRM; Marketing Comms</t>
        </is>
      </c>
    </row>
    <row r="16" ht="42.75" customHeight="1" s="209">
      <c r="A16" s="247" t="inlineStr">
        <is>
          <t>STR-12</t>
        </is>
      </c>
      <c r="B16" s="247" t="inlineStr">
        <is>
          <t>Customer Retention and Revenue Protection Strategy</t>
        </is>
      </c>
      <c r="C16" s="247" t="inlineStr">
        <is>
          <t>Protect existing revenue through churn analytics, account risk monitoring, customer communication and recovery offers.</t>
        </is>
      </c>
      <c r="D16" s="247" t="inlineStr">
        <is>
          <t>Churn, revenue concentration, weak account visibility or poor customer analytics exist.</t>
        </is>
      </c>
      <c r="E16" s="247" t="inlineStr">
        <is>
          <t>Customer retention, revenue visibility and forecasting improve.</t>
        </is>
      </c>
      <c r="F16" s="247" t="inlineStr">
        <is>
          <t>Customer health score, churn playbooks, account coverage, retention offers, comms scripts, revenue risk dashboard.</t>
        </is>
      </c>
      <c r="G16" s="247" t="inlineStr">
        <is>
          <t>CRO / Customer Success Lead</t>
        </is>
      </c>
      <c r="H16" s="247" t="inlineStr">
        <is>
          <t>0-6 months</t>
        </is>
      </c>
      <c r="I16" s="247" t="inlineStr">
        <is>
          <t>Churn rate; retention rate; revenue at risk; account coverage; forecast accuracy</t>
        </is>
      </c>
      <c r="J16" s="247" t="n">
        <v>4</v>
      </c>
      <c r="K16" s="247" t="n">
        <v>4</v>
      </c>
      <c r="L16" s="247" t="n">
        <v>4</v>
      </c>
      <c r="M16" s="247" t="n">
        <v>3</v>
      </c>
      <c r="N16" s="247" t="n">
        <v>3</v>
      </c>
      <c r="O16" s="247" t="inlineStr">
        <is>
          <t>Protect existing revenue through churn analytics, account risk monitoring, customer communication and recovery offers.</t>
        </is>
      </c>
      <c r="P16" s="247" t="n">
        <v>1</v>
      </c>
      <c r="Q16" s="247" t="n">
        <v>1</v>
      </c>
      <c r="R16" s="247" t="n">
        <v>1</v>
      </c>
      <c r="S16" s="247" t="n">
        <v>1</v>
      </c>
      <c r="T16" s="247" t="n">
        <v>1</v>
      </c>
      <c r="U16" s="247" t="n">
        <v>1</v>
      </c>
      <c r="V16" s="247" t="n">
        <v>1.6</v>
      </c>
      <c r="W16" s="247" t="n">
        <v>1.8</v>
      </c>
      <c r="X16" s="247" t="n">
        <v>1</v>
      </c>
      <c r="Y16" s="247" t="n">
        <v>1</v>
      </c>
      <c r="Z16" s="247" t="n">
        <v>1.7</v>
      </c>
      <c r="AA16" s="247" t="n">
        <v>0</v>
      </c>
      <c r="AB16" s="247" t="n">
        <v>4</v>
      </c>
      <c r="AC16" s="247" t="n">
        <v>0</v>
      </c>
      <c r="AD16" s="247" t="n">
        <v>0</v>
      </c>
      <c r="AE16" s="247" t="n">
        <v>2</v>
      </c>
      <c r="AF16" s="247" t="n">
        <v>0</v>
      </c>
      <c r="AG16" s="247" t="n">
        <v>0</v>
      </c>
      <c r="AH16" s="247" t="n">
        <v>2</v>
      </c>
      <c r="AI16" s="247" t="n">
        <v>0</v>
      </c>
      <c r="AJ16" s="247" t="n">
        <v>0</v>
      </c>
      <c r="AK16" s="247" t="n">
        <v>5</v>
      </c>
      <c r="AL16" s="247" t="n">
        <v>4</v>
      </c>
      <c r="AM16" s="247" t="n">
        <v>0</v>
      </c>
      <c r="AN16" s="247" t="n">
        <v>0</v>
      </c>
      <c r="AO16" s="247" t="n">
        <v>3</v>
      </c>
      <c r="AP16" s="247" t="n">
        <v>0</v>
      </c>
      <c r="AQ16" s="247" t="n">
        <v>0</v>
      </c>
      <c r="AR16" s="247" t="inlineStr">
        <is>
          <t>Sales CRM; Marketing Comms; Strategy GTM</t>
        </is>
      </c>
    </row>
    <row r="17" ht="42.75" customHeight="1" s="209">
      <c r="A17" s="247" t="inlineStr">
        <is>
          <t>STR-13</t>
        </is>
      </c>
      <c r="B17" s="247" t="inlineStr">
        <is>
          <t>Compliance and Risk Control Strategy</t>
        </is>
      </c>
      <c r="C17" s="247" t="inlineStr">
        <is>
          <t>Strengthen compliance obligations, risk register, control testing, data protection, contract controls and regulatory monitoring.</t>
        </is>
      </c>
      <c r="D17" s="247" t="inlineStr">
        <is>
          <t>Regulatory exposure is high or compliance, risk, contract or privacy controls are weak.</t>
        </is>
      </c>
      <c r="E17" s="247" t="inlineStr">
        <is>
          <t>Compliance risk is reduced and controls become auditable.</t>
        </is>
      </c>
      <c r="F17" s="247" t="inlineStr">
        <is>
          <t>Obligation register, risk register, compliance calendar, policy automation, audit trail, contract controls.</t>
        </is>
      </c>
      <c r="G17" s="247" t="inlineStr">
        <is>
          <t>General Counsel / Compliance Lead</t>
        </is>
      </c>
      <c r="H17" s="247" t="inlineStr">
        <is>
          <t>0-9 months</t>
        </is>
      </c>
      <c r="I17" s="247" t="inlineStr">
        <is>
          <t>Obligations mapped; control tests; audit findings; policy exceptions; risk register completeness</t>
        </is>
      </c>
      <c r="J17" s="247" t="n">
        <v>4</v>
      </c>
      <c r="K17" s="247" t="n">
        <v>3</v>
      </c>
      <c r="L17" s="247" t="n">
        <v>4</v>
      </c>
      <c r="M17" s="247" t="n">
        <v>5</v>
      </c>
      <c r="N17" s="247" t="n">
        <v>3</v>
      </c>
      <c r="O17" s="247" t="inlineStr">
        <is>
          <t>Strengthen compliance obligations, risk register, control testing, data protection, contract controls and regulatory monitoring.</t>
        </is>
      </c>
      <c r="P17" s="247" t="n">
        <v>1</v>
      </c>
      <c r="Q17" s="247" t="n">
        <v>1</v>
      </c>
      <c r="R17" s="247" t="n">
        <v>1.5</v>
      </c>
      <c r="S17" s="247" t="n">
        <v>1</v>
      </c>
      <c r="T17" s="247" t="n">
        <v>1</v>
      </c>
      <c r="U17" s="247" t="n">
        <v>1</v>
      </c>
      <c r="V17" s="247" t="n">
        <v>1.2</v>
      </c>
      <c r="W17" s="247" t="n">
        <v>1</v>
      </c>
      <c r="X17" s="247" t="n">
        <v>1</v>
      </c>
      <c r="Y17" s="247" t="n">
        <v>2</v>
      </c>
      <c r="Z17" s="247" t="n">
        <v>1.4</v>
      </c>
      <c r="AA17" s="247" t="n">
        <v>0</v>
      </c>
      <c r="AB17" s="247" t="n">
        <v>0</v>
      </c>
      <c r="AC17" s="247" t="n">
        <v>4</v>
      </c>
      <c r="AD17" s="247" t="n">
        <v>0</v>
      </c>
      <c r="AE17" s="247" t="n">
        <v>3</v>
      </c>
      <c r="AF17" s="247" t="n">
        <v>5</v>
      </c>
      <c r="AG17" s="247" t="n">
        <v>0</v>
      </c>
      <c r="AH17" s="247" t="n">
        <v>0</v>
      </c>
      <c r="AI17" s="247" t="n">
        <v>0</v>
      </c>
      <c r="AJ17" s="247" t="n">
        <v>0</v>
      </c>
      <c r="AK17" s="247" t="n">
        <v>0</v>
      </c>
      <c r="AL17" s="247" t="n">
        <v>0</v>
      </c>
      <c r="AM17" s="247" t="n">
        <v>0</v>
      </c>
      <c r="AN17" s="247" t="n">
        <v>2</v>
      </c>
      <c r="AO17" s="247" t="n">
        <v>3</v>
      </c>
      <c r="AP17" s="247" t="n">
        <v>4</v>
      </c>
      <c r="AQ17" s="247" t="n">
        <v>0</v>
      </c>
      <c r="AR17" s="247" t="inlineStr">
        <is>
          <t>Legal Risk; Cyber Privacy; Governance Crisis</t>
        </is>
      </c>
    </row>
    <row r="18" ht="42.75" customHeight="1" s="209">
      <c r="A18" s="247" t="inlineStr">
        <is>
          <t>STR-14</t>
        </is>
      </c>
      <c r="B18" s="247" t="inlineStr">
        <is>
          <t>Governance and Decision-Speed Strategy</t>
        </is>
      </c>
      <c r="C18" s="247" t="inlineStr">
        <is>
          <t>Clarify decision rights, crisis roles, portfolio governance, management cadence and cross-functional escalation.</t>
        </is>
      </c>
      <c r="D18" s="247" t="inlineStr">
        <is>
          <t>Slow decisions, unclear ownership, weak prioritization or fragmented management practices reduce crisis response speed.</t>
        </is>
      </c>
      <c r="E18" s="247" t="inlineStr">
        <is>
          <t>Management decisions become faster, clearer and better aligned to risk and value.</t>
        </is>
      </c>
      <c r="F18" s="247" t="inlineStr">
        <is>
          <t>RACI, decision rights, RAPID, crisis board, portfolio steering, KPI cadence, escalation triggers.</t>
        </is>
      </c>
      <c r="G18" s="247" t="inlineStr">
        <is>
          <t>CEO / COO</t>
        </is>
      </c>
      <c r="H18" s="247" t="inlineStr">
        <is>
          <t>0-3 months</t>
        </is>
      </c>
      <c r="I18" s="247" t="inlineStr">
        <is>
          <t>Decision cycle time; owner coverage; escalation SLA; portfolio focus; action closure rate</t>
        </is>
      </c>
      <c r="J18" s="247" t="n">
        <v>5</v>
      </c>
      <c r="K18" s="247" t="n">
        <v>2</v>
      </c>
      <c r="L18" s="247" t="n">
        <v>4</v>
      </c>
      <c r="M18" s="247" t="n">
        <v>5</v>
      </c>
      <c r="N18" s="247" t="n">
        <v>2</v>
      </c>
      <c r="O18" s="247" t="inlineStr">
        <is>
          <t>Clarify decision rights, crisis roles, portfolio governance, management cadence and cross-functional escalation.</t>
        </is>
      </c>
      <c r="P18" s="247" t="n">
        <v>1.5</v>
      </c>
      <c r="Q18" s="247" t="n">
        <v>1</v>
      </c>
      <c r="R18" s="247" t="n">
        <v>1</v>
      </c>
      <c r="S18" s="247" t="n">
        <v>1</v>
      </c>
      <c r="T18" s="247" t="n">
        <v>1</v>
      </c>
      <c r="U18" s="247" t="n">
        <v>1</v>
      </c>
      <c r="V18" s="247" t="n">
        <v>1.4</v>
      </c>
      <c r="W18" s="247" t="n">
        <v>1.2</v>
      </c>
      <c r="X18" s="247" t="n">
        <v>1</v>
      </c>
      <c r="Y18" s="247" t="n">
        <v>1.3</v>
      </c>
      <c r="Z18" s="247" t="n">
        <v>1.4</v>
      </c>
      <c r="AA18" s="247" t="n">
        <v>3</v>
      </c>
      <c r="AB18" s="247" t="n">
        <v>3</v>
      </c>
      <c r="AC18" s="247" t="n">
        <v>5</v>
      </c>
      <c r="AD18" s="247" t="n">
        <v>2</v>
      </c>
      <c r="AE18" s="247" t="n">
        <v>3</v>
      </c>
      <c r="AF18" s="247" t="n">
        <v>2</v>
      </c>
      <c r="AG18" s="247" t="n">
        <v>0</v>
      </c>
      <c r="AH18" s="247" t="n">
        <v>0</v>
      </c>
      <c r="AI18" s="247" t="n">
        <v>0</v>
      </c>
      <c r="AJ18" s="247" t="n">
        <v>0</v>
      </c>
      <c r="AK18" s="247" t="n">
        <v>0</v>
      </c>
      <c r="AL18" s="247" t="n">
        <v>0</v>
      </c>
      <c r="AM18" s="247" t="n">
        <v>0</v>
      </c>
      <c r="AN18" s="247" t="n">
        <v>0</v>
      </c>
      <c r="AO18" s="247" t="n">
        <v>0</v>
      </c>
      <c r="AP18" s="247" t="n">
        <v>0</v>
      </c>
      <c r="AQ18" s="247" t="n">
        <v>5</v>
      </c>
      <c r="AR18" s="247" t="inlineStr">
        <is>
          <t>Governance Crisis; Quality Portfolio</t>
        </is>
      </c>
    </row>
    <row r="93">
      <c r="A93" t="inlineStr">
        <is>
          <t>Strategy Scoring Engine — v1.97</t>
        </is>
      </c>
    </row>
    <row r="94">
      <c r="A94" t="inlineStr">
        <is>
          <t>Refactored strategy scoring output formerly staged in Risk &amp; Recommendations. Used by initiative WSJF and action plan.</t>
        </is>
      </c>
    </row>
    <row r="95">
      <c r="A95" t="inlineStr">
        <is>
          <t>Primary strategy</t>
        </is>
      </c>
      <c r="B95">
        <f>IFERROR(INDEX($B$100:$B$113,MATCH(1,$A$100:$A$113,0)),"")</f>
      </c>
    </row>
    <row r="96">
      <c r="A96" t="inlineStr">
        <is>
          <t>Supporting strategy 1</t>
        </is>
      </c>
      <c r="B96">
        <f>IFERROR(INDEX($B$100:$B$113,MATCH(2,$A$100:$A$113,0)),"")</f>
      </c>
    </row>
    <row r="97">
      <c r="A97" t="inlineStr">
        <is>
          <t>Supporting strategy 2</t>
        </is>
      </c>
      <c r="B97">
        <f>IFERROR(INDEX($B$100:$B$113,MATCH(3,$A$100:$A$113,0)),"")</f>
      </c>
    </row>
    <row r="99">
      <c r="A99" t="inlineStr">
        <is>
          <t>Rank</t>
        </is>
      </c>
      <c r="B99" t="inlineStr">
        <is>
          <t>Strategy</t>
        </is>
      </c>
      <c r="C99" t="inlineStr">
        <is>
          <t>Strategy ID</t>
        </is>
      </c>
      <c r="D99" t="inlineStr">
        <is>
          <t>Scenario fit 0-5</t>
        </is>
      </c>
      <c r="E99" t="inlineStr">
        <is>
          <t>Domain gap fit 0-5</t>
        </is>
      </c>
      <c r="F99" t="inlineStr">
        <is>
          <t>Risk fit 0-5</t>
        </is>
      </c>
      <c r="G99" t="inlineStr">
        <is>
          <t>Digital gap fit</t>
        </is>
      </c>
      <c r="H99" t="inlineStr">
        <is>
          <t>Resilience gap fit</t>
        </is>
      </c>
      <c r="I99" t="inlineStr">
        <is>
          <t>Process gap fit</t>
        </is>
      </c>
      <c r="J99" t="inlineStr">
        <is>
          <t>Total strategy score</t>
        </is>
      </c>
      <c r="K99" t="inlineStr">
        <is>
          <t>Confidence</t>
        </is>
      </c>
      <c r="L99" t="inlineStr">
        <is>
          <t>Role</t>
        </is>
      </c>
      <c r="M99" t="inlineStr">
        <is>
          <t>Typical outcome</t>
        </is>
      </c>
      <c r="N99" t="inlineStr">
        <is>
          <t>Trigger rationale</t>
        </is>
      </c>
      <c r="O99" t="inlineStr">
        <is>
          <t>Priority initiative themes</t>
        </is>
      </c>
      <c r="P99" t="inlineStr">
        <is>
          <t>Owner role</t>
        </is>
      </c>
      <c r="Q99" t="inlineStr">
        <is>
          <t>Default timeline</t>
        </is>
      </c>
      <c r="R99" t="inlineStr">
        <is>
          <t>KPI examples</t>
        </is>
      </c>
      <c r="S99" t="inlineStr">
        <is>
          <t>Complexity / job size</t>
        </is>
      </c>
      <c r="T99" t="inlineStr">
        <is>
          <t>Linked initiatives</t>
        </is>
      </c>
      <c r="U99" t="inlineStr">
        <is>
          <t>Top roadmap wave</t>
        </is>
      </c>
      <c r="V99" t="inlineStr">
        <is>
          <t>Avg initiative WSJF</t>
        </is>
      </c>
      <c r="W99" t="inlineStr">
        <is>
          <t>Industry fit 0-5</t>
        </is>
      </c>
      <c r="X99" t="inlineStr">
        <is>
          <t>Industry-adjusted total score</t>
        </is>
      </c>
    </row>
    <row r="100">
      <c r="A100">
        <f>IF($X100="","",1+COUNTIF($X$100:$X$113,"&gt;"&amp;$X100))</f>
      </c>
      <c r="B100">
        <f>_ENGINE_Strategy!B5</f>
      </c>
      <c r="C100">
        <f>_ENGINE_Strategy!A5</f>
      </c>
      <c r="D100">
        <f>IFERROR(ROUND(INDEX(_ENGINE_Strategy!$P5:$Z5,1,MATCH('Resilience &amp; Risk Scenario'!$B$6,_ENGINE_Strategy!$P$4:$Z$4,0))*cfg_ScenarioFitScale,2),0)</f>
      </c>
      <c r="E100">
        <f>IFERROR(ROUND(SUMPRODUCT(_ENGINE_Strategy!$AA5:$AQ5,TRANSPOSE(5-_DATA_Dashboard_Facts!$H$5:$H$21))/SUM(_ENGINE_Strategy!$AA5:$AQ5),2),0)</f>
      </c>
      <c r="F100">
        <f>IFERROR(ROUND(MIN(5,SUMPRODUCT(_ENGINE_Strategy!$AA5:$AQ5,TRANSPOSE(_DATA_Dashboard_Facts!$J$5:$J$21+cfg_RiskSecondaryWeight*_DATA_Dashboard_Facts!$K$5:$K$21))/SUM(_ENGINE_Strategy!$AA5:$AQ5))*cfg_RiskFitScale,2),0)</f>
      </c>
      <c r="G100">
        <f>IFERROR(ROUND((5-_DATA_Dashboard_Facts!$R$9)*(_ENGINE_Strategy!K5/5),2),0)</f>
      </c>
      <c r="H100">
        <f>IFERROR(ROUND((5-_DATA_Dashboard_Facts!$R$9)*(_ENGINE_Strategy!L5/5),2),0)</f>
      </c>
      <c r="I100">
        <f>IFERROR(ROUND((5-_DATA_Dashboard_Facts!$R$9)*(_ENGINE_Strategy!M5/5),2),0)</f>
      </c>
      <c r="J100">
        <f>IFERROR(ROUND(20*(0.25*$D100+0.25*$E100+0.2*$F100+0.1*$G100+0.1*$H100+0.1*$I100),1),0)</f>
      </c>
      <c r="K100">
        <f>IF('_DATA_Dashboard_Facts'!$R$7&gt;=0.8,"High",IF('_DATA_Dashboard_Facts'!$R$7&gt;=0.5,"Medium","Low - assessment incomplete"))</f>
      </c>
      <c r="L100">
        <f>IF($A100=1,"Primary",IF($A100&lt;=3,"Supporting",IF($J100&gt;=50,"Watchlist","Not prioritized")))</f>
      </c>
      <c r="M100">
        <f>_ENGINE_Strategy!E5</f>
      </c>
      <c r="N100">
        <f>"Crisis fit: "&amp;D100&amp;"; domain gap fit: "&amp;E100&amp;"; risk fit: "&amp;F100&amp;". Trigger domains: "&amp;_ENGINE_Strategy!AR5</f>
      </c>
      <c r="O100">
        <f>_ENGINE_Strategy!F5</f>
      </c>
      <c r="P100">
        <f>_ENGINE_Strategy!G5</f>
      </c>
      <c r="Q100">
        <f>_ENGINE_Strategy!H5</f>
      </c>
      <c r="R100">
        <f>_ENGINE_Strategy!I5</f>
      </c>
      <c r="S100">
        <f>_ENGINE_Strategy!N5</f>
      </c>
      <c r="T100">
        <f>COUNTIF(_ENGINE_Initiatives!$D$5:$D$76,$B100)</f>
      </c>
      <c r="U100">
        <f>IFERROR(INDEX(_ENGINE_Initiatives!$AE$5:$AE$76,MATCH($B100,_ENGINE_Initiatives!$D$5:$D$76,0)),"")</f>
      </c>
      <c r="V100">
        <f>IFERROR(ROUND(AVERAGEIF(_ENGINE_Initiatives!$D$5:$D$76,$B100,_ENGINE_Initiatives!$AC$5:$AC$76),2),"")</f>
      </c>
      <c r="W100">
        <f>IFERROR(SUMIFS('_REF_Model_Content'!$D$300:$D$429,'_REF_Model_Content'!$A$300:$A$429,'Company Profile'!$B$9,'_REF_Model_Content'!$B$300:$B$429,$C100),3)</f>
      </c>
      <c r="X100">
        <f>IF($J100="","",ROUND($J100*(1+($W100-3)*0.06),2))</f>
      </c>
    </row>
    <row r="101">
      <c r="A101">
        <f>IF($X101="","",1+COUNTIF($X$100:$X$113,"&gt;"&amp;$X101))</f>
      </c>
      <c r="B101">
        <f>_ENGINE_Strategy!B6</f>
      </c>
      <c r="C101">
        <f>_ENGINE_Strategy!A6</f>
      </c>
      <c r="D101">
        <f>IFERROR(ROUND(INDEX(_ENGINE_Strategy!$P6:$Z6,1,MATCH('Resilience &amp; Risk Scenario'!$B$6,_ENGINE_Strategy!$P$4:$Z$4,0))*cfg_ScenarioFitScale,2),0)</f>
      </c>
      <c r="E101">
        <f>IFERROR(ROUND(SUMPRODUCT(_ENGINE_Strategy!$AA6:$AQ6,TRANSPOSE(5-_DATA_Dashboard_Facts!$H$5:$H$21))/SUM(_ENGINE_Strategy!$AA6:$AQ6),2),0)</f>
      </c>
      <c r="F101">
        <f>IFERROR(ROUND(MIN(5,SUMPRODUCT(_ENGINE_Strategy!$AA6:$AQ6,TRANSPOSE(_DATA_Dashboard_Facts!$J$5:$J$21+cfg_RiskSecondaryWeight*_DATA_Dashboard_Facts!$K$5:$K$21))/SUM(_ENGINE_Strategy!$AA6:$AQ6))*cfg_RiskFitScale,2),0)</f>
      </c>
      <c r="G101">
        <f>IFERROR(ROUND((5-_DATA_Dashboard_Facts!$R$9)*(_ENGINE_Strategy!K6/5),2),0)</f>
      </c>
      <c r="H101">
        <f>IFERROR(ROUND((5-_DATA_Dashboard_Facts!$R$9)*(_ENGINE_Strategy!L6/5),2),0)</f>
      </c>
      <c r="I101">
        <f>IFERROR(ROUND((5-_DATA_Dashboard_Facts!$R$9)*(_ENGINE_Strategy!M6/5),2),0)</f>
      </c>
      <c r="J101">
        <f>IFERROR(ROUND(20*(0.25*$D101+0.25*$E101+0.2*$F101+0.1*$G101+0.1*$H101+0.1*$I101),1),0)</f>
      </c>
      <c r="K101">
        <f>IF('_DATA_Dashboard_Facts'!$R$7&gt;=0.8,"High",IF('_DATA_Dashboard_Facts'!$R$7&gt;=0.5,"Medium","Low - assessment incomplete"))</f>
      </c>
      <c r="L101">
        <f>IF($A101=1,"Primary",IF($A101&lt;=3,"Supporting",IF($J101&gt;=50,"Watchlist","Not prioritized")))</f>
      </c>
      <c r="M101">
        <f>_ENGINE_Strategy!E6</f>
      </c>
      <c r="N101">
        <f>"Crisis fit: "&amp;D101&amp;"; domain gap fit: "&amp;E101&amp;"; risk fit: "&amp;F101&amp;". Trigger domains: "&amp;_ENGINE_Strategy!AR6</f>
      </c>
      <c r="O101">
        <f>_ENGINE_Strategy!F6</f>
      </c>
      <c r="P101">
        <f>_ENGINE_Strategy!G6</f>
      </c>
      <c r="Q101">
        <f>_ENGINE_Strategy!H6</f>
      </c>
      <c r="R101">
        <f>_ENGINE_Strategy!I6</f>
      </c>
      <c r="S101">
        <f>_ENGINE_Strategy!N6</f>
      </c>
      <c r="T101">
        <f>COUNTIF(_ENGINE_Initiatives!$D$5:$D$76,$B101)</f>
      </c>
      <c r="U101">
        <f>IFERROR(INDEX(_ENGINE_Initiatives!$AE$5:$AE$76,MATCH($B101,_ENGINE_Initiatives!$D$5:$D$76,0)),"")</f>
      </c>
      <c r="V101">
        <f>IFERROR(ROUND(AVERAGEIF(_ENGINE_Initiatives!$D$5:$D$76,$B101,_ENGINE_Initiatives!$AC$5:$AC$76),2),"")</f>
      </c>
      <c r="W101">
        <f>IFERROR(SUMIFS('_REF_Model_Content'!$D$300:$D$429,'_REF_Model_Content'!$A$300:$A$429,'Company Profile'!$B$9,'_REF_Model_Content'!$B$300:$B$429,$C101),3)</f>
      </c>
      <c r="X101">
        <f>IF($J101="","",ROUND($J101*(1+($W101-3)*0.06),2))</f>
      </c>
    </row>
    <row r="102">
      <c r="A102">
        <f>IF($X102="","",1+COUNTIF($X$100:$X$113,"&gt;"&amp;$X102))</f>
      </c>
      <c r="B102">
        <f>_ENGINE_Strategy!B7</f>
      </c>
      <c r="C102">
        <f>_ENGINE_Strategy!A7</f>
      </c>
      <c r="D102">
        <f>IFERROR(ROUND(INDEX(_ENGINE_Strategy!$P7:$Z7,1,MATCH('Resilience &amp; Risk Scenario'!$B$6,_ENGINE_Strategy!$P$4:$Z$4,0))*cfg_ScenarioFitScale,2),0)</f>
      </c>
      <c r="E102">
        <f>IFERROR(ROUND(SUMPRODUCT(_ENGINE_Strategy!$AA7:$AQ7,TRANSPOSE(5-_DATA_Dashboard_Facts!$H$5:$H$21))/SUM(_ENGINE_Strategy!$AA7:$AQ7),2),0)</f>
      </c>
      <c r="F102">
        <f>IFERROR(ROUND(MIN(5,SUMPRODUCT(_ENGINE_Strategy!$AA7:$AQ7,TRANSPOSE(_DATA_Dashboard_Facts!$J$5:$J$21+cfg_RiskSecondaryWeight*_DATA_Dashboard_Facts!$K$5:$K$21))/SUM(_ENGINE_Strategy!$AA7:$AQ7))*cfg_RiskFitScale,2),0)</f>
      </c>
      <c r="G102">
        <f>IFERROR(ROUND((5-_DATA_Dashboard_Facts!$R$9)*(_ENGINE_Strategy!K7/5),2),0)</f>
      </c>
      <c r="H102">
        <f>IFERROR(ROUND((5-_DATA_Dashboard_Facts!$R$9)*(_ENGINE_Strategy!L7/5),2),0)</f>
      </c>
      <c r="I102">
        <f>IFERROR(ROUND((5-_DATA_Dashboard_Facts!$R$9)*(_ENGINE_Strategy!M7/5),2),0)</f>
      </c>
      <c r="J102">
        <f>IFERROR(ROUND(20*(0.25*$D102+0.25*$E102+0.2*$F102+0.1*$G102+0.1*$H102+0.1*$I102),1),0)</f>
      </c>
      <c r="K102">
        <f>IF('_DATA_Dashboard_Facts'!$R$7&gt;=0.8,"High",IF('_DATA_Dashboard_Facts'!$R$7&gt;=0.5,"Medium","Low - assessment incomplete"))</f>
      </c>
      <c r="L102">
        <f>IF($A102=1,"Primary",IF($A102&lt;=3,"Supporting",IF($J102&gt;=50,"Watchlist","Not prioritized")))</f>
      </c>
      <c r="M102">
        <f>_ENGINE_Strategy!E7</f>
      </c>
      <c r="N102">
        <f>"Crisis fit: "&amp;D102&amp;"; domain gap fit: "&amp;E102&amp;"; risk fit: "&amp;F102&amp;". Trigger domains: "&amp;_ENGINE_Strategy!AR7</f>
      </c>
      <c r="O102">
        <f>_ENGINE_Strategy!F7</f>
      </c>
      <c r="P102">
        <f>_ENGINE_Strategy!G7</f>
      </c>
      <c r="Q102">
        <f>_ENGINE_Strategy!H7</f>
      </c>
      <c r="R102">
        <f>_ENGINE_Strategy!I7</f>
      </c>
      <c r="S102">
        <f>_ENGINE_Strategy!N7</f>
      </c>
      <c r="T102">
        <f>COUNTIF(_ENGINE_Initiatives!$D$5:$D$76,$B102)</f>
      </c>
      <c r="U102">
        <f>IFERROR(INDEX(_ENGINE_Initiatives!$AE$5:$AE$76,MATCH($B102,_ENGINE_Initiatives!$D$5:$D$76,0)),"")</f>
      </c>
      <c r="V102">
        <f>IFERROR(ROUND(AVERAGEIF(_ENGINE_Initiatives!$D$5:$D$76,$B102,_ENGINE_Initiatives!$AC$5:$AC$76),2),"")</f>
      </c>
      <c r="W102">
        <f>IFERROR(SUMIFS('_REF_Model_Content'!$D$300:$D$429,'_REF_Model_Content'!$A$300:$A$429,'Company Profile'!$B$9,'_REF_Model_Content'!$B$300:$B$429,$C102),3)</f>
      </c>
      <c r="X102">
        <f>IF($J102="","",ROUND($J102*(1+($W102-3)*0.06),2))</f>
      </c>
    </row>
    <row r="103">
      <c r="A103">
        <f>IF($X103="","",1+COUNTIF($X$100:$X$113,"&gt;"&amp;$X103))</f>
      </c>
      <c r="B103">
        <f>_ENGINE_Strategy!B8</f>
      </c>
      <c r="C103">
        <f>_ENGINE_Strategy!A8</f>
      </c>
      <c r="D103">
        <f>IFERROR(ROUND(INDEX(_ENGINE_Strategy!$P8:$Z8,1,MATCH('Resilience &amp; Risk Scenario'!$B$6,_ENGINE_Strategy!$P$4:$Z$4,0))*cfg_ScenarioFitScale,2),0)</f>
      </c>
      <c r="E103">
        <f>IFERROR(ROUND(SUMPRODUCT(_ENGINE_Strategy!$AA8:$AQ8,TRANSPOSE(5-_DATA_Dashboard_Facts!$H$5:$H$21))/SUM(_ENGINE_Strategy!$AA8:$AQ8),2),0)</f>
      </c>
      <c r="F103">
        <f>IFERROR(ROUND(MIN(5,SUMPRODUCT(_ENGINE_Strategy!$AA8:$AQ8,TRANSPOSE(_DATA_Dashboard_Facts!$J$5:$J$21+cfg_RiskSecondaryWeight*_DATA_Dashboard_Facts!$K$5:$K$21))/SUM(_ENGINE_Strategy!$AA8:$AQ8))*cfg_RiskFitScale,2),0)</f>
      </c>
      <c r="G103">
        <f>IFERROR(ROUND((5-_DATA_Dashboard_Facts!$R$9)*(_ENGINE_Strategy!K8/5),2),0)</f>
      </c>
      <c r="H103">
        <f>IFERROR(ROUND((5-_DATA_Dashboard_Facts!$R$9)*(_ENGINE_Strategy!L8/5),2),0)</f>
      </c>
      <c r="I103">
        <f>IFERROR(ROUND((5-_DATA_Dashboard_Facts!$R$9)*(_ENGINE_Strategy!M8/5),2),0)</f>
      </c>
      <c r="J103">
        <f>IFERROR(ROUND(20*(0.25*$D103+0.25*$E103+0.2*$F103+0.1*$G103+0.1*$H103+0.1*$I103),1),0)</f>
      </c>
      <c r="K103">
        <f>IF('_DATA_Dashboard_Facts'!$R$7&gt;=0.8,"High",IF('_DATA_Dashboard_Facts'!$R$7&gt;=0.5,"Medium","Low - assessment incomplete"))</f>
      </c>
      <c r="L103">
        <f>IF($A103=1,"Primary",IF($A103&lt;=3,"Supporting",IF($J103&gt;=50,"Watchlist","Not prioritized")))</f>
      </c>
      <c r="M103">
        <f>_ENGINE_Strategy!E8</f>
      </c>
      <c r="N103">
        <f>"Crisis fit: "&amp;D103&amp;"; domain gap fit: "&amp;E103&amp;"; risk fit: "&amp;F103&amp;". Trigger domains: "&amp;_ENGINE_Strategy!AR8</f>
      </c>
      <c r="O103">
        <f>_ENGINE_Strategy!F8</f>
      </c>
      <c r="P103">
        <f>_ENGINE_Strategy!G8</f>
      </c>
      <c r="Q103">
        <f>_ENGINE_Strategy!H8</f>
      </c>
      <c r="R103">
        <f>_ENGINE_Strategy!I8</f>
      </c>
      <c r="S103">
        <f>_ENGINE_Strategy!N8</f>
      </c>
      <c r="T103">
        <f>COUNTIF(_ENGINE_Initiatives!$D$5:$D$76,$B103)</f>
      </c>
      <c r="U103">
        <f>IFERROR(INDEX(_ENGINE_Initiatives!$AE$5:$AE$76,MATCH($B103,_ENGINE_Initiatives!$D$5:$D$76,0)),"")</f>
      </c>
      <c r="V103">
        <f>IFERROR(ROUND(AVERAGEIF(_ENGINE_Initiatives!$D$5:$D$76,$B103,_ENGINE_Initiatives!$AC$5:$AC$76),2),"")</f>
      </c>
      <c r="W103">
        <f>IFERROR(SUMIFS('_REF_Model_Content'!$D$300:$D$429,'_REF_Model_Content'!$A$300:$A$429,'Company Profile'!$B$9,'_REF_Model_Content'!$B$300:$B$429,$C103),3)</f>
      </c>
      <c r="X103">
        <f>IF($J103="","",ROUND($J103*(1+($W103-3)*0.06),2))</f>
      </c>
    </row>
    <row r="104">
      <c r="A104">
        <f>IF($X104="","",1+COUNTIF($X$100:$X$113,"&gt;"&amp;$X104))</f>
      </c>
      <c r="B104">
        <f>_ENGINE_Strategy!B9</f>
      </c>
      <c r="C104">
        <f>_ENGINE_Strategy!A9</f>
      </c>
      <c r="D104">
        <f>IFERROR(ROUND(INDEX(_ENGINE_Strategy!$P9:$Z9,1,MATCH('Resilience &amp; Risk Scenario'!$B$6,_ENGINE_Strategy!$P$4:$Z$4,0))*cfg_ScenarioFitScale,2),0)</f>
      </c>
      <c r="E104">
        <f>IFERROR(ROUND(SUMPRODUCT(_ENGINE_Strategy!$AA9:$AQ9,TRANSPOSE(5-_DATA_Dashboard_Facts!$H$5:$H$21))/SUM(_ENGINE_Strategy!$AA9:$AQ9),2),0)</f>
      </c>
      <c r="F104">
        <f>IFERROR(ROUND(MIN(5,SUMPRODUCT(_ENGINE_Strategy!$AA9:$AQ9,TRANSPOSE(_DATA_Dashboard_Facts!$J$5:$J$21+cfg_RiskSecondaryWeight*_DATA_Dashboard_Facts!$K$5:$K$21))/SUM(_ENGINE_Strategy!$AA9:$AQ9))*cfg_RiskFitScale,2),0)</f>
      </c>
      <c r="G104">
        <f>IFERROR(ROUND((5-_DATA_Dashboard_Facts!$R$9)*(_ENGINE_Strategy!K9/5),2),0)</f>
      </c>
      <c r="H104">
        <f>IFERROR(ROUND((5-_DATA_Dashboard_Facts!$R$9)*(_ENGINE_Strategy!L9/5),2),0)</f>
      </c>
      <c r="I104">
        <f>IFERROR(ROUND((5-_DATA_Dashboard_Facts!$R$9)*(_ENGINE_Strategy!M9/5),2),0)</f>
      </c>
      <c r="J104">
        <f>IFERROR(ROUND(20*(0.25*$D104+0.25*$E104+0.2*$F104+0.1*$G104+0.1*$H104+0.1*$I104),1),0)</f>
      </c>
      <c r="K104">
        <f>IF('_DATA_Dashboard_Facts'!$R$7&gt;=0.8,"High",IF('_DATA_Dashboard_Facts'!$R$7&gt;=0.5,"Medium","Low - assessment incomplete"))</f>
      </c>
      <c r="L104">
        <f>IF($A104=1,"Primary",IF($A104&lt;=3,"Supporting",IF($J104&gt;=50,"Watchlist","Not prioritized")))</f>
      </c>
      <c r="M104">
        <f>_ENGINE_Strategy!E9</f>
      </c>
      <c r="N104">
        <f>"Crisis fit: "&amp;D104&amp;"; domain gap fit: "&amp;E104&amp;"; risk fit: "&amp;F104&amp;". Trigger domains: "&amp;_ENGINE_Strategy!AR9</f>
      </c>
      <c r="O104">
        <f>_ENGINE_Strategy!F9</f>
      </c>
      <c r="P104">
        <f>_ENGINE_Strategy!G9</f>
      </c>
      <c r="Q104">
        <f>_ENGINE_Strategy!H9</f>
      </c>
      <c r="R104">
        <f>_ENGINE_Strategy!I9</f>
      </c>
      <c r="S104">
        <f>_ENGINE_Strategy!N9</f>
      </c>
      <c r="T104">
        <f>COUNTIF(_ENGINE_Initiatives!$D$5:$D$76,$B104)</f>
      </c>
      <c r="U104">
        <f>IFERROR(INDEX(_ENGINE_Initiatives!$AE$5:$AE$76,MATCH($B104,_ENGINE_Initiatives!$D$5:$D$76,0)),"")</f>
      </c>
      <c r="V104">
        <f>IFERROR(ROUND(AVERAGEIF(_ENGINE_Initiatives!$D$5:$D$76,$B104,_ENGINE_Initiatives!$AC$5:$AC$76),2),"")</f>
      </c>
      <c r="W104">
        <f>IFERROR(SUMIFS('_REF_Model_Content'!$D$300:$D$429,'_REF_Model_Content'!$A$300:$A$429,'Company Profile'!$B$9,'_REF_Model_Content'!$B$300:$B$429,$C104),3)</f>
      </c>
      <c r="X104">
        <f>IF($J104="","",ROUND($J104*(1+($W104-3)*0.06),2))</f>
      </c>
    </row>
    <row r="105">
      <c r="A105">
        <f>IF($X105="","",1+COUNTIF($X$100:$X$113,"&gt;"&amp;$X105))</f>
      </c>
      <c r="B105">
        <f>_ENGINE_Strategy!B10</f>
      </c>
      <c r="C105">
        <f>_ENGINE_Strategy!A10</f>
      </c>
      <c r="D105">
        <f>IFERROR(ROUND(INDEX(_ENGINE_Strategy!$P10:$Z10,1,MATCH('Resilience &amp; Risk Scenario'!$B$6,_ENGINE_Strategy!$P$4:$Z$4,0))*cfg_ScenarioFitScale,2),0)</f>
      </c>
      <c r="E105">
        <f>IFERROR(ROUND(SUMPRODUCT(_ENGINE_Strategy!$AA10:$AQ10,TRANSPOSE(5-_DATA_Dashboard_Facts!$H$5:$H$21))/SUM(_ENGINE_Strategy!$AA10:$AQ10),2),0)</f>
      </c>
      <c r="F105">
        <f>IFERROR(ROUND(MIN(5,SUMPRODUCT(_ENGINE_Strategy!$AA10:$AQ10,TRANSPOSE(_DATA_Dashboard_Facts!$J$5:$J$21+cfg_RiskSecondaryWeight*_DATA_Dashboard_Facts!$K$5:$K$21))/SUM(_ENGINE_Strategy!$AA10:$AQ10))*cfg_RiskFitScale,2),0)</f>
      </c>
      <c r="G105">
        <f>IFERROR(ROUND((5-_DATA_Dashboard_Facts!$R$9)*(_ENGINE_Strategy!K10/5),2),0)</f>
      </c>
      <c r="H105">
        <f>IFERROR(ROUND((5-_DATA_Dashboard_Facts!$R$9)*(_ENGINE_Strategy!L10/5),2),0)</f>
      </c>
      <c r="I105">
        <f>IFERROR(ROUND((5-_DATA_Dashboard_Facts!$R$9)*(_ENGINE_Strategy!M10/5),2),0)</f>
      </c>
      <c r="J105">
        <f>IFERROR(ROUND(20*(0.25*$D105+0.25*$E105+0.2*$F105+0.1*$G105+0.1*$H105+0.1*$I105),1),0)</f>
      </c>
      <c r="K105">
        <f>IF('_DATA_Dashboard_Facts'!$R$7&gt;=0.8,"High",IF('_DATA_Dashboard_Facts'!$R$7&gt;=0.5,"Medium","Low - assessment incomplete"))</f>
      </c>
      <c r="L105">
        <f>IF($A105=1,"Primary",IF($A105&lt;=3,"Supporting",IF($J105&gt;=50,"Watchlist","Not prioritized")))</f>
      </c>
      <c r="M105">
        <f>_ENGINE_Strategy!E10</f>
      </c>
      <c r="N105">
        <f>"Crisis fit: "&amp;D105&amp;"; domain gap fit: "&amp;E105&amp;"; risk fit: "&amp;F105&amp;". Trigger domains: "&amp;_ENGINE_Strategy!AR10</f>
      </c>
      <c r="O105">
        <f>_ENGINE_Strategy!F10</f>
      </c>
      <c r="P105">
        <f>_ENGINE_Strategy!G10</f>
      </c>
      <c r="Q105">
        <f>_ENGINE_Strategy!H10</f>
      </c>
      <c r="R105">
        <f>_ENGINE_Strategy!I10</f>
      </c>
      <c r="S105">
        <f>_ENGINE_Strategy!N10</f>
      </c>
      <c r="T105">
        <f>COUNTIF(_ENGINE_Initiatives!$D$5:$D$76,$B105)</f>
      </c>
      <c r="U105">
        <f>IFERROR(INDEX(_ENGINE_Initiatives!$AE$5:$AE$76,MATCH($B105,_ENGINE_Initiatives!$D$5:$D$76,0)),"")</f>
      </c>
      <c r="V105">
        <f>IFERROR(ROUND(AVERAGEIF(_ENGINE_Initiatives!$D$5:$D$76,$B105,_ENGINE_Initiatives!$AC$5:$AC$76),2),"")</f>
      </c>
      <c r="W105">
        <f>IFERROR(SUMIFS('_REF_Model_Content'!$D$300:$D$429,'_REF_Model_Content'!$A$300:$A$429,'Company Profile'!$B$9,'_REF_Model_Content'!$B$300:$B$429,$C105),3)</f>
      </c>
      <c r="X105">
        <f>IF($J105="","",ROUND($J105*(1+($W105-3)*0.06),2))</f>
      </c>
    </row>
    <row r="106">
      <c r="A106">
        <f>IF($X106="","",1+COUNTIF($X$100:$X$113,"&gt;"&amp;$X106))</f>
      </c>
      <c r="B106">
        <f>_ENGINE_Strategy!B11</f>
      </c>
      <c r="C106">
        <f>_ENGINE_Strategy!A11</f>
      </c>
      <c r="D106">
        <f>IFERROR(ROUND(INDEX(_ENGINE_Strategy!$P11:$Z11,1,MATCH('Resilience &amp; Risk Scenario'!$B$6,_ENGINE_Strategy!$P$4:$Z$4,0))*cfg_ScenarioFitScale,2),0)</f>
      </c>
      <c r="E106">
        <f>IFERROR(ROUND(SUMPRODUCT(_ENGINE_Strategy!$AA11:$AQ11,TRANSPOSE(5-_DATA_Dashboard_Facts!$H$5:$H$21))/SUM(_ENGINE_Strategy!$AA11:$AQ11),2),0)</f>
      </c>
      <c r="F106">
        <f>IFERROR(ROUND(MIN(5,SUMPRODUCT(_ENGINE_Strategy!$AA11:$AQ11,TRANSPOSE(_DATA_Dashboard_Facts!$J$5:$J$21+cfg_RiskSecondaryWeight*_DATA_Dashboard_Facts!$K$5:$K$21))/SUM(_ENGINE_Strategy!$AA11:$AQ11))*cfg_RiskFitScale,2),0)</f>
      </c>
      <c r="G106">
        <f>IFERROR(ROUND((5-_DATA_Dashboard_Facts!$R$9)*(_ENGINE_Strategy!K11/5),2),0)</f>
      </c>
      <c r="H106">
        <f>IFERROR(ROUND((5-_DATA_Dashboard_Facts!$R$9)*(_ENGINE_Strategy!L11/5),2),0)</f>
      </c>
      <c r="I106">
        <f>IFERROR(ROUND((5-_DATA_Dashboard_Facts!$R$9)*(_ENGINE_Strategy!M11/5),2),0)</f>
      </c>
      <c r="J106">
        <f>IFERROR(ROUND(20*(0.25*$D106+0.25*$E106+0.2*$F106+0.1*$G106+0.1*$H106+0.1*$I106),1),0)</f>
      </c>
      <c r="K106">
        <f>IF('_DATA_Dashboard_Facts'!$R$7&gt;=0.8,"High",IF('_DATA_Dashboard_Facts'!$R$7&gt;=0.5,"Medium","Low - assessment incomplete"))</f>
      </c>
      <c r="L106">
        <f>IF($A106=1,"Primary",IF($A106&lt;=3,"Supporting",IF($J106&gt;=50,"Watchlist","Not prioritized")))</f>
      </c>
      <c r="M106">
        <f>_ENGINE_Strategy!E11</f>
      </c>
      <c r="N106">
        <f>"Crisis fit: "&amp;D106&amp;"; domain gap fit: "&amp;E106&amp;"; risk fit: "&amp;F106&amp;". Trigger domains: "&amp;_ENGINE_Strategy!AR11</f>
      </c>
      <c r="O106">
        <f>_ENGINE_Strategy!F11</f>
      </c>
      <c r="P106">
        <f>_ENGINE_Strategy!G11</f>
      </c>
      <c r="Q106">
        <f>_ENGINE_Strategy!H11</f>
      </c>
      <c r="R106">
        <f>_ENGINE_Strategy!I11</f>
      </c>
      <c r="S106">
        <f>_ENGINE_Strategy!N11</f>
      </c>
      <c r="T106">
        <f>COUNTIF(_ENGINE_Initiatives!$D$5:$D$76,$B106)</f>
      </c>
      <c r="U106">
        <f>IFERROR(INDEX(_ENGINE_Initiatives!$AE$5:$AE$76,MATCH($B106,_ENGINE_Initiatives!$D$5:$D$76,0)),"")</f>
      </c>
      <c r="V106">
        <f>IFERROR(ROUND(AVERAGEIF(_ENGINE_Initiatives!$D$5:$D$76,$B106,_ENGINE_Initiatives!$AC$5:$AC$76),2),"")</f>
      </c>
      <c r="W106">
        <f>IFERROR(SUMIFS('_REF_Model_Content'!$D$300:$D$429,'_REF_Model_Content'!$A$300:$A$429,'Company Profile'!$B$9,'_REF_Model_Content'!$B$300:$B$429,$C106),3)</f>
      </c>
      <c r="X106">
        <f>IF($J106="","",ROUND($J106*(1+($W106-3)*0.06),2))</f>
      </c>
    </row>
    <row r="107">
      <c r="A107">
        <f>IF($X107="","",1+COUNTIF($X$100:$X$113,"&gt;"&amp;$X107))</f>
      </c>
      <c r="B107">
        <f>_ENGINE_Strategy!B12</f>
      </c>
      <c r="C107">
        <f>_ENGINE_Strategy!A12</f>
      </c>
      <c r="D107">
        <f>IFERROR(ROUND(INDEX(_ENGINE_Strategy!$P12:$Z12,1,MATCH('Resilience &amp; Risk Scenario'!$B$6,_ENGINE_Strategy!$P$4:$Z$4,0))*cfg_ScenarioFitScale,2),0)</f>
      </c>
      <c r="E107">
        <f>IFERROR(ROUND(SUMPRODUCT(_ENGINE_Strategy!$AA12:$AQ12,TRANSPOSE(5-_DATA_Dashboard_Facts!$H$5:$H$21))/SUM(_ENGINE_Strategy!$AA12:$AQ12),2),0)</f>
      </c>
      <c r="F107">
        <f>IFERROR(ROUND(MIN(5,SUMPRODUCT(_ENGINE_Strategy!$AA12:$AQ12,TRANSPOSE(_DATA_Dashboard_Facts!$J$5:$J$21+cfg_RiskSecondaryWeight*_DATA_Dashboard_Facts!$K$5:$K$21))/SUM(_ENGINE_Strategy!$AA12:$AQ12))*cfg_RiskFitScale,2),0)</f>
      </c>
      <c r="G107">
        <f>IFERROR(ROUND((5-_DATA_Dashboard_Facts!$R$9)*(_ENGINE_Strategy!K12/5),2),0)</f>
      </c>
      <c r="H107">
        <f>IFERROR(ROUND((5-_DATA_Dashboard_Facts!$R$9)*(_ENGINE_Strategy!L12/5),2),0)</f>
      </c>
      <c r="I107">
        <f>IFERROR(ROUND((5-_DATA_Dashboard_Facts!$R$9)*(_ENGINE_Strategy!M12/5),2),0)</f>
      </c>
      <c r="J107">
        <f>IFERROR(ROUND(20*(0.25*$D107+0.25*$E107+0.2*$F107+0.1*$G107+0.1*$H107+0.1*$I107),1),0)</f>
      </c>
      <c r="K107">
        <f>IF('_DATA_Dashboard_Facts'!$R$7&gt;=0.8,"High",IF('_DATA_Dashboard_Facts'!$R$7&gt;=0.5,"Medium","Low - assessment incomplete"))</f>
      </c>
      <c r="L107">
        <f>IF($A107=1,"Primary",IF($A107&lt;=3,"Supporting",IF($J107&gt;=50,"Watchlist","Not prioritized")))</f>
      </c>
      <c r="M107">
        <f>_ENGINE_Strategy!E12</f>
      </c>
      <c r="N107">
        <f>"Crisis fit: "&amp;D107&amp;"; domain gap fit: "&amp;E107&amp;"; risk fit: "&amp;F107&amp;". Trigger domains: "&amp;_ENGINE_Strategy!AR12</f>
      </c>
      <c r="O107">
        <f>_ENGINE_Strategy!F12</f>
      </c>
      <c r="P107">
        <f>_ENGINE_Strategy!G12</f>
      </c>
      <c r="Q107">
        <f>_ENGINE_Strategy!H12</f>
      </c>
      <c r="R107">
        <f>_ENGINE_Strategy!I12</f>
      </c>
      <c r="S107">
        <f>_ENGINE_Strategy!N12</f>
      </c>
      <c r="T107">
        <f>COUNTIF(_ENGINE_Initiatives!$D$5:$D$76,$B107)</f>
      </c>
      <c r="U107">
        <f>IFERROR(INDEX(_ENGINE_Initiatives!$AE$5:$AE$76,MATCH($B107,_ENGINE_Initiatives!$D$5:$D$76,0)),"")</f>
      </c>
      <c r="V107">
        <f>IFERROR(ROUND(AVERAGEIF(_ENGINE_Initiatives!$D$5:$D$76,$B107,_ENGINE_Initiatives!$AC$5:$AC$76),2),"")</f>
      </c>
      <c r="W107">
        <f>IFERROR(SUMIFS('_REF_Model_Content'!$D$300:$D$429,'_REF_Model_Content'!$A$300:$A$429,'Company Profile'!$B$9,'_REF_Model_Content'!$B$300:$B$429,$C107),3)</f>
      </c>
      <c r="X107">
        <f>IF($J107="","",ROUND($J107*(1+($W107-3)*0.06),2))</f>
      </c>
    </row>
    <row r="108">
      <c r="A108">
        <f>IF($X108="","",1+COUNTIF($X$100:$X$113,"&gt;"&amp;$X108))</f>
      </c>
      <c r="B108">
        <f>_ENGINE_Strategy!B13</f>
      </c>
      <c r="C108">
        <f>_ENGINE_Strategy!A13</f>
      </c>
      <c r="D108">
        <f>IFERROR(ROUND(INDEX(_ENGINE_Strategy!$P13:$Z13,1,MATCH('Resilience &amp; Risk Scenario'!$B$6,_ENGINE_Strategy!$P$4:$Z$4,0))*cfg_ScenarioFitScale,2),0)</f>
      </c>
      <c r="E108">
        <f>IFERROR(ROUND(SUMPRODUCT(_ENGINE_Strategy!$AA13:$AQ13,TRANSPOSE(5-_DATA_Dashboard_Facts!$H$5:$H$21))/SUM(_ENGINE_Strategy!$AA13:$AQ13),2),0)</f>
      </c>
      <c r="F108">
        <f>IFERROR(ROUND(MIN(5,SUMPRODUCT(_ENGINE_Strategy!$AA13:$AQ13,TRANSPOSE(_DATA_Dashboard_Facts!$J$5:$J$21+cfg_RiskSecondaryWeight*_DATA_Dashboard_Facts!$K$5:$K$21))/SUM(_ENGINE_Strategy!$AA13:$AQ13))*cfg_RiskFitScale,2),0)</f>
      </c>
      <c r="G108">
        <f>IFERROR(ROUND((5-_DATA_Dashboard_Facts!$R$9)*(_ENGINE_Strategy!K13/5),2),0)</f>
      </c>
      <c r="H108">
        <f>IFERROR(ROUND((5-_DATA_Dashboard_Facts!$R$9)*(_ENGINE_Strategy!L13/5),2),0)</f>
      </c>
      <c r="I108">
        <f>IFERROR(ROUND((5-_DATA_Dashboard_Facts!$R$9)*(_ENGINE_Strategy!M13/5),2),0)</f>
      </c>
      <c r="J108">
        <f>IFERROR(ROUND(20*(0.25*$D108+0.25*$E108+0.2*$F108+0.1*$G108+0.1*$H108+0.1*$I108),1),0)</f>
      </c>
      <c r="K108">
        <f>IF('_DATA_Dashboard_Facts'!$R$7&gt;=0.8,"High",IF('_DATA_Dashboard_Facts'!$R$7&gt;=0.5,"Medium","Low - assessment incomplete"))</f>
      </c>
      <c r="L108">
        <f>IF($A108=1,"Primary",IF($A108&lt;=3,"Supporting",IF($J108&gt;=50,"Watchlist","Not prioritized")))</f>
      </c>
      <c r="M108">
        <f>_ENGINE_Strategy!E13</f>
      </c>
      <c r="N108">
        <f>"Crisis fit: "&amp;D108&amp;"; domain gap fit: "&amp;E108&amp;"; risk fit: "&amp;F108&amp;". Trigger domains: "&amp;_ENGINE_Strategy!AR13</f>
      </c>
      <c r="O108">
        <f>_ENGINE_Strategy!F13</f>
      </c>
      <c r="P108">
        <f>_ENGINE_Strategy!G13</f>
      </c>
      <c r="Q108">
        <f>_ENGINE_Strategy!H13</f>
      </c>
      <c r="R108">
        <f>_ENGINE_Strategy!I13</f>
      </c>
      <c r="S108">
        <f>_ENGINE_Strategy!N13</f>
      </c>
      <c r="T108">
        <f>COUNTIF(_ENGINE_Initiatives!$D$5:$D$76,$B108)</f>
      </c>
      <c r="U108">
        <f>IFERROR(INDEX(_ENGINE_Initiatives!$AE$5:$AE$76,MATCH($B108,_ENGINE_Initiatives!$D$5:$D$76,0)),"")</f>
      </c>
      <c r="V108">
        <f>IFERROR(ROUND(AVERAGEIF(_ENGINE_Initiatives!$D$5:$D$76,$B108,_ENGINE_Initiatives!$AC$5:$AC$76),2),"")</f>
      </c>
      <c r="W108">
        <f>IFERROR(SUMIFS('_REF_Model_Content'!$D$300:$D$429,'_REF_Model_Content'!$A$300:$A$429,'Company Profile'!$B$9,'_REF_Model_Content'!$B$300:$B$429,$C108),3)</f>
      </c>
      <c r="X108">
        <f>IF($J108="","",ROUND($J108*(1+($W108-3)*0.06),2))</f>
      </c>
    </row>
    <row r="109">
      <c r="A109">
        <f>IF($X109="","",1+COUNTIF($X$100:$X$113,"&gt;"&amp;$X109))</f>
      </c>
      <c r="B109">
        <f>_ENGINE_Strategy!B14</f>
      </c>
      <c r="C109">
        <f>_ENGINE_Strategy!A14</f>
      </c>
      <c r="D109">
        <f>IFERROR(ROUND(INDEX(_ENGINE_Strategy!$P14:$Z14,1,MATCH('Resilience &amp; Risk Scenario'!$B$6,_ENGINE_Strategy!$P$4:$Z$4,0))*cfg_ScenarioFitScale,2),0)</f>
      </c>
      <c r="E109">
        <f>IFERROR(ROUND(SUMPRODUCT(_ENGINE_Strategy!$AA14:$AQ14,TRANSPOSE(5-_DATA_Dashboard_Facts!$H$5:$H$21))/SUM(_ENGINE_Strategy!$AA14:$AQ14),2),0)</f>
      </c>
      <c r="F109">
        <f>IFERROR(ROUND(MIN(5,SUMPRODUCT(_ENGINE_Strategy!$AA14:$AQ14,TRANSPOSE(_DATA_Dashboard_Facts!$J$5:$J$21+cfg_RiskSecondaryWeight*_DATA_Dashboard_Facts!$K$5:$K$21))/SUM(_ENGINE_Strategy!$AA14:$AQ14))*cfg_RiskFitScale,2),0)</f>
      </c>
      <c r="G109">
        <f>IFERROR(ROUND((5-_DATA_Dashboard_Facts!$R$9)*(_ENGINE_Strategy!K14/5),2),0)</f>
      </c>
      <c r="H109">
        <f>IFERROR(ROUND((5-_DATA_Dashboard_Facts!$R$9)*(_ENGINE_Strategy!L14/5),2),0)</f>
      </c>
      <c r="I109">
        <f>IFERROR(ROUND((5-_DATA_Dashboard_Facts!$R$9)*(_ENGINE_Strategy!M14/5),2),0)</f>
      </c>
      <c r="J109">
        <f>IFERROR(ROUND(20*(0.25*$D109+0.25*$E109+0.2*$F109+0.1*$G109+0.1*$H109+0.1*$I109),1),0)</f>
      </c>
      <c r="K109">
        <f>IF('_DATA_Dashboard_Facts'!$R$7&gt;=0.8,"High",IF('_DATA_Dashboard_Facts'!$R$7&gt;=0.5,"Medium","Low - assessment incomplete"))</f>
      </c>
      <c r="L109">
        <f>IF($A109=1,"Primary",IF($A109&lt;=3,"Supporting",IF($J109&gt;=50,"Watchlist","Not prioritized")))</f>
      </c>
      <c r="M109">
        <f>_ENGINE_Strategy!E14</f>
      </c>
      <c r="N109">
        <f>"Crisis fit: "&amp;D109&amp;"; domain gap fit: "&amp;E109&amp;"; risk fit: "&amp;F109&amp;". Trigger domains: "&amp;_ENGINE_Strategy!AR14</f>
      </c>
      <c r="O109">
        <f>_ENGINE_Strategy!F14</f>
      </c>
      <c r="P109">
        <f>_ENGINE_Strategy!G14</f>
      </c>
      <c r="Q109">
        <f>_ENGINE_Strategy!H14</f>
      </c>
      <c r="R109">
        <f>_ENGINE_Strategy!I14</f>
      </c>
      <c r="S109">
        <f>_ENGINE_Strategy!N14</f>
      </c>
      <c r="T109">
        <f>COUNTIF(_ENGINE_Initiatives!$D$5:$D$76,$B109)</f>
      </c>
      <c r="U109">
        <f>IFERROR(INDEX(_ENGINE_Initiatives!$AE$5:$AE$76,MATCH($B109,_ENGINE_Initiatives!$D$5:$D$76,0)),"")</f>
      </c>
      <c r="V109">
        <f>IFERROR(ROUND(AVERAGEIF(_ENGINE_Initiatives!$D$5:$D$76,$B109,_ENGINE_Initiatives!$AC$5:$AC$76),2),"")</f>
      </c>
      <c r="W109">
        <f>IFERROR(SUMIFS('_REF_Model_Content'!$D$300:$D$429,'_REF_Model_Content'!$A$300:$A$429,'Company Profile'!$B$9,'_REF_Model_Content'!$B$300:$B$429,$C109),3)</f>
      </c>
      <c r="X109">
        <f>IF($J109="","",ROUND($J109*(1+($W109-3)*0.06),2))</f>
      </c>
    </row>
    <row r="110">
      <c r="A110">
        <f>IF($X110="","",1+COUNTIF($X$100:$X$113,"&gt;"&amp;$X110))</f>
      </c>
      <c r="B110">
        <f>_ENGINE_Strategy!B15</f>
      </c>
      <c r="C110">
        <f>_ENGINE_Strategy!A15</f>
      </c>
      <c r="D110">
        <f>IFERROR(ROUND(INDEX(_ENGINE_Strategy!$P15:$Z15,1,MATCH('Resilience &amp; Risk Scenario'!$B$6,_ENGINE_Strategy!$P$4:$Z$4,0))*cfg_ScenarioFitScale,2),0)</f>
      </c>
      <c r="E110">
        <f>IFERROR(ROUND(SUMPRODUCT(_ENGINE_Strategy!$AA15:$AQ15,TRANSPOSE(5-_DATA_Dashboard_Facts!$H$5:$H$21))/SUM(_ENGINE_Strategy!$AA15:$AQ15),2),0)</f>
      </c>
      <c r="F110">
        <f>IFERROR(ROUND(MIN(5,SUMPRODUCT(_ENGINE_Strategy!$AA15:$AQ15,TRANSPOSE(_DATA_Dashboard_Facts!$J$5:$J$21+cfg_RiskSecondaryWeight*_DATA_Dashboard_Facts!$K$5:$K$21))/SUM(_ENGINE_Strategy!$AA15:$AQ15))*cfg_RiskFitScale,2),0)</f>
      </c>
      <c r="G110">
        <f>IFERROR(ROUND((5-_DATA_Dashboard_Facts!$R$9)*(_ENGINE_Strategy!K15/5),2),0)</f>
      </c>
      <c r="H110">
        <f>IFERROR(ROUND((5-_DATA_Dashboard_Facts!$R$9)*(_ENGINE_Strategy!L15/5),2),0)</f>
      </c>
      <c r="I110">
        <f>IFERROR(ROUND((5-_DATA_Dashboard_Facts!$R$9)*(_ENGINE_Strategy!M15/5),2),0)</f>
      </c>
      <c r="J110">
        <f>IFERROR(ROUND(20*(0.25*$D110+0.25*$E110+0.2*$F110+0.1*$G110+0.1*$H110+0.1*$I110),1),0)</f>
      </c>
      <c r="K110">
        <f>IF('_DATA_Dashboard_Facts'!$R$7&gt;=0.8,"High",IF('_DATA_Dashboard_Facts'!$R$7&gt;=0.5,"Medium","Low - assessment incomplete"))</f>
      </c>
      <c r="L110">
        <f>IF($A110=1,"Primary",IF($A110&lt;=3,"Supporting",IF($J110&gt;=50,"Watchlist","Not prioritized")))</f>
      </c>
      <c r="M110">
        <f>_ENGINE_Strategy!E15</f>
      </c>
      <c r="N110">
        <f>"Crisis fit: "&amp;D110&amp;"; domain gap fit: "&amp;E110&amp;"; risk fit: "&amp;F110&amp;". Trigger domains: "&amp;_ENGINE_Strategy!AR15</f>
      </c>
      <c r="O110">
        <f>_ENGINE_Strategy!F15</f>
      </c>
      <c r="P110">
        <f>_ENGINE_Strategy!G15</f>
      </c>
      <c r="Q110">
        <f>_ENGINE_Strategy!H15</f>
      </c>
      <c r="R110">
        <f>_ENGINE_Strategy!I15</f>
      </c>
      <c r="S110">
        <f>_ENGINE_Strategy!N15</f>
      </c>
      <c r="T110">
        <f>COUNTIF(_ENGINE_Initiatives!$D$5:$D$76,$B110)</f>
      </c>
      <c r="U110">
        <f>IFERROR(INDEX(_ENGINE_Initiatives!$AE$5:$AE$76,MATCH($B110,_ENGINE_Initiatives!$D$5:$D$76,0)),"")</f>
      </c>
      <c r="V110">
        <f>IFERROR(ROUND(AVERAGEIF(_ENGINE_Initiatives!$D$5:$D$76,$B110,_ENGINE_Initiatives!$AC$5:$AC$76),2),"")</f>
      </c>
      <c r="W110">
        <f>IFERROR(SUMIFS('_REF_Model_Content'!$D$300:$D$429,'_REF_Model_Content'!$A$300:$A$429,'Company Profile'!$B$9,'_REF_Model_Content'!$B$300:$B$429,$C110),3)</f>
      </c>
      <c r="X110">
        <f>IF($J110="","",ROUND($J110*(1+($W110-3)*0.06),2))</f>
      </c>
    </row>
    <row r="111">
      <c r="A111">
        <f>IF($X111="","",1+COUNTIF($X$100:$X$113,"&gt;"&amp;$X111))</f>
      </c>
      <c r="B111">
        <f>_ENGINE_Strategy!B16</f>
      </c>
      <c r="C111">
        <f>_ENGINE_Strategy!A16</f>
      </c>
      <c r="D111">
        <f>IFERROR(ROUND(INDEX(_ENGINE_Strategy!$P16:$Z16,1,MATCH('Resilience &amp; Risk Scenario'!$B$6,_ENGINE_Strategy!$P$4:$Z$4,0))*cfg_ScenarioFitScale,2),0)</f>
      </c>
      <c r="E111">
        <f>IFERROR(ROUND(SUMPRODUCT(_ENGINE_Strategy!$AA16:$AQ16,TRANSPOSE(5-_DATA_Dashboard_Facts!$H$5:$H111))/SUM(_ENGINE_Strategy!$AA16:$AQ16),2),0)</f>
      </c>
      <c r="F111">
        <f>IFERROR(ROUND(MIN(5,SUMPRODUCT(_ENGINE_Strategy!$AA16:$AQ16,TRANSPOSE(_DATA_Dashboard_Facts!$J$5:$J111+cfg_RiskSecondaryWeight*_DATA_Dashboard_Facts!$K$5:$K111))/SUM(_ENGINE_Strategy!$AA16:$AQ16))*cfg_RiskFitScale,2),0)</f>
      </c>
      <c r="G111">
        <f>IFERROR(ROUND((5-_DATA_Dashboard_Facts!$R$9)*(_ENGINE_Strategy!K16/5),2),0)</f>
      </c>
      <c r="H111">
        <f>IFERROR(ROUND((5-_DATA_Dashboard_Facts!$R$9)*(_ENGINE_Strategy!L16/5),2),0)</f>
      </c>
      <c r="I111">
        <f>IFERROR(ROUND((5-_DATA_Dashboard_Facts!$R$9)*(_ENGINE_Strategy!M16/5),2),0)</f>
      </c>
      <c r="J111">
        <f>IFERROR(ROUND(20*(0.25*$D111+0.25*$E111+0.2*$F111+0.1*$G111+0.1*$H111+0.1*$I111),1),0)</f>
      </c>
      <c r="K111">
        <f>IF('_DATA_Dashboard_Facts'!$R$7&gt;=0.8,"High",IF('_DATA_Dashboard_Facts'!$R$7&gt;=0.5,"Medium","Low - assessment incomplete"))</f>
      </c>
      <c r="L111">
        <f>IF($A111=1,"Primary",IF($A111&lt;=3,"Supporting",IF($J111&gt;=50,"Watchlist","Not prioritized")))</f>
      </c>
      <c r="M111">
        <f>_ENGINE_Strategy!E16</f>
      </c>
      <c r="N111">
        <f>"Crisis fit: "&amp;D111&amp;"; domain gap fit: "&amp;E111&amp;"; risk fit: "&amp;F111&amp;". Trigger domains: "&amp;_ENGINE_Strategy!AR16</f>
      </c>
      <c r="O111">
        <f>_ENGINE_Strategy!F16</f>
      </c>
      <c r="P111">
        <f>_ENGINE_Strategy!G16</f>
      </c>
      <c r="Q111">
        <f>_ENGINE_Strategy!H16</f>
      </c>
      <c r="R111">
        <f>_ENGINE_Strategy!I16</f>
      </c>
      <c r="S111">
        <f>_ENGINE_Strategy!N16</f>
      </c>
      <c r="T111">
        <f>COUNTIF(_ENGINE_Initiatives!$D$5:$D$76,$B111)</f>
      </c>
      <c r="U111">
        <f>IFERROR(INDEX(_ENGINE_Initiatives!$AE$5:$AE$76,MATCH($B111,_ENGINE_Initiatives!$D$5:$D$76,0)),"")</f>
      </c>
      <c r="V111">
        <f>IFERROR(ROUND(AVERAGEIF(_ENGINE_Initiatives!$D$5:$D$76,$B111,_ENGINE_Initiatives!$AC$5:$AC$76),2),"")</f>
      </c>
      <c r="W111">
        <f>IFERROR(SUMIFS('_REF_Model_Content'!$D$300:$D$429,'_REF_Model_Content'!$A$300:$A$429,'Company Profile'!$B$9,'_REF_Model_Content'!$B$300:$B$429,$C111),3)</f>
      </c>
      <c r="X111">
        <f>IF($J111="","",ROUND($J111*(1+($W111-3)*0.06),2))</f>
      </c>
    </row>
    <row r="112">
      <c r="A112">
        <f>IF($X112="","",1+COUNTIF($X$100:$X$113,"&gt;"&amp;$X112))</f>
      </c>
      <c r="B112">
        <f>_ENGINE_Strategy!B17</f>
      </c>
      <c r="C112">
        <f>_ENGINE_Strategy!A17</f>
      </c>
      <c r="D112">
        <f>IFERROR(ROUND(INDEX(_ENGINE_Strategy!$P17:$Z17,1,MATCH('Resilience &amp; Risk Scenario'!$B$6,_ENGINE_Strategy!$P$4:$Z$4,0))*cfg_ScenarioFitScale,2),0)</f>
      </c>
      <c r="E112">
        <f>IFERROR(ROUND(SUMPRODUCT(_ENGINE_Strategy!$AA17:$AQ17,TRANSPOSE(5-_DATA_Dashboard_Facts!$H$5:$H$21))/SUM(_ENGINE_Strategy!$AA17:$AQ17),2),0)</f>
      </c>
      <c r="F112">
        <f>IFERROR(ROUND(MIN(5,SUMPRODUCT(_ENGINE_Strategy!$AA17:$AQ17,TRANSPOSE(_DATA_Dashboard_Facts!$J$5:$J$21+cfg_RiskSecondaryWeight*_DATA_Dashboard_Facts!$K$5:$K$21))/SUM(_ENGINE_Strategy!$AA17:$AQ17))*cfg_RiskFitScale,2),0)</f>
      </c>
      <c r="G112">
        <f>IFERROR(ROUND((5-_DATA_Dashboard_Facts!$R$9)*(_ENGINE_Strategy!K17/5),2),0)</f>
      </c>
      <c r="H112">
        <f>IFERROR(ROUND((5-_DATA_Dashboard_Facts!$R$9)*(_ENGINE_Strategy!L17/5),2),0)</f>
      </c>
      <c r="I112">
        <f>IFERROR(ROUND((5-_DATA_Dashboard_Facts!$R$9)*(_ENGINE_Strategy!M17/5),2),0)</f>
      </c>
      <c r="J112">
        <f>IFERROR(ROUND(20*(0.25*$D112+0.25*$E112+0.2*$F112+0.1*$G112+0.1*$H112+0.1*$I112),1),0)</f>
      </c>
      <c r="K112">
        <f>IF('_DATA_Dashboard_Facts'!$R$7&gt;=0.8,"High",IF('_DATA_Dashboard_Facts'!$R$7&gt;=0.5,"Medium","Low - assessment incomplete"))</f>
      </c>
      <c r="L112">
        <f>IF($A112=1,"Primary",IF($A112&lt;=3,"Supporting",IF($J112&gt;=50,"Watchlist","Not prioritized")))</f>
      </c>
      <c r="M112">
        <f>_ENGINE_Strategy!E17</f>
      </c>
      <c r="N112">
        <f>"Crisis fit: "&amp;D112&amp;"; domain gap fit: "&amp;E112&amp;"; risk fit: "&amp;F112&amp;". Trigger domains: "&amp;_ENGINE_Strategy!AR17</f>
      </c>
      <c r="O112">
        <f>_ENGINE_Strategy!F17</f>
      </c>
      <c r="P112">
        <f>_ENGINE_Strategy!G17</f>
      </c>
      <c r="Q112">
        <f>_ENGINE_Strategy!H17</f>
      </c>
      <c r="R112">
        <f>_ENGINE_Strategy!I17</f>
      </c>
      <c r="S112">
        <f>_ENGINE_Strategy!N17</f>
      </c>
      <c r="T112">
        <f>COUNTIF(_ENGINE_Initiatives!$D$5:$D$76,$B112)</f>
      </c>
      <c r="U112">
        <f>IFERROR(INDEX(_ENGINE_Initiatives!$AE$5:$AE$76,MATCH($B112,_ENGINE_Initiatives!$D$5:$D$76,0)),"")</f>
      </c>
      <c r="V112">
        <f>IFERROR(ROUND(AVERAGEIF(_ENGINE_Initiatives!$D$5:$D$76,$B112,_ENGINE_Initiatives!$AC$5:$AC$76),2),"")</f>
      </c>
      <c r="W112">
        <f>IFERROR(SUMIFS('_REF_Model_Content'!$D$300:$D$429,'_REF_Model_Content'!$A$300:$A$429,'Company Profile'!$B$9,'_REF_Model_Content'!$B$300:$B$429,$C112),3)</f>
      </c>
      <c r="X112">
        <f>IF($J112="","",ROUND($J112*(1+($W112-3)*0.06),2))</f>
      </c>
    </row>
    <row r="113">
      <c r="A113">
        <f>IF($X113="","",1+COUNTIF($X$100:$X$113,"&gt;"&amp;$X113))</f>
      </c>
      <c r="B113">
        <f>_ENGINE_Strategy!B18</f>
      </c>
      <c r="C113">
        <f>_ENGINE_Strategy!A18</f>
      </c>
      <c r="D113">
        <f>IFERROR(ROUND(INDEX(_ENGINE_Strategy!$P18:$Z18,1,MATCH('Resilience &amp; Risk Scenario'!$B$6,_ENGINE_Strategy!$P$4:$Z$4,0))*cfg_ScenarioFitScale,2),0)</f>
      </c>
      <c r="E113">
        <f>IFERROR(ROUND(SUMPRODUCT(_ENGINE_Strategy!$AA18:$AQ18,TRANSPOSE(5-_DATA_Dashboard_Facts!$H$5:$H$21))/SUM(_ENGINE_Strategy!$AA18:$AQ18),2),0)</f>
      </c>
      <c r="F113">
        <f>IFERROR(ROUND(MIN(5,SUMPRODUCT(_ENGINE_Strategy!$AA18:$AQ18,TRANSPOSE(_DATA_Dashboard_Facts!$J$5:$J$21+cfg_RiskSecondaryWeight*_DATA_Dashboard_Facts!$K$5:$K$21))/SUM(_ENGINE_Strategy!$AA18:$AQ18))*cfg_RiskFitScale,2),0)</f>
      </c>
      <c r="G113">
        <f>IFERROR(ROUND((5-_DATA_Dashboard_Facts!$R$9)*(_ENGINE_Strategy!K18/5),2),0)</f>
      </c>
      <c r="H113">
        <f>IFERROR(ROUND((5-_DATA_Dashboard_Facts!$R$9)*(_ENGINE_Strategy!L18/5),2),0)</f>
      </c>
      <c r="I113">
        <f>IFERROR(ROUND((5-_DATA_Dashboard_Facts!$R$9)*(_ENGINE_Strategy!M18/5),2),0)</f>
      </c>
      <c r="J113">
        <f>IFERROR(ROUND(20*(0.25*$D113+0.25*$E113+0.2*$F113+0.1*$G113+0.1*$H113+0.1*$I113),1),0)</f>
      </c>
      <c r="K113">
        <f>IF('_DATA_Dashboard_Facts'!$R$7&gt;=0.8,"High",IF('_DATA_Dashboard_Facts'!$R$7&gt;=0.5,"Medium","Low - assessment incomplete"))</f>
      </c>
      <c r="L113">
        <f>IF($A113=1,"Primary",IF($A113&lt;=3,"Supporting",IF($J113&gt;=50,"Watchlist","Not prioritized")))</f>
      </c>
      <c r="M113">
        <f>_ENGINE_Strategy!E18</f>
      </c>
      <c r="N113">
        <f>"Crisis fit: "&amp;D113&amp;"; domain gap fit: "&amp;E113&amp;"; risk fit: "&amp;F113&amp;". Trigger domains: "&amp;_ENGINE_Strategy!AR18</f>
      </c>
      <c r="O113">
        <f>_ENGINE_Strategy!F18</f>
      </c>
      <c r="P113">
        <f>_ENGINE_Strategy!G18</f>
      </c>
      <c r="Q113">
        <f>_ENGINE_Strategy!H18</f>
      </c>
      <c r="R113">
        <f>_ENGINE_Strategy!I18</f>
      </c>
      <c r="S113">
        <f>_ENGINE_Strategy!N18</f>
      </c>
      <c r="T113">
        <f>COUNTIF(_ENGINE_Initiatives!$D$5:$D$76,$B113)</f>
      </c>
      <c r="U113">
        <f>IFERROR(INDEX(_ENGINE_Initiatives!$AE$5:$AE$76,MATCH($B113,_ENGINE_Initiatives!$D$5:$D$76,0)),"")</f>
      </c>
      <c r="V113">
        <f>IFERROR(ROUND(AVERAGEIF(_ENGINE_Initiatives!$D$5:$D$76,$B113,_ENGINE_Initiatives!$AC$5:$AC$76),2),"")</f>
      </c>
      <c r="W113">
        <f>IFERROR(SUMIFS('_REF_Model_Content'!$D$300:$D$429,'_REF_Model_Content'!$A$300:$A$429,'Company Profile'!$B$9,'_REF_Model_Content'!$B$300:$B$429,$C113),3)</f>
      </c>
      <c r="X113">
        <f>IF($J113="","",ROUND($J113*(1+($W113-3)*0.06),2))</f>
      </c>
    </row>
  </sheetData>
  <autoFilter ref="A4:AR18"/>
  <mergeCells count="2">
    <mergeCell ref="A1:AR1"/>
    <mergeCell ref="A2:AR2"/>
  </mergeCells>
  <pageMargins left="0.75" right="0.75" top="1" bottom="1" header="0.5" footer="0.5"/>
  <pageSetup orientation="landscape" fitToHeight="0"/>
  <headerFooter>
    <oddHeader/>
    <oddFooter>&amp;R© Roman Reznikov / RR-framework — CC BY-NC-SA 4.0 — For authorized use only</oddFooter>
    <evenHeader/>
    <evenFooter>&amp;R© Roman Reznikov / RR-framework — CC BY-NC-SA 4.0 — For authorized use only</evenFooter>
    <firstHeader/>
    <firstFooter>&amp;R© Roman Reznikov / RR-framework — CC BY-NC-SA 4.0 — For authorized use only</firstFooter>
  </headerFooter>
  <legacyDrawing xmlns:r="http://schemas.openxmlformats.org/officeDocument/2006/relationships" r:id="anysvml"/>
  <tableParts count="1">
    <tablePart r:id="rId1"/>
  </tableParts>
</worksheet>
</file>

<file path=xl/worksheets/sheet20.xml><?xml version="1.0" encoding="utf-8"?>
<worksheet xmlns="http://schemas.openxmlformats.org/spreadsheetml/2006/main" xmlns:r="http://schemas.openxmlformats.org/officeDocument/2006/relationships">
  <sheetPr>
    <tabColor rgb="FF6B7280"/>
    <outlinePr summaryBelow="1" summaryRight="1"/>
    <pageSetUpPr fitToPage="1"/>
  </sheetPr>
  <dimension ref="A1:Y736"/>
  <sheetViews>
    <sheetView showGridLines="0" workbookViewId="0">
      <pane ySplit="3" topLeftCell="A4" activePane="bottomLeft" state="frozen"/>
      <selection pane="bottomLeft" activeCell="A1" sqref="A1"/>
    </sheetView>
  </sheetViews>
  <sheetFormatPr baseColWidth="8" defaultRowHeight="13.8"/>
  <cols>
    <col width="28" customWidth="1" style="209" min="1" max="1"/>
    <col width="22" customWidth="1" style="209" min="2" max="2"/>
    <col width="16" customWidth="1" style="209" min="3" max="3"/>
    <col width="18" customWidth="1" style="209" min="4" max="5"/>
    <col width="20" customWidth="1" style="209" min="6" max="7"/>
    <col width="45" customWidth="1" style="209" min="8" max="8"/>
    <col width="50" customWidth="1" style="209" min="9" max="9"/>
    <col width="18" customWidth="1" style="209" min="10" max="10"/>
    <col width="55" customWidth="1" style="209" min="11" max="11"/>
    <col width="45" customWidth="1" style="209" min="12" max="12"/>
  </cols>
  <sheetData>
    <row r="1" ht="25.95" customHeight="1" s="209">
      <c r="A1" s="261" t="inlineStr">
        <is>
          <t>_REF_Model_Content — Consolidated Reference &amp; Content Layer</t>
        </is>
      </c>
      <c r="B1" s="215" t="n"/>
      <c r="C1" s="215" t="n"/>
      <c r="D1" s="215" t="n"/>
      <c r="E1" s="215" t="n"/>
      <c r="F1" s="215" t="n"/>
      <c r="G1" s="215" t="n"/>
      <c r="H1" s="215" t="n"/>
      <c r="I1" s="215" t="n"/>
      <c r="J1" s="215" t="n"/>
      <c r="K1" s="215" t="n"/>
      <c r="L1" s="216" t="n"/>
    </row>
    <row r="2" ht="34.05" customHeight="1" s="209">
      <c r="A2" s="125" t="inlineStr">
        <is>
          <t>Current v1.93 consolidated reference/content layer. Rows 1–157: industry templates; 300–429: industry-strategy fit; 500–518: strategy packages; 700–737: benchmark/reference data.</t>
        </is>
      </c>
      <c r="B2" s="125" t="n"/>
      <c r="C2" s="125" t="n"/>
      <c r="D2" s="125" t="n"/>
      <c r="E2" s="125" t="n"/>
      <c r="F2" s="125" t="n"/>
      <c r="G2" s="125" t="n"/>
      <c r="H2" s="125" t="n"/>
      <c r="I2" s="125" t="n"/>
      <c r="J2" s="125" t="n"/>
      <c r="K2" s="125" t="n"/>
      <c r="L2" s="125" t="n"/>
    </row>
    <row r="4" ht="30" customHeight="1" s="209">
      <c r="A4" s="23" t="inlineStr">
        <is>
          <t>Industry template</t>
        </is>
      </c>
      <c r="B4" s="23" t="inlineStr">
        <is>
          <t>Domain</t>
        </is>
      </c>
      <c r="C4" s="23" t="inlineStr">
        <is>
          <t>Domain weight 1-5</t>
        </is>
      </c>
      <c r="D4" s="23" t="inlineStr">
        <is>
          <t>Target maturity 0-5</t>
        </is>
      </c>
      <c r="E4" s="23" t="inlineStr">
        <is>
          <t>Criticality multiplier</t>
        </is>
      </c>
      <c r="F4" s="23" t="inlineStr">
        <is>
          <t>Minimum viable threshold</t>
        </is>
      </c>
      <c r="G4" s="23" t="inlineStr">
        <is>
          <t>Crisis exposure profile</t>
        </is>
      </c>
      <c r="H4" s="23" t="inlineStr">
        <is>
          <t>Critical systems</t>
        </is>
      </c>
      <c r="I4" s="23" t="inlineStr">
        <is>
          <t>Red-line controls</t>
        </is>
      </c>
      <c r="J4" s="23" t="inlineStr">
        <is>
          <t>Initiative multiplier</t>
        </is>
      </c>
      <c r="K4" s="23" t="inlineStr">
        <is>
          <t>Evidence expectations</t>
        </is>
      </c>
      <c r="L4" s="23" t="inlineStr">
        <is>
          <t>Preferred strategies</t>
        </is>
      </c>
      <c r="N4" t="inlineStr">
        <is>
          <t>Industry dropdown list</t>
        </is>
      </c>
    </row>
    <row r="5" ht="42.75" customHeight="1" s="209">
      <c r="A5" s="247" t="inlineStr">
        <is>
          <t>IT Services</t>
        </is>
      </c>
      <c r="B5" s="247" t="inlineStr">
        <is>
          <t>Company Geography</t>
        </is>
      </c>
      <c r="C5" s="247" t="n">
        <v>3</v>
      </c>
      <c r="D5" s="247" t="n">
        <v>3.5</v>
      </c>
      <c r="E5" s="247" t="n">
        <v>1</v>
      </c>
      <c r="F5" s="247" t="n">
        <v>2.5</v>
      </c>
      <c r="G5" s="247" t="inlineStr">
        <is>
          <t>Low</t>
        </is>
      </c>
      <c r="H5" s="247" t="inlineStr">
        <is>
          <t>CRM; HRMS; project/portfolio tools; time tracking; knowledge base; finance system; cloud collaboration; IAM; BI dashboards</t>
        </is>
      </c>
      <c r="I5" s="247" t="inlineStr">
        <is>
          <t>critical role backups; secure remote work; MFA; delivery continuity; project knowledge base; customer communication path</t>
        </is>
      </c>
      <c r="J5" s="247" t="n">
        <v>1</v>
      </c>
      <c r="K5" s="247" t="inlineStr">
        <is>
          <t>High confidence requires documented owner, current evidence, recent KPI/report and crisis-tested procedure for material domains.</t>
        </is>
      </c>
      <c r="L5" s="247" t="inlineStr">
        <is>
          <t>Workforce Resilience Strategy; Digital Foundation Strategy; Business Continuity and Resilience Strategy</t>
        </is>
      </c>
      <c r="N5" t="inlineStr">
        <is>
          <t>IT Services</t>
        </is>
      </c>
    </row>
    <row r="6" ht="42.75" customHeight="1" s="209">
      <c r="A6" s="43" t="inlineStr">
        <is>
          <t>IT Services</t>
        </is>
      </c>
      <c r="B6" s="43" t="inlineStr">
        <is>
          <t>Strategy GTM</t>
        </is>
      </c>
      <c r="C6" s="43" t="n">
        <v>3</v>
      </c>
      <c r="D6" s="43" t="n">
        <v>3.5</v>
      </c>
      <c r="E6" s="43" t="n">
        <v>1</v>
      </c>
      <c r="F6" s="43" t="n">
        <v>2.5</v>
      </c>
      <c r="G6" s="43" t="inlineStr">
        <is>
          <t>Low</t>
        </is>
      </c>
      <c r="H6" s="43" t="inlineStr">
        <is>
          <t>CRM; HRMS; project/portfolio tools; time tracking; knowledge base; finance system; cloud collaboration; IAM; BI dashboards</t>
        </is>
      </c>
      <c r="I6" s="43" t="inlineStr">
        <is>
          <t>critical role backups; secure remote work; MFA; delivery continuity; project knowledge base; customer communication path</t>
        </is>
      </c>
      <c r="J6" s="43" t="n">
        <v>1</v>
      </c>
      <c r="K6" s="43" t="inlineStr">
        <is>
          <t>High confidence requires documented owner, current evidence, recent KPI/report and crisis-tested procedure for material domains.</t>
        </is>
      </c>
      <c r="L6" s="43" t="inlineStr">
        <is>
          <t>Workforce Resilience Strategy; Digital Foundation Strategy; Business Continuity and Resilience Strategy</t>
        </is>
      </c>
      <c r="N6" t="inlineStr">
        <is>
          <t>SaaS / Digital Product</t>
        </is>
      </c>
    </row>
    <row r="7" ht="42.75" customHeight="1" s="209">
      <c r="A7" s="247" t="inlineStr">
        <is>
          <t>IT Services</t>
        </is>
      </c>
      <c r="B7" s="247" t="inlineStr">
        <is>
          <t>Governance Crisis</t>
        </is>
      </c>
      <c r="C7" s="247" t="n">
        <v>3</v>
      </c>
      <c r="D7" s="247" t="n">
        <v>4</v>
      </c>
      <c r="E7" s="247" t="n">
        <v>1.15</v>
      </c>
      <c r="F7" s="247" t="n">
        <v>3</v>
      </c>
      <c r="G7" s="247" t="inlineStr">
        <is>
          <t>Medium</t>
        </is>
      </c>
      <c r="H7" s="247" t="inlineStr">
        <is>
          <t>CRM; HRMS; project/portfolio tools; time tracking; knowledge base; finance system; cloud collaboration; IAM; BI dashboards</t>
        </is>
      </c>
      <c r="I7" s="247" t="inlineStr">
        <is>
          <t>critical role backups; secure remote work; MFA; delivery continuity; project knowledge base; customer communication path</t>
        </is>
      </c>
      <c r="J7" s="247" t="n">
        <v>1.1</v>
      </c>
      <c r="K7" s="247" t="inlineStr">
        <is>
          <t>High confidence requires documented owner, current evidence, recent KPI/report and crisis-tested procedure for material domains.</t>
        </is>
      </c>
      <c r="L7" s="247" t="inlineStr">
        <is>
          <t>Workforce Resilience Strategy; Digital Foundation Strategy; Business Continuity and Resilience Strategy</t>
        </is>
      </c>
      <c r="N7" t="inlineStr">
        <is>
          <t>Manufacturing</t>
        </is>
      </c>
    </row>
    <row r="8" ht="42.75" customHeight="1" s="209">
      <c r="A8" s="43" t="inlineStr">
        <is>
          <t>IT Services</t>
        </is>
      </c>
      <c r="B8" s="43" t="inlineStr">
        <is>
          <t>HR Workforce</t>
        </is>
      </c>
      <c r="C8" s="43" t="n">
        <v>5</v>
      </c>
      <c r="D8" s="43" t="n">
        <v>4</v>
      </c>
      <c r="E8" s="43" t="n">
        <v>1.25</v>
      </c>
      <c r="F8" s="43" t="n">
        <v>3</v>
      </c>
      <c r="G8" s="43" t="inlineStr">
        <is>
          <t>Medium</t>
        </is>
      </c>
      <c r="H8" s="43" t="inlineStr">
        <is>
          <t>CRM; HRMS; project/portfolio tools; time tracking; knowledge base; finance system; cloud collaboration; IAM; BI dashboards</t>
        </is>
      </c>
      <c r="I8" s="43" t="inlineStr">
        <is>
          <t>critical role backups; secure remote work; MFA; delivery continuity; project knowledge base; customer communication path</t>
        </is>
      </c>
      <c r="J8" s="43" t="n">
        <v>1.2</v>
      </c>
      <c r="K8" s="43" t="inlineStr">
        <is>
          <t>High confidence requires documented owner, current evidence, recent KPI/report and crisis-tested procedure for material domains.</t>
        </is>
      </c>
      <c r="L8" s="43" t="inlineStr">
        <is>
          <t>Workforce Resilience Strategy; Digital Foundation Strategy; Business Continuity and Resilience Strategy</t>
        </is>
      </c>
      <c r="N8" t="inlineStr">
        <is>
          <t>Retail / Ecommerce</t>
        </is>
      </c>
    </row>
    <row r="9" ht="42.75" customHeight="1" s="209">
      <c r="A9" s="247" t="inlineStr">
        <is>
          <t>IT Services</t>
        </is>
      </c>
      <c r="B9" s="247" t="inlineStr">
        <is>
          <t>Finance Procurement</t>
        </is>
      </c>
      <c r="C9" s="247" t="n">
        <v>3</v>
      </c>
      <c r="D9" s="247" t="n">
        <v>3.5</v>
      </c>
      <c r="E9" s="247" t="n">
        <v>1</v>
      </c>
      <c r="F9" s="247" t="n">
        <v>2.5</v>
      </c>
      <c r="G9" s="247" t="inlineStr">
        <is>
          <t>Low</t>
        </is>
      </c>
      <c r="H9" s="247" t="inlineStr">
        <is>
          <t>CRM; HRMS; project/portfolio tools; time tracking; knowledge base; finance system; cloud collaboration; IAM; BI dashboards</t>
        </is>
      </c>
      <c r="I9" s="247" t="inlineStr">
        <is>
          <t>critical role backups; secure remote work; MFA; delivery continuity; project knowledge base; customer communication path</t>
        </is>
      </c>
      <c r="J9" s="247" t="n">
        <v>1</v>
      </c>
      <c r="K9" s="247" t="inlineStr">
        <is>
          <t>High confidence requires documented owner, current evidence, recent KPI/report and crisis-tested procedure for material domains.</t>
        </is>
      </c>
      <c r="L9" s="247" t="inlineStr">
        <is>
          <t>Workforce Resilience Strategy; Digital Foundation Strategy; Business Continuity and Resilience Strategy</t>
        </is>
      </c>
      <c r="N9" t="inlineStr">
        <is>
          <t>Logistics / Distribution</t>
        </is>
      </c>
    </row>
    <row r="10" ht="42.75" customHeight="1" s="209">
      <c r="A10" s="43" t="inlineStr">
        <is>
          <t>IT Services</t>
        </is>
      </c>
      <c r="B10" s="43" t="inlineStr">
        <is>
          <t>Legal Risk</t>
        </is>
      </c>
      <c r="C10" s="43" t="n">
        <v>3</v>
      </c>
      <c r="D10" s="43" t="n">
        <v>3.5</v>
      </c>
      <c r="E10" s="43" t="n">
        <v>1</v>
      </c>
      <c r="F10" s="43" t="n">
        <v>2.5</v>
      </c>
      <c r="G10" s="43" t="inlineStr">
        <is>
          <t>Low</t>
        </is>
      </c>
      <c r="H10" s="43" t="inlineStr">
        <is>
          <t>CRM; HRMS; project/portfolio tools; time tracking; knowledge base; finance system; cloud collaboration; IAM; BI dashboards</t>
        </is>
      </c>
      <c r="I10" s="43" t="inlineStr">
        <is>
          <t>critical role backups; secure remote work; MFA; delivery continuity; project knowledge base; customer communication path</t>
        </is>
      </c>
      <c r="J10" s="43" t="n">
        <v>1</v>
      </c>
      <c r="K10" s="43" t="inlineStr">
        <is>
          <t>High confidence requires documented owner, current evidence, recent KPI/report and crisis-tested procedure for material domains.</t>
        </is>
      </c>
      <c r="L10" s="43" t="inlineStr">
        <is>
          <t>Workforce Resilience Strategy; Digital Foundation Strategy; Business Continuity and Resilience Strategy</t>
        </is>
      </c>
      <c r="N10" t="inlineStr">
        <is>
          <t>Healthcare / Pharma</t>
        </is>
      </c>
    </row>
    <row r="11" ht="42.75" customHeight="1" s="209">
      <c r="A11" s="247" t="inlineStr">
        <is>
          <t>IT Services</t>
        </is>
      </c>
      <c r="B11" s="247" t="inlineStr">
        <is>
          <t>Physical Safety</t>
        </is>
      </c>
      <c r="C11" s="247" t="n">
        <v>2</v>
      </c>
      <c r="D11" s="247" t="n">
        <v>2.8</v>
      </c>
      <c r="E11" s="247" t="n">
        <v>0.9</v>
      </c>
      <c r="F11" s="247" t="n">
        <v>2</v>
      </c>
      <c r="G11" s="247" t="inlineStr">
        <is>
          <t>Low</t>
        </is>
      </c>
      <c r="H11" s="247" t="inlineStr">
        <is>
          <t>CRM; HRMS; project/portfolio tools; time tracking; knowledge base; finance system; cloud collaboration; IAM; BI dashboards</t>
        </is>
      </c>
      <c r="I11" s="247" t="inlineStr">
        <is>
          <t>critical role backups; secure remote work; MFA; delivery continuity; project knowledge base; customer communication path</t>
        </is>
      </c>
      <c r="J11" s="247" t="n">
        <v>0.9</v>
      </c>
      <c r="K11" s="247" t="inlineStr">
        <is>
          <t>High confidence requires documented owner, current evidence, recent KPI/report and crisis-tested procedure for material domains.</t>
        </is>
      </c>
      <c r="L11" s="247" t="inlineStr">
        <is>
          <t>Workforce Resilience Strategy; Digital Foundation Strategy; Business Continuity and Resilience Strategy</t>
        </is>
      </c>
      <c r="N11" t="inlineStr">
        <is>
          <t>Energy / Utilities</t>
        </is>
      </c>
    </row>
    <row r="12" ht="42.75" customHeight="1" s="209">
      <c r="A12" s="43" t="inlineStr">
        <is>
          <t>IT Services</t>
        </is>
      </c>
      <c r="B12" s="43" t="inlineStr">
        <is>
          <t>Delivery Ops</t>
        </is>
      </c>
      <c r="C12" s="43" t="n">
        <v>5</v>
      </c>
      <c r="D12" s="43" t="n">
        <v>4</v>
      </c>
      <c r="E12" s="43" t="n">
        <v>1.25</v>
      </c>
      <c r="F12" s="43" t="n">
        <v>3</v>
      </c>
      <c r="G12" s="43" t="inlineStr">
        <is>
          <t>Medium</t>
        </is>
      </c>
      <c r="H12" s="43" t="inlineStr">
        <is>
          <t>CRM; HRMS; project/portfolio tools; time tracking; knowledge base; finance system; cloud collaboration; IAM; BI dashboards</t>
        </is>
      </c>
      <c r="I12" s="43" t="inlineStr">
        <is>
          <t>critical role backups; secure remote work; MFA; delivery continuity; project knowledge base; customer communication path</t>
        </is>
      </c>
      <c r="J12" s="43" t="n">
        <v>1.2</v>
      </c>
      <c r="K12" s="43" t="inlineStr">
        <is>
          <t>High confidence requires documented owner, current evidence, recent KPI/report and crisis-tested procedure for material domains.</t>
        </is>
      </c>
      <c r="L12" s="43" t="inlineStr">
        <is>
          <t>Workforce Resilience Strategy; Digital Foundation Strategy; Business Continuity and Resilience Strategy</t>
        </is>
      </c>
      <c r="N12" t="inlineStr">
        <is>
          <t>Professional Services</t>
        </is>
      </c>
    </row>
    <row r="13" ht="42.75" customHeight="1" s="209">
      <c r="A13" s="247" t="inlineStr">
        <is>
          <t>IT Services</t>
        </is>
      </c>
      <c r="B13" s="247" t="inlineStr">
        <is>
          <t>Supply Chain</t>
        </is>
      </c>
      <c r="C13" s="247" t="n">
        <v>3</v>
      </c>
      <c r="D13" s="247" t="n">
        <v>3.5</v>
      </c>
      <c r="E13" s="247" t="n">
        <v>1</v>
      </c>
      <c r="F13" s="247" t="n">
        <v>2.5</v>
      </c>
      <c r="G13" s="247" t="inlineStr">
        <is>
          <t>Low</t>
        </is>
      </c>
      <c r="H13" s="247" t="inlineStr">
        <is>
          <t>CRM; HRMS; project/portfolio tools; time tracking; knowledge base; finance system; cloud collaboration; IAM; BI dashboards</t>
        </is>
      </c>
      <c r="I13" s="247" t="inlineStr">
        <is>
          <t>critical role backups; secure remote work; MFA; delivery continuity; project knowledge base; customer communication path</t>
        </is>
      </c>
      <c r="J13" s="247" t="n">
        <v>1</v>
      </c>
      <c r="K13" s="247" t="inlineStr">
        <is>
          <t>High confidence requires documented owner, current evidence, recent KPI/report and crisis-tested procedure for material domains.</t>
        </is>
      </c>
      <c r="L13" s="247" t="inlineStr">
        <is>
          <t>Workforce Resilience Strategy; Digital Foundation Strategy; Business Continuity and Resilience Strategy</t>
        </is>
      </c>
      <c r="N13" t="inlineStr">
        <is>
          <t>Public Sector / Regulated Organization</t>
        </is>
      </c>
    </row>
    <row r="14" ht="42.75" customHeight="1" s="209">
      <c r="A14" s="43" t="inlineStr">
        <is>
          <t>IT Services</t>
        </is>
      </c>
      <c r="B14" s="43" t="inlineStr">
        <is>
          <t>Manufacturing MES</t>
        </is>
      </c>
      <c r="C14" s="43" t="n">
        <v>1</v>
      </c>
      <c r="D14" s="43" t="n">
        <v>1</v>
      </c>
      <c r="E14" s="43" t="n">
        <v>0.6</v>
      </c>
      <c r="F14" s="43" t="n">
        <v>0</v>
      </c>
      <c r="G14" s="43" t="inlineStr">
        <is>
          <t>Low</t>
        </is>
      </c>
      <c r="H14" s="43" t="inlineStr">
        <is>
          <t>CRM; HRMS; project/portfolio tools; time tracking; knowledge base; finance system; cloud collaboration; IAM; BI dashboards</t>
        </is>
      </c>
      <c r="I14" s="43" t="inlineStr">
        <is>
          <t>critical role backups; secure remote work; MFA; delivery continuity; project knowledge base; customer communication path</t>
        </is>
      </c>
      <c r="J14" s="43" t="n">
        <v>0.7</v>
      </c>
      <c r="K14" s="43" t="inlineStr">
        <is>
          <t>High confidence requires documented owner, current evidence, recent KPI/report and crisis-tested procedure for material domains.</t>
        </is>
      </c>
      <c r="L14" s="43" t="inlineStr">
        <is>
          <t>Workforce Resilience Strategy; Digital Foundation Strategy; Business Continuity and Resilience Strategy</t>
        </is>
      </c>
    </row>
    <row r="15" ht="42.75" customHeight="1" s="209">
      <c r="A15" s="247" t="inlineStr">
        <is>
          <t>IT Services</t>
        </is>
      </c>
      <c r="B15" s="247" t="inlineStr">
        <is>
          <t>Sales CRM</t>
        </is>
      </c>
      <c r="C15" s="247" t="n">
        <v>4</v>
      </c>
      <c r="D15" s="247" t="n">
        <v>3.8</v>
      </c>
      <c r="E15" s="247" t="n">
        <v>1.1</v>
      </c>
      <c r="F15" s="247" t="n">
        <v>2.8</v>
      </c>
      <c r="G15" s="247" t="inlineStr">
        <is>
          <t>Medium</t>
        </is>
      </c>
      <c r="H15" s="247" t="inlineStr">
        <is>
          <t>CRM; HRMS; project/portfolio tools; time tracking; knowledge base; finance system; cloud collaboration; IAM; BI dashboards</t>
        </is>
      </c>
      <c r="I15" s="247" t="inlineStr">
        <is>
          <t>critical role backups; secure remote work; MFA; delivery continuity; project knowledge base; customer communication path</t>
        </is>
      </c>
      <c r="J15" s="247" t="n">
        <v>1.1</v>
      </c>
      <c r="K15" s="247" t="inlineStr">
        <is>
          <t>High confidence requires documented owner, current evidence, recent KPI/report and crisis-tested procedure for material domains.</t>
        </is>
      </c>
      <c r="L15" s="247" t="inlineStr">
        <is>
          <t>Workforce Resilience Strategy; Digital Foundation Strategy; Business Continuity and Resilience Strategy</t>
        </is>
      </c>
    </row>
    <row r="16" ht="42.75" customHeight="1" s="209">
      <c r="A16" s="43" t="inlineStr">
        <is>
          <t>IT Services</t>
        </is>
      </c>
      <c r="B16" s="43" t="inlineStr">
        <is>
          <t>Marketing Comms</t>
        </is>
      </c>
      <c r="C16" s="43" t="n">
        <v>3</v>
      </c>
      <c r="D16" s="43" t="n">
        <v>3.5</v>
      </c>
      <c r="E16" s="43" t="n">
        <v>1</v>
      </c>
      <c r="F16" s="43" t="n">
        <v>2.5</v>
      </c>
      <c r="G16" s="43" t="inlineStr">
        <is>
          <t>Low</t>
        </is>
      </c>
      <c r="H16" s="43" t="inlineStr">
        <is>
          <t>CRM; HRMS; project/portfolio tools; time tracking; knowledge base; finance system; cloud collaboration; IAM; BI dashboards</t>
        </is>
      </c>
      <c r="I16" s="43" t="inlineStr">
        <is>
          <t>critical role backups; secure remote work; MFA; delivery continuity; project knowledge base; customer communication path</t>
        </is>
      </c>
      <c r="J16" s="43" t="n">
        <v>1</v>
      </c>
      <c r="K16" s="43" t="inlineStr">
        <is>
          <t>High confidence requires documented owner, current evidence, recent KPI/report and crisis-tested procedure for material domains.</t>
        </is>
      </c>
      <c r="L16" s="43" t="inlineStr">
        <is>
          <t>Workforce Resilience Strategy; Digital Foundation Strategy; Business Continuity and Resilience Strategy</t>
        </is>
      </c>
    </row>
    <row r="17" ht="42.75" customHeight="1" s="209">
      <c r="A17" s="247" t="inlineStr">
        <is>
          <t>IT Services</t>
        </is>
      </c>
      <c r="B17" s="247" t="inlineStr">
        <is>
          <t>IT Cloud DR</t>
        </is>
      </c>
      <c r="C17" s="247" t="n">
        <v>3</v>
      </c>
      <c r="D17" s="247" t="n">
        <v>4</v>
      </c>
      <c r="E17" s="247" t="n">
        <v>1.15</v>
      </c>
      <c r="F17" s="247" t="n">
        <v>3</v>
      </c>
      <c r="G17" s="247" t="inlineStr">
        <is>
          <t>Medium</t>
        </is>
      </c>
      <c r="H17" s="247" t="inlineStr">
        <is>
          <t>CRM; HRMS; project/portfolio tools; time tracking; knowledge base; finance system; cloud collaboration; IAM; BI dashboards</t>
        </is>
      </c>
      <c r="I17" s="247" t="inlineStr">
        <is>
          <t>critical role backups; secure remote work; MFA; delivery continuity; project knowledge base; customer communication path</t>
        </is>
      </c>
      <c r="J17" s="247" t="n">
        <v>1.1</v>
      </c>
      <c r="K17" s="247" t="inlineStr">
        <is>
          <t>High confidence requires documented owner, current evidence, recent KPI/report and crisis-tested procedure for material domains.</t>
        </is>
      </c>
      <c r="L17" s="247" t="inlineStr">
        <is>
          <t>Workforce Resilience Strategy; Digital Foundation Strategy; Business Continuity and Resilience Strategy</t>
        </is>
      </c>
    </row>
    <row r="18" ht="42.75" customHeight="1" s="209">
      <c r="A18" s="43" t="inlineStr">
        <is>
          <t>IT Services</t>
        </is>
      </c>
      <c r="B18" s="43" t="inlineStr">
        <is>
          <t>Business Systems</t>
        </is>
      </c>
      <c r="C18" s="43" t="n">
        <v>4</v>
      </c>
      <c r="D18" s="43" t="n">
        <v>4</v>
      </c>
      <c r="E18" s="43" t="n">
        <v>1.15</v>
      </c>
      <c r="F18" s="43" t="n">
        <v>3</v>
      </c>
      <c r="G18" s="43" t="inlineStr">
        <is>
          <t>Medium</t>
        </is>
      </c>
      <c r="H18" s="43" t="inlineStr">
        <is>
          <t>CRM; HRMS; project/portfolio tools; time tracking; knowledge base; finance system; cloud collaboration; IAM; BI dashboards</t>
        </is>
      </c>
      <c r="I18" s="43" t="inlineStr">
        <is>
          <t>critical role backups; secure remote work; MFA; delivery continuity; project knowledge base; customer communication path</t>
        </is>
      </c>
      <c r="J18" s="43" t="n">
        <v>1.15</v>
      </c>
      <c r="K18" s="43" t="inlineStr">
        <is>
          <t>High confidence requires documented owner, current evidence, recent KPI/report and crisis-tested procedure for material domains.</t>
        </is>
      </c>
      <c r="L18" s="43" t="inlineStr">
        <is>
          <t>Workforce Resilience Strategy; Digital Foundation Strategy; Business Continuity and Resilience Strategy</t>
        </is>
      </c>
    </row>
    <row r="19" ht="42.75" customHeight="1" s="209">
      <c r="A19" s="247" t="inlineStr">
        <is>
          <t>IT Services</t>
        </is>
      </c>
      <c r="B19" s="247" t="inlineStr">
        <is>
          <t>Data BI AI</t>
        </is>
      </c>
      <c r="C19" s="247" t="n">
        <v>3</v>
      </c>
      <c r="D19" s="247" t="n">
        <v>3.5</v>
      </c>
      <c r="E19" s="247" t="n">
        <v>1</v>
      </c>
      <c r="F19" s="247" t="n">
        <v>2.5</v>
      </c>
      <c r="G19" s="247" t="inlineStr">
        <is>
          <t>Low</t>
        </is>
      </c>
      <c r="H19" s="247" t="inlineStr">
        <is>
          <t>CRM; HRMS; project/portfolio tools; time tracking; knowledge base; finance system; cloud collaboration; IAM; BI dashboards</t>
        </is>
      </c>
      <c r="I19" s="247" t="inlineStr">
        <is>
          <t>critical role backups; secure remote work; MFA; delivery continuity; project knowledge base; customer communication path</t>
        </is>
      </c>
      <c r="J19" s="247" t="n">
        <v>1</v>
      </c>
      <c r="K19" s="247" t="inlineStr">
        <is>
          <t>High confidence requires documented owner, current evidence, recent KPI/report and crisis-tested procedure for material domains.</t>
        </is>
      </c>
      <c r="L19" s="247" t="inlineStr">
        <is>
          <t>Workforce Resilience Strategy; Digital Foundation Strategy; Business Continuity and Resilience Strategy</t>
        </is>
      </c>
    </row>
    <row r="20" ht="42.75" customHeight="1" s="209">
      <c r="A20" s="43" t="inlineStr">
        <is>
          <t>IT Services</t>
        </is>
      </c>
      <c r="B20" s="43" t="inlineStr">
        <is>
          <t>Cyber Privacy</t>
        </is>
      </c>
      <c r="C20" s="43" t="n">
        <v>3</v>
      </c>
      <c r="D20" s="43" t="n">
        <v>4</v>
      </c>
      <c r="E20" s="43" t="n">
        <v>1.15</v>
      </c>
      <c r="F20" s="43" t="n">
        <v>3</v>
      </c>
      <c r="G20" s="43" t="inlineStr">
        <is>
          <t>Medium</t>
        </is>
      </c>
      <c r="H20" s="43" t="inlineStr">
        <is>
          <t>CRM; HRMS; project/portfolio tools; time tracking; knowledge base; finance system; cloud collaboration; IAM; BI dashboards</t>
        </is>
      </c>
      <c r="I20" s="43" t="inlineStr">
        <is>
          <t>critical role backups; secure remote work; MFA; delivery continuity; project knowledge base; customer communication path</t>
        </is>
      </c>
      <c r="J20" s="43" t="n">
        <v>1.1</v>
      </c>
      <c r="K20" s="43" t="inlineStr">
        <is>
          <t>High confidence requires documented owner, current evidence, recent KPI/report and crisis-tested procedure for material domains.</t>
        </is>
      </c>
      <c r="L20" s="43" t="inlineStr">
        <is>
          <t>Workforce Resilience Strategy; Digital Foundation Strategy; Business Continuity and Resilience Strategy</t>
        </is>
      </c>
    </row>
    <row r="21" ht="42.75" customHeight="1" s="209">
      <c r="A21" s="247" t="inlineStr">
        <is>
          <t>IT Services</t>
        </is>
      </c>
      <c r="B21" s="247" t="inlineStr">
        <is>
          <t>Quality Portfolio</t>
        </is>
      </c>
      <c r="C21" s="247" t="n">
        <v>5</v>
      </c>
      <c r="D21" s="247" t="n">
        <v>4</v>
      </c>
      <c r="E21" s="247" t="n">
        <v>1.2</v>
      </c>
      <c r="F21" s="247" t="n">
        <v>3</v>
      </c>
      <c r="G21" s="247" t="inlineStr">
        <is>
          <t>Medium</t>
        </is>
      </c>
      <c r="H21" s="247" t="inlineStr">
        <is>
          <t>CRM; HRMS; project/portfolio tools; time tracking; knowledge base; finance system; cloud collaboration; IAM; BI dashboards</t>
        </is>
      </c>
      <c r="I21" s="247" t="inlineStr">
        <is>
          <t>critical role backups; secure remote work; MFA; delivery continuity; project knowledge base; customer communication path</t>
        </is>
      </c>
      <c r="J21" s="247" t="n">
        <v>1.2</v>
      </c>
      <c r="K21" s="247" t="inlineStr">
        <is>
          <t>High confidence requires documented owner, current evidence, recent KPI/report and crisis-tested procedure for material domains.</t>
        </is>
      </c>
      <c r="L21" s="247" t="inlineStr">
        <is>
          <t>Workforce Resilience Strategy; Digital Foundation Strategy; Business Continuity and Resilience Strategy</t>
        </is>
      </c>
    </row>
    <row r="22" ht="42.75" customHeight="1" s="209">
      <c r="A22" s="43" t="inlineStr">
        <is>
          <t>SaaS / Digital Product</t>
        </is>
      </c>
      <c r="B22" s="43" t="inlineStr">
        <is>
          <t>Company Geography</t>
        </is>
      </c>
      <c r="C22" s="43" t="n">
        <v>3</v>
      </c>
      <c r="D22" s="43" t="n">
        <v>3.5</v>
      </c>
      <c r="E22" s="43" t="n">
        <v>1</v>
      </c>
      <c r="F22" s="43" t="n">
        <v>2.5</v>
      </c>
      <c r="G22" s="43" t="inlineStr">
        <is>
          <t>Low</t>
        </is>
      </c>
      <c r="H22" s="43" t="inlineStr">
        <is>
          <t>Cloud platform; CI/CD; monitoring; IAM; billing; CRM; support system; data warehouse; product analytics; backup/DR</t>
        </is>
      </c>
      <c r="I22" s="43" t="inlineStr">
        <is>
          <t>MFA; tested backups; DR runbook; monitoring; incident response; data privacy; customer status communication</t>
        </is>
      </c>
      <c r="J22" s="43" t="n">
        <v>1</v>
      </c>
      <c r="K22" s="43" t="inlineStr">
        <is>
          <t>High confidence requires documented owner, current evidence, recent KPI/report and crisis-tested procedure for material domains.</t>
        </is>
      </c>
      <c r="L22" s="43" t="inlineStr">
        <is>
          <t>Cloud and Infrastructure Resilience Strategy; Cyber Resilience Strategy; Data Governance and AI Readiness Strategy</t>
        </is>
      </c>
    </row>
    <row r="23" ht="42.75" customHeight="1" s="209">
      <c r="A23" s="247" t="inlineStr">
        <is>
          <t>SaaS / Digital Product</t>
        </is>
      </c>
      <c r="B23" s="247" t="inlineStr">
        <is>
          <t>Strategy GTM</t>
        </is>
      </c>
      <c r="C23" s="247" t="n">
        <v>5</v>
      </c>
      <c r="D23" s="247" t="n">
        <v>4</v>
      </c>
      <c r="E23" s="247" t="n">
        <v>1.2</v>
      </c>
      <c r="F23" s="247" t="n">
        <v>3</v>
      </c>
      <c r="G23" s="247" t="inlineStr">
        <is>
          <t>Medium</t>
        </is>
      </c>
      <c r="H23" s="247" t="inlineStr">
        <is>
          <t>Cloud platform; CI/CD; monitoring; IAM; billing; CRM; support system; data warehouse; product analytics; backup/DR</t>
        </is>
      </c>
      <c r="I23" s="247" t="inlineStr">
        <is>
          <t>MFA; tested backups; DR runbook; monitoring; incident response; data privacy; customer status communication</t>
        </is>
      </c>
      <c r="J23" s="247" t="n">
        <v>1.15</v>
      </c>
      <c r="K23" s="247" t="inlineStr">
        <is>
          <t>High confidence requires documented owner, current evidence, recent KPI/report and crisis-tested procedure for material domains.</t>
        </is>
      </c>
      <c r="L23" s="247" t="inlineStr">
        <is>
          <t>Cloud and Infrastructure Resilience Strategy; Cyber Resilience Strategy; Data Governance and AI Readiness Strategy</t>
        </is>
      </c>
    </row>
    <row r="24" ht="42.75" customHeight="1" s="209">
      <c r="A24" s="43" t="inlineStr">
        <is>
          <t>SaaS / Digital Product</t>
        </is>
      </c>
      <c r="B24" s="43" t="inlineStr">
        <is>
          <t>Governance Crisis</t>
        </is>
      </c>
      <c r="C24" s="43" t="n">
        <v>3</v>
      </c>
      <c r="D24" s="43" t="n">
        <v>4</v>
      </c>
      <c r="E24" s="43" t="n">
        <v>1.15</v>
      </c>
      <c r="F24" s="43" t="n">
        <v>3</v>
      </c>
      <c r="G24" s="43" t="inlineStr">
        <is>
          <t>Medium</t>
        </is>
      </c>
      <c r="H24" s="43" t="inlineStr">
        <is>
          <t>Cloud platform; CI/CD; monitoring; IAM; billing; CRM; support system; data warehouse; product analytics; backup/DR</t>
        </is>
      </c>
      <c r="I24" s="43" t="inlineStr">
        <is>
          <t>MFA; tested backups; DR runbook; monitoring; incident response; data privacy; customer status communication</t>
        </is>
      </c>
      <c r="J24" s="43" t="n">
        <v>1.1</v>
      </c>
      <c r="K24" s="43" t="inlineStr">
        <is>
          <t>High confidence requires documented owner, current evidence, recent KPI/report and crisis-tested procedure for material domains.</t>
        </is>
      </c>
      <c r="L24" s="43" t="inlineStr">
        <is>
          <t>Cloud and Infrastructure Resilience Strategy; Cyber Resilience Strategy; Data Governance and AI Readiness Strategy</t>
        </is>
      </c>
    </row>
    <row r="25" ht="42.75" customHeight="1" s="209">
      <c r="A25" s="247" t="inlineStr">
        <is>
          <t>SaaS / Digital Product</t>
        </is>
      </c>
      <c r="B25" s="247" t="inlineStr">
        <is>
          <t>HR Workforce</t>
        </is>
      </c>
      <c r="C25" s="247" t="n">
        <v>3</v>
      </c>
      <c r="D25" s="247" t="n">
        <v>3.5</v>
      </c>
      <c r="E25" s="247" t="n">
        <v>1</v>
      </c>
      <c r="F25" s="247" t="n">
        <v>2.5</v>
      </c>
      <c r="G25" s="247" t="inlineStr">
        <is>
          <t>Low</t>
        </is>
      </c>
      <c r="H25" s="247" t="inlineStr">
        <is>
          <t>Cloud platform; CI/CD; monitoring; IAM; billing; CRM; support system; data warehouse; product analytics; backup/DR</t>
        </is>
      </c>
      <c r="I25" s="247" t="inlineStr">
        <is>
          <t>MFA; tested backups; DR runbook; monitoring; incident response; data privacy; customer status communication</t>
        </is>
      </c>
      <c r="J25" s="247" t="n">
        <v>1</v>
      </c>
      <c r="K25" s="247" t="inlineStr">
        <is>
          <t>High confidence requires documented owner, current evidence, recent KPI/report and crisis-tested procedure for material domains.</t>
        </is>
      </c>
      <c r="L25" s="247" t="inlineStr">
        <is>
          <t>Cloud and Infrastructure Resilience Strategy; Cyber Resilience Strategy; Data Governance and AI Readiness Strategy</t>
        </is>
      </c>
    </row>
    <row r="26" ht="42.75" customHeight="1" s="209">
      <c r="A26" s="43" t="inlineStr">
        <is>
          <t>SaaS / Digital Product</t>
        </is>
      </c>
      <c r="B26" s="43" t="inlineStr">
        <is>
          <t>Finance Procurement</t>
        </is>
      </c>
      <c r="C26" s="43" t="n">
        <v>3</v>
      </c>
      <c r="D26" s="43" t="n">
        <v>3.5</v>
      </c>
      <c r="E26" s="43" t="n">
        <v>1</v>
      </c>
      <c r="F26" s="43" t="n">
        <v>2.5</v>
      </c>
      <c r="G26" s="43" t="inlineStr">
        <is>
          <t>Low</t>
        </is>
      </c>
      <c r="H26" s="43" t="inlineStr">
        <is>
          <t>Cloud platform; CI/CD; monitoring; IAM; billing; CRM; support system; data warehouse; product analytics; backup/DR</t>
        </is>
      </c>
      <c r="I26" s="43" t="inlineStr">
        <is>
          <t>MFA; tested backups; DR runbook; monitoring; incident response; data privacy; customer status communication</t>
        </is>
      </c>
      <c r="J26" s="43" t="n">
        <v>1</v>
      </c>
      <c r="K26" s="43" t="inlineStr">
        <is>
          <t>High confidence requires documented owner, current evidence, recent KPI/report and crisis-tested procedure for material domains.</t>
        </is>
      </c>
      <c r="L26" s="43" t="inlineStr">
        <is>
          <t>Cloud and Infrastructure Resilience Strategy; Cyber Resilience Strategy; Data Governance and AI Readiness Strategy</t>
        </is>
      </c>
    </row>
    <row r="27" ht="42.75" customHeight="1" s="209">
      <c r="A27" s="247" t="inlineStr">
        <is>
          <t>SaaS / Digital Product</t>
        </is>
      </c>
      <c r="B27" s="247" t="inlineStr">
        <is>
          <t>Legal Risk</t>
        </is>
      </c>
      <c r="C27" s="247" t="n">
        <v>3</v>
      </c>
      <c r="D27" s="247" t="n">
        <v>3.5</v>
      </c>
      <c r="E27" s="247" t="n">
        <v>1</v>
      </c>
      <c r="F27" s="247" t="n">
        <v>2.5</v>
      </c>
      <c r="G27" s="247" t="inlineStr">
        <is>
          <t>Low</t>
        </is>
      </c>
      <c r="H27" s="247" t="inlineStr">
        <is>
          <t>Cloud platform; CI/CD; monitoring; IAM; billing; CRM; support system; data warehouse; product analytics; backup/DR</t>
        </is>
      </c>
      <c r="I27" s="247" t="inlineStr">
        <is>
          <t>MFA; tested backups; DR runbook; monitoring; incident response; data privacy; customer status communication</t>
        </is>
      </c>
      <c r="J27" s="247" t="n">
        <v>1</v>
      </c>
      <c r="K27" s="247" t="inlineStr">
        <is>
          <t>High confidence requires documented owner, current evidence, recent KPI/report and crisis-tested procedure for material domains.</t>
        </is>
      </c>
      <c r="L27" s="247" t="inlineStr">
        <is>
          <t>Cloud and Infrastructure Resilience Strategy; Cyber Resilience Strategy; Data Governance and AI Readiness Strategy</t>
        </is>
      </c>
    </row>
    <row r="28" ht="42.75" customHeight="1" s="209">
      <c r="A28" s="43" t="inlineStr">
        <is>
          <t>SaaS / Digital Product</t>
        </is>
      </c>
      <c r="B28" s="43" t="inlineStr">
        <is>
          <t>Physical Safety</t>
        </is>
      </c>
      <c r="C28" s="43" t="n">
        <v>2</v>
      </c>
      <c r="D28" s="43" t="n">
        <v>2.5</v>
      </c>
      <c r="E28" s="43" t="n">
        <v>0.8</v>
      </c>
      <c r="F28" s="43" t="n">
        <v>1.8</v>
      </c>
      <c r="G28" s="43" t="inlineStr">
        <is>
          <t>Low</t>
        </is>
      </c>
      <c r="H28" s="43" t="inlineStr">
        <is>
          <t>Cloud platform; CI/CD; monitoring; IAM; billing; CRM; support system; data warehouse; product analytics; backup/DR</t>
        </is>
      </c>
      <c r="I28" s="43" t="inlineStr">
        <is>
          <t>MFA; tested backups; DR runbook; monitoring; incident response; data privacy; customer status communication</t>
        </is>
      </c>
      <c r="J28" s="43" t="n">
        <v>0.8</v>
      </c>
      <c r="K28" s="43" t="inlineStr">
        <is>
          <t>High confidence requires documented owner, current evidence, recent KPI/report and crisis-tested procedure for material domains.</t>
        </is>
      </c>
      <c r="L28" s="43" t="inlineStr">
        <is>
          <t>Cloud and Infrastructure Resilience Strategy; Cyber Resilience Strategy; Data Governance and AI Readiness Strategy</t>
        </is>
      </c>
    </row>
    <row r="29" ht="42.75" customHeight="1" s="209">
      <c r="A29" s="247" t="inlineStr">
        <is>
          <t>SaaS / Digital Product</t>
        </is>
      </c>
      <c r="B29" s="247" t="inlineStr">
        <is>
          <t>Delivery Ops</t>
        </is>
      </c>
      <c r="C29" s="247" t="n">
        <v>3</v>
      </c>
      <c r="D29" s="247" t="n">
        <v>3.5</v>
      </c>
      <c r="E29" s="247" t="n">
        <v>1</v>
      </c>
      <c r="F29" s="247" t="n">
        <v>2.5</v>
      </c>
      <c r="G29" s="247" t="inlineStr">
        <is>
          <t>Low</t>
        </is>
      </c>
      <c r="H29" s="247" t="inlineStr">
        <is>
          <t>Cloud platform; CI/CD; monitoring; IAM; billing; CRM; support system; data warehouse; product analytics; backup/DR</t>
        </is>
      </c>
      <c r="I29" s="247" t="inlineStr">
        <is>
          <t>MFA; tested backups; DR runbook; monitoring; incident response; data privacy; customer status communication</t>
        </is>
      </c>
      <c r="J29" s="247" t="n">
        <v>1</v>
      </c>
      <c r="K29" s="247" t="inlineStr">
        <is>
          <t>High confidence requires documented owner, current evidence, recent KPI/report and crisis-tested procedure for material domains.</t>
        </is>
      </c>
      <c r="L29" s="247" t="inlineStr">
        <is>
          <t>Cloud and Infrastructure Resilience Strategy; Cyber Resilience Strategy; Data Governance and AI Readiness Strategy</t>
        </is>
      </c>
    </row>
    <row r="30" ht="42.75" customHeight="1" s="209">
      <c r="A30" s="43" t="inlineStr">
        <is>
          <t>SaaS / Digital Product</t>
        </is>
      </c>
      <c r="B30" s="43" t="inlineStr">
        <is>
          <t>Supply Chain</t>
        </is>
      </c>
      <c r="C30" s="43" t="n">
        <v>2</v>
      </c>
      <c r="D30" s="43" t="n">
        <v>2.5</v>
      </c>
      <c r="E30" s="43" t="n">
        <v>0.8</v>
      </c>
      <c r="F30" s="43" t="n">
        <v>1.8</v>
      </c>
      <c r="G30" s="43" t="inlineStr">
        <is>
          <t>Low</t>
        </is>
      </c>
      <c r="H30" s="43" t="inlineStr">
        <is>
          <t>Cloud platform; CI/CD; monitoring; IAM; billing; CRM; support system; data warehouse; product analytics; backup/DR</t>
        </is>
      </c>
      <c r="I30" s="43" t="inlineStr">
        <is>
          <t>MFA; tested backups; DR runbook; monitoring; incident response; data privacy; customer status communication</t>
        </is>
      </c>
      <c r="J30" s="43" t="n">
        <v>0.8</v>
      </c>
      <c r="K30" s="43" t="inlineStr">
        <is>
          <t>High confidence requires documented owner, current evidence, recent KPI/report and crisis-tested procedure for material domains.</t>
        </is>
      </c>
      <c r="L30" s="43" t="inlineStr">
        <is>
          <t>Cloud and Infrastructure Resilience Strategy; Cyber Resilience Strategy; Data Governance and AI Readiness Strategy</t>
        </is>
      </c>
    </row>
    <row r="31" ht="42.75" customHeight="1" s="209">
      <c r="A31" s="247" t="inlineStr">
        <is>
          <t>SaaS / Digital Product</t>
        </is>
      </c>
      <c r="B31" s="247" t="inlineStr">
        <is>
          <t>Manufacturing MES</t>
        </is>
      </c>
      <c r="C31" s="247" t="n">
        <v>1</v>
      </c>
      <c r="D31" s="247" t="n">
        <v>0.5</v>
      </c>
      <c r="E31" s="247" t="n">
        <v>0.5</v>
      </c>
      <c r="F31" s="247" t="n">
        <v>0</v>
      </c>
      <c r="G31" s="247" t="inlineStr">
        <is>
          <t>Low</t>
        </is>
      </c>
      <c r="H31" s="247" t="inlineStr">
        <is>
          <t>Cloud platform; CI/CD; monitoring; IAM; billing; CRM; support system; data warehouse; product analytics; backup/DR</t>
        </is>
      </c>
      <c r="I31" s="247" t="inlineStr">
        <is>
          <t>MFA; tested backups; DR runbook; monitoring; incident response; data privacy; customer status communication</t>
        </is>
      </c>
      <c r="J31" s="247" t="n">
        <v>0.6</v>
      </c>
      <c r="K31" s="247" t="inlineStr">
        <is>
          <t>High confidence requires documented owner, current evidence, recent KPI/report and crisis-tested procedure for material domains.</t>
        </is>
      </c>
      <c r="L31" s="247" t="inlineStr">
        <is>
          <t>Cloud and Infrastructure Resilience Strategy; Cyber Resilience Strategy; Data Governance and AI Readiness Strategy</t>
        </is>
      </c>
    </row>
    <row r="32" ht="42.75" customHeight="1" s="209">
      <c r="A32" s="43" t="inlineStr">
        <is>
          <t>SaaS / Digital Product</t>
        </is>
      </c>
      <c r="B32" s="43" t="inlineStr">
        <is>
          <t>Sales CRM</t>
        </is>
      </c>
      <c r="C32" s="43" t="n">
        <v>4</v>
      </c>
      <c r="D32" s="43" t="n">
        <v>4</v>
      </c>
      <c r="E32" s="43" t="n">
        <v>1.15</v>
      </c>
      <c r="F32" s="43" t="n">
        <v>3</v>
      </c>
      <c r="G32" s="43" t="inlineStr">
        <is>
          <t>Medium</t>
        </is>
      </c>
      <c r="H32" s="43" t="inlineStr">
        <is>
          <t>Cloud platform; CI/CD; monitoring; IAM; billing; CRM; support system; data warehouse; product analytics; backup/DR</t>
        </is>
      </c>
      <c r="I32" s="43" t="inlineStr">
        <is>
          <t>MFA; tested backups; DR runbook; monitoring; incident response; data privacy; customer status communication</t>
        </is>
      </c>
      <c r="J32" s="43" t="n">
        <v>1.15</v>
      </c>
      <c r="K32" s="43" t="inlineStr">
        <is>
          <t>High confidence requires documented owner, current evidence, recent KPI/report and crisis-tested procedure for material domains.</t>
        </is>
      </c>
      <c r="L32" s="43" t="inlineStr">
        <is>
          <t>Cloud and Infrastructure Resilience Strategy; Cyber Resilience Strategy; Data Governance and AI Readiness Strategy</t>
        </is>
      </c>
    </row>
    <row r="33" ht="42.75" customHeight="1" s="209">
      <c r="A33" s="247" t="inlineStr">
        <is>
          <t>SaaS / Digital Product</t>
        </is>
      </c>
      <c r="B33" s="247" t="inlineStr">
        <is>
          <t>Marketing Comms</t>
        </is>
      </c>
      <c r="C33" s="247" t="n">
        <v>3</v>
      </c>
      <c r="D33" s="247" t="n">
        <v>3.5</v>
      </c>
      <c r="E33" s="247" t="n">
        <v>1</v>
      </c>
      <c r="F33" s="247" t="n">
        <v>2.5</v>
      </c>
      <c r="G33" s="247" t="inlineStr">
        <is>
          <t>Low</t>
        </is>
      </c>
      <c r="H33" s="247" t="inlineStr">
        <is>
          <t>Cloud platform; CI/CD; monitoring; IAM; billing; CRM; support system; data warehouse; product analytics; backup/DR</t>
        </is>
      </c>
      <c r="I33" s="247" t="inlineStr">
        <is>
          <t>MFA; tested backups; DR runbook; monitoring; incident response; data privacy; customer status communication</t>
        </is>
      </c>
      <c r="J33" s="247" t="n">
        <v>1</v>
      </c>
      <c r="K33" s="247" t="inlineStr">
        <is>
          <t>High confidence requires documented owner, current evidence, recent KPI/report and crisis-tested procedure for material domains.</t>
        </is>
      </c>
      <c r="L33" s="247" t="inlineStr">
        <is>
          <t>Cloud and Infrastructure Resilience Strategy; Cyber Resilience Strategy; Data Governance and AI Readiness Strategy</t>
        </is>
      </c>
    </row>
    <row r="34" ht="42.75" customHeight="1" s="209">
      <c r="A34" s="43" t="inlineStr">
        <is>
          <t>SaaS / Digital Product</t>
        </is>
      </c>
      <c r="B34" s="43" t="inlineStr">
        <is>
          <t>IT Cloud DR</t>
        </is>
      </c>
      <c r="C34" s="43" t="n">
        <v>5</v>
      </c>
      <c r="D34" s="43" t="n">
        <v>4.5</v>
      </c>
      <c r="E34" s="43" t="n">
        <v>1.4</v>
      </c>
      <c r="F34" s="43" t="n">
        <v>3.5</v>
      </c>
      <c r="G34" s="43" t="inlineStr">
        <is>
          <t>High</t>
        </is>
      </c>
      <c r="H34" s="43" t="inlineStr">
        <is>
          <t>Cloud platform; CI/CD; monitoring; IAM; billing; CRM; support system; data warehouse; product analytics; backup/DR</t>
        </is>
      </c>
      <c r="I34" s="43" t="inlineStr">
        <is>
          <t>MFA; tested backups; DR runbook; monitoring; incident response; data privacy; customer status communication</t>
        </is>
      </c>
      <c r="J34" s="43" t="n">
        <v>1.3</v>
      </c>
      <c r="K34" s="43" t="inlineStr">
        <is>
          <t>High confidence requires documented owner, current evidence, recent KPI/report and crisis-tested procedure for material domains.</t>
        </is>
      </c>
      <c r="L34" s="43" t="inlineStr">
        <is>
          <t>Cloud and Infrastructure Resilience Strategy; Cyber Resilience Strategy; Data Governance and AI Readiness Strategy</t>
        </is>
      </c>
    </row>
    <row r="35" ht="42.75" customHeight="1" s="209">
      <c r="A35" s="247" t="inlineStr">
        <is>
          <t>SaaS / Digital Product</t>
        </is>
      </c>
      <c r="B35" s="247" t="inlineStr">
        <is>
          <t>Business Systems</t>
        </is>
      </c>
      <c r="C35" s="247" t="n">
        <v>5</v>
      </c>
      <c r="D35" s="247" t="n">
        <v>4.2</v>
      </c>
      <c r="E35" s="247" t="n">
        <v>1.25</v>
      </c>
      <c r="F35" s="247" t="n">
        <v>3.2</v>
      </c>
      <c r="G35" s="247" t="inlineStr">
        <is>
          <t>Medium</t>
        </is>
      </c>
      <c r="H35" s="247" t="inlineStr">
        <is>
          <t>Cloud platform; CI/CD; monitoring; IAM; billing; CRM; support system; data warehouse; product analytics; backup/DR</t>
        </is>
      </c>
      <c r="I35" s="247" t="inlineStr">
        <is>
          <t>MFA; tested backups; DR runbook; monitoring; incident response; data privacy; customer status communication</t>
        </is>
      </c>
      <c r="J35" s="247" t="n">
        <v>1.2</v>
      </c>
      <c r="K35" s="247" t="inlineStr">
        <is>
          <t>High confidence requires documented owner, current evidence, recent KPI/report and crisis-tested procedure for material domains.</t>
        </is>
      </c>
      <c r="L35" s="247" t="inlineStr">
        <is>
          <t>Cloud and Infrastructure Resilience Strategy; Cyber Resilience Strategy; Data Governance and AI Readiness Strategy</t>
        </is>
      </c>
    </row>
    <row r="36" ht="42.75" customHeight="1" s="209">
      <c r="A36" s="43" t="inlineStr">
        <is>
          <t>SaaS / Digital Product</t>
        </is>
      </c>
      <c r="B36" s="43" t="inlineStr">
        <is>
          <t>Data BI AI</t>
        </is>
      </c>
      <c r="C36" s="43" t="n">
        <v>5</v>
      </c>
      <c r="D36" s="43" t="n">
        <v>4.2</v>
      </c>
      <c r="E36" s="43" t="n">
        <v>1.25</v>
      </c>
      <c r="F36" s="43" t="n">
        <v>3.2</v>
      </c>
      <c r="G36" s="43" t="inlineStr">
        <is>
          <t>Medium</t>
        </is>
      </c>
      <c r="H36" s="43" t="inlineStr">
        <is>
          <t>Cloud platform; CI/CD; monitoring; IAM; billing; CRM; support system; data warehouse; product analytics; backup/DR</t>
        </is>
      </c>
      <c r="I36" s="43" t="inlineStr">
        <is>
          <t>MFA; tested backups; DR runbook; monitoring; incident response; data privacy; customer status communication</t>
        </is>
      </c>
      <c r="J36" s="43" t="n">
        <v>1.2</v>
      </c>
      <c r="K36" s="43" t="inlineStr">
        <is>
          <t>High confidence requires documented owner, current evidence, recent KPI/report and crisis-tested procedure for material domains.</t>
        </is>
      </c>
      <c r="L36" s="43" t="inlineStr">
        <is>
          <t>Cloud and Infrastructure Resilience Strategy; Cyber Resilience Strategy; Data Governance and AI Readiness Strategy</t>
        </is>
      </c>
    </row>
    <row r="37" ht="42.75" customHeight="1" s="209">
      <c r="A37" s="247" t="inlineStr">
        <is>
          <t>SaaS / Digital Product</t>
        </is>
      </c>
      <c r="B37" s="247" t="inlineStr">
        <is>
          <t>Cyber Privacy</t>
        </is>
      </c>
      <c r="C37" s="247" t="n">
        <v>5</v>
      </c>
      <c r="D37" s="247" t="n">
        <v>4.5</v>
      </c>
      <c r="E37" s="247" t="n">
        <v>1.4</v>
      </c>
      <c r="F37" s="247" t="n">
        <v>3.5</v>
      </c>
      <c r="G37" s="247" t="inlineStr">
        <is>
          <t>High</t>
        </is>
      </c>
      <c r="H37" s="247" t="inlineStr">
        <is>
          <t>Cloud platform; CI/CD; monitoring; IAM; billing; CRM; support system; data warehouse; product analytics; backup/DR</t>
        </is>
      </c>
      <c r="I37" s="247" t="inlineStr">
        <is>
          <t>MFA; tested backups; DR runbook; monitoring; incident response; data privacy; customer status communication</t>
        </is>
      </c>
      <c r="J37" s="247" t="n">
        <v>1.3</v>
      </c>
      <c r="K37" s="247" t="inlineStr">
        <is>
          <t>High confidence requires documented owner, current evidence, recent KPI/report and crisis-tested procedure for material domains.</t>
        </is>
      </c>
      <c r="L37" s="247" t="inlineStr">
        <is>
          <t>Cloud and Infrastructure Resilience Strategy; Cyber Resilience Strategy; Data Governance and AI Readiness Strategy</t>
        </is>
      </c>
    </row>
    <row r="38" ht="42.75" customHeight="1" s="209">
      <c r="A38" s="43" t="inlineStr">
        <is>
          <t>SaaS / Digital Product</t>
        </is>
      </c>
      <c r="B38" s="43" t="inlineStr">
        <is>
          <t>Quality Portfolio</t>
        </is>
      </c>
      <c r="C38" s="43" t="n">
        <v>3</v>
      </c>
      <c r="D38" s="43" t="n">
        <v>3.5</v>
      </c>
      <c r="E38" s="43" t="n">
        <v>1</v>
      </c>
      <c r="F38" s="43" t="n">
        <v>2.5</v>
      </c>
      <c r="G38" s="43" t="inlineStr">
        <is>
          <t>Low</t>
        </is>
      </c>
      <c r="H38" s="43" t="inlineStr">
        <is>
          <t>Cloud platform; CI/CD; monitoring; IAM; billing; CRM; support system; data warehouse; product analytics; backup/DR</t>
        </is>
      </c>
      <c r="I38" s="43" t="inlineStr">
        <is>
          <t>MFA; tested backups; DR runbook; monitoring; incident response; data privacy; customer status communication</t>
        </is>
      </c>
      <c r="J38" s="43" t="n">
        <v>1</v>
      </c>
      <c r="K38" s="43" t="inlineStr">
        <is>
          <t>High confidence requires documented owner, current evidence, recent KPI/report and crisis-tested procedure for material domains.</t>
        </is>
      </c>
      <c r="L38" s="43" t="inlineStr">
        <is>
          <t>Cloud and Infrastructure Resilience Strategy; Cyber Resilience Strategy; Data Governance and AI Readiness Strategy</t>
        </is>
      </c>
    </row>
    <row r="39" ht="42.75" customHeight="1" s="209">
      <c r="A39" s="247" t="inlineStr">
        <is>
          <t>Manufacturing</t>
        </is>
      </c>
      <c r="B39" s="247" t="inlineStr">
        <is>
          <t>Company Geography</t>
        </is>
      </c>
      <c r="C39" s="247" t="n">
        <v>3</v>
      </c>
      <c r="D39" s="247" t="n">
        <v>3.5</v>
      </c>
      <c r="E39" s="247" t="n">
        <v>1</v>
      </c>
      <c r="F39" s="247" t="n">
        <v>2.5</v>
      </c>
      <c r="G39" s="247" t="inlineStr">
        <is>
          <t>Low</t>
        </is>
      </c>
      <c r="H39" s="247" t="inlineStr">
        <is>
          <t>ERP; MES; WMS; QMS; maintenance system; SCADA/PLC data; supplier portal; BI; HRMS; backup/DR</t>
        </is>
      </c>
      <c r="I39" s="247" t="inlineStr">
        <is>
          <t>safety procedures; emergency response; MES/ERP backup; supplier alternatives; spare parts visibility; energy backup; restart procedures</t>
        </is>
      </c>
      <c r="J39" s="247" t="n">
        <v>1</v>
      </c>
      <c r="K39" s="247" t="inlineStr">
        <is>
          <t>High confidence requires documented owner, current evidence, recent KPI/report and crisis-tested procedure for material domains.</t>
        </is>
      </c>
      <c r="L39" s="247" t="inlineStr">
        <is>
          <t>Supply Chain and Delivery Resilience Strategy; Operational Excellence and Automation Strategy; Business Continuity and Resilience Strategy</t>
        </is>
      </c>
    </row>
    <row r="40" ht="42.75" customHeight="1" s="209">
      <c r="A40" s="43" t="inlineStr">
        <is>
          <t>Manufacturing</t>
        </is>
      </c>
      <c r="B40" s="43" t="inlineStr">
        <is>
          <t>Strategy GTM</t>
        </is>
      </c>
      <c r="C40" s="43" t="n">
        <v>3</v>
      </c>
      <c r="D40" s="43" t="n">
        <v>3.5</v>
      </c>
      <c r="E40" s="43" t="n">
        <v>1</v>
      </c>
      <c r="F40" s="43" t="n">
        <v>2.5</v>
      </c>
      <c r="G40" s="43" t="inlineStr">
        <is>
          <t>Low</t>
        </is>
      </c>
      <c r="H40" s="43" t="inlineStr">
        <is>
          <t>ERP; MES; WMS; QMS; maintenance system; SCADA/PLC data; supplier portal; BI; HRMS; backup/DR</t>
        </is>
      </c>
      <c r="I40" s="43" t="inlineStr">
        <is>
          <t>safety procedures; emergency response; MES/ERP backup; supplier alternatives; spare parts visibility; energy backup; restart procedures</t>
        </is>
      </c>
      <c r="J40" s="43" t="n">
        <v>1</v>
      </c>
      <c r="K40" s="43" t="inlineStr">
        <is>
          <t>High confidence requires documented owner, current evidence, recent KPI/report and crisis-tested procedure for material domains.</t>
        </is>
      </c>
      <c r="L40" s="43" t="inlineStr">
        <is>
          <t>Supply Chain and Delivery Resilience Strategy; Operational Excellence and Automation Strategy; Business Continuity and Resilience Strategy</t>
        </is>
      </c>
    </row>
    <row r="41" ht="42.75" customHeight="1" s="209">
      <c r="A41" s="247" t="inlineStr">
        <is>
          <t>Manufacturing</t>
        </is>
      </c>
      <c r="B41" s="247" t="inlineStr">
        <is>
          <t>Governance Crisis</t>
        </is>
      </c>
      <c r="C41" s="247" t="n">
        <v>3</v>
      </c>
      <c r="D41" s="247" t="n">
        <v>4</v>
      </c>
      <c r="E41" s="247" t="n">
        <v>1.15</v>
      </c>
      <c r="F41" s="247" t="n">
        <v>3</v>
      </c>
      <c r="G41" s="247" t="inlineStr">
        <is>
          <t>Medium</t>
        </is>
      </c>
      <c r="H41" s="247" t="inlineStr">
        <is>
          <t>ERP; MES; WMS; QMS; maintenance system; SCADA/PLC data; supplier portal; BI; HRMS; backup/DR</t>
        </is>
      </c>
      <c r="I41" s="247" t="inlineStr">
        <is>
          <t>safety procedures; emergency response; MES/ERP backup; supplier alternatives; spare parts visibility; energy backup; restart procedures</t>
        </is>
      </c>
      <c r="J41" s="247" t="n">
        <v>1.1</v>
      </c>
      <c r="K41" s="247" t="inlineStr">
        <is>
          <t>High confidence requires documented owner, current evidence, recent KPI/report and crisis-tested procedure for material domains.</t>
        </is>
      </c>
      <c r="L41" s="247" t="inlineStr">
        <is>
          <t>Supply Chain and Delivery Resilience Strategy; Operational Excellence and Automation Strategy; Business Continuity and Resilience Strategy</t>
        </is>
      </c>
    </row>
    <row r="42" ht="42.75" customHeight="1" s="209">
      <c r="A42" s="43" t="inlineStr">
        <is>
          <t>Manufacturing</t>
        </is>
      </c>
      <c r="B42" s="43" t="inlineStr">
        <is>
          <t>HR Workforce</t>
        </is>
      </c>
      <c r="C42" s="43" t="n">
        <v>3</v>
      </c>
      <c r="D42" s="43" t="n">
        <v>3.5</v>
      </c>
      <c r="E42" s="43" t="n">
        <v>1</v>
      </c>
      <c r="F42" s="43" t="n">
        <v>2.5</v>
      </c>
      <c r="G42" s="43" t="inlineStr">
        <is>
          <t>Low</t>
        </is>
      </c>
      <c r="H42" s="43" t="inlineStr">
        <is>
          <t>ERP; MES; WMS; QMS; maintenance system; SCADA/PLC data; supplier portal; BI; HRMS; backup/DR</t>
        </is>
      </c>
      <c r="I42" s="43" t="inlineStr">
        <is>
          <t>safety procedures; emergency response; MES/ERP backup; supplier alternatives; spare parts visibility; energy backup; restart procedures</t>
        </is>
      </c>
      <c r="J42" s="43" t="n">
        <v>1</v>
      </c>
      <c r="K42" s="43" t="inlineStr">
        <is>
          <t>High confidence requires documented owner, current evidence, recent KPI/report and crisis-tested procedure for material domains.</t>
        </is>
      </c>
      <c r="L42" s="43" t="inlineStr">
        <is>
          <t>Supply Chain and Delivery Resilience Strategy; Operational Excellence and Automation Strategy; Business Continuity and Resilience Strategy</t>
        </is>
      </c>
    </row>
    <row r="43" ht="42.75" customHeight="1" s="209">
      <c r="A43" s="247" t="inlineStr">
        <is>
          <t>Manufacturing</t>
        </is>
      </c>
      <c r="B43" s="247" t="inlineStr">
        <is>
          <t>Finance Procurement</t>
        </is>
      </c>
      <c r="C43" s="247" t="n">
        <v>3</v>
      </c>
      <c r="D43" s="247" t="n">
        <v>3.5</v>
      </c>
      <c r="E43" s="247" t="n">
        <v>1</v>
      </c>
      <c r="F43" s="247" t="n">
        <v>2.5</v>
      </c>
      <c r="G43" s="247" t="inlineStr">
        <is>
          <t>Low</t>
        </is>
      </c>
      <c r="H43" s="247" t="inlineStr">
        <is>
          <t>ERP; MES; WMS; QMS; maintenance system; SCADA/PLC data; supplier portal; BI; HRMS; backup/DR</t>
        </is>
      </c>
      <c r="I43" s="247" t="inlineStr">
        <is>
          <t>safety procedures; emergency response; MES/ERP backup; supplier alternatives; spare parts visibility; energy backup; restart procedures</t>
        </is>
      </c>
      <c r="J43" s="247" t="n">
        <v>1</v>
      </c>
      <c r="K43" s="247" t="inlineStr">
        <is>
          <t>High confidence requires documented owner, current evidence, recent KPI/report and crisis-tested procedure for material domains.</t>
        </is>
      </c>
      <c r="L43" s="247" t="inlineStr">
        <is>
          <t>Supply Chain and Delivery Resilience Strategy; Operational Excellence and Automation Strategy; Business Continuity and Resilience Strategy</t>
        </is>
      </c>
    </row>
    <row r="44" ht="42.75" customHeight="1" s="209">
      <c r="A44" s="43" t="inlineStr">
        <is>
          <t>Manufacturing</t>
        </is>
      </c>
      <c r="B44" s="43" t="inlineStr">
        <is>
          <t>Legal Risk</t>
        </is>
      </c>
      <c r="C44" s="43" t="n">
        <v>3</v>
      </c>
      <c r="D44" s="43" t="n">
        <v>3.5</v>
      </c>
      <c r="E44" s="43" t="n">
        <v>1</v>
      </c>
      <c r="F44" s="43" t="n">
        <v>2.5</v>
      </c>
      <c r="G44" s="43" t="inlineStr">
        <is>
          <t>Low</t>
        </is>
      </c>
      <c r="H44" s="43" t="inlineStr">
        <is>
          <t>ERP; MES; WMS; QMS; maintenance system; SCADA/PLC data; supplier portal; BI; HRMS; backup/DR</t>
        </is>
      </c>
      <c r="I44" s="43" t="inlineStr">
        <is>
          <t>safety procedures; emergency response; MES/ERP backup; supplier alternatives; spare parts visibility; energy backup; restart procedures</t>
        </is>
      </c>
      <c r="J44" s="43" t="n">
        <v>1</v>
      </c>
      <c r="K44" s="43" t="inlineStr">
        <is>
          <t>High confidence requires documented owner, current evidence, recent KPI/report and crisis-tested procedure for material domains.</t>
        </is>
      </c>
      <c r="L44" s="43" t="inlineStr">
        <is>
          <t>Supply Chain and Delivery Resilience Strategy; Operational Excellence and Automation Strategy; Business Continuity and Resilience Strategy</t>
        </is>
      </c>
    </row>
    <row r="45" ht="42.75" customHeight="1" s="209">
      <c r="A45" s="247" t="inlineStr">
        <is>
          <t>Manufacturing</t>
        </is>
      </c>
      <c r="B45" s="247" t="inlineStr">
        <is>
          <t>Physical Safety</t>
        </is>
      </c>
      <c r="C45" s="247" t="n">
        <v>5</v>
      </c>
      <c r="D45" s="247" t="n">
        <v>4.5</v>
      </c>
      <c r="E45" s="247" t="n">
        <v>1.5</v>
      </c>
      <c r="F45" s="247" t="n">
        <v>3.5</v>
      </c>
      <c r="G45" s="247" t="inlineStr">
        <is>
          <t>High</t>
        </is>
      </c>
      <c r="H45" s="247" t="inlineStr">
        <is>
          <t>ERP; MES; WMS; QMS; maintenance system; SCADA/PLC data; supplier portal; BI; HRMS; backup/DR</t>
        </is>
      </c>
      <c r="I45" s="247" t="inlineStr">
        <is>
          <t>safety procedures; emergency response; MES/ERP backup; supplier alternatives; spare parts visibility; energy backup; restart procedures</t>
        </is>
      </c>
      <c r="J45" s="247" t="n">
        <v>1.35</v>
      </c>
      <c r="K45" s="247" t="inlineStr">
        <is>
          <t>High confidence requires documented owner, current evidence, recent KPI/report and crisis-tested procedure for material domains.</t>
        </is>
      </c>
      <c r="L45" s="247" t="inlineStr">
        <is>
          <t>Supply Chain and Delivery Resilience Strategy; Operational Excellence and Automation Strategy; Business Continuity and Resilience Strategy</t>
        </is>
      </c>
    </row>
    <row r="46" ht="42.75" customHeight="1" s="209">
      <c r="A46" s="43" t="inlineStr">
        <is>
          <t>Manufacturing</t>
        </is>
      </c>
      <c r="B46" s="43" t="inlineStr">
        <is>
          <t>Delivery Ops</t>
        </is>
      </c>
      <c r="C46" s="43" t="n">
        <v>5</v>
      </c>
      <c r="D46" s="43" t="n">
        <v>4.2</v>
      </c>
      <c r="E46" s="43" t="n">
        <v>1.3</v>
      </c>
      <c r="F46" s="43" t="n">
        <v>3.2</v>
      </c>
      <c r="G46" s="43" t="inlineStr">
        <is>
          <t>High</t>
        </is>
      </c>
      <c r="H46" s="43" t="inlineStr">
        <is>
          <t>ERP; MES; WMS; QMS; maintenance system; SCADA/PLC data; supplier portal; BI; HRMS; backup/DR</t>
        </is>
      </c>
      <c r="I46" s="43" t="inlineStr">
        <is>
          <t>safety procedures; emergency response; MES/ERP backup; supplier alternatives; spare parts visibility; energy backup; restart procedures</t>
        </is>
      </c>
      <c r="J46" s="43" t="n">
        <v>1.25</v>
      </c>
      <c r="K46" s="43" t="inlineStr">
        <is>
          <t>High confidence requires documented owner, current evidence, recent KPI/report and crisis-tested procedure for material domains.</t>
        </is>
      </c>
      <c r="L46" s="43" t="inlineStr">
        <is>
          <t>Supply Chain and Delivery Resilience Strategy; Operational Excellence and Automation Strategy; Business Continuity and Resilience Strategy</t>
        </is>
      </c>
    </row>
    <row r="47" ht="42.75" customHeight="1" s="209">
      <c r="A47" s="247" t="inlineStr">
        <is>
          <t>Manufacturing</t>
        </is>
      </c>
      <c r="B47" s="247" t="inlineStr">
        <is>
          <t>Supply Chain</t>
        </is>
      </c>
      <c r="C47" s="247" t="n">
        <v>5</v>
      </c>
      <c r="D47" s="247" t="n">
        <v>4.2</v>
      </c>
      <c r="E47" s="247" t="n">
        <v>1.35</v>
      </c>
      <c r="F47" s="247" t="n">
        <v>3.2</v>
      </c>
      <c r="G47" s="247" t="inlineStr">
        <is>
          <t>High</t>
        </is>
      </c>
      <c r="H47" s="247" t="inlineStr">
        <is>
          <t>ERP; MES; WMS; QMS; maintenance system; SCADA/PLC data; supplier portal; BI; HRMS; backup/DR</t>
        </is>
      </c>
      <c r="I47" s="247" t="inlineStr">
        <is>
          <t>safety procedures; emergency response; MES/ERP backup; supplier alternatives; spare parts visibility; energy backup; restart procedures</t>
        </is>
      </c>
      <c r="J47" s="247" t="n">
        <v>1.3</v>
      </c>
      <c r="K47" s="247" t="inlineStr">
        <is>
          <t>High confidence requires documented owner, current evidence, recent KPI/report and crisis-tested procedure for material domains.</t>
        </is>
      </c>
      <c r="L47" s="247" t="inlineStr">
        <is>
          <t>Supply Chain and Delivery Resilience Strategy; Operational Excellence and Automation Strategy; Business Continuity and Resilience Strategy</t>
        </is>
      </c>
    </row>
    <row r="48" ht="42.75" customHeight="1" s="209">
      <c r="A48" s="43" t="inlineStr">
        <is>
          <t>Manufacturing</t>
        </is>
      </c>
      <c r="B48" s="43" t="inlineStr">
        <is>
          <t>Manufacturing MES</t>
        </is>
      </c>
      <c r="C48" s="43" t="n">
        <v>5</v>
      </c>
      <c r="D48" s="43" t="n">
        <v>4.3</v>
      </c>
      <c r="E48" s="43" t="n">
        <v>1.4</v>
      </c>
      <c r="F48" s="43" t="n">
        <v>3.3</v>
      </c>
      <c r="G48" s="43" t="inlineStr">
        <is>
          <t>High</t>
        </is>
      </c>
      <c r="H48" s="43" t="inlineStr">
        <is>
          <t>ERP; MES; WMS; QMS; maintenance system; SCADA/PLC data; supplier portal; BI; HRMS; backup/DR</t>
        </is>
      </c>
      <c r="I48" s="43" t="inlineStr">
        <is>
          <t>safety procedures; emergency response; MES/ERP backup; supplier alternatives; spare parts visibility; energy backup; restart procedures</t>
        </is>
      </c>
      <c r="J48" s="43" t="n">
        <v>1.35</v>
      </c>
      <c r="K48" s="43" t="inlineStr">
        <is>
          <t>High confidence requires documented owner, current evidence, recent KPI/report and crisis-tested procedure for material domains.</t>
        </is>
      </c>
      <c r="L48" s="43" t="inlineStr">
        <is>
          <t>Supply Chain and Delivery Resilience Strategy; Operational Excellence and Automation Strategy; Business Continuity and Resilience Strategy</t>
        </is>
      </c>
    </row>
    <row r="49" ht="42.75" customHeight="1" s="209">
      <c r="A49" s="247" t="inlineStr">
        <is>
          <t>Manufacturing</t>
        </is>
      </c>
      <c r="B49" s="247" t="inlineStr">
        <is>
          <t>Sales CRM</t>
        </is>
      </c>
      <c r="C49" s="247" t="n">
        <v>3</v>
      </c>
      <c r="D49" s="247" t="n">
        <v>3.2</v>
      </c>
      <c r="E49" s="247" t="n">
        <v>0.95</v>
      </c>
      <c r="F49" s="247" t="n">
        <v>2.2</v>
      </c>
      <c r="G49" s="247" t="inlineStr">
        <is>
          <t>Low</t>
        </is>
      </c>
      <c r="H49" s="247" t="inlineStr">
        <is>
          <t>ERP; MES; WMS; QMS; maintenance system; SCADA/PLC data; supplier portal; BI; HRMS; backup/DR</t>
        </is>
      </c>
      <c r="I49" s="247" t="inlineStr">
        <is>
          <t>safety procedures; emergency response; MES/ERP backup; supplier alternatives; spare parts visibility; energy backup; restart procedures</t>
        </is>
      </c>
      <c r="J49" s="247" t="n">
        <v>0.95</v>
      </c>
      <c r="K49" s="247" t="inlineStr">
        <is>
          <t>High confidence requires documented owner, current evidence, recent KPI/report and crisis-tested procedure for material domains.</t>
        </is>
      </c>
      <c r="L49" s="247" t="inlineStr">
        <is>
          <t>Supply Chain and Delivery Resilience Strategy; Operational Excellence and Automation Strategy; Business Continuity and Resilience Strategy</t>
        </is>
      </c>
    </row>
    <row r="50" ht="42.75" customHeight="1" s="209">
      <c r="A50" s="43" t="inlineStr">
        <is>
          <t>Manufacturing</t>
        </is>
      </c>
      <c r="B50" s="43" t="inlineStr">
        <is>
          <t>Marketing Comms</t>
        </is>
      </c>
      <c r="C50" s="43" t="n">
        <v>3</v>
      </c>
      <c r="D50" s="43" t="n">
        <v>3.5</v>
      </c>
      <c r="E50" s="43" t="n">
        <v>1</v>
      </c>
      <c r="F50" s="43" t="n">
        <v>2.5</v>
      </c>
      <c r="G50" s="43" t="inlineStr">
        <is>
          <t>Low</t>
        </is>
      </c>
      <c r="H50" s="43" t="inlineStr">
        <is>
          <t>ERP; MES; WMS; QMS; maintenance system; SCADA/PLC data; supplier portal; BI; HRMS; backup/DR</t>
        </is>
      </c>
      <c r="I50" s="43" t="inlineStr">
        <is>
          <t>safety procedures; emergency response; MES/ERP backup; supplier alternatives; spare parts visibility; energy backup; restart procedures</t>
        </is>
      </c>
      <c r="J50" s="43" t="n">
        <v>1</v>
      </c>
      <c r="K50" s="43" t="inlineStr">
        <is>
          <t>High confidence requires documented owner, current evidence, recent KPI/report and crisis-tested procedure for material domains.</t>
        </is>
      </c>
      <c r="L50" s="43" t="inlineStr">
        <is>
          <t>Supply Chain and Delivery Resilience Strategy; Operational Excellence and Automation Strategy; Business Continuity and Resilience Strategy</t>
        </is>
      </c>
    </row>
    <row r="51" ht="42.75" customHeight="1" s="209">
      <c r="A51" s="247" t="inlineStr">
        <is>
          <t>Manufacturing</t>
        </is>
      </c>
      <c r="B51" s="247" t="inlineStr">
        <is>
          <t>IT Cloud DR</t>
        </is>
      </c>
      <c r="C51" s="247" t="n">
        <v>4</v>
      </c>
      <c r="D51" s="247" t="n">
        <v>3.8</v>
      </c>
      <c r="E51" s="247" t="n">
        <v>1.1</v>
      </c>
      <c r="F51" s="247" t="n">
        <v>2.8</v>
      </c>
      <c r="G51" s="247" t="inlineStr">
        <is>
          <t>Medium</t>
        </is>
      </c>
      <c r="H51" s="247" t="inlineStr">
        <is>
          <t>ERP; MES; WMS; QMS; maintenance system; SCADA/PLC data; supplier portal; BI; HRMS; backup/DR</t>
        </is>
      </c>
      <c r="I51" s="247" t="inlineStr">
        <is>
          <t>safety procedures; emergency response; MES/ERP backup; supplier alternatives; spare parts visibility; energy backup; restart procedures</t>
        </is>
      </c>
      <c r="J51" s="247" t="n">
        <v>1.1</v>
      </c>
      <c r="K51" s="247" t="inlineStr">
        <is>
          <t>High confidence requires documented owner, current evidence, recent KPI/report and crisis-tested procedure for material domains.</t>
        </is>
      </c>
      <c r="L51" s="247" t="inlineStr">
        <is>
          <t>Supply Chain and Delivery Resilience Strategy; Operational Excellence and Automation Strategy; Business Continuity and Resilience Strategy</t>
        </is>
      </c>
    </row>
    <row r="52" ht="42.75" customHeight="1" s="209">
      <c r="A52" s="43" t="inlineStr">
        <is>
          <t>Manufacturing</t>
        </is>
      </c>
      <c r="B52" s="43" t="inlineStr">
        <is>
          <t>Business Systems</t>
        </is>
      </c>
      <c r="C52" s="43" t="n">
        <v>4</v>
      </c>
      <c r="D52" s="43" t="n">
        <v>4</v>
      </c>
      <c r="E52" s="43" t="n">
        <v>1.15</v>
      </c>
      <c r="F52" s="43" t="n">
        <v>3</v>
      </c>
      <c r="G52" s="43" t="inlineStr">
        <is>
          <t>Medium</t>
        </is>
      </c>
      <c r="H52" s="43" t="inlineStr">
        <is>
          <t>ERP; MES; WMS; QMS; maintenance system; SCADA/PLC data; supplier portal; BI; HRMS; backup/DR</t>
        </is>
      </c>
      <c r="I52" s="43" t="inlineStr">
        <is>
          <t>safety procedures; emergency response; MES/ERP backup; supplier alternatives; spare parts visibility; energy backup; restart procedures</t>
        </is>
      </c>
      <c r="J52" s="43" t="n">
        <v>1.15</v>
      </c>
      <c r="K52" s="43" t="inlineStr">
        <is>
          <t>High confidence requires documented owner, current evidence, recent KPI/report and crisis-tested procedure for material domains.</t>
        </is>
      </c>
      <c r="L52" s="43" t="inlineStr">
        <is>
          <t>Supply Chain and Delivery Resilience Strategy; Operational Excellence and Automation Strategy; Business Continuity and Resilience Strategy</t>
        </is>
      </c>
    </row>
    <row r="53" ht="42.75" customHeight="1" s="209">
      <c r="A53" s="247" t="inlineStr">
        <is>
          <t>Manufacturing</t>
        </is>
      </c>
      <c r="B53" s="247" t="inlineStr">
        <is>
          <t>Data BI AI</t>
        </is>
      </c>
      <c r="C53" s="247" t="n">
        <v>3</v>
      </c>
      <c r="D53" s="247" t="n">
        <v>3.5</v>
      </c>
      <c r="E53" s="247" t="n">
        <v>1</v>
      </c>
      <c r="F53" s="247" t="n">
        <v>2.5</v>
      </c>
      <c r="G53" s="247" t="inlineStr">
        <is>
          <t>Low</t>
        </is>
      </c>
      <c r="H53" s="247" t="inlineStr">
        <is>
          <t>ERP; MES; WMS; QMS; maintenance system; SCADA/PLC data; supplier portal; BI; HRMS; backup/DR</t>
        </is>
      </c>
      <c r="I53" s="247" t="inlineStr">
        <is>
          <t>safety procedures; emergency response; MES/ERP backup; supplier alternatives; spare parts visibility; energy backup; restart procedures</t>
        </is>
      </c>
      <c r="J53" s="247" t="n">
        <v>1</v>
      </c>
      <c r="K53" s="247" t="inlineStr">
        <is>
          <t>High confidence requires documented owner, current evidence, recent KPI/report and crisis-tested procedure for material domains.</t>
        </is>
      </c>
      <c r="L53" s="247" t="inlineStr">
        <is>
          <t>Supply Chain and Delivery Resilience Strategy; Operational Excellence and Automation Strategy; Business Continuity and Resilience Strategy</t>
        </is>
      </c>
    </row>
    <row r="54" ht="42.75" customHeight="1" s="209">
      <c r="A54" s="43" t="inlineStr">
        <is>
          <t>Manufacturing</t>
        </is>
      </c>
      <c r="B54" s="43" t="inlineStr">
        <is>
          <t>Cyber Privacy</t>
        </is>
      </c>
      <c r="C54" s="43" t="n">
        <v>4</v>
      </c>
      <c r="D54" s="43" t="n">
        <v>4</v>
      </c>
      <c r="E54" s="43" t="n">
        <v>1.2</v>
      </c>
      <c r="F54" s="43" t="n">
        <v>3</v>
      </c>
      <c r="G54" s="43" t="inlineStr">
        <is>
          <t>Medium</t>
        </is>
      </c>
      <c r="H54" s="43" t="inlineStr">
        <is>
          <t>ERP; MES; WMS; QMS; maintenance system; SCADA/PLC data; supplier portal; BI; HRMS; backup/DR</t>
        </is>
      </c>
      <c r="I54" s="43" t="inlineStr">
        <is>
          <t>safety procedures; emergency response; MES/ERP backup; supplier alternatives; spare parts visibility; energy backup; restart procedures</t>
        </is>
      </c>
      <c r="J54" s="43" t="n">
        <v>1.15</v>
      </c>
      <c r="K54" s="43" t="inlineStr">
        <is>
          <t>High confidence requires documented owner, current evidence, recent KPI/report and crisis-tested procedure for material domains.</t>
        </is>
      </c>
      <c r="L54" s="43" t="inlineStr">
        <is>
          <t>Supply Chain and Delivery Resilience Strategy; Operational Excellence and Automation Strategy; Business Continuity and Resilience Strategy</t>
        </is>
      </c>
    </row>
    <row r="55" ht="42.75" customHeight="1" s="209">
      <c r="A55" s="247" t="inlineStr">
        <is>
          <t>Manufacturing</t>
        </is>
      </c>
      <c r="B55" s="247" t="inlineStr">
        <is>
          <t>Quality Portfolio</t>
        </is>
      </c>
      <c r="C55" s="247" t="n">
        <v>3</v>
      </c>
      <c r="D55" s="247" t="n">
        <v>3.5</v>
      </c>
      <c r="E55" s="247" t="n">
        <v>1</v>
      </c>
      <c r="F55" s="247" t="n">
        <v>2.5</v>
      </c>
      <c r="G55" s="247" t="inlineStr">
        <is>
          <t>Low</t>
        </is>
      </c>
      <c r="H55" s="247" t="inlineStr">
        <is>
          <t>ERP; MES; WMS; QMS; maintenance system; SCADA/PLC data; supplier portal; BI; HRMS; backup/DR</t>
        </is>
      </c>
      <c r="I55" s="247" t="inlineStr">
        <is>
          <t>safety procedures; emergency response; MES/ERP backup; supplier alternatives; spare parts visibility; energy backup; restart procedures</t>
        </is>
      </c>
      <c r="J55" s="247" t="n">
        <v>1</v>
      </c>
      <c r="K55" s="247" t="inlineStr">
        <is>
          <t>High confidence requires documented owner, current evidence, recent KPI/report and crisis-tested procedure for material domains.</t>
        </is>
      </c>
      <c r="L55" s="247" t="inlineStr">
        <is>
          <t>Supply Chain and Delivery Resilience Strategy; Operational Excellence and Automation Strategy; Business Continuity and Resilience Strategy</t>
        </is>
      </c>
    </row>
    <row r="56" ht="42.75" customHeight="1" s="209">
      <c r="A56" s="43" t="inlineStr">
        <is>
          <t>Retail / Ecommerce</t>
        </is>
      </c>
      <c r="B56" s="43" t="inlineStr">
        <is>
          <t>Company Geography</t>
        </is>
      </c>
      <c r="C56" s="43" t="n">
        <v>3</v>
      </c>
      <c r="D56" s="43" t="n">
        <v>3.5</v>
      </c>
      <c r="E56" s="43" t="n">
        <v>1</v>
      </c>
      <c r="F56" s="43" t="n">
        <v>2.5</v>
      </c>
      <c r="G56" s="43" t="inlineStr">
        <is>
          <t>Low</t>
        </is>
      </c>
      <c r="H56" s="43" t="inlineStr">
        <is>
          <t>POS; ecommerce platform; CRM/loyalty; payment gateway; ERP; WMS; marketing automation; BI; customer support</t>
        </is>
      </c>
      <c r="I56" s="43" t="inlineStr">
        <is>
          <t>payment security; POS/ecommerce continuity; inventory visibility; CRM/customer communication; data privacy; supplier alternatives</t>
        </is>
      </c>
      <c r="J56" s="43" t="n">
        <v>1</v>
      </c>
      <c r="K56" s="43" t="inlineStr">
        <is>
          <t>High confidence requires documented owner, current evidence, recent KPI/report and crisis-tested procedure for material domains.</t>
        </is>
      </c>
      <c r="L56" s="43" t="inlineStr">
        <is>
          <t>Sales Channel Diversification Strategy; Customer Retention and Revenue Protection Strategy; Cyber Resilience Strategy</t>
        </is>
      </c>
    </row>
    <row r="57" ht="42.75" customHeight="1" s="209">
      <c r="A57" s="247" t="inlineStr">
        <is>
          <t>Retail / Ecommerce</t>
        </is>
      </c>
      <c r="B57" s="247" t="inlineStr">
        <is>
          <t>Strategy GTM</t>
        </is>
      </c>
      <c r="C57" s="247" t="n">
        <v>5</v>
      </c>
      <c r="D57" s="247" t="n">
        <v>4</v>
      </c>
      <c r="E57" s="247" t="n">
        <v>1.25</v>
      </c>
      <c r="F57" s="247" t="n">
        <v>3</v>
      </c>
      <c r="G57" s="247" t="inlineStr">
        <is>
          <t>Medium</t>
        </is>
      </c>
      <c r="H57" s="247" t="inlineStr">
        <is>
          <t>POS; ecommerce platform; CRM/loyalty; payment gateway; ERP; WMS; marketing automation; BI; customer support</t>
        </is>
      </c>
      <c r="I57" s="247" t="inlineStr">
        <is>
          <t>payment security; POS/ecommerce continuity; inventory visibility; CRM/customer communication; data privacy; supplier alternatives</t>
        </is>
      </c>
      <c r="J57" s="247" t="n">
        <v>1.2</v>
      </c>
      <c r="K57" s="247" t="inlineStr">
        <is>
          <t>High confidence requires documented owner, current evidence, recent KPI/report and crisis-tested procedure for material domains.</t>
        </is>
      </c>
      <c r="L57" s="247" t="inlineStr">
        <is>
          <t>Sales Channel Diversification Strategy; Customer Retention and Revenue Protection Strategy; Cyber Resilience Strategy</t>
        </is>
      </c>
    </row>
    <row r="58" ht="42.75" customHeight="1" s="209">
      <c r="A58" s="43" t="inlineStr">
        <is>
          <t>Retail / Ecommerce</t>
        </is>
      </c>
      <c r="B58" s="43" t="inlineStr">
        <is>
          <t>Governance Crisis</t>
        </is>
      </c>
      <c r="C58" s="43" t="n">
        <v>3</v>
      </c>
      <c r="D58" s="43" t="n">
        <v>4</v>
      </c>
      <c r="E58" s="43" t="n">
        <v>1.15</v>
      </c>
      <c r="F58" s="43" t="n">
        <v>3</v>
      </c>
      <c r="G58" s="43" t="inlineStr">
        <is>
          <t>Medium</t>
        </is>
      </c>
      <c r="H58" s="43" t="inlineStr">
        <is>
          <t>POS; ecommerce platform; CRM/loyalty; payment gateway; ERP; WMS; marketing automation; BI; customer support</t>
        </is>
      </c>
      <c r="I58" s="43" t="inlineStr">
        <is>
          <t>payment security; POS/ecommerce continuity; inventory visibility; CRM/customer communication; data privacy; supplier alternatives</t>
        </is>
      </c>
      <c r="J58" s="43" t="n">
        <v>1.1</v>
      </c>
      <c r="K58" s="43" t="inlineStr">
        <is>
          <t>High confidence requires documented owner, current evidence, recent KPI/report and crisis-tested procedure for material domains.</t>
        </is>
      </c>
      <c r="L58" s="43" t="inlineStr">
        <is>
          <t>Sales Channel Diversification Strategy; Customer Retention and Revenue Protection Strategy; Cyber Resilience Strategy</t>
        </is>
      </c>
    </row>
    <row r="59" ht="42.75" customHeight="1" s="209">
      <c r="A59" s="247" t="inlineStr">
        <is>
          <t>Retail / Ecommerce</t>
        </is>
      </c>
      <c r="B59" s="247" t="inlineStr">
        <is>
          <t>HR Workforce</t>
        </is>
      </c>
      <c r="C59" s="247" t="n">
        <v>3</v>
      </c>
      <c r="D59" s="247" t="n">
        <v>3.5</v>
      </c>
      <c r="E59" s="247" t="n">
        <v>1</v>
      </c>
      <c r="F59" s="247" t="n">
        <v>2.5</v>
      </c>
      <c r="G59" s="247" t="inlineStr">
        <is>
          <t>Low</t>
        </is>
      </c>
      <c r="H59" s="247" t="inlineStr">
        <is>
          <t>POS; ecommerce platform; CRM/loyalty; payment gateway; ERP; WMS; marketing automation; BI; customer support</t>
        </is>
      </c>
      <c r="I59" s="247" t="inlineStr">
        <is>
          <t>payment security; POS/ecommerce continuity; inventory visibility; CRM/customer communication; data privacy; supplier alternatives</t>
        </is>
      </c>
      <c r="J59" s="247" t="n">
        <v>1</v>
      </c>
      <c r="K59" s="247" t="inlineStr">
        <is>
          <t>High confidence requires documented owner, current evidence, recent KPI/report and crisis-tested procedure for material domains.</t>
        </is>
      </c>
      <c r="L59" s="247" t="inlineStr">
        <is>
          <t>Sales Channel Diversification Strategy; Customer Retention and Revenue Protection Strategy; Cyber Resilience Strategy</t>
        </is>
      </c>
    </row>
    <row r="60" ht="42.75" customHeight="1" s="209">
      <c r="A60" s="43" t="inlineStr">
        <is>
          <t>Retail / Ecommerce</t>
        </is>
      </c>
      <c r="B60" s="43" t="inlineStr">
        <is>
          <t>Finance Procurement</t>
        </is>
      </c>
      <c r="C60" s="43" t="n">
        <v>3</v>
      </c>
      <c r="D60" s="43" t="n">
        <v>3.5</v>
      </c>
      <c r="E60" s="43" t="n">
        <v>1</v>
      </c>
      <c r="F60" s="43" t="n">
        <v>2.5</v>
      </c>
      <c r="G60" s="43" t="inlineStr">
        <is>
          <t>Low</t>
        </is>
      </c>
      <c r="H60" s="43" t="inlineStr">
        <is>
          <t>POS; ecommerce platform; CRM/loyalty; payment gateway; ERP; WMS; marketing automation; BI; customer support</t>
        </is>
      </c>
      <c r="I60" s="43" t="inlineStr">
        <is>
          <t>payment security; POS/ecommerce continuity; inventory visibility; CRM/customer communication; data privacy; supplier alternatives</t>
        </is>
      </c>
      <c r="J60" s="43" t="n">
        <v>1</v>
      </c>
      <c r="K60" s="43" t="inlineStr">
        <is>
          <t>High confidence requires documented owner, current evidence, recent KPI/report and crisis-tested procedure for material domains.</t>
        </is>
      </c>
      <c r="L60" s="43" t="inlineStr">
        <is>
          <t>Sales Channel Diversification Strategy; Customer Retention and Revenue Protection Strategy; Cyber Resilience Strategy</t>
        </is>
      </c>
    </row>
    <row r="61" ht="42.75" customHeight="1" s="209">
      <c r="A61" s="247" t="inlineStr">
        <is>
          <t>Retail / Ecommerce</t>
        </is>
      </c>
      <c r="B61" s="247" t="inlineStr">
        <is>
          <t>Legal Risk</t>
        </is>
      </c>
      <c r="C61" s="247" t="n">
        <v>3</v>
      </c>
      <c r="D61" s="247" t="n">
        <v>3.5</v>
      </c>
      <c r="E61" s="247" t="n">
        <v>1</v>
      </c>
      <c r="F61" s="247" t="n">
        <v>2.5</v>
      </c>
      <c r="G61" s="247" t="inlineStr">
        <is>
          <t>Low</t>
        </is>
      </c>
      <c r="H61" s="247" t="inlineStr">
        <is>
          <t>POS; ecommerce platform; CRM/loyalty; payment gateway; ERP; WMS; marketing automation; BI; customer support</t>
        </is>
      </c>
      <c r="I61" s="247" t="inlineStr">
        <is>
          <t>payment security; POS/ecommerce continuity; inventory visibility; CRM/customer communication; data privacy; supplier alternatives</t>
        </is>
      </c>
      <c r="J61" s="247" t="n">
        <v>1</v>
      </c>
      <c r="K61" s="247" t="inlineStr">
        <is>
          <t>High confidence requires documented owner, current evidence, recent KPI/report and crisis-tested procedure for material domains.</t>
        </is>
      </c>
      <c r="L61" s="247" t="inlineStr">
        <is>
          <t>Sales Channel Diversification Strategy; Customer Retention and Revenue Protection Strategy; Cyber Resilience Strategy</t>
        </is>
      </c>
    </row>
    <row r="62" ht="42.75" customHeight="1" s="209">
      <c r="A62" s="43" t="inlineStr">
        <is>
          <t>Retail / Ecommerce</t>
        </is>
      </c>
      <c r="B62" s="43" t="inlineStr">
        <is>
          <t>Physical Safety</t>
        </is>
      </c>
      <c r="C62" s="43" t="n">
        <v>3</v>
      </c>
      <c r="D62" s="43" t="n">
        <v>3.5</v>
      </c>
      <c r="E62" s="43" t="n">
        <v>1</v>
      </c>
      <c r="F62" s="43" t="n">
        <v>2.5</v>
      </c>
      <c r="G62" s="43" t="inlineStr">
        <is>
          <t>Low</t>
        </is>
      </c>
      <c r="H62" s="43" t="inlineStr">
        <is>
          <t>POS; ecommerce platform; CRM/loyalty; payment gateway; ERP; WMS; marketing automation; BI; customer support</t>
        </is>
      </c>
      <c r="I62" s="43" t="inlineStr">
        <is>
          <t>payment security; POS/ecommerce continuity; inventory visibility; CRM/customer communication; data privacy; supplier alternatives</t>
        </is>
      </c>
      <c r="J62" s="43" t="n">
        <v>1</v>
      </c>
      <c r="K62" s="43" t="inlineStr">
        <is>
          <t>High confidence requires documented owner, current evidence, recent KPI/report and crisis-tested procedure for material domains.</t>
        </is>
      </c>
      <c r="L62" s="43" t="inlineStr">
        <is>
          <t>Sales Channel Diversification Strategy; Customer Retention and Revenue Protection Strategy; Cyber Resilience Strategy</t>
        </is>
      </c>
    </row>
    <row r="63" ht="42.75" customHeight="1" s="209">
      <c r="A63" s="247" t="inlineStr">
        <is>
          <t>Retail / Ecommerce</t>
        </is>
      </c>
      <c r="B63" s="247" t="inlineStr">
        <is>
          <t>Delivery Ops</t>
        </is>
      </c>
      <c r="C63" s="247" t="n">
        <v>3</v>
      </c>
      <c r="D63" s="247" t="n">
        <v>3.5</v>
      </c>
      <c r="E63" s="247" t="n">
        <v>1</v>
      </c>
      <c r="F63" s="247" t="n">
        <v>2.5</v>
      </c>
      <c r="G63" s="247" t="inlineStr">
        <is>
          <t>Low</t>
        </is>
      </c>
      <c r="H63" s="247" t="inlineStr">
        <is>
          <t>POS; ecommerce platform; CRM/loyalty; payment gateway; ERP; WMS; marketing automation; BI; customer support</t>
        </is>
      </c>
      <c r="I63" s="247" t="inlineStr">
        <is>
          <t>payment security; POS/ecommerce continuity; inventory visibility; CRM/customer communication; data privacy; supplier alternatives</t>
        </is>
      </c>
      <c r="J63" s="247" t="n">
        <v>1</v>
      </c>
      <c r="K63" s="247" t="inlineStr">
        <is>
          <t>High confidence requires documented owner, current evidence, recent KPI/report and crisis-tested procedure for material domains.</t>
        </is>
      </c>
      <c r="L63" s="247" t="inlineStr">
        <is>
          <t>Sales Channel Diversification Strategy; Customer Retention and Revenue Protection Strategy; Cyber Resilience Strategy</t>
        </is>
      </c>
    </row>
    <row r="64" ht="42.75" customHeight="1" s="209">
      <c r="A64" s="43" t="inlineStr">
        <is>
          <t>Retail / Ecommerce</t>
        </is>
      </c>
      <c r="B64" s="43" t="inlineStr">
        <is>
          <t>Supply Chain</t>
        </is>
      </c>
      <c r="C64" s="43" t="n">
        <v>5</v>
      </c>
      <c r="D64" s="43" t="n">
        <v>4</v>
      </c>
      <c r="E64" s="43" t="n">
        <v>1.25</v>
      </c>
      <c r="F64" s="43" t="n">
        <v>3</v>
      </c>
      <c r="G64" s="43" t="inlineStr">
        <is>
          <t>Medium</t>
        </is>
      </c>
      <c r="H64" s="43" t="inlineStr">
        <is>
          <t>POS; ecommerce platform; CRM/loyalty; payment gateway; ERP; WMS; marketing automation; BI; customer support</t>
        </is>
      </c>
      <c r="I64" s="43" t="inlineStr">
        <is>
          <t>payment security; POS/ecommerce continuity; inventory visibility; CRM/customer communication; data privacy; supplier alternatives</t>
        </is>
      </c>
      <c r="J64" s="43" t="n">
        <v>1.2</v>
      </c>
      <c r="K64" s="43" t="inlineStr">
        <is>
          <t>High confidence requires documented owner, current evidence, recent KPI/report and crisis-tested procedure for material domains.</t>
        </is>
      </c>
      <c r="L64" s="43" t="inlineStr">
        <is>
          <t>Sales Channel Diversification Strategy; Customer Retention and Revenue Protection Strategy; Cyber Resilience Strategy</t>
        </is>
      </c>
    </row>
    <row r="65" ht="42.75" customHeight="1" s="209">
      <c r="A65" s="247" t="inlineStr">
        <is>
          <t>Retail / Ecommerce</t>
        </is>
      </c>
      <c r="B65" s="247" t="inlineStr">
        <is>
          <t>Manufacturing MES</t>
        </is>
      </c>
      <c r="C65" s="247" t="n">
        <v>1</v>
      </c>
      <c r="D65" s="247" t="n">
        <v>1</v>
      </c>
      <c r="E65" s="247" t="n">
        <v>0.6</v>
      </c>
      <c r="F65" s="247" t="n">
        <v>0</v>
      </c>
      <c r="G65" s="247" t="inlineStr">
        <is>
          <t>Low</t>
        </is>
      </c>
      <c r="H65" s="247" t="inlineStr">
        <is>
          <t>POS; ecommerce platform; CRM/loyalty; payment gateway; ERP; WMS; marketing automation; BI; customer support</t>
        </is>
      </c>
      <c r="I65" s="247" t="inlineStr">
        <is>
          <t>payment security; POS/ecommerce continuity; inventory visibility; CRM/customer communication; data privacy; supplier alternatives</t>
        </is>
      </c>
      <c r="J65" s="247" t="n">
        <v>0.7</v>
      </c>
      <c r="K65" s="247" t="inlineStr">
        <is>
          <t>High confidence requires documented owner, current evidence, recent KPI/report and crisis-tested procedure for material domains.</t>
        </is>
      </c>
      <c r="L65" s="247" t="inlineStr">
        <is>
          <t>Sales Channel Diversification Strategy; Customer Retention and Revenue Protection Strategy; Cyber Resilience Strategy</t>
        </is>
      </c>
    </row>
    <row r="66" ht="42.75" customHeight="1" s="209">
      <c r="A66" s="43" t="inlineStr">
        <is>
          <t>Retail / Ecommerce</t>
        </is>
      </c>
      <c r="B66" s="43" t="inlineStr">
        <is>
          <t>Sales CRM</t>
        </is>
      </c>
      <c r="C66" s="43" t="n">
        <v>5</v>
      </c>
      <c r="D66" s="43" t="n">
        <v>4.2</v>
      </c>
      <c r="E66" s="43" t="n">
        <v>1.35</v>
      </c>
      <c r="F66" s="43" t="n">
        <v>3.2</v>
      </c>
      <c r="G66" s="43" t="inlineStr">
        <is>
          <t>High</t>
        </is>
      </c>
      <c r="H66" s="43" t="inlineStr">
        <is>
          <t>POS; ecommerce platform; CRM/loyalty; payment gateway; ERP; WMS; marketing automation; BI; customer support</t>
        </is>
      </c>
      <c r="I66" s="43" t="inlineStr">
        <is>
          <t>payment security; POS/ecommerce continuity; inventory visibility; CRM/customer communication; data privacy; supplier alternatives</t>
        </is>
      </c>
      <c r="J66" s="43" t="n">
        <v>1.3</v>
      </c>
      <c r="K66" s="43" t="inlineStr">
        <is>
          <t>High confidence requires documented owner, current evidence, recent KPI/report and crisis-tested procedure for material domains.</t>
        </is>
      </c>
      <c r="L66" s="43" t="inlineStr">
        <is>
          <t>Sales Channel Diversification Strategy; Customer Retention and Revenue Protection Strategy; Cyber Resilience Strategy</t>
        </is>
      </c>
    </row>
    <row r="67" ht="42.75" customHeight="1" s="209">
      <c r="A67" s="247" t="inlineStr">
        <is>
          <t>Retail / Ecommerce</t>
        </is>
      </c>
      <c r="B67" s="247" t="inlineStr">
        <is>
          <t>Marketing Comms</t>
        </is>
      </c>
      <c r="C67" s="247" t="n">
        <v>5</v>
      </c>
      <c r="D67" s="247" t="n">
        <v>4</v>
      </c>
      <c r="E67" s="247" t="n">
        <v>1.25</v>
      </c>
      <c r="F67" s="247" t="n">
        <v>3</v>
      </c>
      <c r="G67" s="247" t="inlineStr">
        <is>
          <t>Medium</t>
        </is>
      </c>
      <c r="H67" s="247" t="inlineStr">
        <is>
          <t>POS; ecommerce platform; CRM/loyalty; payment gateway; ERP; WMS; marketing automation; BI; customer support</t>
        </is>
      </c>
      <c r="I67" s="247" t="inlineStr">
        <is>
          <t>payment security; POS/ecommerce continuity; inventory visibility; CRM/customer communication; data privacy; supplier alternatives</t>
        </is>
      </c>
      <c r="J67" s="247" t="n">
        <v>1.25</v>
      </c>
      <c r="K67" s="247" t="inlineStr">
        <is>
          <t>High confidence requires documented owner, current evidence, recent KPI/report and crisis-tested procedure for material domains.</t>
        </is>
      </c>
      <c r="L67" s="247" t="inlineStr">
        <is>
          <t>Sales Channel Diversification Strategy; Customer Retention and Revenue Protection Strategy; Cyber Resilience Strategy</t>
        </is>
      </c>
    </row>
    <row r="68" ht="42.75" customHeight="1" s="209">
      <c r="A68" s="43" t="inlineStr">
        <is>
          <t>Retail / Ecommerce</t>
        </is>
      </c>
      <c r="B68" s="43" t="inlineStr">
        <is>
          <t>IT Cloud DR</t>
        </is>
      </c>
      <c r="C68" s="43" t="n">
        <v>3</v>
      </c>
      <c r="D68" s="43" t="n">
        <v>4</v>
      </c>
      <c r="E68" s="43" t="n">
        <v>1.15</v>
      </c>
      <c r="F68" s="43" t="n">
        <v>3</v>
      </c>
      <c r="G68" s="43" t="inlineStr">
        <is>
          <t>Medium</t>
        </is>
      </c>
      <c r="H68" s="43" t="inlineStr">
        <is>
          <t>POS; ecommerce platform; CRM/loyalty; payment gateway; ERP; WMS; marketing automation; BI; customer support</t>
        </is>
      </c>
      <c r="I68" s="43" t="inlineStr">
        <is>
          <t>payment security; POS/ecommerce continuity; inventory visibility; CRM/customer communication; data privacy; supplier alternatives</t>
        </is>
      </c>
      <c r="J68" s="43" t="n">
        <v>1.1</v>
      </c>
      <c r="K68" s="43" t="inlineStr">
        <is>
          <t>High confidence requires documented owner, current evidence, recent KPI/report and crisis-tested procedure for material domains.</t>
        </is>
      </c>
      <c r="L68" s="43" t="inlineStr">
        <is>
          <t>Sales Channel Diversification Strategy; Customer Retention and Revenue Protection Strategy; Cyber Resilience Strategy</t>
        </is>
      </c>
    </row>
    <row r="69" ht="42.75" customHeight="1" s="209">
      <c r="A69" s="247" t="inlineStr">
        <is>
          <t>Retail / Ecommerce</t>
        </is>
      </c>
      <c r="B69" s="247" t="inlineStr">
        <is>
          <t>Business Systems</t>
        </is>
      </c>
      <c r="C69" s="247" t="n">
        <v>5</v>
      </c>
      <c r="D69" s="247" t="n">
        <v>4</v>
      </c>
      <c r="E69" s="247" t="n">
        <v>1.25</v>
      </c>
      <c r="F69" s="247" t="n">
        <v>3</v>
      </c>
      <c r="G69" s="247" t="inlineStr">
        <is>
          <t>Medium</t>
        </is>
      </c>
      <c r="H69" s="247" t="inlineStr">
        <is>
          <t>POS; ecommerce platform; CRM/loyalty; payment gateway; ERP; WMS; marketing automation; BI; customer support</t>
        </is>
      </c>
      <c r="I69" s="247" t="inlineStr">
        <is>
          <t>payment security; POS/ecommerce continuity; inventory visibility; CRM/customer communication; data privacy; supplier alternatives</t>
        </is>
      </c>
      <c r="J69" s="247" t="n">
        <v>1.2</v>
      </c>
      <c r="K69" s="247" t="inlineStr">
        <is>
          <t>High confidence requires documented owner, current evidence, recent KPI/report and crisis-tested procedure for material domains.</t>
        </is>
      </c>
      <c r="L69" s="247" t="inlineStr">
        <is>
          <t>Sales Channel Diversification Strategy; Customer Retention and Revenue Protection Strategy; Cyber Resilience Strategy</t>
        </is>
      </c>
    </row>
    <row r="70" ht="42.75" customHeight="1" s="209">
      <c r="A70" s="43" t="inlineStr">
        <is>
          <t>Retail / Ecommerce</t>
        </is>
      </c>
      <c r="B70" s="43" t="inlineStr">
        <is>
          <t>Data BI AI</t>
        </is>
      </c>
      <c r="C70" s="43" t="n">
        <v>4</v>
      </c>
      <c r="D70" s="43" t="n">
        <v>4</v>
      </c>
      <c r="E70" s="43" t="n">
        <v>1.15</v>
      </c>
      <c r="F70" s="43" t="n">
        <v>3</v>
      </c>
      <c r="G70" s="43" t="inlineStr">
        <is>
          <t>Medium</t>
        </is>
      </c>
      <c r="H70" s="43" t="inlineStr">
        <is>
          <t>POS; ecommerce platform; CRM/loyalty; payment gateway; ERP; WMS; marketing automation; BI; customer support</t>
        </is>
      </c>
      <c r="I70" s="43" t="inlineStr">
        <is>
          <t>payment security; POS/ecommerce continuity; inventory visibility; CRM/customer communication; data privacy; supplier alternatives</t>
        </is>
      </c>
      <c r="J70" s="43" t="n">
        <v>1.15</v>
      </c>
      <c r="K70" s="43" t="inlineStr">
        <is>
          <t>High confidence requires documented owner, current evidence, recent KPI/report and crisis-tested procedure for material domains.</t>
        </is>
      </c>
      <c r="L70" s="43" t="inlineStr">
        <is>
          <t>Sales Channel Diversification Strategy; Customer Retention and Revenue Protection Strategy; Cyber Resilience Strategy</t>
        </is>
      </c>
    </row>
    <row r="71" ht="42.75" customHeight="1" s="209">
      <c r="A71" s="247" t="inlineStr">
        <is>
          <t>Retail / Ecommerce</t>
        </is>
      </c>
      <c r="B71" s="247" t="inlineStr">
        <is>
          <t>Cyber Privacy</t>
        </is>
      </c>
      <c r="C71" s="247" t="n">
        <v>5</v>
      </c>
      <c r="D71" s="247" t="n">
        <v>4.2</v>
      </c>
      <c r="E71" s="247" t="n">
        <v>1.35</v>
      </c>
      <c r="F71" s="247" t="n">
        <v>3.2</v>
      </c>
      <c r="G71" s="247" t="inlineStr">
        <is>
          <t>High</t>
        </is>
      </c>
      <c r="H71" s="247" t="inlineStr">
        <is>
          <t>POS; ecommerce platform; CRM/loyalty; payment gateway; ERP; WMS; marketing automation; BI; customer support</t>
        </is>
      </c>
      <c r="I71" s="247" t="inlineStr">
        <is>
          <t>payment security; POS/ecommerce continuity; inventory visibility; CRM/customer communication; data privacy; supplier alternatives</t>
        </is>
      </c>
      <c r="J71" s="247" t="n">
        <v>1.25</v>
      </c>
      <c r="K71" s="247" t="inlineStr">
        <is>
          <t>High confidence requires documented owner, current evidence, recent KPI/report and crisis-tested procedure for material domains.</t>
        </is>
      </c>
      <c r="L71" s="247" t="inlineStr">
        <is>
          <t>Sales Channel Diversification Strategy; Customer Retention and Revenue Protection Strategy; Cyber Resilience Strategy</t>
        </is>
      </c>
    </row>
    <row r="72" ht="42.75" customHeight="1" s="209">
      <c r="A72" s="43" t="inlineStr">
        <is>
          <t>Retail / Ecommerce</t>
        </is>
      </c>
      <c r="B72" s="43" t="inlineStr">
        <is>
          <t>Quality Portfolio</t>
        </is>
      </c>
      <c r="C72" s="43" t="n">
        <v>3</v>
      </c>
      <c r="D72" s="43" t="n">
        <v>3.5</v>
      </c>
      <c r="E72" s="43" t="n">
        <v>1</v>
      </c>
      <c r="F72" s="43" t="n">
        <v>2.5</v>
      </c>
      <c r="G72" s="43" t="inlineStr">
        <is>
          <t>Low</t>
        </is>
      </c>
      <c r="H72" s="43" t="inlineStr">
        <is>
          <t>POS; ecommerce platform; CRM/loyalty; payment gateway; ERP; WMS; marketing automation; BI; customer support</t>
        </is>
      </c>
      <c r="I72" s="43" t="inlineStr">
        <is>
          <t>payment security; POS/ecommerce continuity; inventory visibility; CRM/customer communication; data privacy; supplier alternatives</t>
        </is>
      </c>
      <c r="J72" s="43" t="n">
        <v>1</v>
      </c>
      <c r="K72" s="43" t="inlineStr">
        <is>
          <t>High confidence requires documented owner, current evidence, recent KPI/report and crisis-tested procedure for material domains.</t>
        </is>
      </c>
      <c r="L72" s="43" t="inlineStr">
        <is>
          <t>Sales Channel Diversification Strategy; Customer Retention and Revenue Protection Strategy; Cyber Resilience Strategy</t>
        </is>
      </c>
    </row>
    <row r="73" ht="42.75" customHeight="1" s="209">
      <c r="A73" s="247" t="inlineStr">
        <is>
          <t>Logistics / Distribution</t>
        </is>
      </c>
      <c r="B73" s="247" t="inlineStr">
        <is>
          <t>Company Geography</t>
        </is>
      </c>
      <c r="C73" s="247" t="n">
        <v>3</v>
      </c>
      <c r="D73" s="247" t="n">
        <v>3.5</v>
      </c>
      <c r="E73" s="247" t="n">
        <v>1</v>
      </c>
      <c r="F73" s="247" t="n">
        <v>2.5</v>
      </c>
      <c r="G73" s="247" t="inlineStr">
        <is>
          <t>Low</t>
        </is>
      </c>
      <c r="H73" s="247" t="inlineStr">
        <is>
          <t>TMS; WMS; route optimization; GPS/fleet management; ERP; customer portal; fuel/procurement systems; BI</t>
        </is>
      </c>
      <c r="I73" s="247" t="inlineStr">
        <is>
          <t>fleet/warehouse visibility; route disruption plan; carrier alternatives; fuel continuity; driver availability; customer notification</t>
        </is>
      </c>
      <c r="J73" s="247" t="n">
        <v>1</v>
      </c>
      <c r="K73" s="247" t="inlineStr">
        <is>
          <t>High confidence requires documented owner, current evidence, recent KPI/report and crisis-tested procedure for material domains.</t>
        </is>
      </c>
      <c r="L73" s="247" t="inlineStr">
        <is>
          <t>Supply Chain and Delivery Resilience Strategy; Operational Excellence and Automation Strategy; Business Continuity and Resilience Strategy</t>
        </is>
      </c>
    </row>
    <row r="74" ht="42.75" customHeight="1" s="209">
      <c r="A74" s="43" t="inlineStr">
        <is>
          <t>Logistics / Distribution</t>
        </is>
      </c>
      <c r="B74" s="43" t="inlineStr">
        <is>
          <t>Strategy GTM</t>
        </is>
      </c>
      <c r="C74" s="43" t="n">
        <v>3</v>
      </c>
      <c r="D74" s="43" t="n">
        <v>3.5</v>
      </c>
      <c r="E74" s="43" t="n">
        <v>1</v>
      </c>
      <c r="F74" s="43" t="n">
        <v>2.5</v>
      </c>
      <c r="G74" s="43" t="inlineStr">
        <is>
          <t>Low</t>
        </is>
      </c>
      <c r="H74" s="43" t="inlineStr">
        <is>
          <t>TMS; WMS; route optimization; GPS/fleet management; ERP; customer portal; fuel/procurement systems; BI</t>
        </is>
      </c>
      <c r="I74" s="43" t="inlineStr">
        <is>
          <t>fleet/warehouse visibility; route disruption plan; carrier alternatives; fuel continuity; driver availability; customer notification</t>
        </is>
      </c>
      <c r="J74" s="43" t="n">
        <v>1</v>
      </c>
      <c r="K74" s="43" t="inlineStr">
        <is>
          <t>High confidence requires documented owner, current evidence, recent KPI/report and crisis-tested procedure for material domains.</t>
        </is>
      </c>
      <c r="L74" s="43" t="inlineStr">
        <is>
          <t>Supply Chain and Delivery Resilience Strategy; Operational Excellence and Automation Strategy; Business Continuity and Resilience Strategy</t>
        </is>
      </c>
    </row>
    <row r="75" ht="42.75" customHeight="1" s="209">
      <c r="A75" s="247" t="inlineStr">
        <is>
          <t>Logistics / Distribution</t>
        </is>
      </c>
      <c r="B75" s="247" t="inlineStr">
        <is>
          <t>Governance Crisis</t>
        </is>
      </c>
      <c r="C75" s="247" t="n">
        <v>3</v>
      </c>
      <c r="D75" s="247" t="n">
        <v>4</v>
      </c>
      <c r="E75" s="247" t="n">
        <v>1.15</v>
      </c>
      <c r="F75" s="247" t="n">
        <v>3</v>
      </c>
      <c r="G75" s="247" t="inlineStr">
        <is>
          <t>Medium</t>
        </is>
      </c>
      <c r="H75" s="247" t="inlineStr">
        <is>
          <t>TMS; WMS; route optimization; GPS/fleet management; ERP; customer portal; fuel/procurement systems; BI</t>
        </is>
      </c>
      <c r="I75" s="247" t="inlineStr">
        <is>
          <t>fleet/warehouse visibility; route disruption plan; carrier alternatives; fuel continuity; driver availability; customer notification</t>
        </is>
      </c>
      <c r="J75" s="247" t="n">
        <v>1.1</v>
      </c>
      <c r="K75" s="247" t="inlineStr">
        <is>
          <t>High confidence requires documented owner, current evidence, recent KPI/report and crisis-tested procedure for material domains.</t>
        </is>
      </c>
      <c r="L75" s="247" t="inlineStr">
        <is>
          <t>Supply Chain and Delivery Resilience Strategy; Operational Excellence and Automation Strategy; Business Continuity and Resilience Strategy</t>
        </is>
      </c>
    </row>
    <row r="76" ht="42.75" customHeight="1" s="209">
      <c r="A76" s="43" t="inlineStr">
        <is>
          <t>Logistics / Distribution</t>
        </is>
      </c>
      <c r="B76" s="43" t="inlineStr">
        <is>
          <t>HR Workforce</t>
        </is>
      </c>
      <c r="C76" s="43" t="n">
        <v>3</v>
      </c>
      <c r="D76" s="43" t="n">
        <v>3.5</v>
      </c>
      <c r="E76" s="43" t="n">
        <v>1</v>
      </c>
      <c r="F76" s="43" t="n">
        <v>2.5</v>
      </c>
      <c r="G76" s="43" t="inlineStr">
        <is>
          <t>Low</t>
        </is>
      </c>
      <c r="H76" s="43" t="inlineStr">
        <is>
          <t>TMS; WMS; route optimization; GPS/fleet management; ERP; customer portal; fuel/procurement systems; BI</t>
        </is>
      </c>
      <c r="I76" s="43" t="inlineStr">
        <is>
          <t>fleet/warehouse visibility; route disruption plan; carrier alternatives; fuel continuity; driver availability; customer notification</t>
        </is>
      </c>
      <c r="J76" s="43" t="n">
        <v>1</v>
      </c>
      <c r="K76" s="43" t="inlineStr">
        <is>
          <t>High confidence requires documented owner, current evidence, recent KPI/report and crisis-tested procedure for material domains.</t>
        </is>
      </c>
      <c r="L76" s="43" t="inlineStr">
        <is>
          <t>Supply Chain and Delivery Resilience Strategy; Operational Excellence and Automation Strategy; Business Continuity and Resilience Strategy</t>
        </is>
      </c>
    </row>
    <row r="77" ht="42.75" customHeight="1" s="209">
      <c r="A77" s="247" t="inlineStr">
        <is>
          <t>Logistics / Distribution</t>
        </is>
      </c>
      <c r="B77" s="247" t="inlineStr">
        <is>
          <t>Finance Procurement</t>
        </is>
      </c>
      <c r="C77" s="247" t="n">
        <v>3</v>
      </c>
      <c r="D77" s="247" t="n">
        <v>3.5</v>
      </c>
      <c r="E77" s="247" t="n">
        <v>1</v>
      </c>
      <c r="F77" s="247" t="n">
        <v>2.5</v>
      </c>
      <c r="G77" s="247" t="inlineStr">
        <is>
          <t>Low</t>
        </is>
      </c>
      <c r="H77" s="247" t="inlineStr">
        <is>
          <t>TMS; WMS; route optimization; GPS/fleet management; ERP; customer portal; fuel/procurement systems; BI</t>
        </is>
      </c>
      <c r="I77" s="247" t="inlineStr">
        <is>
          <t>fleet/warehouse visibility; route disruption plan; carrier alternatives; fuel continuity; driver availability; customer notification</t>
        </is>
      </c>
      <c r="J77" s="247" t="n">
        <v>1</v>
      </c>
      <c r="K77" s="247" t="inlineStr">
        <is>
          <t>High confidence requires documented owner, current evidence, recent KPI/report and crisis-tested procedure for material domains.</t>
        </is>
      </c>
      <c r="L77" s="247" t="inlineStr">
        <is>
          <t>Supply Chain and Delivery Resilience Strategy; Operational Excellence and Automation Strategy; Business Continuity and Resilience Strategy</t>
        </is>
      </c>
    </row>
    <row r="78" ht="42.75" customHeight="1" s="209">
      <c r="A78" s="43" t="inlineStr">
        <is>
          <t>Logistics / Distribution</t>
        </is>
      </c>
      <c r="B78" s="43" t="inlineStr">
        <is>
          <t>Legal Risk</t>
        </is>
      </c>
      <c r="C78" s="43" t="n">
        <v>3</v>
      </c>
      <c r="D78" s="43" t="n">
        <v>3.5</v>
      </c>
      <c r="E78" s="43" t="n">
        <v>1</v>
      </c>
      <c r="F78" s="43" t="n">
        <v>2.5</v>
      </c>
      <c r="G78" s="43" t="inlineStr">
        <is>
          <t>Low</t>
        </is>
      </c>
      <c r="H78" s="43" t="inlineStr">
        <is>
          <t>TMS; WMS; route optimization; GPS/fleet management; ERP; customer portal; fuel/procurement systems; BI</t>
        </is>
      </c>
      <c r="I78" s="43" t="inlineStr">
        <is>
          <t>fleet/warehouse visibility; route disruption plan; carrier alternatives; fuel continuity; driver availability; customer notification</t>
        </is>
      </c>
      <c r="J78" s="43" t="n">
        <v>1</v>
      </c>
      <c r="K78" s="43" t="inlineStr">
        <is>
          <t>High confidence requires documented owner, current evidence, recent KPI/report and crisis-tested procedure for material domains.</t>
        </is>
      </c>
      <c r="L78" s="43" t="inlineStr">
        <is>
          <t>Supply Chain and Delivery Resilience Strategy; Operational Excellence and Automation Strategy; Business Continuity and Resilience Strategy</t>
        </is>
      </c>
    </row>
    <row r="79" ht="42.75" customHeight="1" s="209">
      <c r="A79" s="247" t="inlineStr">
        <is>
          <t>Logistics / Distribution</t>
        </is>
      </c>
      <c r="B79" s="247" t="inlineStr">
        <is>
          <t>Physical Safety</t>
        </is>
      </c>
      <c r="C79" s="247" t="n">
        <v>4</v>
      </c>
      <c r="D79" s="247" t="n">
        <v>4</v>
      </c>
      <c r="E79" s="247" t="n">
        <v>1.25</v>
      </c>
      <c r="F79" s="247" t="n">
        <v>3</v>
      </c>
      <c r="G79" s="247" t="inlineStr">
        <is>
          <t>Medium</t>
        </is>
      </c>
      <c r="H79" s="247" t="inlineStr">
        <is>
          <t>TMS; WMS; route optimization; GPS/fleet management; ERP; customer portal; fuel/procurement systems; BI</t>
        </is>
      </c>
      <c r="I79" s="247" t="inlineStr">
        <is>
          <t>fleet/warehouse visibility; route disruption plan; carrier alternatives; fuel continuity; driver availability; customer notification</t>
        </is>
      </c>
      <c r="J79" s="247" t="n">
        <v>1.2</v>
      </c>
      <c r="K79" s="247" t="inlineStr">
        <is>
          <t>High confidence requires documented owner, current evidence, recent KPI/report and crisis-tested procedure for material domains.</t>
        </is>
      </c>
      <c r="L79" s="247" t="inlineStr">
        <is>
          <t>Supply Chain and Delivery Resilience Strategy; Operational Excellence and Automation Strategy; Business Continuity and Resilience Strategy</t>
        </is>
      </c>
    </row>
    <row r="80" ht="42.75" customHeight="1" s="209">
      <c r="A80" s="43" t="inlineStr">
        <is>
          <t>Logistics / Distribution</t>
        </is>
      </c>
      <c r="B80" s="43" t="inlineStr">
        <is>
          <t>Delivery Ops</t>
        </is>
      </c>
      <c r="C80" s="43" t="n">
        <v>5</v>
      </c>
      <c r="D80" s="43" t="n">
        <v>4.3</v>
      </c>
      <c r="E80" s="43" t="n">
        <v>1.4</v>
      </c>
      <c r="F80" s="43" t="n">
        <v>3.3</v>
      </c>
      <c r="G80" s="43" t="inlineStr">
        <is>
          <t>High</t>
        </is>
      </c>
      <c r="H80" s="43" t="inlineStr">
        <is>
          <t>TMS; WMS; route optimization; GPS/fleet management; ERP; customer portal; fuel/procurement systems; BI</t>
        </is>
      </c>
      <c r="I80" s="43" t="inlineStr">
        <is>
          <t>fleet/warehouse visibility; route disruption plan; carrier alternatives; fuel continuity; driver availability; customer notification</t>
        </is>
      </c>
      <c r="J80" s="43" t="n">
        <v>1.35</v>
      </c>
      <c r="K80" s="43" t="inlineStr">
        <is>
          <t>High confidence requires documented owner, current evidence, recent KPI/report and crisis-tested procedure for material domains.</t>
        </is>
      </c>
      <c r="L80" s="43" t="inlineStr">
        <is>
          <t>Supply Chain and Delivery Resilience Strategy; Operational Excellence and Automation Strategy; Business Continuity and Resilience Strategy</t>
        </is>
      </c>
    </row>
    <row r="81" ht="42.75" customHeight="1" s="209">
      <c r="A81" s="247" t="inlineStr">
        <is>
          <t>Logistics / Distribution</t>
        </is>
      </c>
      <c r="B81" s="247" t="inlineStr">
        <is>
          <t>Supply Chain</t>
        </is>
      </c>
      <c r="C81" s="247" t="n">
        <v>5</v>
      </c>
      <c r="D81" s="247" t="n">
        <v>4.3</v>
      </c>
      <c r="E81" s="247" t="n">
        <v>1.45</v>
      </c>
      <c r="F81" s="247" t="n">
        <v>3.3</v>
      </c>
      <c r="G81" s="247" t="inlineStr">
        <is>
          <t>High</t>
        </is>
      </c>
      <c r="H81" s="247" t="inlineStr">
        <is>
          <t>TMS; WMS; route optimization; GPS/fleet management; ERP; customer portal; fuel/procurement systems; BI</t>
        </is>
      </c>
      <c r="I81" s="247" t="inlineStr">
        <is>
          <t>fleet/warehouse visibility; route disruption plan; carrier alternatives; fuel continuity; driver availability; customer notification</t>
        </is>
      </c>
      <c r="J81" s="247" t="n">
        <v>1.35</v>
      </c>
      <c r="K81" s="247" t="inlineStr">
        <is>
          <t>High confidence requires documented owner, current evidence, recent KPI/report and crisis-tested procedure for material domains.</t>
        </is>
      </c>
      <c r="L81" s="247" t="inlineStr">
        <is>
          <t>Supply Chain and Delivery Resilience Strategy; Operational Excellence and Automation Strategy; Business Continuity and Resilience Strategy</t>
        </is>
      </c>
    </row>
    <row r="82" ht="42.75" customHeight="1" s="209">
      <c r="A82" s="43" t="inlineStr">
        <is>
          <t>Logistics / Distribution</t>
        </is>
      </c>
      <c r="B82" s="43" t="inlineStr">
        <is>
          <t>Manufacturing MES</t>
        </is>
      </c>
      <c r="C82" s="43" t="n">
        <v>1</v>
      </c>
      <c r="D82" s="43" t="n">
        <v>1</v>
      </c>
      <c r="E82" s="43" t="n">
        <v>0.6</v>
      </c>
      <c r="F82" s="43" t="n">
        <v>0</v>
      </c>
      <c r="G82" s="43" t="inlineStr">
        <is>
          <t>Low</t>
        </is>
      </c>
      <c r="H82" s="43" t="inlineStr">
        <is>
          <t>TMS; WMS; route optimization; GPS/fleet management; ERP; customer portal; fuel/procurement systems; BI</t>
        </is>
      </c>
      <c r="I82" s="43" t="inlineStr">
        <is>
          <t>fleet/warehouse visibility; route disruption plan; carrier alternatives; fuel continuity; driver availability; customer notification</t>
        </is>
      </c>
      <c r="J82" s="43" t="n">
        <v>0.7</v>
      </c>
      <c r="K82" s="43" t="inlineStr">
        <is>
          <t>High confidence requires documented owner, current evidence, recent KPI/report and crisis-tested procedure for material domains.</t>
        </is>
      </c>
      <c r="L82" s="43" t="inlineStr">
        <is>
          <t>Supply Chain and Delivery Resilience Strategy; Operational Excellence and Automation Strategy; Business Continuity and Resilience Strategy</t>
        </is>
      </c>
    </row>
    <row r="83" ht="42.75" customHeight="1" s="209">
      <c r="A83" s="247" t="inlineStr">
        <is>
          <t>Logistics / Distribution</t>
        </is>
      </c>
      <c r="B83" s="247" t="inlineStr">
        <is>
          <t>Sales CRM</t>
        </is>
      </c>
      <c r="C83" s="247" t="n">
        <v>3</v>
      </c>
      <c r="D83" s="247" t="n">
        <v>3.5</v>
      </c>
      <c r="E83" s="247" t="n">
        <v>1</v>
      </c>
      <c r="F83" s="247" t="n">
        <v>2.5</v>
      </c>
      <c r="G83" s="247" t="inlineStr">
        <is>
          <t>Low</t>
        </is>
      </c>
      <c r="H83" s="247" t="inlineStr">
        <is>
          <t>TMS; WMS; route optimization; GPS/fleet management; ERP; customer portal; fuel/procurement systems; BI</t>
        </is>
      </c>
      <c r="I83" s="247" t="inlineStr">
        <is>
          <t>fleet/warehouse visibility; route disruption plan; carrier alternatives; fuel continuity; driver availability; customer notification</t>
        </is>
      </c>
      <c r="J83" s="247" t="n">
        <v>1</v>
      </c>
      <c r="K83" s="247" t="inlineStr">
        <is>
          <t>High confidence requires documented owner, current evidence, recent KPI/report and crisis-tested procedure for material domains.</t>
        </is>
      </c>
      <c r="L83" s="247" t="inlineStr">
        <is>
          <t>Supply Chain and Delivery Resilience Strategy; Operational Excellence and Automation Strategy; Business Continuity and Resilience Strategy</t>
        </is>
      </c>
    </row>
    <row r="84" ht="42.75" customHeight="1" s="209">
      <c r="A84" s="43" t="inlineStr">
        <is>
          <t>Logistics / Distribution</t>
        </is>
      </c>
      <c r="B84" s="43" t="inlineStr">
        <is>
          <t>Marketing Comms</t>
        </is>
      </c>
      <c r="C84" s="43" t="n">
        <v>3</v>
      </c>
      <c r="D84" s="43" t="n">
        <v>3.5</v>
      </c>
      <c r="E84" s="43" t="n">
        <v>1</v>
      </c>
      <c r="F84" s="43" t="n">
        <v>2.5</v>
      </c>
      <c r="G84" s="43" t="inlineStr">
        <is>
          <t>Low</t>
        </is>
      </c>
      <c r="H84" s="43" t="inlineStr">
        <is>
          <t>TMS; WMS; route optimization; GPS/fleet management; ERP; customer portal; fuel/procurement systems; BI</t>
        </is>
      </c>
      <c r="I84" s="43" t="inlineStr">
        <is>
          <t>fleet/warehouse visibility; route disruption plan; carrier alternatives; fuel continuity; driver availability; customer notification</t>
        </is>
      </c>
      <c r="J84" s="43" t="n">
        <v>1</v>
      </c>
      <c r="K84" s="43" t="inlineStr">
        <is>
          <t>High confidence requires documented owner, current evidence, recent KPI/report and crisis-tested procedure for material domains.</t>
        </is>
      </c>
      <c r="L84" s="43" t="inlineStr">
        <is>
          <t>Supply Chain and Delivery Resilience Strategy; Operational Excellence and Automation Strategy; Business Continuity and Resilience Strategy</t>
        </is>
      </c>
    </row>
    <row r="85" ht="42.75" customHeight="1" s="209">
      <c r="A85" s="247" t="inlineStr">
        <is>
          <t>Logistics / Distribution</t>
        </is>
      </c>
      <c r="B85" s="247" t="inlineStr">
        <is>
          <t>IT Cloud DR</t>
        </is>
      </c>
      <c r="C85" s="247" t="n">
        <v>4</v>
      </c>
      <c r="D85" s="247" t="n">
        <v>3.8</v>
      </c>
      <c r="E85" s="247" t="n">
        <v>1.15</v>
      </c>
      <c r="F85" s="247" t="n">
        <v>2.8</v>
      </c>
      <c r="G85" s="247" t="inlineStr">
        <is>
          <t>Medium</t>
        </is>
      </c>
      <c r="H85" s="247" t="inlineStr">
        <is>
          <t>TMS; WMS; route optimization; GPS/fleet management; ERP; customer portal; fuel/procurement systems; BI</t>
        </is>
      </c>
      <c r="I85" s="247" t="inlineStr">
        <is>
          <t>fleet/warehouse visibility; route disruption plan; carrier alternatives; fuel continuity; driver availability; customer notification</t>
        </is>
      </c>
      <c r="J85" s="247" t="n">
        <v>1.1</v>
      </c>
      <c r="K85" s="247" t="inlineStr">
        <is>
          <t>High confidence requires documented owner, current evidence, recent KPI/report and crisis-tested procedure for material domains.</t>
        </is>
      </c>
      <c r="L85" s="247" t="inlineStr">
        <is>
          <t>Supply Chain and Delivery Resilience Strategy; Operational Excellence and Automation Strategy; Business Continuity and Resilience Strategy</t>
        </is>
      </c>
    </row>
    <row r="86" ht="42.75" customHeight="1" s="209">
      <c r="A86" s="43" t="inlineStr">
        <is>
          <t>Logistics / Distribution</t>
        </is>
      </c>
      <c r="B86" s="43" t="inlineStr">
        <is>
          <t>Business Systems</t>
        </is>
      </c>
      <c r="C86" s="43" t="n">
        <v>4</v>
      </c>
      <c r="D86" s="43" t="n">
        <v>4</v>
      </c>
      <c r="E86" s="43" t="n">
        <v>1.2</v>
      </c>
      <c r="F86" s="43" t="n">
        <v>3</v>
      </c>
      <c r="G86" s="43" t="inlineStr">
        <is>
          <t>Medium</t>
        </is>
      </c>
      <c r="H86" s="43" t="inlineStr">
        <is>
          <t>TMS; WMS; route optimization; GPS/fleet management; ERP; customer portal; fuel/procurement systems; BI</t>
        </is>
      </c>
      <c r="I86" s="43" t="inlineStr">
        <is>
          <t>fleet/warehouse visibility; route disruption plan; carrier alternatives; fuel continuity; driver availability; customer notification</t>
        </is>
      </c>
      <c r="J86" s="43" t="n">
        <v>1.15</v>
      </c>
      <c r="K86" s="43" t="inlineStr">
        <is>
          <t>High confidence requires documented owner, current evidence, recent KPI/report and crisis-tested procedure for material domains.</t>
        </is>
      </c>
      <c r="L86" s="43" t="inlineStr">
        <is>
          <t>Supply Chain and Delivery Resilience Strategy; Operational Excellence and Automation Strategy; Business Continuity and Resilience Strategy</t>
        </is>
      </c>
    </row>
    <row r="87" ht="42.75" customHeight="1" s="209">
      <c r="A87" s="247" t="inlineStr">
        <is>
          <t>Logistics / Distribution</t>
        </is>
      </c>
      <c r="B87" s="247" t="inlineStr">
        <is>
          <t>Data BI AI</t>
        </is>
      </c>
      <c r="C87" s="247" t="n">
        <v>4</v>
      </c>
      <c r="D87" s="247" t="n">
        <v>3.8</v>
      </c>
      <c r="E87" s="247" t="n">
        <v>1.15</v>
      </c>
      <c r="F87" s="247" t="n">
        <v>2.8</v>
      </c>
      <c r="G87" s="247" t="inlineStr">
        <is>
          <t>Medium</t>
        </is>
      </c>
      <c r="H87" s="247" t="inlineStr">
        <is>
          <t>TMS; WMS; route optimization; GPS/fleet management; ERP; customer portal; fuel/procurement systems; BI</t>
        </is>
      </c>
      <c r="I87" s="247" t="inlineStr">
        <is>
          <t>fleet/warehouse visibility; route disruption plan; carrier alternatives; fuel continuity; driver availability; customer notification</t>
        </is>
      </c>
      <c r="J87" s="247" t="n">
        <v>1.1</v>
      </c>
      <c r="K87" s="247" t="inlineStr">
        <is>
          <t>High confidence requires documented owner, current evidence, recent KPI/report and crisis-tested procedure for material domains.</t>
        </is>
      </c>
      <c r="L87" s="247" t="inlineStr">
        <is>
          <t>Supply Chain and Delivery Resilience Strategy; Operational Excellence and Automation Strategy; Business Continuity and Resilience Strategy</t>
        </is>
      </c>
    </row>
    <row r="88" ht="42.75" customHeight="1" s="209">
      <c r="A88" s="43" t="inlineStr">
        <is>
          <t>Logistics / Distribution</t>
        </is>
      </c>
      <c r="B88" s="43" t="inlineStr">
        <is>
          <t>Cyber Privacy</t>
        </is>
      </c>
      <c r="C88" s="43" t="n">
        <v>3</v>
      </c>
      <c r="D88" s="43" t="n">
        <v>4</v>
      </c>
      <c r="E88" s="43" t="n">
        <v>1.15</v>
      </c>
      <c r="F88" s="43" t="n">
        <v>3</v>
      </c>
      <c r="G88" s="43" t="inlineStr">
        <is>
          <t>Medium</t>
        </is>
      </c>
      <c r="H88" s="43" t="inlineStr">
        <is>
          <t>TMS; WMS; route optimization; GPS/fleet management; ERP; customer portal; fuel/procurement systems; BI</t>
        </is>
      </c>
      <c r="I88" s="43" t="inlineStr">
        <is>
          <t>fleet/warehouse visibility; route disruption plan; carrier alternatives; fuel continuity; driver availability; customer notification</t>
        </is>
      </c>
      <c r="J88" s="43" t="n">
        <v>1.1</v>
      </c>
      <c r="K88" s="43" t="inlineStr">
        <is>
          <t>High confidence requires documented owner, current evidence, recent KPI/report and crisis-tested procedure for material domains.</t>
        </is>
      </c>
      <c r="L88" s="43" t="inlineStr">
        <is>
          <t>Supply Chain and Delivery Resilience Strategy; Operational Excellence and Automation Strategy; Business Continuity and Resilience Strategy</t>
        </is>
      </c>
    </row>
    <row r="89" ht="42.75" customHeight="1" s="209">
      <c r="A89" s="247" t="inlineStr">
        <is>
          <t>Logistics / Distribution</t>
        </is>
      </c>
      <c r="B89" s="247" t="inlineStr">
        <is>
          <t>Quality Portfolio</t>
        </is>
      </c>
      <c r="C89" s="247" t="n">
        <v>3</v>
      </c>
      <c r="D89" s="247" t="n">
        <v>3.5</v>
      </c>
      <c r="E89" s="247" t="n">
        <v>1</v>
      </c>
      <c r="F89" s="247" t="n">
        <v>2.5</v>
      </c>
      <c r="G89" s="247" t="inlineStr">
        <is>
          <t>Low</t>
        </is>
      </c>
      <c r="H89" s="247" t="inlineStr">
        <is>
          <t>TMS; WMS; route optimization; GPS/fleet management; ERP; customer portal; fuel/procurement systems; BI</t>
        </is>
      </c>
      <c r="I89" s="247" t="inlineStr">
        <is>
          <t>fleet/warehouse visibility; route disruption plan; carrier alternatives; fuel continuity; driver availability; customer notification</t>
        </is>
      </c>
      <c r="J89" s="247" t="n">
        <v>1</v>
      </c>
      <c r="K89" s="247" t="inlineStr">
        <is>
          <t>High confidence requires documented owner, current evidence, recent KPI/report and crisis-tested procedure for material domains.</t>
        </is>
      </c>
      <c r="L89" s="247" t="inlineStr">
        <is>
          <t>Supply Chain and Delivery Resilience Strategy; Operational Excellence and Automation Strategy; Business Continuity and Resilience Strategy</t>
        </is>
      </c>
    </row>
    <row r="90" ht="42.75" customHeight="1" s="209">
      <c r="A90" s="43" t="inlineStr">
        <is>
          <t>Healthcare / Pharma</t>
        </is>
      </c>
      <c r="B90" s="43" t="inlineStr">
        <is>
          <t>Company Geography</t>
        </is>
      </c>
      <c r="C90" s="43" t="n">
        <v>3</v>
      </c>
      <c r="D90" s="43" t="n">
        <v>3.5</v>
      </c>
      <c r="E90" s="43" t="n">
        <v>1</v>
      </c>
      <c r="F90" s="43" t="n">
        <v>2.5</v>
      </c>
      <c r="G90" s="43" t="inlineStr">
        <is>
          <t>Low</t>
        </is>
      </c>
      <c r="H90" s="43" t="inlineStr">
        <is>
          <t>EHR/EMR; LIMS; QMS; ERP; privacy/security tooling; validated systems; incident reporting; BI; backup/DR</t>
        </is>
      </c>
      <c r="I90" s="43" t="inlineStr">
        <is>
          <t>data privacy; regulatory compliance; validated systems; incident reporting; quality documentation; continuity of critical patient/product processes</t>
        </is>
      </c>
      <c r="J90" s="43" t="n">
        <v>1</v>
      </c>
      <c r="K90" s="43" t="inlineStr">
        <is>
          <t>High confidence requires documented owner, current evidence, recent KPI/report and crisis-tested procedure for material domains.</t>
        </is>
      </c>
      <c r="L90" s="43" t="inlineStr">
        <is>
          <t>Compliance and Risk Control Strategy; Cyber Resilience Strategy; Data Governance and AI Readiness Strategy</t>
        </is>
      </c>
    </row>
    <row r="91" ht="42.75" customHeight="1" s="209">
      <c r="A91" s="247" t="inlineStr">
        <is>
          <t>Healthcare / Pharma</t>
        </is>
      </c>
      <c r="B91" s="247" t="inlineStr">
        <is>
          <t>Strategy GTM</t>
        </is>
      </c>
      <c r="C91" s="247" t="n">
        <v>3</v>
      </c>
      <c r="D91" s="247" t="n">
        <v>3.5</v>
      </c>
      <c r="E91" s="247" t="n">
        <v>1</v>
      </c>
      <c r="F91" s="247" t="n">
        <v>2.5</v>
      </c>
      <c r="G91" s="247" t="inlineStr">
        <is>
          <t>Low</t>
        </is>
      </c>
      <c r="H91" s="247" t="inlineStr">
        <is>
          <t>EHR/EMR; LIMS; QMS; ERP; privacy/security tooling; validated systems; incident reporting; BI; backup/DR</t>
        </is>
      </c>
      <c r="I91" s="247" t="inlineStr">
        <is>
          <t>data privacy; regulatory compliance; validated systems; incident reporting; quality documentation; continuity of critical patient/product processes</t>
        </is>
      </c>
      <c r="J91" s="247" t="n">
        <v>1</v>
      </c>
      <c r="K91" s="247" t="inlineStr">
        <is>
          <t>High confidence requires documented owner, current evidence, recent KPI/report and crisis-tested procedure for material domains.</t>
        </is>
      </c>
      <c r="L91" s="247" t="inlineStr">
        <is>
          <t>Compliance and Risk Control Strategy; Cyber Resilience Strategy; Data Governance and AI Readiness Strategy</t>
        </is>
      </c>
    </row>
    <row r="92" ht="42.75" customHeight="1" s="209">
      <c r="A92" s="43" t="inlineStr">
        <is>
          <t>Healthcare / Pharma</t>
        </is>
      </c>
      <c r="B92" s="43" t="inlineStr">
        <is>
          <t>Governance Crisis</t>
        </is>
      </c>
      <c r="C92" s="43" t="n">
        <v>3</v>
      </c>
      <c r="D92" s="43" t="n">
        <v>4</v>
      </c>
      <c r="E92" s="43" t="n">
        <v>1.15</v>
      </c>
      <c r="F92" s="43" t="n">
        <v>3</v>
      </c>
      <c r="G92" s="43" t="inlineStr">
        <is>
          <t>Medium</t>
        </is>
      </c>
      <c r="H92" s="43" t="inlineStr">
        <is>
          <t>EHR/EMR; LIMS; QMS; ERP; privacy/security tooling; validated systems; incident reporting; BI; backup/DR</t>
        </is>
      </c>
      <c r="I92" s="43" t="inlineStr">
        <is>
          <t>data privacy; regulatory compliance; validated systems; incident reporting; quality documentation; continuity of critical patient/product processes</t>
        </is>
      </c>
      <c r="J92" s="43" t="n">
        <v>1.1</v>
      </c>
      <c r="K92" s="43" t="inlineStr">
        <is>
          <t>High confidence requires documented owner, current evidence, recent KPI/report and crisis-tested procedure for material domains.</t>
        </is>
      </c>
      <c r="L92" s="43" t="inlineStr">
        <is>
          <t>Compliance and Risk Control Strategy; Cyber Resilience Strategy; Data Governance and AI Readiness Strategy</t>
        </is>
      </c>
    </row>
    <row r="93" ht="42.75" customHeight="1" s="209">
      <c r="A93" s="247" t="inlineStr">
        <is>
          <t>Healthcare / Pharma</t>
        </is>
      </c>
      <c r="B93" s="247" t="inlineStr">
        <is>
          <t>HR Workforce</t>
        </is>
      </c>
      <c r="C93" s="247" t="n">
        <v>3</v>
      </c>
      <c r="D93" s="247" t="n">
        <v>3.5</v>
      </c>
      <c r="E93" s="247" t="n">
        <v>1</v>
      </c>
      <c r="F93" s="247" t="n">
        <v>2.5</v>
      </c>
      <c r="G93" s="247" t="inlineStr">
        <is>
          <t>Low</t>
        </is>
      </c>
      <c r="H93" s="247" t="inlineStr">
        <is>
          <t>EHR/EMR; LIMS; QMS; ERP; privacy/security tooling; validated systems; incident reporting; BI; backup/DR</t>
        </is>
      </c>
      <c r="I93" s="247" t="inlineStr">
        <is>
          <t>data privacy; regulatory compliance; validated systems; incident reporting; quality documentation; continuity of critical patient/product processes</t>
        </is>
      </c>
      <c r="J93" s="247" t="n">
        <v>1</v>
      </c>
      <c r="K93" s="247" t="inlineStr">
        <is>
          <t>High confidence requires documented owner, current evidence, recent KPI/report and crisis-tested procedure for material domains.</t>
        </is>
      </c>
      <c r="L93" s="247" t="inlineStr">
        <is>
          <t>Compliance and Risk Control Strategy; Cyber Resilience Strategy; Data Governance and AI Readiness Strategy</t>
        </is>
      </c>
    </row>
    <row r="94" ht="42.75" customHeight="1" s="209">
      <c r="A94" s="43" t="inlineStr">
        <is>
          <t>Healthcare / Pharma</t>
        </is>
      </c>
      <c r="B94" s="43" t="inlineStr">
        <is>
          <t>Finance Procurement</t>
        </is>
      </c>
      <c r="C94" s="43" t="n">
        <v>3</v>
      </c>
      <c r="D94" s="43" t="n">
        <v>3.5</v>
      </c>
      <c r="E94" s="43" t="n">
        <v>1</v>
      </c>
      <c r="F94" s="43" t="n">
        <v>2.5</v>
      </c>
      <c r="G94" s="43" t="inlineStr">
        <is>
          <t>Low</t>
        </is>
      </c>
      <c r="H94" s="43" t="inlineStr">
        <is>
          <t>EHR/EMR; LIMS; QMS; ERP; privacy/security tooling; validated systems; incident reporting; BI; backup/DR</t>
        </is>
      </c>
      <c r="I94" s="43" t="inlineStr">
        <is>
          <t>data privacy; regulatory compliance; validated systems; incident reporting; quality documentation; continuity of critical patient/product processes</t>
        </is>
      </c>
      <c r="J94" s="43" t="n">
        <v>1</v>
      </c>
      <c r="K94" s="43" t="inlineStr">
        <is>
          <t>High confidence requires documented owner, current evidence, recent KPI/report and crisis-tested procedure for material domains.</t>
        </is>
      </c>
      <c r="L94" s="43" t="inlineStr">
        <is>
          <t>Compliance and Risk Control Strategy; Cyber Resilience Strategy; Data Governance and AI Readiness Strategy</t>
        </is>
      </c>
    </row>
    <row r="95" ht="42.75" customHeight="1" s="209">
      <c r="A95" s="247" t="inlineStr">
        <is>
          <t>Healthcare / Pharma</t>
        </is>
      </c>
      <c r="B95" s="247" t="inlineStr">
        <is>
          <t>Legal Risk</t>
        </is>
      </c>
      <c r="C95" s="247" t="n">
        <v>5</v>
      </c>
      <c r="D95" s="247" t="n">
        <v>4.5</v>
      </c>
      <c r="E95" s="247" t="n">
        <v>1.45</v>
      </c>
      <c r="F95" s="247" t="n">
        <v>3.5</v>
      </c>
      <c r="G95" s="247" t="inlineStr">
        <is>
          <t>High</t>
        </is>
      </c>
      <c r="H95" s="247" t="inlineStr">
        <is>
          <t>EHR/EMR; LIMS; QMS; ERP; privacy/security tooling; validated systems; incident reporting; BI; backup/DR</t>
        </is>
      </c>
      <c r="I95" s="247" t="inlineStr">
        <is>
          <t>data privacy; regulatory compliance; validated systems; incident reporting; quality documentation; continuity of critical patient/product processes</t>
        </is>
      </c>
      <c r="J95" s="247" t="n">
        <v>1.3</v>
      </c>
      <c r="K95" s="247" t="inlineStr">
        <is>
          <t>High confidence requires documented owner, current evidence, recent KPI/report and crisis-tested procedure for material domains.</t>
        </is>
      </c>
      <c r="L95" s="247" t="inlineStr">
        <is>
          <t>Compliance and Risk Control Strategy; Cyber Resilience Strategy; Data Governance and AI Readiness Strategy</t>
        </is>
      </c>
    </row>
    <row r="96" ht="42.75" customHeight="1" s="209">
      <c r="A96" s="43" t="inlineStr">
        <is>
          <t>Healthcare / Pharma</t>
        </is>
      </c>
      <c r="B96" s="43" t="inlineStr">
        <is>
          <t>Physical Safety</t>
        </is>
      </c>
      <c r="C96" s="43" t="n">
        <v>5</v>
      </c>
      <c r="D96" s="43" t="n">
        <v>4.3</v>
      </c>
      <c r="E96" s="43" t="n">
        <v>1.35</v>
      </c>
      <c r="F96" s="43" t="n">
        <v>3.3</v>
      </c>
      <c r="G96" s="43" t="inlineStr">
        <is>
          <t>High</t>
        </is>
      </c>
      <c r="H96" s="43" t="inlineStr">
        <is>
          <t>EHR/EMR; LIMS; QMS; ERP; privacy/security tooling; validated systems; incident reporting; BI; backup/DR</t>
        </is>
      </c>
      <c r="I96" s="43" t="inlineStr">
        <is>
          <t>data privacy; regulatory compliance; validated systems; incident reporting; quality documentation; continuity of critical patient/product processes</t>
        </is>
      </c>
      <c r="J96" s="43" t="n">
        <v>1.25</v>
      </c>
      <c r="K96" s="43" t="inlineStr">
        <is>
          <t>High confidence requires documented owner, current evidence, recent KPI/report and crisis-tested procedure for material domains.</t>
        </is>
      </c>
      <c r="L96" s="43" t="inlineStr">
        <is>
          <t>Compliance and Risk Control Strategy; Cyber Resilience Strategy; Data Governance and AI Readiness Strategy</t>
        </is>
      </c>
    </row>
    <row r="97" ht="42.75" customHeight="1" s="209">
      <c r="A97" s="247" t="inlineStr">
        <is>
          <t>Healthcare / Pharma</t>
        </is>
      </c>
      <c r="B97" s="247" t="inlineStr">
        <is>
          <t>Delivery Ops</t>
        </is>
      </c>
      <c r="C97" s="247" t="n">
        <v>3</v>
      </c>
      <c r="D97" s="247" t="n">
        <v>3.5</v>
      </c>
      <c r="E97" s="247" t="n">
        <v>1</v>
      </c>
      <c r="F97" s="247" t="n">
        <v>2.5</v>
      </c>
      <c r="G97" s="247" t="inlineStr">
        <is>
          <t>Low</t>
        </is>
      </c>
      <c r="H97" s="247" t="inlineStr">
        <is>
          <t>EHR/EMR; LIMS; QMS; ERP; privacy/security tooling; validated systems; incident reporting; BI; backup/DR</t>
        </is>
      </c>
      <c r="I97" s="247" t="inlineStr">
        <is>
          <t>data privacy; regulatory compliance; validated systems; incident reporting; quality documentation; continuity of critical patient/product processes</t>
        </is>
      </c>
      <c r="J97" s="247" t="n">
        <v>1</v>
      </c>
      <c r="K97" s="247" t="inlineStr">
        <is>
          <t>High confidence requires documented owner, current evidence, recent KPI/report and crisis-tested procedure for material domains.</t>
        </is>
      </c>
      <c r="L97" s="247" t="inlineStr">
        <is>
          <t>Compliance and Risk Control Strategy; Cyber Resilience Strategy; Data Governance and AI Readiness Strategy</t>
        </is>
      </c>
    </row>
    <row r="98" ht="42.75" customHeight="1" s="209">
      <c r="A98" s="43" t="inlineStr">
        <is>
          <t>Healthcare / Pharma</t>
        </is>
      </c>
      <c r="B98" s="43" t="inlineStr">
        <is>
          <t>Supply Chain</t>
        </is>
      </c>
      <c r="C98" s="43" t="n">
        <v>4</v>
      </c>
      <c r="D98" s="43" t="n">
        <v>4</v>
      </c>
      <c r="E98" s="43" t="n">
        <v>1.2</v>
      </c>
      <c r="F98" s="43" t="n">
        <v>3</v>
      </c>
      <c r="G98" s="43" t="inlineStr">
        <is>
          <t>Medium</t>
        </is>
      </c>
      <c r="H98" s="43" t="inlineStr">
        <is>
          <t>EHR/EMR; LIMS; QMS; ERP; privacy/security tooling; validated systems; incident reporting; BI; backup/DR</t>
        </is>
      </c>
      <c r="I98" s="43" t="inlineStr">
        <is>
          <t>data privacy; regulatory compliance; validated systems; incident reporting; quality documentation; continuity of critical patient/product processes</t>
        </is>
      </c>
      <c r="J98" s="43" t="n">
        <v>1.15</v>
      </c>
      <c r="K98" s="43" t="inlineStr">
        <is>
          <t>High confidence requires documented owner, current evidence, recent KPI/report and crisis-tested procedure for material domains.</t>
        </is>
      </c>
      <c r="L98" s="43" t="inlineStr">
        <is>
          <t>Compliance and Risk Control Strategy; Cyber Resilience Strategy; Data Governance and AI Readiness Strategy</t>
        </is>
      </c>
    </row>
    <row r="99" ht="42.75" customHeight="1" s="209">
      <c r="A99" s="247" t="inlineStr">
        <is>
          <t>Healthcare / Pharma</t>
        </is>
      </c>
      <c r="B99" s="247" t="inlineStr">
        <is>
          <t>Manufacturing MES</t>
        </is>
      </c>
      <c r="C99" s="247" t="n">
        <v>3</v>
      </c>
      <c r="D99" s="247" t="n">
        <v>3.5</v>
      </c>
      <c r="E99" s="247" t="n">
        <v>1</v>
      </c>
      <c r="F99" s="247" t="n">
        <v>2.5</v>
      </c>
      <c r="G99" s="247" t="inlineStr">
        <is>
          <t>Low</t>
        </is>
      </c>
      <c r="H99" s="247" t="inlineStr">
        <is>
          <t>EHR/EMR; LIMS; QMS; ERP; privacy/security tooling; validated systems; incident reporting; BI; backup/DR</t>
        </is>
      </c>
      <c r="I99" s="247" t="inlineStr">
        <is>
          <t>data privacy; regulatory compliance; validated systems; incident reporting; quality documentation; continuity of critical patient/product processes</t>
        </is>
      </c>
      <c r="J99" s="247" t="n">
        <v>1</v>
      </c>
      <c r="K99" s="247" t="inlineStr">
        <is>
          <t>High confidence requires documented owner, current evidence, recent KPI/report and crisis-tested procedure for material domains.</t>
        </is>
      </c>
      <c r="L99" s="247" t="inlineStr">
        <is>
          <t>Compliance and Risk Control Strategy; Cyber Resilience Strategy; Data Governance and AI Readiness Strategy</t>
        </is>
      </c>
    </row>
    <row r="100" ht="42.75" customHeight="1" s="209">
      <c r="A100" s="43" t="inlineStr">
        <is>
          <t>Healthcare / Pharma</t>
        </is>
      </c>
      <c r="B100" s="43" t="inlineStr">
        <is>
          <t>Sales CRM</t>
        </is>
      </c>
      <c r="C100" s="43" t="n">
        <v>3</v>
      </c>
      <c r="D100" s="43" t="n">
        <v>3.5</v>
      </c>
      <c r="E100" s="43" t="n">
        <v>1</v>
      </c>
      <c r="F100" s="43" t="n">
        <v>2.5</v>
      </c>
      <c r="G100" s="43" t="inlineStr">
        <is>
          <t>Low</t>
        </is>
      </c>
      <c r="H100" s="43" t="inlineStr">
        <is>
          <t>EHR/EMR; LIMS; QMS; ERP; privacy/security tooling; validated systems; incident reporting; BI; backup/DR</t>
        </is>
      </c>
      <c r="I100" s="43" t="inlineStr">
        <is>
          <t>data privacy; regulatory compliance; validated systems; incident reporting; quality documentation; continuity of critical patient/product processes</t>
        </is>
      </c>
      <c r="J100" s="43" t="n">
        <v>1</v>
      </c>
      <c r="K100" s="43" t="inlineStr">
        <is>
          <t>High confidence requires documented owner, current evidence, recent KPI/report and crisis-tested procedure for material domains.</t>
        </is>
      </c>
      <c r="L100" s="43" t="inlineStr">
        <is>
          <t>Compliance and Risk Control Strategy; Cyber Resilience Strategy; Data Governance and AI Readiness Strategy</t>
        </is>
      </c>
    </row>
    <row r="101" ht="42.75" customHeight="1" s="209">
      <c r="A101" s="247" t="inlineStr">
        <is>
          <t>Healthcare / Pharma</t>
        </is>
      </c>
      <c r="B101" s="247" t="inlineStr">
        <is>
          <t>Marketing Comms</t>
        </is>
      </c>
      <c r="C101" s="247" t="n">
        <v>3</v>
      </c>
      <c r="D101" s="247" t="n">
        <v>3.5</v>
      </c>
      <c r="E101" s="247" t="n">
        <v>1</v>
      </c>
      <c r="F101" s="247" t="n">
        <v>2.5</v>
      </c>
      <c r="G101" s="247" t="inlineStr">
        <is>
          <t>Low</t>
        </is>
      </c>
      <c r="H101" s="247" t="inlineStr">
        <is>
          <t>EHR/EMR; LIMS; QMS; ERP; privacy/security tooling; validated systems; incident reporting; BI; backup/DR</t>
        </is>
      </c>
      <c r="I101" s="247" t="inlineStr">
        <is>
          <t>data privacy; regulatory compliance; validated systems; incident reporting; quality documentation; continuity of critical patient/product processes</t>
        </is>
      </c>
      <c r="J101" s="247" t="n">
        <v>1</v>
      </c>
      <c r="K101" s="247" t="inlineStr">
        <is>
          <t>High confidence requires documented owner, current evidence, recent KPI/report and crisis-tested procedure for material domains.</t>
        </is>
      </c>
      <c r="L101" s="247" t="inlineStr">
        <is>
          <t>Compliance and Risk Control Strategy; Cyber Resilience Strategy; Data Governance and AI Readiness Strategy</t>
        </is>
      </c>
    </row>
    <row r="102" ht="42.75" customHeight="1" s="209">
      <c r="A102" s="43" t="inlineStr">
        <is>
          <t>Healthcare / Pharma</t>
        </is>
      </c>
      <c r="B102" s="43" t="inlineStr">
        <is>
          <t>IT Cloud DR</t>
        </is>
      </c>
      <c r="C102" s="43" t="n">
        <v>3</v>
      </c>
      <c r="D102" s="43" t="n">
        <v>4</v>
      </c>
      <c r="E102" s="43" t="n">
        <v>1.15</v>
      </c>
      <c r="F102" s="43" t="n">
        <v>3</v>
      </c>
      <c r="G102" s="43" t="inlineStr">
        <is>
          <t>Medium</t>
        </is>
      </c>
      <c r="H102" s="43" t="inlineStr">
        <is>
          <t>EHR/EMR; LIMS; QMS; ERP; privacy/security tooling; validated systems; incident reporting; BI; backup/DR</t>
        </is>
      </c>
      <c r="I102" s="43" t="inlineStr">
        <is>
          <t>data privacy; regulatory compliance; validated systems; incident reporting; quality documentation; continuity of critical patient/product processes</t>
        </is>
      </c>
      <c r="J102" s="43" t="n">
        <v>1.1</v>
      </c>
      <c r="K102" s="43" t="inlineStr">
        <is>
          <t>High confidence requires documented owner, current evidence, recent KPI/report and crisis-tested procedure for material domains.</t>
        </is>
      </c>
      <c r="L102" s="43" t="inlineStr">
        <is>
          <t>Compliance and Risk Control Strategy; Cyber Resilience Strategy; Data Governance and AI Readiness Strategy</t>
        </is>
      </c>
    </row>
    <row r="103" ht="42.75" customHeight="1" s="209">
      <c r="A103" s="247" t="inlineStr">
        <is>
          <t>Healthcare / Pharma</t>
        </is>
      </c>
      <c r="B103" s="247" t="inlineStr">
        <is>
          <t>Business Systems</t>
        </is>
      </c>
      <c r="C103" s="247" t="n">
        <v>4</v>
      </c>
      <c r="D103" s="247" t="n">
        <v>4.2</v>
      </c>
      <c r="E103" s="247" t="n">
        <v>1.25</v>
      </c>
      <c r="F103" s="247" t="n">
        <v>3.2</v>
      </c>
      <c r="G103" s="247" t="inlineStr">
        <is>
          <t>Medium</t>
        </is>
      </c>
      <c r="H103" s="247" t="inlineStr">
        <is>
          <t>EHR/EMR; LIMS; QMS; ERP; privacy/security tooling; validated systems; incident reporting; BI; backup/DR</t>
        </is>
      </c>
      <c r="I103" s="247" t="inlineStr">
        <is>
          <t>data privacy; regulatory compliance; validated systems; incident reporting; quality documentation; continuity of critical patient/product processes</t>
        </is>
      </c>
      <c r="J103" s="247" t="n">
        <v>1.2</v>
      </c>
      <c r="K103" s="247" t="inlineStr">
        <is>
          <t>High confidence requires documented owner, current evidence, recent KPI/report and crisis-tested procedure for material domains.</t>
        </is>
      </c>
      <c r="L103" s="247" t="inlineStr">
        <is>
          <t>Compliance and Risk Control Strategy; Cyber Resilience Strategy; Data Governance and AI Readiness Strategy</t>
        </is>
      </c>
    </row>
    <row r="104" ht="42.75" customHeight="1" s="209">
      <c r="A104" s="43" t="inlineStr">
        <is>
          <t>Healthcare / Pharma</t>
        </is>
      </c>
      <c r="B104" s="43" t="inlineStr">
        <is>
          <t>Data BI AI</t>
        </is>
      </c>
      <c r="C104" s="43" t="n">
        <v>4</v>
      </c>
      <c r="D104" s="43" t="n">
        <v>4</v>
      </c>
      <c r="E104" s="43" t="n">
        <v>1.2</v>
      </c>
      <c r="F104" s="43" t="n">
        <v>3</v>
      </c>
      <c r="G104" s="43" t="inlineStr">
        <is>
          <t>Medium</t>
        </is>
      </c>
      <c r="H104" s="43" t="inlineStr">
        <is>
          <t>EHR/EMR; LIMS; QMS; ERP; privacy/security tooling; validated systems; incident reporting; BI; backup/DR</t>
        </is>
      </c>
      <c r="I104" s="43" t="inlineStr">
        <is>
          <t>data privacy; regulatory compliance; validated systems; incident reporting; quality documentation; continuity of critical patient/product processes</t>
        </is>
      </c>
      <c r="J104" s="43" t="n">
        <v>1.15</v>
      </c>
      <c r="K104" s="43" t="inlineStr">
        <is>
          <t>High confidence requires documented owner, current evidence, recent KPI/report and crisis-tested procedure for material domains.</t>
        </is>
      </c>
      <c r="L104" s="43" t="inlineStr">
        <is>
          <t>Compliance and Risk Control Strategy; Cyber Resilience Strategy; Data Governance and AI Readiness Strategy</t>
        </is>
      </c>
    </row>
    <row r="105" ht="42.75" customHeight="1" s="209">
      <c r="A105" s="247" t="inlineStr">
        <is>
          <t>Healthcare / Pharma</t>
        </is>
      </c>
      <c r="B105" s="247" t="inlineStr">
        <is>
          <t>Cyber Privacy</t>
        </is>
      </c>
      <c r="C105" s="247" t="n">
        <v>5</v>
      </c>
      <c r="D105" s="247" t="n">
        <v>4.5</v>
      </c>
      <c r="E105" s="247" t="n">
        <v>1.45</v>
      </c>
      <c r="F105" s="247" t="n">
        <v>3.5</v>
      </c>
      <c r="G105" s="247" t="inlineStr">
        <is>
          <t>High</t>
        </is>
      </c>
      <c r="H105" s="247" t="inlineStr">
        <is>
          <t>EHR/EMR; LIMS; QMS; ERP; privacy/security tooling; validated systems; incident reporting; BI; backup/DR</t>
        </is>
      </c>
      <c r="I105" s="247" t="inlineStr">
        <is>
          <t>data privacy; regulatory compliance; validated systems; incident reporting; quality documentation; continuity of critical patient/product processes</t>
        </is>
      </c>
      <c r="J105" s="247" t="n">
        <v>1.3</v>
      </c>
      <c r="K105" s="247" t="inlineStr">
        <is>
          <t>High confidence requires documented owner, current evidence, recent KPI/report and crisis-tested procedure for material domains.</t>
        </is>
      </c>
      <c r="L105" s="247" t="inlineStr">
        <is>
          <t>Compliance and Risk Control Strategy; Cyber Resilience Strategy; Data Governance and AI Readiness Strategy</t>
        </is>
      </c>
    </row>
    <row r="106" ht="42.75" customHeight="1" s="209">
      <c r="A106" s="43" t="inlineStr">
        <is>
          <t>Healthcare / Pharma</t>
        </is>
      </c>
      <c r="B106" s="43" t="inlineStr">
        <is>
          <t>Quality Portfolio</t>
        </is>
      </c>
      <c r="C106" s="43" t="n">
        <v>5</v>
      </c>
      <c r="D106" s="43" t="n">
        <v>4.3</v>
      </c>
      <c r="E106" s="43" t="n">
        <v>1.35</v>
      </c>
      <c r="F106" s="43" t="n">
        <v>3.3</v>
      </c>
      <c r="G106" s="43" t="inlineStr">
        <is>
          <t>High</t>
        </is>
      </c>
      <c r="H106" s="43" t="inlineStr">
        <is>
          <t>EHR/EMR; LIMS; QMS; ERP; privacy/security tooling; validated systems; incident reporting; BI; backup/DR</t>
        </is>
      </c>
      <c r="I106" s="43" t="inlineStr">
        <is>
          <t>data privacy; regulatory compliance; validated systems; incident reporting; quality documentation; continuity of critical patient/product processes</t>
        </is>
      </c>
      <c r="J106" s="43" t="n">
        <v>1.25</v>
      </c>
      <c r="K106" s="43" t="inlineStr">
        <is>
          <t>High confidence requires documented owner, current evidence, recent KPI/report and crisis-tested procedure for material domains.</t>
        </is>
      </c>
      <c r="L106" s="43" t="inlineStr">
        <is>
          <t>Compliance and Risk Control Strategy; Cyber Resilience Strategy; Data Governance and AI Readiness Strategy</t>
        </is>
      </c>
    </row>
    <row r="107" ht="42.75" customHeight="1" s="209">
      <c r="A107" s="247" t="inlineStr">
        <is>
          <t>Energy / Utilities</t>
        </is>
      </c>
      <c r="B107" s="247" t="inlineStr">
        <is>
          <t>Company Geography</t>
        </is>
      </c>
      <c r="C107" s="247" t="n">
        <v>3</v>
      </c>
      <c r="D107" s="247" t="n">
        <v>3.5</v>
      </c>
      <c r="E107" s="247" t="n">
        <v>1</v>
      </c>
      <c r="F107" s="247" t="n">
        <v>2.5</v>
      </c>
      <c r="G107" s="247" t="inlineStr">
        <is>
          <t>Low</t>
        </is>
      </c>
      <c r="H107" s="247" t="inlineStr">
        <is>
          <t>SCADA/OT; ERP; maintenance systems; outage management; GIS; customer billing; cyber monitoring; backup/DR</t>
        </is>
      </c>
      <c r="I107" s="247" t="inlineStr">
        <is>
          <t>OT cyber controls; emergency response; physical safety; outage response; backup communications; critical spares; regulatory reporting</t>
        </is>
      </c>
      <c r="J107" s="247" t="n">
        <v>1</v>
      </c>
      <c r="K107" s="247" t="inlineStr">
        <is>
          <t>High confidence requires documented owner, current evidence, recent KPI/report and crisis-tested procedure for material domains.</t>
        </is>
      </c>
      <c r="L107" s="247" t="inlineStr">
        <is>
          <t>Business Continuity and Resilience Strategy; Cyber Resilience Strategy; Cloud and Infrastructure Resilience Strategy</t>
        </is>
      </c>
    </row>
    <row r="108" ht="42.75" customHeight="1" s="209">
      <c r="A108" s="43" t="inlineStr">
        <is>
          <t>Energy / Utilities</t>
        </is>
      </c>
      <c r="B108" s="43" t="inlineStr">
        <is>
          <t>Strategy GTM</t>
        </is>
      </c>
      <c r="C108" s="43" t="n">
        <v>3</v>
      </c>
      <c r="D108" s="43" t="n">
        <v>3.5</v>
      </c>
      <c r="E108" s="43" t="n">
        <v>1</v>
      </c>
      <c r="F108" s="43" t="n">
        <v>2.5</v>
      </c>
      <c r="G108" s="43" t="inlineStr">
        <is>
          <t>Low</t>
        </is>
      </c>
      <c r="H108" s="43" t="inlineStr">
        <is>
          <t>SCADA/OT; ERP; maintenance systems; outage management; GIS; customer billing; cyber monitoring; backup/DR</t>
        </is>
      </c>
      <c r="I108" s="43" t="inlineStr">
        <is>
          <t>OT cyber controls; emergency response; physical safety; outage response; backup communications; critical spares; regulatory reporting</t>
        </is>
      </c>
      <c r="J108" s="43" t="n">
        <v>1</v>
      </c>
      <c r="K108" s="43" t="inlineStr">
        <is>
          <t>High confidence requires documented owner, current evidence, recent KPI/report and crisis-tested procedure for material domains.</t>
        </is>
      </c>
      <c r="L108" s="43" t="inlineStr">
        <is>
          <t>Business Continuity and Resilience Strategy; Cyber Resilience Strategy; Cloud and Infrastructure Resilience Strategy</t>
        </is>
      </c>
    </row>
    <row r="109" ht="42.75" customHeight="1" s="209">
      <c r="A109" s="247" t="inlineStr">
        <is>
          <t>Energy / Utilities</t>
        </is>
      </c>
      <c r="B109" s="247" t="inlineStr">
        <is>
          <t>Governance Crisis</t>
        </is>
      </c>
      <c r="C109" s="247" t="n">
        <v>5</v>
      </c>
      <c r="D109" s="247" t="n">
        <v>4.5</v>
      </c>
      <c r="E109" s="247" t="n">
        <v>1.45</v>
      </c>
      <c r="F109" s="247" t="n">
        <v>3.5</v>
      </c>
      <c r="G109" s="247" t="inlineStr">
        <is>
          <t>High</t>
        </is>
      </c>
      <c r="H109" s="247" t="inlineStr">
        <is>
          <t>SCADA/OT; ERP; maintenance systems; outage management; GIS; customer billing; cyber monitoring; backup/DR</t>
        </is>
      </c>
      <c r="I109" s="247" t="inlineStr">
        <is>
          <t>OT cyber controls; emergency response; physical safety; outage response; backup communications; critical spares; regulatory reporting</t>
        </is>
      </c>
      <c r="J109" s="247" t="n">
        <v>1.35</v>
      </c>
      <c r="K109" s="247" t="inlineStr">
        <is>
          <t>High confidence requires documented owner, current evidence, recent KPI/report and crisis-tested procedure for material domains.</t>
        </is>
      </c>
      <c r="L109" s="247" t="inlineStr">
        <is>
          <t>Business Continuity and Resilience Strategy; Cyber Resilience Strategy; Cloud and Infrastructure Resilience Strategy</t>
        </is>
      </c>
    </row>
    <row r="110" ht="42.75" customHeight="1" s="209">
      <c r="A110" s="43" t="inlineStr">
        <is>
          <t>Energy / Utilities</t>
        </is>
      </c>
      <c r="B110" s="43" t="inlineStr">
        <is>
          <t>HR Workforce</t>
        </is>
      </c>
      <c r="C110" s="43" t="n">
        <v>3</v>
      </c>
      <c r="D110" s="43" t="n">
        <v>3.5</v>
      </c>
      <c r="E110" s="43" t="n">
        <v>1</v>
      </c>
      <c r="F110" s="43" t="n">
        <v>2.5</v>
      </c>
      <c r="G110" s="43" t="inlineStr">
        <is>
          <t>Low</t>
        </is>
      </c>
      <c r="H110" s="43" t="inlineStr">
        <is>
          <t>SCADA/OT; ERP; maintenance systems; outage management; GIS; customer billing; cyber monitoring; backup/DR</t>
        </is>
      </c>
      <c r="I110" s="43" t="inlineStr">
        <is>
          <t>OT cyber controls; emergency response; physical safety; outage response; backup communications; critical spares; regulatory reporting</t>
        </is>
      </c>
      <c r="J110" s="43" t="n">
        <v>1</v>
      </c>
      <c r="K110" s="43" t="inlineStr">
        <is>
          <t>High confidence requires documented owner, current evidence, recent KPI/report and crisis-tested procedure for material domains.</t>
        </is>
      </c>
      <c r="L110" s="43" t="inlineStr">
        <is>
          <t>Business Continuity and Resilience Strategy; Cyber Resilience Strategy; Cloud and Infrastructure Resilience Strategy</t>
        </is>
      </c>
    </row>
    <row r="111" ht="42.75" customHeight="1" s="209">
      <c r="A111" s="247" t="inlineStr">
        <is>
          <t>Energy / Utilities</t>
        </is>
      </c>
      <c r="B111" s="247" t="inlineStr">
        <is>
          <t>Finance Procurement</t>
        </is>
      </c>
      <c r="C111" s="247" t="n">
        <v>3</v>
      </c>
      <c r="D111" s="247" t="n">
        <v>3.5</v>
      </c>
      <c r="E111" s="247" t="n">
        <v>1</v>
      </c>
      <c r="F111" s="247" t="n">
        <v>2.5</v>
      </c>
      <c r="G111" s="247" t="inlineStr">
        <is>
          <t>Low</t>
        </is>
      </c>
      <c r="H111" s="247" t="inlineStr">
        <is>
          <t>SCADA/OT; ERP; maintenance systems; outage management; GIS; customer billing; cyber monitoring; backup/DR</t>
        </is>
      </c>
      <c r="I111" s="247" t="inlineStr">
        <is>
          <t>OT cyber controls; emergency response; physical safety; outage response; backup communications; critical spares; regulatory reporting</t>
        </is>
      </c>
      <c r="J111" s="247" t="n">
        <v>1</v>
      </c>
      <c r="K111" s="247" t="inlineStr">
        <is>
          <t>High confidence requires documented owner, current evidence, recent KPI/report and crisis-tested procedure for material domains.</t>
        </is>
      </c>
      <c r="L111" s="247" t="inlineStr">
        <is>
          <t>Business Continuity and Resilience Strategy; Cyber Resilience Strategy; Cloud and Infrastructure Resilience Strategy</t>
        </is>
      </c>
    </row>
    <row r="112" ht="42.75" customHeight="1" s="209">
      <c r="A112" s="43" t="inlineStr">
        <is>
          <t>Energy / Utilities</t>
        </is>
      </c>
      <c r="B112" s="43" t="inlineStr">
        <is>
          <t>Legal Risk</t>
        </is>
      </c>
      <c r="C112" s="43" t="n">
        <v>3</v>
      </c>
      <c r="D112" s="43" t="n">
        <v>3.5</v>
      </c>
      <c r="E112" s="43" t="n">
        <v>1</v>
      </c>
      <c r="F112" s="43" t="n">
        <v>2.5</v>
      </c>
      <c r="G112" s="43" t="inlineStr">
        <is>
          <t>Low</t>
        </is>
      </c>
      <c r="H112" s="43" t="inlineStr">
        <is>
          <t>SCADA/OT; ERP; maintenance systems; outage management; GIS; customer billing; cyber monitoring; backup/DR</t>
        </is>
      </c>
      <c r="I112" s="43" t="inlineStr">
        <is>
          <t>OT cyber controls; emergency response; physical safety; outage response; backup communications; critical spares; regulatory reporting</t>
        </is>
      </c>
      <c r="J112" s="43" t="n">
        <v>1</v>
      </c>
      <c r="K112" s="43" t="inlineStr">
        <is>
          <t>High confidence requires documented owner, current evidence, recent KPI/report and crisis-tested procedure for material domains.</t>
        </is>
      </c>
      <c r="L112" s="43" t="inlineStr">
        <is>
          <t>Business Continuity and Resilience Strategy; Cyber Resilience Strategy; Cloud and Infrastructure Resilience Strategy</t>
        </is>
      </c>
    </row>
    <row r="113" ht="42.75" customHeight="1" s="209">
      <c r="A113" s="247" t="inlineStr">
        <is>
          <t>Energy / Utilities</t>
        </is>
      </c>
      <c r="B113" s="247" t="inlineStr">
        <is>
          <t>Physical Safety</t>
        </is>
      </c>
      <c r="C113" s="247" t="n">
        <v>5</v>
      </c>
      <c r="D113" s="247" t="n">
        <v>4.5</v>
      </c>
      <c r="E113" s="247" t="n">
        <v>1.5</v>
      </c>
      <c r="F113" s="247" t="n">
        <v>3.5</v>
      </c>
      <c r="G113" s="247" t="inlineStr">
        <is>
          <t>High</t>
        </is>
      </c>
      <c r="H113" s="247" t="inlineStr">
        <is>
          <t>SCADA/OT; ERP; maintenance systems; outage management; GIS; customer billing; cyber monitoring; backup/DR</t>
        </is>
      </c>
      <c r="I113" s="247" t="inlineStr">
        <is>
          <t>OT cyber controls; emergency response; physical safety; outage response; backup communications; critical spares; regulatory reporting</t>
        </is>
      </c>
      <c r="J113" s="247" t="n">
        <v>1.35</v>
      </c>
      <c r="K113" s="247" t="inlineStr">
        <is>
          <t>High confidence requires documented owner, current evidence, recent KPI/report and crisis-tested procedure for material domains.</t>
        </is>
      </c>
      <c r="L113" s="247" t="inlineStr">
        <is>
          <t>Business Continuity and Resilience Strategy; Cyber Resilience Strategy; Cloud and Infrastructure Resilience Strategy</t>
        </is>
      </c>
    </row>
    <row r="114" ht="42.75" customHeight="1" s="209">
      <c r="A114" s="43" t="inlineStr">
        <is>
          <t>Energy / Utilities</t>
        </is>
      </c>
      <c r="B114" s="43" t="inlineStr">
        <is>
          <t>Delivery Ops</t>
        </is>
      </c>
      <c r="C114" s="43" t="n">
        <v>5</v>
      </c>
      <c r="D114" s="43" t="n">
        <v>4.2</v>
      </c>
      <c r="E114" s="43" t="n">
        <v>1.35</v>
      </c>
      <c r="F114" s="43" t="n">
        <v>3.2</v>
      </c>
      <c r="G114" s="43" t="inlineStr">
        <is>
          <t>High</t>
        </is>
      </c>
      <c r="H114" s="43" t="inlineStr">
        <is>
          <t>SCADA/OT; ERP; maintenance systems; outage management; GIS; customer billing; cyber monitoring; backup/DR</t>
        </is>
      </c>
      <c r="I114" s="43" t="inlineStr">
        <is>
          <t>OT cyber controls; emergency response; physical safety; outage response; backup communications; critical spares; regulatory reporting</t>
        </is>
      </c>
      <c r="J114" s="43" t="n">
        <v>1.25</v>
      </c>
      <c r="K114" s="43" t="inlineStr">
        <is>
          <t>High confidence requires documented owner, current evidence, recent KPI/report and crisis-tested procedure for material domains.</t>
        </is>
      </c>
      <c r="L114" s="43" t="inlineStr">
        <is>
          <t>Business Continuity and Resilience Strategy; Cyber Resilience Strategy; Cloud and Infrastructure Resilience Strategy</t>
        </is>
      </c>
    </row>
    <row r="115" ht="42.75" customHeight="1" s="209">
      <c r="A115" s="247" t="inlineStr">
        <is>
          <t>Energy / Utilities</t>
        </is>
      </c>
      <c r="B115" s="247" t="inlineStr">
        <is>
          <t>Supply Chain</t>
        </is>
      </c>
      <c r="C115" s="247" t="n">
        <v>4</v>
      </c>
      <c r="D115" s="247" t="n">
        <v>4</v>
      </c>
      <c r="E115" s="247" t="n">
        <v>1.25</v>
      </c>
      <c r="F115" s="247" t="n">
        <v>3</v>
      </c>
      <c r="G115" s="247" t="inlineStr">
        <is>
          <t>Medium</t>
        </is>
      </c>
      <c r="H115" s="247" t="inlineStr">
        <is>
          <t>SCADA/OT; ERP; maintenance systems; outage management; GIS; customer billing; cyber monitoring; backup/DR</t>
        </is>
      </c>
      <c r="I115" s="247" t="inlineStr">
        <is>
          <t>OT cyber controls; emergency response; physical safety; outage response; backup communications; critical spares; regulatory reporting</t>
        </is>
      </c>
      <c r="J115" s="247" t="n">
        <v>1.2</v>
      </c>
      <c r="K115" s="247" t="inlineStr">
        <is>
          <t>High confidence requires documented owner, current evidence, recent KPI/report and crisis-tested procedure for material domains.</t>
        </is>
      </c>
      <c r="L115" s="247" t="inlineStr">
        <is>
          <t>Business Continuity and Resilience Strategy; Cyber Resilience Strategy; Cloud and Infrastructure Resilience Strategy</t>
        </is>
      </c>
    </row>
    <row r="116" ht="42.75" customHeight="1" s="209">
      <c r="A116" s="43" t="inlineStr">
        <is>
          <t>Energy / Utilities</t>
        </is>
      </c>
      <c r="B116" s="43" t="inlineStr">
        <is>
          <t>Manufacturing MES</t>
        </is>
      </c>
      <c r="C116" s="43" t="n">
        <v>3</v>
      </c>
      <c r="D116" s="43" t="n">
        <v>3.5</v>
      </c>
      <c r="E116" s="43" t="n">
        <v>1</v>
      </c>
      <c r="F116" s="43" t="n">
        <v>2.5</v>
      </c>
      <c r="G116" s="43" t="inlineStr">
        <is>
          <t>Low</t>
        </is>
      </c>
      <c r="H116" s="43" t="inlineStr">
        <is>
          <t>SCADA/OT; ERP; maintenance systems; outage management; GIS; customer billing; cyber monitoring; backup/DR</t>
        </is>
      </c>
      <c r="I116" s="43" t="inlineStr">
        <is>
          <t>OT cyber controls; emergency response; physical safety; outage response; backup communications; critical spares; regulatory reporting</t>
        </is>
      </c>
      <c r="J116" s="43" t="n">
        <v>1</v>
      </c>
      <c r="K116" s="43" t="inlineStr">
        <is>
          <t>High confidence requires documented owner, current evidence, recent KPI/report and crisis-tested procedure for material domains.</t>
        </is>
      </c>
      <c r="L116" s="43" t="inlineStr">
        <is>
          <t>Business Continuity and Resilience Strategy; Cyber Resilience Strategy; Cloud and Infrastructure Resilience Strategy</t>
        </is>
      </c>
    </row>
    <row r="117" ht="42.75" customHeight="1" s="209">
      <c r="A117" s="247" t="inlineStr">
        <is>
          <t>Energy / Utilities</t>
        </is>
      </c>
      <c r="B117" s="247" t="inlineStr">
        <is>
          <t>Sales CRM</t>
        </is>
      </c>
      <c r="C117" s="247" t="n">
        <v>3</v>
      </c>
      <c r="D117" s="247" t="n">
        <v>3.5</v>
      </c>
      <c r="E117" s="247" t="n">
        <v>1</v>
      </c>
      <c r="F117" s="247" t="n">
        <v>2.5</v>
      </c>
      <c r="G117" s="247" t="inlineStr">
        <is>
          <t>Low</t>
        </is>
      </c>
      <c r="H117" s="247" t="inlineStr">
        <is>
          <t>SCADA/OT; ERP; maintenance systems; outage management; GIS; customer billing; cyber monitoring; backup/DR</t>
        </is>
      </c>
      <c r="I117" s="247" t="inlineStr">
        <is>
          <t>OT cyber controls; emergency response; physical safety; outage response; backup communications; critical spares; regulatory reporting</t>
        </is>
      </c>
      <c r="J117" s="247" t="n">
        <v>1</v>
      </c>
      <c r="K117" s="247" t="inlineStr">
        <is>
          <t>High confidence requires documented owner, current evidence, recent KPI/report and crisis-tested procedure for material domains.</t>
        </is>
      </c>
      <c r="L117" s="247" t="inlineStr">
        <is>
          <t>Business Continuity and Resilience Strategy; Cyber Resilience Strategy; Cloud and Infrastructure Resilience Strategy</t>
        </is>
      </c>
    </row>
    <row r="118" ht="42.75" customHeight="1" s="209">
      <c r="A118" s="43" t="inlineStr">
        <is>
          <t>Energy / Utilities</t>
        </is>
      </c>
      <c r="B118" s="43" t="inlineStr">
        <is>
          <t>Marketing Comms</t>
        </is>
      </c>
      <c r="C118" s="43" t="n">
        <v>3</v>
      </c>
      <c r="D118" s="43" t="n">
        <v>3.5</v>
      </c>
      <c r="E118" s="43" t="n">
        <v>1</v>
      </c>
      <c r="F118" s="43" t="n">
        <v>2.5</v>
      </c>
      <c r="G118" s="43" t="inlineStr">
        <is>
          <t>Low</t>
        </is>
      </c>
      <c r="H118" s="43" t="inlineStr">
        <is>
          <t>SCADA/OT; ERP; maintenance systems; outage management; GIS; customer billing; cyber monitoring; backup/DR</t>
        </is>
      </c>
      <c r="I118" s="43" t="inlineStr">
        <is>
          <t>OT cyber controls; emergency response; physical safety; outage response; backup communications; critical spares; regulatory reporting</t>
        </is>
      </c>
      <c r="J118" s="43" t="n">
        <v>1</v>
      </c>
      <c r="K118" s="43" t="inlineStr">
        <is>
          <t>High confidence requires documented owner, current evidence, recent KPI/report and crisis-tested procedure for material domains.</t>
        </is>
      </c>
      <c r="L118" s="43" t="inlineStr">
        <is>
          <t>Business Continuity and Resilience Strategy; Cyber Resilience Strategy; Cloud and Infrastructure Resilience Strategy</t>
        </is>
      </c>
    </row>
    <row r="119" ht="42.75" customHeight="1" s="209">
      <c r="A119" s="247" t="inlineStr">
        <is>
          <t>Energy / Utilities</t>
        </is>
      </c>
      <c r="B119" s="247" t="inlineStr">
        <is>
          <t>IT Cloud DR</t>
        </is>
      </c>
      <c r="C119" s="247" t="n">
        <v>5</v>
      </c>
      <c r="D119" s="247" t="n">
        <v>4.3</v>
      </c>
      <c r="E119" s="247" t="n">
        <v>1.35</v>
      </c>
      <c r="F119" s="247" t="n">
        <v>3.3</v>
      </c>
      <c r="G119" s="247" t="inlineStr">
        <is>
          <t>High</t>
        </is>
      </c>
      <c r="H119" s="247" t="inlineStr">
        <is>
          <t>SCADA/OT; ERP; maintenance systems; outage management; GIS; customer billing; cyber monitoring; backup/DR</t>
        </is>
      </c>
      <c r="I119" s="247" t="inlineStr">
        <is>
          <t>OT cyber controls; emergency response; physical safety; outage response; backup communications; critical spares; regulatory reporting</t>
        </is>
      </c>
      <c r="J119" s="247" t="n">
        <v>1.25</v>
      </c>
      <c r="K119" s="247" t="inlineStr">
        <is>
          <t>High confidence requires documented owner, current evidence, recent KPI/report and crisis-tested procedure for material domains.</t>
        </is>
      </c>
      <c r="L119" s="247" t="inlineStr">
        <is>
          <t>Business Continuity and Resilience Strategy; Cyber Resilience Strategy; Cloud and Infrastructure Resilience Strategy</t>
        </is>
      </c>
    </row>
    <row r="120" ht="42.75" customHeight="1" s="209">
      <c r="A120" s="43" t="inlineStr">
        <is>
          <t>Energy / Utilities</t>
        </is>
      </c>
      <c r="B120" s="43" t="inlineStr">
        <is>
          <t>Business Systems</t>
        </is>
      </c>
      <c r="C120" s="43" t="n">
        <v>3</v>
      </c>
      <c r="D120" s="43" t="n">
        <v>3.5</v>
      </c>
      <c r="E120" s="43" t="n">
        <v>1</v>
      </c>
      <c r="F120" s="43" t="n">
        <v>2.5</v>
      </c>
      <c r="G120" s="43" t="inlineStr">
        <is>
          <t>Low</t>
        </is>
      </c>
      <c r="H120" s="43" t="inlineStr">
        <is>
          <t>SCADA/OT; ERP; maintenance systems; outage management; GIS; customer billing; cyber monitoring; backup/DR</t>
        </is>
      </c>
      <c r="I120" s="43" t="inlineStr">
        <is>
          <t>OT cyber controls; emergency response; physical safety; outage response; backup communications; critical spares; regulatory reporting</t>
        </is>
      </c>
      <c r="J120" s="43" t="n">
        <v>1</v>
      </c>
      <c r="K120" s="43" t="inlineStr">
        <is>
          <t>High confidence requires documented owner, current evidence, recent KPI/report and crisis-tested procedure for material domains.</t>
        </is>
      </c>
      <c r="L120" s="43" t="inlineStr">
        <is>
          <t>Business Continuity and Resilience Strategy; Cyber Resilience Strategy; Cloud and Infrastructure Resilience Strategy</t>
        </is>
      </c>
    </row>
    <row r="121" ht="42.75" customHeight="1" s="209">
      <c r="A121" s="247" t="inlineStr">
        <is>
          <t>Energy / Utilities</t>
        </is>
      </c>
      <c r="B121" s="247" t="inlineStr">
        <is>
          <t>Data BI AI</t>
        </is>
      </c>
      <c r="C121" s="247" t="n">
        <v>3</v>
      </c>
      <c r="D121" s="247" t="n">
        <v>3.5</v>
      </c>
      <c r="E121" s="247" t="n">
        <v>1</v>
      </c>
      <c r="F121" s="247" t="n">
        <v>2.5</v>
      </c>
      <c r="G121" s="247" t="inlineStr">
        <is>
          <t>Low</t>
        </is>
      </c>
      <c r="H121" s="247" t="inlineStr">
        <is>
          <t>SCADA/OT; ERP; maintenance systems; outage management; GIS; customer billing; cyber monitoring; backup/DR</t>
        </is>
      </c>
      <c r="I121" s="247" t="inlineStr">
        <is>
          <t>OT cyber controls; emergency response; physical safety; outage response; backup communications; critical spares; regulatory reporting</t>
        </is>
      </c>
      <c r="J121" s="247" t="n">
        <v>1</v>
      </c>
      <c r="K121" s="247" t="inlineStr">
        <is>
          <t>High confidence requires documented owner, current evidence, recent KPI/report and crisis-tested procedure for material domains.</t>
        </is>
      </c>
      <c r="L121" s="247" t="inlineStr">
        <is>
          <t>Business Continuity and Resilience Strategy; Cyber Resilience Strategy; Cloud and Infrastructure Resilience Strategy</t>
        </is>
      </c>
    </row>
    <row r="122" ht="42.75" customHeight="1" s="209">
      <c r="A122" s="43" t="inlineStr">
        <is>
          <t>Energy / Utilities</t>
        </is>
      </c>
      <c r="B122" s="43" t="inlineStr">
        <is>
          <t>Cyber Privacy</t>
        </is>
      </c>
      <c r="C122" s="43" t="n">
        <v>5</v>
      </c>
      <c r="D122" s="43" t="n">
        <v>4.5</v>
      </c>
      <c r="E122" s="43" t="n">
        <v>1.45</v>
      </c>
      <c r="F122" s="43" t="n">
        <v>3.5</v>
      </c>
      <c r="G122" s="43" t="inlineStr">
        <is>
          <t>High</t>
        </is>
      </c>
      <c r="H122" s="43" t="inlineStr">
        <is>
          <t>SCADA/OT; ERP; maintenance systems; outage management; GIS; customer billing; cyber monitoring; backup/DR</t>
        </is>
      </c>
      <c r="I122" s="43" t="inlineStr">
        <is>
          <t>OT cyber controls; emergency response; physical safety; outage response; backup communications; critical spares; regulatory reporting</t>
        </is>
      </c>
      <c r="J122" s="43" t="n">
        <v>1.3</v>
      </c>
      <c r="K122" s="43" t="inlineStr">
        <is>
          <t>High confidence requires documented owner, current evidence, recent KPI/report and crisis-tested procedure for material domains.</t>
        </is>
      </c>
      <c r="L122" s="43" t="inlineStr">
        <is>
          <t>Business Continuity and Resilience Strategy; Cyber Resilience Strategy; Cloud and Infrastructure Resilience Strategy</t>
        </is>
      </c>
    </row>
    <row r="123" ht="42.75" customHeight="1" s="209">
      <c r="A123" s="247" t="inlineStr">
        <is>
          <t>Energy / Utilities</t>
        </is>
      </c>
      <c r="B123" s="247" t="inlineStr">
        <is>
          <t>Quality Portfolio</t>
        </is>
      </c>
      <c r="C123" s="247" t="n">
        <v>3</v>
      </c>
      <c r="D123" s="247" t="n">
        <v>3.5</v>
      </c>
      <c r="E123" s="247" t="n">
        <v>1</v>
      </c>
      <c r="F123" s="247" t="n">
        <v>2.5</v>
      </c>
      <c r="G123" s="247" t="inlineStr">
        <is>
          <t>Low</t>
        </is>
      </c>
      <c r="H123" s="247" t="inlineStr">
        <is>
          <t>SCADA/OT; ERP; maintenance systems; outage management; GIS; customer billing; cyber monitoring; backup/DR</t>
        </is>
      </c>
      <c r="I123" s="247" t="inlineStr">
        <is>
          <t>OT cyber controls; emergency response; physical safety; outage response; backup communications; critical spares; regulatory reporting</t>
        </is>
      </c>
      <c r="J123" s="247" t="n">
        <v>1</v>
      </c>
      <c r="K123" s="247" t="inlineStr">
        <is>
          <t>High confidence requires documented owner, current evidence, recent KPI/report and crisis-tested procedure for material domains.</t>
        </is>
      </c>
      <c r="L123" s="247" t="inlineStr">
        <is>
          <t>Business Continuity and Resilience Strategy; Cyber Resilience Strategy; Cloud and Infrastructure Resilience Strategy</t>
        </is>
      </c>
    </row>
    <row r="124" ht="42.75" customHeight="1" s="209">
      <c r="A124" s="43" t="inlineStr">
        <is>
          <t>Professional Services</t>
        </is>
      </c>
      <c r="B124" s="43" t="inlineStr">
        <is>
          <t>Company Geography</t>
        </is>
      </c>
      <c r="C124" s="43" t="n">
        <v>3</v>
      </c>
      <c r="D124" s="43" t="n">
        <v>3.5</v>
      </c>
      <c r="E124" s="43" t="n">
        <v>1</v>
      </c>
      <c r="F124" s="43" t="n">
        <v>2.5</v>
      </c>
      <c r="G124" s="43" t="inlineStr">
        <is>
          <t>Low</t>
        </is>
      </c>
      <c r="H124" s="43" t="inlineStr">
        <is>
          <t>CRM; HRMS; project tools; document management; knowledge base; finance system; BI; cloud collaboration; IAM</t>
        </is>
      </c>
      <c r="I124" s="43" t="inlineStr">
        <is>
          <t>critical people backup; customer continuity; document security; secure remote work; CRM discipline; knowledge management</t>
        </is>
      </c>
      <c r="J124" s="43" t="n">
        <v>1</v>
      </c>
      <c r="K124" s="43" t="inlineStr">
        <is>
          <t>High confidence requires documented owner, current evidence, recent KPI/report and crisis-tested procedure for material domains.</t>
        </is>
      </c>
      <c r="L124" s="43" t="inlineStr">
        <is>
          <t>Workforce Resilience Strategy; Customer Retention and Revenue Protection Strategy; Digital Foundation Strategy</t>
        </is>
      </c>
    </row>
    <row r="125" ht="42.75" customHeight="1" s="209">
      <c r="A125" s="247" t="inlineStr">
        <is>
          <t>Professional Services</t>
        </is>
      </c>
      <c r="B125" s="247" t="inlineStr">
        <is>
          <t>Strategy GTM</t>
        </is>
      </c>
      <c r="C125" s="247" t="n">
        <v>5</v>
      </c>
      <c r="D125" s="247" t="n">
        <v>3.8</v>
      </c>
      <c r="E125" s="247" t="n">
        <v>1.2</v>
      </c>
      <c r="F125" s="247" t="n">
        <v>2.8</v>
      </c>
      <c r="G125" s="247" t="inlineStr">
        <is>
          <t>Medium</t>
        </is>
      </c>
      <c r="H125" s="247" t="inlineStr">
        <is>
          <t>CRM; HRMS; project tools; document management; knowledge base; finance system; BI; cloud collaboration; IAM</t>
        </is>
      </c>
      <c r="I125" s="247" t="inlineStr">
        <is>
          <t>critical people backup; customer continuity; document security; secure remote work; CRM discipline; knowledge management</t>
        </is>
      </c>
      <c r="J125" s="247" t="n">
        <v>1.15</v>
      </c>
      <c r="K125" s="247" t="inlineStr">
        <is>
          <t>High confidence requires documented owner, current evidence, recent KPI/report and crisis-tested procedure for material domains.</t>
        </is>
      </c>
      <c r="L125" s="247" t="inlineStr">
        <is>
          <t>Workforce Resilience Strategy; Customer Retention and Revenue Protection Strategy; Digital Foundation Strategy</t>
        </is>
      </c>
    </row>
    <row r="126" ht="42.75" customHeight="1" s="209">
      <c r="A126" s="43" t="inlineStr">
        <is>
          <t>Professional Services</t>
        </is>
      </c>
      <c r="B126" s="43" t="inlineStr">
        <is>
          <t>Governance Crisis</t>
        </is>
      </c>
      <c r="C126" s="43" t="n">
        <v>3</v>
      </c>
      <c r="D126" s="43" t="n">
        <v>4</v>
      </c>
      <c r="E126" s="43" t="n">
        <v>1.15</v>
      </c>
      <c r="F126" s="43" t="n">
        <v>3</v>
      </c>
      <c r="G126" s="43" t="inlineStr">
        <is>
          <t>Medium</t>
        </is>
      </c>
      <c r="H126" s="43" t="inlineStr">
        <is>
          <t>CRM; HRMS; project tools; document management; knowledge base; finance system; BI; cloud collaboration; IAM</t>
        </is>
      </c>
      <c r="I126" s="43" t="inlineStr">
        <is>
          <t>critical people backup; customer continuity; document security; secure remote work; CRM discipline; knowledge management</t>
        </is>
      </c>
      <c r="J126" s="43" t="n">
        <v>1.1</v>
      </c>
      <c r="K126" s="43" t="inlineStr">
        <is>
          <t>High confidence requires documented owner, current evidence, recent KPI/report and crisis-tested procedure for material domains.</t>
        </is>
      </c>
      <c r="L126" s="43" t="inlineStr">
        <is>
          <t>Workforce Resilience Strategy; Customer Retention and Revenue Protection Strategy; Digital Foundation Strategy</t>
        </is>
      </c>
    </row>
    <row r="127" ht="42.75" customHeight="1" s="209">
      <c r="A127" s="247" t="inlineStr">
        <is>
          <t>Professional Services</t>
        </is>
      </c>
      <c r="B127" s="247" t="inlineStr">
        <is>
          <t>HR Workforce</t>
        </is>
      </c>
      <c r="C127" s="247" t="n">
        <v>5</v>
      </c>
      <c r="D127" s="247" t="n">
        <v>4</v>
      </c>
      <c r="E127" s="247" t="n">
        <v>1.3</v>
      </c>
      <c r="F127" s="247" t="n">
        <v>3</v>
      </c>
      <c r="G127" s="247" t="inlineStr">
        <is>
          <t>High</t>
        </is>
      </c>
      <c r="H127" s="247" t="inlineStr">
        <is>
          <t>CRM; HRMS; project tools; document management; knowledge base; finance system; BI; cloud collaboration; IAM</t>
        </is>
      </c>
      <c r="I127" s="247" t="inlineStr">
        <is>
          <t>critical people backup; customer continuity; document security; secure remote work; CRM discipline; knowledge management</t>
        </is>
      </c>
      <c r="J127" s="247" t="n">
        <v>1.25</v>
      </c>
      <c r="K127" s="247" t="inlineStr">
        <is>
          <t>High confidence requires documented owner, current evidence, recent KPI/report and crisis-tested procedure for material domains.</t>
        </is>
      </c>
      <c r="L127" s="247" t="inlineStr">
        <is>
          <t>Workforce Resilience Strategy; Customer Retention and Revenue Protection Strategy; Digital Foundation Strategy</t>
        </is>
      </c>
    </row>
    <row r="128" ht="42.75" customHeight="1" s="209">
      <c r="A128" s="43" t="inlineStr">
        <is>
          <t>Professional Services</t>
        </is>
      </c>
      <c r="B128" s="43" t="inlineStr">
        <is>
          <t>Finance Procurement</t>
        </is>
      </c>
      <c r="C128" s="43" t="n">
        <v>3</v>
      </c>
      <c r="D128" s="43" t="n">
        <v>3.5</v>
      </c>
      <c r="E128" s="43" t="n">
        <v>1</v>
      </c>
      <c r="F128" s="43" t="n">
        <v>2.5</v>
      </c>
      <c r="G128" s="43" t="inlineStr">
        <is>
          <t>Low</t>
        </is>
      </c>
      <c r="H128" s="43" t="inlineStr">
        <is>
          <t>CRM; HRMS; project tools; document management; knowledge base; finance system; BI; cloud collaboration; IAM</t>
        </is>
      </c>
      <c r="I128" s="43" t="inlineStr">
        <is>
          <t>critical people backup; customer continuity; document security; secure remote work; CRM discipline; knowledge management</t>
        </is>
      </c>
      <c r="J128" s="43" t="n">
        <v>1</v>
      </c>
      <c r="K128" s="43" t="inlineStr">
        <is>
          <t>High confidence requires documented owner, current evidence, recent KPI/report and crisis-tested procedure for material domains.</t>
        </is>
      </c>
      <c r="L128" s="43" t="inlineStr">
        <is>
          <t>Workforce Resilience Strategy; Customer Retention and Revenue Protection Strategy; Digital Foundation Strategy</t>
        </is>
      </c>
    </row>
    <row r="129" ht="42.75" customHeight="1" s="209">
      <c r="A129" s="247" t="inlineStr">
        <is>
          <t>Professional Services</t>
        </is>
      </c>
      <c r="B129" s="247" t="inlineStr">
        <is>
          <t>Legal Risk</t>
        </is>
      </c>
      <c r="C129" s="247" t="n">
        <v>3</v>
      </c>
      <c r="D129" s="247" t="n">
        <v>3.5</v>
      </c>
      <c r="E129" s="247" t="n">
        <v>1</v>
      </c>
      <c r="F129" s="247" t="n">
        <v>2.5</v>
      </c>
      <c r="G129" s="247" t="inlineStr">
        <is>
          <t>Low</t>
        </is>
      </c>
      <c r="H129" s="247" t="inlineStr">
        <is>
          <t>CRM; HRMS; project tools; document management; knowledge base; finance system; BI; cloud collaboration; IAM</t>
        </is>
      </c>
      <c r="I129" s="247" t="inlineStr">
        <is>
          <t>critical people backup; customer continuity; document security; secure remote work; CRM discipline; knowledge management</t>
        </is>
      </c>
      <c r="J129" s="247" t="n">
        <v>1</v>
      </c>
      <c r="K129" s="247" t="inlineStr">
        <is>
          <t>High confidence requires documented owner, current evidence, recent KPI/report and crisis-tested procedure for material domains.</t>
        </is>
      </c>
      <c r="L129" s="247" t="inlineStr">
        <is>
          <t>Workforce Resilience Strategy; Customer Retention and Revenue Protection Strategy; Digital Foundation Strategy</t>
        </is>
      </c>
    </row>
    <row r="130" ht="42.75" customHeight="1" s="209">
      <c r="A130" s="43" t="inlineStr">
        <is>
          <t>Professional Services</t>
        </is>
      </c>
      <c r="B130" s="43" t="inlineStr">
        <is>
          <t>Physical Safety</t>
        </is>
      </c>
      <c r="C130" s="43" t="n">
        <v>2</v>
      </c>
      <c r="D130" s="43" t="n">
        <v>2.8</v>
      </c>
      <c r="E130" s="43" t="n">
        <v>0.85</v>
      </c>
      <c r="F130" s="43" t="n">
        <v>2</v>
      </c>
      <c r="G130" s="43" t="inlineStr">
        <is>
          <t>Low</t>
        </is>
      </c>
      <c r="H130" s="43" t="inlineStr">
        <is>
          <t>CRM; HRMS; project tools; document management; knowledge base; finance system; BI; cloud collaboration; IAM</t>
        </is>
      </c>
      <c r="I130" s="43" t="inlineStr">
        <is>
          <t>critical people backup; customer continuity; document security; secure remote work; CRM discipline; knowledge management</t>
        </is>
      </c>
      <c r="J130" s="43" t="n">
        <v>0.85</v>
      </c>
      <c r="K130" s="43" t="inlineStr">
        <is>
          <t>High confidence requires documented owner, current evidence, recent KPI/report and crisis-tested procedure for material domains.</t>
        </is>
      </c>
      <c r="L130" s="43" t="inlineStr">
        <is>
          <t>Workforce Resilience Strategy; Customer Retention and Revenue Protection Strategy; Digital Foundation Strategy</t>
        </is>
      </c>
    </row>
    <row r="131" ht="42.75" customHeight="1" s="209">
      <c r="A131" s="247" t="inlineStr">
        <is>
          <t>Professional Services</t>
        </is>
      </c>
      <c r="B131" s="247" t="inlineStr">
        <is>
          <t>Delivery Ops</t>
        </is>
      </c>
      <c r="C131" s="247" t="n">
        <v>3</v>
      </c>
      <c r="D131" s="247" t="n">
        <v>3.5</v>
      </c>
      <c r="E131" s="247" t="n">
        <v>1</v>
      </c>
      <c r="F131" s="247" t="n">
        <v>2.5</v>
      </c>
      <c r="G131" s="247" t="inlineStr">
        <is>
          <t>Low</t>
        </is>
      </c>
      <c r="H131" s="247" t="inlineStr">
        <is>
          <t>CRM; HRMS; project tools; document management; knowledge base; finance system; BI; cloud collaboration; IAM</t>
        </is>
      </c>
      <c r="I131" s="247" t="inlineStr">
        <is>
          <t>critical people backup; customer continuity; document security; secure remote work; CRM discipline; knowledge management</t>
        </is>
      </c>
      <c r="J131" s="247" t="n">
        <v>1</v>
      </c>
      <c r="K131" s="247" t="inlineStr">
        <is>
          <t>High confidence requires documented owner, current evidence, recent KPI/report and crisis-tested procedure for material domains.</t>
        </is>
      </c>
      <c r="L131" s="247" t="inlineStr">
        <is>
          <t>Workforce Resilience Strategy; Customer Retention and Revenue Protection Strategy; Digital Foundation Strategy</t>
        </is>
      </c>
    </row>
    <row r="132" ht="42.75" customHeight="1" s="209">
      <c r="A132" s="43" t="inlineStr">
        <is>
          <t>Professional Services</t>
        </is>
      </c>
      <c r="B132" s="43" t="inlineStr">
        <is>
          <t>Supply Chain</t>
        </is>
      </c>
      <c r="C132" s="43" t="n">
        <v>3</v>
      </c>
      <c r="D132" s="43" t="n">
        <v>3.5</v>
      </c>
      <c r="E132" s="43" t="n">
        <v>1</v>
      </c>
      <c r="F132" s="43" t="n">
        <v>2.5</v>
      </c>
      <c r="G132" s="43" t="inlineStr">
        <is>
          <t>Low</t>
        </is>
      </c>
      <c r="H132" s="43" t="inlineStr">
        <is>
          <t>CRM; HRMS; project tools; document management; knowledge base; finance system; BI; cloud collaboration; IAM</t>
        </is>
      </c>
      <c r="I132" s="43" t="inlineStr">
        <is>
          <t>critical people backup; customer continuity; document security; secure remote work; CRM discipline; knowledge management</t>
        </is>
      </c>
      <c r="J132" s="43" t="n">
        <v>1</v>
      </c>
      <c r="K132" s="43" t="inlineStr">
        <is>
          <t>High confidence requires documented owner, current evidence, recent KPI/report and crisis-tested procedure for material domains.</t>
        </is>
      </c>
      <c r="L132" s="43" t="inlineStr">
        <is>
          <t>Workforce Resilience Strategy; Customer Retention and Revenue Protection Strategy; Digital Foundation Strategy</t>
        </is>
      </c>
    </row>
    <row r="133" ht="42.75" customHeight="1" s="209">
      <c r="A133" s="247" t="inlineStr">
        <is>
          <t>Professional Services</t>
        </is>
      </c>
      <c r="B133" s="247" t="inlineStr">
        <is>
          <t>Manufacturing MES</t>
        </is>
      </c>
      <c r="C133" s="247" t="n">
        <v>1</v>
      </c>
      <c r="D133" s="247" t="n">
        <v>0.5</v>
      </c>
      <c r="E133" s="247" t="n">
        <v>0.5</v>
      </c>
      <c r="F133" s="247" t="n">
        <v>0</v>
      </c>
      <c r="G133" s="247" t="inlineStr">
        <is>
          <t>Low</t>
        </is>
      </c>
      <c r="H133" s="247" t="inlineStr">
        <is>
          <t>CRM; HRMS; project tools; document management; knowledge base; finance system; BI; cloud collaboration; IAM</t>
        </is>
      </c>
      <c r="I133" s="247" t="inlineStr">
        <is>
          <t>critical people backup; customer continuity; document security; secure remote work; CRM discipline; knowledge management</t>
        </is>
      </c>
      <c r="J133" s="247" t="n">
        <v>0.6</v>
      </c>
      <c r="K133" s="247" t="inlineStr">
        <is>
          <t>High confidence requires documented owner, current evidence, recent KPI/report and crisis-tested procedure for material domains.</t>
        </is>
      </c>
      <c r="L133" s="247" t="inlineStr">
        <is>
          <t>Workforce Resilience Strategy; Customer Retention and Revenue Protection Strategy; Digital Foundation Strategy</t>
        </is>
      </c>
    </row>
    <row r="134" ht="42.75" customHeight="1" s="209">
      <c r="A134" s="43" t="inlineStr">
        <is>
          <t>Professional Services</t>
        </is>
      </c>
      <c r="B134" s="43" t="inlineStr">
        <is>
          <t>Sales CRM</t>
        </is>
      </c>
      <c r="C134" s="43" t="n">
        <v>4</v>
      </c>
      <c r="D134" s="43" t="n">
        <v>3.8</v>
      </c>
      <c r="E134" s="43" t="n">
        <v>1.15</v>
      </c>
      <c r="F134" s="43" t="n">
        <v>2.8</v>
      </c>
      <c r="G134" s="43" t="inlineStr">
        <is>
          <t>Medium</t>
        </is>
      </c>
      <c r="H134" s="43" t="inlineStr">
        <is>
          <t>CRM; HRMS; project tools; document management; knowledge base; finance system; BI; cloud collaboration; IAM</t>
        </is>
      </c>
      <c r="I134" s="43" t="inlineStr">
        <is>
          <t>critical people backup; customer continuity; document security; secure remote work; CRM discipline; knowledge management</t>
        </is>
      </c>
      <c r="J134" s="43" t="n">
        <v>1.1</v>
      </c>
      <c r="K134" s="43" t="inlineStr">
        <is>
          <t>High confidence requires documented owner, current evidence, recent KPI/report and crisis-tested procedure for material domains.</t>
        </is>
      </c>
      <c r="L134" s="43" t="inlineStr">
        <is>
          <t>Workforce Resilience Strategy; Customer Retention and Revenue Protection Strategy; Digital Foundation Strategy</t>
        </is>
      </c>
    </row>
    <row r="135" ht="42.75" customHeight="1" s="209">
      <c r="A135" s="247" t="inlineStr">
        <is>
          <t>Professional Services</t>
        </is>
      </c>
      <c r="B135" s="247" t="inlineStr">
        <is>
          <t>Marketing Comms</t>
        </is>
      </c>
      <c r="C135" s="247" t="n">
        <v>3</v>
      </c>
      <c r="D135" s="247" t="n">
        <v>3.5</v>
      </c>
      <c r="E135" s="247" t="n">
        <v>1</v>
      </c>
      <c r="F135" s="247" t="n">
        <v>2.5</v>
      </c>
      <c r="G135" s="247" t="inlineStr">
        <is>
          <t>Low</t>
        </is>
      </c>
      <c r="H135" s="247" t="inlineStr">
        <is>
          <t>CRM; HRMS; project tools; document management; knowledge base; finance system; BI; cloud collaboration; IAM</t>
        </is>
      </c>
      <c r="I135" s="247" t="inlineStr">
        <is>
          <t>critical people backup; customer continuity; document security; secure remote work; CRM discipline; knowledge management</t>
        </is>
      </c>
      <c r="J135" s="247" t="n">
        <v>1</v>
      </c>
      <c r="K135" s="247" t="inlineStr">
        <is>
          <t>High confidence requires documented owner, current evidence, recent KPI/report and crisis-tested procedure for material domains.</t>
        </is>
      </c>
      <c r="L135" s="247" t="inlineStr">
        <is>
          <t>Workforce Resilience Strategy; Customer Retention and Revenue Protection Strategy; Digital Foundation Strategy</t>
        </is>
      </c>
    </row>
    <row r="136" ht="42.75" customHeight="1" s="209">
      <c r="A136" s="43" t="inlineStr">
        <is>
          <t>Professional Services</t>
        </is>
      </c>
      <c r="B136" s="43" t="inlineStr">
        <is>
          <t>IT Cloud DR</t>
        </is>
      </c>
      <c r="C136" s="43" t="n">
        <v>3</v>
      </c>
      <c r="D136" s="43" t="n">
        <v>3.5</v>
      </c>
      <c r="E136" s="43" t="n">
        <v>1</v>
      </c>
      <c r="F136" s="43" t="n">
        <v>2.5</v>
      </c>
      <c r="G136" s="43" t="inlineStr">
        <is>
          <t>Low</t>
        </is>
      </c>
      <c r="H136" s="43" t="inlineStr">
        <is>
          <t>CRM; HRMS; project tools; document management; knowledge base; finance system; BI; cloud collaboration; IAM</t>
        </is>
      </c>
      <c r="I136" s="43" t="inlineStr">
        <is>
          <t>critical people backup; customer continuity; document security; secure remote work; CRM discipline; knowledge management</t>
        </is>
      </c>
      <c r="J136" s="43" t="n">
        <v>1</v>
      </c>
      <c r="K136" s="43" t="inlineStr">
        <is>
          <t>High confidence requires documented owner, current evidence, recent KPI/report and crisis-tested procedure for material domains.</t>
        </is>
      </c>
      <c r="L136" s="43" t="inlineStr">
        <is>
          <t>Workforce Resilience Strategy; Customer Retention and Revenue Protection Strategy; Digital Foundation Strategy</t>
        </is>
      </c>
    </row>
    <row r="137" ht="42.75" customHeight="1" s="209">
      <c r="A137" s="247" t="inlineStr">
        <is>
          <t>Professional Services</t>
        </is>
      </c>
      <c r="B137" s="247" t="inlineStr">
        <is>
          <t>Business Systems</t>
        </is>
      </c>
      <c r="C137" s="247" t="n">
        <v>3</v>
      </c>
      <c r="D137" s="247" t="n">
        <v>3.5</v>
      </c>
      <c r="E137" s="247" t="n">
        <v>1</v>
      </c>
      <c r="F137" s="247" t="n">
        <v>2.5</v>
      </c>
      <c r="G137" s="247" t="inlineStr">
        <is>
          <t>Low</t>
        </is>
      </c>
      <c r="H137" s="247" t="inlineStr">
        <is>
          <t>CRM; HRMS; project tools; document management; knowledge base; finance system; BI; cloud collaboration; IAM</t>
        </is>
      </c>
      <c r="I137" s="247" t="inlineStr">
        <is>
          <t>critical people backup; customer continuity; document security; secure remote work; CRM discipline; knowledge management</t>
        </is>
      </c>
      <c r="J137" s="247" t="n">
        <v>1</v>
      </c>
      <c r="K137" s="247" t="inlineStr">
        <is>
          <t>High confidence requires documented owner, current evidence, recent KPI/report and crisis-tested procedure for material domains.</t>
        </is>
      </c>
      <c r="L137" s="247" t="inlineStr">
        <is>
          <t>Workforce Resilience Strategy; Customer Retention and Revenue Protection Strategy; Digital Foundation Strategy</t>
        </is>
      </c>
    </row>
    <row r="138" ht="42.75" customHeight="1" s="209">
      <c r="A138" s="43" t="inlineStr">
        <is>
          <t>Professional Services</t>
        </is>
      </c>
      <c r="B138" s="43" t="inlineStr">
        <is>
          <t>Data BI AI</t>
        </is>
      </c>
      <c r="C138" s="43" t="n">
        <v>3</v>
      </c>
      <c r="D138" s="43" t="n">
        <v>3.5</v>
      </c>
      <c r="E138" s="43" t="n">
        <v>1</v>
      </c>
      <c r="F138" s="43" t="n">
        <v>2.5</v>
      </c>
      <c r="G138" s="43" t="inlineStr">
        <is>
          <t>Low</t>
        </is>
      </c>
      <c r="H138" s="43" t="inlineStr">
        <is>
          <t>CRM; HRMS; project tools; document management; knowledge base; finance system; BI; cloud collaboration; IAM</t>
        </is>
      </c>
      <c r="I138" s="43" t="inlineStr">
        <is>
          <t>critical people backup; customer continuity; document security; secure remote work; CRM discipline; knowledge management</t>
        </is>
      </c>
      <c r="J138" s="43" t="n">
        <v>1</v>
      </c>
      <c r="K138" s="43" t="inlineStr">
        <is>
          <t>High confidence requires documented owner, current evidence, recent KPI/report and crisis-tested procedure for material domains.</t>
        </is>
      </c>
      <c r="L138" s="43" t="inlineStr">
        <is>
          <t>Workforce Resilience Strategy; Customer Retention and Revenue Protection Strategy; Digital Foundation Strategy</t>
        </is>
      </c>
    </row>
    <row r="139" ht="42.75" customHeight="1" s="209">
      <c r="A139" s="247" t="inlineStr">
        <is>
          <t>Professional Services</t>
        </is>
      </c>
      <c r="B139" s="247" t="inlineStr">
        <is>
          <t>Cyber Privacy</t>
        </is>
      </c>
      <c r="C139" s="247" t="n">
        <v>4</v>
      </c>
      <c r="D139" s="247" t="n">
        <v>4</v>
      </c>
      <c r="E139" s="247" t="n">
        <v>1.2</v>
      </c>
      <c r="F139" s="247" t="n">
        <v>3</v>
      </c>
      <c r="G139" s="247" t="inlineStr">
        <is>
          <t>Medium</t>
        </is>
      </c>
      <c r="H139" s="247" t="inlineStr">
        <is>
          <t>CRM; HRMS; project tools; document management; knowledge base; finance system; BI; cloud collaboration; IAM</t>
        </is>
      </c>
      <c r="I139" s="247" t="inlineStr">
        <is>
          <t>critical people backup; customer continuity; document security; secure remote work; CRM discipline; knowledge management</t>
        </is>
      </c>
      <c r="J139" s="247" t="n">
        <v>1.15</v>
      </c>
      <c r="K139" s="247" t="inlineStr">
        <is>
          <t>High confidence requires documented owner, current evidence, recent KPI/report and crisis-tested procedure for material domains.</t>
        </is>
      </c>
      <c r="L139" s="247" t="inlineStr">
        <is>
          <t>Workforce Resilience Strategy; Customer Retention and Revenue Protection Strategy; Digital Foundation Strategy</t>
        </is>
      </c>
    </row>
    <row r="140" ht="42.75" customHeight="1" s="209">
      <c r="A140" s="43" t="inlineStr">
        <is>
          <t>Professional Services</t>
        </is>
      </c>
      <c r="B140" s="43" t="inlineStr">
        <is>
          <t>Quality Portfolio</t>
        </is>
      </c>
      <c r="C140" s="43" t="n">
        <v>4</v>
      </c>
      <c r="D140" s="43" t="n">
        <v>3.8</v>
      </c>
      <c r="E140" s="43" t="n">
        <v>1.1</v>
      </c>
      <c r="F140" s="43" t="n">
        <v>2.8</v>
      </c>
      <c r="G140" s="43" t="inlineStr">
        <is>
          <t>Medium</t>
        </is>
      </c>
      <c r="H140" s="43" t="inlineStr">
        <is>
          <t>CRM; HRMS; project tools; document management; knowledge base; finance system; BI; cloud collaboration; IAM</t>
        </is>
      </c>
      <c r="I140" s="43" t="inlineStr">
        <is>
          <t>critical people backup; customer continuity; document security; secure remote work; CRM discipline; knowledge management</t>
        </is>
      </c>
      <c r="J140" s="43" t="n">
        <v>1.1</v>
      </c>
      <c r="K140" s="43" t="inlineStr">
        <is>
          <t>High confidence requires documented owner, current evidence, recent KPI/report and crisis-tested procedure for material domains.</t>
        </is>
      </c>
      <c r="L140" s="43" t="inlineStr">
        <is>
          <t>Workforce Resilience Strategy; Customer Retention and Revenue Protection Strategy; Digital Foundation Strategy</t>
        </is>
      </c>
    </row>
    <row r="141" ht="42.75" customHeight="1" s="209">
      <c r="A141" s="247" t="inlineStr">
        <is>
          <t>Public Sector / Regulated Organization</t>
        </is>
      </c>
      <c r="B141" s="247" t="inlineStr">
        <is>
          <t>Company Geography</t>
        </is>
      </c>
      <c r="C141" s="247" t="n">
        <v>3</v>
      </c>
      <c r="D141" s="247" t="n">
        <v>3.5</v>
      </c>
      <c r="E141" s="247" t="n">
        <v>1</v>
      </c>
      <c r="F141" s="247" t="n">
        <v>2.5</v>
      </c>
      <c r="G141" s="247" t="inlineStr">
        <is>
          <t>Low</t>
        </is>
      </c>
      <c r="H141" s="247" t="inlineStr">
        <is>
          <t>ERP; case management; citizen/customer portal; document management; IAM; cyber monitoring; BI; backup/DR; compliance systems</t>
        </is>
      </c>
      <c r="I141" s="247" t="inlineStr">
        <is>
          <t>compliance controls; data protection; continuity of essential services; audit trail; incident response; citizen communication</t>
        </is>
      </c>
      <c r="J141" s="247" t="n">
        <v>1</v>
      </c>
      <c r="K141" s="247" t="inlineStr">
        <is>
          <t>High confidence requires documented owner, current evidence, recent KPI/report and crisis-tested procedure for material domains.</t>
        </is>
      </c>
      <c r="L141" s="247" t="inlineStr">
        <is>
          <t>Compliance and Risk Control Strategy; Business Continuity and Resilience Strategy; Cyber Resilience Strategy</t>
        </is>
      </c>
    </row>
    <row r="142" ht="42.75" customHeight="1" s="209">
      <c r="A142" s="43" t="inlineStr">
        <is>
          <t>Public Sector / Regulated Organization</t>
        </is>
      </c>
      <c r="B142" s="43" t="inlineStr">
        <is>
          <t>Strategy GTM</t>
        </is>
      </c>
      <c r="C142" s="43" t="n">
        <v>3</v>
      </c>
      <c r="D142" s="43" t="n">
        <v>3.5</v>
      </c>
      <c r="E142" s="43" t="n">
        <v>1</v>
      </c>
      <c r="F142" s="43" t="n">
        <v>2.5</v>
      </c>
      <c r="G142" s="43" t="inlineStr">
        <is>
          <t>Low</t>
        </is>
      </c>
      <c r="H142" s="43" t="inlineStr">
        <is>
          <t>ERP; case management; citizen/customer portal; document management; IAM; cyber monitoring; BI; backup/DR; compliance systems</t>
        </is>
      </c>
      <c r="I142" s="43" t="inlineStr">
        <is>
          <t>compliance controls; data protection; continuity of essential services; audit trail; incident response; citizen communication</t>
        </is>
      </c>
      <c r="J142" s="43" t="n">
        <v>1</v>
      </c>
      <c r="K142" s="43" t="inlineStr">
        <is>
          <t>High confidence requires documented owner, current evidence, recent KPI/report and crisis-tested procedure for material domains.</t>
        </is>
      </c>
      <c r="L142" s="43" t="inlineStr">
        <is>
          <t>Compliance and Risk Control Strategy; Business Continuity and Resilience Strategy; Cyber Resilience Strategy</t>
        </is>
      </c>
    </row>
    <row r="143" ht="42.75" customHeight="1" s="209">
      <c r="A143" s="247" t="inlineStr">
        <is>
          <t>Public Sector / Regulated Organization</t>
        </is>
      </c>
      <c r="B143" s="247" t="inlineStr">
        <is>
          <t>Governance Crisis</t>
        </is>
      </c>
      <c r="C143" s="247" t="n">
        <v>5</v>
      </c>
      <c r="D143" s="247" t="n">
        <v>4.5</v>
      </c>
      <c r="E143" s="247" t="n">
        <v>1.45</v>
      </c>
      <c r="F143" s="247" t="n">
        <v>3.5</v>
      </c>
      <c r="G143" s="247" t="inlineStr">
        <is>
          <t>High</t>
        </is>
      </c>
      <c r="H143" s="247" t="inlineStr">
        <is>
          <t>ERP; case management; citizen/customer portal; document management; IAM; cyber monitoring; BI; backup/DR; compliance systems</t>
        </is>
      </c>
      <c r="I143" s="247" t="inlineStr">
        <is>
          <t>compliance controls; data protection; continuity of essential services; audit trail; incident response; citizen communication</t>
        </is>
      </c>
      <c r="J143" s="247" t="n">
        <v>1.3</v>
      </c>
      <c r="K143" s="247" t="inlineStr">
        <is>
          <t>High confidence requires documented owner, current evidence, recent KPI/report and crisis-tested procedure for material domains.</t>
        </is>
      </c>
      <c r="L143" s="247" t="inlineStr">
        <is>
          <t>Compliance and Risk Control Strategy; Business Continuity and Resilience Strategy; Cyber Resilience Strategy</t>
        </is>
      </c>
    </row>
    <row r="144" ht="42.75" customHeight="1" s="209">
      <c r="A144" s="43" t="inlineStr">
        <is>
          <t>Public Sector / Regulated Organization</t>
        </is>
      </c>
      <c r="B144" s="43" t="inlineStr">
        <is>
          <t>HR Workforce</t>
        </is>
      </c>
      <c r="C144" s="43" t="n">
        <v>3</v>
      </c>
      <c r="D144" s="43" t="n">
        <v>3.5</v>
      </c>
      <c r="E144" s="43" t="n">
        <v>1</v>
      </c>
      <c r="F144" s="43" t="n">
        <v>2.5</v>
      </c>
      <c r="G144" s="43" t="inlineStr">
        <is>
          <t>Low</t>
        </is>
      </c>
      <c r="H144" s="43" t="inlineStr">
        <is>
          <t>ERP; case management; citizen/customer portal; document management; IAM; cyber monitoring; BI; backup/DR; compliance systems</t>
        </is>
      </c>
      <c r="I144" s="43" t="inlineStr">
        <is>
          <t>compliance controls; data protection; continuity of essential services; audit trail; incident response; citizen communication</t>
        </is>
      </c>
      <c r="J144" s="43" t="n">
        <v>1</v>
      </c>
      <c r="K144" s="43" t="inlineStr">
        <is>
          <t>High confidence requires documented owner, current evidence, recent KPI/report and crisis-tested procedure for material domains.</t>
        </is>
      </c>
      <c r="L144" s="43" t="inlineStr">
        <is>
          <t>Compliance and Risk Control Strategy; Business Continuity and Resilience Strategy; Cyber Resilience Strategy</t>
        </is>
      </c>
    </row>
    <row r="145" ht="42.75" customHeight="1" s="209">
      <c r="A145" s="247" t="inlineStr">
        <is>
          <t>Public Sector / Regulated Organization</t>
        </is>
      </c>
      <c r="B145" s="247" t="inlineStr">
        <is>
          <t>Finance Procurement</t>
        </is>
      </c>
      <c r="C145" s="247" t="n">
        <v>5</v>
      </c>
      <c r="D145" s="247" t="n">
        <v>4</v>
      </c>
      <c r="E145" s="247" t="n">
        <v>1.25</v>
      </c>
      <c r="F145" s="247" t="n">
        <v>3</v>
      </c>
      <c r="G145" s="247" t="inlineStr">
        <is>
          <t>Medium</t>
        </is>
      </c>
      <c r="H145" s="247" t="inlineStr">
        <is>
          <t>ERP; case management; citizen/customer portal; document management; IAM; cyber monitoring; BI; backup/DR; compliance systems</t>
        </is>
      </c>
      <c r="I145" s="247" t="inlineStr">
        <is>
          <t>compliance controls; data protection; continuity of essential services; audit trail; incident response; citizen communication</t>
        </is>
      </c>
      <c r="J145" s="247" t="n">
        <v>1.2</v>
      </c>
      <c r="K145" s="247" t="inlineStr">
        <is>
          <t>High confidence requires documented owner, current evidence, recent KPI/report and crisis-tested procedure for material domains.</t>
        </is>
      </c>
      <c r="L145" s="247" t="inlineStr">
        <is>
          <t>Compliance and Risk Control Strategy; Business Continuity and Resilience Strategy; Cyber Resilience Strategy</t>
        </is>
      </c>
    </row>
    <row r="146" ht="42.75" customHeight="1" s="209">
      <c r="A146" s="43" t="inlineStr">
        <is>
          <t>Public Sector / Regulated Organization</t>
        </is>
      </c>
      <c r="B146" s="43" t="inlineStr">
        <is>
          <t>Legal Risk</t>
        </is>
      </c>
      <c r="C146" s="43" t="n">
        <v>5</v>
      </c>
      <c r="D146" s="43" t="n">
        <v>4.5</v>
      </c>
      <c r="E146" s="43" t="n">
        <v>1.45</v>
      </c>
      <c r="F146" s="43" t="n">
        <v>3.5</v>
      </c>
      <c r="G146" s="43" t="inlineStr">
        <is>
          <t>High</t>
        </is>
      </c>
      <c r="H146" s="43" t="inlineStr">
        <is>
          <t>ERP; case management; citizen/customer portal; document management; IAM; cyber monitoring; BI; backup/DR; compliance systems</t>
        </is>
      </c>
      <c r="I146" s="43" t="inlineStr">
        <is>
          <t>compliance controls; data protection; continuity of essential services; audit trail; incident response; citizen communication</t>
        </is>
      </c>
      <c r="J146" s="43" t="n">
        <v>1.3</v>
      </c>
      <c r="K146" s="43" t="inlineStr">
        <is>
          <t>High confidence requires documented owner, current evidence, recent KPI/report and crisis-tested procedure for material domains.</t>
        </is>
      </c>
      <c r="L146" s="43" t="inlineStr">
        <is>
          <t>Compliance and Risk Control Strategy; Business Continuity and Resilience Strategy; Cyber Resilience Strategy</t>
        </is>
      </c>
    </row>
    <row r="147" ht="42.75" customHeight="1" s="209">
      <c r="A147" s="247" t="inlineStr">
        <is>
          <t>Public Sector / Regulated Organization</t>
        </is>
      </c>
      <c r="B147" s="247" t="inlineStr">
        <is>
          <t>Physical Safety</t>
        </is>
      </c>
      <c r="C147" s="247" t="n">
        <v>4</v>
      </c>
      <c r="D147" s="247" t="n">
        <v>4</v>
      </c>
      <c r="E147" s="247" t="n">
        <v>1.2</v>
      </c>
      <c r="F147" s="247" t="n">
        <v>3</v>
      </c>
      <c r="G147" s="247" t="inlineStr">
        <is>
          <t>Medium</t>
        </is>
      </c>
      <c r="H147" s="247" t="inlineStr">
        <is>
          <t>ERP; case management; citizen/customer portal; document management; IAM; cyber monitoring; BI; backup/DR; compliance systems</t>
        </is>
      </c>
      <c r="I147" s="247" t="inlineStr">
        <is>
          <t>compliance controls; data protection; continuity of essential services; audit trail; incident response; citizen communication</t>
        </is>
      </c>
      <c r="J147" s="247" t="n">
        <v>1.15</v>
      </c>
      <c r="K147" s="247" t="inlineStr">
        <is>
          <t>High confidence requires documented owner, current evidence, recent KPI/report and crisis-tested procedure for material domains.</t>
        </is>
      </c>
      <c r="L147" s="247" t="inlineStr">
        <is>
          <t>Compliance and Risk Control Strategy; Business Continuity and Resilience Strategy; Cyber Resilience Strategy</t>
        </is>
      </c>
    </row>
    <row r="148" ht="42.75" customHeight="1" s="209">
      <c r="A148" s="43" t="inlineStr">
        <is>
          <t>Public Sector / Regulated Organization</t>
        </is>
      </c>
      <c r="B148" s="43" t="inlineStr">
        <is>
          <t>Delivery Ops</t>
        </is>
      </c>
      <c r="C148" s="43" t="n">
        <v>3</v>
      </c>
      <c r="D148" s="43" t="n">
        <v>3.5</v>
      </c>
      <c r="E148" s="43" t="n">
        <v>1</v>
      </c>
      <c r="F148" s="43" t="n">
        <v>2.5</v>
      </c>
      <c r="G148" s="43" t="inlineStr">
        <is>
          <t>Low</t>
        </is>
      </c>
      <c r="H148" s="43" t="inlineStr">
        <is>
          <t>ERP; case management; citizen/customer portal; document management; IAM; cyber monitoring; BI; backup/DR; compliance systems</t>
        </is>
      </c>
      <c r="I148" s="43" t="inlineStr">
        <is>
          <t>compliance controls; data protection; continuity of essential services; audit trail; incident response; citizen communication</t>
        </is>
      </c>
      <c r="J148" s="43" t="n">
        <v>1</v>
      </c>
      <c r="K148" s="43" t="inlineStr">
        <is>
          <t>High confidence requires documented owner, current evidence, recent KPI/report and crisis-tested procedure for material domains.</t>
        </is>
      </c>
      <c r="L148" s="43" t="inlineStr">
        <is>
          <t>Compliance and Risk Control Strategy; Business Continuity and Resilience Strategy; Cyber Resilience Strategy</t>
        </is>
      </c>
    </row>
    <row r="149" ht="42.75" customHeight="1" s="209">
      <c r="A149" s="247" t="inlineStr">
        <is>
          <t>Public Sector / Regulated Organization</t>
        </is>
      </c>
      <c r="B149" s="247" t="inlineStr">
        <is>
          <t>Supply Chain</t>
        </is>
      </c>
      <c r="C149" s="247" t="n">
        <v>3</v>
      </c>
      <c r="D149" s="247" t="n">
        <v>3.5</v>
      </c>
      <c r="E149" s="247" t="n">
        <v>1</v>
      </c>
      <c r="F149" s="247" t="n">
        <v>2.5</v>
      </c>
      <c r="G149" s="247" t="inlineStr">
        <is>
          <t>Low</t>
        </is>
      </c>
      <c r="H149" s="247" t="inlineStr">
        <is>
          <t>ERP; case management; citizen/customer portal; document management; IAM; cyber monitoring; BI; backup/DR; compliance systems</t>
        </is>
      </c>
      <c r="I149" s="247" t="inlineStr">
        <is>
          <t>compliance controls; data protection; continuity of essential services; audit trail; incident response; citizen communication</t>
        </is>
      </c>
      <c r="J149" s="247" t="n">
        <v>1</v>
      </c>
      <c r="K149" s="247" t="inlineStr">
        <is>
          <t>High confidence requires documented owner, current evidence, recent KPI/report and crisis-tested procedure for material domains.</t>
        </is>
      </c>
      <c r="L149" s="247" t="inlineStr">
        <is>
          <t>Compliance and Risk Control Strategy; Business Continuity and Resilience Strategy; Cyber Resilience Strategy</t>
        </is>
      </c>
    </row>
    <row r="150" ht="42.75" customHeight="1" s="209">
      <c r="A150" s="43" t="inlineStr">
        <is>
          <t>Public Sector / Regulated Organization</t>
        </is>
      </c>
      <c r="B150" s="43" t="inlineStr">
        <is>
          <t>Manufacturing MES</t>
        </is>
      </c>
      <c r="C150" s="43" t="n">
        <v>1</v>
      </c>
      <c r="D150" s="43" t="n">
        <v>0.5</v>
      </c>
      <c r="E150" s="43" t="n">
        <v>0.5</v>
      </c>
      <c r="F150" s="43" t="n">
        <v>0</v>
      </c>
      <c r="G150" s="43" t="inlineStr">
        <is>
          <t>Low</t>
        </is>
      </c>
      <c r="H150" s="43" t="inlineStr">
        <is>
          <t>ERP; case management; citizen/customer portal; document management; IAM; cyber monitoring; BI; backup/DR; compliance systems</t>
        </is>
      </c>
      <c r="I150" s="43" t="inlineStr">
        <is>
          <t>compliance controls; data protection; continuity of essential services; audit trail; incident response; citizen communication</t>
        </is>
      </c>
      <c r="J150" s="43" t="n">
        <v>0.6</v>
      </c>
      <c r="K150" s="43" t="inlineStr">
        <is>
          <t>High confidence requires documented owner, current evidence, recent KPI/report and crisis-tested procedure for material domains.</t>
        </is>
      </c>
      <c r="L150" s="43" t="inlineStr">
        <is>
          <t>Compliance and Risk Control Strategy; Business Continuity and Resilience Strategy; Cyber Resilience Strategy</t>
        </is>
      </c>
    </row>
    <row r="151" ht="42.75" customHeight="1" s="209">
      <c r="A151" s="247" t="inlineStr">
        <is>
          <t>Public Sector / Regulated Organization</t>
        </is>
      </c>
      <c r="B151" s="247" t="inlineStr">
        <is>
          <t>Sales CRM</t>
        </is>
      </c>
      <c r="C151" s="247" t="n">
        <v>3</v>
      </c>
      <c r="D151" s="247" t="n">
        <v>3.5</v>
      </c>
      <c r="E151" s="247" t="n">
        <v>1</v>
      </c>
      <c r="F151" s="247" t="n">
        <v>2.5</v>
      </c>
      <c r="G151" s="247" t="inlineStr">
        <is>
          <t>Low</t>
        </is>
      </c>
      <c r="H151" s="247" t="inlineStr">
        <is>
          <t>ERP; case management; citizen/customer portal; document management; IAM; cyber monitoring; BI; backup/DR; compliance systems</t>
        </is>
      </c>
      <c r="I151" s="247" t="inlineStr">
        <is>
          <t>compliance controls; data protection; continuity of essential services; audit trail; incident response; citizen communication</t>
        </is>
      </c>
      <c r="J151" s="247" t="n">
        <v>1</v>
      </c>
      <c r="K151" s="247" t="inlineStr">
        <is>
          <t>High confidence requires documented owner, current evidence, recent KPI/report and crisis-tested procedure for material domains.</t>
        </is>
      </c>
      <c r="L151" s="247" t="inlineStr">
        <is>
          <t>Compliance and Risk Control Strategy; Business Continuity and Resilience Strategy; Cyber Resilience Strategy</t>
        </is>
      </c>
    </row>
    <row r="152" ht="42.75" customHeight="1" s="209">
      <c r="A152" s="43" t="inlineStr">
        <is>
          <t>Public Sector / Regulated Organization</t>
        </is>
      </c>
      <c r="B152" s="43" t="inlineStr">
        <is>
          <t>Marketing Comms</t>
        </is>
      </c>
      <c r="C152" s="43" t="n">
        <v>3</v>
      </c>
      <c r="D152" s="43" t="n">
        <v>3.5</v>
      </c>
      <c r="E152" s="43" t="n">
        <v>1</v>
      </c>
      <c r="F152" s="43" t="n">
        <v>2.5</v>
      </c>
      <c r="G152" s="43" t="inlineStr">
        <is>
          <t>Low</t>
        </is>
      </c>
      <c r="H152" s="43" t="inlineStr">
        <is>
          <t>ERP; case management; citizen/customer portal; document management; IAM; cyber monitoring; BI; backup/DR; compliance systems</t>
        </is>
      </c>
      <c r="I152" s="43" t="inlineStr">
        <is>
          <t>compliance controls; data protection; continuity of essential services; audit trail; incident response; citizen communication</t>
        </is>
      </c>
      <c r="J152" s="43" t="n">
        <v>1</v>
      </c>
      <c r="K152" s="43" t="inlineStr">
        <is>
          <t>High confidence requires documented owner, current evidence, recent KPI/report and crisis-tested procedure for material domains.</t>
        </is>
      </c>
      <c r="L152" s="43" t="inlineStr">
        <is>
          <t>Compliance and Risk Control Strategy; Business Continuity and Resilience Strategy; Cyber Resilience Strategy</t>
        </is>
      </c>
    </row>
    <row r="153" ht="42.75" customHeight="1" s="209">
      <c r="A153" s="247" t="inlineStr">
        <is>
          <t>Public Sector / Regulated Organization</t>
        </is>
      </c>
      <c r="B153" s="247" t="inlineStr">
        <is>
          <t>IT Cloud DR</t>
        </is>
      </c>
      <c r="C153" s="247" t="n">
        <v>5</v>
      </c>
      <c r="D153" s="247" t="n">
        <v>4.2</v>
      </c>
      <c r="E153" s="247" t="n">
        <v>1.3</v>
      </c>
      <c r="F153" s="247" t="n">
        <v>3.2</v>
      </c>
      <c r="G153" s="247" t="inlineStr">
        <is>
          <t>High</t>
        </is>
      </c>
      <c r="H153" s="247" t="inlineStr">
        <is>
          <t>ERP; case management; citizen/customer portal; document management; IAM; cyber monitoring; BI; backup/DR; compliance systems</t>
        </is>
      </c>
      <c r="I153" s="247" t="inlineStr">
        <is>
          <t>compliance controls; data protection; continuity of essential services; audit trail; incident response; citizen communication</t>
        </is>
      </c>
      <c r="J153" s="247" t="n">
        <v>1.2</v>
      </c>
      <c r="K153" s="247" t="inlineStr">
        <is>
          <t>High confidence requires documented owner, current evidence, recent KPI/report and crisis-tested procedure for material domains.</t>
        </is>
      </c>
      <c r="L153" s="247" t="inlineStr">
        <is>
          <t>Compliance and Risk Control Strategy; Business Continuity and Resilience Strategy; Cyber Resilience Strategy</t>
        </is>
      </c>
    </row>
    <row r="154" ht="42.75" customHeight="1" s="209">
      <c r="A154" s="43" t="inlineStr">
        <is>
          <t>Public Sector / Regulated Organization</t>
        </is>
      </c>
      <c r="B154" s="43" t="inlineStr">
        <is>
          <t>Business Systems</t>
        </is>
      </c>
      <c r="C154" s="43" t="n">
        <v>3</v>
      </c>
      <c r="D154" s="43" t="n">
        <v>3.5</v>
      </c>
      <c r="E154" s="43" t="n">
        <v>1</v>
      </c>
      <c r="F154" s="43" t="n">
        <v>2.5</v>
      </c>
      <c r="G154" s="43" t="inlineStr">
        <is>
          <t>Low</t>
        </is>
      </c>
      <c r="H154" s="43" t="inlineStr">
        <is>
          <t>ERP; case management; citizen/customer portal; document management; IAM; cyber monitoring; BI; backup/DR; compliance systems</t>
        </is>
      </c>
      <c r="I154" s="43" t="inlineStr">
        <is>
          <t>compliance controls; data protection; continuity of essential services; audit trail; incident response; citizen communication</t>
        </is>
      </c>
      <c r="J154" s="43" t="n">
        <v>1</v>
      </c>
      <c r="K154" s="43" t="inlineStr">
        <is>
          <t>High confidence requires documented owner, current evidence, recent KPI/report and crisis-tested procedure for material domains.</t>
        </is>
      </c>
      <c r="L154" s="43" t="inlineStr">
        <is>
          <t>Compliance and Risk Control Strategy; Business Continuity and Resilience Strategy; Cyber Resilience Strategy</t>
        </is>
      </c>
    </row>
    <row r="155" ht="42.75" customHeight="1" s="209">
      <c r="A155" s="247" t="inlineStr">
        <is>
          <t>Public Sector / Regulated Organization</t>
        </is>
      </c>
      <c r="B155" s="247" t="inlineStr">
        <is>
          <t>Data BI AI</t>
        </is>
      </c>
      <c r="C155" s="247" t="n">
        <v>3</v>
      </c>
      <c r="D155" s="247" t="n">
        <v>3.5</v>
      </c>
      <c r="E155" s="247" t="n">
        <v>1</v>
      </c>
      <c r="F155" s="247" t="n">
        <v>2.5</v>
      </c>
      <c r="G155" s="247" t="inlineStr">
        <is>
          <t>Low</t>
        </is>
      </c>
      <c r="H155" s="247" t="inlineStr">
        <is>
          <t>ERP; case management; citizen/customer portal; document management; IAM; cyber monitoring; BI; backup/DR; compliance systems</t>
        </is>
      </c>
      <c r="I155" s="247" t="inlineStr">
        <is>
          <t>compliance controls; data protection; continuity of essential services; audit trail; incident response; citizen communication</t>
        </is>
      </c>
      <c r="J155" s="247" t="n">
        <v>1</v>
      </c>
      <c r="K155" s="247" t="inlineStr">
        <is>
          <t>High confidence requires documented owner, current evidence, recent KPI/report and crisis-tested procedure for material domains.</t>
        </is>
      </c>
      <c r="L155" s="247" t="inlineStr">
        <is>
          <t>Compliance and Risk Control Strategy; Business Continuity and Resilience Strategy; Cyber Resilience Strategy</t>
        </is>
      </c>
    </row>
    <row r="156" ht="42.75" customHeight="1" s="209">
      <c r="A156" s="43" t="inlineStr">
        <is>
          <t>Public Sector / Regulated Organization</t>
        </is>
      </c>
      <c r="B156" s="43" t="inlineStr">
        <is>
          <t>Cyber Privacy</t>
        </is>
      </c>
      <c r="C156" s="43" t="n">
        <v>5</v>
      </c>
      <c r="D156" s="43" t="n">
        <v>4.5</v>
      </c>
      <c r="E156" s="43" t="n">
        <v>1.45</v>
      </c>
      <c r="F156" s="43" t="n">
        <v>3.5</v>
      </c>
      <c r="G156" s="43" t="inlineStr">
        <is>
          <t>High</t>
        </is>
      </c>
      <c r="H156" s="43" t="inlineStr">
        <is>
          <t>ERP; case management; citizen/customer portal; document management; IAM; cyber monitoring; BI; backup/DR; compliance systems</t>
        </is>
      </c>
      <c r="I156" s="43" t="inlineStr">
        <is>
          <t>compliance controls; data protection; continuity of essential services; audit trail; incident response; citizen communication</t>
        </is>
      </c>
      <c r="J156" s="43" t="n">
        <v>1.3</v>
      </c>
      <c r="K156" s="43" t="inlineStr">
        <is>
          <t>High confidence requires documented owner, current evidence, recent KPI/report and crisis-tested procedure for material domains.</t>
        </is>
      </c>
      <c r="L156" s="43" t="inlineStr">
        <is>
          <t>Compliance and Risk Control Strategy; Business Continuity and Resilience Strategy; Cyber Resilience Strategy</t>
        </is>
      </c>
    </row>
    <row r="157" ht="42.75" customHeight="1" s="209">
      <c r="A157" s="247" t="inlineStr">
        <is>
          <t>Public Sector / Regulated Organization</t>
        </is>
      </c>
      <c r="B157" s="247" t="inlineStr">
        <is>
          <t>Quality Portfolio</t>
        </is>
      </c>
      <c r="C157" s="247" t="n">
        <v>4</v>
      </c>
      <c r="D157" s="247" t="n">
        <v>4</v>
      </c>
      <c r="E157" s="247" t="n">
        <v>1.15</v>
      </c>
      <c r="F157" s="247" t="n">
        <v>3</v>
      </c>
      <c r="G157" s="247" t="inlineStr">
        <is>
          <t>Medium</t>
        </is>
      </c>
      <c r="H157" s="247" t="inlineStr">
        <is>
          <t>ERP; case management; citizen/customer portal; document management; IAM; cyber monitoring; BI; backup/DR; compliance systems</t>
        </is>
      </c>
      <c r="I157" s="247" t="inlineStr">
        <is>
          <t>compliance controls; data protection; continuity of essential services; audit trail; incident response; citizen communication</t>
        </is>
      </c>
      <c r="J157" s="247" t="n">
        <v>1.1</v>
      </c>
      <c r="K157" s="247" t="inlineStr">
        <is>
          <t>High confidence requires documented owner, current evidence, recent KPI/report and crisis-tested procedure for material domains.</t>
        </is>
      </c>
      <c r="L157" s="247" t="inlineStr">
        <is>
          <t>Compliance and Risk Control Strategy; Business Continuity and Resilience Strategy; Cyber Resilience Strategy</t>
        </is>
      </c>
    </row>
    <row r="300" ht="25.95" customHeight="1" s="209">
      <c r="A300" s="261" t="inlineStr">
        <is>
          <t>Technical Industry Strategy Fit</t>
        </is>
      </c>
      <c r="B300" s="215" t="n"/>
      <c r="C300" s="215" t="n"/>
      <c r="D300" s="215" t="n"/>
      <c r="E300" s="216" t="n"/>
    </row>
    <row r="301" ht="34.05" customHeight="1" s="209">
      <c r="A301" s="125" t="inlineStr">
        <is>
          <t>Hidden logic sheet. Fit scores are used to adjust Strategy Selection rankings by selected industry.</t>
        </is>
      </c>
      <c r="B301" s="125" t="n"/>
      <c r="C301" s="125" t="n"/>
      <c r="D301" s="125" t="n"/>
      <c r="E301" s="125" t="n"/>
    </row>
    <row r="303" ht="15" customHeight="1" s="209">
      <c r="A303" s="23" t="inlineStr">
        <is>
          <t>Industry template</t>
        </is>
      </c>
      <c r="B303" s="23" t="inlineStr">
        <is>
          <t>Strategy ID</t>
        </is>
      </c>
      <c r="C303" s="23" t="inlineStr">
        <is>
          <t>Strategy</t>
        </is>
      </c>
      <c r="D303" s="23" t="inlineStr">
        <is>
          <t>Fit score 0-5</t>
        </is>
      </c>
      <c r="E303" s="23" t="inlineStr">
        <is>
          <t>Rationale</t>
        </is>
      </c>
    </row>
    <row r="304" ht="28.5" customHeight="1" s="209">
      <c r="A304" s="247" t="inlineStr">
        <is>
          <t>IT Services</t>
        </is>
      </c>
      <c r="B304" s="247" t="inlineStr">
        <is>
          <t>STR-01</t>
        </is>
      </c>
      <c r="C304" s="247" t="inlineStr">
        <is>
          <t>Digital Foundation Strategy</t>
        </is>
      </c>
      <c r="D304" s="247" t="n">
        <v>4.5</v>
      </c>
      <c r="E304" s="247" t="inlineStr">
        <is>
          <t>Digital Foundation Strategy receives a fit score of 4.5 for IT Services based on typical operating model, critical systems, crisis exposure and value-protection logic.</t>
        </is>
      </c>
    </row>
    <row r="305" ht="28.5" customHeight="1" s="209">
      <c r="A305" s="43" t="inlineStr">
        <is>
          <t>IT Services</t>
        </is>
      </c>
      <c r="B305" s="43" t="inlineStr">
        <is>
          <t>STR-02</t>
        </is>
      </c>
      <c r="C305" s="43" t="inlineStr">
        <is>
          <t>Business Continuity and Resilience Strategy</t>
        </is>
      </c>
      <c r="D305" s="43" t="n">
        <v>4.5</v>
      </c>
      <c r="E305" s="43" t="inlineStr">
        <is>
          <t>Business Continuity and Resilience Strategy receives a fit score of 4.5 for IT Services based on typical operating model, critical systems, crisis exposure and value-protection logic.</t>
        </is>
      </c>
    </row>
    <row r="306" ht="28.5" customHeight="1" s="209">
      <c r="A306" s="247" t="inlineStr">
        <is>
          <t>IT Services</t>
        </is>
      </c>
      <c r="B306" s="247" t="inlineStr">
        <is>
          <t>STR-03</t>
        </is>
      </c>
      <c r="C306" s="247" t="inlineStr">
        <is>
          <t>Cloud and Infrastructure Resilience Strategy</t>
        </is>
      </c>
      <c r="D306" s="247" t="n">
        <v>3</v>
      </c>
      <c r="E306" s="247" t="inlineStr">
        <is>
          <t>Cloud and Infrastructure Resilience Strategy receives a fit score of 3 for IT Services based on typical operating model, critical systems, crisis exposure and value-protection logic.</t>
        </is>
      </c>
    </row>
    <row r="307" ht="28.5" customHeight="1" s="209">
      <c r="A307" s="43" t="inlineStr">
        <is>
          <t>IT Services</t>
        </is>
      </c>
      <c r="B307" s="43" t="inlineStr">
        <is>
          <t>STR-04</t>
        </is>
      </c>
      <c r="C307" s="43" t="inlineStr">
        <is>
          <t>Cyber Resilience Strategy</t>
        </is>
      </c>
      <c r="D307" s="43" t="n">
        <v>3</v>
      </c>
      <c r="E307" s="43" t="inlineStr">
        <is>
          <t>Cyber Resilience Strategy receives a fit score of 3 for IT Services based on typical operating model, critical systems, crisis exposure and value-protection logic.</t>
        </is>
      </c>
    </row>
    <row r="308" ht="28.5" customHeight="1" s="209">
      <c r="A308" s="247" t="inlineStr">
        <is>
          <t>IT Services</t>
        </is>
      </c>
      <c r="B308" s="247" t="inlineStr">
        <is>
          <t>STR-05</t>
        </is>
      </c>
      <c r="C308" s="247" t="inlineStr">
        <is>
          <t>Data Governance and AI Readiness Strategy</t>
        </is>
      </c>
      <c r="D308" s="247" t="n">
        <v>3</v>
      </c>
      <c r="E308" s="247" t="inlineStr">
        <is>
          <t>Data Governance and AI Readiness Strategy receives a fit score of 3 for IT Services based on typical operating model, critical systems, crisis exposure and value-protection logic.</t>
        </is>
      </c>
    </row>
    <row r="309" ht="28.5" customHeight="1" s="209">
      <c r="A309" s="43" t="inlineStr">
        <is>
          <t>IT Services</t>
        </is>
      </c>
      <c r="B309" s="43" t="inlineStr">
        <is>
          <t>STR-06</t>
        </is>
      </c>
      <c r="C309" s="43" t="inlineStr">
        <is>
          <t>Workforce Resilience Strategy</t>
        </is>
      </c>
      <c r="D309" s="43" t="n">
        <v>5</v>
      </c>
      <c r="E309" s="43" t="inlineStr">
        <is>
          <t>Workforce Resilience Strategy receives a fit score of 5 for IT Services based on typical operating model, critical systems, crisis exposure and value-protection logic.</t>
        </is>
      </c>
    </row>
    <row r="310" ht="28.5" customHeight="1" s="209">
      <c r="A310" s="247" t="inlineStr">
        <is>
          <t>IT Services</t>
        </is>
      </c>
      <c r="B310" s="247" t="inlineStr">
        <is>
          <t>STR-07</t>
        </is>
      </c>
      <c r="C310" s="247" t="inlineStr">
        <is>
          <t>Operational Excellence and Automation Strategy</t>
        </is>
      </c>
      <c r="D310" s="247" t="n">
        <v>4</v>
      </c>
      <c r="E310" s="247" t="inlineStr">
        <is>
          <t>Operational Excellence and Automation Strategy receives a fit score of 4 for IT Services based on typical operating model, critical systems, crisis exposure and value-protection logic.</t>
        </is>
      </c>
    </row>
    <row r="311" ht="28.5" customHeight="1" s="209">
      <c r="A311" s="43" t="inlineStr">
        <is>
          <t>IT Services</t>
        </is>
      </c>
      <c r="B311" s="43" t="inlineStr">
        <is>
          <t>STR-08</t>
        </is>
      </c>
      <c r="C311" s="43" t="inlineStr">
        <is>
          <t>Supply Chain and Delivery Resilience Strategy</t>
        </is>
      </c>
      <c r="D311" s="43" t="n">
        <v>3</v>
      </c>
      <c r="E311" s="43" t="inlineStr">
        <is>
          <t>Supply Chain and Delivery Resilience Strategy receives a fit score of 3 for IT Services based on typical operating model, critical systems, crisis exposure and value-protection logic.</t>
        </is>
      </c>
    </row>
    <row r="312" ht="28.5" customHeight="1" s="209">
      <c r="A312" s="247" t="inlineStr">
        <is>
          <t>IT Services</t>
        </is>
      </c>
      <c r="B312" s="247" t="inlineStr">
        <is>
          <t>STR-09</t>
        </is>
      </c>
      <c r="C312" s="247" t="inlineStr">
        <is>
          <t>Manufacturing Continuity and MES Strategy</t>
        </is>
      </c>
      <c r="D312" s="247" t="n">
        <v>3</v>
      </c>
      <c r="E312" s="247" t="inlineStr">
        <is>
          <t>Manufacturing Continuity and MES Strategy receives a fit score of 3 for IT Services based on typical operating model, critical systems, crisis exposure and value-protection logic.</t>
        </is>
      </c>
    </row>
    <row r="313" ht="28.5" customHeight="1" s="209">
      <c r="A313" s="43" t="inlineStr">
        <is>
          <t>IT Services</t>
        </is>
      </c>
      <c r="B313" s="43" t="inlineStr">
        <is>
          <t>STR-10</t>
        </is>
      </c>
      <c r="C313" s="43" t="inlineStr">
        <is>
          <t>Physical Safety and Site Resilience Strategy</t>
        </is>
      </c>
      <c r="D313" s="43" t="n">
        <v>4</v>
      </c>
      <c r="E313" s="43" t="inlineStr">
        <is>
          <t>Physical Safety and Site Resilience Strategy receives a fit score of 4 for IT Services based on typical operating model, critical systems, crisis exposure and value-protection logic.</t>
        </is>
      </c>
    </row>
    <row r="314" ht="28.5" customHeight="1" s="209">
      <c r="A314" s="247" t="inlineStr">
        <is>
          <t>IT Services</t>
        </is>
      </c>
      <c r="B314" s="247" t="inlineStr">
        <is>
          <t>STR-11</t>
        </is>
      </c>
      <c r="C314" s="247" t="inlineStr">
        <is>
          <t>Sales Channel Diversification Strategy</t>
        </is>
      </c>
      <c r="D314" s="247" t="n">
        <v>3</v>
      </c>
      <c r="E314" s="247" t="inlineStr">
        <is>
          <t>Sales Channel Diversification Strategy receives a fit score of 3 for IT Services based on typical operating model, critical systems, crisis exposure and value-protection logic.</t>
        </is>
      </c>
    </row>
    <row r="315" ht="28.5" customHeight="1" s="209">
      <c r="A315" s="43" t="inlineStr">
        <is>
          <t>IT Services</t>
        </is>
      </c>
      <c r="B315" s="43" t="inlineStr">
        <is>
          <t>STR-12</t>
        </is>
      </c>
      <c r="C315" s="43" t="inlineStr">
        <is>
          <t>Customer Retention and Revenue Protection Strategy</t>
        </is>
      </c>
      <c r="D315" s="43" t="n">
        <v>3</v>
      </c>
      <c r="E315" s="43" t="inlineStr">
        <is>
          <t>Customer Retention and Revenue Protection Strategy receives a fit score of 3 for IT Services based on typical operating model, critical systems, crisis exposure and value-protection logic.</t>
        </is>
      </c>
    </row>
    <row r="316" ht="28.5" customHeight="1" s="209">
      <c r="A316" s="247" t="inlineStr">
        <is>
          <t>IT Services</t>
        </is>
      </c>
      <c r="B316" s="247" t="inlineStr">
        <is>
          <t>STR-13</t>
        </is>
      </c>
      <c r="C316" s="247" t="inlineStr">
        <is>
          <t>Compliance and Risk Control Strategy</t>
        </is>
      </c>
      <c r="D316" s="247" t="n">
        <v>3</v>
      </c>
      <c r="E316" s="247" t="inlineStr">
        <is>
          <t>Compliance and Risk Control Strategy receives a fit score of 3 for IT Services based on typical operating model, critical systems, crisis exposure and value-protection logic.</t>
        </is>
      </c>
    </row>
    <row r="317" ht="28.5" customHeight="1" s="209">
      <c r="A317" s="43" t="inlineStr">
        <is>
          <t>IT Services</t>
        </is>
      </c>
      <c r="B317" s="43" t="inlineStr">
        <is>
          <t>STR-14</t>
        </is>
      </c>
      <c r="C317" s="43" t="inlineStr">
        <is>
          <t>Governance and Decision-Speed Strategy</t>
        </is>
      </c>
      <c r="D317" s="43" t="n">
        <v>3</v>
      </c>
      <c r="E317" s="43" t="inlineStr">
        <is>
          <t>Governance and Decision-Speed Strategy receives a fit score of 3 for IT Services based on typical operating model, critical systems, crisis exposure and value-protection logic.</t>
        </is>
      </c>
    </row>
    <row r="318" ht="28.5" customHeight="1" s="209">
      <c r="A318" s="247" t="inlineStr">
        <is>
          <t>SaaS / Digital Product</t>
        </is>
      </c>
      <c r="B318" s="247" t="inlineStr">
        <is>
          <t>STR-01</t>
        </is>
      </c>
      <c r="C318" s="247" t="inlineStr">
        <is>
          <t>Digital Foundation Strategy</t>
        </is>
      </c>
      <c r="D318" s="247" t="n">
        <v>3</v>
      </c>
      <c r="E318" s="247" t="inlineStr">
        <is>
          <t>Digital Foundation Strategy receives a fit score of 3 for SaaS / Digital Product based on typical operating model, critical systems, crisis exposure and value-protection logic.</t>
        </is>
      </c>
    </row>
    <row r="319" ht="28.5" customHeight="1" s="209">
      <c r="A319" s="43" t="inlineStr">
        <is>
          <t>SaaS / Digital Product</t>
        </is>
      </c>
      <c r="B319" s="43" t="inlineStr">
        <is>
          <t>STR-02</t>
        </is>
      </c>
      <c r="C319" s="43" t="inlineStr">
        <is>
          <t>Business Continuity and Resilience Strategy</t>
        </is>
      </c>
      <c r="D319" s="43" t="n">
        <v>3</v>
      </c>
      <c r="E319" s="43" t="inlineStr">
        <is>
          <t>Business Continuity and Resilience Strategy receives a fit score of 3 for SaaS / Digital Product based on typical operating model, critical systems, crisis exposure and value-protection logic.</t>
        </is>
      </c>
    </row>
    <row r="320" ht="28.5" customHeight="1" s="209">
      <c r="A320" s="247" t="inlineStr">
        <is>
          <t>SaaS / Digital Product</t>
        </is>
      </c>
      <c r="B320" s="247" t="inlineStr">
        <is>
          <t>STR-03</t>
        </is>
      </c>
      <c r="C320" s="247" t="inlineStr">
        <is>
          <t>Cloud and Infrastructure Resilience Strategy</t>
        </is>
      </c>
      <c r="D320" s="247" t="n">
        <v>5</v>
      </c>
      <c r="E320" s="247" t="inlineStr">
        <is>
          <t>Cloud and Infrastructure Resilience Strategy receives a fit score of 5 for SaaS / Digital Product based on typical operating model, critical systems, crisis exposure and value-protection logic.</t>
        </is>
      </c>
    </row>
    <row r="321" ht="28.5" customHeight="1" s="209">
      <c r="A321" s="43" t="inlineStr">
        <is>
          <t>SaaS / Digital Product</t>
        </is>
      </c>
      <c r="B321" s="43" t="inlineStr">
        <is>
          <t>STR-04</t>
        </is>
      </c>
      <c r="C321" s="43" t="inlineStr">
        <is>
          <t>Cyber Resilience Strategy</t>
        </is>
      </c>
      <c r="D321" s="43" t="n">
        <v>5</v>
      </c>
      <c r="E321" s="43" t="inlineStr">
        <is>
          <t>Cyber Resilience Strategy receives a fit score of 5 for SaaS / Digital Product based on typical operating model, critical systems, crisis exposure and value-protection logic.</t>
        </is>
      </c>
    </row>
    <row r="322" ht="28.5" customHeight="1" s="209">
      <c r="A322" s="247" t="inlineStr">
        <is>
          <t>SaaS / Digital Product</t>
        </is>
      </c>
      <c r="B322" s="247" t="inlineStr">
        <is>
          <t>STR-05</t>
        </is>
      </c>
      <c r="C322" s="247" t="inlineStr">
        <is>
          <t>Data Governance and AI Readiness Strategy</t>
        </is>
      </c>
      <c r="D322" s="247" t="n">
        <v>4.5</v>
      </c>
      <c r="E322" s="247" t="inlineStr">
        <is>
          <t>Data Governance and AI Readiness Strategy receives a fit score of 4.5 for SaaS / Digital Product based on typical operating model, critical systems, crisis exposure and value-protection logic.</t>
        </is>
      </c>
    </row>
    <row r="323" ht="28.5" customHeight="1" s="209">
      <c r="A323" s="43" t="inlineStr">
        <is>
          <t>SaaS / Digital Product</t>
        </is>
      </c>
      <c r="B323" s="43" t="inlineStr">
        <is>
          <t>STR-06</t>
        </is>
      </c>
      <c r="C323" s="43" t="inlineStr">
        <is>
          <t>Workforce Resilience Strategy</t>
        </is>
      </c>
      <c r="D323" s="43" t="n">
        <v>3</v>
      </c>
      <c r="E323" s="43" t="inlineStr">
        <is>
          <t>Workforce Resilience Strategy receives a fit score of 3 for SaaS / Digital Product based on typical operating model, critical systems, crisis exposure and value-protection logic.</t>
        </is>
      </c>
    </row>
    <row r="324" ht="28.5" customHeight="1" s="209">
      <c r="A324" s="247" t="inlineStr">
        <is>
          <t>SaaS / Digital Product</t>
        </is>
      </c>
      <c r="B324" s="247" t="inlineStr">
        <is>
          <t>STR-07</t>
        </is>
      </c>
      <c r="C324" s="247" t="inlineStr">
        <is>
          <t>Operational Excellence and Automation Strategy</t>
        </is>
      </c>
      <c r="D324" s="247" t="n">
        <v>3</v>
      </c>
      <c r="E324" s="247" t="inlineStr">
        <is>
          <t>Operational Excellence and Automation Strategy receives a fit score of 3 for SaaS / Digital Product based on typical operating model, critical systems, crisis exposure and value-protection logic.</t>
        </is>
      </c>
    </row>
    <row r="325" ht="28.5" customHeight="1" s="209">
      <c r="A325" s="43" t="inlineStr">
        <is>
          <t>SaaS / Digital Product</t>
        </is>
      </c>
      <c r="B325" s="43" t="inlineStr">
        <is>
          <t>STR-08</t>
        </is>
      </c>
      <c r="C325" s="43" t="inlineStr">
        <is>
          <t>Supply Chain and Delivery Resilience Strategy</t>
        </is>
      </c>
      <c r="D325" s="43" t="n">
        <v>3</v>
      </c>
      <c r="E325" s="43" t="inlineStr">
        <is>
          <t>Supply Chain and Delivery Resilience Strategy receives a fit score of 3 for SaaS / Digital Product based on typical operating model, critical systems, crisis exposure and value-protection logic.</t>
        </is>
      </c>
    </row>
    <row r="326" ht="28.5" customHeight="1" s="209">
      <c r="A326" s="247" t="inlineStr">
        <is>
          <t>SaaS / Digital Product</t>
        </is>
      </c>
      <c r="B326" s="247" t="inlineStr">
        <is>
          <t>STR-09</t>
        </is>
      </c>
      <c r="C326" s="247" t="inlineStr">
        <is>
          <t>Manufacturing Continuity and MES Strategy</t>
        </is>
      </c>
      <c r="D326" s="247" t="n">
        <v>4</v>
      </c>
      <c r="E326" s="247" t="inlineStr">
        <is>
          <t>Manufacturing Continuity and MES Strategy receives a fit score of 4 for SaaS / Digital Product based on typical operating model, critical systems, crisis exposure and value-protection logic.</t>
        </is>
      </c>
    </row>
    <row r="327" ht="28.5" customHeight="1" s="209">
      <c r="A327" s="43" t="inlineStr">
        <is>
          <t>SaaS / Digital Product</t>
        </is>
      </c>
      <c r="B327" s="43" t="inlineStr">
        <is>
          <t>STR-10</t>
        </is>
      </c>
      <c r="C327" s="43" t="inlineStr">
        <is>
          <t>Physical Safety and Site Resilience Strategy</t>
        </is>
      </c>
      <c r="D327" s="43" t="n">
        <v>4</v>
      </c>
      <c r="E327" s="43" t="inlineStr">
        <is>
          <t>Physical Safety and Site Resilience Strategy receives a fit score of 4 for SaaS / Digital Product based on typical operating model, critical systems, crisis exposure and value-protection logic.</t>
        </is>
      </c>
    </row>
    <row r="328" ht="28.5" customHeight="1" s="209">
      <c r="A328" s="247" t="inlineStr">
        <is>
          <t>SaaS / Digital Product</t>
        </is>
      </c>
      <c r="B328" s="247" t="inlineStr">
        <is>
          <t>STR-11</t>
        </is>
      </c>
      <c r="C328" s="247" t="inlineStr">
        <is>
          <t>Sales Channel Diversification Strategy</t>
        </is>
      </c>
      <c r="D328" s="247" t="n">
        <v>3</v>
      </c>
      <c r="E328" s="247" t="inlineStr">
        <is>
          <t>Sales Channel Diversification Strategy receives a fit score of 3 for SaaS / Digital Product based on typical operating model, critical systems, crisis exposure and value-protection logic.</t>
        </is>
      </c>
    </row>
    <row r="329" ht="28.5" customHeight="1" s="209">
      <c r="A329" s="43" t="inlineStr">
        <is>
          <t>SaaS / Digital Product</t>
        </is>
      </c>
      <c r="B329" s="43" t="inlineStr">
        <is>
          <t>STR-12</t>
        </is>
      </c>
      <c r="C329" s="43" t="inlineStr">
        <is>
          <t>Customer Retention and Revenue Protection Strategy</t>
        </is>
      </c>
      <c r="D329" s="43" t="n">
        <v>3</v>
      </c>
      <c r="E329" s="43" t="inlineStr">
        <is>
          <t>Customer Retention and Revenue Protection Strategy receives a fit score of 3 for SaaS / Digital Product based on typical operating model, critical systems, crisis exposure and value-protection logic.</t>
        </is>
      </c>
    </row>
    <row r="330" ht="28.5" customHeight="1" s="209">
      <c r="A330" s="247" t="inlineStr">
        <is>
          <t>SaaS / Digital Product</t>
        </is>
      </c>
      <c r="B330" s="247" t="inlineStr">
        <is>
          <t>STR-13</t>
        </is>
      </c>
      <c r="C330" s="247" t="inlineStr">
        <is>
          <t>Compliance and Risk Control Strategy</t>
        </is>
      </c>
      <c r="D330" s="247" t="n">
        <v>3</v>
      </c>
      <c r="E330" s="247" t="inlineStr">
        <is>
          <t>Compliance and Risk Control Strategy receives a fit score of 3 for SaaS / Digital Product based on typical operating model, critical systems, crisis exposure and value-protection logic.</t>
        </is>
      </c>
    </row>
    <row r="331" ht="28.5" customHeight="1" s="209">
      <c r="A331" s="43" t="inlineStr">
        <is>
          <t>SaaS / Digital Product</t>
        </is>
      </c>
      <c r="B331" s="43" t="inlineStr">
        <is>
          <t>STR-14</t>
        </is>
      </c>
      <c r="C331" s="43" t="inlineStr">
        <is>
          <t>Governance and Decision-Speed Strategy</t>
        </is>
      </c>
      <c r="D331" s="43" t="n">
        <v>3</v>
      </c>
      <c r="E331" s="43" t="inlineStr">
        <is>
          <t>Governance and Decision-Speed Strategy receives a fit score of 3 for SaaS / Digital Product based on typical operating model, critical systems, crisis exposure and value-protection logic.</t>
        </is>
      </c>
    </row>
    <row r="332" ht="28.5" customHeight="1" s="209">
      <c r="A332" s="247" t="inlineStr">
        <is>
          <t>Manufacturing</t>
        </is>
      </c>
      <c r="B332" s="247" t="inlineStr">
        <is>
          <t>STR-01</t>
        </is>
      </c>
      <c r="C332" s="247" t="inlineStr">
        <is>
          <t>Digital Foundation Strategy</t>
        </is>
      </c>
      <c r="D332" s="247" t="n">
        <v>3</v>
      </c>
      <c r="E332" s="247" t="inlineStr">
        <is>
          <t>Digital Foundation Strategy receives a fit score of 3 for Manufacturing based on typical operating model, critical systems, crisis exposure and value-protection logic.</t>
        </is>
      </c>
    </row>
    <row r="333" ht="28.5" customHeight="1" s="209">
      <c r="A333" s="43" t="inlineStr">
        <is>
          <t>Manufacturing</t>
        </is>
      </c>
      <c r="B333" s="43" t="inlineStr">
        <is>
          <t>STR-02</t>
        </is>
      </c>
      <c r="C333" s="43" t="inlineStr">
        <is>
          <t>Business Continuity and Resilience Strategy</t>
        </is>
      </c>
      <c r="D333" s="43" t="n">
        <v>4.5</v>
      </c>
      <c r="E333" s="43" t="inlineStr">
        <is>
          <t>Business Continuity and Resilience Strategy receives a fit score of 4.5 for Manufacturing based on typical operating model, critical systems, crisis exposure and value-protection logic.</t>
        </is>
      </c>
    </row>
    <row r="334" ht="28.5" customHeight="1" s="209">
      <c r="A334" s="247" t="inlineStr">
        <is>
          <t>Manufacturing</t>
        </is>
      </c>
      <c r="B334" s="247" t="inlineStr">
        <is>
          <t>STR-03</t>
        </is>
      </c>
      <c r="C334" s="247" t="inlineStr">
        <is>
          <t>Cloud and Infrastructure Resilience Strategy</t>
        </is>
      </c>
      <c r="D334" s="247" t="n">
        <v>4</v>
      </c>
      <c r="E334" s="247" t="inlineStr">
        <is>
          <t>Cloud and Infrastructure Resilience Strategy receives a fit score of 4 for Manufacturing based on typical operating model, critical systems, crisis exposure and value-protection logic.</t>
        </is>
      </c>
    </row>
    <row r="335" ht="28.5" customHeight="1" s="209">
      <c r="A335" s="43" t="inlineStr">
        <is>
          <t>Manufacturing</t>
        </is>
      </c>
      <c r="B335" s="43" t="inlineStr">
        <is>
          <t>STR-04</t>
        </is>
      </c>
      <c r="C335" s="43" t="inlineStr">
        <is>
          <t>Cyber Resilience Strategy</t>
        </is>
      </c>
      <c r="D335" s="43" t="n">
        <v>3</v>
      </c>
      <c r="E335" s="43" t="inlineStr">
        <is>
          <t>Cyber Resilience Strategy receives a fit score of 3 for Manufacturing based on typical operating model, critical systems, crisis exposure and value-protection logic.</t>
        </is>
      </c>
    </row>
    <row r="336" ht="28.5" customHeight="1" s="209">
      <c r="A336" s="247" t="inlineStr">
        <is>
          <t>Manufacturing</t>
        </is>
      </c>
      <c r="B336" s="247" t="inlineStr">
        <is>
          <t>STR-05</t>
        </is>
      </c>
      <c r="C336" s="247" t="inlineStr">
        <is>
          <t>Data Governance and AI Readiness Strategy</t>
        </is>
      </c>
      <c r="D336" s="247" t="n">
        <v>3</v>
      </c>
      <c r="E336" s="247" t="inlineStr">
        <is>
          <t>Data Governance and AI Readiness Strategy receives a fit score of 3 for Manufacturing based on typical operating model, critical systems, crisis exposure and value-protection logic.</t>
        </is>
      </c>
    </row>
    <row r="337" ht="28.5" customHeight="1" s="209">
      <c r="A337" s="43" t="inlineStr">
        <is>
          <t>Manufacturing</t>
        </is>
      </c>
      <c r="B337" s="43" t="inlineStr">
        <is>
          <t>STR-06</t>
        </is>
      </c>
      <c r="C337" s="43" t="inlineStr">
        <is>
          <t>Workforce Resilience Strategy</t>
        </is>
      </c>
      <c r="D337" s="43" t="n">
        <v>3</v>
      </c>
      <c r="E337" s="43" t="inlineStr">
        <is>
          <t>Workforce Resilience Strategy receives a fit score of 3 for Manufacturing based on typical operating model, critical systems, crisis exposure and value-protection logic.</t>
        </is>
      </c>
    </row>
    <row r="338" ht="28.5" customHeight="1" s="209">
      <c r="A338" s="247" t="inlineStr">
        <is>
          <t>Manufacturing</t>
        </is>
      </c>
      <c r="B338" s="247" t="inlineStr">
        <is>
          <t>STR-07</t>
        </is>
      </c>
      <c r="C338" s="247" t="inlineStr">
        <is>
          <t>Operational Excellence and Automation Strategy</t>
        </is>
      </c>
      <c r="D338" s="247" t="n">
        <v>5</v>
      </c>
      <c r="E338" s="247" t="inlineStr">
        <is>
          <t>Operational Excellence and Automation Strategy receives a fit score of 5 for Manufacturing based on typical operating model, critical systems, crisis exposure and value-protection logic.</t>
        </is>
      </c>
    </row>
    <row r="339" ht="28.5" customHeight="1" s="209">
      <c r="A339" s="43" t="inlineStr">
        <is>
          <t>Manufacturing</t>
        </is>
      </c>
      <c r="B339" s="43" t="inlineStr">
        <is>
          <t>STR-08</t>
        </is>
      </c>
      <c r="C339" s="43" t="inlineStr">
        <is>
          <t>Supply Chain and Delivery Resilience Strategy</t>
        </is>
      </c>
      <c r="D339" s="43" t="n">
        <v>5</v>
      </c>
      <c r="E339" s="43" t="inlineStr">
        <is>
          <t>Supply Chain and Delivery Resilience Strategy receives a fit score of 5 for Manufacturing based on typical operating model, critical systems, crisis exposure and value-protection logic.</t>
        </is>
      </c>
    </row>
    <row r="340" ht="28.5" customHeight="1" s="209">
      <c r="A340" s="247" t="inlineStr">
        <is>
          <t>Manufacturing</t>
        </is>
      </c>
      <c r="B340" s="247" t="inlineStr">
        <is>
          <t>STR-09</t>
        </is>
      </c>
      <c r="C340" s="247" t="inlineStr">
        <is>
          <t>Manufacturing Continuity and MES Strategy</t>
        </is>
      </c>
      <c r="D340" s="247" t="n">
        <v>3</v>
      </c>
      <c r="E340" s="247" t="inlineStr">
        <is>
          <t>Manufacturing Continuity and MES Strategy receives a fit score of 3 for Manufacturing based on typical operating model, critical systems, crisis exposure and value-protection logic.</t>
        </is>
      </c>
    </row>
    <row r="341" ht="28.5" customHeight="1" s="209">
      <c r="A341" s="43" t="inlineStr">
        <is>
          <t>Manufacturing</t>
        </is>
      </c>
      <c r="B341" s="43" t="inlineStr">
        <is>
          <t>STR-10</t>
        </is>
      </c>
      <c r="C341" s="43" t="inlineStr">
        <is>
          <t>Physical Safety and Site Resilience Strategy</t>
        </is>
      </c>
      <c r="D341" s="43" t="n">
        <v>3</v>
      </c>
      <c r="E341" s="43" t="inlineStr">
        <is>
          <t>Physical Safety and Site Resilience Strategy receives a fit score of 3 for Manufacturing based on typical operating model, critical systems, crisis exposure and value-protection logic.</t>
        </is>
      </c>
    </row>
    <row r="342" ht="28.5" customHeight="1" s="209">
      <c r="A342" s="247" t="inlineStr">
        <is>
          <t>Manufacturing</t>
        </is>
      </c>
      <c r="B342" s="247" t="inlineStr">
        <is>
          <t>STR-11</t>
        </is>
      </c>
      <c r="C342" s="247" t="inlineStr">
        <is>
          <t>Sales Channel Diversification Strategy</t>
        </is>
      </c>
      <c r="D342" s="247" t="n">
        <v>3</v>
      </c>
      <c r="E342" s="247" t="inlineStr">
        <is>
          <t>Sales Channel Diversification Strategy receives a fit score of 3 for Manufacturing based on typical operating model, critical systems, crisis exposure and value-protection logic.</t>
        </is>
      </c>
    </row>
    <row r="343" ht="28.5" customHeight="1" s="209">
      <c r="A343" s="43" t="inlineStr">
        <is>
          <t>Manufacturing</t>
        </is>
      </c>
      <c r="B343" s="43" t="inlineStr">
        <is>
          <t>STR-12</t>
        </is>
      </c>
      <c r="C343" s="43" t="inlineStr">
        <is>
          <t>Customer Retention and Revenue Protection Strategy</t>
        </is>
      </c>
      <c r="D343" s="43" t="n">
        <v>4.5</v>
      </c>
      <c r="E343" s="43" t="inlineStr">
        <is>
          <t>Customer Retention and Revenue Protection Strategy receives a fit score of 4.5 for Manufacturing based on typical operating model, critical systems, crisis exposure and value-protection logic.</t>
        </is>
      </c>
    </row>
    <row r="344" ht="28.5" customHeight="1" s="209">
      <c r="A344" s="247" t="inlineStr">
        <is>
          <t>Manufacturing</t>
        </is>
      </c>
      <c r="B344" s="247" t="inlineStr">
        <is>
          <t>STR-13</t>
        </is>
      </c>
      <c r="C344" s="247" t="inlineStr">
        <is>
          <t>Compliance and Risk Control Strategy</t>
        </is>
      </c>
      <c r="D344" s="247" t="n">
        <v>3</v>
      </c>
      <c r="E344" s="247" t="inlineStr">
        <is>
          <t>Compliance and Risk Control Strategy receives a fit score of 3 for Manufacturing based on typical operating model, critical systems, crisis exposure and value-protection logic.</t>
        </is>
      </c>
    </row>
    <row r="345" ht="28.5" customHeight="1" s="209">
      <c r="A345" s="43" t="inlineStr">
        <is>
          <t>Manufacturing</t>
        </is>
      </c>
      <c r="B345" s="43" t="inlineStr">
        <is>
          <t>STR-14</t>
        </is>
      </c>
      <c r="C345" s="43" t="inlineStr">
        <is>
          <t>Governance and Decision-Speed Strategy</t>
        </is>
      </c>
      <c r="D345" s="43" t="n">
        <v>3</v>
      </c>
      <c r="E345" s="43" t="inlineStr">
        <is>
          <t>Governance and Decision-Speed Strategy receives a fit score of 3 for Manufacturing based on typical operating model, critical systems, crisis exposure and value-protection logic.</t>
        </is>
      </c>
    </row>
    <row r="346" ht="28.5" customHeight="1" s="209">
      <c r="A346" s="247" t="inlineStr">
        <is>
          <t>Retail / Ecommerce</t>
        </is>
      </c>
      <c r="B346" s="247" t="inlineStr">
        <is>
          <t>STR-01</t>
        </is>
      </c>
      <c r="C346" s="247" t="inlineStr">
        <is>
          <t>Digital Foundation Strategy</t>
        </is>
      </c>
      <c r="D346" s="247" t="n">
        <v>3</v>
      </c>
      <c r="E346" s="247" t="inlineStr">
        <is>
          <t>Digital Foundation Strategy receives a fit score of 3 for Retail / Ecommerce based on typical operating model, critical systems, crisis exposure and value-protection logic.</t>
        </is>
      </c>
    </row>
    <row r="347" ht="28.5" customHeight="1" s="209">
      <c r="A347" s="43" t="inlineStr">
        <is>
          <t>Retail / Ecommerce</t>
        </is>
      </c>
      <c r="B347" s="43" t="inlineStr">
        <is>
          <t>STR-02</t>
        </is>
      </c>
      <c r="C347" s="43" t="inlineStr">
        <is>
          <t>Business Continuity and Resilience Strategy</t>
        </is>
      </c>
      <c r="D347" s="43" t="n">
        <v>3</v>
      </c>
      <c r="E347" s="43" t="inlineStr">
        <is>
          <t>Business Continuity and Resilience Strategy receives a fit score of 3 for Retail / Ecommerce based on typical operating model, critical systems, crisis exposure and value-protection logic.</t>
        </is>
      </c>
    </row>
    <row r="348" ht="28.5" customHeight="1" s="209">
      <c r="A348" s="247" t="inlineStr">
        <is>
          <t>Retail / Ecommerce</t>
        </is>
      </c>
      <c r="B348" s="247" t="inlineStr">
        <is>
          <t>STR-03</t>
        </is>
      </c>
      <c r="C348" s="247" t="inlineStr">
        <is>
          <t>Cloud and Infrastructure Resilience Strategy</t>
        </is>
      </c>
      <c r="D348" s="247" t="n">
        <v>3</v>
      </c>
      <c r="E348" s="247" t="inlineStr">
        <is>
          <t>Cloud and Infrastructure Resilience Strategy receives a fit score of 3 for Retail / Ecommerce based on typical operating model, critical systems, crisis exposure and value-protection logic.</t>
        </is>
      </c>
    </row>
    <row r="349" ht="28.5" customHeight="1" s="209">
      <c r="A349" s="43" t="inlineStr">
        <is>
          <t>Retail / Ecommerce</t>
        </is>
      </c>
      <c r="B349" s="43" t="inlineStr">
        <is>
          <t>STR-04</t>
        </is>
      </c>
      <c r="C349" s="43" t="inlineStr">
        <is>
          <t>Cyber Resilience Strategy</t>
        </is>
      </c>
      <c r="D349" s="43" t="n">
        <v>4.5</v>
      </c>
      <c r="E349" s="43" t="inlineStr">
        <is>
          <t>Cyber Resilience Strategy receives a fit score of 4.5 for Retail / Ecommerce based on typical operating model, critical systems, crisis exposure and value-protection logic.</t>
        </is>
      </c>
    </row>
    <row r="350" ht="28.5" customHeight="1" s="209">
      <c r="A350" s="247" t="inlineStr">
        <is>
          <t>Retail / Ecommerce</t>
        </is>
      </c>
      <c r="B350" s="247" t="inlineStr">
        <is>
          <t>STR-05</t>
        </is>
      </c>
      <c r="C350" s="247" t="inlineStr">
        <is>
          <t>Data Governance and AI Readiness Strategy</t>
        </is>
      </c>
      <c r="D350" s="247" t="n">
        <v>4</v>
      </c>
      <c r="E350" s="247" t="inlineStr">
        <is>
          <t>Data Governance and AI Readiness Strategy receives a fit score of 4 for Retail / Ecommerce based on typical operating model, critical systems, crisis exposure and value-protection logic.</t>
        </is>
      </c>
    </row>
    <row r="351" ht="28.5" customHeight="1" s="209">
      <c r="A351" s="43" t="inlineStr">
        <is>
          <t>Retail / Ecommerce</t>
        </is>
      </c>
      <c r="B351" s="43" t="inlineStr">
        <is>
          <t>STR-06</t>
        </is>
      </c>
      <c r="C351" s="43" t="inlineStr">
        <is>
          <t>Workforce Resilience Strategy</t>
        </is>
      </c>
      <c r="D351" s="43" t="n">
        <v>3</v>
      </c>
      <c r="E351" s="43" t="inlineStr">
        <is>
          <t>Workforce Resilience Strategy receives a fit score of 3 for Retail / Ecommerce based on typical operating model, critical systems, crisis exposure and value-protection logic.</t>
        </is>
      </c>
    </row>
    <row r="352" ht="28.5" customHeight="1" s="209">
      <c r="A352" s="247" t="inlineStr">
        <is>
          <t>Retail / Ecommerce</t>
        </is>
      </c>
      <c r="B352" s="247" t="inlineStr">
        <is>
          <t>STR-07</t>
        </is>
      </c>
      <c r="C352" s="247" t="inlineStr">
        <is>
          <t>Operational Excellence and Automation Strategy</t>
        </is>
      </c>
      <c r="D352" s="247" t="n">
        <v>3</v>
      </c>
      <c r="E352" s="247" t="inlineStr">
        <is>
          <t>Operational Excellence and Automation Strategy receives a fit score of 3 for Retail / Ecommerce based on typical operating model, critical systems, crisis exposure and value-protection logic.</t>
        </is>
      </c>
    </row>
    <row r="353" ht="28.5" customHeight="1" s="209">
      <c r="A353" s="43" t="inlineStr">
        <is>
          <t>Retail / Ecommerce</t>
        </is>
      </c>
      <c r="B353" s="43" t="inlineStr">
        <is>
          <t>STR-08</t>
        </is>
      </c>
      <c r="C353" s="43" t="inlineStr">
        <is>
          <t>Supply Chain and Delivery Resilience Strategy</t>
        </is>
      </c>
      <c r="D353" s="43" t="n">
        <v>4</v>
      </c>
      <c r="E353" s="43" t="inlineStr">
        <is>
          <t>Supply Chain and Delivery Resilience Strategy receives a fit score of 4 for Retail / Ecommerce based on typical operating model, critical systems, crisis exposure and value-protection logic.</t>
        </is>
      </c>
    </row>
    <row r="354" ht="28.5" customHeight="1" s="209">
      <c r="A354" s="247" t="inlineStr">
        <is>
          <t>Retail / Ecommerce</t>
        </is>
      </c>
      <c r="B354" s="247" t="inlineStr">
        <is>
          <t>STR-09</t>
        </is>
      </c>
      <c r="C354" s="247" t="inlineStr">
        <is>
          <t>Manufacturing Continuity and MES Strategy</t>
        </is>
      </c>
      <c r="D354" s="247" t="n">
        <v>5</v>
      </c>
      <c r="E354" s="247" t="inlineStr">
        <is>
          <t>Manufacturing Continuity and MES Strategy receives a fit score of 5 for Retail / Ecommerce based on typical operating model, critical systems, crisis exposure and value-protection logic.</t>
        </is>
      </c>
    </row>
    <row r="355" ht="28.5" customHeight="1" s="209">
      <c r="A355" s="43" t="inlineStr">
        <is>
          <t>Retail / Ecommerce</t>
        </is>
      </c>
      <c r="B355" s="43" t="inlineStr">
        <is>
          <t>STR-10</t>
        </is>
      </c>
      <c r="C355" s="43" t="inlineStr">
        <is>
          <t>Physical Safety and Site Resilience Strategy</t>
        </is>
      </c>
      <c r="D355" s="43" t="n">
        <v>5</v>
      </c>
      <c r="E355" s="43" t="inlineStr">
        <is>
          <t>Physical Safety and Site Resilience Strategy receives a fit score of 5 for Retail / Ecommerce based on typical operating model, critical systems, crisis exposure and value-protection logic.</t>
        </is>
      </c>
    </row>
    <row r="356" ht="28.5" customHeight="1" s="209">
      <c r="A356" s="247" t="inlineStr">
        <is>
          <t>Retail / Ecommerce</t>
        </is>
      </c>
      <c r="B356" s="247" t="inlineStr">
        <is>
          <t>STR-11</t>
        </is>
      </c>
      <c r="C356" s="247" t="inlineStr">
        <is>
          <t>Sales Channel Diversification Strategy</t>
        </is>
      </c>
      <c r="D356" s="247" t="n">
        <v>3</v>
      </c>
      <c r="E356" s="247" t="inlineStr">
        <is>
          <t>Sales Channel Diversification Strategy receives a fit score of 3 for Retail / Ecommerce based on typical operating model, critical systems, crisis exposure and value-protection logic.</t>
        </is>
      </c>
    </row>
    <row r="357" ht="28.5" customHeight="1" s="209">
      <c r="A357" s="43" t="inlineStr">
        <is>
          <t>Retail / Ecommerce</t>
        </is>
      </c>
      <c r="B357" s="43" t="inlineStr">
        <is>
          <t>STR-12</t>
        </is>
      </c>
      <c r="C357" s="43" t="inlineStr">
        <is>
          <t>Customer Retention and Revenue Protection Strategy</t>
        </is>
      </c>
      <c r="D357" s="43" t="n">
        <v>3</v>
      </c>
      <c r="E357" s="43" t="inlineStr">
        <is>
          <t>Customer Retention and Revenue Protection Strategy receives a fit score of 3 for Retail / Ecommerce based on typical operating model, critical systems, crisis exposure and value-protection logic.</t>
        </is>
      </c>
    </row>
    <row r="358" ht="28.5" customHeight="1" s="209">
      <c r="A358" s="247" t="inlineStr">
        <is>
          <t>Retail / Ecommerce</t>
        </is>
      </c>
      <c r="B358" s="247" t="inlineStr">
        <is>
          <t>STR-13</t>
        </is>
      </c>
      <c r="C358" s="247" t="inlineStr">
        <is>
          <t>Compliance and Risk Control Strategy</t>
        </is>
      </c>
      <c r="D358" s="247" t="n">
        <v>3</v>
      </c>
      <c r="E358" s="247" t="inlineStr">
        <is>
          <t>Compliance and Risk Control Strategy receives a fit score of 3 for Retail / Ecommerce based on typical operating model, critical systems, crisis exposure and value-protection logic.</t>
        </is>
      </c>
    </row>
    <row r="359" ht="28.5" customHeight="1" s="209">
      <c r="A359" s="43" t="inlineStr">
        <is>
          <t>Retail / Ecommerce</t>
        </is>
      </c>
      <c r="B359" s="43" t="inlineStr">
        <is>
          <t>STR-14</t>
        </is>
      </c>
      <c r="C359" s="43" t="inlineStr">
        <is>
          <t>Governance and Decision-Speed Strategy</t>
        </is>
      </c>
      <c r="D359" s="43" t="n">
        <v>3</v>
      </c>
      <c r="E359" s="43" t="inlineStr">
        <is>
          <t>Governance and Decision-Speed Strategy receives a fit score of 3 for Retail / Ecommerce based on typical operating model, critical systems, crisis exposure and value-protection logic.</t>
        </is>
      </c>
    </row>
    <row r="360" ht="28.5" customHeight="1" s="209">
      <c r="A360" s="247" t="inlineStr">
        <is>
          <t>Logistics / Distribution</t>
        </is>
      </c>
      <c r="B360" s="247" t="inlineStr">
        <is>
          <t>STR-01</t>
        </is>
      </c>
      <c r="C360" s="247" t="inlineStr">
        <is>
          <t>Digital Foundation Strategy</t>
        </is>
      </c>
      <c r="D360" s="247" t="n">
        <v>3</v>
      </c>
      <c r="E360" s="247" t="inlineStr">
        <is>
          <t>Digital Foundation Strategy receives a fit score of 3 for Logistics / Distribution based on typical operating model, critical systems, crisis exposure and value-protection logic.</t>
        </is>
      </c>
    </row>
    <row r="361" ht="28.5" customHeight="1" s="209">
      <c r="A361" s="43" t="inlineStr">
        <is>
          <t>Logistics / Distribution</t>
        </is>
      </c>
      <c r="B361" s="43" t="inlineStr">
        <is>
          <t>STR-02</t>
        </is>
      </c>
      <c r="C361" s="43" t="inlineStr">
        <is>
          <t>Business Continuity and Resilience Strategy</t>
        </is>
      </c>
      <c r="D361" s="43" t="n">
        <v>4.5</v>
      </c>
      <c r="E361" s="43" t="inlineStr">
        <is>
          <t>Business Continuity and Resilience Strategy receives a fit score of 4.5 for Logistics / Distribution based on typical operating model, critical systems, crisis exposure and value-protection logic.</t>
        </is>
      </c>
    </row>
    <row r="362" ht="28.5" customHeight="1" s="209">
      <c r="A362" s="247" t="inlineStr">
        <is>
          <t>Logistics / Distribution</t>
        </is>
      </c>
      <c r="B362" s="247" t="inlineStr">
        <is>
          <t>STR-03</t>
        </is>
      </c>
      <c r="C362" s="247" t="inlineStr">
        <is>
          <t>Cloud and Infrastructure Resilience Strategy</t>
        </is>
      </c>
      <c r="D362" s="247" t="n">
        <v>4</v>
      </c>
      <c r="E362" s="247" t="inlineStr">
        <is>
          <t>Cloud and Infrastructure Resilience Strategy receives a fit score of 4 for Logistics / Distribution based on typical operating model, critical systems, crisis exposure and value-protection logic.</t>
        </is>
      </c>
    </row>
    <row r="363" ht="28.5" customHeight="1" s="209">
      <c r="A363" s="43" t="inlineStr">
        <is>
          <t>Logistics / Distribution</t>
        </is>
      </c>
      <c r="B363" s="43" t="inlineStr">
        <is>
          <t>STR-04</t>
        </is>
      </c>
      <c r="C363" s="43" t="inlineStr">
        <is>
          <t>Cyber Resilience Strategy</t>
        </is>
      </c>
      <c r="D363" s="43" t="n">
        <v>3</v>
      </c>
      <c r="E363" s="43" t="inlineStr">
        <is>
          <t>Cyber Resilience Strategy receives a fit score of 3 for Logistics / Distribution based on typical operating model, critical systems, crisis exposure and value-protection logic.</t>
        </is>
      </c>
    </row>
    <row r="364" ht="28.5" customHeight="1" s="209">
      <c r="A364" s="247" t="inlineStr">
        <is>
          <t>Logistics / Distribution</t>
        </is>
      </c>
      <c r="B364" s="247" t="inlineStr">
        <is>
          <t>STR-05</t>
        </is>
      </c>
      <c r="C364" s="247" t="inlineStr">
        <is>
          <t>Data Governance and AI Readiness Strategy</t>
        </is>
      </c>
      <c r="D364" s="247" t="n">
        <v>4</v>
      </c>
      <c r="E364" s="247" t="inlineStr">
        <is>
          <t>Data Governance and AI Readiness Strategy receives a fit score of 4 for Logistics / Distribution based on typical operating model, critical systems, crisis exposure and value-protection logic.</t>
        </is>
      </c>
    </row>
    <row r="365" ht="28.5" customHeight="1" s="209">
      <c r="A365" s="43" t="inlineStr">
        <is>
          <t>Logistics / Distribution</t>
        </is>
      </c>
      <c r="B365" s="43" t="inlineStr">
        <is>
          <t>STR-06</t>
        </is>
      </c>
      <c r="C365" s="43" t="inlineStr">
        <is>
          <t>Workforce Resilience Strategy</t>
        </is>
      </c>
      <c r="D365" s="43" t="n">
        <v>3</v>
      </c>
      <c r="E365" s="43" t="inlineStr">
        <is>
          <t>Workforce Resilience Strategy receives a fit score of 3 for Logistics / Distribution based on typical operating model, critical systems, crisis exposure and value-protection logic.</t>
        </is>
      </c>
    </row>
    <row r="366" ht="28.5" customHeight="1" s="209">
      <c r="A366" s="247" t="inlineStr">
        <is>
          <t>Logistics / Distribution</t>
        </is>
      </c>
      <c r="B366" s="247" t="inlineStr">
        <is>
          <t>STR-07</t>
        </is>
      </c>
      <c r="C366" s="247" t="inlineStr">
        <is>
          <t>Operational Excellence and Automation Strategy</t>
        </is>
      </c>
      <c r="D366" s="247" t="n">
        <v>4.5</v>
      </c>
      <c r="E366" s="247" t="inlineStr">
        <is>
          <t>Operational Excellence and Automation Strategy receives a fit score of 4.5 for Logistics / Distribution based on typical operating model, critical systems, crisis exposure and value-protection logic.</t>
        </is>
      </c>
    </row>
    <row r="367" ht="28.5" customHeight="1" s="209">
      <c r="A367" s="43" t="inlineStr">
        <is>
          <t>Logistics / Distribution</t>
        </is>
      </c>
      <c r="B367" s="43" t="inlineStr">
        <is>
          <t>STR-08</t>
        </is>
      </c>
      <c r="C367" s="43" t="inlineStr">
        <is>
          <t>Supply Chain and Delivery Resilience Strategy</t>
        </is>
      </c>
      <c r="D367" s="43" t="n">
        <v>5</v>
      </c>
      <c r="E367" s="43" t="inlineStr">
        <is>
          <t>Supply Chain and Delivery Resilience Strategy receives a fit score of 5 for Logistics / Distribution based on typical operating model, critical systems, crisis exposure and value-protection logic.</t>
        </is>
      </c>
    </row>
    <row r="368" ht="28.5" customHeight="1" s="209">
      <c r="A368" s="247" t="inlineStr">
        <is>
          <t>Logistics / Distribution</t>
        </is>
      </c>
      <c r="B368" s="247" t="inlineStr">
        <is>
          <t>STR-09</t>
        </is>
      </c>
      <c r="C368" s="247" t="inlineStr">
        <is>
          <t>Manufacturing Continuity and MES Strategy</t>
        </is>
      </c>
      <c r="D368" s="247" t="n">
        <v>3</v>
      </c>
      <c r="E368" s="247" t="inlineStr">
        <is>
          <t>Manufacturing Continuity and MES Strategy receives a fit score of 3 for Logistics / Distribution based on typical operating model, critical systems, crisis exposure and value-protection logic.</t>
        </is>
      </c>
    </row>
    <row r="369" ht="28.5" customHeight="1" s="209">
      <c r="A369" s="43" t="inlineStr">
        <is>
          <t>Logistics / Distribution</t>
        </is>
      </c>
      <c r="B369" s="43" t="inlineStr">
        <is>
          <t>STR-10</t>
        </is>
      </c>
      <c r="C369" s="43" t="inlineStr">
        <is>
          <t>Physical Safety and Site Resilience Strategy</t>
        </is>
      </c>
      <c r="D369" s="43" t="n">
        <v>3</v>
      </c>
      <c r="E369" s="43" t="inlineStr">
        <is>
          <t>Physical Safety and Site Resilience Strategy receives a fit score of 3 for Logistics / Distribution based on typical operating model, critical systems, crisis exposure and value-protection logic.</t>
        </is>
      </c>
    </row>
    <row r="370" ht="28.5" customHeight="1" s="209">
      <c r="A370" s="247" t="inlineStr">
        <is>
          <t>Logistics / Distribution</t>
        </is>
      </c>
      <c r="B370" s="247" t="inlineStr">
        <is>
          <t>STR-11</t>
        </is>
      </c>
      <c r="C370" s="247" t="inlineStr">
        <is>
          <t>Sales Channel Diversification Strategy</t>
        </is>
      </c>
      <c r="D370" s="247" t="n">
        <v>3</v>
      </c>
      <c r="E370" s="247" t="inlineStr">
        <is>
          <t>Sales Channel Diversification Strategy receives a fit score of 3 for Logistics / Distribution based on typical operating model, critical systems, crisis exposure and value-protection logic.</t>
        </is>
      </c>
    </row>
    <row r="371" ht="28.5" customHeight="1" s="209">
      <c r="A371" s="43" t="inlineStr">
        <is>
          <t>Logistics / Distribution</t>
        </is>
      </c>
      <c r="B371" s="43" t="inlineStr">
        <is>
          <t>STR-12</t>
        </is>
      </c>
      <c r="C371" s="43" t="inlineStr">
        <is>
          <t>Customer Retention and Revenue Protection Strategy</t>
        </is>
      </c>
      <c r="D371" s="43" t="n">
        <v>3</v>
      </c>
      <c r="E371" s="43" t="inlineStr">
        <is>
          <t>Customer Retention and Revenue Protection Strategy receives a fit score of 3 for Logistics / Distribution based on typical operating model, critical systems, crisis exposure and value-protection logic.</t>
        </is>
      </c>
    </row>
    <row r="372" ht="28.5" customHeight="1" s="209">
      <c r="A372" s="247" t="inlineStr">
        <is>
          <t>Logistics / Distribution</t>
        </is>
      </c>
      <c r="B372" s="247" t="inlineStr">
        <is>
          <t>STR-13</t>
        </is>
      </c>
      <c r="C372" s="247" t="inlineStr">
        <is>
          <t>Compliance and Risk Control Strategy</t>
        </is>
      </c>
      <c r="D372" s="247" t="n">
        <v>3</v>
      </c>
      <c r="E372" s="247" t="inlineStr">
        <is>
          <t>Compliance and Risk Control Strategy receives a fit score of 3 for Logistics / Distribution based on typical operating model, critical systems, crisis exposure and value-protection logic.</t>
        </is>
      </c>
    </row>
    <row r="373" ht="28.5" customHeight="1" s="209">
      <c r="A373" s="43" t="inlineStr">
        <is>
          <t>Logistics / Distribution</t>
        </is>
      </c>
      <c r="B373" s="43" t="inlineStr">
        <is>
          <t>STR-14</t>
        </is>
      </c>
      <c r="C373" s="43" t="inlineStr">
        <is>
          <t>Governance and Decision-Speed Strategy</t>
        </is>
      </c>
      <c r="D373" s="43" t="n">
        <v>3</v>
      </c>
      <c r="E373" s="43" t="inlineStr">
        <is>
          <t>Governance and Decision-Speed Strategy receives a fit score of 3 for Logistics / Distribution based on typical operating model, critical systems, crisis exposure and value-protection logic.</t>
        </is>
      </c>
    </row>
    <row r="374" ht="28.5" customHeight="1" s="209">
      <c r="A374" s="247" t="inlineStr">
        <is>
          <t>Healthcare / Pharma</t>
        </is>
      </c>
      <c r="B374" s="247" t="inlineStr">
        <is>
          <t>STR-01</t>
        </is>
      </c>
      <c r="C374" s="247" t="inlineStr">
        <is>
          <t>Digital Foundation Strategy</t>
        </is>
      </c>
      <c r="D374" s="247" t="n">
        <v>3</v>
      </c>
      <c r="E374" s="247" t="inlineStr">
        <is>
          <t>Digital Foundation Strategy receives a fit score of 3 for Healthcare / Pharma based on typical operating model, critical systems, crisis exposure and value-protection logic.</t>
        </is>
      </c>
    </row>
    <row r="375" ht="28.5" customHeight="1" s="209">
      <c r="A375" s="43" t="inlineStr">
        <is>
          <t>Healthcare / Pharma</t>
        </is>
      </c>
      <c r="B375" s="43" t="inlineStr">
        <is>
          <t>STR-02</t>
        </is>
      </c>
      <c r="C375" s="43" t="inlineStr">
        <is>
          <t>Business Continuity and Resilience Strategy</t>
        </is>
      </c>
      <c r="D375" s="43" t="n">
        <v>4.5</v>
      </c>
      <c r="E375" s="43" t="inlineStr">
        <is>
          <t>Business Continuity and Resilience Strategy receives a fit score of 4.5 for Healthcare / Pharma based on typical operating model, critical systems, crisis exposure and value-protection logic.</t>
        </is>
      </c>
    </row>
    <row r="376" ht="28.5" customHeight="1" s="209">
      <c r="A376" s="247" t="inlineStr">
        <is>
          <t>Healthcare / Pharma</t>
        </is>
      </c>
      <c r="B376" s="247" t="inlineStr">
        <is>
          <t>STR-03</t>
        </is>
      </c>
      <c r="C376" s="247" t="inlineStr">
        <is>
          <t>Cloud and Infrastructure Resilience Strategy</t>
        </is>
      </c>
      <c r="D376" s="247" t="n">
        <v>3</v>
      </c>
      <c r="E376" s="247" t="inlineStr">
        <is>
          <t>Cloud and Infrastructure Resilience Strategy receives a fit score of 3 for Healthcare / Pharma based on typical operating model, critical systems, crisis exposure and value-protection logic.</t>
        </is>
      </c>
    </row>
    <row r="377" ht="28.5" customHeight="1" s="209">
      <c r="A377" s="43" t="inlineStr">
        <is>
          <t>Healthcare / Pharma</t>
        </is>
      </c>
      <c r="B377" s="43" t="inlineStr">
        <is>
          <t>STR-04</t>
        </is>
      </c>
      <c r="C377" s="43" t="inlineStr">
        <is>
          <t>Cyber Resilience Strategy</t>
        </is>
      </c>
      <c r="D377" s="43" t="n">
        <v>5</v>
      </c>
      <c r="E377" s="43" t="inlineStr">
        <is>
          <t>Cyber Resilience Strategy receives a fit score of 5 for Healthcare / Pharma based on typical operating model, critical systems, crisis exposure and value-protection logic.</t>
        </is>
      </c>
    </row>
    <row r="378" ht="28.5" customHeight="1" s="209">
      <c r="A378" s="247" t="inlineStr">
        <is>
          <t>Healthcare / Pharma</t>
        </is>
      </c>
      <c r="B378" s="247" t="inlineStr">
        <is>
          <t>STR-05</t>
        </is>
      </c>
      <c r="C378" s="247" t="inlineStr">
        <is>
          <t>Data Governance and AI Readiness Strategy</t>
        </is>
      </c>
      <c r="D378" s="247" t="n">
        <v>4.5</v>
      </c>
      <c r="E378" s="247" t="inlineStr">
        <is>
          <t>Data Governance and AI Readiness Strategy receives a fit score of 4.5 for Healthcare / Pharma based on typical operating model, critical systems, crisis exposure and value-protection logic.</t>
        </is>
      </c>
    </row>
    <row r="379" ht="28.5" customHeight="1" s="209">
      <c r="A379" s="43" t="inlineStr">
        <is>
          <t>Healthcare / Pharma</t>
        </is>
      </c>
      <c r="B379" s="43" t="inlineStr">
        <is>
          <t>STR-06</t>
        </is>
      </c>
      <c r="C379" s="43" t="inlineStr">
        <is>
          <t>Workforce Resilience Strategy</t>
        </is>
      </c>
      <c r="D379" s="43" t="n">
        <v>3</v>
      </c>
      <c r="E379" s="43" t="inlineStr">
        <is>
          <t>Workforce Resilience Strategy receives a fit score of 3 for Healthcare / Pharma based on typical operating model, critical systems, crisis exposure and value-protection logic.</t>
        </is>
      </c>
    </row>
    <row r="380" ht="28.5" customHeight="1" s="209">
      <c r="A380" s="247" t="inlineStr">
        <is>
          <t>Healthcare / Pharma</t>
        </is>
      </c>
      <c r="B380" s="247" t="inlineStr">
        <is>
          <t>STR-07</t>
        </is>
      </c>
      <c r="C380" s="247" t="inlineStr">
        <is>
          <t>Operational Excellence and Automation Strategy</t>
        </is>
      </c>
      <c r="D380" s="247" t="n">
        <v>3</v>
      </c>
      <c r="E380" s="247" t="inlineStr">
        <is>
          <t>Operational Excellence and Automation Strategy receives a fit score of 3 for Healthcare / Pharma based on typical operating model, critical systems, crisis exposure and value-protection logic.</t>
        </is>
      </c>
    </row>
    <row r="381" ht="28.5" customHeight="1" s="209">
      <c r="A381" s="43" t="inlineStr">
        <is>
          <t>Healthcare / Pharma</t>
        </is>
      </c>
      <c r="B381" s="43" t="inlineStr">
        <is>
          <t>STR-08</t>
        </is>
      </c>
      <c r="C381" s="43" t="inlineStr">
        <is>
          <t>Supply Chain and Delivery Resilience Strategy</t>
        </is>
      </c>
      <c r="D381" s="43" t="n">
        <v>3</v>
      </c>
      <c r="E381" s="43" t="inlineStr">
        <is>
          <t>Supply Chain and Delivery Resilience Strategy receives a fit score of 3 for Healthcare / Pharma based on typical operating model, critical systems, crisis exposure and value-protection logic.</t>
        </is>
      </c>
    </row>
    <row r="382" ht="28.5" customHeight="1" s="209">
      <c r="A382" s="247" t="inlineStr">
        <is>
          <t>Healthcare / Pharma</t>
        </is>
      </c>
      <c r="B382" s="247" t="inlineStr">
        <is>
          <t>STR-09</t>
        </is>
      </c>
      <c r="C382" s="247" t="inlineStr">
        <is>
          <t>Manufacturing Continuity and MES Strategy</t>
        </is>
      </c>
      <c r="D382" s="247" t="n">
        <v>3</v>
      </c>
      <c r="E382" s="247" t="inlineStr">
        <is>
          <t>Manufacturing Continuity and MES Strategy receives a fit score of 3 for Healthcare / Pharma based on typical operating model, critical systems, crisis exposure and value-protection logic.</t>
        </is>
      </c>
    </row>
    <row r="383" ht="28.5" customHeight="1" s="209">
      <c r="A383" s="43" t="inlineStr">
        <is>
          <t>Healthcare / Pharma</t>
        </is>
      </c>
      <c r="B383" s="43" t="inlineStr">
        <is>
          <t>STR-10</t>
        </is>
      </c>
      <c r="C383" s="43" t="inlineStr">
        <is>
          <t>Physical Safety and Site Resilience Strategy</t>
        </is>
      </c>
      <c r="D383" s="43" t="n">
        <v>3</v>
      </c>
      <c r="E383" s="43" t="inlineStr">
        <is>
          <t>Physical Safety and Site Resilience Strategy receives a fit score of 3 for Healthcare / Pharma based on typical operating model, critical systems, crisis exposure and value-protection logic.</t>
        </is>
      </c>
    </row>
    <row r="384" ht="28.5" customHeight="1" s="209">
      <c r="A384" s="247" t="inlineStr">
        <is>
          <t>Healthcare / Pharma</t>
        </is>
      </c>
      <c r="B384" s="247" t="inlineStr">
        <is>
          <t>STR-11</t>
        </is>
      </c>
      <c r="C384" s="247" t="inlineStr">
        <is>
          <t>Sales Channel Diversification Strategy</t>
        </is>
      </c>
      <c r="D384" s="247" t="n">
        <v>5</v>
      </c>
      <c r="E384" s="247" t="inlineStr">
        <is>
          <t>Sales Channel Diversification Strategy receives a fit score of 5 for Healthcare / Pharma based on typical operating model, critical systems, crisis exposure and value-protection logic.</t>
        </is>
      </c>
    </row>
    <row r="385" ht="28.5" customHeight="1" s="209">
      <c r="A385" s="43" t="inlineStr">
        <is>
          <t>Healthcare / Pharma</t>
        </is>
      </c>
      <c r="B385" s="43" t="inlineStr">
        <is>
          <t>STR-12</t>
        </is>
      </c>
      <c r="C385" s="43" t="inlineStr">
        <is>
          <t>Customer Retention and Revenue Protection Strategy</t>
        </is>
      </c>
      <c r="D385" s="43" t="n">
        <v>3</v>
      </c>
      <c r="E385" s="43" t="inlineStr">
        <is>
          <t>Customer Retention and Revenue Protection Strategy receives a fit score of 3 for Healthcare / Pharma based on typical operating model, critical systems, crisis exposure and value-protection logic.</t>
        </is>
      </c>
    </row>
    <row r="386" ht="28.5" customHeight="1" s="209">
      <c r="A386" s="247" t="inlineStr">
        <is>
          <t>Healthcare / Pharma</t>
        </is>
      </c>
      <c r="B386" s="247" t="inlineStr">
        <is>
          <t>STR-13</t>
        </is>
      </c>
      <c r="C386" s="247" t="inlineStr">
        <is>
          <t>Compliance and Risk Control Strategy</t>
        </is>
      </c>
      <c r="D386" s="247" t="n">
        <v>4</v>
      </c>
      <c r="E386" s="247" t="inlineStr">
        <is>
          <t>Compliance and Risk Control Strategy receives a fit score of 4 for Healthcare / Pharma based on typical operating model, critical systems, crisis exposure and value-protection logic.</t>
        </is>
      </c>
    </row>
    <row r="387" ht="28.5" customHeight="1" s="209">
      <c r="A387" s="43" t="inlineStr">
        <is>
          <t>Healthcare / Pharma</t>
        </is>
      </c>
      <c r="B387" s="43" t="inlineStr">
        <is>
          <t>STR-14</t>
        </is>
      </c>
      <c r="C387" s="43" t="inlineStr">
        <is>
          <t>Governance and Decision-Speed Strategy</t>
        </is>
      </c>
      <c r="D387" s="43" t="n">
        <v>3</v>
      </c>
      <c r="E387" s="43" t="inlineStr">
        <is>
          <t>Governance and Decision-Speed Strategy receives a fit score of 3 for Healthcare / Pharma based on typical operating model, critical systems, crisis exposure and value-protection logic.</t>
        </is>
      </c>
    </row>
    <row r="388" ht="28.5" customHeight="1" s="209">
      <c r="A388" s="247" t="inlineStr">
        <is>
          <t>Energy / Utilities</t>
        </is>
      </c>
      <c r="B388" s="247" t="inlineStr">
        <is>
          <t>STR-01</t>
        </is>
      </c>
      <c r="C388" s="247" t="inlineStr">
        <is>
          <t>Digital Foundation Strategy</t>
        </is>
      </c>
      <c r="D388" s="247" t="n">
        <v>3</v>
      </c>
      <c r="E388" s="247" t="inlineStr">
        <is>
          <t>Digital Foundation Strategy receives a fit score of 3 for Energy / Utilities based on typical operating model, critical systems, crisis exposure and value-protection logic.</t>
        </is>
      </c>
    </row>
    <row r="389" ht="28.5" customHeight="1" s="209">
      <c r="A389" s="43" t="inlineStr">
        <is>
          <t>Energy / Utilities</t>
        </is>
      </c>
      <c r="B389" s="43" t="inlineStr">
        <is>
          <t>STR-02</t>
        </is>
      </c>
      <c r="C389" s="43" t="inlineStr">
        <is>
          <t>Business Continuity and Resilience Strategy</t>
        </is>
      </c>
      <c r="D389" s="43" t="n">
        <v>5</v>
      </c>
      <c r="E389" s="43" t="inlineStr">
        <is>
          <t>Business Continuity and Resilience Strategy receives a fit score of 5 for Energy / Utilities based on typical operating model, critical systems, crisis exposure and value-protection logic.</t>
        </is>
      </c>
    </row>
    <row r="390" ht="28.5" customHeight="1" s="209">
      <c r="A390" s="247" t="inlineStr">
        <is>
          <t>Energy / Utilities</t>
        </is>
      </c>
      <c r="B390" s="247" t="inlineStr">
        <is>
          <t>STR-03</t>
        </is>
      </c>
      <c r="C390" s="247" t="inlineStr">
        <is>
          <t>Cloud and Infrastructure Resilience Strategy</t>
        </is>
      </c>
      <c r="D390" s="247" t="n">
        <v>4.5</v>
      </c>
      <c r="E390" s="247" t="inlineStr">
        <is>
          <t>Cloud and Infrastructure Resilience Strategy receives a fit score of 4.5 for Energy / Utilities based on typical operating model, critical systems, crisis exposure and value-protection logic.</t>
        </is>
      </c>
    </row>
    <row r="391" ht="28.5" customHeight="1" s="209">
      <c r="A391" s="43" t="inlineStr">
        <is>
          <t>Energy / Utilities</t>
        </is>
      </c>
      <c r="B391" s="43" t="inlineStr">
        <is>
          <t>STR-04</t>
        </is>
      </c>
      <c r="C391" s="43" t="inlineStr">
        <is>
          <t>Cyber Resilience Strategy</t>
        </is>
      </c>
      <c r="D391" s="43" t="n">
        <v>5</v>
      </c>
      <c r="E391" s="43" t="inlineStr">
        <is>
          <t>Cyber Resilience Strategy receives a fit score of 5 for Energy / Utilities based on typical operating model, critical systems, crisis exposure and value-protection logic.</t>
        </is>
      </c>
    </row>
    <row r="392" ht="28.5" customHeight="1" s="209">
      <c r="A392" s="247" t="inlineStr">
        <is>
          <t>Energy / Utilities</t>
        </is>
      </c>
      <c r="B392" s="247" t="inlineStr">
        <is>
          <t>STR-05</t>
        </is>
      </c>
      <c r="C392" s="247" t="inlineStr">
        <is>
          <t>Data Governance and AI Readiness Strategy</t>
        </is>
      </c>
      <c r="D392" s="247" t="n">
        <v>3</v>
      </c>
      <c r="E392" s="247" t="inlineStr">
        <is>
          <t>Data Governance and AI Readiness Strategy receives a fit score of 3 for Energy / Utilities based on typical operating model, critical systems, crisis exposure and value-protection logic.</t>
        </is>
      </c>
    </row>
    <row r="393" ht="28.5" customHeight="1" s="209">
      <c r="A393" s="43" t="inlineStr">
        <is>
          <t>Energy / Utilities</t>
        </is>
      </c>
      <c r="B393" s="43" t="inlineStr">
        <is>
          <t>STR-06</t>
        </is>
      </c>
      <c r="C393" s="43" t="inlineStr">
        <is>
          <t>Workforce Resilience Strategy</t>
        </is>
      </c>
      <c r="D393" s="43" t="n">
        <v>3</v>
      </c>
      <c r="E393" s="43" t="inlineStr">
        <is>
          <t>Workforce Resilience Strategy receives a fit score of 3 for Energy / Utilities based on typical operating model, critical systems, crisis exposure and value-protection logic.</t>
        </is>
      </c>
    </row>
    <row r="394" ht="28.5" customHeight="1" s="209">
      <c r="A394" s="247" t="inlineStr">
        <is>
          <t>Energy / Utilities</t>
        </is>
      </c>
      <c r="B394" s="247" t="inlineStr">
        <is>
          <t>STR-07</t>
        </is>
      </c>
      <c r="C394" s="247" t="inlineStr">
        <is>
          <t>Operational Excellence and Automation Strategy</t>
        </is>
      </c>
      <c r="D394" s="247" t="n">
        <v>3</v>
      </c>
      <c r="E394" s="247" t="inlineStr">
        <is>
          <t>Operational Excellence and Automation Strategy receives a fit score of 3 for Energy / Utilities based on typical operating model, critical systems, crisis exposure and value-protection logic.</t>
        </is>
      </c>
    </row>
    <row r="395" ht="28.5" customHeight="1" s="209">
      <c r="A395" s="43" t="inlineStr">
        <is>
          <t>Energy / Utilities</t>
        </is>
      </c>
      <c r="B395" s="43" t="inlineStr">
        <is>
          <t>STR-08</t>
        </is>
      </c>
      <c r="C395" s="43" t="inlineStr">
        <is>
          <t>Supply Chain and Delivery Resilience Strategy</t>
        </is>
      </c>
      <c r="D395" s="43" t="n">
        <v>4.5</v>
      </c>
      <c r="E395" s="43" t="inlineStr">
        <is>
          <t>Supply Chain and Delivery Resilience Strategy receives a fit score of 4.5 for Energy / Utilities based on typical operating model, critical systems, crisis exposure and value-protection logic.</t>
        </is>
      </c>
    </row>
    <row r="396" ht="28.5" customHeight="1" s="209">
      <c r="A396" s="247" t="inlineStr">
        <is>
          <t>Energy / Utilities</t>
        </is>
      </c>
      <c r="B396" s="247" t="inlineStr">
        <is>
          <t>STR-09</t>
        </is>
      </c>
      <c r="C396" s="247" t="inlineStr">
        <is>
          <t>Manufacturing Continuity and MES Strategy</t>
        </is>
      </c>
      <c r="D396" s="247" t="n">
        <v>3</v>
      </c>
      <c r="E396" s="247" t="inlineStr">
        <is>
          <t>Manufacturing Continuity and MES Strategy receives a fit score of 3 for Energy / Utilities based on typical operating model, critical systems, crisis exposure and value-protection logic.</t>
        </is>
      </c>
    </row>
    <row r="397" ht="28.5" customHeight="1" s="209">
      <c r="A397" s="43" t="inlineStr">
        <is>
          <t>Energy / Utilities</t>
        </is>
      </c>
      <c r="B397" s="43" t="inlineStr">
        <is>
          <t>STR-10</t>
        </is>
      </c>
      <c r="C397" s="43" t="inlineStr">
        <is>
          <t>Physical Safety and Site Resilience Strategy</t>
        </is>
      </c>
      <c r="D397" s="43" t="n">
        <v>3</v>
      </c>
      <c r="E397" s="43" t="inlineStr">
        <is>
          <t>Physical Safety and Site Resilience Strategy receives a fit score of 3 for Energy / Utilities based on typical operating model, critical systems, crisis exposure and value-protection logic.</t>
        </is>
      </c>
    </row>
    <row r="398" ht="28.5" customHeight="1" s="209">
      <c r="A398" s="247" t="inlineStr">
        <is>
          <t>Energy / Utilities</t>
        </is>
      </c>
      <c r="B398" s="247" t="inlineStr">
        <is>
          <t>STR-11</t>
        </is>
      </c>
      <c r="C398" s="247" t="inlineStr">
        <is>
          <t>Sales Channel Diversification Strategy</t>
        </is>
      </c>
      <c r="D398" s="247" t="n">
        <v>4</v>
      </c>
      <c r="E398" s="247" t="inlineStr">
        <is>
          <t>Sales Channel Diversification Strategy receives a fit score of 4 for Energy / Utilities based on typical operating model, critical systems, crisis exposure and value-protection logic.</t>
        </is>
      </c>
    </row>
    <row r="399" ht="28.5" customHeight="1" s="209">
      <c r="A399" s="43" t="inlineStr">
        <is>
          <t>Energy / Utilities</t>
        </is>
      </c>
      <c r="B399" s="43" t="inlineStr">
        <is>
          <t>STR-12</t>
        </is>
      </c>
      <c r="C399" s="43" t="inlineStr">
        <is>
          <t>Customer Retention and Revenue Protection Strategy</t>
        </is>
      </c>
      <c r="D399" s="43" t="n">
        <v>3</v>
      </c>
      <c r="E399" s="43" t="inlineStr">
        <is>
          <t>Customer Retention and Revenue Protection Strategy receives a fit score of 3 for Energy / Utilities based on typical operating model, critical systems, crisis exposure and value-protection logic.</t>
        </is>
      </c>
    </row>
    <row r="400" ht="28.5" customHeight="1" s="209">
      <c r="A400" s="247" t="inlineStr">
        <is>
          <t>Energy / Utilities</t>
        </is>
      </c>
      <c r="B400" s="247" t="inlineStr">
        <is>
          <t>STR-13</t>
        </is>
      </c>
      <c r="C400" s="247" t="inlineStr">
        <is>
          <t>Compliance and Risk Control Strategy</t>
        </is>
      </c>
      <c r="D400" s="247" t="n">
        <v>3</v>
      </c>
      <c r="E400" s="247" t="inlineStr">
        <is>
          <t>Compliance and Risk Control Strategy receives a fit score of 3 for Energy / Utilities based on typical operating model, critical systems, crisis exposure and value-protection logic.</t>
        </is>
      </c>
    </row>
    <row r="401" ht="28.5" customHeight="1" s="209">
      <c r="A401" s="43" t="inlineStr">
        <is>
          <t>Energy / Utilities</t>
        </is>
      </c>
      <c r="B401" s="43" t="inlineStr">
        <is>
          <t>STR-14</t>
        </is>
      </c>
      <c r="C401" s="43" t="inlineStr">
        <is>
          <t>Governance and Decision-Speed Strategy</t>
        </is>
      </c>
      <c r="D401" s="43" t="n">
        <v>3</v>
      </c>
      <c r="E401" s="43" t="inlineStr">
        <is>
          <t>Governance and Decision-Speed Strategy receives a fit score of 3 for Energy / Utilities based on typical operating model, critical systems, crisis exposure and value-protection logic.</t>
        </is>
      </c>
    </row>
    <row r="402" ht="28.5" customHeight="1" s="209">
      <c r="A402" s="247" t="inlineStr">
        <is>
          <t>Professional Services</t>
        </is>
      </c>
      <c r="B402" s="247" t="inlineStr">
        <is>
          <t>STR-01</t>
        </is>
      </c>
      <c r="C402" s="247" t="inlineStr">
        <is>
          <t>Digital Foundation Strategy</t>
        </is>
      </c>
      <c r="D402" s="247" t="n">
        <v>4</v>
      </c>
      <c r="E402" s="247" t="inlineStr">
        <is>
          <t>Digital Foundation Strategy receives a fit score of 4 for Professional Services based on typical operating model, critical systems, crisis exposure and value-protection logic.</t>
        </is>
      </c>
    </row>
    <row r="403" ht="28.5" customHeight="1" s="209">
      <c r="A403" s="43" t="inlineStr">
        <is>
          <t>Professional Services</t>
        </is>
      </c>
      <c r="B403" s="43" t="inlineStr">
        <is>
          <t>STR-02</t>
        </is>
      </c>
      <c r="C403" s="43" t="inlineStr">
        <is>
          <t>Business Continuity and Resilience Strategy</t>
        </is>
      </c>
      <c r="D403" s="43" t="n">
        <v>4</v>
      </c>
      <c r="E403" s="43" t="inlineStr">
        <is>
          <t>Business Continuity and Resilience Strategy receives a fit score of 4 for Professional Services based on typical operating model, critical systems, crisis exposure and value-protection logic.</t>
        </is>
      </c>
    </row>
    <row r="404" ht="28.5" customHeight="1" s="209">
      <c r="A404" s="247" t="inlineStr">
        <is>
          <t>Professional Services</t>
        </is>
      </c>
      <c r="B404" s="247" t="inlineStr">
        <is>
          <t>STR-03</t>
        </is>
      </c>
      <c r="C404" s="247" t="inlineStr">
        <is>
          <t>Cloud and Infrastructure Resilience Strategy</t>
        </is>
      </c>
      <c r="D404" s="247" t="n">
        <v>3</v>
      </c>
      <c r="E404" s="247" t="inlineStr">
        <is>
          <t>Cloud and Infrastructure Resilience Strategy receives a fit score of 3 for Professional Services based on typical operating model, critical systems, crisis exposure and value-protection logic.</t>
        </is>
      </c>
    </row>
    <row r="405" ht="28.5" customHeight="1" s="209">
      <c r="A405" s="43" t="inlineStr">
        <is>
          <t>Professional Services</t>
        </is>
      </c>
      <c r="B405" s="43" t="inlineStr">
        <is>
          <t>STR-04</t>
        </is>
      </c>
      <c r="C405" s="43" t="inlineStr">
        <is>
          <t>Cyber Resilience Strategy</t>
        </is>
      </c>
      <c r="D405" s="43" t="n">
        <v>3</v>
      </c>
      <c r="E405" s="43" t="inlineStr">
        <is>
          <t>Cyber Resilience Strategy receives a fit score of 3 for Professional Services based on typical operating model, critical systems, crisis exposure and value-protection logic.</t>
        </is>
      </c>
    </row>
    <row r="406" ht="28.5" customHeight="1" s="209">
      <c r="A406" s="247" t="inlineStr">
        <is>
          <t>Professional Services</t>
        </is>
      </c>
      <c r="B406" s="247" t="inlineStr">
        <is>
          <t>STR-05</t>
        </is>
      </c>
      <c r="C406" s="247" t="inlineStr">
        <is>
          <t>Data Governance and AI Readiness Strategy</t>
        </is>
      </c>
      <c r="D406" s="247" t="n">
        <v>3</v>
      </c>
      <c r="E406" s="247" t="inlineStr">
        <is>
          <t>Data Governance and AI Readiness Strategy receives a fit score of 3 for Professional Services based on typical operating model, critical systems, crisis exposure and value-protection logic.</t>
        </is>
      </c>
    </row>
    <row r="407" ht="28.5" customHeight="1" s="209">
      <c r="A407" s="43" t="inlineStr">
        <is>
          <t>Professional Services</t>
        </is>
      </c>
      <c r="B407" s="43" t="inlineStr">
        <is>
          <t>STR-06</t>
        </is>
      </c>
      <c r="C407" s="43" t="inlineStr">
        <is>
          <t>Workforce Resilience Strategy</t>
        </is>
      </c>
      <c r="D407" s="43" t="n">
        <v>5</v>
      </c>
      <c r="E407" s="43" t="inlineStr">
        <is>
          <t>Workforce Resilience Strategy receives a fit score of 5 for Professional Services based on typical operating model, critical systems, crisis exposure and value-protection logic.</t>
        </is>
      </c>
    </row>
    <row r="408" ht="28.5" customHeight="1" s="209">
      <c r="A408" s="247" t="inlineStr">
        <is>
          <t>Professional Services</t>
        </is>
      </c>
      <c r="B408" s="247" t="inlineStr">
        <is>
          <t>STR-07</t>
        </is>
      </c>
      <c r="C408" s="247" t="inlineStr">
        <is>
          <t>Operational Excellence and Automation Strategy</t>
        </is>
      </c>
      <c r="D408" s="247" t="n">
        <v>3</v>
      </c>
      <c r="E408" s="247" t="inlineStr">
        <is>
          <t>Operational Excellence and Automation Strategy receives a fit score of 3 for Professional Services based on typical operating model, critical systems, crisis exposure and value-protection logic.</t>
        </is>
      </c>
    </row>
    <row r="409" ht="28.5" customHeight="1" s="209">
      <c r="A409" s="43" t="inlineStr">
        <is>
          <t>Professional Services</t>
        </is>
      </c>
      <c r="B409" s="43" t="inlineStr">
        <is>
          <t>STR-08</t>
        </is>
      </c>
      <c r="C409" s="43" t="inlineStr">
        <is>
          <t>Supply Chain and Delivery Resilience Strategy</t>
        </is>
      </c>
      <c r="D409" s="43" t="n">
        <v>3</v>
      </c>
      <c r="E409" s="43" t="inlineStr">
        <is>
          <t>Supply Chain and Delivery Resilience Strategy receives a fit score of 3 for Professional Services based on typical operating model, critical systems, crisis exposure and value-protection logic.</t>
        </is>
      </c>
    </row>
    <row r="410" ht="28.5" customHeight="1" s="209">
      <c r="A410" s="247" t="inlineStr">
        <is>
          <t>Professional Services</t>
        </is>
      </c>
      <c r="B410" s="247" t="inlineStr">
        <is>
          <t>STR-09</t>
        </is>
      </c>
      <c r="C410" s="247" t="inlineStr">
        <is>
          <t>Manufacturing Continuity and MES Strategy</t>
        </is>
      </c>
      <c r="D410" s="247" t="n">
        <v>4</v>
      </c>
      <c r="E410" s="247" t="inlineStr">
        <is>
          <t>Manufacturing Continuity and MES Strategy receives a fit score of 4 for Professional Services based on typical operating model, critical systems, crisis exposure and value-protection logic.</t>
        </is>
      </c>
    </row>
    <row r="411" ht="28.5" customHeight="1" s="209">
      <c r="A411" s="43" t="inlineStr">
        <is>
          <t>Professional Services</t>
        </is>
      </c>
      <c r="B411" s="43" t="inlineStr">
        <is>
          <t>STR-10</t>
        </is>
      </c>
      <c r="C411" s="43" t="inlineStr">
        <is>
          <t>Physical Safety and Site Resilience Strategy</t>
        </is>
      </c>
      <c r="D411" s="43" t="n">
        <v>4.5</v>
      </c>
      <c r="E411" s="43" t="inlineStr">
        <is>
          <t>Physical Safety and Site Resilience Strategy receives a fit score of 4.5 for Professional Services based on typical operating model, critical systems, crisis exposure and value-protection logic.</t>
        </is>
      </c>
    </row>
    <row r="412" ht="28.5" customHeight="1" s="209">
      <c r="A412" s="247" t="inlineStr">
        <is>
          <t>Professional Services</t>
        </is>
      </c>
      <c r="B412" s="247" t="inlineStr">
        <is>
          <t>STR-11</t>
        </is>
      </c>
      <c r="C412" s="247" t="inlineStr">
        <is>
          <t>Sales Channel Diversification Strategy</t>
        </is>
      </c>
      <c r="D412" s="247" t="n">
        <v>3</v>
      </c>
      <c r="E412" s="247" t="inlineStr">
        <is>
          <t>Sales Channel Diversification Strategy receives a fit score of 3 for Professional Services based on typical operating model, critical systems, crisis exposure and value-protection logic.</t>
        </is>
      </c>
    </row>
    <row r="413" ht="28.5" customHeight="1" s="209">
      <c r="A413" s="43" t="inlineStr">
        <is>
          <t>Professional Services</t>
        </is>
      </c>
      <c r="B413" s="43" t="inlineStr">
        <is>
          <t>STR-12</t>
        </is>
      </c>
      <c r="C413" s="43" t="inlineStr">
        <is>
          <t>Customer Retention and Revenue Protection Strategy</t>
        </is>
      </c>
      <c r="D413" s="43" t="n">
        <v>3</v>
      </c>
      <c r="E413" s="43" t="inlineStr">
        <is>
          <t>Customer Retention and Revenue Protection Strategy receives a fit score of 3 for Professional Services based on typical operating model, critical systems, crisis exposure and value-protection logic.</t>
        </is>
      </c>
    </row>
    <row r="414" ht="28.5" customHeight="1" s="209">
      <c r="A414" s="247" t="inlineStr">
        <is>
          <t>Professional Services</t>
        </is>
      </c>
      <c r="B414" s="247" t="inlineStr">
        <is>
          <t>STR-13</t>
        </is>
      </c>
      <c r="C414" s="247" t="inlineStr">
        <is>
          <t>Compliance and Risk Control Strategy</t>
        </is>
      </c>
      <c r="D414" s="247" t="n">
        <v>3</v>
      </c>
      <c r="E414" s="247" t="inlineStr">
        <is>
          <t>Compliance and Risk Control Strategy receives a fit score of 3 for Professional Services based on typical operating model, critical systems, crisis exposure and value-protection logic.</t>
        </is>
      </c>
    </row>
    <row r="415" ht="28.5" customHeight="1" s="209">
      <c r="A415" s="43" t="inlineStr">
        <is>
          <t>Professional Services</t>
        </is>
      </c>
      <c r="B415" s="43" t="inlineStr">
        <is>
          <t>STR-14</t>
        </is>
      </c>
      <c r="C415" s="43" t="inlineStr">
        <is>
          <t>Governance and Decision-Speed Strategy</t>
        </is>
      </c>
      <c r="D415" s="43" t="n">
        <v>3</v>
      </c>
      <c r="E415" s="43" t="inlineStr">
        <is>
          <t>Governance and Decision-Speed Strategy receives a fit score of 3 for Professional Services based on typical operating model, critical systems, crisis exposure and value-protection logic.</t>
        </is>
      </c>
    </row>
    <row r="416" ht="28.5" customHeight="1" s="209">
      <c r="A416" s="247" t="inlineStr">
        <is>
          <t>Public Sector / Regulated Organization</t>
        </is>
      </c>
      <c r="B416" s="247" t="inlineStr">
        <is>
          <t>STR-01</t>
        </is>
      </c>
      <c r="C416" s="247" t="inlineStr">
        <is>
          <t>Digital Foundation Strategy</t>
        </is>
      </c>
      <c r="D416" s="247" t="n">
        <v>3</v>
      </c>
      <c r="E416" s="247" t="inlineStr">
        <is>
          <t>Digital Foundation Strategy receives a fit score of 3 for Public Sector / Regulated Organization based on typical operating model, critical systems, crisis exposure and value-protection logic.</t>
        </is>
      </c>
    </row>
    <row r="417" ht="28.5" customHeight="1" s="209">
      <c r="A417" s="43" t="inlineStr">
        <is>
          <t>Public Sector / Regulated Organization</t>
        </is>
      </c>
      <c r="B417" s="43" t="inlineStr">
        <is>
          <t>STR-02</t>
        </is>
      </c>
      <c r="C417" s="43" t="inlineStr">
        <is>
          <t>Business Continuity and Resilience Strategy</t>
        </is>
      </c>
      <c r="D417" s="43" t="n">
        <v>5</v>
      </c>
      <c r="E417" s="43" t="inlineStr">
        <is>
          <t>Business Continuity and Resilience Strategy receives a fit score of 5 for Public Sector / Regulated Organization based on typical operating model, critical systems, crisis exposure and value-protection logic.</t>
        </is>
      </c>
    </row>
    <row r="418" ht="28.5" customHeight="1" s="209">
      <c r="A418" s="247" t="inlineStr">
        <is>
          <t>Public Sector / Regulated Organization</t>
        </is>
      </c>
      <c r="B418" s="247" t="inlineStr">
        <is>
          <t>STR-03</t>
        </is>
      </c>
      <c r="C418" s="247" t="inlineStr">
        <is>
          <t>Cloud and Infrastructure Resilience Strategy</t>
        </is>
      </c>
      <c r="D418" s="247" t="n">
        <v>4</v>
      </c>
      <c r="E418" s="247" t="inlineStr">
        <is>
          <t>Cloud and Infrastructure Resilience Strategy receives a fit score of 4 for Public Sector / Regulated Organization based on typical operating model, critical systems, crisis exposure and value-protection logic.</t>
        </is>
      </c>
    </row>
    <row r="419" ht="28.5" customHeight="1" s="209">
      <c r="A419" s="43" t="inlineStr">
        <is>
          <t>Public Sector / Regulated Organization</t>
        </is>
      </c>
      <c r="B419" s="43" t="inlineStr">
        <is>
          <t>STR-04</t>
        </is>
      </c>
      <c r="C419" s="43" t="inlineStr">
        <is>
          <t>Cyber Resilience Strategy</t>
        </is>
      </c>
      <c r="D419" s="43" t="n">
        <v>4.5</v>
      </c>
      <c r="E419" s="43" t="inlineStr">
        <is>
          <t>Cyber Resilience Strategy receives a fit score of 4.5 for Public Sector / Regulated Organization based on typical operating model, critical systems, crisis exposure and value-protection logic.</t>
        </is>
      </c>
    </row>
    <row r="420" ht="28.5" customHeight="1" s="209">
      <c r="A420" s="247" t="inlineStr">
        <is>
          <t>Public Sector / Regulated Organization</t>
        </is>
      </c>
      <c r="B420" s="247" t="inlineStr">
        <is>
          <t>STR-05</t>
        </is>
      </c>
      <c r="C420" s="247" t="inlineStr">
        <is>
          <t>Data Governance and AI Readiness Strategy</t>
        </is>
      </c>
      <c r="D420" s="247" t="n">
        <v>4</v>
      </c>
      <c r="E420" s="247" t="inlineStr">
        <is>
          <t>Data Governance and AI Readiness Strategy receives a fit score of 4 for Public Sector / Regulated Organization based on typical operating model, critical systems, crisis exposure and value-protection logic.</t>
        </is>
      </c>
    </row>
    <row r="421" ht="28.5" customHeight="1" s="209">
      <c r="A421" s="43" t="inlineStr">
        <is>
          <t>Public Sector / Regulated Organization</t>
        </is>
      </c>
      <c r="B421" s="43" t="inlineStr">
        <is>
          <t>STR-06</t>
        </is>
      </c>
      <c r="C421" s="43" t="inlineStr">
        <is>
          <t>Workforce Resilience Strategy</t>
        </is>
      </c>
      <c r="D421" s="43" t="n">
        <v>3</v>
      </c>
      <c r="E421" s="43" t="inlineStr">
        <is>
          <t>Workforce Resilience Strategy receives a fit score of 3 for Public Sector / Regulated Organization based on typical operating model, critical systems, crisis exposure and value-protection logic.</t>
        </is>
      </c>
    </row>
    <row r="422" ht="28.5" customHeight="1" s="209">
      <c r="A422" s="247" t="inlineStr">
        <is>
          <t>Public Sector / Regulated Organization</t>
        </is>
      </c>
      <c r="B422" s="247" t="inlineStr">
        <is>
          <t>STR-07</t>
        </is>
      </c>
      <c r="C422" s="247" t="inlineStr">
        <is>
          <t>Operational Excellence and Automation Strategy</t>
        </is>
      </c>
      <c r="D422" s="247" t="n">
        <v>3</v>
      </c>
      <c r="E422" s="247" t="inlineStr">
        <is>
          <t>Operational Excellence and Automation Strategy receives a fit score of 3 for Public Sector / Regulated Organization based on typical operating model, critical systems, crisis exposure and value-protection logic.</t>
        </is>
      </c>
    </row>
    <row r="423" ht="28.5" customHeight="1" s="209">
      <c r="A423" s="43" t="inlineStr">
        <is>
          <t>Public Sector / Regulated Organization</t>
        </is>
      </c>
      <c r="B423" s="43" t="inlineStr">
        <is>
          <t>STR-08</t>
        </is>
      </c>
      <c r="C423" s="43" t="inlineStr">
        <is>
          <t>Supply Chain and Delivery Resilience Strategy</t>
        </is>
      </c>
      <c r="D423" s="43" t="n">
        <v>3</v>
      </c>
      <c r="E423" s="43" t="inlineStr">
        <is>
          <t>Supply Chain and Delivery Resilience Strategy receives a fit score of 3 for Public Sector / Regulated Organization based on typical operating model, critical systems, crisis exposure and value-protection logic.</t>
        </is>
      </c>
    </row>
    <row r="424" ht="28.5" customHeight="1" s="209">
      <c r="A424" s="247" t="inlineStr">
        <is>
          <t>Public Sector / Regulated Organization</t>
        </is>
      </c>
      <c r="B424" s="247" t="inlineStr">
        <is>
          <t>STR-09</t>
        </is>
      </c>
      <c r="C424" s="247" t="inlineStr">
        <is>
          <t>Manufacturing Continuity and MES Strategy</t>
        </is>
      </c>
      <c r="D424" s="247" t="n">
        <v>3</v>
      </c>
      <c r="E424" s="247" t="inlineStr">
        <is>
          <t>Manufacturing Continuity and MES Strategy receives a fit score of 3 for Public Sector / Regulated Organization based on typical operating model, critical systems, crisis exposure and value-protection logic.</t>
        </is>
      </c>
    </row>
    <row r="425" ht="28.5" customHeight="1" s="209">
      <c r="A425" s="43" t="inlineStr">
        <is>
          <t>Public Sector / Regulated Organization</t>
        </is>
      </c>
      <c r="B425" s="43" t="inlineStr">
        <is>
          <t>STR-10</t>
        </is>
      </c>
      <c r="C425" s="43" t="inlineStr">
        <is>
          <t>Physical Safety and Site Resilience Strategy</t>
        </is>
      </c>
      <c r="D425" s="43" t="n">
        <v>3</v>
      </c>
      <c r="E425" s="43" t="inlineStr">
        <is>
          <t>Physical Safety and Site Resilience Strategy receives a fit score of 3 for Public Sector / Regulated Organization based on typical operating model, critical systems, crisis exposure and value-protection logic.</t>
        </is>
      </c>
    </row>
    <row r="426" ht="28.5" customHeight="1" s="209">
      <c r="A426" s="247" t="inlineStr">
        <is>
          <t>Public Sector / Regulated Organization</t>
        </is>
      </c>
      <c r="B426" s="247" t="inlineStr">
        <is>
          <t>STR-11</t>
        </is>
      </c>
      <c r="C426" s="247" t="inlineStr">
        <is>
          <t>Sales Channel Diversification Strategy</t>
        </is>
      </c>
      <c r="D426" s="247" t="n">
        <v>5</v>
      </c>
      <c r="E426" s="247" t="inlineStr">
        <is>
          <t>Sales Channel Diversification Strategy receives a fit score of 5 for Public Sector / Regulated Organization based on typical operating model, critical systems, crisis exposure and value-protection logic.</t>
        </is>
      </c>
    </row>
    <row r="427" ht="28.5" customHeight="1" s="209">
      <c r="A427" s="43" t="inlineStr">
        <is>
          <t>Public Sector / Regulated Organization</t>
        </is>
      </c>
      <c r="B427" s="43" t="inlineStr">
        <is>
          <t>STR-12</t>
        </is>
      </c>
      <c r="C427" s="43" t="inlineStr">
        <is>
          <t>Customer Retention and Revenue Protection Strategy</t>
        </is>
      </c>
      <c r="D427" s="43" t="n">
        <v>3</v>
      </c>
      <c r="E427" s="43" t="inlineStr">
        <is>
          <t>Customer Retention and Revenue Protection Strategy receives a fit score of 3 for Public Sector / Regulated Organization based on typical operating model, critical systems, crisis exposure and value-protection logic.</t>
        </is>
      </c>
    </row>
    <row r="428" ht="28.5" customHeight="1" s="209">
      <c r="A428" s="247" t="inlineStr">
        <is>
          <t>Public Sector / Regulated Organization</t>
        </is>
      </c>
      <c r="B428" s="247" t="inlineStr">
        <is>
          <t>STR-13</t>
        </is>
      </c>
      <c r="C428" s="247" t="inlineStr">
        <is>
          <t>Compliance and Risk Control Strategy</t>
        </is>
      </c>
      <c r="D428" s="247" t="n">
        <v>3</v>
      </c>
      <c r="E428" s="247" t="inlineStr">
        <is>
          <t>Compliance and Risk Control Strategy receives a fit score of 3 for Public Sector / Regulated Organization based on typical operating model, critical systems, crisis exposure and value-protection logic.</t>
        </is>
      </c>
    </row>
    <row r="429" ht="28.5" customHeight="1" s="209">
      <c r="A429" s="43" t="inlineStr">
        <is>
          <t>Public Sector / Regulated Organization</t>
        </is>
      </c>
      <c r="B429" s="43" t="inlineStr">
        <is>
          <t>STR-14</t>
        </is>
      </c>
      <c r="C429" s="43" t="inlineStr">
        <is>
          <t>Governance and Decision-Speed Strategy</t>
        </is>
      </c>
      <c r="D429" s="43" t="n">
        <v>3</v>
      </c>
      <c r="E429" s="43" t="inlineStr">
        <is>
          <t>Governance and Decision-Speed Strategy receives a fit score of 3 for Public Sector / Regulated Organization based on typical operating model, critical systems, crisis exposure and value-protection logic.</t>
        </is>
      </c>
    </row>
    <row r="500" ht="25.95" customHeight="1" s="209">
      <c r="A500" s="261" t="inlineStr">
        <is>
          <t>Technical Strategy Package Library</t>
        </is>
      </c>
      <c r="B500" s="261" t="n"/>
      <c r="C500" s="261" t="n"/>
      <c r="D500" s="261" t="n"/>
      <c r="E500" s="261" t="n"/>
      <c r="F500" s="261" t="n"/>
      <c r="G500" s="261" t="n"/>
      <c r="H500" s="261" t="n"/>
      <c r="I500" s="261" t="n"/>
      <c r="J500" s="261" t="n"/>
      <c r="K500" s="261" t="n"/>
      <c r="L500" s="261" t="n"/>
    </row>
    <row r="501" ht="34.05" customHeight="1" s="209">
      <c r="A501" s="257" t="inlineStr">
        <is>
          <t>Hidden strategy package templates. A strategy is treated as a package of executive initiatives connected to risks, crisis scenarios and roadmap logic.</t>
        </is>
      </c>
      <c r="B501" s="125" t="n"/>
      <c r="C501" s="125" t="n"/>
      <c r="D501" s="125" t="n"/>
      <c r="E501" s="125" t="n"/>
      <c r="F501" s="125" t="n"/>
      <c r="G501" s="125" t="n"/>
      <c r="H501" s="125" t="n"/>
      <c r="I501" s="125" t="n"/>
      <c r="J501" s="125" t="n"/>
      <c r="K501" s="125" t="n"/>
      <c r="L501" s="125" t="n"/>
    </row>
    <row r="503" ht="30" customHeight="1" s="209">
      <c r="A503" s="23" t="inlineStr">
        <is>
          <t>Strategy Package ID</t>
        </is>
      </c>
      <c r="B503" s="23" t="inlineStr">
        <is>
          <t>Strategy Package</t>
        </is>
      </c>
      <c r="C503" s="23" t="inlineStr">
        <is>
          <t>Strategic objective</t>
        </is>
      </c>
      <c r="D503" s="23" t="inlineStr">
        <is>
          <t>Recommended when</t>
        </is>
      </c>
      <c r="E503" s="23" t="inlineStr">
        <is>
          <t>Executive initiatives included</t>
        </is>
      </c>
      <c r="F503" s="23" t="inlineStr">
        <is>
          <t>Primary domains</t>
        </is>
      </c>
      <c r="G503" s="23" t="inlineStr">
        <is>
          <t>Risk focus</t>
        </is>
      </c>
      <c r="H503" s="23" t="inlineStr">
        <is>
          <t>Relevant crisis scenarios</t>
        </is>
      </c>
      <c r="I503" s="23" t="inlineStr">
        <is>
          <t>Relevant revenue models</t>
        </is>
      </c>
      <c r="J503" s="23" t="inlineStr">
        <is>
          <t>Relevant industries</t>
        </is>
      </c>
      <c r="K503" s="23" t="inlineStr">
        <is>
          <t>Default owner</t>
        </is>
      </c>
      <c r="L503" s="23" t="inlineStr">
        <is>
          <t>Default wave</t>
        </is>
      </c>
      <c r="M503" s="23" t="inlineStr">
        <is>
          <t>Base business value</t>
        </is>
      </c>
      <c r="N503" s="23" t="inlineStr">
        <is>
          <t>Base time criticality</t>
        </is>
      </c>
      <c r="O503" s="23" t="inlineStr">
        <is>
          <t>Base risk reduction</t>
        </is>
      </c>
      <c r="P503" s="23" t="inlineStr">
        <is>
          <t>Opportunity enablement</t>
        </is>
      </c>
      <c r="Q503" s="23" t="inlineStr">
        <is>
          <t>Complexity</t>
        </is>
      </c>
      <c r="R503" s="23" t="inlineStr">
        <is>
          <t>Industry fit</t>
        </is>
      </c>
      <c r="S503" s="23" t="inlineStr">
        <is>
          <t>Crisis fit</t>
        </is>
      </c>
      <c r="T503" s="23" t="inlineStr">
        <is>
          <t>Revenue model fit</t>
        </is>
      </c>
      <c r="U503" s="23" t="inlineStr">
        <is>
          <t>Active initiative count</t>
        </is>
      </c>
      <c r="V503" s="23" t="inlineStr">
        <is>
          <t>Active risk count</t>
        </is>
      </c>
      <c r="W503" s="23" t="inlineStr">
        <is>
          <t>Calculated priority score</t>
        </is>
      </c>
      <c r="X503" s="23" t="inlineStr">
        <is>
          <t>Strategy WSJF</t>
        </is>
      </c>
      <c r="Y503" s="23" t="inlineStr">
        <is>
          <t>Priority tier</t>
        </is>
      </c>
    </row>
    <row r="504" ht="25.5" customHeight="1" s="209">
      <c r="A504" s="32" t="inlineStr">
        <is>
          <t>STR-PKG-01</t>
        </is>
      </c>
      <c r="B504" s="32" t="inlineStr">
        <is>
          <t>Digital Foundation Strategy</t>
        </is>
      </c>
      <c r="C504" s="32" t="inlineStr">
        <is>
          <t>Establish baseline digital tools, ownership, workflows, reporting and data discipline.</t>
        </is>
      </c>
      <c r="D504" s="32" t="inlineStr">
        <is>
          <t>Low digital foundations, fragmented tools, weak ownership or limited reporting.</t>
        </is>
      </c>
      <c r="E504" s="32" t="inlineStr">
        <is>
          <t>Process ownership; workflow tools; core system governance; master data; reporting discipline.</t>
        </is>
      </c>
      <c r="F504" s="32" t="inlineStr">
        <is>
          <t>Governance Crisis; Business Systems; Data BI AI; IT Cloud DR</t>
        </is>
      </c>
      <c r="G504" s="32" t="inlineStr">
        <is>
          <t>Process immaturity; data quality; tool fragmentation</t>
        </is>
      </c>
      <c r="H504" s="32" t="inlineStr">
        <is>
          <t>All</t>
        </is>
      </c>
      <c r="I504" s="32" t="inlineStr">
        <is>
          <t>All</t>
        </is>
      </c>
      <c r="J504" s="32" t="inlineStr">
        <is>
          <t>All</t>
        </is>
      </c>
      <c r="K504" s="32" t="inlineStr">
        <is>
          <t>COO / CIO</t>
        </is>
      </c>
      <c r="L504" s="32" t="inlineStr">
        <is>
          <t>0-6 months</t>
        </is>
      </c>
      <c r="M504" s="32" t="n">
        <v>4</v>
      </c>
      <c r="N504" s="32" t="n">
        <v>4</v>
      </c>
      <c r="O504" s="32" t="n">
        <v>3</v>
      </c>
      <c r="P504" s="32" t="n">
        <v>4</v>
      </c>
      <c r="Q504" s="32" t="n">
        <v>3</v>
      </c>
      <c r="R504" s="32">
        <f>IF(OR(J504="All",ISNUMBER(SEARCH('Company Profile'!$B$9,J504))),1.3,1)</f>
        <v/>
      </c>
      <c r="S504" s="32">
        <f>IF(OR(H504="All",ISNUMBER(SEARCH('Resilience &amp; Risk Scenario'!$B$6,H504))),1.4,1)</f>
        <v/>
      </c>
      <c r="T504" s="32">
        <f>IF(OR(I504="All",ISNUMBER(SEARCH('Company Profile'!$B$50,I504))),1.2,1)</f>
        <v/>
      </c>
      <c r="U504" s="32">
        <f>COUNTIF(_ENGINE_Initiatives!$D$5:$D$76,B504)</f>
        <v/>
      </c>
      <c r="V504" s="32">
        <f>COUNTIF('_ENGINE_Risk'!$B$500:$B$923,"Yes")</f>
        <v/>
      </c>
      <c r="W504" s="32">
        <f>ROUND((M504+N504+O504+P504)*R504*S504*T504+(U504/10)+(V504/100),2)+ROW()/100000</f>
        <v/>
      </c>
      <c r="X504" s="32">
        <f>IF(Q504=0,"",ROUND(W504/Q504,2))</f>
        <v/>
      </c>
      <c r="Y504" s="32">
        <f>IF(X504&gt;=5,"Critical",IF(X504&gt;=4,"High",IF(X504&gt;=3,"Medium","Monitor")))</f>
        <v/>
      </c>
    </row>
    <row r="505" ht="38.25" customHeight="1" s="209">
      <c r="A505" s="32" t="inlineStr">
        <is>
          <t>STR-PKG-02</t>
        </is>
      </c>
      <c r="B505" s="32" t="inlineStr">
        <is>
          <t>Business Continuity and Resilience Strategy</t>
        </is>
      </c>
      <c r="C505" s="32" t="inlineStr">
        <is>
          <t>Build BIA, recovery priorities, crisis roles, recovery playbooks and testing.</t>
        </is>
      </c>
      <c r="D505" s="32" t="inlineStr">
        <is>
          <t>High disruption exposure, weak continuity governance, unclear recovery priorities.</t>
        </is>
      </c>
      <c r="E505" s="32" t="inlineStr">
        <is>
          <t>BIA; BCP; crisis governance; recovery playbooks; tabletop exercises.</t>
        </is>
      </c>
      <c r="F505" s="32" t="inlineStr">
        <is>
          <t>Governance Crisis; IT Cloud DR; Physical Safety; Delivery Ops</t>
        </is>
      </c>
      <c r="G505" s="32" t="inlineStr">
        <is>
          <t>Business interruption; recovery failure; crisis governance</t>
        </is>
      </c>
      <c r="H505" s="32" t="inlineStr">
        <is>
          <t>Pandemic; War / geopolitical escalation; Natural disaster; Energy crisis; Physical infrastructure disruption; Cyberattack</t>
        </is>
      </c>
      <c r="I505" s="32" t="inlineStr">
        <is>
          <t>All</t>
        </is>
      </c>
      <c r="J505" s="32" t="inlineStr">
        <is>
          <t>All</t>
        </is>
      </c>
      <c r="K505" s="32" t="inlineStr">
        <is>
          <t>CEO / COO / Risk Lead</t>
        </is>
      </c>
      <c r="L505" s="32" t="inlineStr">
        <is>
          <t>0-6 months</t>
        </is>
      </c>
      <c r="M505" s="32" t="n">
        <v>5</v>
      </c>
      <c r="N505" s="32" t="n">
        <v>5</v>
      </c>
      <c r="O505" s="32" t="n">
        <v>5</v>
      </c>
      <c r="P505" s="32" t="n">
        <v>3</v>
      </c>
      <c r="Q505" s="32" t="n">
        <v>4</v>
      </c>
      <c r="R505" s="32">
        <f>IF(OR(J505="All",ISNUMBER(SEARCH('Company Profile'!$B$9,J505))),1.3,1)</f>
        <v/>
      </c>
      <c r="S505" s="32">
        <f>IF(OR(H505="All",ISNUMBER(SEARCH('Resilience &amp; Risk Scenario'!$B$6,H505))),1.4,1)</f>
        <v/>
      </c>
      <c r="T505" s="32">
        <f>IF(OR(I505="All",ISNUMBER(SEARCH('Company Profile'!$B$50,I505))),1.2,1)</f>
        <v/>
      </c>
      <c r="U505" s="32">
        <f>COUNTIF(_ENGINE_Initiatives!$D$5:$D$76,B505)</f>
        <v/>
      </c>
      <c r="V505" s="32">
        <f>COUNTIF('_ENGINE_Risk'!$B$500:$B$923,"Yes")</f>
        <v/>
      </c>
      <c r="W505" s="32">
        <f>ROUND((M505+N505+O505+P505)*R505*S505*T505+(U505/10)+(V505/100),2)+ROW()/100000</f>
        <v/>
      </c>
      <c r="X505" s="32">
        <f>IF(Q505=0,"",ROUND(W505/Q505,2))</f>
        <v/>
      </c>
      <c r="Y505" s="32">
        <f>IF(X505&gt;=5,"Critical",IF(X505&gt;=4,"High",IF(X505&gt;=3,"Medium","Monitor")))</f>
        <v/>
      </c>
    </row>
    <row r="506" ht="38.25" customHeight="1" s="209">
      <c r="A506" s="32" t="inlineStr">
        <is>
          <t>STR-PKG-03</t>
        </is>
      </c>
      <c r="B506" s="32" t="inlineStr">
        <is>
          <t>Cloud and Infrastructure Resilience Strategy</t>
        </is>
      </c>
      <c r="C506" s="32" t="inlineStr">
        <is>
          <t>Reduce infrastructure fragility through cloud architecture, DR, backup, failover and remote access readiness.</t>
        </is>
      </c>
      <c r="D506" s="32" t="inlineStr">
        <is>
          <t>Physical infrastructure dependency, weak backup, high RTO/RPO or poor remote access readiness.</t>
        </is>
      </c>
      <c r="E506" s="32" t="inlineStr">
        <is>
          <t>Cloud landing zone; backup modernization; restore tests; DR runbooks; identity resilience.</t>
        </is>
      </c>
      <c r="F506" s="32" t="inlineStr">
        <is>
          <t>IT Cloud DR; Cyber Privacy; Business Systems</t>
        </is>
      </c>
      <c r="G506" s="32" t="inlineStr">
        <is>
          <t>Infrastructure disruption; data loss; downtime</t>
        </is>
      </c>
      <c r="H506" s="32" t="inlineStr">
        <is>
          <t>Cyberattack; Physical infrastructure disruption; War / geopolitical escalation; Energy crisis</t>
        </is>
      </c>
      <c r="I506" s="32" t="inlineStr">
        <is>
          <t>Subscription; Usage-based; B2B; B2C; Hybrid</t>
        </is>
      </c>
      <c r="J506" s="32" t="inlineStr">
        <is>
          <t>SaaS / Digital Product; IT Services; Retail / Ecommerce; Healthcare / Pharma; Energy / Utilities; Public Sector / Regulated Organization</t>
        </is>
      </c>
      <c r="K506" s="32" t="inlineStr">
        <is>
          <t>CIO / CTO</t>
        </is>
      </c>
      <c r="L506" s="32" t="inlineStr">
        <is>
          <t>0-9 months</t>
        </is>
      </c>
      <c r="M506" s="32" t="n">
        <v>5</v>
      </c>
      <c r="N506" s="32" t="n">
        <v>5</v>
      </c>
      <c r="O506" s="32" t="n">
        <v>5</v>
      </c>
      <c r="P506" s="32" t="n">
        <v>4</v>
      </c>
      <c r="Q506" s="32" t="n">
        <v>4</v>
      </c>
      <c r="R506" s="32">
        <f>IF(OR(J506="All",ISNUMBER(SEARCH('Company Profile'!$B$9,J506))),1.3,1)</f>
        <v/>
      </c>
      <c r="S506" s="32">
        <f>IF(OR(H506="All",ISNUMBER(SEARCH('Resilience &amp; Risk Scenario'!$B$6,H506))),1.4,1)</f>
        <v/>
      </c>
      <c r="T506" s="32">
        <f>IF(OR(I506="All",ISNUMBER(SEARCH('Company Profile'!$B$50,I506))),1.2,1)</f>
        <v/>
      </c>
      <c r="U506" s="32">
        <f>COUNTIF(_ENGINE_Initiatives!$D$5:$D$76,B506)</f>
        <v/>
      </c>
      <c r="V506" s="32">
        <f>COUNTIF('_ENGINE_Risk'!$B$500:$B$923,"Yes")</f>
        <v/>
      </c>
      <c r="W506" s="32">
        <f>ROUND((M506+N506+O506+P506)*R506*S506*T506+(U506/10)+(V506/100),2)+ROW()/100000</f>
        <v/>
      </c>
      <c r="X506" s="32">
        <f>IF(Q506=0,"",ROUND(W506/Q506,2))</f>
        <v/>
      </c>
      <c r="Y506" s="32">
        <f>IF(X506&gt;=5,"Critical",IF(X506&gt;=4,"High",IF(X506&gt;=3,"Medium","Monitor")))</f>
        <v/>
      </c>
    </row>
    <row r="507" ht="25.5" customHeight="1" s="209">
      <c r="A507" s="32" t="inlineStr">
        <is>
          <t>STR-PKG-04</t>
        </is>
      </c>
      <c r="B507" s="32" t="inlineStr">
        <is>
          <t>Cyber Resilience Strategy</t>
        </is>
      </c>
      <c r="C507" s="32" t="inlineStr">
        <is>
          <t>Strengthen identity, monitoring, incident response, backup recovery and security awareness.</t>
        </is>
      </c>
      <c r="D507" s="32" t="inlineStr">
        <is>
          <t>Cybersecurity, ransomware, privacy, access or monitoring weaknesses create material risk.</t>
        </is>
      </c>
      <c r="E507" s="32" t="inlineStr">
        <is>
          <t>MFA; EDR; SIEM/logging; IR playbook; ransomware tabletop; backup isolation; awareness.</t>
        </is>
      </c>
      <c r="F507" s="32" t="inlineStr">
        <is>
          <t>Cyber Privacy; IT Cloud DR; Legal Risk; Data BI AI</t>
        </is>
      </c>
      <c r="G507" s="32" t="inlineStr">
        <is>
          <t>Cyberattack; privacy breach; ransomware; identity compromise</t>
        </is>
      </c>
      <c r="H507" s="32" t="inlineStr">
        <is>
          <t>Cyberattack; Regulatory shock; War / geopolitical escalation</t>
        </is>
      </c>
      <c r="I507" s="32" t="inlineStr">
        <is>
          <t>All</t>
        </is>
      </c>
      <c r="J507" s="32" t="inlineStr">
        <is>
          <t>All</t>
        </is>
      </c>
      <c r="K507" s="32" t="inlineStr">
        <is>
          <t>CISO / CIO</t>
        </is>
      </c>
      <c r="L507" s="32" t="inlineStr">
        <is>
          <t>0-9 months</t>
        </is>
      </c>
      <c r="M507" s="32" t="n">
        <v>5</v>
      </c>
      <c r="N507" s="32" t="n">
        <v>5</v>
      </c>
      <c r="O507" s="32" t="n">
        <v>5</v>
      </c>
      <c r="P507" s="32" t="n">
        <v>4</v>
      </c>
      <c r="Q507" s="32" t="n">
        <v>4</v>
      </c>
      <c r="R507" s="32">
        <f>IF(OR(J507="All",ISNUMBER(SEARCH('Company Profile'!$B$9,J507))),1.3,1)</f>
        <v/>
      </c>
      <c r="S507" s="32">
        <f>IF(OR(H507="All",ISNUMBER(SEARCH('Resilience &amp; Risk Scenario'!$B$6,H507))),1.4,1)</f>
        <v/>
      </c>
      <c r="T507" s="32">
        <f>IF(OR(I507="All",ISNUMBER(SEARCH('Company Profile'!$B$50,I507))),1.2,1)</f>
        <v/>
      </c>
      <c r="U507" s="32">
        <f>COUNTIF(_ENGINE_Initiatives!$D$5:$D$76,B507)</f>
        <v/>
      </c>
      <c r="V507" s="32">
        <f>COUNTIF('_ENGINE_Risk'!$B$500:$B$923,"Yes")</f>
        <v/>
      </c>
      <c r="W507" s="32">
        <f>ROUND((M507+N507+O507+P507)*R507*S507*T507+(U507/10)+(V507/100),2)+ROW()/100000</f>
        <v/>
      </c>
      <c r="X507" s="32">
        <f>IF(Q507=0,"",ROUND(W507/Q507,2))</f>
        <v/>
      </c>
      <c r="Y507" s="32">
        <f>IF(X507&gt;=5,"Critical",IF(X507&gt;=4,"High",IF(X507&gt;=3,"Medium","Monitor")))</f>
        <v/>
      </c>
    </row>
    <row r="508" ht="25.5" customHeight="1" s="209">
      <c r="A508" s="32" t="inlineStr">
        <is>
          <t>STR-PKG-05</t>
        </is>
      </c>
      <c r="B508" s="32" t="inlineStr">
        <is>
          <t>Data Governance and AI Readiness Strategy</t>
        </is>
      </c>
      <c r="C508" s="32" t="inlineStr">
        <is>
          <t>Create data ownership, quality rules, BI governance, analytics discipline and responsible AI controls.</t>
        </is>
      </c>
      <c r="D508" s="32" t="inlineStr">
        <is>
          <t>Data quality, reporting, BI, forecasting or AI governance are weak.</t>
        </is>
      </c>
      <c r="E508" s="32" t="inlineStr">
        <is>
          <t>Data owners; data catalog; BI standards; data quality rules; AI governance; executive dashboards.</t>
        </is>
      </c>
      <c r="F508" s="32" t="inlineStr">
        <is>
          <t>Data BI AI; Business Systems; Governance Crisis</t>
        </is>
      </c>
      <c r="G508" s="32" t="inlineStr">
        <is>
          <t>Poor data quality; unreliable reporting; AI misuse</t>
        </is>
      </c>
      <c r="H508" s="32" t="inlineStr">
        <is>
          <t>Regulatory shock; Economic downturn; Key customer loss</t>
        </is>
      </c>
      <c r="I508" s="32" t="inlineStr">
        <is>
          <t>Subscription; Usage-based; Transaction-based; B2B; B2C; Hybrid</t>
        </is>
      </c>
      <c r="J508" s="32" t="inlineStr">
        <is>
          <t>SaaS / Digital Product; Retail / Ecommerce; Healthcare / Pharma; Energy / Utilities; IT Services</t>
        </is>
      </c>
      <c r="K508" s="32" t="inlineStr">
        <is>
          <t>CDO / CIO / CFO</t>
        </is>
      </c>
      <c r="L508" s="32" t="inlineStr">
        <is>
          <t>3-12 months</t>
        </is>
      </c>
      <c r="M508" s="32" t="n">
        <v>4</v>
      </c>
      <c r="N508" s="32" t="n">
        <v>3</v>
      </c>
      <c r="O508" s="32" t="n">
        <v>3</v>
      </c>
      <c r="P508" s="32" t="n">
        <v>5</v>
      </c>
      <c r="Q508" s="32" t="n">
        <v>4</v>
      </c>
      <c r="R508" s="32">
        <f>IF(OR(J508="All",ISNUMBER(SEARCH('Company Profile'!$B$9,J508))),1.3,1)</f>
        <v/>
      </c>
      <c r="S508" s="32">
        <f>IF(OR(H508="All",ISNUMBER(SEARCH('Resilience &amp; Risk Scenario'!$B$6,H508))),1.4,1)</f>
        <v/>
      </c>
      <c r="T508" s="32">
        <f>IF(OR(I508="All",ISNUMBER(SEARCH('Company Profile'!$B$50,I508))),1.2,1)</f>
        <v/>
      </c>
      <c r="U508" s="32">
        <f>COUNTIF(_ENGINE_Initiatives!$D$5:$D$76,B508)</f>
        <v/>
      </c>
      <c r="V508" s="32">
        <f>COUNTIF('_ENGINE_Risk'!$B$500:$B$923,"Yes")</f>
        <v/>
      </c>
      <c r="W508" s="32">
        <f>ROUND((M508+N508+O508+P508)*R508*S508*T508+(U508/10)+(V508/100),2)+ROW()/100000</f>
        <v/>
      </c>
      <c r="X508" s="32">
        <f>IF(Q508=0,"",ROUND(W508/Q508,2))</f>
        <v/>
      </c>
      <c r="Y508" s="32">
        <f>IF(X508&gt;=5,"Critical",IF(X508&gt;=4,"High",IF(X508&gt;=3,"Medium","Monitor")))</f>
        <v/>
      </c>
    </row>
    <row r="509" ht="25.5" customHeight="1" s="209">
      <c r="A509" s="32" t="inlineStr">
        <is>
          <t>STR-PKG-06</t>
        </is>
      </c>
      <c r="B509" s="32" t="inlineStr">
        <is>
          <t>Workforce Resilience Strategy</t>
        </is>
      </c>
      <c r="C509" s="32" t="inlineStr">
        <is>
          <t>Reduce critical people risk through succession, cross-training, knowledge management and staffing flexibility.</t>
        </is>
      </c>
      <c r="D509" s="32" t="inlineStr">
        <is>
          <t>High key-person dependency, weak role backup, knowledge gaps or workforce availability risk.</t>
        </is>
      </c>
      <c r="E509" s="32" t="inlineStr">
        <is>
          <t>Critical role matrix; succession; backup teams; knowledge base; cross-training; remote work readiness.</t>
        </is>
      </c>
      <c r="F509" s="32" t="inlineStr">
        <is>
          <t>HR Workforce; Delivery Ops; Governance Crisis</t>
        </is>
      </c>
      <c r="G509" s="32" t="inlineStr">
        <is>
          <t>Critical people risk; productivity loss; knowledge loss</t>
        </is>
      </c>
      <c r="H509" s="32" t="inlineStr">
        <is>
          <t>Pandemic; War / geopolitical escalation; Workforce availability crisis</t>
        </is>
      </c>
      <c r="I509" s="32" t="inlineStr">
        <is>
          <t>All</t>
        </is>
      </c>
      <c r="J509" s="32" t="inlineStr">
        <is>
          <t>All</t>
        </is>
      </c>
      <c r="K509" s="32" t="inlineStr">
        <is>
          <t>CHRO / COO</t>
        </is>
      </c>
      <c r="L509" s="32" t="inlineStr">
        <is>
          <t>0-6 months</t>
        </is>
      </c>
      <c r="M509" s="32" t="n">
        <v>4</v>
      </c>
      <c r="N509" s="32" t="n">
        <v>5</v>
      </c>
      <c r="O509" s="32" t="n">
        <v>5</v>
      </c>
      <c r="P509" s="32" t="n">
        <v>3</v>
      </c>
      <c r="Q509" s="32" t="n">
        <v>3</v>
      </c>
      <c r="R509" s="32">
        <f>IF(OR(J509="All",ISNUMBER(SEARCH('Company Profile'!$B$9,J509))),1.3,1)</f>
        <v/>
      </c>
      <c r="S509" s="32">
        <f>IF(OR(H509="All",ISNUMBER(SEARCH('Resilience &amp; Risk Scenario'!$B$6,H509))),1.4,1)</f>
        <v/>
      </c>
      <c r="T509" s="32">
        <f>IF(OR(I509="All",ISNUMBER(SEARCH('Company Profile'!$B$50,I509))),1.2,1)</f>
        <v/>
      </c>
      <c r="U509" s="32">
        <f>COUNTIF(_ENGINE_Initiatives!$D$5:$D$76,B509)</f>
        <v/>
      </c>
      <c r="V509" s="32">
        <f>COUNTIF('_ENGINE_Risk'!$B$500:$B$923,"Yes")</f>
        <v/>
      </c>
      <c r="W509" s="32">
        <f>ROUND((M509+N509+O509+P509)*R509*S509*T509+(U509/10)+(V509/100),2)+ROW()/100000</f>
        <v/>
      </c>
      <c r="X509" s="32">
        <f>IF(Q509=0,"",ROUND(W509/Q509,2))</f>
        <v/>
      </c>
      <c r="Y509" s="32">
        <f>IF(X509&gt;=5,"Critical",IF(X509&gt;=4,"High",IF(X509&gt;=3,"Medium","Monitor")))</f>
        <v/>
      </c>
    </row>
    <row r="510" ht="25.5" customHeight="1" s="209">
      <c r="A510" s="32" t="inlineStr">
        <is>
          <t>STR-PKG-07</t>
        </is>
      </c>
      <c r="B510" s="32" t="inlineStr">
        <is>
          <t>Operational Excellence and Process Maturity Strategy</t>
        </is>
      </c>
      <c r="C510" s="32" t="inlineStr">
        <is>
          <t>Improve process ownership, KPI discipline, standard work, automation and management cadence.</t>
        </is>
      </c>
      <c r="D510" s="32" t="inlineStr">
        <is>
          <t>Processes are manual, slow, costly, fragmented or weakly measured.</t>
        </is>
      </c>
      <c r="E510" s="32" t="inlineStr">
        <is>
          <t>Process mapping; KPI cadence; automation; workflow redesign; standard work; performance management.</t>
        </is>
      </c>
      <c r="F510" s="32" t="inlineStr">
        <is>
          <t>Governance Crisis; Delivery Ops; Quality Portfolio; Business Systems</t>
        </is>
      </c>
      <c r="G510" s="32" t="inlineStr">
        <is>
          <t>Process failure; operational inefficiency; poor execution control</t>
        </is>
      </c>
      <c r="H510" s="32" t="inlineStr">
        <is>
          <t>Economic downturn; Workforce availability crisis; Key customer loss</t>
        </is>
      </c>
      <c r="I510" s="32" t="inlineStr">
        <is>
          <t>Project-based; Transaction-based; Hybrid; B2B</t>
        </is>
      </c>
      <c r="J510" s="32" t="inlineStr">
        <is>
          <t>IT Services; Manufacturing; Professional Services; Logistics / Distribution; Retail / Ecommerce</t>
        </is>
      </c>
      <c r="K510" s="32" t="inlineStr">
        <is>
          <t>COO / Transformation Lead</t>
        </is>
      </c>
      <c r="L510" s="32" t="inlineStr">
        <is>
          <t>3-12 months</t>
        </is>
      </c>
      <c r="M510" s="32" t="n">
        <v>4</v>
      </c>
      <c r="N510" s="32" t="n">
        <v>3</v>
      </c>
      <c r="O510" s="32" t="n">
        <v>3</v>
      </c>
      <c r="P510" s="32" t="n">
        <v>4</v>
      </c>
      <c r="Q510" s="32" t="n">
        <v>3</v>
      </c>
      <c r="R510" s="32">
        <f>IF(OR(J510="All",ISNUMBER(SEARCH('Company Profile'!$B$9,J510))),1.3,1)</f>
        <v/>
      </c>
      <c r="S510" s="32">
        <f>IF(OR(H510="All",ISNUMBER(SEARCH('Resilience &amp; Risk Scenario'!$B$6,H510))),1.4,1)</f>
        <v/>
      </c>
      <c r="T510" s="32">
        <f>IF(OR(I510="All",ISNUMBER(SEARCH('Company Profile'!$B$50,I510))),1.2,1)</f>
        <v/>
      </c>
      <c r="U510" s="32">
        <f>COUNTIF(_ENGINE_Initiatives!$D$5:$D$76,B510)</f>
        <v/>
      </c>
      <c r="V510" s="32">
        <f>COUNTIF('_ENGINE_Risk'!$B$500:$B$923,"Yes")</f>
        <v/>
      </c>
      <c r="W510" s="32">
        <f>ROUND((M510+N510+O510+P510)*R510*S510*T510+(U510/10)+(V510/100),2)+ROW()/100000</f>
        <v/>
      </c>
      <c r="X510" s="32">
        <f>IF(Q510=0,"",ROUND(W510/Q510,2))</f>
        <v/>
      </c>
      <c r="Y510" s="32">
        <f>IF(X510&gt;=5,"Critical",IF(X510&gt;=4,"High",IF(X510&gt;=3,"Medium","Monitor")))</f>
        <v/>
      </c>
    </row>
    <row r="511" ht="25.5" customHeight="1" s="209">
      <c r="A511" s="32" t="inlineStr">
        <is>
          <t>STR-PKG-08</t>
        </is>
      </c>
      <c r="B511" s="32" t="inlineStr">
        <is>
          <t>Supply Chain and Delivery Resilience Strategy</t>
        </is>
      </c>
      <c r="C511" s="32" t="inlineStr">
        <is>
          <t>Strengthen supplier diversification, inventory visibility, logistics alternatives and delivery fallback.</t>
        </is>
      </c>
      <c r="D511" s="32" t="inlineStr">
        <is>
          <t>Supply, logistics, delivery or supplier dependencies create material disruption risk.</t>
        </is>
      </c>
      <c r="E511" s="32" t="inlineStr">
        <is>
          <t>Supplier map; dual sourcing; inventory visibility; route alternatives; SLA triage; delivery fallback.</t>
        </is>
      </c>
      <c r="F511" s="32" t="inlineStr">
        <is>
          <t>Supply Chain; Delivery Ops; Finance Procurement; Manufacturing MES</t>
        </is>
      </c>
      <c r="G511" s="32" t="inlineStr">
        <is>
          <t>Supplier failure; logistics disruption; delivery failure</t>
        </is>
      </c>
      <c r="H511" s="32" t="inlineStr">
        <is>
          <t>Supply chain disruption; War / geopolitical escalation; Natural disaster; Energy crisis</t>
        </is>
      </c>
      <c r="I511" s="32" t="inlineStr">
        <is>
          <t>Transaction-based; B2B; B2C; Hybrid</t>
        </is>
      </c>
      <c r="J511" s="32" t="inlineStr">
        <is>
          <t>Manufacturing; Retail / Ecommerce; Logistics / Distribution; Energy / Utilities; Healthcare / Pharma</t>
        </is>
      </c>
      <c r="K511" s="32" t="inlineStr">
        <is>
          <t>COO / Procurement Lead</t>
        </is>
      </c>
      <c r="L511" s="32" t="inlineStr">
        <is>
          <t>0-9 months</t>
        </is>
      </c>
      <c r="M511" s="32" t="n">
        <v>5</v>
      </c>
      <c r="N511" s="32" t="n">
        <v>5</v>
      </c>
      <c r="O511" s="32" t="n">
        <v>5</v>
      </c>
      <c r="P511" s="32" t="n">
        <v>3</v>
      </c>
      <c r="Q511" s="32" t="n">
        <v>4</v>
      </c>
      <c r="R511" s="32">
        <f>IF(OR(J511="All",ISNUMBER(SEARCH('Company Profile'!$B$9,J511))),1.3,1)</f>
        <v/>
      </c>
      <c r="S511" s="32">
        <f>IF(OR(H511="All",ISNUMBER(SEARCH('Resilience &amp; Risk Scenario'!$B$6,H511))),1.4,1)</f>
        <v/>
      </c>
      <c r="T511" s="32">
        <f>IF(OR(I511="All",ISNUMBER(SEARCH('Company Profile'!$B$50,I511))),1.2,1)</f>
        <v/>
      </c>
      <c r="U511" s="32">
        <f>COUNTIF(_ENGINE_Initiatives!$D$5:$D$76,B511)</f>
        <v/>
      </c>
      <c r="V511" s="32">
        <f>COUNTIF('_ENGINE_Risk'!$B$500:$B$923,"Yes")</f>
        <v/>
      </c>
      <c r="W511" s="32">
        <f>ROUND((M511+N511+O511+P511)*R511*S511*T511+(U511/10)+(V511/100),2)+ROW()/100000</f>
        <v/>
      </c>
      <c r="X511" s="32">
        <f>IF(Q511=0,"",ROUND(W511/Q511,2))</f>
        <v/>
      </c>
      <c r="Y511" s="32">
        <f>IF(X511&gt;=5,"Critical",IF(X511&gt;=4,"High",IF(X511&gt;=3,"Medium","Monitor")))</f>
        <v/>
      </c>
    </row>
    <row r="512" ht="25.5" customHeight="1" s="209">
      <c r="A512" s="32" t="inlineStr">
        <is>
          <t>STR-PKG-09</t>
        </is>
      </c>
      <c r="B512" s="32" t="inlineStr">
        <is>
          <t>Manufacturing Continuity and MES Strategy</t>
        </is>
      </c>
      <c r="C512" s="32" t="inlineStr">
        <is>
          <t>Improve production continuity, MES visibility, maintenance, spare parts, utilities backup and recovery sequence.</t>
        </is>
      </c>
      <c r="D512" s="32" t="inlineStr">
        <is>
          <t>Manufacturing, MES, maintenance, utilities or spare parts dependencies create operational risk.</t>
        </is>
      </c>
      <c r="E512" s="32" t="inlineStr">
        <is>
          <t>MES continuity; OEE visibility; maintenance planning; spare parts; utility backup; production recovery sequence.</t>
        </is>
      </c>
      <c r="F512" s="32" t="inlineStr">
        <is>
          <t>Manufacturing MES; Supply Chain; Physical Safety; IT Cloud DR</t>
        </is>
      </c>
      <c r="G512" s="32" t="inlineStr">
        <is>
          <t>Production stoppage; asset failure; MES outage</t>
        </is>
      </c>
      <c r="H512" s="32" t="inlineStr">
        <is>
          <t>Energy crisis; Supply chain disruption; Natural disaster; War / geopolitical escalation</t>
        </is>
      </c>
      <c r="I512" s="32" t="inlineStr">
        <is>
          <t>B2B; B2C; Transaction-based; Hybrid</t>
        </is>
      </c>
      <c r="J512" s="32" t="inlineStr">
        <is>
          <t>Manufacturing; Energy / Utilities; Healthcare / Pharma</t>
        </is>
      </c>
      <c r="K512" s="32" t="inlineStr">
        <is>
          <t>Plant Manager / COO</t>
        </is>
      </c>
      <c r="L512" s="32" t="inlineStr">
        <is>
          <t>3-12 months</t>
        </is>
      </c>
      <c r="M512" s="32" t="n">
        <v>4</v>
      </c>
      <c r="N512" s="32" t="n">
        <v>5</v>
      </c>
      <c r="O512" s="32" t="n">
        <v>5</v>
      </c>
      <c r="P512" s="32" t="n">
        <v>3</v>
      </c>
      <c r="Q512" s="32" t="n">
        <v>4</v>
      </c>
      <c r="R512" s="32">
        <f>IF(OR(J512="All",ISNUMBER(SEARCH('Company Profile'!$B$9,J512))),1.3,1)</f>
        <v/>
      </c>
      <c r="S512" s="32">
        <f>IF(OR(H512="All",ISNUMBER(SEARCH('Resilience &amp; Risk Scenario'!$B$6,H512))),1.4,1)</f>
        <v/>
      </c>
      <c r="T512" s="32">
        <f>IF(OR(I512="All",ISNUMBER(SEARCH('Company Profile'!$B$50,I512))),1.2,1)</f>
        <v/>
      </c>
      <c r="U512" s="32">
        <f>COUNTIF(_ENGINE_Initiatives!$D$5:$D$76,B512)</f>
        <v/>
      </c>
      <c r="V512" s="32">
        <f>COUNTIF('_ENGINE_Risk'!$B$500:$B$923,"Yes")</f>
        <v/>
      </c>
      <c r="W512" s="32">
        <f>ROUND((M512+N512+O512+P512)*R512*S512*T512+(U512/10)+(V512/100),2)+ROW()/100000</f>
        <v/>
      </c>
      <c r="X512" s="32">
        <f>IF(Q512=0,"",ROUND(W512/Q512,2))</f>
        <v/>
      </c>
      <c r="Y512" s="32">
        <f>IF(X512&gt;=5,"Critical",IF(X512&gt;=4,"High",IF(X512&gt;=3,"Medium","Monitor")))</f>
        <v/>
      </c>
    </row>
    <row r="513" ht="38.25" customHeight="1" s="209">
      <c r="A513" s="32" t="inlineStr">
        <is>
          <t>STR-PKG-10</t>
        </is>
      </c>
      <c r="B513" s="32" t="inlineStr">
        <is>
          <t>Physical Safety and Site Resilience Strategy</t>
        </is>
      </c>
      <c r="C513" s="32" t="inlineStr">
        <is>
          <t>Protect people, sites and physical assets through safety, emergency response, access control and alternate-site planning.</t>
        </is>
      </c>
      <c r="D513" s="32" t="inlineStr">
        <is>
          <t>Employee safety, facility, access, emergency response or site loss risks are material.</t>
        </is>
      </c>
      <c r="E513" s="32" t="inlineStr">
        <is>
          <t>Site risk assessment; evacuation; emergency roles; access control; travel risk; alternate site.</t>
        </is>
      </c>
      <c r="F513" s="32" t="inlineStr">
        <is>
          <t>Physical Safety; Company Geography; HR Workforce; Governance Crisis</t>
        </is>
      </c>
      <c r="G513" s="32" t="inlineStr">
        <is>
          <t>People safety; site loss; access failure</t>
        </is>
      </c>
      <c r="H513" s="32" t="inlineStr">
        <is>
          <t>War / geopolitical escalation; Natural disaster; Physical infrastructure disruption; Pandemic</t>
        </is>
      </c>
      <c r="I513" s="32" t="inlineStr">
        <is>
          <t>All</t>
        </is>
      </c>
      <c r="J513" s="32" t="inlineStr">
        <is>
          <t>Manufacturing; Logistics / Distribution; Energy / Utilities; Public Sector / Regulated Organization; Healthcare / Pharma; Retail / Ecommerce</t>
        </is>
      </c>
      <c r="K513" s="32" t="inlineStr">
        <is>
          <t>COO / HSE / Security Lead</t>
        </is>
      </c>
      <c r="L513" s="32" t="inlineStr">
        <is>
          <t>0-6 months</t>
        </is>
      </c>
      <c r="M513" s="32" t="n">
        <v>5</v>
      </c>
      <c r="N513" s="32" t="n">
        <v>5</v>
      </c>
      <c r="O513" s="32" t="n">
        <v>5</v>
      </c>
      <c r="P513" s="32" t="n">
        <v>2</v>
      </c>
      <c r="Q513" s="32" t="n">
        <v>3</v>
      </c>
      <c r="R513" s="32">
        <f>IF(OR(J513="All",ISNUMBER(SEARCH('Company Profile'!$B$9,J513))),1.3,1)</f>
        <v/>
      </c>
      <c r="S513" s="32">
        <f>IF(OR(H513="All",ISNUMBER(SEARCH('Resilience &amp; Risk Scenario'!$B$6,H513))),1.4,1)</f>
        <v/>
      </c>
      <c r="T513" s="32">
        <f>IF(OR(I513="All",ISNUMBER(SEARCH('Company Profile'!$B$50,I513))),1.2,1)</f>
        <v/>
      </c>
      <c r="U513" s="32">
        <f>COUNTIF(_ENGINE_Initiatives!$D$5:$D$76,B513)</f>
        <v/>
      </c>
      <c r="V513" s="32">
        <f>COUNTIF('_ENGINE_Risk'!$B$500:$B$923,"Yes")</f>
        <v/>
      </c>
      <c r="W513" s="32">
        <f>ROUND((M513+N513+O513+P513)*R513*S513*T513+(U513/10)+(V513/100),2)+ROW()/100000</f>
        <v/>
      </c>
      <c r="X513" s="32">
        <f>IF(Q513=0,"",ROUND(W513/Q513,2))</f>
        <v/>
      </c>
      <c r="Y513" s="32">
        <f>IF(X513&gt;=5,"Critical",IF(X513&gt;=4,"High",IF(X513&gt;=3,"Medium","Monitor")))</f>
        <v/>
      </c>
    </row>
    <row r="514" ht="38.25" customHeight="1" s="209">
      <c r="A514" s="32" t="inlineStr">
        <is>
          <t>STR-PKG-11</t>
        </is>
      </c>
      <c r="B514" s="32" t="inlineStr">
        <is>
          <t>GTM and Revenue Diversification Strategy</t>
        </is>
      </c>
      <c r="C514" s="32" t="inlineStr">
        <is>
          <t>Reduce revenue dependency through ICP clarity, offer packaging, new channels, market diversification and CRM discipline.</t>
        </is>
      </c>
      <c r="D514" s="32" t="inlineStr">
        <is>
          <t>Revenue depends on one region, customer segment, physical channel, weak ICP or narrow customer base.</t>
        </is>
      </c>
      <c r="E514" s="32" t="inlineStr">
        <is>
          <t>ICP validation; offer packaging; channel mix; partner channels; pricing; market diversification.</t>
        </is>
      </c>
      <c r="F514" s="32" t="inlineStr">
        <is>
          <t>Strategy GTM; Sales CRM; Marketing Comms</t>
        </is>
      </c>
      <c r="G514" s="32" t="inlineStr">
        <is>
          <t>Revenue concentration; weak pipeline; market dependency</t>
        </is>
      </c>
      <c r="H514" s="32" t="inlineStr">
        <is>
          <t>Regional sales decline; Key customer loss; Economic downturn</t>
        </is>
      </c>
      <c r="I514" s="32" t="inlineStr">
        <is>
          <t>B2B; B2C; Marketplace; Subscription; Project-based; Transaction-based; Hybrid</t>
        </is>
      </c>
      <c r="J514" s="32" t="inlineStr">
        <is>
          <t>SaaS / Digital Product; IT Services; Retail / Ecommerce; Professional Services; Logistics / Distribution</t>
        </is>
      </c>
      <c r="K514" s="32" t="inlineStr">
        <is>
          <t>CRO / CMO</t>
        </is>
      </c>
      <c r="L514" s="32" t="inlineStr">
        <is>
          <t>3-12 months</t>
        </is>
      </c>
      <c r="M514" s="32" t="n">
        <v>5</v>
      </c>
      <c r="N514" s="32" t="n">
        <v>4</v>
      </c>
      <c r="O514" s="32" t="n">
        <v>4</v>
      </c>
      <c r="P514" s="32" t="n">
        <v>5</v>
      </c>
      <c r="Q514" s="32" t="n">
        <v>4</v>
      </c>
      <c r="R514" s="32">
        <f>IF(OR(J514="All",ISNUMBER(SEARCH('Company Profile'!$B$9,J514))),1.3,1)</f>
        <v/>
      </c>
      <c r="S514" s="32">
        <f>IF(OR(H514="All",ISNUMBER(SEARCH('Resilience &amp; Risk Scenario'!$B$6,H514))),1.4,1)</f>
        <v/>
      </c>
      <c r="T514" s="32">
        <f>IF(OR(I514="All",ISNUMBER(SEARCH('Company Profile'!$B$50,I514))),1.2,1)</f>
        <v/>
      </c>
      <c r="U514" s="32">
        <f>COUNTIF(_ENGINE_Initiatives!$D$5:$D$76,B514)</f>
        <v/>
      </c>
      <c r="V514" s="32">
        <f>COUNTIF('_ENGINE_Risk'!$B$500:$B$923,"Yes")</f>
        <v/>
      </c>
      <c r="W514" s="32">
        <f>ROUND((M514+N514+O514+P514)*R514*S514*T514+(U514/10)+(V514/100),2)+ROW()/100000</f>
        <v/>
      </c>
      <c r="X514" s="32">
        <f>IF(Q514=0,"",ROUND(W514/Q514,2))</f>
        <v/>
      </c>
      <c r="Y514" s="32">
        <f>IF(X514&gt;=5,"Critical",IF(X514&gt;=4,"High",IF(X514&gt;=3,"Medium","Monitor")))</f>
        <v/>
      </c>
    </row>
    <row r="515" ht="25.5" customHeight="1" s="209">
      <c r="A515" s="32" t="inlineStr">
        <is>
          <t>STR-PKG-12</t>
        </is>
      </c>
      <c r="B515" s="32" t="inlineStr">
        <is>
          <t>Customer Retention and Revenue Protection Strategy</t>
        </is>
      </c>
      <c r="C515" s="32" t="inlineStr">
        <is>
          <t>Protect existing revenue through churn analytics, account risk monitoring, customer communication and recovery offers.</t>
        </is>
      </c>
      <c r="D515" s="32" t="inlineStr">
        <is>
          <t>Churn, revenue concentration, weak account visibility or poor customer analytics exist.</t>
        </is>
      </c>
      <c r="E515" s="32" t="inlineStr">
        <is>
          <t>Customer health score; churn playbooks; account coverage; retention offers; revenue risk dashboard.</t>
        </is>
      </c>
      <c r="F515" s="32" t="inlineStr">
        <is>
          <t>Sales CRM; Marketing Comms; Data BI AI</t>
        </is>
      </c>
      <c r="G515" s="32" t="inlineStr">
        <is>
          <t>Customer loss; churn; revenue leakage</t>
        </is>
      </c>
      <c r="H515" s="32" t="inlineStr">
        <is>
          <t>Key customer loss; Regional sales decline; Economic downturn</t>
        </is>
      </c>
      <c r="I515" s="32" t="inlineStr">
        <is>
          <t>Subscription; B2B; B2C; Marketplace; Hybrid</t>
        </is>
      </c>
      <c r="J515" s="32" t="inlineStr">
        <is>
          <t>SaaS / Digital Product; Retail / Ecommerce; IT Services; Professional Services</t>
        </is>
      </c>
      <c r="K515" s="32" t="inlineStr">
        <is>
          <t>CRO / Customer Success Lead</t>
        </is>
      </c>
      <c r="L515" s="32" t="inlineStr">
        <is>
          <t>0-6 months</t>
        </is>
      </c>
      <c r="M515" s="32" t="n">
        <v>5</v>
      </c>
      <c r="N515" s="32" t="n">
        <v>4</v>
      </c>
      <c r="O515" s="32" t="n">
        <v>4</v>
      </c>
      <c r="P515" s="32" t="n">
        <v>5</v>
      </c>
      <c r="Q515" s="32" t="n">
        <v>3</v>
      </c>
      <c r="R515" s="32">
        <f>IF(OR(J515="All",ISNUMBER(SEARCH('Company Profile'!$B$9,J515))),1.3,1)</f>
        <v/>
      </c>
      <c r="S515" s="32">
        <f>IF(OR(H515="All",ISNUMBER(SEARCH('Resilience &amp; Risk Scenario'!$B$6,H515))),1.4,1)</f>
        <v/>
      </c>
      <c r="T515" s="32">
        <f>IF(OR(I515="All",ISNUMBER(SEARCH('Company Profile'!$B$50,I515))),1.2,1)</f>
        <v/>
      </c>
      <c r="U515" s="32">
        <f>COUNTIF(_ENGINE_Initiatives!$D$5:$D$76,B515)</f>
        <v/>
      </c>
      <c r="V515" s="32">
        <f>COUNTIF('_ENGINE_Risk'!$B$500:$B$923,"Yes")</f>
        <v/>
      </c>
      <c r="W515" s="32">
        <f>ROUND((M515+N515+O515+P515)*R515*S515*T515+(U515/10)+(V515/100),2)+ROW()/100000</f>
        <v/>
      </c>
      <c r="X515" s="32">
        <f>IF(Q515=0,"",ROUND(W515/Q515,2))</f>
        <v/>
      </c>
      <c r="Y515" s="32">
        <f>IF(X515&gt;=5,"Critical",IF(X515&gt;=4,"High",IF(X515&gt;=3,"Medium","Monitor")))</f>
        <v/>
      </c>
    </row>
    <row r="516" ht="38.25" customHeight="1" s="209">
      <c r="A516" s="32" t="inlineStr">
        <is>
          <t>STR-PKG-13</t>
        </is>
      </c>
      <c r="B516" s="32" t="inlineStr">
        <is>
          <t>Compliance and Risk Control Strategy</t>
        </is>
      </c>
      <c r="C516" s="32" t="inlineStr">
        <is>
          <t>Strengthen compliance obligations, risk register, control testing, privacy and contract controls.</t>
        </is>
      </c>
      <c r="D516" s="32" t="inlineStr">
        <is>
          <t>Regulatory exposure is high or compliance, risk, contract or privacy controls are weak.</t>
        </is>
      </c>
      <c r="E516" s="32" t="inlineStr">
        <is>
          <t>Obligation register; risk register; compliance calendar; control tests; contract controls; privacy governance.</t>
        </is>
      </c>
      <c r="F516" s="32" t="inlineStr">
        <is>
          <t>Legal Risk; Cyber Privacy; Finance Procurement; Governance Crisis</t>
        </is>
      </c>
      <c r="G516" s="32" t="inlineStr">
        <is>
          <t>Regulatory breach; contract exposure; control failure</t>
        </is>
      </c>
      <c r="H516" s="32" t="inlineStr">
        <is>
          <t>Regulatory shock; Cyberattack; War / geopolitical escalation</t>
        </is>
      </c>
      <c r="I516" s="32" t="inlineStr">
        <is>
          <t>All</t>
        </is>
      </c>
      <c r="J516" s="32" t="inlineStr">
        <is>
          <t>Healthcare / Pharma; Public Sector / Regulated Organization; Energy / Utilities; Financial services; SaaS / Digital Product</t>
        </is>
      </c>
      <c r="K516" s="32" t="inlineStr">
        <is>
          <t>General Counsel / Compliance Lead</t>
        </is>
      </c>
      <c r="L516" s="32" t="inlineStr">
        <is>
          <t>0-9 months</t>
        </is>
      </c>
      <c r="M516" s="32" t="n">
        <v>4</v>
      </c>
      <c r="N516" s="32" t="n">
        <v>4</v>
      </c>
      <c r="O516" s="32" t="n">
        <v>4</v>
      </c>
      <c r="P516" s="32" t="n">
        <v>3</v>
      </c>
      <c r="Q516" s="32" t="n">
        <v>3</v>
      </c>
      <c r="R516" s="32">
        <f>IF(OR(J516="All",ISNUMBER(SEARCH('Company Profile'!$B$9,J516))),1.3,1)</f>
        <v/>
      </c>
      <c r="S516" s="32">
        <f>IF(OR(H516="All",ISNUMBER(SEARCH('Resilience &amp; Risk Scenario'!$B$6,H516))),1.4,1)</f>
        <v/>
      </c>
      <c r="T516" s="32">
        <f>IF(OR(I516="All",ISNUMBER(SEARCH('Company Profile'!$B$50,I516))),1.2,1)</f>
        <v/>
      </c>
      <c r="U516" s="32">
        <f>COUNTIF(_ENGINE_Initiatives!$D$5:$D$76,B516)</f>
        <v/>
      </c>
      <c r="V516" s="32">
        <f>COUNTIF('_ENGINE_Risk'!$B$500:$B$923,"Yes")</f>
        <v/>
      </c>
      <c r="W516" s="32">
        <f>ROUND((M516+N516+O516+P516)*R516*S516*T516+(U516/10)+(V516/100),2)+ROW()/100000</f>
        <v/>
      </c>
      <c r="X516" s="32">
        <f>IF(Q516=0,"",ROUND(W516/Q516,2))</f>
        <v/>
      </c>
      <c r="Y516" s="32">
        <f>IF(X516&gt;=5,"Critical",IF(X516&gt;=4,"High",IF(X516&gt;=3,"Medium","Monitor")))</f>
        <v/>
      </c>
    </row>
    <row r="517" ht="38.25" customHeight="1" s="209">
      <c r="A517" s="32" t="inlineStr">
        <is>
          <t>STR-PKG-14</t>
        </is>
      </c>
      <c r="B517" s="32" t="inlineStr">
        <is>
          <t>Governance and Decision-Speed Strategy</t>
        </is>
      </c>
      <c r="C517" s="32" t="inlineStr">
        <is>
          <t>Clarify decision rights, crisis roles, portfolio governance, management cadence and escalation triggers.</t>
        </is>
      </c>
      <c r="D517" s="32" t="inlineStr">
        <is>
          <t>Slow decisions, unclear ownership, weak prioritization or fragmented management practices reduce crisis response speed.</t>
        </is>
      </c>
      <c r="E517" s="32" t="inlineStr">
        <is>
          <t>RACI; decision rights; crisis board; portfolio steering; KPI cadence; escalation triggers.</t>
        </is>
      </c>
      <c r="F517" s="32" t="inlineStr">
        <is>
          <t>Governance Crisis; Quality Portfolio; Strategy GTM</t>
        </is>
      </c>
      <c r="G517" s="32" t="inlineStr">
        <is>
          <t>Decision delay; poor prioritization; crisis coordination failure</t>
        </is>
      </c>
      <c r="H517" s="32" t="inlineStr">
        <is>
          <t>All</t>
        </is>
      </c>
      <c r="I517" s="32" t="inlineStr">
        <is>
          <t>All</t>
        </is>
      </c>
      <c r="J517" s="32" t="inlineStr">
        <is>
          <t>All</t>
        </is>
      </c>
      <c r="K517" s="32" t="inlineStr">
        <is>
          <t>CEO / COO</t>
        </is>
      </c>
      <c r="L517" s="32" t="inlineStr">
        <is>
          <t>0-3 months</t>
        </is>
      </c>
      <c r="M517" s="32" t="n">
        <v>5</v>
      </c>
      <c r="N517" s="32" t="n">
        <v>5</v>
      </c>
      <c r="O517" s="32" t="n">
        <v>4</v>
      </c>
      <c r="P517" s="32" t="n">
        <v>3</v>
      </c>
      <c r="Q517" s="32" t="n">
        <v>2</v>
      </c>
      <c r="R517" s="32">
        <f>IF(OR(J517="All",ISNUMBER(SEARCH('Company Profile'!$B$9,J517))),1.3,1)</f>
        <v/>
      </c>
      <c r="S517" s="32">
        <f>IF(OR(H517="All",ISNUMBER(SEARCH('Resilience &amp; Risk Scenario'!$B$6,H517))),1.4,1)</f>
        <v/>
      </c>
      <c r="T517" s="32">
        <f>IF(OR(I517="All",ISNUMBER(SEARCH('Company Profile'!$B$50,I517))),1.2,1)</f>
        <v/>
      </c>
      <c r="U517" s="32">
        <f>COUNTIF(_ENGINE_Initiatives!$D$5:$D$76,B517)</f>
        <v/>
      </c>
      <c r="V517" s="32">
        <f>COUNTIF('_ENGINE_Risk'!$B$500:$B$923,"Yes")</f>
        <v/>
      </c>
      <c r="W517" s="32">
        <f>ROUND((M517+N517+O517+P517)*R517*S517*T517+(U517/10)+(V517/100),2)+ROW()/100000</f>
        <v/>
      </c>
      <c r="X517" s="32">
        <f>IF(Q517=0,"",ROUND(W517/Q517,2))</f>
        <v/>
      </c>
      <c r="Y517" s="32">
        <f>IF(X517&gt;=5,"Critical",IF(X517&gt;=4,"High",IF(X517&gt;=3,"Medium","Monitor")))</f>
        <v/>
      </c>
    </row>
    <row r="700" ht="25.95" customHeight="1" s="209">
      <c r="A700" s="261" t="inlineStr">
        <is>
          <t>Seed Peer Benchmarks v1 (hidden technical sheet)</t>
        </is>
      </c>
      <c r="B700" s="261" t="n"/>
      <c r="C700" s="261" t="n"/>
      <c r="D700" s="261" t="n"/>
    </row>
    <row r="701" ht="34.05" customHeight="1" s="209">
      <c r="A701" s="125" t="inlineStr">
        <is>
          <t>EXPERT SEED VALUES, not measured percentiles. Base P50 = typical cross-industry maturity of a MEDIUM company (50-249 FTE) on the 0-5 scale, calibrated against public studies: Cisco Cybersecurity Readiness Index 2025 (4% mature, 70% beginner/formative), Gartner/TDWI/Alteryx data &amp; analytics maturity (avg 2.2-2.6 of 5), Eurostat Digital Intensity Index (58% SME vs 91% large at basic+), BCI Horizon Scan / ISO 22301 adoption, CMMI appraisal distributions. Confidence is Low/Medium by design. Replace each row with measured P25/P50/P75 as real assessments accumulate (target: n&gt;=15 per industry x size cell).</t>
        </is>
      </c>
      <c r="B701" s="125" t="n"/>
      <c r="C701" s="125" t="n"/>
      <c r="D701" s="125" t="n"/>
    </row>
    <row r="703">
      <c r="A703" t="inlineStr">
        <is>
          <t>Domain</t>
        </is>
      </c>
      <c r="B703" t="inlineStr">
        <is>
          <t>Base peer median P50 (0-5)</t>
        </is>
      </c>
      <c r="C703" t="inlineStr">
        <is>
          <t>Confidence</t>
        </is>
      </c>
      <c r="D703" t="inlineStr">
        <is>
          <t>Source / rationale</t>
        </is>
      </c>
    </row>
    <row r="704">
      <c r="A704" t="inlineStr">
        <is>
          <t>Company Geography</t>
        </is>
      </c>
      <c r="B704" t="n">
        <v>1.8</v>
      </c>
      <c r="C704" t="inlineStr">
        <is>
          <t>Low</t>
        </is>
      </c>
      <c r="D704" t="inlineStr">
        <is>
          <t>Entity/geo dependency mapping is rarely formalized below enterprise level. Expert prior.</t>
        </is>
      </c>
    </row>
    <row r="705">
      <c r="A705" t="inlineStr">
        <is>
          <t>Strategy GTM</t>
        </is>
      </c>
      <c r="B705" t="n">
        <v>2.4</v>
      </c>
      <c r="C705" t="inlineStr">
        <is>
          <t>Low</t>
        </is>
      </c>
      <c r="D705" t="inlineStr">
        <is>
          <t>Strategy usually exists but is weakly documented and measured in SMB. Expert prior.</t>
        </is>
      </c>
    </row>
    <row r="706">
      <c r="A706" t="inlineStr">
        <is>
          <t>Governance Crisis</t>
        </is>
      </c>
      <c r="B706" t="n">
        <v>1.8</v>
      </c>
      <c r="C706" t="inlineStr">
        <is>
          <t>Medium</t>
        </is>
      </c>
      <c r="D706" t="inlineStr">
        <is>
          <t>BCM adoption low: ~20% ISO 22301 certified even in BC-biased BCI sample; SME crisis governance mostly ad hoc.</t>
        </is>
      </c>
    </row>
    <row r="707">
      <c r="A707" t="inlineStr">
        <is>
          <t>HR Workforce</t>
        </is>
      </c>
      <c r="B707" t="n">
        <v>2.4</v>
      </c>
      <c r="C707" t="inlineStr">
        <is>
          <t>Low</t>
        </is>
      </c>
      <c r="D707" t="inlineStr">
        <is>
          <t>HRIS adoption mid-range; skills matrices and critical-role backups rare. Expert prior.</t>
        </is>
      </c>
    </row>
    <row r="708">
      <c r="A708" t="inlineStr">
        <is>
          <t>Finance Procurement</t>
        </is>
      </c>
      <c r="B708" t="n">
        <v>2.9</v>
      </c>
      <c r="C708" t="inlineStr">
        <is>
          <t>Medium</t>
        </is>
      </c>
      <c r="D708" t="inlineStr">
        <is>
          <t>Most established/regulated function; process maturity appraisals cluster at managed/defined levels.</t>
        </is>
      </c>
    </row>
    <row r="709">
      <c r="A709" t="inlineStr">
        <is>
          <t>Legal Risk</t>
        </is>
      </c>
      <c r="B709" t="n">
        <v>2.5</v>
      </c>
      <c r="C709" t="inlineStr">
        <is>
          <t>Low</t>
        </is>
      </c>
      <c r="D709" t="inlineStr">
        <is>
          <t>Contracting structured; risk registers and compliance monitoring rare in SMB. Expert prior.</t>
        </is>
      </c>
    </row>
    <row r="710">
      <c r="A710" t="inlineStr">
        <is>
          <t>Physical Safety</t>
        </is>
      </c>
      <c r="B710" t="n">
        <v>2.8</v>
      </c>
      <c r="C710" t="inlineStr">
        <is>
          <t>Medium</t>
        </is>
      </c>
      <c r="D710" t="inlineStr">
        <is>
          <t>OHS regulated (ISO 45001 / labor law) - regulation forces a baseline.</t>
        </is>
      </c>
    </row>
    <row r="711">
      <c r="A711" t="inlineStr">
        <is>
          <t>Delivery Ops</t>
        </is>
      </c>
      <c r="B711" t="n">
        <v>2.7</v>
      </c>
      <c r="C711" t="inlineStr">
        <is>
          <t>Low</t>
        </is>
      </c>
      <c r="D711" t="inlineStr">
        <is>
          <t>Core delivery processes defined by necessity, weakly stress-tested. Expert prior.</t>
        </is>
      </c>
    </row>
    <row r="712">
      <c r="A712" t="inlineStr">
        <is>
          <t>Supply Chain</t>
        </is>
      </c>
      <c r="B712" t="n">
        <v>2.2</v>
      </c>
      <c r="C712" t="inlineStr">
        <is>
          <t>Medium</t>
        </is>
      </c>
      <c r="D712" t="inlineStr">
        <is>
          <t>Post-2020 surveys: limited multi-tier visibility and supplier risk monitoring.</t>
        </is>
      </c>
    </row>
    <row r="713">
      <c r="A713" t="inlineStr">
        <is>
          <t>Manufacturing MES</t>
        </is>
      </c>
      <c r="B713" t="n">
        <v>2.5</v>
      </c>
      <c r="C713" t="inlineStr">
        <is>
          <t>Low</t>
        </is>
      </c>
      <c r="D713" t="inlineStr">
        <is>
          <t>MES/automation strong in large plants, fragmentary in mid-size. Expert prior.</t>
        </is>
      </c>
    </row>
    <row r="714">
      <c r="A714" t="inlineStr">
        <is>
          <t>Sales CRM</t>
        </is>
      </c>
      <c r="B714" t="n">
        <v>2.5</v>
      </c>
      <c r="C714" t="inlineStr">
        <is>
          <t>Medium</t>
        </is>
      </c>
      <c r="D714" t="inlineStr">
        <is>
          <t>CRM adoption high but data discipline and pipeline analytics lag.</t>
        </is>
      </c>
    </row>
    <row r="715">
      <c r="A715" t="inlineStr">
        <is>
          <t>Marketing Comms</t>
        </is>
      </c>
      <c r="B715" t="n">
        <v>2.3</v>
      </c>
      <c r="C715" t="inlineStr">
        <is>
          <t>Low</t>
        </is>
      </c>
      <c r="D715" t="inlineStr">
        <is>
          <t>Digital marketing common; crisis communication plans rare. Expert prior.</t>
        </is>
      </c>
    </row>
    <row r="716">
      <c r="A716" t="inlineStr">
        <is>
          <t>IT Cloud DR</t>
        </is>
      </c>
      <c r="B716" t="n">
        <v>2.4</v>
      </c>
      <c r="C716" t="inlineStr">
        <is>
          <t>Medium</t>
        </is>
      </c>
      <c r="D716" t="inlineStr">
        <is>
          <t>Backups near-universal, tested DR/RTO discipline rare.</t>
        </is>
      </c>
    </row>
    <row r="717">
      <c r="A717" t="inlineStr">
        <is>
          <t>Business Systems</t>
        </is>
      </c>
      <c r="B717" t="n">
        <v>2.7</v>
      </c>
      <c r="C717" t="inlineStr">
        <is>
          <t>Medium</t>
        </is>
      </c>
      <c r="D717" t="inlineStr">
        <is>
          <t>Core systems (ERP/CRM/HRMS) near-universal in medium firms (Eurostat DII).</t>
        </is>
      </c>
    </row>
    <row r="718">
      <c r="A718" t="inlineStr">
        <is>
          <t>Data BI AI</t>
        </is>
      </c>
      <c r="B718" t="n">
        <v>2.2</v>
      </c>
      <c r="C718" t="inlineStr">
        <is>
          <t>Medium</t>
        </is>
      </c>
      <c r="D718" t="inlineStr">
        <is>
          <t>Analytics maturity studies: average 2.2-2.6 of 5; most orgs at descriptive stage (Gartner/TDWI/Alteryx).</t>
        </is>
      </c>
    </row>
    <row r="719">
      <c r="A719" t="inlineStr">
        <is>
          <t>Cyber Privacy</t>
        </is>
      </c>
      <c r="B719" t="n">
        <v>2</v>
      </c>
      <c r="C719" t="inlineStr">
        <is>
          <t>Medium</t>
        </is>
      </c>
      <c r="D719" t="inlineStr">
        <is>
          <t>Cisco Cybersecurity Readiness Index 2025: 4% mature, 70% beginner/formative.</t>
        </is>
      </c>
    </row>
    <row r="720">
      <c r="A720" t="inlineStr">
        <is>
          <t>Quality Portfolio</t>
        </is>
      </c>
      <c r="B720" t="n">
        <v>2.1</v>
      </c>
      <c r="C720" t="inlineStr">
        <is>
          <t>Low</t>
        </is>
      </c>
      <c r="D720" t="inlineStr">
        <is>
          <t>Portfolio and benefits management rare outside large organizations. Expert prior.</t>
        </is>
      </c>
    </row>
    <row r="722">
      <c r="A722" t="inlineStr">
        <is>
          <t>Size band offsets (added to base P50)</t>
        </is>
      </c>
    </row>
    <row r="723">
      <c r="A723" t="inlineStr">
        <is>
          <t>Micro (&lt;10)</t>
        </is>
      </c>
      <c r="B723" t="n">
        <v>-1</v>
      </c>
      <c r="D723" t="inlineStr">
        <is>
          <t>Anchor: Eurostat DII - 76% of SMEs low/very low digital intensity vs large enterprises ~1 level higher.</t>
        </is>
      </c>
    </row>
    <row r="724">
      <c r="A724" t="inlineStr">
        <is>
          <t>Small (10-49)</t>
        </is>
      </c>
      <c r="B724" t="n">
        <v>-0.5</v>
      </c>
    </row>
    <row r="725">
      <c r="A725" t="inlineStr">
        <is>
          <t>Medium (50-249)</t>
        </is>
      </c>
      <c r="B725" t="n">
        <v>0</v>
      </c>
    </row>
    <row r="726">
      <c r="A726" t="inlineStr">
        <is>
          <t>Large (250-999)</t>
        </is>
      </c>
      <c r="B726" t="n">
        <v>0.4</v>
      </c>
    </row>
    <row r="727">
      <c r="A727" t="inlineStr">
        <is>
          <t>Enterprise (1000+)</t>
        </is>
      </c>
      <c r="B727" t="n">
        <v>0.7</v>
      </c>
    </row>
    <row r="730">
      <c r="A730" t="inlineStr">
        <is>
          <t>Industry effect coefficient (x (criticality-1))</t>
        </is>
      </c>
      <c r="B730" t="n">
        <v>1</v>
      </c>
    </row>
    <row r="731">
      <c r="A731" t="inlineStr">
        <is>
          <t>Peer spread (P50 +/- spread = P75/P25)</t>
        </is>
      </c>
      <c r="B731" t="n">
        <v>0.7</v>
      </c>
    </row>
    <row r="732">
      <c r="A732" t="inlineStr">
        <is>
          <t>Optimal target headroom above P50</t>
        </is>
      </c>
      <c r="B732" t="n">
        <v>0.5</v>
      </c>
    </row>
    <row r="733">
      <c r="A733" t="inlineStr">
        <is>
          <t>Optimal uplift coefficient (x (criticality-1))</t>
        </is>
      </c>
      <c r="B733" t="n">
        <v>2</v>
      </c>
    </row>
    <row r="734">
      <c r="A734" t="inlineStr">
        <is>
          <t>Over-engineering margin above optimal target</t>
        </is>
      </c>
      <c r="B734" t="n">
        <v>0.75</v>
      </c>
    </row>
    <row r="736">
      <c r="A736" t="inlineStr">
        <is>
          <t>Optimal target logic</t>
        </is>
      </c>
      <c r="B736" t="inlineStr">
        <is>
          <t>OptTarget = clamp( MAX(industry red-line, P50 + headroom + uplift*(criticality-1)) + risk-appetite offset, &lt;= MIN(5, P75+0.5) ). Critical domains aim at ~P75; non-critical at ~P50+headroom. Scores far above OptTarget in low-criticality domains are flagged as possible over-investment.</t>
        </is>
      </c>
    </row>
  </sheetData>
  <mergeCells count="2">
    <mergeCell ref="A1:L1"/>
    <mergeCell ref="A300:E300"/>
  </mergeCells>
  <pageMargins left="0.75" right="0.75" top="1" bottom="1" header="0.5" footer="0.5"/>
  <pageSetup orientation="landscape" fitToHeight="0"/>
  <headerFooter>
    <oddHeader/>
    <oddFooter>&amp;R© Roman Reznikov / RR-framework — CC BY-NC-SA 4.0 — For authorized use only</oddFooter>
    <evenHeader/>
    <evenFooter>&amp;R© Roman Reznikov / RR-framework — CC BY-NC-SA 4.0 — For authorized use only</evenFooter>
    <firstHeader/>
    <firstFooter>&amp;R© Roman Reznikov / RR-framework — CC BY-NC-SA 4.0 — For authorized use only</firstFooter>
  </headerFooter>
  <legacyDrawing r:id="anysvml"/>
</worksheet>
</file>

<file path=xl/worksheets/sheet21.xml><?xml version="1.0" encoding="utf-8"?>
<worksheet xmlns="http://schemas.openxmlformats.org/spreadsheetml/2006/main" xmlns:r="http://schemas.openxmlformats.org/officeDocument/2006/relationships">
  <sheetPr>
    <tabColor rgb="FF6B7280"/>
    <outlinePr summaryBelow="1" summaryRight="1"/>
    <pageSetUpPr fitToPage="1"/>
  </sheetPr>
  <dimension ref="A1:X169"/>
  <sheetViews>
    <sheetView showGridLines="0" workbookViewId="0">
      <pane ySplit="3" topLeftCell="A4" activePane="bottomLeft" state="frozen"/>
      <selection pane="bottomLeft" activeCell="A1" sqref="A1"/>
    </sheetView>
  </sheetViews>
  <sheetFormatPr baseColWidth="8" defaultRowHeight="13.8"/>
  <cols>
    <col width="22" customWidth="1" style="209" min="1" max="1"/>
    <col width="12" customWidth="1" style="209" min="2" max="2"/>
    <col width="70" customWidth="1" style="209" min="3" max="3"/>
  </cols>
  <sheetData>
    <row r="1" ht="25.95" customHeight="1" s="209">
      <c r="A1" s="261" t="inlineStr">
        <is>
          <t>_CONFIG_Model_Settings — Consolidated Model Configuration</t>
        </is>
      </c>
      <c r="B1" s="215" t="n"/>
      <c r="C1" s="215" t="n"/>
      <c r="D1" s="216" t="n"/>
    </row>
    <row r="2" ht="34.05" customHeight="1" s="209">
      <c r="A2" s="125" t="inlineStr">
        <is>
          <t>Single hidden source for scoring thresholds, domain/AHP weights, P2 strategic weights and financial anchors. Consolidated in v1.93.</t>
        </is>
      </c>
      <c r="B2" s="125" t="n"/>
      <c r="C2" s="125" t="n"/>
      <c r="D2" s="125" t="n"/>
    </row>
    <row r="4" ht="15" customHeight="1" s="209">
      <c r="A4" s="23" t="inlineStr">
        <is>
          <t>Confidence level</t>
        </is>
      </c>
      <c r="B4" s="23" t="inlineStr">
        <is>
          <t>Factor</t>
        </is>
      </c>
      <c r="C4" s="23" t="inlineStr">
        <is>
          <t>Meaning</t>
        </is>
      </c>
    </row>
    <row r="5">
      <c r="A5" s="247" t="inlineStr">
        <is>
          <t>Not assessed</t>
        </is>
      </c>
      <c r="B5" s="247" t="n">
        <v>0.65</v>
      </c>
      <c r="C5" s="247" t="inlineStr">
        <is>
          <t>No evidence or confidence information has been provided.</t>
        </is>
      </c>
    </row>
    <row r="6">
      <c r="A6" s="43" t="inlineStr">
        <is>
          <t>Low</t>
        </is>
      </c>
      <c r="B6" s="43" t="n">
        <v>0.8</v>
      </c>
      <c r="C6" s="43" t="inlineStr">
        <is>
          <t>Answer is based mainly on interview opinion or weak/incomplete evidence.</t>
        </is>
      </c>
    </row>
    <row r="7">
      <c r="A7" s="247" t="inlineStr">
        <is>
          <t>Medium</t>
        </is>
      </c>
      <c r="B7" s="247" t="n">
        <v>0.9</v>
      </c>
      <c r="C7" s="247" t="inlineStr">
        <is>
          <t>Answer is supported by partial evidence or a credible SME statement.</t>
        </is>
      </c>
    </row>
    <row r="8">
      <c r="A8" s="43" t="inlineStr">
        <is>
          <t>High</t>
        </is>
      </c>
      <c r="B8" s="43" t="n">
        <v>1</v>
      </c>
      <c r="C8" s="43" t="inlineStr">
        <is>
          <t>Answer is supported by current documents, system records, KPIs or test results.</t>
        </is>
      </c>
    </row>
    <row r="10">
      <c r="A10" t="inlineStr">
        <is>
          <t>Risk appetite</t>
        </is>
      </c>
      <c r="B10" t="inlineStr">
        <is>
          <t>Target offset</t>
        </is>
      </c>
      <c r="C10" t="inlineStr">
        <is>
          <t>Meaning</t>
        </is>
      </c>
    </row>
    <row r="11">
      <c r="A11" t="inlineStr">
        <is>
          <t>Low</t>
        </is>
      </c>
      <c r="B11" t="n">
        <v>0.25</v>
      </c>
      <c r="C11" t="inlineStr">
        <is>
          <t>Risk-averse organization: industry targets are tightened by +0.25.</t>
        </is>
      </c>
    </row>
    <row r="12">
      <c r="A12" t="inlineStr">
        <is>
          <t>Balanced</t>
        </is>
      </c>
      <c r="B12" t="n">
        <v>0</v>
      </c>
      <c r="C12" t="inlineStr">
        <is>
          <t>Default: industry targets used as defined in templates.</t>
        </is>
      </c>
    </row>
    <row r="13">
      <c r="A13" t="inlineStr">
        <is>
          <t>High</t>
        </is>
      </c>
      <c r="B13" t="n">
        <v>-0.25</v>
      </c>
      <c r="C13" t="inlineStr">
        <is>
          <t>Higher risk acceptance: industry targets relaxed by -0.25.</t>
        </is>
      </c>
    </row>
    <row r="15">
      <c r="A15" t="inlineStr">
        <is>
          <t>Calibration parameters (single source of truth)</t>
        </is>
      </c>
    </row>
    <row r="16">
      <c r="A16" t="inlineStr">
        <is>
          <t>Parameter</t>
        </is>
      </c>
      <c r="B16" t="inlineStr">
        <is>
          <t>Value</t>
        </is>
      </c>
      <c r="C16" t="inlineStr">
        <is>
          <t>Used in / meaning</t>
        </is>
      </c>
    </row>
    <row r="17">
      <c r="A17" t="inlineStr">
        <is>
          <t>Crisis severity - High cutoff</t>
        </is>
      </c>
      <c r="B17" t="n">
        <v>3.5</v>
      </c>
      <c>
        <is>
          <t>Crisis severity helper: score &gt;= this = High</t>
        </is>
      </c>
    </row>
    <row r="18">
      <c r="A18" t="inlineStr">
        <is>
          <t>Crisis severity - Medium cutoff</t>
        </is>
      </c>
      <c r="B18" t="n">
        <v>2</v>
      </c>
      <c>
        <is>
          <t>Crisis severity helper: score &gt;= this = Medium</t>
        </is>
      </c>
    </row>
    <row r="19">
      <c r="A19" t="inlineStr">
        <is>
          <t>Industry priority - raise threshold</t>
        </is>
      </c>
      <c r="B19" t="n">
        <v>1.15</v>
      </c>
      <c r="C19" t="inlineStr">
        <is>
          <t>Initiative Library AW: ratio &gt; this raises priority</t>
        </is>
      </c>
    </row>
    <row r="20">
      <c r="A20" t="inlineStr">
        <is>
          <t>Industry priority - lower threshold</t>
        </is>
      </c>
      <c r="B20" t="n">
        <v>0.9</v>
      </c>
      <c r="C20" t="inlineStr">
        <is>
          <t>Initiative Library AW: ratio &lt; this lowers priority</t>
        </is>
      </c>
    </row>
    <row r="21">
      <c r="A21" t="inlineStr">
        <is>
          <t>Timeline bucket 1 (&lt;=)</t>
        </is>
      </c>
      <c r="B21" t="n">
        <v>12</v>
      </c>
      <c r="C21" t="inlineStr">
        <is>
          <t>Initiative Library AE: &lt;= this = 0-90 days</t>
        </is>
      </c>
    </row>
    <row r="22">
      <c r="A22" t="inlineStr">
        <is>
          <t>Timeline bucket 2 (&lt;=)</t>
        </is>
      </c>
      <c r="B22" t="n">
        <v>32</v>
      </c>
      <c r="C22" t="inlineStr">
        <is>
          <t>Initiative Library AE: &lt;= this = 3-6 months</t>
        </is>
      </c>
    </row>
    <row r="23">
      <c r="A23" t="inlineStr">
        <is>
          <t>Timeline bucket 3 (&lt;=)</t>
        </is>
      </c>
      <c r="B23" t="n">
        <v>55</v>
      </c>
      <c r="C23" t="inlineStr">
        <is>
          <t>Initiative Library AE: &lt;= this = 6-12 months</t>
        </is>
      </c>
    </row>
    <row r="24">
      <c r="A24" t="inlineStr">
        <is>
          <t>Above-optimum ratio</t>
        </is>
      </c>
      <c r="B24" t="n">
        <v>1.05</v>
      </c>
      <c r="C24" t="inlineStr">
        <is>
          <t>Exec Dashboard K: spend/optimum &gt; this = check cost</t>
        </is>
      </c>
    </row>
    <row r="25">
      <c r="A25" t="inlineStr">
        <is>
          <t>Strategy risk - secondary weight</t>
        </is>
      </c>
      <c r="B25" t="n">
        <v>0.7</v>
      </c>
      <c r="C25" t="inlineStr">
        <is>
          <t>Risk &amp; Recommendations F: weight on secondary (K) term</t>
        </is>
      </c>
    </row>
    <row r="26">
      <c r="A26" t="inlineStr">
        <is>
          <t>Strategy risk - fit scale</t>
        </is>
      </c>
      <c r="B26" t="n">
        <v>1.2</v>
      </c>
      <c r="C26" t="inlineStr">
        <is>
          <t>Risk &amp; Recommendations F: risk-fit scaling multiplier</t>
        </is>
      </c>
    </row>
    <row r="27">
      <c r="A27" t="inlineStr">
        <is>
          <t>Scenario fit scale</t>
        </is>
      </c>
      <c r="B27" t="n">
        <v>2.5</v>
      </c>
      <c r="C27" t="inlineStr">
        <is>
          <t>Risk &amp; Recommendations D: scenario-fit scaling</t>
        </is>
      </c>
    </row>
    <row r="29">
      <c r="A29" t="inlineStr">
        <is>
          <t>-- Audit-only (documented, not yet wired) --</t>
        </is>
      </c>
    </row>
    <row r="30">
      <c r="A30" t="inlineStr">
        <is>
          <t>Financial CapEx share</t>
        </is>
      </c>
      <c r="B30" t="n">
        <v>0.25</v>
      </c>
      <c r="C30" t="inlineStr">
        <is>
          <t>_DATA_Dashboard_Facts financial anchors (overloaded)</t>
        </is>
      </c>
    </row>
    <row r="31">
      <c r="A31" t="inlineStr">
        <is>
          <t>Maturity-&gt;band breakpoints</t>
        </is>
      </c>
      <c r="B31" t="inlineStr">
        <is>
          <t>0.5/0.35/0.2/0.1</t>
        </is>
      </c>
      <c r="C31" t="inlineStr">
        <is>
          <t>Exec Dashboard banding ladder</t>
        </is>
      </c>
    </row>
    <row r="32">
      <c r="A32" t="inlineStr">
        <is>
          <t>Confidence-factor fallback</t>
        </is>
      </c>
      <c r="B32" t="n">
        <v>0.9</v>
      </c>
      <c r="C32" t="inlineStr">
        <is>
          <t>_DATA AJ/AK/AV IFERROR default (= Medium factor, B7)</t>
        </is>
      </c>
    </row>
    <row r="33">
      <c r="A33" t="inlineStr">
        <is>
          <t>Cascade primary weight</t>
        </is>
      </c>
      <c r="B33" t="n">
        <v>0.65</v>
      </c>
      <c r="C33" t="inlineStr">
        <is>
          <t>_ENGINE_Cascade blending (low-count, engine)</t>
        </is>
      </c>
    </row>
    <row r="34">
      <c r="A34" t="inlineStr">
        <is>
          <t>Cascade secondary weight</t>
        </is>
      </c>
      <c r="B34" t="n">
        <v>0.8</v>
      </c>
      <c r="C34" t="inlineStr">
        <is>
          <t>_ENGINE_Cascade blending</t>
        </is>
      </c>
    </row>
    <row r="50" ht="25.95" customHeight="1" s="209">
      <c r="A50" s="200" t="inlineStr">
        <is>
          <t>_CONFIG_Model_Settings — Optional Calibration</t>
        </is>
      </c>
      <c r="B50" s="154" t="n"/>
      <c r="C50" s="154" t="n"/>
      <c r="D50" s="154" t="n"/>
      <c r="E50" s="154" t="n"/>
      <c r="F50" s="154" t="n"/>
      <c r="G50" s="154" t="n"/>
      <c r="H50" s="154" t="n"/>
      <c r="I50" s="154" t="n"/>
      <c r="J50" s="154" t="n"/>
      <c r="K50" s="154" t="n"/>
      <c r="L50" s="154" t="n"/>
    </row>
    <row r="51" ht="34.05" customHeight="1" s="209">
      <c r="A51" s="208" t="inlineStr">
        <is>
          <t>Advanced consultant calibration. Edit only green upper-triangle pairwise judgments when intentionally adjusting pillar weights.</t>
        </is>
      </c>
      <c r="B51" s="125" t="n"/>
      <c r="C51" s="125" t="n"/>
      <c r="D51" s="125" t="n"/>
      <c r="E51" s="125" t="n"/>
      <c r="F51" s="125" t="n"/>
      <c r="G51" s="125" t="n"/>
      <c r="H51" s="125" t="n"/>
      <c r="I51" s="125" t="n"/>
      <c r="J51" s="125" t="n"/>
      <c r="K51" s="125" t="n"/>
      <c r="L51" s="125" t="n"/>
    </row>
    <row r="52" ht="14.4" customHeight="1" s="209">
      <c r="A52" s="197">
        <f>HYPERLINK("#'① START HERE'!A1","⌂ START HERE")</f>
        <v/>
      </c>
      <c r="C52" s="195" t="inlineStr">
        <is>
          <t>✎ Optional calibration (advanced) — pairwise weights affect scores.</t>
        </is>
      </c>
    </row>
    <row r="53" ht="24" customHeight="1" s="209">
      <c r="A53" s="155" t="inlineStr">
        <is>
          <t>Pillar \ Pillar</t>
        </is>
      </c>
      <c r="B53" s="155" t="inlineStr">
        <is>
          <t>Governance &amp; Risk</t>
        </is>
      </c>
      <c r="C53" s="155" t="inlineStr">
        <is>
          <t>Technology &amp; Cyber</t>
        </is>
      </c>
      <c r="D53" s="155" t="inlineStr">
        <is>
          <t>Operations &amp; Supply</t>
        </is>
      </c>
      <c r="E53" s="155" t="inlineStr">
        <is>
          <t>People &amp; Safety</t>
        </is>
      </c>
      <c r="F53" s="155" t="inlineStr">
        <is>
          <t>Commercial</t>
        </is>
      </c>
      <c r="G53" s="155" t="inlineStr">
        <is>
          <t>Finance &amp; Procurement</t>
        </is>
      </c>
      <c r="H53" s="155" t="inlineStr">
        <is>
          <t>Geo-mean</t>
        </is>
      </c>
      <c r="I53" s="155" t="inlineStr">
        <is>
          <t>Priority w</t>
        </is>
      </c>
      <c r="J53" s="155" t="n"/>
      <c r="K53" s="155" t="inlineStr">
        <is>
          <t>A.w</t>
        </is>
      </c>
      <c r="L53" s="155" t="inlineStr">
        <is>
          <t>A.w / w</t>
        </is>
      </c>
    </row>
    <row r="54">
      <c r="A54" s="59" t="inlineStr">
        <is>
          <t>Governance &amp; Risk</t>
        </is>
      </c>
      <c r="B54" s="156" t="n">
        <v>1</v>
      </c>
      <c r="C54" s="156" t="n">
        <v>0.64</v>
      </c>
      <c r="D54" s="156" t="n">
        <v>0.73</v>
      </c>
      <c r="E54" s="157" t="n">
        <v>1.07</v>
      </c>
      <c r="F54" s="158" t="n">
        <v>1.33</v>
      </c>
      <c r="G54" s="158" t="n">
        <v>1.6</v>
      </c>
      <c r="H54" s="295">
        <f>GEOMEAN(B54:G54)</f>
        <v/>
      </c>
      <c r="I54" s="292">
        <f>ROUND(H54/SUM($H$54:$H$59),4)</f>
        <v/>
      </c>
      <c r="K54" s="292">
        <f>B54*$I$54+C54*$I$55+D54*$I$56+E54*$I$57+F54*$I$58+G54*$I$59</f>
        <v/>
      </c>
      <c r="L54" s="295">
        <f>K54/I54</f>
        <v/>
      </c>
    </row>
    <row r="55">
      <c r="A55" s="59" t="inlineStr">
        <is>
          <t>Technology &amp; Cyber</t>
        </is>
      </c>
      <c r="B55" s="156">
        <f>1/C54</f>
        <v/>
      </c>
      <c r="C55" s="156" t="n">
        <v>1</v>
      </c>
      <c r="D55" s="156" t="n">
        <v>1.14</v>
      </c>
      <c r="E55" s="156" t="n">
        <v>1.67</v>
      </c>
      <c r="F55" s="157" t="n">
        <v>2.08</v>
      </c>
      <c r="G55" s="158" t="n">
        <v>2.5</v>
      </c>
      <c r="H55" s="295">
        <f>GEOMEAN(B55:G55)</f>
        <v/>
      </c>
      <c r="I55" s="292">
        <f>ROUND(H55/SUM($H$54:$H$59),4)</f>
        <v/>
      </c>
      <c r="K55" s="292">
        <f>B55*$I$54+C55*$I$55+D55*$I$56+E55*$I$57+F55*$I$58+G55*$I$59</f>
        <v/>
      </c>
      <c r="L55" s="295">
        <f>K55/I55</f>
        <v/>
      </c>
    </row>
    <row r="56">
      <c r="A56" s="59" t="inlineStr">
        <is>
          <t>Operations &amp; Supply</t>
        </is>
      </c>
      <c r="B56" s="156">
        <f>1/D54</f>
        <v/>
      </c>
      <c r="C56" s="156">
        <f>1/D55</f>
        <v/>
      </c>
      <c r="D56" s="156" t="n">
        <v>1</v>
      </c>
      <c r="E56" s="156" t="n">
        <v>1.47</v>
      </c>
      <c r="F56" s="156" t="n">
        <v>1.84</v>
      </c>
      <c r="G56" s="157" t="n">
        <v>2.2</v>
      </c>
      <c r="H56" s="295">
        <f>GEOMEAN(B56:G56)</f>
        <v/>
      </c>
      <c r="I56" s="292">
        <f>ROUND(H56/SUM($H$54:$H$59),4)</f>
        <v/>
      </c>
      <c r="K56" s="292">
        <f>B56*$I$54+C56*$I$55+D56*$I$56+E56*$I$57+F56*$I$58+G56*$I$59</f>
        <v/>
      </c>
      <c r="L56" s="295">
        <f>K56/I56</f>
        <v/>
      </c>
    </row>
    <row r="57">
      <c r="A57" s="59" t="inlineStr">
        <is>
          <t>People &amp; Safety</t>
        </is>
      </c>
      <c r="B57" s="156">
        <f>1/E54</f>
        <v/>
      </c>
      <c r="C57" s="156">
        <f>1/E55</f>
        <v/>
      </c>
      <c r="D57" s="156">
        <f>1/E56</f>
        <v/>
      </c>
      <c r="E57" s="156" t="n">
        <v>1</v>
      </c>
      <c r="F57" s="156" t="n">
        <v>1.25</v>
      </c>
      <c r="G57" s="156" t="n">
        <v>1.5</v>
      </c>
      <c r="H57" s="295">
        <f>GEOMEAN(B57:G57)</f>
        <v/>
      </c>
      <c r="I57" s="292">
        <f>ROUND(H57/SUM($H$54:$H$59),4)</f>
        <v/>
      </c>
      <c r="K57" s="292">
        <f>B57*$I$54+C57*$I$55+D57*$I$56+E57*$I$57+F57*$I$58+G57*$I$59</f>
        <v/>
      </c>
      <c r="L57" s="295">
        <f>K57/I57</f>
        <v/>
      </c>
    </row>
    <row r="58">
      <c r="A58" s="59" t="inlineStr">
        <is>
          <t>Commercial</t>
        </is>
      </c>
      <c r="B58" s="156">
        <f>1/F54</f>
        <v/>
      </c>
      <c r="C58" s="156">
        <f>1/F55</f>
        <v/>
      </c>
      <c r="D58" s="156">
        <f>1/F56</f>
        <v/>
      </c>
      <c r="E58" s="156">
        <f>1/F57</f>
        <v/>
      </c>
      <c r="F58" s="156" t="n">
        <v>1</v>
      </c>
      <c r="G58" s="156" t="n">
        <v>1.2</v>
      </c>
      <c r="H58" s="295">
        <f>GEOMEAN(B58:G58)</f>
        <v/>
      </c>
      <c r="I58" s="292">
        <f>ROUND(H58/SUM($H$54:$H$59),4)</f>
        <v/>
      </c>
      <c r="K58" s="292">
        <f>B58*$I$54+C58*$I$55+D58*$I$56+E58*$I$57+F58*$I$58+G58*$I$59</f>
        <v/>
      </c>
      <c r="L58" s="295">
        <f>K58/I58</f>
        <v/>
      </c>
    </row>
    <row r="59">
      <c r="A59" s="59" t="inlineStr">
        <is>
          <t>Finance &amp; Procurement</t>
        </is>
      </c>
      <c r="B59" s="156">
        <f>1/G54</f>
        <v/>
      </c>
      <c r="C59" s="156">
        <f>1/G55</f>
        <v/>
      </c>
      <c r="D59" s="156">
        <f>1/G56</f>
        <v/>
      </c>
      <c r="E59" s="156">
        <f>1/G57</f>
        <v/>
      </c>
      <c r="F59" s="156">
        <f>1/G58</f>
        <v/>
      </c>
      <c r="G59" s="156" t="n">
        <v>1</v>
      </c>
      <c r="H59" s="295">
        <f>GEOMEAN(B59:G59)</f>
        <v/>
      </c>
      <c r="I59" s="292">
        <f>ROUND(H59/SUM($H$54:$H$59),4)</f>
        <v/>
      </c>
      <c r="K59" s="292">
        <f>B59*$I$54+C59*$I$55+D59*$I$56+E59*$I$57+F59*$I$58+G59*$I$59</f>
        <v/>
      </c>
      <c r="L59" s="295">
        <f>K59/I59</f>
        <v/>
      </c>
    </row>
    <row r="61" ht="22.05" customHeight="1" s="209">
      <c r="A61" s="124" t="inlineStr">
        <is>
          <t>Consistency</t>
        </is>
      </c>
      <c r="B61" s="124" t="inlineStr">
        <is>
          <t>lambda_max</t>
        </is>
      </c>
      <c r="C61" s="296">
        <f>AVERAGE(L54:L59)</f>
        <v/>
      </c>
      <c r="D61" s="124" t="n"/>
      <c r="E61" s="124" t="n"/>
      <c r="F61" s="124" t="n"/>
      <c r="G61" s="124" t="n"/>
      <c r="H61" s="124" t="n"/>
      <c r="I61" s="124" t="n"/>
      <c r="J61" s="124" t="n"/>
      <c r="K61" s="124" t="n"/>
      <c r="L61" s="124" t="n"/>
    </row>
    <row r="62">
      <c r="B62" t="inlineStr">
        <is>
          <t>CI</t>
        </is>
      </c>
      <c r="C62" s="295">
        <f>(C61-6)/(6-1)</f>
        <v/>
      </c>
    </row>
    <row r="63">
      <c r="B63" t="inlineStr">
        <is>
          <t>CR (aim &lt; 0.10)</t>
        </is>
      </c>
      <c r="C63">
        <f>ROUND(C62/1.24,3)</f>
        <v/>
      </c>
    </row>
    <row r="64" ht="15" customHeight="1" s="209">
      <c r="B64" t="inlineStr">
        <is>
          <t>Status</t>
        </is>
      </c>
      <c r="C64" s="65">
        <f>IF(C63&lt;=0.1,"Consistent","REVIEW judgments")</f>
        <v/>
      </c>
    </row>
    <row r="66">
      <c r="A66" t="inlineStr">
        <is>
          <t>Blend lambda (AHP vs template)</t>
        </is>
      </c>
      <c r="B66" s="84" t="n">
        <v>0.5</v>
      </c>
      <c r="C66" s="58" t="inlineStr">
        <is>
          <t>0 = pure industry template, 1 = pure AHP</t>
        </is>
      </c>
    </row>
    <row r="67" ht="22.05" customHeight="1" s="209">
      <c r="A67" s="124" t="n"/>
      <c r="B67" s="124" t="n"/>
      <c r="C67" s="124" t="n"/>
      <c r="D67" s="124" t="n"/>
      <c r="E67" s="124" t="n"/>
      <c r="F67" s="124" t="n"/>
      <c r="G67" s="124" t="n"/>
      <c r="H67" s="124" t="n"/>
      <c r="I67" s="124" t="n"/>
      <c r="J67" s="124" t="n"/>
      <c r="K67" s="124" t="n"/>
      <c r="L67" s="124" t="n"/>
    </row>
    <row r="68" ht="24" customHeight="1" s="209">
      <c r="A68" s="155" t="inlineStr">
        <is>
          <t>Domain calibrated weights</t>
        </is>
      </c>
      <c r="B68" s="155" t="n"/>
      <c r="C68" s="155" t="n"/>
      <c r="D68" s="155" t="n"/>
      <c r="E68" s="155" t="n"/>
      <c r="F68" s="155" t="n"/>
      <c r="G68" s="155" t="n"/>
      <c r="H68" s="155" t="n"/>
      <c r="I68" s="155" t="n"/>
      <c r="J68" s="155" t="n"/>
      <c r="K68" s="155" t="n"/>
      <c r="L68" s="155" t="n"/>
    </row>
    <row r="69" ht="38.25" customHeight="1" s="209">
      <c r="A69" s="68" t="inlineStr">
        <is>
          <t>Domain</t>
        </is>
      </c>
      <c r="B69" s="68" t="inlineStr">
        <is>
          <t>Pillar</t>
        </is>
      </c>
      <c r="C69" s="68" t="inlineStr">
        <is>
          <t>Pillar priority</t>
        </is>
      </c>
      <c r="D69" s="68" t="inlineStr">
        <is>
          <t>Template weight</t>
        </is>
      </c>
      <c r="E69" s="68" t="inlineStr">
        <is>
          <t>Within-pillar share</t>
        </is>
      </c>
      <c r="F69" s="68" t="inlineStr">
        <is>
          <t>AHP weight</t>
        </is>
      </c>
      <c r="G69" s="68" t="inlineStr">
        <is>
          <t>Norm template wt</t>
        </is>
      </c>
      <c r="H69" s="68" t="inlineStr">
        <is>
          <t>Calibrated weight</t>
        </is>
      </c>
    </row>
    <row r="70">
      <c r="A70" s="76" t="inlineStr">
        <is>
          <t>Company Geography</t>
        </is>
      </c>
      <c r="B70" s="77" t="inlineStr">
        <is>
          <t>People &amp; Safety</t>
        </is>
      </c>
      <c r="C70" s="297">
        <f>'_CONFIG_Model_Settings'!$I$57</f>
        <v/>
      </c>
      <c r="D70" s="69">
        <f>IFERROR(SUMIFS(_REF_Model_Content!$C$1:$C$157,_REF_Model_Content!$A$1:$A$157,'Company Profile'!$B$9,_REF_Model_Content!$B$1:$B$157,$A70),1)</f>
        <v/>
      </c>
      <c r="E70" s="298">
        <f>IFERROR($D70/SUMIFS($D$70:$D$86,$B$70:$B$86,$B70),0)</f>
        <v/>
      </c>
      <c r="F70" s="297">
        <f>$C70*$E70</f>
        <v/>
      </c>
      <c r="G70" s="297">
        <f>IFERROR($D70/SUM($D$70:$D$86),0)</f>
        <v/>
      </c>
      <c r="H70" s="297">
        <f>IFERROR(('_CONFIG_Model_Settings'!$B$66*$F70+(1-'_CONFIG_Model_Settings'!$B$66)*$G70)/SUMPRODUCT('_CONFIG_Model_Settings'!$B$66*$F$70:$F$86+(1-'_CONFIG_Model_Settings'!$B$66)*$G$70:$G$86),0)</f>
        <v/>
      </c>
    </row>
    <row r="71">
      <c r="A71" s="76" t="inlineStr">
        <is>
          <t>Strategy GTM</t>
        </is>
      </c>
      <c r="B71" s="77" t="inlineStr">
        <is>
          <t>Commercial</t>
        </is>
      </c>
      <c r="C71" s="297">
        <f>'_CONFIG_Model_Settings'!$I$58</f>
        <v/>
      </c>
      <c r="D71" s="69">
        <f>IFERROR(SUMIFS(_REF_Model_Content!$C$1:$C$157,_REF_Model_Content!$A$1:$A$157,'Company Profile'!$B$9,_REF_Model_Content!$B$1:$B$157,$A71),1)</f>
        <v/>
      </c>
      <c r="E71" s="298">
        <f>IFERROR($D71/SUMIFS($D$70:$D$86,$B$70:$B$86,$B71),0)</f>
        <v/>
      </c>
      <c r="F71" s="297">
        <f>$C71*$E71</f>
        <v/>
      </c>
      <c r="G71" s="297">
        <f>IFERROR($D71/SUM($D$70:$D$86),0)</f>
        <v/>
      </c>
      <c r="H71" s="297">
        <f>IFERROR(('_CONFIG_Model_Settings'!$B$66*$F71+(1-'_CONFIG_Model_Settings'!$B$66)*$G71)/SUMPRODUCT('_CONFIG_Model_Settings'!$B$66*$F$70:$F$86+(1-'_CONFIG_Model_Settings'!$B$66)*$G$70:$G$86),0)</f>
        <v/>
      </c>
    </row>
    <row r="72">
      <c r="A72" s="76" t="inlineStr">
        <is>
          <t>Governance Crisis</t>
        </is>
      </c>
      <c r="B72" s="77" t="inlineStr">
        <is>
          <t>Governance &amp; Risk</t>
        </is>
      </c>
      <c r="C72" s="297">
        <f>'_CONFIG_Model_Settings'!$I$54</f>
        <v/>
      </c>
      <c r="D72" s="69">
        <f>IFERROR(SUMIFS(_REF_Model_Content!$C$1:$C$157,_REF_Model_Content!$A$1:$A$157,'Company Profile'!$B$9,_REF_Model_Content!$B$1:$B$157,$A72),1)</f>
        <v/>
      </c>
      <c r="E72" s="298">
        <f>IFERROR($D72/SUMIFS($D$70:$D$86,$B$70:$B$86,$B72),0)</f>
        <v/>
      </c>
      <c r="F72" s="297">
        <f>$C72*$E72</f>
        <v/>
      </c>
      <c r="G72" s="297">
        <f>IFERROR($D72/SUM($D$70:$D$86),0)</f>
        <v/>
      </c>
      <c r="H72" s="297">
        <f>IFERROR(('_CONFIG_Model_Settings'!$B$66*$F72+(1-'_CONFIG_Model_Settings'!$B$66)*$G72)/SUMPRODUCT('_CONFIG_Model_Settings'!$B$66*$F$70:$F$86+(1-'_CONFIG_Model_Settings'!$B$66)*$G$70:$G$86),0)</f>
        <v/>
      </c>
    </row>
    <row r="73">
      <c r="A73" s="76" t="inlineStr">
        <is>
          <t>HR Workforce</t>
        </is>
      </c>
      <c r="B73" s="77" t="inlineStr">
        <is>
          <t>People &amp; Safety</t>
        </is>
      </c>
      <c r="C73" s="297">
        <f>'_CONFIG_Model_Settings'!$I$57</f>
        <v/>
      </c>
      <c r="D73" s="69">
        <f>IFERROR(SUMIFS(_REF_Model_Content!$C$1:$C$157,_REF_Model_Content!$A$1:$A$157,'Company Profile'!$B$9,_REF_Model_Content!$B$1:$B$157,$A73),1)</f>
        <v/>
      </c>
      <c r="E73" s="298">
        <f>IFERROR($D73/SUMIFS($D$70:$D$86,$B$70:$B$86,$B73),0)</f>
        <v/>
      </c>
      <c r="F73" s="297">
        <f>$C73*$E73</f>
        <v/>
      </c>
      <c r="G73" s="297">
        <f>IFERROR($D73/SUM($D$70:$D$86),0)</f>
        <v/>
      </c>
      <c r="H73" s="297">
        <f>IFERROR(('_CONFIG_Model_Settings'!$B$66*$F73+(1-'_CONFIG_Model_Settings'!$B$66)*$G73)/SUMPRODUCT('_CONFIG_Model_Settings'!$B$66*$F$70:$F$86+(1-'_CONFIG_Model_Settings'!$B$66)*$G$70:$G$86),0)</f>
        <v/>
      </c>
    </row>
    <row r="74">
      <c r="A74" s="76" t="inlineStr">
        <is>
          <t>Finance Procurement</t>
        </is>
      </c>
      <c r="B74" s="77" t="inlineStr">
        <is>
          <t>Finance &amp; Procurement</t>
        </is>
      </c>
      <c r="C74" s="297">
        <f>'_CONFIG_Model_Settings'!$I$59</f>
        <v/>
      </c>
      <c r="D74" s="69">
        <f>IFERROR(SUMIFS(_REF_Model_Content!$C$1:$C$157,_REF_Model_Content!$A$1:$A$157,'Company Profile'!$B$9,_REF_Model_Content!$B$1:$B$157,$A74),1)</f>
        <v/>
      </c>
      <c r="E74" s="298">
        <f>IFERROR($D74/SUMIFS($D$70:$D$86,$B$70:$B$86,$B74),0)</f>
        <v/>
      </c>
      <c r="F74" s="297">
        <f>$C74*$E74</f>
        <v/>
      </c>
      <c r="G74" s="297">
        <f>IFERROR($D74/SUM($D$70:$D$86),0)</f>
        <v/>
      </c>
      <c r="H74" s="297">
        <f>IFERROR(('_CONFIG_Model_Settings'!$B$66*$F74+(1-'_CONFIG_Model_Settings'!$B$66)*$G74)/SUMPRODUCT('_CONFIG_Model_Settings'!$B$66*$F$70:$F$86+(1-'_CONFIG_Model_Settings'!$B$66)*$G$70:$G$86),0)</f>
        <v/>
      </c>
    </row>
    <row r="75" ht="22.05" customHeight="1" s="209">
      <c r="A75" s="124" t="inlineStr">
        <is>
          <t>Legal Risk</t>
        </is>
      </c>
      <c r="B75" s="124" t="inlineStr">
        <is>
          <t>Governance &amp; Risk</t>
        </is>
      </c>
      <c r="C75" s="299">
        <f>'_CONFIG_Model_Settings'!$I$54</f>
        <v/>
      </c>
      <c r="D75" s="161">
        <f>IFERROR(SUMIFS(_REF_Model_Content!$C$1:$C$157,_REF_Model_Content!$A$1:$A$157,'Company Profile'!$B$9,_REF_Model_Content!$B$1:$B$157,$A75),1)</f>
        <v/>
      </c>
      <c r="E75" s="296">
        <f>IFERROR($D75/SUMIFS($D$70:$D$86,$B$70:$B$86,$B75),0)</f>
        <v/>
      </c>
      <c r="F75" s="299">
        <f>$C75*$E75</f>
        <v/>
      </c>
      <c r="G75" s="299">
        <f>IFERROR($D75/SUM($D$70:$D$86),0)</f>
        <v/>
      </c>
      <c r="H75" s="299">
        <f>IFERROR(('_CONFIG_Model_Settings'!$B$66*$F75+(1-'_CONFIG_Model_Settings'!$B$66)*$G75)/SUMPRODUCT('_CONFIG_Model_Settings'!$B$66*$F$70:$F$86+(1-'_CONFIG_Model_Settings'!$B$66)*$G$70:$G$86),0)</f>
        <v/>
      </c>
      <c r="I75" s="124" t="n"/>
      <c r="J75" s="124" t="n"/>
      <c r="K75" s="124" t="n"/>
      <c r="L75" s="124" t="n"/>
    </row>
    <row r="76" ht="24" customHeight="1" s="209">
      <c r="A76" s="155" t="inlineStr">
        <is>
          <t>Physical Safety</t>
        </is>
      </c>
      <c r="B76" s="155" t="inlineStr">
        <is>
          <t>People &amp; Safety</t>
        </is>
      </c>
      <c r="C76" s="300">
        <f>'_CONFIG_Model_Settings'!$I$57</f>
        <v/>
      </c>
      <c r="D76" s="163">
        <f>IFERROR(SUMIFS(_REF_Model_Content!$C$1:$C$157,_REF_Model_Content!$A$1:$A$157,'Company Profile'!$B$9,_REF_Model_Content!$B$1:$B$157,$A76),1)</f>
        <v/>
      </c>
      <c r="E76" s="301">
        <f>IFERROR($D76/SUMIFS($D$70:$D$86,$B$70:$B$86,$B76),0)</f>
        <v/>
      </c>
      <c r="F76" s="300">
        <f>$C76*$E76</f>
        <v/>
      </c>
      <c r="G76" s="300">
        <f>IFERROR($D76/SUM($D$70:$D$86),0)</f>
        <v/>
      </c>
      <c r="H76" s="300">
        <f>IFERROR(('_CONFIG_Model_Settings'!$B$66*$F76+(1-'_CONFIG_Model_Settings'!$B$66)*$G76)/SUMPRODUCT('_CONFIG_Model_Settings'!$B$66*$F$70:$F$86+(1-'_CONFIG_Model_Settings'!$B$66)*$G$70:$G$86),0)</f>
        <v/>
      </c>
      <c r="I76" s="155" t="n"/>
      <c r="J76" s="155" t="n"/>
      <c r="K76" s="155" t="n"/>
      <c r="L76" s="155" t="n"/>
    </row>
    <row r="77">
      <c r="A77" s="76" t="inlineStr">
        <is>
          <t>Delivery Ops</t>
        </is>
      </c>
      <c r="B77" s="77" t="inlineStr">
        <is>
          <t>Operations &amp; Supply</t>
        </is>
      </c>
      <c r="C77" s="297">
        <f>'_CONFIG_Model_Settings'!$I$56</f>
        <v/>
      </c>
      <c r="D77" s="69">
        <f>IFERROR(SUMIFS(_REF_Model_Content!$C$1:$C$157,_REF_Model_Content!$A$1:$A$157,'Company Profile'!$B$9,_REF_Model_Content!$B$1:$B$157,$A77),1)</f>
        <v/>
      </c>
      <c r="E77" s="298">
        <f>IFERROR($D77/SUMIFS($D$70:$D$86,$B$70:$B$86,$B77),0)</f>
        <v/>
      </c>
      <c r="F77" s="297">
        <f>$C77*$E77</f>
        <v/>
      </c>
      <c r="G77" s="297">
        <f>IFERROR($D77/SUM($D$70:$D$86),0)</f>
        <v/>
      </c>
      <c r="H77" s="297">
        <f>IFERROR(('_CONFIG_Model_Settings'!$B$66*$F77+(1-'_CONFIG_Model_Settings'!$B$66)*$G77)/SUMPRODUCT('_CONFIG_Model_Settings'!$B$66*$F$70:$F$86+(1-'_CONFIG_Model_Settings'!$B$66)*$G$70:$G$86),0)</f>
        <v/>
      </c>
    </row>
    <row r="78">
      <c r="A78" s="76" t="inlineStr">
        <is>
          <t>Supply Chain</t>
        </is>
      </c>
      <c r="B78" s="77" t="inlineStr">
        <is>
          <t>Operations &amp; Supply</t>
        </is>
      </c>
      <c r="C78" s="297">
        <f>'_CONFIG_Model_Settings'!$I$56</f>
        <v/>
      </c>
      <c r="D78" s="69">
        <f>IFERROR(SUMIFS(_REF_Model_Content!$C$1:$C$157,_REF_Model_Content!$A$1:$A$157,'Company Profile'!$B$9,_REF_Model_Content!$B$1:$B$157,$A78),1)</f>
        <v/>
      </c>
      <c r="E78" s="298">
        <f>IFERROR($D78/SUMIFS($D$70:$D$86,$B$70:$B$86,$B78),0)</f>
        <v/>
      </c>
      <c r="F78" s="297">
        <f>$C78*$E78</f>
        <v/>
      </c>
      <c r="G78" s="297">
        <f>IFERROR($D78/SUM($D$70:$D$86),0)</f>
        <v/>
      </c>
      <c r="H78" s="297">
        <f>IFERROR(('_CONFIG_Model_Settings'!$B$66*$F78+(1-'_CONFIG_Model_Settings'!$B$66)*$G78)/SUMPRODUCT('_CONFIG_Model_Settings'!$B$66*$F$70:$F$86+(1-'_CONFIG_Model_Settings'!$B$66)*$G$70:$G$86),0)</f>
        <v/>
      </c>
    </row>
    <row r="79">
      <c r="A79" s="76" t="inlineStr">
        <is>
          <t>Manufacturing MES</t>
        </is>
      </c>
      <c r="B79" s="77" t="inlineStr">
        <is>
          <t>Operations &amp; Supply</t>
        </is>
      </c>
      <c r="C79" s="297">
        <f>'_CONFIG_Model_Settings'!$I$56</f>
        <v/>
      </c>
      <c r="D79" s="69">
        <f>IFERROR(SUMIFS(_REF_Model_Content!$C$1:$C$157,_REF_Model_Content!$A$1:$A$157,'Company Profile'!$B$9,_REF_Model_Content!$B$1:$B$157,$A79),1)</f>
        <v/>
      </c>
      <c r="E79" s="298">
        <f>IFERROR($D79/SUMIFS($D$70:$D$86,$B$70:$B$86,$B79),0)</f>
        <v/>
      </c>
      <c r="F79" s="297">
        <f>$C79*$E79</f>
        <v/>
      </c>
      <c r="G79" s="297">
        <f>IFERROR($D79/SUM($D$70:$D$86),0)</f>
        <v/>
      </c>
      <c r="H79" s="297">
        <f>IFERROR(('_CONFIG_Model_Settings'!$B$66*$F79+(1-'_CONFIG_Model_Settings'!$B$66)*$G79)/SUMPRODUCT('_CONFIG_Model_Settings'!$B$66*$F$70:$F$86+(1-'_CONFIG_Model_Settings'!$B$66)*$G$70:$G$86),0)</f>
        <v/>
      </c>
    </row>
    <row r="80">
      <c r="A80" s="76" t="inlineStr">
        <is>
          <t>Sales CRM</t>
        </is>
      </c>
      <c r="B80" s="77" t="inlineStr">
        <is>
          <t>Commercial</t>
        </is>
      </c>
      <c r="C80" s="297">
        <f>'_CONFIG_Model_Settings'!$I$58</f>
        <v/>
      </c>
      <c r="D80" s="69">
        <f>IFERROR(SUMIFS(_REF_Model_Content!$C$1:$C$157,_REF_Model_Content!$A$1:$A$157,'Company Profile'!$B$9,_REF_Model_Content!$B$1:$B$157,$A80),1)</f>
        <v/>
      </c>
      <c r="E80" s="298">
        <f>IFERROR($D80/SUMIFS($D$70:$D$86,$B$70:$B$86,$B80),0)</f>
        <v/>
      </c>
      <c r="F80" s="297">
        <f>$C80*$E80</f>
        <v/>
      </c>
      <c r="G80" s="297">
        <f>IFERROR($D80/SUM($D$70:$D$86),0)</f>
        <v/>
      </c>
      <c r="H80" s="297">
        <f>IFERROR(('_CONFIG_Model_Settings'!$B$66*$F80+(1-'_CONFIG_Model_Settings'!$B$66)*$G80)/SUMPRODUCT('_CONFIG_Model_Settings'!$B$66*$F$70:$F$86+(1-'_CONFIG_Model_Settings'!$B$66)*$G$70:$G$86),0)</f>
        <v/>
      </c>
    </row>
    <row r="81">
      <c r="A81" s="76" t="inlineStr">
        <is>
          <t>Marketing Comms</t>
        </is>
      </c>
      <c r="B81" s="77" t="inlineStr">
        <is>
          <t>Commercial</t>
        </is>
      </c>
      <c r="C81" s="297">
        <f>'_CONFIG_Model_Settings'!$I$58</f>
        <v/>
      </c>
      <c r="D81" s="69">
        <f>IFERROR(SUMIFS(_REF_Model_Content!$C$1:$C$157,_REF_Model_Content!$A$1:$A$157,'Company Profile'!$B$9,_REF_Model_Content!$B$1:$B$157,$A81),1)</f>
        <v/>
      </c>
      <c r="E81" s="298">
        <f>IFERROR($D81/SUMIFS($D$70:$D$86,$B$70:$B$86,$B81),0)</f>
        <v/>
      </c>
      <c r="F81" s="297">
        <f>$C81*$E81</f>
        <v/>
      </c>
      <c r="G81" s="297">
        <f>IFERROR($D81/SUM($D$70:$D$86),0)</f>
        <v/>
      </c>
      <c r="H81" s="297">
        <f>IFERROR(('_CONFIG_Model_Settings'!$B$66*$F81+(1-'_CONFIG_Model_Settings'!$B$66)*$G81)/SUMPRODUCT('_CONFIG_Model_Settings'!$B$66*$F$70:$F$86+(1-'_CONFIG_Model_Settings'!$B$66)*$G$70:$G$86),0)</f>
        <v/>
      </c>
    </row>
    <row r="82">
      <c r="A82" s="76" t="inlineStr">
        <is>
          <t>IT Cloud DR</t>
        </is>
      </c>
      <c r="B82" s="77" t="inlineStr">
        <is>
          <t>Technology &amp; Cyber</t>
        </is>
      </c>
      <c r="C82" s="297">
        <f>'_CONFIG_Model_Settings'!$I$55</f>
        <v/>
      </c>
      <c r="D82" s="69">
        <f>IFERROR(SUMIFS(_REF_Model_Content!$C$1:$C$157,_REF_Model_Content!$A$1:$A$157,'Company Profile'!$B$9,_REF_Model_Content!$B$1:$B$157,$A82),1)</f>
        <v/>
      </c>
      <c r="E82" s="298">
        <f>IFERROR($D82/SUMIFS($D$70:$D$86,$B$70:$B$86,$B82),0)</f>
        <v/>
      </c>
      <c r="F82" s="297">
        <f>$C82*$E82</f>
        <v/>
      </c>
      <c r="G82" s="297">
        <f>IFERROR($D82/SUM($D$70:$D$86),0)</f>
        <v/>
      </c>
      <c r="H82" s="297">
        <f>IFERROR(('_CONFIG_Model_Settings'!$B$66*$F82+(1-'_CONFIG_Model_Settings'!$B$66)*$G82)/SUMPRODUCT('_CONFIG_Model_Settings'!$B$66*$F$70:$F$86+(1-'_CONFIG_Model_Settings'!$B$66)*$G$70:$G$86),0)</f>
        <v/>
      </c>
    </row>
    <row r="83">
      <c r="A83" s="76" t="inlineStr">
        <is>
          <t>Business Systems</t>
        </is>
      </c>
      <c r="B83" s="77" t="inlineStr">
        <is>
          <t>Technology &amp; Cyber</t>
        </is>
      </c>
      <c r="C83" s="297">
        <f>'_CONFIG_Model_Settings'!$I$55</f>
        <v/>
      </c>
      <c r="D83" s="69">
        <f>IFERROR(SUMIFS(_REF_Model_Content!$C$1:$C$157,_REF_Model_Content!$A$1:$A$157,'Company Profile'!$B$9,_REF_Model_Content!$B$1:$B$157,$A83),1)</f>
        <v/>
      </c>
      <c r="E83" s="298">
        <f>IFERROR($D83/SUMIFS($D$70:$D$86,$B$70:$B$86,$B83),0)</f>
        <v/>
      </c>
      <c r="F83" s="297">
        <f>$C83*$E83</f>
        <v/>
      </c>
      <c r="G83" s="297">
        <f>IFERROR($D83/SUM($D$70:$D$86),0)</f>
        <v/>
      </c>
      <c r="H83" s="297">
        <f>IFERROR(('_CONFIG_Model_Settings'!$B$66*$F83+(1-'_CONFIG_Model_Settings'!$B$66)*$G83)/SUMPRODUCT('_CONFIG_Model_Settings'!$B$66*$F$70:$F$86+(1-'_CONFIG_Model_Settings'!$B$66)*$G$70:$G$86),0)</f>
        <v/>
      </c>
    </row>
    <row r="84">
      <c r="A84" s="76" t="inlineStr">
        <is>
          <t>Data BI AI</t>
        </is>
      </c>
      <c r="B84" s="77" t="inlineStr">
        <is>
          <t>Technology &amp; Cyber</t>
        </is>
      </c>
      <c r="C84" s="297">
        <f>'_CONFIG_Model_Settings'!$I$55</f>
        <v/>
      </c>
      <c r="D84" s="69">
        <f>IFERROR(SUMIFS(_REF_Model_Content!$C$1:$C$157,_REF_Model_Content!$A$1:$A$157,'Company Profile'!$B$9,_REF_Model_Content!$B$1:$B$157,$A84),1)</f>
        <v/>
      </c>
      <c r="E84" s="298">
        <f>IFERROR($D84/SUMIFS($D$70:$D$86,$B$70:$B$86,$B84),0)</f>
        <v/>
      </c>
      <c r="F84" s="297">
        <f>$C84*$E84</f>
        <v/>
      </c>
      <c r="G84" s="297">
        <f>IFERROR($D84/SUM($D$70:$D$86),0)</f>
        <v/>
      </c>
      <c r="H84" s="297">
        <f>IFERROR(('_CONFIG_Model_Settings'!$B$66*$F84+(1-'_CONFIG_Model_Settings'!$B$66)*$G84)/SUMPRODUCT('_CONFIG_Model_Settings'!$B$66*$F$70:$F$86+(1-'_CONFIG_Model_Settings'!$B$66)*$G$70:$G$86),0)</f>
        <v/>
      </c>
    </row>
    <row r="85">
      <c r="A85" s="76" t="inlineStr">
        <is>
          <t>Cyber Privacy</t>
        </is>
      </c>
      <c r="B85" s="77" t="inlineStr">
        <is>
          <t>Technology &amp; Cyber</t>
        </is>
      </c>
      <c r="C85" s="297">
        <f>'_CONFIG_Model_Settings'!$I$55</f>
        <v/>
      </c>
      <c r="D85" s="69">
        <f>IFERROR(SUMIFS(_REF_Model_Content!$C$1:$C$157,_REF_Model_Content!$A$1:$A$157,'Company Profile'!$B$9,_REF_Model_Content!$B$1:$B$157,$A85),1)</f>
        <v/>
      </c>
      <c r="E85" s="298">
        <f>IFERROR($D85/SUMIFS($D$70:$D$86,$B$70:$B$86,$B85),0)</f>
        <v/>
      </c>
      <c r="F85" s="297">
        <f>$C85*$E85</f>
        <v/>
      </c>
      <c r="G85" s="297">
        <f>IFERROR($D85/SUM($D$70:$D$86),0)</f>
        <v/>
      </c>
      <c r="H85" s="297">
        <f>IFERROR(('_CONFIG_Model_Settings'!$B$66*$F85+(1-'_CONFIG_Model_Settings'!$B$66)*$G85)/SUMPRODUCT('_CONFIG_Model_Settings'!$B$66*$F$70:$F$86+(1-'_CONFIG_Model_Settings'!$B$66)*$G$70:$G$86),0)</f>
        <v/>
      </c>
    </row>
    <row r="86">
      <c r="A86" s="76" t="inlineStr">
        <is>
          <t>Quality Portfolio</t>
        </is>
      </c>
      <c r="B86" s="77" t="inlineStr">
        <is>
          <t>Governance &amp; Risk</t>
        </is>
      </c>
      <c r="C86" s="297">
        <f>'_CONFIG_Model_Settings'!$I$54</f>
        <v/>
      </c>
      <c r="D86" s="69">
        <f>IFERROR(SUMIFS(_REF_Model_Content!$C$1:$C$157,_REF_Model_Content!$A$1:$A$157,'Company Profile'!$B$9,_REF_Model_Content!$B$1:$B$157,$A86),1)</f>
        <v/>
      </c>
      <c r="E86" s="298">
        <f>IFERROR($D86/SUMIFS($D$70:$D$86,$B$70:$B$86,$B86),0)</f>
        <v/>
      </c>
      <c r="F86" s="297">
        <f>$C86*$E86</f>
        <v/>
      </c>
      <c r="G86" s="297">
        <f>IFERROR($D86/SUM($D$70:$D$86),0)</f>
        <v/>
      </c>
      <c r="H86" s="297">
        <f>IFERROR(('_CONFIG_Model_Settings'!$B$66*$F86+(1-'_CONFIG_Model_Settings'!$B$66)*$G86)/SUMPRODUCT('_CONFIG_Model_Settings'!$B$66*$F$70:$F$86+(1-'_CONFIG_Model_Settings'!$B$66)*$G$70:$G$86),0)</f>
        <v/>
      </c>
    </row>
    <row r="87">
      <c r="G87" t="inlineStr">
        <is>
          <t>SUM</t>
        </is>
      </c>
      <c r="H87" s="292">
        <f>SUM(H70:H86)</f>
        <v/>
      </c>
    </row>
    <row r="100">
      <c r="A100" t="inlineStr">
        <is>
          <t>_CONFIG_Model_Settings &amp; Financial Calibration — v1.93</t>
        </is>
      </c>
    </row>
    <row r="101">
      <c r="A101" t="inlineStr">
        <is>
          <t>Purpose</t>
        </is>
      </c>
      <c r="B101" t="inlineStr">
        <is>
          <t>Connect fuzzy strategic posture, client objective and avoided-loss economics to initiative WSJF v3. Client objective is blank in the clean template and uses neutral fallback multipliers.</t>
        </is>
      </c>
    </row>
    <row r="103">
      <c r="A103" t="inlineStr">
        <is>
          <t>Current fuzzy posture</t>
        </is>
      </c>
      <c r="B103">
        <f>INDEX('_ENGINE_Fuzzy_Posture'!$A$11:$A$15,MATCH(MAX('_ENGINE_Fuzzy_Posture'!$B$11:$B$15),'_ENGINE_Fuzzy_Posture'!$B$11:$B$15,0))</f>
        <v/>
      </c>
      <c r="C103" t="inlineStr">
        <is>
          <t>Dominant state from _ENGINE_Fuzzy_Posture membership.</t>
        </is>
      </c>
    </row>
    <row r="104">
      <c r="A104" t="inlineStr">
        <is>
          <t>Selected client objective</t>
        </is>
      </c>
      <c r="C104" t="inlineStr">
        <is>
          <t>Editable input. Select one objective after company goals are known: Profit, Revenue growth, Market share, Valuation, Dividends, Resilience, Compliance. Blank uses neutral multipliers = 1.</t>
        </is>
      </c>
    </row>
    <row r="105">
      <c r="A105" t="inlineStr">
        <is>
          <t>Financial value scale (EUR k/yr per score point)</t>
        </is>
      </c>
      <c r="B105" t="n">
        <v>75</v>
      </c>
      <c r="C105" t="inlineStr">
        <is>
          <t>Used to convert avoided-loss coverage into a 0–5 financial value score.</t>
        </is>
      </c>
    </row>
    <row r="106">
      <c r="A106" t="inlineStr">
        <is>
          <t>Financial value weight</t>
        </is>
      </c>
      <c r="B106" t="n">
        <v>0.15</v>
      </c>
      <c r="C106" t="inlineStr">
        <is>
          <t>Additional Cost of Delay weight for avoided loss / cost-of-inaction coverage.</t>
        </is>
      </c>
    </row>
    <row r="108">
      <c r="A108" t="inlineStr">
        <is>
          <t>Fuzzy state</t>
        </is>
      </c>
      <c r="B108" t="inlineStr">
        <is>
          <t>Business Value weight</t>
        </is>
      </c>
      <c r="C108" t="inlineStr">
        <is>
          <t>Time Criticality weight</t>
        </is>
      </c>
      <c r="D108" t="inlineStr">
        <is>
          <t>Risk Reduction weight</t>
        </is>
      </c>
      <c r="E108" t="inlineStr">
        <is>
          <t>Opportunity Enablement weight</t>
        </is>
      </c>
      <c r="F108" t="inlineStr">
        <is>
          <t>Logic</t>
        </is>
      </c>
    </row>
    <row r="109">
      <c r="A109" t="inlineStr">
        <is>
          <t>Fragile</t>
        </is>
      </c>
      <c r="B109" t="n">
        <v>0.2</v>
      </c>
      <c r="C109" t="n">
        <v>0.3</v>
      </c>
      <c r="D109" t="n">
        <v>0.4</v>
      </c>
      <c r="E109" t="n">
        <v>0.1</v>
      </c>
      <c r="F109" t="inlineStr">
        <is>
          <t>Fragile posture prioritizes survival, urgency and risk reduction.</t>
        </is>
      </c>
    </row>
    <row r="110">
      <c r="A110" t="inlineStr">
        <is>
          <t>Exposed</t>
        </is>
      </c>
      <c r="B110" t="n">
        <v>0.25</v>
      </c>
      <c r="C110" t="n">
        <v>0.25</v>
      </c>
      <c r="D110" t="n">
        <v>0.35</v>
      </c>
      <c r="E110" t="n">
        <v>0.15</v>
      </c>
      <c r="F110" t="inlineStr">
        <is>
          <t>Exposed posture still prioritizes risk reduction, with moderate business value.</t>
        </is>
      </c>
    </row>
    <row r="111">
      <c r="A111" t="inlineStr">
        <is>
          <t>Adaptive</t>
        </is>
      </c>
      <c r="B111" t="n">
        <v>0.3</v>
      </c>
      <c r="C111" t="n">
        <v>0.2</v>
      </c>
      <c r="D111" t="n">
        <v>0.25</v>
      </c>
      <c r="E111" t="n">
        <v>0.25</v>
      </c>
      <c r="F111" t="inlineStr">
        <is>
          <t>Adaptive posture balances defensive and enabling initiatives.</t>
        </is>
      </c>
    </row>
    <row r="112">
      <c r="A112" t="inlineStr">
        <is>
          <t>Resilient</t>
        </is>
      </c>
      <c r="B112" t="n">
        <v>0.3</v>
      </c>
      <c r="C112" t="n">
        <v>0.15</v>
      </c>
      <c r="D112" t="n">
        <v>0.2</v>
      </c>
      <c r="E112" t="n">
        <v>0.35</v>
      </c>
      <c r="F112" t="inlineStr">
        <is>
          <t>Resilient posture increases emphasis on opportunity enablement.</t>
        </is>
      </c>
    </row>
    <row r="113">
      <c r="A113" t="inlineStr">
        <is>
          <t>Anti-fragile</t>
        </is>
      </c>
      <c r="B113" t="n">
        <v>0.35</v>
      </c>
      <c r="C113" t="n">
        <v>0.1</v>
      </c>
      <c r="D113" t="n">
        <v>0.15</v>
      </c>
      <c r="E113" t="n">
        <v>0.4</v>
      </c>
      <c r="F113" t="inlineStr">
        <is>
          <t>Anti-fragile posture favors growth, optionality and transformation.</t>
        </is>
      </c>
    </row>
    <row r="116">
      <c r="A116" t="inlineStr">
        <is>
          <t>Client objective</t>
        </is>
      </c>
      <c r="B116" t="inlineStr">
        <is>
          <t>BV multiplier</t>
        </is>
      </c>
      <c r="C116" t="inlineStr">
        <is>
          <t>TC multiplier</t>
        </is>
      </c>
      <c r="D116" t="inlineStr">
        <is>
          <t>RR multiplier</t>
        </is>
      </c>
      <c r="E116" t="inlineStr">
        <is>
          <t>OE multiplier</t>
        </is>
      </c>
      <c r="F116" t="inlineStr">
        <is>
          <t>Financial emphasis</t>
        </is>
      </c>
      <c r="G116" t="inlineStr">
        <is>
          <t>Rationale</t>
        </is>
      </c>
    </row>
    <row r="117">
      <c r="A117" t="inlineStr">
        <is>
          <t>Profit</t>
        </is>
      </c>
      <c r="B117" t="n">
        <v>1.2</v>
      </c>
      <c r="C117" t="n">
        <v>0.9</v>
      </c>
      <c r="D117" t="n">
        <v>1</v>
      </c>
      <c r="E117" t="n">
        <v>1.05</v>
      </c>
      <c r="F117" t="n">
        <v>1.2</v>
      </c>
      <c r="G117" t="inlineStr">
        <is>
          <t>Prioritizes margin, productivity and avoided cost.</t>
        </is>
      </c>
    </row>
    <row r="118">
      <c r="A118" t="inlineStr">
        <is>
          <t>Revenue growth</t>
        </is>
      </c>
      <c r="B118" t="n">
        <v>1.2</v>
      </c>
      <c r="C118" t="n">
        <v>1</v>
      </c>
      <c r="D118" t="n">
        <v>0.9</v>
      </c>
      <c r="E118" t="n">
        <v>1.25</v>
      </c>
      <c r="F118" t="n">
        <v>1.05</v>
      </c>
      <c r="G118" t="inlineStr">
        <is>
          <t>Prioritizes initiatives that unlock demand and channels.</t>
        </is>
      </c>
    </row>
    <row r="119">
      <c r="A119" t="inlineStr">
        <is>
          <t>Market share</t>
        </is>
      </c>
      <c r="B119" t="n">
        <v>1.15</v>
      </c>
      <c r="C119" t="n">
        <v>1.05</v>
      </c>
      <c r="D119" t="n">
        <v>0.9</v>
      </c>
      <c r="E119" t="n">
        <v>1.3</v>
      </c>
      <c r="F119" t="n">
        <v>1</v>
      </c>
      <c r="G119" t="inlineStr">
        <is>
          <t>Prioritizes competitive capability and faster execution.</t>
        </is>
      </c>
    </row>
    <row r="120">
      <c r="A120" t="inlineStr">
        <is>
          <t>Valuation</t>
        </is>
      </c>
      <c r="B120" t="n">
        <v>1.25</v>
      </c>
      <c r="C120" t="n">
        <v>0.95</v>
      </c>
      <c r="D120" t="n">
        <v>1.05</v>
      </c>
      <c r="E120" t="n">
        <v>1.25</v>
      </c>
      <c r="F120" t="n">
        <v>1.1</v>
      </c>
      <c r="G120" t="inlineStr">
        <is>
          <t>Prioritizes scalable, measurable and investor-legible capabilities.</t>
        </is>
      </c>
    </row>
    <row r="121">
      <c r="A121" t="inlineStr">
        <is>
          <t>Dividends</t>
        </is>
      </c>
      <c r="B121" t="n">
        <v>1.15</v>
      </c>
      <c r="C121" t="n">
        <v>0.95</v>
      </c>
      <c r="D121" t="n">
        <v>1.1</v>
      </c>
      <c r="E121" t="n">
        <v>0.95</v>
      </c>
      <c r="F121" t="n">
        <v>1.2</v>
      </c>
      <c r="G121" t="inlineStr">
        <is>
          <t>Prioritizes cash preservation, profitability and downside control.</t>
        </is>
      </c>
    </row>
    <row r="122">
      <c r="A122" t="inlineStr">
        <is>
          <t>Resilience</t>
        </is>
      </c>
      <c r="B122" t="n">
        <v>1</v>
      </c>
      <c r="C122" t="n">
        <v>1.2</v>
      </c>
      <c r="D122" t="n">
        <v>1.35</v>
      </c>
      <c r="E122" t="n">
        <v>0.9</v>
      </c>
      <c r="F122" t="n">
        <v>1.25</v>
      </c>
      <c r="G122" t="inlineStr">
        <is>
          <t>Prioritizes continuity, risk reduction and crisis readiness.</t>
        </is>
      </c>
    </row>
    <row r="123">
      <c r="A123" t="inlineStr">
        <is>
          <t>Compliance</t>
        </is>
      </c>
      <c r="B123" t="n">
        <v>0.95</v>
      </c>
      <c r="C123" t="n">
        <v>1.25</v>
      </c>
      <c r="D123" t="n">
        <v>1.3</v>
      </c>
      <c r="E123" t="n">
        <v>0.85</v>
      </c>
      <c r="F123" t="n">
        <v>1.3</v>
      </c>
      <c r="G123" t="inlineStr">
        <is>
          <t>Prioritizes regulatory, legal, safety and audit exposure reduction.</t>
        </is>
      </c>
    </row>
    <row r="126">
      <c r="A126" t="inlineStr">
        <is>
          <t>P2 WSJF v3 formula</t>
        </is>
      </c>
      <c r="B126" t="inlineStr">
        <is>
          <t>Weighted Cost of Delay uses fuzzy-state weights, client-objective multipliers and financial avoided-loss score.</t>
        </is>
      </c>
    </row>
    <row r="127">
      <c r="A127" t="inlineStr">
        <is>
          <t>Weighted CoD</t>
        </is>
      </c>
      <c r="B127" t="inlineStr">
        <is>
          <t>(BV×fuzzyBV×goalBV + TC×fuzzyTC×goalTC + RR×fuzzyRR×goalRR + OE×fuzzyOE×goalOE + Financial×financialWeight) / adjusted weight sum</t>
        </is>
      </c>
    </row>
    <row r="128">
      <c r="A128" t="inlineStr">
        <is>
          <t>P2 WSJF v3</t>
        </is>
      </c>
      <c r="B128" t="inlineStr">
        <is>
          <t>P2 Weighted CoD / Complexity, then industry multiplier and status filter are applied.</t>
        </is>
      </c>
    </row>
    <row r="130">
      <c r="A130" t="inlineStr">
        <is>
          <t>Governance note</t>
        </is>
      </c>
      <c r="B130" t="inlineStr">
        <is>
          <t>P2 does not remove baseline/P1 formulas. It adds the preferred roadmap prioritization layer for v1.93: fuzzy-state weights, client-objective multipliers and financial avoided-loss value. Blank client objective uses neutral multipliers until a real objective is selected.</t>
        </is>
      </c>
    </row>
    <row r="132">
      <c r="A132" t="inlineStr">
        <is>
          <t>Selected objective multipliers</t>
        </is>
      </c>
      <c r="B132">
        <f>IFERROR(INDEX($B$117:$B$123,MATCH($B$104,$A$117:$A$123,0)),1)</f>
        <v/>
      </c>
      <c r="C132">
        <f>IFERROR(INDEX($C$117:$C$123,MATCH($B$104,$A$117:$A$123,0)),1)</f>
        <v/>
      </c>
      <c r="D132">
        <f>IFERROR(INDEX($D$117:$D$123,MATCH($B$104,$A$117:$A$123,0)),1)</f>
        <v/>
      </c>
      <c r="E132">
        <f>IFERROR(INDEX($E$117:$E$123,MATCH($B$104,$A$117:$A$123,0)),1)</f>
        <v/>
      </c>
      <c r="F132">
        <f>IFERROR(INDEX($F$117:$F$123,MATCH($B$104,$A$117:$A$123,0)),1)</f>
        <v/>
      </c>
    </row>
    <row r="135">
      <c r="A135" t="inlineStr">
        <is>
          <t>v1.93 documentation note</t>
        </is>
      </c>
      <c r="B135" t="inlineStr">
        <is>
          <t>P2 is the preferred roadmap prioritization layer in v1.93 because it combines fuzzy posture, client objective and avoided-loss economics. Baseline and P1 WSJF remain available for comparison.</t>
        </is>
      </c>
    </row>
    <row r="136">
      <c r="A136" t="inlineStr">
        <is>
          <t>P3 control reference</t>
        </is>
      </c>
      <c r="B136" t="inlineStr">
        <is>
          <t>See Methodology, Controls &amp; Std for formula lineage and governance controls covering P0, P1, P2 and P3.</t>
        </is>
      </c>
    </row>
    <row r="150" ht="25.95" customHeight="1" s="209">
      <c r="A150" s="261" t="inlineStr">
        <is>
          <t>Financial Anchors &amp; Monetization Mappings (hidden technical sheet)</t>
        </is>
      </c>
      <c r="B150" s="261" t="n"/>
      <c r="C150" s="261" t="n"/>
      <c r="D150" s="261" t="n"/>
      <c r="E150" s="261" t="n"/>
      <c r="F150" s="261" t="n"/>
      <c r="G150" s="261" t="n"/>
      <c r="H150" s="261" t="n"/>
      <c r="I150" s="261" t="n"/>
      <c r="J150" s="261" t="n"/>
      <c r="K150" s="261" t="n"/>
      <c r="L150" s="261" t="n"/>
    </row>
    <row r="151" ht="34.05" customHeight="1" s="209">
      <c r="A151" s="125" t="inlineStr">
        <is>
          <t>Editable mapping tables that convert profile facts and 1-5 risk scales into money. All defaults are conservative expert values - tune per client. Used by: Financial Resilience, Risk Summary (cost of inaction), Initiative Economics (avoided loss).</t>
        </is>
      </c>
      <c r="B151" s="125" t="n"/>
      <c r="C151" s="125" t="n"/>
      <c r="D151" s="125" t="n"/>
      <c r="E151" s="125" t="n"/>
      <c r="F151" s="125" t="n"/>
      <c r="G151" s="125" t="n"/>
      <c r="H151" s="125" t="n"/>
      <c r="I151" s="125" t="n"/>
      <c r="J151" s="125" t="n"/>
      <c r="K151" s="125" t="n"/>
      <c r="L151" s="125" t="n"/>
    </row>
    <row r="153">
      <c r="A153" t="inlineStr">
        <is>
          <t>Revenue band</t>
        </is>
      </c>
      <c r="B153" t="inlineStr">
        <is>
          <t>Midpoint (EUR k)</t>
        </is>
      </c>
      <c r="D153" t="inlineStr">
        <is>
          <t>Likelihood 1-5</t>
        </is>
      </c>
      <c r="E153" t="inlineStr">
        <is>
          <t>Annual probability</t>
        </is>
      </c>
      <c r="G153" t="inlineStr">
        <is>
          <t>Impact 1-5</t>
        </is>
      </c>
      <c r="H153" t="inlineStr">
        <is>
          <t>Revenue share at risk</t>
        </is>
      </c>
      <c r="J153" t="inlineStr">
        <is>
          <t>Cash runway</t>
        </is>
      </c>
      <c r="K153" t="inlineStr">
        <is>
          <t>Score 0-5</t>
        </is>
      </c>
      <c r="M153" t="inlineStr">
        <is>
          <t>Concentration band</t>
        </is>
      </c>
      <c r="N153" t="inlineStr">
        <is>
          <t>Score 0-5</t>
        </is>
      </c>
      <c r="O153" t="inlineStr">
        <is>
          <t>Midpoint share</t>
        </is>
      </c>
      <c r="Q153" t="inlineStr">
        <is>
          <t>Debt load</t>
        </is>
      </c>
      <c r="R153" t="inlineStr">
        <is>
          <t>Score 0-5</t>
        </is>
      </c>
      <c r="T153" t="inlineStr">
        <is>
          <t>FX exposure</t>
        </is>
      </c>
      <c r="U153" t="inlineStr">
        <is>
          <t>Score 0-5</t>
        </is>
      </c>
      <c r="W153" t="inlineStr">
        <is>
          <t>Supplier substitutability</t>
        </is>
      </c>
      <c r="X153" t="inlineStr">
        <is>
          <t>Score 0-5</t>
        </is>
      </c>
    </row>
    <row r="154">
      <c r="A154" t="inlineStr">
        <is>
          <t>&lt;1M EUR</t>
        </is>
      </c>
      <c r="B154" t="n">
        <v>500</v>
      </c>
      <c r="D154" t="n">
        <v>1</v>
      </c>
      <c r="E154" t="n">
        <v>0.05</v>
      </c>
      <c r="G154" t="n">
        <v>1</v>
      </c>
      <c r="H154" t="n">
        <v>0.005</v>
      </c>
      <c r="J154" t="inlineStr">
        <is>
          <t>&lt;3</t>
        </is>
      </c>
      <c r="K154" t="n">
        <v>1</v>
      </c>
      <c r="M154" t="inlineStr">
        <is>
          <t>&lt;10%</t>
        </is>
      </c>
      <c r="N154" t="n">
        <v>5</v>
      </c>
      <c r="O154" t="n">
        <v>0.05</v>
      </c>
      <c r="Q154" t="inlineStr">
        <is>
          <t>None</t>
        </is>
      </c>
      <c r="R154" t="n">
        <v>5</v>
      </c>
      <c r="T154" t="inlineStr">
        <is>
          <t>&lt;10%</t>
        </is>
      </c>
      <c r="U154" t="n">
        <v>5</v>
      </c>
      <c r="W154" t="inlineStr">
        <is>
          <t>Multiple qualified alternatives</t>
        </is>
      </c>
      <c r="X154" t="n">
        <v>5</v>
      </c>
    </row>
    <row r="155">
      <c r="A155" t="inlineStr">
        <is>
          <t>1-5M EUR</t>
        </is>
      </c>
      <c r="B155" t="n">
        <v>3000</v>
      </c>
      <c r="D155" t="n">
        <v>2</v>
      </c>
      <c r="E155" t="n">
        <v>0.15</v>
      </c>
      <c r="G155" t="n">
        <v>2</v>
      </c>
      <c r="H155" t="n">
        <v>0.01</v>
      </c>
      <c r="J155" t="inlineStr">
        <is>
          <t>3-6</t>
        </is>
      </c>
      <c r="K155" t="n">
        <v>2.5</v>
      </c>
      <c r="M155" t="inlineStr">
        <is>
          <t>10-25%</t>
        </is>
      </c>
      <c r="N155" t="n">
        <v>4</v>
      </c>
      <c r="O155" t="n">
        <v>0.175</v>
      </c>
      <c r="Q155" t="inlineStr">
        <is>
          <t>Low</t>
        </is>
      </c>
      <c r="R155" t="n">
        <v>4</v>
      </c>
      <c r="T155" t="inlineStr">
        <is>
          <t>10-30%</t>
        </is>
      </c>
      <c r="U155" t="n">
        <v>4</v>
      </c>
      <c r="W155" t="inlineStr">
        <is>
          <t>Some alternatives identified</t>
        </is>
      </c>
      <c r="X155" t="n">
        <v>4</v>
      </c>
    </row>
    <row r="156">
      <c r="A156" t="inlineStr">
        <is>
          <t>5-20M EUR</t>
        </is>
      </c>
      <c r="B156" t="n">
        <v>12500</v>
      </c>
      <c r="D156" t="n">
        <v>3</v>
      </c>
      <c r="E156" t="n">
        <v>0.3</v>
      </c>
      <c r="G156" t="n">
        <v>3</v>
      </c>
      <c r="H156" t="n">
        <v>0.03</v>
      </c>
      <c r="J156" t="inlineStr">
        <is>
          <t>6-12</t>
        </is>
      </c>
      <c r="K156" t="n">
        <v>3.5</v>
      </c>
      <c r="M156" t="inlineStr">
        <is>
          <t>25-50%</t>
        </is>
      </c>
      <c r="N156" t="n">
        <v>2.5</v>
      </c>
      <c r="O156" t="n">
        <v>0.375</v>
      </c>
      <c r="Q156" t="inlineStr">
        <is>
          <t>Moderate</t>
        </is>
      </c>
      <c r="R156" t="n">
        <v>3</v>
      </c>
      <c r="T156" t="inlineStr">
        <is>
          <t>30-60%</t>
        </is>
      </c>
      <c r="U156" t="n">
        <v>2.5</v>
      </c>
      <c r="W156" t="inlineStr">
        <is>
          <t>Partial alternatives exist</t>
        </is>
      </c>
      <c r="X156" t="n">
        <v>3</v>
      </c>
    </row>
    <row r="157">
      <c r="A157" t="inlineStr">
        <is>
          <t>20-100M EUR</t>
        </is>
      </c>
      <c r="B157" t="n">
        <v>60000</v>
      </c>
      <c r="D157" t="n">
        <v>4</v>
      </c>
      <c r="E157" t="n">
        <v>0.5</v>
      </c>
      <c r="G157" t="n">
        <v>4</v>
      </c>
      <c r="H157" t="n">
        <v>0.07000000000000001</v>
      </c>
      <c r="J157" t="inlineStr">
        <is>
          <t>12+</t>
        </is>
      </c>
      <c r="K157" t="n">
        <v>5</v>
      </c>
      <c r="M157" t="inlineStr">
        <is>
          <t>50-75%</t>
        </is>
      </c>
      <c r="N157" t="n">
        <v>1.5</v>
      </c>
      <c r="O157" t="n">
        <v>0.625</v>
      </c>
      <c r="Q157" t="inlineStr">
        <is>
          <t>High</t>
        </is>
      </c>
      <c r="R157" t="n">
        <v>1.5</v>
      </c>
      <c r="T157" t="inlineStr">
        <is>
          <t>&gt;60%</t>
        </is>
      </c>
      <c r="U157" t="n">
        <v>1.5</v>
      </c>
      <c r="W157" t="inlineStr">
        <is>
          <t>Single-source dependency</t>
        </is>
      </c>
      <c r="X157" t="n">
        <v>1</v>
      </c>
    </row>
    <row r="158">
      <c r="A158" t="inlineStr">
        <is>
          <t>&gt;100M EUR</t>
        </is>
      </c>
      <c r="B158" t="n">
        <v>200000</v>
      </c>
      <c r="D158" t="n">
        <v>5</v>
      </c>
      <c r="E158" t="n">
        <v>0.7</v>
      </c>
      <c r="G158" t="n">
        <v>5</v>
      </c>
      <c r="H158" t="n">
        <v>0.15</v>
      </c>
      <c r="M158" t="inlineStr">
        <is>
          <t>&gt;75%</t>
        </is>
      </c>
      <c r="N158" t="n">
        <v>1</v>
      </c>
      <c r="O158" t="n">
        <v>0.85</v>
      </c>
      <c r="W158" t="inlineStr">
        <is>
          <t>No supplier mapping</t>
        </is>
      </c>
      <c r="X158" t="n">
        <v>1.5</v>
      </c>
    </row>
    <row r="159">
      <c r="M159" t="inlineStr">
        <is>
          <t>Unknown</t>
        </is>
      </c>
      <c r="N159" t="n">
        <v>2</v>
      </c>
      <c r="O159" t="n">
        <v>0.3</v>
      </c>
      <c r="W159" t="inlineStr">
        <is>
          <t>Unknown</t>
        </is>
      </c>
      <c r="X159" t="n">
        <v>2</v>
      </c>
    </row>
    <row r="160">
      <c r="M160" t="inlineStr">
        <is>
          <t>Not applicable</t>
        </is>
      </c>
      <c r="N160" t="n">
        <v>3</v>
      </c>
      <c r="O160" t="n">
        <v>0</v>
      </c>
      <c r="W160" t="inlineStr">
        <is>
          <t>Not applicable</t>
        </is>
      </c>
      <c r="X160" t="n">
        <v>3</v>
      </c>
    </row>
    <row r="169">
      <c r="A169" t="inlineStr">
        <is>
          <t>Expected ALE reduction when mapped initiative is implemented</t>
        </is>
      </c>
      <c r="B169" t="n">
        <v>0.7</v>
      </c>
    </row>
  </sheetData>
  <mergeCells count="1">
    <mergeCell ref="A1:D1"/>
  </mergeCells>
  <pageMargins left="0.75" right="0.75" top="1" bottom="1" header="0.5" footer="0.5"/>
  <pageSetup orientation="landscape" fitToHeight="0"/>
  <headerFooter>
    <oddHeader/>
    <oddFooter>&amp;R© Roman Reznikov / RR-framework — CC BY-NC-SA 4.0 — For authorized use only</oddFooter>
    <evenHeader/>
    <evenFooter>&amp;R© Roman Reznikov / RR-framework — CC BY-NC-SA 4.0 — For authorized use only</evenFooter>
    <firstHeader/>
    <firstFooter>&amp;R© Roman Reznikov / RR-framework — CC BY-NC-SA 4.0 — For authorized use only</firstFooter>
  </headerFooter>
  <legacyDrawing r:id="anysvml"/>
</worksheet>
</file>

<file path=xl/worksheets/sheet27.xml><?xml version="1.0" encoding="utf-8"?>
<worksheet xmlns="http://schemas.openxmlformats.org/spreadsheetml/2006/main">
  <sheetPr>
    <outlinePr summaryBelow="1" summaryRight="1"/>
    <pageSetUpPr/>
  </sheetPr>
  <dimension ref="A1:F35"/>
  <sheetViews>
    <sheetView workbookViewId="0">
      <pane ySplit="4" topLeftCell="A5" activePane="bottomLeft" state="frozen"/>
      <selection activeCell="A1" sqref="A1"/>
    </sheetView>
  </sheetViews>
  <sheetFormatPr baseColWidth="8" defaultRowHeight="15"/>
  <cols>
    <col width="26" customWidth="1" style="209" min="1" max="1"/>
    <col width="58" customWidth="1" style="209" min="2" max="2"/>
    <col width="20" customWidth="1" style="209" min="3" max="3"/>
    <col width="18" customWidth="1" style="209" min="4" max="4"/>
    <col width="18" customWidth="1" style="209" min="5" max="5"/>
    <col width="12" customWidth="1" style="209" min="6" max="6"/>
  </cols>
  <sheetData>
    <row r="1">
      <c r="A1" t="inlineStr">
        <is>
          <t>Fuzzy Logic &amp; Strategic Posture — v1.93</t>
        </is>
      </c>
    </row>
    <row r="2">
      <c r="A2" t="inlineStr">
        <is>
          <t>Purpose</t>
        </is>
      </c>
      <c r="B2" t="inlineStr">
        <is>
          <t>Interpret current maturity and risk pressure into fuzzy strategic posture. Clean template starts neutral/blank until assessment and crisis inputs are provided.</t>
        </is>
      </c>
    </row>
    <row r="4">
      <c r="A4" t="inlineStr">
        <is>
          <t>Input</t>
        </is>
      </c>
      <c r="B4" t="inlineStr">
        <is>
          <t>Value</t>
        </is>
      </c>
      <c r="C4" t="inlineStr">
        <is>
          <t>Formula / Logic</t>
        </is>
      </c>
      <c r="D4" t="inlineStr">
        <is>
          <t>Notes</t>
        </is>
      </c>
    </row>
    <row r="5">
      <c r="A5" t="inlineStr">
        <is>
          <t>Overall maturity 0-5</t>
        </is>
      </c>
      <c r="B5">
        <f>AVERAGE(_DATA_Dashboard_Facts!$H$5:$H$21)</f>
        <v/>
      </c>
      <c>
        <is>
          <t>Average domain maturity from the consolidated data layer.</t>
        </is>
      </c>
      <c r="D5" t="inlineStr">
        <is>
          <t>Used as main fuzzy input.</t>
        </is>
      </c>
    </row>
    <row r="6">
      <c r="A6" t="inlineStr">
        <is>
          <t>Selected crisis</t>
        </is>
      </c>
      <c r="B6">
        <f>'Resilience &amp; Risk Scenario'!$B$6</f>
        <v/>
      </c>
      <c>
        <is>
          <t>Scenario selector from Resilience &amp; Risk Scenario.</t>
        </is>
      </c>
      <c r="D6" t="inlineStr">
        <is>
          <t>Changes scenario-adjusted pressure.</t>
        </is>
      </c>
    </row>
    <row r="7">
      <c r="A7" t="inlineStr">
        <is>
          <t>Severity 1-5</t>
        </is>
      </c>
      <c r="B7">
        <f>'Resilience &amp; Risk Scenario'!$B$7</f>
        <v/>
      </c>
      <c r="C7" t="inlineStr">
        <is>
          <t>Scenario severity.</t>
        </is>
      </c>
      <c r="D7" t="inlineStr">
        <is>
          <t>Severity 3 = base case.</t>
        </is>
      </c>
    </row>
    <row r="8">
      <c r="A8" t="inlineStr">
        <is>
          <t>Critical/high risk pressure</t>
        </is>
      </c>
      <c r="B8">
        <f>(COUNTIF('_ENGINE_Risk'!$I$500:$I$923,"Critical")+COUNTIF('_ENGINE_Risk'!$I$500:$I$923,"High"))/COUNTA('_ENGINE_Risk'!$I$500:$I$923)</f>
        <v/>
      </c>
      <c r="C8" t="inlineStr">
        <is>
          <t>Share of active critical/high risk levels.</t>
        </is>
      </c>
      <c r="D8" t="inlineStr">
        <is>
          <t>Higher pressure should favor defensive / resilience strategies.</t>
        </is>
      </c>
    </row>
    <row r="10">
      <c r="A10" t="inlineStr">
        <is>
          <t>Fuzzy state</t>
        </is>
      </c>
      <c r="B10" t="inlineStr">
        <is>
          <t>Membership</t>
        </is>
      </c>
      <c r="C10" t="inlineStr">
        <is>
          <t>Meaning</t>
        </is>
      </c>
      <c r="D10" t="inlineStr">
        <is>
          <t>Formula note</t>
        </is>
      </c>
    </row>
    <row r="11">
      <c r="A11" t="inlineStr">
        <is>
          <t>Fragile</t>
        </is>
      </c>
      <c r="B11">
        <f>MAX(0,MIN(1,(2-$B$5)/2))</f>
        <v/>
      </c>
      <c r="C11" t="inlineStr">
        <is>
          <t>Little resilience; crisis likely overwhelms controls.</t>
        </is>
      </c>
      <c r="D11" t="inlineStr">
        <is>
          <t>High when maturity is near 0–1.</t>
        </is>
      </c>
    </row>
    <row r="12">
      <c r="A12" t="inlineStr">
        <is>
          <t>Exposed</t>
        </is>
      </c>
      <c r="B12">
        <f>MAX(0,MIN(($B$5-0.5)/1.5,(3.2-$B$5)/1.2))</f>
        <v/>
      </c>
      <c r="C12" t="inlineStr">
        <is>
          <t>Some controls exist, but weak coverage and evidence.</t>
        </is>
      </c>
      <c r="D12" t="inlineStr">
        <is>
          <t>Peaks around maturity ~2.</t>
        </is>
      </c>
    </row>
    <row r="13">
      <c r="A13" t="inlineStr">
        <is>
          <t>Adaptive</t>
        </is>
      </c>
      <c r="B13">
        <f>MAX(0,MIN(($B$5-2)/1.5,(4-$B$5)/1))</f>
        <v/>
      </c>
      <c r="C13" t="inlineStr">
        <is>
          <t>Company can adapt but still has material gaps.</t>
        </is>
      </c>
      <c r="D13" t="inlineStr">
        <is>
          <t>Peaks around maturity ~3–3.5.</t>
        </is>
      </c>
    </row>
    <row r="14">
      <c r="A14" t="inlineStr">
        <is>
          <t>Resilient</t>
        </is>
      </c>
      <c r="B14">
        <f>MAX(0,MIN(($B$5-3.2)/1,(4.8-$B$5)/0.8))</f>
        <v/>
      </c>
      <c r="C14" t="inlineStr">
        <is>
          <t>Controls are measured/tested and recovery is credible.</t>
        </is>
      </c>
      <c r="D14" t="inlineStr">
        <is>
          <t>Peaks around maturity ~4.2.</t>
        </is>
      </c>
    </row>
    <row r="15">
      <c r="A15" t="inlineStr">
        <is>
          <t>Anti-fragile</t>
        </is>
      </c>
      <c r="B15">
        <f>MAX(0,MIN(1,($B$5-4.2)/0.8))</f>
        <v/>
      </c>
      <c r="C15" t="inlineStr">
        <is>
          <t>Company can improve through stress and exploit disruption.</t>
        </is>
      </c>
      <c r="D15" t="inlineStr">
        <is>
          <t>High above maturity ~4.2.</t>
        </is>
      </c>
    </row>
    <row r="17">
      <c r="A17" t="inlineStr">
        <is>
          <t>Strategy ID</t>
        </is>
      </c>
      <c r="B17" t="inlineStr">
        <is>
          <t>Strategy package</t>
        </is>
      </c>
      <c r="C17" t="inlineStr">
        <is>
          <t>Base importance</t>
        </is>
      </c>
      <c r="D17" t="inlineStr">
        <is>
          <t>Complexity</t>
        </is>
      </c>
      <c r="E17" t="inlineStr">
        <is>
          <t>Fuzzy score</t>
        </is>
      </c>
      <c r="F17" t="inlineStr">
        <is>
          <t>Rank</t>
        </is>
      </c>
    </row>
    <row r="18">
      <c r="A18">
        <f>_ENGINE_Strategy!$A$5</f>
        <v/>
      </c>
      <c r="B18">
        <f>_ENGINE_Strategy!$B$5</f>
        <v/>
      </c>
      <c r="C18">
        <f>_ENGINE_Strategy!$J$5</f>
        <v/>
      </c>
      <c r="D18">
        <f>_ENGINE_Strategy!$N$5</f>
        <v/>
      </c>
      <c r="E18">
        <f>ROUND((_ENGINE_Strategy!$J$5*0.40)+(_ENGINE_Strategy!$L$5*($B$11+$B$12)*1.50)+(_ENGINE_Strategy!$M$5*$B$13*1.00)+(_ENGINE_Strategy!$K$5*($B$14+$B$15)*0.80)+($B$8*2)-(_ENGINE_Strategy!$N$5*0.15),2)</f>
        <v/>
      </c>
      <c r="F18">
        <f>1+COUNTIF($E$18:$E$31,"&gt;"&amp;E18)</f>
        <v/>
      </c>
    </row>
    <row r="19">
      <c r="A19">
        <f>_ENGINE_Strategy!$A$6</f>
        <v/>
      </c>
      <c r="B19">
        <f>_ENGINE_Strategy!$B$6</f>
        <v/>
      </c>
      <c r="C19">
        <f>_ENGINE_Strategy!$J$6</f>
        <v/>
      </c>
      <c r="D19">
        <f>_ENGINE_Strategy!$N$6</f>
        <v/>
      </c>
      <c r="E19">
        <f>ROUND((_ENGINE_Strategy!$J$6*0.40)+(_ENGINE_Strategy!$L$6*($B$11+$B$12)*1.50)+(_ENGINE_Strategy!$M$6*$B$13*1.00)+(_ENGINE_Strategy!$K$6*($B$14+$B$15)*0.80)+($B$8*2)-(_ENGINE_Strategy!$N$6*0.15),2)</f>
        <v/>
      </c>
      <c r="F19">
        <f>1+COUNTIF($E$18:$E$31,"&gt;"&amp;E19)</f>
        <v/>
      </c>
    </row>
    <row r="20">
      <c r="A20">
        <f>_ENGINE_Strategy!$A$7</f>
        <v/>
      </c>
      <c r="B20">
        <f>_ENGINE_Strategy!$B$7</f>
        <v/>
      </c>
      <c r="C20">
        <f>_ENGINE_Strategy!$J$7</f>
        <v/>
      </c>
      <c r="D20">
        <f>_ENGINE_Strategy!$N$7</f>
        <v/>
      </c>
      <c r="E20">
        <f>ROUND((_ENGINE_Strategy!$J$7*0.40)+(_ENGINE_Strategy!$L$7*($B$11+$B$12)*1.50)+(_ENGINE_Strategy!$M$7*$B$13*1.00)+(_ENGINE_Strategy!$K$7*($B$14+$B$15)*0.80)+($B$8*2)-(_ENGINE_Strategy!$N$7*0.15),2)</f>
        <v/>
      </c>
      <c r="F20">
        <f>1+COUNTIF($E$18:$E$31,"&gt;"&amp;E20)</f>
        <v/>
      </c>
    </row>
    <row r="21">
      <c r="A21">
        <f>_ENGINE_Strategy!$A$8</f>
        <v/>
      </c>
      <c r="B21">
        <f>_ENGINE_Strategy!$B$8</f>
        <v/>
      </c>
      <c r="C21">
        <f>_ENGINE_Strategy!$J$8</f>
        <v/>
      </c>
      <c r="D21">
        <f>_ENGINE_Strategy!$N$8</f>
        <v/>
      </c>
      <c r="E21">
        <f>ROUND((_ENGINE_Strategy!$J$8*0.40)+(_ENGINE_Strategy!$L$8*($B$11+$B$12)*1.50)+(_ENGINE_Strategy!$M$8*$B$13*1.00)+(_ENGINE_Strategy!$K$8*($B$14+$B$15)*0.80)+($B$8*2)-(_ENGINE_Strategy!$N$8*0.15),2)</f>
        <v/>
      </c>
      <c r="F21">
        <f>1+COUNTIF($E$18:$E$31,"&gt;"&amp;E21)</f>
        <v/>
      </c>
    </row>
    <row r="22">
      <c r="A22">
        <f>_ENGINE_Strategy!$A$9</f>
        <v/>
      </c>
      <c r="B22">
        <f>_ENGINE_Strategy!$B$9</f>
        <v/>
      </c>
      <c r="C22">
        <f>_ENGINE_Strategy!$J$9</f>
        <v/>
      </c>
      <c r="D22">
        <f>_ENGINE_Strategy!$N$9</f>
        <v/>
      </c>
      <c r="E22">
        <f>ROUND((_ENGINE_Strategy!$J$9*0.40)+(_ENGINE_Strategy!$L$9*($B$11+$B$12)*1.50)+(_ENGINE_Strategy!$M$9*$B$13*1.00)+(_ENGINE_Strategy!$K$9*($B$14+$B$15)*0.80)+($B$8*2)-(_ENGINE_Strategy!$N$9*0.15),2)</f>
        <v/>
      </c>
      <c r="F22">
        <f>1+COUNTIF($E$18:$E$31,"&gt;"&amp;E22)</f>
        <v/>
      </c>
    </row>
    <row r="23">
      <c r="A23">
        <f>_ENGINE_Strategy!$A$10</f>
        <v/>
      </c>
      <c r="B23">
        <f>_ENGINE_Strategy!$B$10</f>
        <v/>
      </c>
      <c r="C23">
        <f>_ENGINE_Strategy!$J$10</f>
        <v/>
      </c>
      <c r="D23">
        <f>_ENGINE_Strategy!$N$10</f>
        <v/>
      </c>
      <c r="E23">
        <f>ROUND((_ENGINE_Strategy!$J$10*0.40)+(_ENGINE_Strategy!$L$10*($B$11+$B$12)*1.50)+(_ENGINE_Strategy!$M$10*$B$13*1.00)+(_ENGINE_Strategy!$K$10*($B$14+$B$15)*0.80)+($B$8*2)-(_ENGINE_Strategy!$N$10*0.15),2)</f>
        <v/>
      </c>
      <c r="F23">
        <f>1+COUNTIF($E$18:$E$31,"&gt;"&amp;E23)</f>
        <v/>
      </c>
    </row>
    <row r="24">
      <c r="A24">
        <f>_ENGINE_Strategy!$A$11</f>
        <v/>
      </c>
      <c r="B24">
        <f>_ENGINE_Strategy!$B$11</f>
        <v/>
      </c>
      <c r="C24">
        <f>_ENGINE_Strategy!$J$11</f>
        <v/>
      </c>
      <c r="D24">
        <f>_ENGINE_Strategy!$N$11</f>
        <v/>
      </c>
      <c r="E24">
        <f>ROUND((_ENGINE_Strategy!$J$11*0.40)+(_ENGINE_Strategy!$L$11*($B$11+$B$12)*1.50)+(_ENGINE_Strategy!$M$11*$B$13*1.00)+(_ENGINE_Strategy!$K$11*($B$14+$B$15)*0.80)+($B$8*2)-(_ENGINE_Strategy!$N$11*0.15),2)</f>
        <v/>
      </c>
      <c r="F24">
        <f>1+COUNTIF($E$18:$E$31,"&gt;"&amp;E24)</f>
        <v/>
      </c>
    </row>
    <row r="25">
      <c r="A25">
        <f>_ENGINE_Strategy!$A$12</f>
        <v/>
      </c>
      <c r="B25">
        <f>_ENGINE_Strategy!$B$12</f>
        <v/>
      </c>
      <c r="C25">
        <f>_ENGINE_Strategy!$J$12</f>
        <v/>
      </c>
      <c r="D25">
        <f>_ENGINE_Strategy!$N$12</f>
        <v/>
      </c>
      <c r="E25">
        <f>ROUND((_ENGINE_Strategy!$J$12*0.40)+(_ENGINE_Strategy!$L$12*($B$11+$B$12)*1.50)+(_ENGINE_Strategy!$M$12*$B$13*1.00)+(_ENGINE_Strategy!$K$12*($B$14+$B$15)*0.80)+($B$8*2)-(_ENGINE_Strategy!$N$12*0.15),2)</f>
        <v/>
      </c>
      <c r="F25">
        <f>1+COUNTIF($E$18:$E$31,"&gt;"&amp;E25)</f>
        <v/>
      </c>
    </row>
    <row r="26">
      <c r="A26">
        <f>_ENGINE_Strategy!$A$13</f>
        <v/>
      </c>
      <c r="B26">
        <f>_ENGINE_Strategy!$B$13</f>
        <v/>
      </c>
      <c r="C26">
        <f>_ENGINE_Strategy!$J$13</f>
        <v/>
      </c>
      <c r="D26">
        <f>_ENGINE_Strategy!$N$13</f>
        <v/>
      </c>
      <c r="E26">
        <f>ROUND((_ENGINE_Strategy!$J$13*0.40)+(_ENGINE_Strategy!$L$13*($B$11+$B$12)*1.50)+(_ENGINE_Strategy!$M$13*$B$13*1.00)+(_ENGINE_Strategy!$K$13*($B$14+$B$15)*0.80)+($B$8*2)-(_ENGINE_Strategy!$N$13*0.15),2)</f>
        <v/>
      </c>
      <c r="F26">
        <f>1+COUNTIF($E$18:$E$31,"&gt;"&amp;E26)</f>
        <v/>
      </c>
    </row>
    <row r="27">
      <c r="A27">
        <f>_ENGINE_Strategy!$A$14</f>
        <v/>
      </c>
      <c r="B27">
        <f>_ENGINE_Strategy!$B$14</f>
        <v/>
      </c>
      <c r="C27">
        <f>_ENGINE_Strategy!$J$14</f>
        <v/>
      </c>
      <c r="D27">
        <f>_ENGINE_Strategy!$N$14</f>
        <v/>
      </c>
      <c r="E27">
        <f>ROUND((_ENGINE_Strategy!$J$14*0.40)+(_ENGINE_Strategy!$L$14*($B$11+$B$12)*1.50)+(_ENGINE_Strategy!$M$14*$B$13*1.00)+(_ENGINE_Strategy!$K$14*($B$14+$B$15)*0.80)+($B$8*2)-(_ENGINE_Strategy!$N$14*0.15),2)</f>
        <v/>
      </c>
      <c r="F27">
        <f>1+COUNTIF($E$18:$E$31,"&gt;"&amp;E27)</f>
        <v/>
      </c>
    </row>
    <row r="28">
      <c r="A28">
        <f>_ENGINE_Strategy!$A$15</f>
        <v/>
      </c>
      <c r="B28">
        <f>_ENGINE_Strategy!$B$15</f>
        <v/>
      </c>
      <c r="C28">
        <f>_ENGINE_Strategy!$J$15</f>
        <v/>
      </c>
      <c r="D28">
        <f>_ENGINE_Strategy!$N$15</f>
        <v/>
      </c>
      <c r="E28">
        <f>ROUND((_ENGINE_Strategy!$J$15*0.40)+(_ENGINE_Strategy!$L$15*($B$11+$B$12)*1.50)+(_ENGINE_Strategy!$M$15*$B$13*1.00)+(_ENGINE_Strategy!$K$15*($B$14+$B$15)*0.80)+($B$8*2)-(_ENGINE_Strategy!$N$15*0.15),2)</f>
        <v/>
      </c>
      <c r="F28">
        <f>1+COUNTIF($E$18:$E$31,"&gt;"&amp;E28)</f>
        <v/>
      </c>
    </row>
    <row r="29">
      <c r="A29">
        <f>_ENGINE_Strategy!$A$16</f>
        <v/>
      </c>
      <c r="B29">
        <f>_ENGINE_Strategy!$B$16</f>
        <v/>
      </c>
      <c r="C29">
        <f>_ENGINE_Strategy!$J$16</f>
        <v/>
      </c>
      <c r="D29">
        <f>_ENGINE_Strategy!$N$16</f>
        <v/>
      </c>
      <c r="E29">
        <f>ROUND((_ENGINE_Strategy!$J$16*0.40)+(_ENGINE_Strategy!$L$16*($B$11+$B$12)*1.50)+(_ENGINE_Strategy!$M$16*$B$13*1.00)+(_ENGINE_Strategy!$K$16*($B$14+$B$15)*0.80)+($B$8*2)-(_ENGINE_Strategy!$N$16*0.15),2)</f>
        <v/>
      </c>
      <c r="F29">
        <f>1+COUNTIF($E$18:$E$31,"&gt;"&amp;E29)</f>
        <v/>
      </c>
    </row>
    <row r="30">
      <c r="A30">
        <f>_ENGINE_Strategy!$A$17</f>
        <v/>
      </c>
      <c r="B30">
        <f>_ENGINE_Strategy!$B$17</f>
        <v/>
      </c>
      <c r="C30">
        <f>_ENGINE_Strategy!$J$17</f>
        <v/>
      </c>
      <c r="D30">
        <f>_ENGINE_Strategy!$N$17</f>
        <v/>
      </c>
      <c r="E30">
        <f>ROUND((_ENGINE_Strategy!$J$17*0.40)+(_ENGINE_Strategy!$L$17*($B$11+$B$12)*1.50)+(_ENGINE_Strategy!$M$17*$B$13*1.00)+(_ENGINE_Strategy!$K$17*($B$14+$B$15)*0.80)+($B$8*2)-(_ENGINE_Strategy!$N$17*0.15),2)</f>
        <v/>
      </c>
      <c r="F30">
        <f>1+COUNTIF($E$18:$E$31,"&gt;"&amp;E30)</f>
        <v/>
      </c>
    </row>
    <row r="31">
      <c r="A31">
        <f>_ENGINE_Strategy!$A$18</f>
        <v/>
      </c>
      <c r="B31">
        <f>_ENGINE_Strategy!$B$18</f>
        <v/>
      </c>
      <c r="C31">
        <f>_ENGINE_Strategy!$J$18</f>
        <v/>
      </c>
      <c r="D31">
        <f>_ENGINE_Strategy!$N$18</f>
        <v/>
      </c>
      <c r="E31">
        <f>ROUND((_ENGINE_Strategy!$J$18*0.40)+(_ENGINE_Strategy!$L$18*($B$11+$B$12)*1.50)+(_ENGINE_Strategy!$M$18*$B$13*1.00)+(_ENGINE_Strategy!$K$18*($B$14+$B$15)*0.80)+($B$8*2)-(_ENGINE_Strategy!$N$18*0.15),2)</f>
        <v/>
      </c>
      <c r="F31">
        <f>1+COUNTIF($E$18:$E$31,"&gt;"&amp;E31)</f>
        <v/>
      </c>
    </row>
    <row r="33">
      <c r="A33" t="inlineStr">
        <is>
          <t>Recommended interpretation</t>
        </is>
      </c>
      <c r="B33">
        <f>INDEX($B$18:$B$31,MATCH(1,$F$18:$F$31,0))</f>
        <v/>
      </c>
      <c r="C33" t="inlineStr">
        <is>
          <t>Top-ranked strategy package under current fuzzy posture.</t>
        </is>
      </c>
    </row>
    <row r="34">
      <c r="A34" t="inlineStr">
        <is>
          <t>v1.93 documentation note</t>
        </is>
      </c>
      <c r="B34" t="inlineStr">
        <is>
          <t>Fuzzy logic is an interpretation and prioritization-weighting layer. It calculates membership in Fragile, Exposed, Adaptive, Resilient and Anti-fragile states. _CONFIG_Model_Settings uses the dominant state to change WSJF weighting. Baseline and P1 risk scores remain separately visible and are not overwritten by fuzzy logic.</t>
        </is>
      </c>
    </row>
    <row r="35">
      <c r="A35" t="inlineStr">
        <is>
          <t>Governance rule</t>
        </is>
      </c>
      <c r="B35" t="inlineStr">
        <is>
          <t>Use fuzzy outputs for strategy package and initiative prioritization interpretation; do not treat them as direct evidence that a specific operational control exists.</t>
        </is>
      </c>
    </row>
  </sheetData>
  <mergeCells count="1">
    <mergeCell ref="A1:F1"/>
  </mergeCells>
  <pageMargins left="0.75" right="0.75" top="1" bottom="1" header="0.5" footer="0.5"/>
</worksheet>
</file>

<file path=xl/worksheets/sheet28.xml><?xml version="1.0" encoding="utf-8"?>
<worksheet xmlns="http://schemas.openxmlformats.org/spreadsheetml/2006/main">
  <sheetPr>
    <outlinePr summaryBelow="1" summaryRight="1"/>
    <pageSetUpPr/>
  </sheetPr>
  <dimension ref="A1:H27"/>
  <sheetViews>
    <sheetView workbookViewId="0">
      <pane ySplit="4" topLeftCell="A5" activePane="bottomLeft" state="frozen"/>
      <selection activeCell="A1" sqref="A1"/>
    </sheetView>
  </sheetViews>
  <sheetFormatPr baseColWidth="8" defaultRowHeight="15"/>
  <cols>
    <col width="30" customWidth="1" style="209" min="1" max="1"/>
    <col width="16" customWidth="1" style="209" min="2" max="2"/>
    <col width="18" customWidth="1" style="209" min="3" max="3"/>
    <col width="22" customWidth="1" style="209" min="4" max="4"/>
    <col width="24" customWidth="1" style="209" min="5" max="5"/>
    <col width="15" customWidth="1" style="209" min="6" max="6"/>
    <col width="20" customWidth="1" style="209" min="7" max="7"/>
    <col width="82" customWidth="1" style="209" min="8" max="8"/>
  </cols>
  <sheetData>
    <row r="1">
      <c r="A1" t="inlineStr">
        <is>
          <t>_CONFIG_Risk_Calibration — v1.93</t>
        </is>
      </c>
    </row>
    <row r="2">
      <c r="A2" t="inlineStr">
        <is>
          <t>Purpose</t>
        </is>
      </c>
      <c r="B2" t="inlineStr">
        <is>
          <t>Editable methodology defaults used by P1-adjusted Probability, Impact and Risk Score. The clean template uses generic neutral/conservative defaults; calibrate with real exposure, incident history, evidence quality and domain-owner validation.</t>
        </is>
      </c>
    </row>
    <row r="4">
      <c r="A4" t="inlineStr">
        <is>
          <t>Domain</t>
        </is>
      </c>
      <c r="B4" t="inlineStr">
        <is>
          <t>Exposure 1-5</t>
        </is>
      </c>
      <c r="C4" t="inlineStr">
        <is>
          <t>Incident history 0-5</t>
        </is>
      </c>
      <c r="D4" t="inlineStr">
        <is>
          <t>Evidence uncertainty 1-5</t>
        </is>
      </c>
      <c r="E4" t="inlineStr">
        <is>
          <t>Dependency/Cascade score 1-5</t>
        </is>
      </c>
      <c r="F4" t="inlineStr">
        <is>
          <t>Red-line flag</t>
        </is>
      </c>
      <c r="G4" t="inlineStr">
        <is>
          <t>Red-line impact floor</t>
        </is>
      </c>
      <c r="H4" t="inlineStr">
        <is>
          <t>Rationale</t>
        </is>
      </c>
    </row>
    <row r="5">
      <c r="A5" t="inlineStr">
        <is>
          <t>Company Geography</t>
        </is>
      </c>
      <c r="B5" t="n">
        <v>3</v>
      </c>
      <c r="C5" t="n">
        <v>0</v>
      </c>
      <c r="D5" t="n">
        <v>3</v>
      </c>
      <c r="E5" t="n">
        <v>3</v>
      </c>
      <c r="F5" t="inlineStr">
        <is>
          <t>No</t>
        </is>
      </c>
      <c r="G5" t="n">
        <v>1</v>
      </c>
      <c r="H5" t="inlineStr">
        <is>
          <t>Clean template default. Calibrate with real exposure, incident history, evidence quality and domain-owner validation.</t>
        </is>
      </c>
    </row>
    <row r="6">
      <c r="A6" t="inlineStr">
        <is>
          <t>Strategy GTM</t>
        </is>
      </c>
      <c r="B6" t="n">
        <v>3</v>
      </c>
      <c r="C6" t="n">
        <v>0</v>
      </c>
      <c r="D6" t="n">
        <v>3</v>
      </c>
      <c r="E6" t="n">
        <v>3</v>
      </c>
      <c r="F6" t="inlineStr">
        <is>
          <t>No</t>
        </is>
      </c>
      <c r="G6" t="n">
        <v>1</v>
      </c>
      <c r="H6" t="inlineStr">
        <is>
          <t>Clean template default. Calibrate with real exposure, incident history, evidence quality and domain-owner validation.</t>
        </is>
      </c>
    </row>
    <row r="7">
      <c r="A7" t="inlineStr">
        <is>
          <t>Governance Crisis</t>
        </is>
      </c>
      <c r="B7" t="n">
        <v>3</v>
      </c>
      <c r="C7" t="n">
        <v>0</v>
      </c>
      <c r="D7" t="n">
        <v>3</v>
      </c>
      <c r="E7" t="n">
        <v>4</v>
      </c>
      <c r="F7" t="inlineStr">
        <is>
          <t>Yes</t>
        </is>
      </c>
      <c r="G7" t="n">
        <v>4</v>
      </c>
      <c r="H7" t="inlineStr">
        <is>
          <t>Clean template default. Calibrate with real exposure, incident history, evidence quality and domain-owner validation.</t>
        </is>
      </c>
    </row>
    <row r="8">
      <c r="A8" t="inlineStr">
        <is>
          <t>HR Workforce</t>
        </is>
      </c>
      <c r="B8" t="n">
        <v>3</v>
      </c>
      <c r="C8" t="n">
        <v>0</v>
      </c>
      <c r="D8" t="n">
        <v>3</v>
      </c>
      <c r="E8" t="n">
        <v>3</v>
      </c>
      <c r="F8" t="inlineStr">
        <is>
          <t>No</t>
        </is>
      </c>
      <c r="G8" t="n">
        <v>1</v>
      </c>
      <c r="H8" t="inlineStr">
        <is>
          <t>Clean template default. Calibrate with real exposure, incident history, evidence quality and domain-owner validation.</t>
        </is>
      </c>
    </row>
    <row r="9">
      <c r="A9" t="inlineStr">
        <is>
          <t>Finance Procurement</t>
        </is>
      </c>
      <c r="B9" t="n">
        <v>3</v>
      </c>
      <c r="C9" t="n">
        <v>0</v>
      </c>
      <c r="D9" t="n">
        <v>3</v>
      </c>
      <c r="E9" t="n">
        <v>4</v>
      </c>
      <c r="F9" t="inlineStr">
        <is>
          <t>Yes</t>
        </is>
      </c>
      <c r="G9" t="n">
        <v>4</v>
      </c>
      <c r="H9" t="inlineStr">
        <is>
          <t>Clean template default. Calibrate with real exposure, incident history, evidence quality and domain-owner validation.</t>
        </is>
      </c>
    </row>
    <row r="10">
      <c r="A10" t="inlineStr">
        <is>
          <t>Legal Risk</t>
        </is>
      </c>
      <c r="B10" t="n">
        <v>3</v>
      </c>
      <c r="C10" t="n">
        <v>0</v>
      </c>
      <c r="D10" t="n">
        <v>3</v>
      </c>
      <c r="E10" t="n">
        <v>4</v>
      </c>
      <c r="F10" t="inlineStr">
        <is>
          <t>Yes</t>
        </is>
      </c>
      <c r="G10" t="n">
        <v>5</v>
      </c>
      <c r="H10" t="inlineStr">
        <is>
          <t>Clean template default. Calibrate with real exposure, incident history, evidence quality and domain-owner validation.</t>
        </is>
      </c>
    </row>
    <row r="11">
      <c r="A11" t="inlineStr">
        <is>
          <t>Physical Safety</t>
        </is>
      </c>
      <c r="B11" t="n">
        <v>3</v>
      </c>
      <c r="C11" t="n">
        <v>0</v>
      </c>
      <c r="D11" t="n">
        <v>3</v>
      </c>
      <c r="E11" t="n">
        <v>4</v>
      </c>
      <c r="F11" t="inlineStr">
        <is>
          <t>Yes</t>
        </is>
      </c>
      <c r="G11" t="n">
        <v>5</v>
      </c>
      <c r="H11" t="inlineStr">
        <is>
          <t>Clean template default. Calibrate with real exposure, incident history, evidence quality and domain-owner validation.</t>
        </is>
      </c>
    </row>
    <row r="12">
      <c r="A12" t="inlineStr">
        <is>
          <t>Delivery Ops</t>
        </is>
      </c>
      <c r="B12" t="n">
        <v>3</v>
      </c>
      <c r="C12" t="n">
        <v>0</v>
      </c>
      <c r="D12" t="n">
        <v>3</v>
      </c>
      <c r="E12" t="n">
        <v>3</v>
      </c>
      <c r="F12" t="inlineStr">
        <is>
          <t>No</t>
        </is>
      </c>
      <c r="G12" t="n">
        <v>1</v>
      </c>
      <c r="H12" t="inlineStr">
        <is>
          <t>Clean template default. Calibrate with real exposure, incident history, evidence quality and domain-owner validation.</t>
        </is>
      </c>
    </row>
    <row r="13">
      <c r="A13" t="inlineStr">
        <is>
          <t>Supply Chain</t>
        </is>
      </c>
      <c r="B13" t="n">
        <v>3</v>
      </c>
      <c r="C13" t="n">
        <v>0</v>
      </c>
      <c r="D13" t="n">
        <v>3</v>
      </c>
      <c r="E13" t="n">
        <v>4</v>
      </c>
      <c r="F13" t="inlineStr">
        <is>
          <t>No</t>
        </is>
      </c>
      <c r="G13" t="n">
        <v>1</v>
      </c>
      <c r="H13" t="inlineStr">
        <is>
          <t>Clean template default. Calibrate with real exposure, incident history, evidence quality and domain-owner validation.</t>
        </is>
      </c>
    </row>
    <row r="14">
      <c r="A14" t="inlineStr">
        <is>
          <t>Manufacturing MES</t>
        </is>
      </c>
      <c r="B14" t="n">
        <v>3</v>
      </c>
      <c r="C14" t="n">
        <v>0</v>
      </c>
      <c r="D14" t="n">
        <v>3</v>
      </c>
      <c r="E14" t="n">
        <v>4</v>
      </c>
      <c r="F14" t="inlineStr">
        <is>
          <t>No</t>
        </is>
      </c>
      <c r="G14" t="n">
        <v>1</v>
      </c>
      <c r="H14" t="inlineStr">
        <is>
          <t>Clean template default. Calibrate with real exposure, incident history, evidence quality and domain-owner validation.</t>
        </is>
      </c>
    </row>
    <row r="15">
      <c r="A15" t="inlineStr">
        <is>
          <t>Sales CRM</t>
        </is>
      </c>
      <c r="B15" t="n">
        <v>3</v>
      </c>
      <c r="C15" t="n">
        <v>0</v>
      </c>
      <c r="D15" t="n">
        <v>3</v>
      </c>
      <c r="E15" t="n">
        <v>3</v>
      </c>
      <c r="F15" t="inlineStr">
        <is>
          <t>No</t>
        </is>
      </c>
      <c r="G15" t="n">
        <v>1</v>
      </c>
      <c r="H15" t="inlineStr">
        <is>
          <t>Clean template default. Calibrate with real exposure, incident history, evidence quality and domain-owner validation.</t>
        </is>
      </c>
    </row>
    <row r="16">
      <c r="A16" t="inlineStr">
        <is>
          <t>Marketing Comms</t>
        </is>
      </c>
      <c r="B16" t="n">
        <v>3</v>
      </c>
      <c r="C16" t="n">
        <v>0</v>
      </c>
      <c r="D16" t="n">
        <v>3</v>
      </c>
      <c r="E16" t="n">
        <v>2</v>
      </c>
      <c r="F16" t="inlineStr">
        <is>
          <t>No</t>
        </is>
      </c>
      <c r="G16" t="n">
        <v>1</v>
      </c>
      <c r="H16" t="inlineStr">
        <is>
          <t>Clean template default. Calibrate with real exposure, incident history, evidence quality and domain-owner validation.</t>
        </is>
      </c>
    </row>
    <row r="17">
      <c r="A17" t="inlineStr">
        <is>
          <t>IT Cloud DR</t>
        </is>
      </c>
      <c r="B17" t="n">
        <v>3</v>
      </c>
      <c r="C17" t="n">
        <v>0</v>
      </c>
      <c r="D17" t="n">
        <v>3</v>
      </c>
      <c r="E17" t="n">
        <v>4</v>
      </c>
      <c r="F17" t="inlineStr">
        <is>
          <t>Yes</t>
        </is>
      </c>
      <c r="G17" t="n">
        <v>4</v>
      </c>
      <c r="H17" t="inlineStr">
        <is>
          <t>Clean template default. Calibrate with real exposure, incident history, evidence quality and domain-owner validation.</t>
        </is>
      </c>
    </row>
    <row r="18">
      <c r="A18" t="inlineStr">
        <is>
          <t>Business Systems</t>
        </is>
      </c>
      <c r="B18" t="n">
        <v>3</v>
      </c>
      <c r="C18" t="n">
        <v>0</v>
      </c>
      <c r="D18" t="n">
        <v>3</v>
      </c>
      <c r="E18" t="n">
        <v>4</v>
      </c>
      <c r="F18" t="inlineStr">
        <is>
          <t>Yes</t>
        </is>
      </c>
      <c r="G18" t="n">
        <v>4</v>
      </c>
      <c r="H18" t="inlineStr">
        <is>
          <t>Clean template default. Calibrate with real exposure, incident history, evidence quality and domain-owner validation.</t>
        </is>
      </c>
    </row>
    <row r="19">
      <c r="A19" t="inlineStr">
        <is>
          <t>Data BI AI</t>
        </is>
      </c>
      <c r="B19" t="n">
        <v>3</v>
      </c>
      <c r="C19" t="n">
        <v>0</v>
      </c>
      <c r="D19" t="n">
        <v>3</v>
      </c>
      <c r="E19" t="n">
        <v>3</v>
      </c>
      <c r="F19" t="inlineStr">
        <is>
          <t>No</t>
        </is>
      </c>
      <c r="G19" t="n">
        <v>1</v>
      </c>
      <c r="H19" t="inlineStr">
        <is>
          <t>Clean template default. Calibrate with real exposure, incident history, evidence quality and domain-owner validation.</t>
        </is>
      </c>
    </row>
    <row r="20">
      <c r="A20" t="inlineStr">
        <is>
          <t>Cyber Privacy</t>
        </is>
      </c>
      <c r="B20" t="n">
        <v>3</v>
      </c>
      <c r="C20" t="n">
        <v>0</v>
      </c>
      <c r="D20" t="n">
        <v>3</v>
      </c>
      <c r="E20" t="n">
        <v>4</v>
      </c>
      <c r="F20" t="inlineStr">
        <is>
          <t>Yes</t>
        </is>
      </c>
      <c r="G20" t="n">
        <v>5</v>
      </c>
      <c r="H20" t="inlineStr">
        <is>
          <t>Clean template default. Calibrate with real exposure, incident history, evidence quality and domain-owner validation.</t>
        </is>
      </c>
    </row>
    <row r="21">
      <c r="A21" t="inlineStr">
        <is>
          <t>Quality Portfolio</t>
        </is>
      </c>
      <c r="B21" t="n">
        <v>3</v>
      </c>
      <c r="C21" t="n">
        <v>0</v>
      </c>
      <c r="D21" t="n">
        <v>3</v>
      </c>
      <c r="E21" t="n">
        <v>3</v>
      </c>
      <c r="F21" t="inlineStr">
        <is>
          <t>Yes</t>
        </is>
      </c>
      <c r="G21" t="n">
        <v>4</v>
      </c>
      <c r="H21" t="inlineStr">
        <is>
          <t>Clean template default. Calibrate with real exposure, incident history, evidence quality and domain-owner validation.</t>
        </is>
      </c>
    </row>
    <row r="23">
      <c r="A23" t="inlineStr">
        <is>
          <t>Formula notes</t>
        </is>
      </c>
    </row>
    <row r="24">
      <c r="A24" t="inlineStr">
        <is>
          <t>P1 Probability v2</t>
        </is>
      </c>
      <c r="B24" t="inlineStr">
        <is>
          <t>0.45×Control weakness + 0.20×Exposure + 0.15×Crisis severity + 0.10×Incident history + 0.05×Evidence uncertainty + 0.05×Velocity score</t>
        </is>
      </c>
    </row>
    <row r="25">
      <c r="A25" t="inlineStr">
        <is>
          <t>P1 Impact v2</t>
        </is>
      </c>
      <c r="B25" t="inlineStr">
        <is>
          <t>MAX(Red-line floor, weighted impact score). Weighted impact uses question weight, digitalization, resilience, process, exposure and dependency/cascade score.</t>
        </is>
      </c>
    </row>
    <row r="26">
      <c r="A26" t="inlineStr">
        <is>
          <t>P1 Risk Score v2</t>
        </is>
      </c>
      <c r="B26" t="inlineStr">
        <is>
          <t>Probability v2 × Impact v2, then adjusted by scenario, industry, dependency/cascade multiplier and velocity factor.</t>
        </is>
      </c>
    </row>
    <row r="27">
      <c r="A27" t="inlineStr">
        <is>
          <t>Governance note</t>
        </is>
      </c>
      <c r="B27" t="inlineStr">
        <is>
          <t>This sheet is intentionally editable. Use neutral defaults for a blank template, then calibrate after real profile data, evidence and incident history are collected.</t>
        </is>
      </c>
    </row>
  </sheetData>
  <pageMargins left="0.75" right="0.75" top="1" bottom="1" header="0.5" footer="0.5"/>
</worksheet>
</file>

<file path=xl/worksheets/sheet29.xml><?xml version="1.0" encoding="utf-8"?>
<worksheet xmlns="http://schemas.openxmlformats.org/spreadsheetml/2006/main">
  <dimension ref="A1:J40"/>
  <sheetViews>
    <sheetView workbookViewId="0">
      <pane ySplit="5" topLeftCell="A6" activePane="bottomLeft" state="frozen"/>
    </sheetView>
  </sheetViews>
  <sheetFormatPr defaultRowHeight="15"/>
  <cols>
    <col min="1" max="1" width="24" customWidth="1"/>
    <col min="2" max="2" width="18" customWidth="1"/>
    <col min="3" max="3" width="28" customWidth="1"/>
    <col min="4" max="4" width="16" customWidth="1"/>
    <col min="5" max="5" width="16" customWidth="1"/>
    <col min="6" max="6" width="18" customWidth="1"/>
    <col min="7" max="7" width="14" customWidth="1"/>
    <col min="8" max="8" width="14" customWidth="1"/>
    <col min="9" max="9" width="14" customWidth="1"/>
    <col min="10" max="10" width="14" customWidth="1"/>
  </cols>
  <sheetData>
    <row r="1">
      <c r="A1" t="inlineStr">
        <is>
          <t>AS-IS Assessment</t>
        </is>
      </c>
    </row>
    <row r="2">
      <c r="A2" t="inlineStr">
        <is>
          <t>Current state assessment combining executive summary and diagnostic depth. This sheet is the visible AS-IS view; legacy source tabs are hidden and scheduled for removal after validation.</t>
        </is>
      </c>
    </row>
    <row r="3">
      <c r="A3">
        <f>HYPERLINK("#'① START HERE'!A1","⌂ START HERE")</f>
      </c>
      <c r="C3">
        <f>HYPERLINK("#'Assessment Questions'!A1","Assessment Questions")</f>
      </c>
    </row>
    <row r="4"/>
    <row r="5">
      <c r="A5" t="inlineStr">
        <is>
          <t>KPI</t>
        </is>
      </c>
      <c r="B5" t="inlineStr">
        <is>
          <t>Value</t>
        </is>
      </c>
      <c r="C5" t="inlineStr">
        <is>
          <t>Source / Logic</t>
        </is>
      </c>
    </row>
    <row r="6">
      <c r="A6" t="inlineStr">
        <is>
          <t>Industry</t>
        </is>
      </c>
      <c r="B6">
        <f>'Company Profile'!$B$9</f>
      </c>
      <c r="C6" t="inlineStr">
        <is>
          <t>Company Profile</t>
        </is>
      </c>
    </row>
    <row r="7">
      <c r="A7" t="inlineStr">
        <is>
          <t>Risk Appetite</t>
        </is>
      </c>
      <c r="B7">
        <f>'Company Profile'!$B$35</f>
      </c>
      <c r="C7" t="inlineStr">
        <is>
          <t>Company Profile</t>
        </is>
      </c>
    </row>
    <row r="8">
      <c r="A8" t="inlineStr">
        <is>
          <t>Overall Maturity 0-5</t>
        </is>
      </c>
      <c r="B8">
        <f>IFERROR(ROUND(AVERAGE(_DATA_Dashboard_Facts!$H$5:$H$21),2),"")</f>
      </c>
      <c r="C8" t="inlineStr">
        <is>
          <t>Direct from _DATA_Dashboard_Facts</t>
        </is>
      </c>
    </row>
    <row r="9">
      <c r="A9" t="inlineStr">
        <is>
          <t>Benchmark Percentile</t>
        </is>
      </c>
      <c r="B9">
        <f>IFERROR(ROUND(AVERAGE(_DATA_Dashboard_Facts!$F$217:$F$233),0),"")</f>
      </c>
      <c r="C9" t="inlineStr">
        <is>
          <t>Direct from _DATA_Dashboard_Facts</t>
        </is>
      </c>
    </row>
    <row r="10">
      <c r="A10" t="inlineStr">
        <is>
          <t>Industry-adjusted weighted score 0-5</t>
        </is>
      </c>
      <c r="B10">
        <f>IFERROR(ROUND(SUMPRODUCT($B$16:$B$32,_CONFIG_Model_Settings!$H$70:$H$86)/SUMPRODUCT(--($B$16:$B$32&lt;&gt;""),_CONFIG_Model_Settings!$H$70:$H$86),2),"")</f>
      </c>
      <c r="C10" t="inlineStr">
        <is>
          <t>Direct weighted formula using _CONFIG_Model_Settings</t>
        </is>
      </c>
    </row>
    <row r="11">
      <c r="A11" t="inlineStr">
        <is>
          <t>Average gap to industry target</t>
        </is>
      </c>
      <c r="B11">
        <f>IFERROR(ROUND(AVERAGEIF($D$16:$D$32,"&gt;=0"),2),"")</f>
      </c>
      <c r="C11" t="inlineStr">
        <is>
          <t>Direct from AS-IS domain gap table</t>
        </is>
      </c>
    </row>
    <row r="12">
      <c r="A12" t="inlineStr">
        <is>
          <t>Red-line threshold breaches</t>
        </is>
      </c>
      <c r="B12">
        <f>COUNTIF($F$16:$F$32,"Breach")</f>
      </c>
      <c r="C12" t="inlineStr">
        <is>
          <t>Direct from AS-IS threshold table</t>
        </is>
      </c>
    </row>
    <row r="13"/>
    <row r="14">
      <c r="A14" t="inlineStr">
        <is>
          <t>Domain Diagnostics</t>
        </is>
      </c>
    </row>
    <row r="15">
      <c r="A15" t="inlineStr">
        <is>
          <t>Domain</t>
        </is>
      </c>
      <c r="B15" t="inlineStr">
        <is>
          <t>Conf-adj maturity 0-5</t>
        </is>
      </c>
      <c r="C15" t="inlineStr">
        <is>
          <t>Industry target</t>
        </is>
      </c>
      <c r="D15" t="inlineStr">
        <is>
          <t>Gap to target</t>
        </is>
      </c>
      <c r="E15" t="inlineStr">
        <is>
          <t>Priority</t>
        </is>
      </c>
      <c r="F15" t="inlineStr">
        <is>
          <t>Threshold status</t>
        </is>
      </c>
    </row>
    <row r="16">
      <c r="A16">
        <f>_DATA_Dashboard_Facts!$A$5</f>
      </c>
      <c r="B16">
        <f>IF(SUMPRODUCT((_DATA_Assessment_Model!$H$5:$H$23&lt;&gt;"")*(_DATA_Assessment_Model!$H$5:$H$23&lt;&gt;"N/A")*_DATA_Assessment_Model!$G$5:$G$23)=0,"",ROUND(SUMPRODUCT((_DATA_Assessment_Model!$H$5:$H$23&lt;&gt;"")*(_DATA_Assessment_Model!$H$5:$H$23&lt;&gt;"N/A")*_DATA_Assessment_Model!$G$5:$G$23*_DATA_Assessment_Model!$AS$5:$AS$23)/SUMPRODUCT((_DATA_Assessment_Model!$H$5:$H$23&lt;&gt;"")*(_DATA_Assessment_Model!$H$5:$H$23&lt;&gt;"N/A")*_DATA_Assessment_Model!$G$5:$G$23),2))</f>
      </c>
      <c r="C16">
        <f>IFERROR(MIN(5,MAX(0,(SUMIFS(_REF_Model_Content!$D$1:$D$157,_REF_Model_Content!$A$1:$A$157,'Company Profile'!$B$9,_REF_Model_Content!$B$1:$B$157,$A16))+_xlfn.IFNA(VLOOKUP('Company Profile'!$B$35,_CONFIG_Model_Settings!$A$11:$B$13,2,0),0))),"")</f>
      </c>
      <c r="D16">
        <f>IF(OR($B16="",$C16=""),"",MAX(0,ROUND($C16-$B16,2)))</f>
      </c>
      <c r="E16">
        <f>IF($D16="","",ROUND($D16*IFERROR(SUMIFS(_REF_Model_Content!$E$1:$E$157,_REF_Model_Content!$A$1:$A$157,'Company Profile'!$B$9,_REF_Model_Content!$B$1:$B$157,$A16),1)*IFERROR(INDEX(_CONFIG_Model_Settings!$H:$H,MATCH($A16,_CONFIG_Model_Settings!$A:$A,0)),0)*100,2))</f>
      </c>
      <c r="F16">
        <f>IF($B16="","",IF($B16&lt;$C16,"Breach","OK"))</f>
      </c>
    </row>
    <row r="17">
      <c r="A17">
        <f>_DATA_Dashboard_Facts!$A$6</f>
      </c>
      <c r="B17">
        <f>IF(SUMPRODUCT((_DATA_Assessment_Model!$H$24:$H$49&lt;&gt;"")*(_DATA_Assessment_Model!$H$24:$H$49&lt;&gt;"N/A")*_DATA_Assessment_Model!$G$24:$G$49)=0,"",ROUND(SUMPRODUCT((_DATA_Assessment_Model!$H$24:$H$49&lt;&gt;"")*(_DATA_Assessment_Model!$H$24:$H$49&lt;&gt;"N/A")*_DATA_Assessment_Model!$G$24:$G$49*_DATA_Assessment_Model!$AS$24:$AS$49)/SUMPRODUCT((_DATA_Assessment_Model!$H$24:$H$49&lt;&gt;"")*(_DATA_Assessment_Model!$H$24:$H$49&lt;&gt;"N/A")*_DATA_Assessment_Model!$G$24:$G$49),2))</f>
      </c>
      <c r="C17">
        <f>IFERROR(MIN(5,MAX(0,(SUMIFS(_REF_Model_Content!$D$1:$D$157,_REF_Model_Content!$A$1:$A$157,'Company Profile'!$B$9,_REF_Model_Content!$B$1:$B$157,$A17))+_xlfn.IFNA(VLOOKUP('Company Profile'!$B$35,_CONFIG_Model_Settings!$A$11:$B$13,2,0),0))),"")</f>
      </c>
      <c r="D17">
        <f>IF(OR($B17="",$C17=""),"",MAX(0,ROUND($C17-$B17,2)))</f>
      </c>
      <c r="E17">
        <f>IF($D17="","",ROUND($D17*IFERROR(SUMIFS(_REF_Model_Content!$E$1:$E$157,_REF_Model_Content!$A$1:$A$157,'Company Profile'!$B$9,_REF_Model_Content!$B$1:$B$157,$A17),1)*IFERROR(INDEX(_CONFIG_Model_Settings!$H:$H,MATCH($A17,_CONFIG_Model_Settings!$A:$A,0)),0)*100,2))</f>
      </c>
      <c r="F17">
        <f>IF($B17="","",IF($B17&lt;$C17,"Breach","OK"))</f>
      </c>
    </row>
    <row r="18">
      <c r="A18">
        <f>_DATA_Dashboard_Facts!$A$7</f>
      </c>
      <c r="B18">
        <f>IF(SUMPRODUCT((_DATA_Assessment_Model!$H$50:$H$71&lt;&gt;"")*(_DATA_Assessment_Model!$H$50:$H$71&lt;&gt;"N/A")*_DATA_Assessment_Model!$G$50:$G$71)=0,"",ROUND(SUMPRODUCT((_DATA_Assessment_Model!$H$50:$H$71&lt;&gt;"")*(_DATA_Assessment_Model!$H$50:$H$71&lt;&gt;"N/A")*_DATA_Assessment_Model!$G$50:$G$71*_DATA_Assessment_Model!$AS$50:$AS$71)/SUMPRODUCT((_DATA_Assessment_Model!$H$50:$H$71&lt;&gt;"")*(_DATA_Assessment_Model!$H$50:$H$71&lt;&gt;"N/A")*_DATA_Assessment_Model!$G$50:$G$71),2))</f>
      </c>
      <c r="C18">
        <f>IFERROR(MIN(5,MAX(0,(SUMIFS(_REF_Model_Content!$D$1:$D$157,_REF_Model_Content!$A$1:$A$157,'Company Profile'!$B$9,_REF_Model_Content!$B$1:$B$157,$A18))+_xlfn.IFNA(VLOOKUP('Company Profile'!$B$35,_CONFIG_Model_Settings!$A$11:$B$13,2,0),0))),"")</f>
      </c>
      <c r="D18">
        <f>IF(OR($B18="",$C18=""),"",MAX(0,ROUND($C18-$B18,2)))</f>
      </c>
      <c r="E18">
        <f>IF($D18="","",ROUND($D18*IFERROR(SUMIFS(_REF_Model_Content!$E$1:$E$157,_REF_Model_Content!$A$1:$A$157,'Company Profile'!$B$9,_REF_Model_Content!$B$1:$B$157,$A18),1)*IFERROR(INDEX(_CONFIG_Model_Settings!$H:$H,MATCH($A18,_CONFIG_Model_Settings!$A:$A,0)),0)*100,2))</f>
      </c>
      <c r="F18">
        <f>IF($B18="","",IF($B18&lt;$C18,"Breach","OK"))</f>
      </c>
    </row>
    <row r="19">
      <c r="A19">
        <f>_DATA_Dashboard_Facts!$A$8</f>
      </c>
      <c r="B19">
        <f>IF(SUMPRODUCT((_DATA_Assessment_Model!$H$72:$H$97&lt;&gt;"")*(_DATA_Assessment_Model!$H$72:$H$97&lt;&gt;"N/A")*_DATA_Assessment_Model!$G$72:$G$97)=0,"",ROUND(SUMPRODUCT((_DATA_Assessment_Model!$H$72:$H$97&lt;&gt;"")*(_DATA_Assessment_Model!$H$72:$H$97&lt;&gt;"N/A")*_DATA_Assessment_Model!$G$72:$G$97*_DATA_Assessment_Model!$AS$72:$AS$97)/SUMPRODUCT((_DATA_Assessment_Model!$H$72:$H$97&lt;&gt;"")*(_DATA_Assessment_Model!$H$72:$H$97&lt;&gt;"N/A")*_DATA_Assessment_Model!$G$72:$G$97),2))</f>
      </c>
      <c r="C19">
        <f>IFERROR(MIN(5,MAX(0,(SUMIFS(_REF_Model_Content!$D$1:$D$157,_REF_Model_Content!$A$1:$A$157,'Company Profile'!$B$9,_REF_Model_Content!$B$1:$B$157,$A19))+_xlfn.IFNA(VLOOKUP('Company Profile'!$B$35,_CONFIG_Model_Settings!$A$11:$B$13,2,0),0))),"")</f>
      </c>
      <c r="D19">
        <f>IF(OR($B19="",$C19=""),"",MAX(0,ROUND($C19-$B19,2)))</f>
      </c>
      <c r="E19">
        <f>IF($D19="","",ROUND($D19*IFERROR(SUMIFS(_REF_Model_Content!$E$1:$E$157,_REF_Model_Content!$A$1:$A$157,'Company Profile'!$B$9,_REF_Model_Content!$B$1:$B$157,$A19),1)*IFERROR(INDEX(_CONFIG_Model_Settings!$H:$H,MATCH($A19,_CONFIG_Model_Settings!$A:$A,0)),0)*100,2))</f>
      </c>
      <c r="F19">
        <f>IF($B19="","",IF($B19&lt;$C19,"Breach","OK"))</f>
      </c>
    </row>
    <row r="20">
      <c r="A20">
        <f>_DATA_Dashboard_Facts!$A$9</f>
      </c>
      <c r="B20">
        <f>IF(SUMPRODUCT((_DATA_Assessment_Model!$H$98:$H$123&lt;&gt;"")*(_DATA_Assessment_Model!$H$98:$H$123&lt;&gt;"N/A")*_DATA_Assessment_Model!$G$98:$G$123)=0,"",ROUND(SUMPRODUCT((_DATA_Assessment_Model!$H$98:$H$123&lt;&gt;"")*(_DATA_Assessment_Model!$H$98:$H$123&lt;&gt;"N/A")*_DATA_Assessment_Model!$G$98:$G$123*_DATA_Assessment_Model!$AS$98:$AS$123)/SUMPRODUCT((_DATA_Assessment_Model!$H$98:$H$123&lt;&gt;"")*(_DATA_Assessment_Model!$H$98:$H$123&lt;&gt;"N/A")*_DATA_Assessment_Model!$G$98:$G$123),2))</f>
      </c>
      <c r="C20">
        <f>IFERROR(MIN(5,MAX(0,(SUMIFS(_REF_Model_Content!$D$1:$D$157,_REF_Model_Content!$A$1:$A$157,'Company Profile'!$B$9,_REF_Model_Content!$B$1:$B$157,$A20))+_xlfn.IFNA(VLOOKUP('Company Profile'!$B$35,_CONFIG_Model_Settings!$A$11:$B$13,2,0),0))),"")</f>
      </c>
      <c r="D20">
        <f>IF(OR($B20="",$C20=""),"",MAX(0,ROUND($C20-$B20,2)))</f>
      </c>
      <c r="E20">
        <f>IF($D20="","",ROUND($D20*IFERROR(SUMIFS(_REF_Model_Content!$E$1:$E$157,_REF_Model_Content!$A$1:$A$157,'Company Profile'!$B$9,_REF_Model_Content!$B$1:$B$157,$A20),1)*IFERROR(INDEX(_CONFIG_Model_Settings!$H:$H,MATCH($A20,_CONFIG_Model_Settings!$A:$A,0)),0)*100,2))</f>
      </c>
      <c r="F20">
        <f>IF($B20="","",IF($B20&lt;$C20,"Breach","OK"))</f>
      </c>
    </row>
    <row r="21">
      <c r="A21">
        <f>_DATA_Dashboard_Facts!$A$10</f>
      </c>
      <c r="B21">
        <f>IF(SUMPRODUCT((_DATA_Assessment_Model!$H$124:$H$144&lt;&gt;"")*(_DATA_Assessment_Model!$H$124:$H$144&lt;&gt;"N/A")*_DATA_Assessment_Model!$G$124:$G$144)=0,"",ROUND(SUMPRODUCT((_DATA_Assessment_Model!$H$124:$H$144&lt;&gt;"")*(_DATA_Assessment_Model!$H$124:$H$144&lt;&gt;"N/A")*_DATA_Assessment_Model!$G$124:$G$144*_DATA_Assessment_Model!$AS$124:$AS$144)/SUMPRODUCT((_DATA_Assessment_Model!$H$124:$H$144&lt;&gt;"")*(_DATA_Assessment_Model!$H$124:$H$144&lt;&gt;"N/A")*_DATA_Assessment_Model!$G$124:$G$144),2))</f>
      </c>
      <c r="C21">
        <f>IFERROR(MIN(5,MAX(0,(SUMIFS(_REF_Model_Content!$D$1:$D$157,_REF_Model_Content!$A$1:$A$157,'Company Profile'!$B$9,_REF_Model_Content!$B$1:$B$157,$A21))+_xlfn.IFNA(VLOOKUP('Company Profile'!$B$35,_CONFIG_Model_Settings!$A$11:$B$13,2,0),0))),"")</f>
      </c>
      <c r="D21">
        <f>IF(OR($B21="",$C21=""),"",MAX(0,ROUND($C21-$B21,2)))</f>
      </c>
      <c r="E21">
        <f>IF($D21="","",ROUND($D21*IFERROR(SUMIFS(_REF_Model_Content!$E$1:$E$157,_REF_Model_Content!$A$1:$A$157,'Company Profile'!$B$9,_REF_Model_Content!$B$1:$B$157,$A21),1)*IFERROR(INDEX(_CONFIG_Model_Settings!$H:$H,MATCH($A21,_CONFIG_Model_Settings!$A:$A,0)),0)*100,2))</f>
      </c>
      <c r="F21">
        <f>IF($B21="","",IF($B21&lt;$C21,"Breach","OK"))</f>
      </c>
    </row>
    <row r="22">
      <c r="A22">
        <f>_DATA_Dashboard_Facts!$A$11</f>
      </c>
      <c r="B22">
        <f>IF(SUMPRODUCT((_DATA_Assessment_Model!$H$145:$H$175&lt;&gt;"")*(_DATA_Assessment_Model!$H$145:$H$175&lt;&gt;"N/A")*_DATA_Assessment_Model!$G$145:$G$175)=0,"",ROUND(SUMPRODUCT((_DATA_Assessment_Model!$H$145:$H$175&lt;&gt;"")*(_DATA_Assessment_Model!$H$145:$H$175&lt;&gt;"N/A")*_DATA_Assessment_Model!$G$145:$G$175*_DATA_Assessment_Model!$AS$145:$AS$175)/SUMPRODUCT((_DATA_Assessment_Model!$H$145:$H$175&lt;&gt;"")*(_DATA_Assessment_Model!$H$145:$H$175&lt;&gt;"N/A")*_DATA_Assessment_Model!$G$145:$G$175),2))</f>
      </c>
      <c r="C22">
        <f>IFERROR(MIN(5,MAX(0,(SUMIFS(_REF_Model_Content!$D$1:$D$157,_REF_Model_Content!$A$1:$A$157,'Company Profile'!$B$9,_REF_Model_Content!$B$1:$B$157,$A22))+_xlfn.IFNA(VLOOKUP('Company Profile'!$B$35,_CONFIG_Model_Settings!$A$11:$B$13,2,0),0))),"")</f>
      </c>
      <c r="D22">
        <f>IF(OR($B22="",$C22=""),"",MAX(0,ROUND($C22-$B22,2)))</f>
      </c>
      <c r="E22">
        <f>IF($D22="","",ROUND($D22*IFERROR(SUMIFS(_REF_Model_Content!$E$1:$E$157,_REF_Model_Content!$A$1:$A$157,'Company Profile'!$B$9,_REF_Model_Content!$B$1:$B$157,$A22),1)*IFERROR(INDEX(_CONFIG_Model_Settings!$H:$H,MATCH($A22,_CONFIG_Model_Settings!$A:$A,0)),0)*100,2))</f>
      </c>
      <c r="F22">
        <f>IF($B22="","",IF($B22&lt;$C22,"Breach","OK"))</f>
      </c>
    </row>
    <row r="23">
      <c r="A23">
        <f>_DATA_Dashboard_Facts!$A$12</f>
      </c>
      <c r="B23">
        <f>IF(SUMPRODUCT((_DATA_Assessment_Model!$H$176:$H$199&lt;&gt;"")*(_DATA_Assessment_Model!$H$176:$H$199&lt;&gt;"N/A")*_DATA_Assessment_Model!$G$176:$G$199)=0,"",ROUND(SUMPRODUCT((_DATA_Assessment_Model!$H$176:$H$199&lt;&gt;"")*(_DATA_Assessment_Model!$H$176:$H$199&lt;&gt;"N/A")*_DATA_Assessment_Model!$G$176:$G$199*_DATA_Assessment_Model!$AS$176:$AS$199)/SUMPRODUCT((_DATA_Assessment_Model!$H$176:$H$199&lt;&gt;"")*(_DATA_Assessment_Model!$H$176:$H$199&lt;&gt;"N/A")*_DATA_Assessment_Model!$G$176:$G$199),2))</f>
      </c>
      <c r="C23">
        <f>IFERROR(MIN(5,MAX(0,(SUMIFS(_REF_Model_Content!$D$1:$D$157,_REF_Model_Content!$A$1:$A$157,'Company Profile'!$B$9,_REF_Model_Content!$B$1:$B$157,$A23))+_xlfn.IFNA(VLOOKUP('Company Profile'!$B$35,_CONFIG_Model_Settings!$A$11:$B$13,2,0),0))),"")</f>
      </c>
      <c r="D23">
        <f>IF(OR($B23="",$C23=""),"",MAX(0,ROUND($C23-$B23,2)))</f>
      </c>
      <c r="E23">
        <f>IF($D23="","",ROUND($D23*IFERROR(SUMIFS(_REF_Model_Content!$E$1:$E$157,_REF_Model_Content!$A$1:$A$157,'Company Profile'!$B$9,_REF_Model_Content!$B$1:$B$157,$A23),1)*IFERROR(INDEX(_CONFIG_Model_Settings!$H:$H,MATCH($A23,_CONFIG_Model_Settings!$A:$A,0)),0)*100,2))</f>
      </c>
      <c r="F23">
        <f>IF($B23="","",IF($B23&lt;$C23,"Breach","OK"))</f>
      </c>
    </row>
    <row r="24">
      <c r="A24">
        <f>_DATA_Dashboard_Facts!$A$13</f>
      </c>
      <c r="B24">
        <f>IF(SUMPRODUCT((_DATA_Assessment_Model!$H$200:$H$228&lt;&gt;"")*(_DATA_Assessment_Model!$H$200:$H$228&lt;&gt;"N/A")*_DATA_Assessment_Model!$G$200:$G$228)=0,"",ROUND(SUMPRODUCT((_DATA_Assessment_Model!$H$200:$H$228&lt;&gt;"")*(_DATA_Assessment_Model!$H$200:$H$228&lt;&gt;"N/A")*_DATA_Assessment_Model!$G$200:$G$228*_DATA_Assessment_Model!$AS$200:$AS$228)/SUMPRODUCT((_DATA_Assessment_Model!$H$200:$H$228&lt;&gt;"")*(_DATA_Assessment_Model!$H$200:$H$228&lt;&gt;"N/A")*_DATA_Assessment_Model!$G$200:$G$228),2))</f>
      </c>
      <c r="C24">
        <f>IFERROR(MIN(5,MAX(0,(SUMIFS(_REF_Model_Content!$D$1:$D$157,_REF_Model_Content!$A$1:$A$157,'Company Profile'!$B$9,_REF_Model_Content!$B$1:$B$157,$A24))+_xlfn.IFNA(VLOOKUP('Company Profile'!$B$35,_CONFIG_Model_Settings!$A$11:$B$13,2,0),0))),"")</f>
      </c>
      <c r="D24">
        <f>IF(OR($B24="",$C24=""),"",MAX(0,ROUND($C24-$B24,2)))</f>
      </c>
      <c r="E24">
        <f>IF($D24="","",ROUND($D24*IFERROR(SUMIFS(_REF_Model_Content!$E$1:$E$157,_REF_Model_Content!$A$1:$A$157,'Company Profile'!$B$9,_REF_Model_Content!$B$1:$B$157,$A24),1)*IFERROR(INDEX(_CONFIG_Model_Settings!$H:$H,MATCH($A24,_CONFIG_Model_Settings!$A:$A,0)),0)*100,2))</f>
      </c>
      <c r="F24">
        <f>IF($B24="","",IF($B24&lt;$C24,"Breach","OK"))</f>
      </c>
    </row>
    <row r="25">
      <c r="A25">
        <f>_DATA_Dashboard_Facts!$A$14</f>
      </c>
      <c r="B25">
        <f>IF(SUMPRODUCT((_DATA_Assessment_Model!$H$229:$H$256&lt;&gt;"")*(_DATA_Assessment_Model!$H$229:$H$256&lt;&gt;"N/A")*_DATA_Assessment_Model!$G$229:$G$256)=0,"",ROUND(SUMPRODUCT((_DATA_Assessment_Model!$H$229:$H$256&lt;&gt;"")*(_DATA_Assessment_Model!$H$229:$H$256&lt;&gt;"N/A")*_DATA_Assessment_Model!$G$229:$G$256*_DATA_Assessment_Model!$AS$229:$AS$256)/SUMPRODUCT((_DATA_Assessment_Model!$H$229:$H$256&lt;&gt;"")*(_DATA_Assessment_Model!$H$229:$H$256&lt;&gt;"N/A")*_DATA_Assessment_Model!$G$229:$G$256),2))</f>
      </c>
      <c r="C25">
        <f>IFERROR(MIN(5,MAX(0,(SUMIFS(_REF_Model_Content!$D$1:$D$157,_REF_Model_Content!$A$1:$A$157,'Company Profile'!$B$9,_REF_Model_Content!$B$1:$B$157,$A25))+_xlfn.IFNA(VLOOKUP('Company Profile'!$B$35,_CONFIG_Model_Settings!$A$11:$B$13,2,0),0))),"")</f>
      </c>
      <c r="D25">
        <f>IF(OR($B25="",$C25=""),"",MAX(0,ROUND($C25-$B25,2)))</f>
      </c>
      <c r="E25">
        <f>IF($D25="","",ROUND($D25*IFERROR(SUMIFS(_REF_Model_Content!$E$1:$E$157,_REF_Model_Content!$A$1:$A$157,'Company Profile'!$B$9,_REF_Model_Content!$B$1:$B$157,$A25),1)*IFERROR(INDEX(_CONFIG_Model_Settings!$H:$H,MATCH($A25,_CONFIG_Model_Settings!$A:$A,0)),0)*100,2))</f>
      </c>
      <c r="F25">
        <f>IF($B25="","",IF($B25&lt;$C25,"Breach","OK"))</f>
      </c>
    </row>
    <row r="26">
      <c r="A26">
        <f>_DATA_Dashboard_Facts!$A$15</f>
      </c>
      <c r="B26">
        <f>IF(SUMPRODUCT((_DATA_Assessment_Model!$H$257:$H$280&lt;&gt;"")*(_DATA_Assessment_Model!$H$257:$H$280&lt;&gt;"N/A")*_DATA_Assessment_Model!$G$257:$G$280)=0,"",ROUND(SUMPRODUCT((_DATA_Assessment_Model!$H$257:$H$280&lt;&gt;"")*(_DATA_Assessment_Model!$H$257:$H$280&lt;&gt;"N/A")*_DATA_Assessment_Model!$G$257:$G$280*_DATA_Assessment_Model!$AS$257:$AS$280)/SUMPRODUCT((_DATA_Assessment_Model!$H$257:$H$280&lt;&gt;"")*(_DATA_Assessment_Model!$H$257:$H$280&lt;&gt;"N/A")*_DATA_Assessment_Model!$G$257:$G$280),2))</f>
      </c>
      <c r="C26">
        <f>IFERROR(MIN(5,MAX(0,(SUMIFS(_REF_Model_Content!$D$1:$D$157,_REF_Model_Content!$A$1:$A$157,'Company Profile'!$B$9,_REF_Model_Content!$B$1:$B$157,$A26))+_xlfn.IFNA(VLOOKUP('Company Profile'!$B$35,_CONFIG_Model_Settings!$A$11:$B$13,2,0),0))),"")</f>
      </c>
      <c r="D26">
        <f>IF(OR($B26="",$C26=""),"",MAX(0,ROUND($C26-$B26,2)))</f>
      </c>
      <c r="E26">
        <f>IF($D26="","",ROUND($D26*IFERROR(SUMIFS(_REF_Model_Content!$E$1:$E$157,_REF_Model_Content!$A$1:$A$157,'Company Profile'!$B$9,_REF_Model_Content!$B$1:$B$157,$A26),1)*IFERROR(INDEX(_CONFIG_Model_Settings!$H:$H,MATCH($A26,_CONFIG_Model_Settings!$A:$A,0)),0)*100,2))</f>
      </c>
      <c r="F26">
        <f>IF($B26="","",IF($B26&lt;$C26,"Breach","OK"))</f>
      </c>
    </row>
    <row r="27">
      <c r="A27">
        <f>_DATA_Dashboard_Facts!$A$16</f>
      </c>
      <c r="B27">
        <f>IF(SUMPRODUCT((_DATA_Assessment_Model!$H$281:$H$296&lt;&gt;"")*(_DATA_Assessment_Model!$H$281:$H$296&lt;&gt;"N/A")*_DATA_Assessment_Model!$G$281:$G$296)=0,"",ROUND(SUMPRODUCT((_DATA_Assessment_Model!$H$281:$H$296&lt;&gt;"")*(_DATA_Assessment_Model!$H$281:$H$296&lt;&gt;"N/A")*_DATA_Assessment_Model!$G$281:$G$296*_DATA_Assessment_Model!$AS$281:$AS$296)/SUMPRODUCT((_DATA_Assessment_Model!$H$281:$H$296&lt;&gt;"")*(_DATA_Assessment_Model!$H$281:$H$296&lt;&gt;"N/A")*_DATA_Assessment_Model!$G$281:$G$296),2))</f>
      </c>
      <c r="C27">
        <f>IFERROR(MIN(5,MAX(0,(SUMIFS(_REF_Model_Content!$D$1:$D$157,_REF_Model_Content!$A$1:$A$157,'Company Profile'!$B$9,_REF_Model_Content!$B$1:$B$157,$A27))+_xlfn.IFNA(VLOOKUP('Company Profile'!$B$35,_CONFIG_Model_Settings!$A$11:$B$13,2,0),0))),"")</f>
      </c>
      <c r="D27">
        <f>IF(OR($B27="",$C27=""),"",MAX(0,ROUND($C27-$B27,2)))</f>
      </c>
      <c r="E27">
        <f>IF($D27="","",ROUND($D27*IFERROR(SUMIFS(_REF_Model_Content!$E$1:$E$157,_REF_Model_Content!$A$1:$A$157,'Company Profile'!$B$9,_REF_Model_Content!$B$1:$B$157,$A27),1)*IFERROR(INDEX(_CONFIG_Model_Settings!$H:$H,MATCH($A27,_CONFIG_Model_Settings!$A:$A,0)),0)*100,2))</f>
      </c>
      <c r="F27">
        <f>IF($B27="","",IF($B27&lt;$C27,"Breach","OK"))</f>
      </c>
    </row>
    <row r="28">
      <c r="A28">
        <f>_DATA_Dashboard_Facts!$A$17</f>
      </c>
      <c r="B28">
        <f>IF(SUMPRODUCT((_DATA_Assessment_Model!$H$297:$H$324&lt;&gt;"")*(_DATA_Assessment_Model!$H$297:$H$324&lt;&gt;"N/A")*_DATA_Assessment_Model!$G$297:$G$324)=0,"",ROUND(SUMPRODUCT((_DATA_Assessment_Model!$H$297:$H$324&lt;&gt;"")*(_DATA_Assessment_Model!$H$297:$H$324&lt;&gt;"N/A")*_DATA_Assessment_Model!$G$297:$G$324*_DATA_Assessment_Model!$AS$297:$AS$324)/SUMPRODUCT((_DATA_Assessment_Model!$H$297:$H$324&lt;&gt;"")*(_DATA_Assessment_Model!$H$297:$H$324&lt;&gt;"N/A")*_DATA_Assessment_Model!$G$297:$G$324),2))</f>
      </c>
      <c r="C28">
        <f>IFERROR(MIN(5,MAX(0,(SUMIFS(_REF_Model_Content!$D$1:$D$157,_REF_Model_Content!$A$1:$A$157,'Company Profile'!$B$9,_REF_Model_Content!$B$1:$B$157,$A28))+_xlfn.IFNA(VLOOKUP('Company Profile'!$B$35,_CONFIG_Model_Settings!$A$11:$B$13,2,0),0))),"")</f>
      </c>
      <c r="D28">
        <f>IF(OR($B28="",$C28=""),"",MAX(0,ROUND($C28-$B28,2)))</f>
      </c>
      <c r="E28">
        <f>IF($D28="","",ROUND($D28*IFERROR(SUMIFS(_REF_Model_Content!$E$1:$E$157,_REF_Model_Content!$A$1:$A$157,'Company Profile'!$B$9,_REF_Model_Content!$B$1:$B$157,$A28),1)*IFERROR(INDEX(_CONFIG_Model_Settings!$H:$H,MATCH($A28,_CONFIG_Model_Settings!$A:$A,0)),0)*100,2))</f>
      </c>
      <c r="F28">
        <f>IF($B28="","",IF($B28&lt;$C28,"Breach","OK"))</f>
      </c>
    </row>
    <row r="29">
      <c r="A29">
        <f>_DATA_Dashboard_Facts!$A$18</f>
      </c>
      <c r="B29">
        <f>IF(SUMPRODUCT((_DATA_Assessment_Model!$H$325:$H$345&lt;&gt;"")*(_DATA_Assessment_Model!$H$325:$H$345&lt;&gt;"N/A")*_DATA_Assessment_Model!$G$325:$G$345)=0,"",ROUND(SUMPRODUCT((_DATA_Assessment_Model!$H$325:$H$345&lt;&gt;"")*(_DATA_Assessment_Model!$H$325:$H$345&lt;&gt;"N/A")*_DATA_Assessment_Model!$G$325:$G$345*_DATA_Assessment_Model!$AS$325:$AS$345)/SUMPRODUCT((_DATA_Assessment_Model!$H$325:$H$345&lt;&gt;"")*(_DATA_Assessment_Model!$H$325:$H$345&lt;&gt;"N/A")*_DATA_Assessment_Model!$G$325:$G$345),2))</f>
      </c>
      <c r="C29">
        <f>IFERROR(MIN(5,MAX(0,(SUMIFS(_REF_Model_Content!$D$1:$D$157,_REF_Model_Content!$A$1:$A$157,'Company Profile'!$B$9,_REF_Model_Content!$B$1:$B$157,$A29))+_xlfn.IFNA(VLOOKUP('Company Profile'!$B$35,_CONFIG_Model_Settings!$A$11:$B$13,2,0),0))),"")</f>
      </c>
      <c r="D29">
        <f>IF(OR($B29="",$C29=""),"",MAX(0,ROUND($C29-$B29,2)))</f>
      </c>
      <c r="E29">
        <f>IF($D29="","",ROUND($D29*IFERROR(SUMIFS(_REF_Model_Content!$E$1:$E$157,_REF_Model_Content!$A$1:$A$157,'Company Profile'!$B$9,_REF_Model_Content!$B$1:$B$157,$A29),1)*IFERROR(INDEX(_CONFIG_Model_Settings!$H:$H,MATCH($A29,_CONFIG_Model_Settings!$A:$A,0)),0)*100,2))</f>
      </c>
      <c r="F29">
        <f>IF($B29="","",IF($B29&lt;$C29,"Breach","OK"))</f>
      </c>
    </row>
    <row r="30">
      <c r="A30">
        <f>_DATA_Dashboard_Facts!$A$19</f>
      </c>
      <c r="B30">
        <f>IF(SUMPRODUCT((_DATA_Assessment_Model!$H$346:$H$372&lt;&gt;"")*(_DATA_Assessment_Model!$H$346:$H$372&lt;&gt;"N/A")*_DATA_Assessment_Model!$G$346:$G$372)=0,"",ROUND(SUMPRODUCT((_DATA_Assessment_Model!$H$346:$H$372&lt;&gt;"")*(_DATA_Assessment_Model!$H$346:$H$372&lt;&gt;"N/A")*_DATA_Assessment_Model!$G$346:$G$372*_DATA_Assessment_Model!$AS$346:$AS$372)/SUMPRODUCT((_DATA_Assessment_Model!$H$346:$H$372&lt;&gt;"")*(_DATA_Assessment_Model!$H$346:$H$372&lt;&gt;"N/A")*_DATA_Assessment_Model!$G$346:$G$372),2))</f>
      </c>
      <c r="C30">
        <f>IFERROR(MIN(5,MAX(0,(SUMIFS(_REF_Model_Content!$D$1:$D$157,_REF_Model_Content!$A$1:$A$157,'Company Profile'!$B$9,_REF_Model_Content!$B$1:$B$157,$A30))+_xlfn.IFNA(VLOOKUP('Company Profile'!$B$35,_CONFIG_Model_Settings!$A$11:$B$13,2,0),0))),"")</f>
      </c>
      <c r="D30">
        <f>IF(OR($B30="",$C30=""),"",MAX(0,ROUND($C30-$B30,2)))</f>
      </c>
      <c r="E30">
        <f>IF($D30="","",ROUND($D30*IFERROR(SUMIFS(_REF_Model_Content!$E$1:$E$157,_REF_Model_Content!$A$1:$A$157,'Company Profile'!$B$9,_REF_Model_Content!$B$1:$B$157,$A30),1)*IFERROR(INDEX(_CONFIG_Model_Settings!$H:$H,MATCH($A30,_CONFIG_Model_Settings!$A:$A,0)),0)*100,2))</f>
      </c>
      <c r="F30">
        <f>IF($B30="","",IF($B30&lt;$C30,"Breach","OK"))</f>
      </c>
    </row>
    <row r="31">
      <c r="A31">
        <f>_DATA_Dashboard_Facts!$A$20</f>
      </c>
      <c r="B31">
        <f>IF(SUMPRODUCT((_DATA_Assessment_Model!$H$373:$H$406&lt;&gt;"")*(_DATA_Assessment_Model!$H$373:$H$406&lt;&gt;"N/A")*_DATA_Assessment_Model!$G$373:$G$406)=0,"",ROUND(SUMPRODUCT((_DATA_Assessment_Model!$H$373:$H$406&lt;&gt;"")*(_DATA_Assessment_Model!$H$373:$H$406&lt;&gt;"N/A")*_DATA_Assessment_Model!$G$373:$G$406*_DATA_Assessment_Model!$AS$373:$AS$406)/SUMPRODUCT((_DATA_Assessment_Model!$H$373:$H$406&lt;&gt;"")*(_DATA_Assessment_Model!$H$373:$H$406&lt;&gt;"N/A")*_DATA_Assessment_Model!$G$373:$G$406),2))</f>
      </c>
      <c r="C31">
        <f>IFERROR(MIN(5,MAX(0,(SUMIFS(_REF_Model_Content!$D$1:$D$157,_REF_Model_Content!$A$1:$A$157,'Company Profile'!$B$9,_REF_Model_Content!$B$1:$B$157,$A31))+_xlfn.IFNA(VLOOKUP('Company Profile'!$B$35,_CONFIG_Model_Settings!$A$11:$B$13,2,0),0))),"")</f>
      </c>
      <c r="D31">
        <f>IF(OR($B31="",$C31=""),"",MAX(0,ROUND($C31-$B31,2)))</f>
      </c>
      <c r="E31">
        <f>IF($D31="","",ROUND($D31*IFERROR(SUMIFS(_REF_Model_Content!$E$1:$E$157,_REF_Model_Content!$A$1:$A$157,'Company Profile'!$B$9,_REF_Model_Content!$B$1:$B$157,$A31),1)*IFERROR(INDEX(_CONFIG_Model_Settings!$H:$H,MATCH($A31,_CONFIG_Model_Settings!$A:$A,0)),0)*100,2))</f>
      </c>
      <c r="F31">
        <f>IF($B31="","",IF($B31&lt;$C31,"Breach","OK"))</f>
      </c>
    </row>
    <row r="32">
      <c r="A32">
        <f>_DATA_Dashboard_Facts!$A$21</f>
      </c>
      <c r="B32">
        <f>IF(SUMPRODUCT((_DATA_Assessment_Model!$H$407:$H$428&lt;&gt;"")*(_DATA_Assessment_Model!$H$407:$H$428&lt;&gt;"N/A")*_DATA_Assessment_Model!$G$407:$G$428)=0,"",ROUND(SUMPRODUCT((_DATA_Assessment_Model!$H$407:$H$428&lt;&gt;"")*(_DATA_Assessment_Model!$H$407:$H$428&lt;&gt;"N/A")*_DATA_Assessment_Model!$G$407:$G$428*_DATA_Assessment_Model!$AS$407:$AS$428)/SUMPRODUCT((_DATA_Assessment_Model!$H$407:$H$428&lt;&gt;"")*(_DATA_Assessment_Model!$H$407:$H$428&lt;&gt;"N/A")*_DATA_Assessment_Model!$G$407:$G$428),2))</f>
      </c>
      <c r="C32">
        <f>IFERROR(MIN(5,MAX(0,(SUMIFS(_REF_Model_Content!$D$1:$D$157,_REF_Model_Content!$A$1:$A$157,'Company Profile'!$B$9,_REF_Model_Content!$B$1:$B$157,$A32))+_xlfn.IFNA(VLOOKUP('Company Profile'!$B$35,_CONFIG_Model_Settings!$A$11:$B$13,2,0),0))),"")</f>
      </c>
      <c r="D32">
        <f>IF(OR($B32="",$C32=""),"",MAX(0,ROUND($C32-$B32,2)))</f>
      </c>
      <c r="E32">
        <f>IF($D32="","",ROUND($D32*IFERROR(SUMIFS(_REF_Model_Content!$E$1:$E$157,_REF_Model_Content!$A$1:$A$157,'Company Profile'!$B$9,_REF_Model_Content!$B$1:$B$157,$A32),1)*IFERROR(INDEX(_CONFIG_Model_Settings!$H:$H,MATCH($A32,_CONFIG_Model_Settings!$A:$A,0)),0)*100,2))</f>
      </c>
      <c r="F32">
        <f>IF($B32="","",IF($B32&lt;$C32,"Breach","OK"))</f>
      </c>
    </row>
    <row r="33"/>
    <row r="34">
      <c r="A34" t="inlineStr">
        <is>
          <t>Backlog note</t>
        </is>
      </c>
      <c r="B34" t="inlineStr">
        <is>
          <t>AS-IS scoring now reads from _DATA_Dashboard_Facts and backend sources. Legacy Executive Dashboard and scoring staging sheets have been removed.</t>
        </is>
      </c>
    </row>
  </sheetData>
  <pageMargins left="0.7" right="0.7" top="0.75" bottom="0.75" header="0.3" footer="0.3"/>
</worksheet>
</file>

<file path=xl/worksheets/sheet30.xml><?xml version="1.0" encoding="utf-8"?>
<worksheet xmlns="http://schemas.openxmlformats.org/spreadsheetml/2006/main">
  <dimension ref="A1:L60"/>
  <sheetViews>
    <sheetView workbookViewId="0">
      <pane ySplit="5" topLeftCell="A6" activePane="bottomLeft" state="frozen"/>
    </sheetView>
  </sheetViews>
  <sheetFormatPr defaultRowHeight="15"/>
  <cols>
    <col min="1" max="1" width="12" customWidth="1"/>
    <col min="2" max="2" width="22" customWidth="1"/>
    <col min="3" max="3" width="24" customWidth="1"/>
    <col min="4" max="4" width="18" customWidth="1"/>
    <col min="5" max="5" width="18" customWidth="1"/>
    <col min="6" max="6" width="18" customWidth="1"/>
    <col min="7" max="7" width="18" customWidth="1"/>
    <col min="8" max="8" width="36" customWidth="1"/>
    <col min="9" max="9" width="14" customWidth="1"/>
    <col min="10" max="10" width="14" customWidth="1"/>
    <col min="11" max="11" width="14" customWidth="1"/>
    <col min="12" max="12" width="14" customWidth="1"/>
  </cols>
  <sheetData>
    <row r="1">
      <c r="A1" t="inlineStr">
        <is>
          <t>Resilience &amp; Risk Scenario</t>
        </is>
      </c>
    </row>
    <row r="2">
      <c r="A2" t="inlineStr">
        <is>
          <t>Scenario-adjusted state: crisis, resilience, fuzzy posture and top risk exposure. This is the stressed/current-state layer, not the action plan.</t>
        </is>
      </c>
    </row>
    <row r="3">
      <c r="A3">
        <f>HYPERLINK("#'① START HERE'!A1","⌂ START HERE")</f>
      </c>
      <c r="C3">
        <f>HYPERLINK("#'Company Profile'!A1","Company Profile")</f>
      </c>
      <c r="E3">
        <f>HYPERLINK("#'Action Plan &amp; Roadmap'!A1","Action Plan")</f>
      </c>
    </row>
    <row r="4"/>
    <row r="5">
      <c r="A5" t="inlineStr">
        <is>
          <t>Scenario KPI</t>
        </is>
      </c>
      <c r="B5" t="inlineStr">
        <is>
          <t>Value</t>
        </is>
      </c>
      <c r="C5" t="inlineStr">
        <is>
          <t>Source / Logic</t>
        </is>
      </c>
    </row>
    <row r="6">
      <c r="A6" t="inlineStr">
        <is>
          <t>Selected crisis scenario</t>
        </is>
      </c>
      <c r="B6"/>
      <c r="C6" t="inlineStr">
        <is>
          <t>User input; hidden engine reads this value</t>
        </is>
      </c>
    </row>
    <row r="7">
      <c r="A7" t="inlineStr">
        <is>
          <t>Severity 1-5</t>
        </is>
      </c>
      <c r="B7"/>
      <c r="C7" t="inlineStr">
        <is>
          <t>User input 1-5; hidden engine reads this value</t>
        </is>
      </c>
    </row>
    <row r="8">
      <c r="A8" t="inlineStr">
        <is>
          <t>Overall maturity 0-5</t>
        </is>
      </c>
      <c r="B8">
        <f>_ENGINE_Fuzzy_Posture!$B$5</f>
      </c>
      <c r="C8" t="inlineStr">
        <is>
          <t>Fuzzy input</t>
        </is>
      </c>
    </row>
    <row r="9">
      <c r="A9" t="inlineStr">
        <is>
          <t>Critical/high risk pressure</t>
        </is>
      </c>
      <c r="B9">
        <f>_ENGINE_Fuzzy_Posture!$B$8</f>
      </c>
      <c r="C9" t="inlineStr">
        <is>
          <t>Fuzzy input</t>
        </is>
      </c>
    </row>
    <row r="10">
      <c r="A10" t="inlineStr">
        <is>
          <t>Recommended fuzzy strategy</t>
        </is>
      </c>
      <c r="B10">
        <f>_ENGINE_Fuzzy_Posture!$B$33</f>
      </c>
      <c r="C10" t="inlineStr">
        <is>
          <t>Top fuzzy strategy posture</t>
        </is>
      </c>
    </row>
    <row r="11"/>
    <row r="12">
      <c r="A12" t="inlineStr">
        <is>
          <t>Fuzzy membership</t>
        </is>
      </c>
      <c r="B12" t="inlineStr">
        <is>
          <t>Membership</t>
        </is>
      </c>
      <c r="C12" t="inlineStr">
        <is>
          <t>Meaning</t>
        </is>
      </c>
    </row>
    <row r="13">
      <c r="A13" t="inlineStr">
        <is>
          <t>Fragile</t>
        </is>
      </c>
      <c r="B13">
        <f>_ENGINE_Fuzzy_Posture!$B$11</f>
      </c>
      <c r="C13" t="inlineStr">
        <is>
          <t>Little resilience; crisis likely overwhelms controls.</t>
        </is>
      </c>
    </row>
    <row r="14">
      <c r="A14" t="inlineStr">
        <is>
          <t>Exposed</t>
        </is>
      </c>
      <c r="B14">
        <f>_ENGINE_Fuzzy_Posture!$B$12</f>
      </c>
      <c r="C14" t="inlineStr">
        <is>
          <t>Some controls exist, but coverage/evidence gaps remain.</t>
        </is>
      </c>
    </row>
    <row r="15">
      <c r="A15" t="inlineStr">
        <is>
          <t>Adaptive</t>
        </is>
      </c>
      <c r="B15">
        <f>_ENGINE_Fuzzy_Posture!$B$13</f>
      </c>
      <c r="C15" t="inlineStr">
        <is>
          <t>Company can adapt but still has material gaps.</t>
        </is>
      </c>
    </row>
    <row r="16">
      <c r="A16" t="inlineStr">
        <is>
          <t>Resilient</t>
        </is>
      </c>
      <c r="B16">
        <f>_ENGINE_Fuzzy_Posture!$B$14</f>
      </c>
      <c r="C16" t="inlineStr">
        <is>
          <t>Controls are measured/tested and recovery is credible.</t>
        </is>
      </c>
    </row>
    <row r="17">
      <c r="A17" t="inlineStr">
        <is>
          <t>Anti-fragile</t>
        </is>
      </c>
      <c r="B17">
        <f>_ENGINE_Fuzzy_Posture!$B$15</f>
      </c>
      <c r="C17" t="inlineStr">
        <is>
          <t>Company can improve through stress and exploit disruption.</t>
        </is>
      </c>
    </row>
    <row r="18"/>
    <row r="19">
      <c r="A19" t="inlineStr">
        <is>
          <t>Top scenario-exposed domains</t>
        </is>
      </c>
    </row>
    <row r="20">
      <c r="A20" t="inlineStr">
        <is>
          <t>Rank</t>
        </is>
      </c>
      <c r="B20" t="inlineStr">
        <is>
          <t>Domain</t>
        </is>
      </c>
      <c r="C20" t="inlineStr">
        <is>
          <t>Maturity</t>
        </is>
      </c>
      <c r="D20" t="inlineStr">
        <is>
          <t>Crisis multiplier</t>
        </is>
      </c>
      <c r="E20" t="inlineStr">
        <is>
          <t>Adjusted exposure</t>
        </is>
      </c>
      <c r="F20" t="inlineStr">
        <is>
          <t>Priority</t>
        </is>
      </c>
    </row>
    <row r="21">
      <c r="A21">
        <f>_xlfn.RANK.EQ(E21,$E$21:$E$37,0)+COUNTIF($E$21:E21,E21)-1</f>
      </c>
      <c r="B21">
        <f>_DATA_Dashboard_Facts!$A$5</f>
      </c>
      <c r="C21">
        <f>_DATA_Dashboard_Facts!$H$5</f>
      </c>
      <c r="D21">
        <f>IFERROR(ROUND(MIN(_ENGINE_Crisis!$AH$306,SUMIFS(_ENGINE_Crisis!$D$5:$D$208,_ENGINE_Crisis!$A$5:$A$208,$B$6,_ENGINE_Crisis!$B$5:$B$208,$B21)+_ENGINE_Crisis!$AH$305*SUMPRODUCT((_ENGINE_Crisis!$B$5:$B$208=$B21)*_ENGINE_Crisis!$K$5:$K$208*(_ENGINE_Crisis!$D$5:$D$208&gt;1)*(_ENGINE_Crisis!$D$5:$D$208-1))),2),1)</f>
      </c>
      <c r="E21">
        <f>IF($C21="","",ROUND(((5-$C21)*$D21)+((_DATA_Dashboard_Facts!$J$5+_DATA_Dashboard_Facts!$K$5)*0.25*$D21),2))</f>
      </c>
      <c r="F21">
        <f>IF($E21&gt;=5,"Critical",IF($E21&gt;=cfg_CrisisHighCut,"High",IF($E21&gt;=cfg_CrisisMedCut,"Medium","Low")))</f>
      </c>
    </row>
    <row r="22">
      <c r="A22">
        <f>_xlfn.RANK.EQ(E22,$E$21:$E$37,0)+COUNTIF($E$21:E22,E22)-1</f>
      </c>
      <c r="B22">
        <f>_DATA_Dashboard_Facts!$A$6</f>
      </c>
      <c r="C22">
        <f>_DATA_Dashboard_Facts!$H$6</f>
      </c>
      <c r="D22">
        <f>IFERROR(ROUND(MIN(_ENGINE_Crisis!$AH$306,SUMIFS(_ENGINE_Crisis!$D$5:$D$208,_ENGINE_Crisis!$A$5:$A$208,$B$6,_ENGINE_Crisis!$B$5:$B$208,$B22)+_ENGINE_Crisis!$AH$305*SUMPRODUCT((_ENGINE_Crisis!$B$5:$B$208=$B22)*_ENGINE_Crisis!$K$5:$K$208*(_ENGINE_Crisis!$D$5:$D$208&gt;1)*(_ENGINE_Crisis!$D$5:$D$208-1))),2),1)</f>
      </c>
      <c r="E22">
        <f>IF($C22="","",ROUND(((5-$C22)*$D22)+((_DATA_Dashboard_Facts!$J$6+_DATA_Dashboard_Facts!$K$6)*0.25*$D22),2))</f>
      </c>
      <c r="F22">
        <f>IF($E22&gt;=5,"Critical",IF($E22&gt;=cfg_CrisisHighCut,"High",IF($E22&gt;=cfg_CrisisMedCut,"Medium","Low")))</f>
      </c>
    </row>
    <row r="23">
      <c r="A23">
        <f>_xlfn.RANK.EQ(E23,$E$21:$E$37,0)+COUNTIF($E$21:E23,E23)-1</f>
      </c>
      <c r="B23">
        <f>_DATA_Dashboard_Facts!$A$7</f>
      </c>
      <c r="C23">
        <f>_DATA_Dashboard_Facts!$H$7</f>
      </c>
      <c r="D23">
        <f>IFERROR(ROUND(MIN(_ENGINE_Crisis!$AH$306,SUMIFS(_ENGINE_Crisis!$D$5:$D$208,_ENGINE_Crisis!$A$5:$A$208,$B$6,_ENGINE_Crisis!$B$5:$B$208,$B23)+_ENGINE_Crisis!$AH$305*SUMPRODUCT((_ENGINE_Crisis!$B$5:$B$208=$B23)*_ENGINE_Crisis!$K$5:$K$208*(_ENGINE_Crisis!$D$5:$D$208&gt;1)*(_ENGINE_Crisis!$D$5:$D$208-1))),2),1)</f>
      </c>
      <c r="E23">
        <f>IF($C23="","",ROUND(((5-$C23)*$D23)+((_DATA_Dashboard_Facts!$J$7+_DATA_Dashboard_Facts!$K$7)*0.25*$D23),2))</f>
      </c>
      <c r="F23">
        <f>IF($E23&gt;=5,"Critical",IF($E23&gt;=cfg_CrisisHighCut,"High",IF($E23&gt;=cfg_CrisisMedCut,"Medium","Low")))</f>
      </c>
    </row>
    <row r="24">
      <c r="A24">
        <f>_xlfn.RANK.EQ(E24,$E$21:$E$37,0)+COUNTIF($E$21:E24,E24)-1</f>
      </c>
      <c r="B24">
        <f>_DATA_Dashboard_Facts!$A$8</f>
      </c>
      <c r="C24">
        <f>_DATA_Dashboard_Facts!$H$8</f>
      </c>
      <c r="D24">
        <f>IFERROR(ROUND(MIN(_ENGINE_Crisis!$AH$306,SUMIFS(_ENGINE_Crisis!$D$5:$D$208,_ENGINE_Crisis!$A$5:$A$208,$B$6,_ENGINE_Crisis!$B$5:$B$208,$B24)+_ENGINE_Crisis!$AH$305*SUMPRODUCT((_ENGINE_Crisis!$B$5:$B$208=$B24)*_ENGINE_Crisis!$K$5:$K$208*(_ENGINE_Crisis!$D$5:$D$208&gt;1)*(_ENGINE_Crisis!$D$5:$D$208-1))),2),1)</f>
      </c>
      <c r="E24">
        <f>IF($C24="","",ROUND(((5-$C24)*$D24)+((_DATA_Dashboard_Facts!$J$8+_DATA_Dashboard_Facts!$K$8)*0.25*$D24),2))</f>
      </c>
      <c r="F24">
        <f>IF($E24&gt;=5,"Critical",IF($E24&gt;=cfg_CrisisHighCut,"High",IF($E24&gt;=cfg_CrisisMedCut,"Medium","Low")))</f>
      </c>
    </row>
    <row r="25">
      <c r="A25">
        <f>_xlfn.RANK.EQ(E25,$E$21:$E$37,0)+COUNTIF($E$21:E25,E25)-1</f>
      </c>
      <c r="B25">
        <f>_DATA_Dashboard_Facts!$A$9</f>
      </c>
      <c r="C25">
        <f>_DATA_Dashboard_Facts!$H$9</f>
      </c>
      <c r="D25">
        <f>IFERROR(ROUND(MIN(_ENGINE_Crisis!$AH$306,SUMIFS(_ENGINE_Crisis!$D$5:$D$208,_ENGINE_Crisis!$A$5:$A$208,$B$6,_ENGINE_Crisis!$B$5:$B$208,$B25)+_ENGINE_Crisis!$AH$305*SUMPRODUCT((_ENGINE_Crisis!$B$5:$B$208=$B25)*_ENGINE_Crisis!$K$5:$K$208*(_ENGINE_Crisis!$D$5:$D$208&gt;1)*(_ENGINE_Crisis!$D$5:$D$208-1))),2),1)</f>
      </c>
      <c r="E25">
        <f>IF($C25="","",ROUND(((5-$C25)*$D25)+((_DATA_Dashboard_Facts!$J$9+_DATA_Dashboard_Facts!$K$9)*0.25*$D25),2))</f>
      </c>
      <c r="F25">
        <f>IF($E25&gt;=5,"Critical",IF($E25&gt;=cfg_CrisisHighCut,"High",IF($E25&gt;=cfg_CrisisMedCut,"Medium","Low")))</f>
      </c>
    </row>
    <row r="26">
      <c r="A26">
        <f>_xlfn.RANK.EQ(E26,$E$21:$E$37,0)+COUNTIF($E$21:E26,E26)-1</f>
      </c>
      <c r="B26">
        <f>_DATA_Dashboard_Facts!$A$10</f>
      </c>
      <c r="C26">
        <f>_DATA_Dashboard_Facts!$H$10</f>
      </c>
      <c r="D26">
        <f>IFERROR(ROUND(MIN(_ENGINE_Crisis!$AH$306,SUMIFS(_ENGINE_Crisis!$D$5:$D$208,_ENGINE_Crisis!$A$5:$A$208,$B$6,_ENGINE_Crisis!$B$5:$B$208,$B26)+_ENGINE_Crisis!$AH$305*SUMPRODUCT((_ENGINE_Crisis!$B$5:$B$208=$B26)*_ENGINE_Crisis!$K$5:$K$208*(_ENGINE_Crisis!$D$5:$D$208&gt;1)*(_ENGINE_Crisis!$D$5:$D$208-1))),2),1)</f>
      </c>
      <c r="E26">
        <f>IF($C26="","",ROUND(((5-$C26)*$D26)+((_DATA_Dashboard_Facts!$J$10+_DATA_Dashboard_Facts!$K$10)*0.25*$D26),2))</f>
      </c>
      <c r="F26">
        <f>IF($E26&gt;=5,"Critical",IF($E26&gt;=cfg_CrisisHighCut,"High",IF($E26&gt;=cfg_CrisisMedCut,"Medium","Low")))</f>
      </c>
    </row>
    <row r="27">
      <c r="A27">
        <f>_xlfn.RANK.EQ(E27,$E$21:$E$37,0)+COUNTIF($E$21:E27,E27)-1</f>
      </c>
      <c r="B27">
        <f>_DATA_Dashboard_Facts!$A$11</f>
      </c>
      <c r="C27">
        <f>_DATA_Dashboard_Facts!$H$11</f>
      </c>
      <c r="D27">
        <f>IFERROR(ROUND(MIN(_ENGINE_Crisis!$AH$306,SUMIFS(_ENGINE_Crisis!$D$5:$D$208,_ENGINE_Crisis!$A$5:$A$208,$B$6,_ENGINE_Crisis!$B$5:$B$208,$B27)+_ENGINE_Crisis!$AH$305*SUMPRODUCT((_ENGINE_Crisis!$B$5:$B$208=$B27)*_ENGINE_Crisis!$K$5:$K$208*(_ENGINE_Crisis!$D$5:$D$208&gt;1)*(_ENGINE_Crisis!$D$5:$D$208-1))),2),1)</f>
      </c>
      <c r="E27">
        <f>IF($C27="","",ROUND(((5-$C27)*$D27)+((_DATA_Dashboard_Facts!$J$11+_DATA_Dashboard_Facts!$K$11)*0.25*$D27),2))</f>
      </c>
      <c r="F27">
        <f>IF($E27&gt;=5,"Critical",IF($E27&gt;=cfg_CrisisHighCut,"High",IF($E27&gt;=cfg_CrisisMedCut,"Medium","Low")))</f>
      </c>
    </row>
    <row r="28">
      <c r="A28">
        <f>_xlfn.RANK.EQ(E28,$E$21:$E$37,0)+COUNTIF($E$21:E28,E28)-1</f>
      </c>
      <c r="B28">
        <f>_DATA_Dashboard_Facts!$A$12</f>
      </c>
      <c r="C28">
        <f>_DATA_Dashboard_Facts!$H$12</f>
      </c>
      <c r="D28">
        <f>IFERROR(ROUND(MIN(_ENGINE_Crisis!$AH$306,SUMIFS(_ENGINE_Crisis!$D$5:$D$208,_ENGINE_Crisis!$A$5:$A$208,$B$6,_ENGINE_Crisis!$B$5:$B$208,$B28)+_ENGINE_Crisis!$AH$305*SUMPRODUCT((_ENGINE_Crisis!$B$5:$B$208=$B28)*_ENGINE_Crisis!$K$5:$K$208*(_ENGINE_Crisis!$D$5:$D$208&gt;1)*(_ENGINE_Crisis!$D$5:$D$208-1))),2),1)</f>
      </c>
      <c r="E28">
        <f>IF($C28="","",ROUND(((5-$C28)*$D28)+((_DATA_Dashboard_Facts!$J$12+_DATA_Dashboard_Facts!$K$12)*0.25*$D28),2))</f>
      </c>
      <c r="F28">
        <f>IF($E28&gt;=5,"Critical",IF($E28&gt;=cfg_CrisisHighCut,"High",IF($E28&gt;=cfg_CrisisMedCut,"Medium","Low")))</f>
      </c>
    </row>
    <row r="29">
      <c r="A29">
        <f>_xlfn.RANK.EQ(E29,$E$21:$E$37,0)+COUNTIF($E$21:E29,E29)-1</f>
      </c>
      <c r="B29">
        <f>_DATA_Dashboard_Facts!$A$13</f>
      </c>
      <c r="C29">
        <f>_DATA_Dashboard_Facts!$H$13</f>
      </c>
      <c r="D29">
        <f>IFERROR(ROUND(MIN(_ENGINE_Crisis!$AH$306,SUMIFS(_ENGINE_Crisis!$D$5:$D$208,_ENGINE_Crisis!$A$5:$A$208,$B$6,_ENGINE_Crisis!$B$5:$B$208,$B29)+_ENGINE_Crisis!$AH$305*SUMPRODUCT((_ENGINE_Crisis!$B$5:$B$208=$B29)*_ENGINE_Crisis!$K$5:$K$208*(_ENGINE_Crisis!$D$5:$D$208&gt;1)*(_ENGINE_Crisis!$D$5:$D$208-1))),2),1)</f>
      </c>
      <c r="E29">
        <f>IF($C29="","",ROUND(((5-$C29)*$D29)+((_DATA_Dashboard_Facts!$J$13+_DATA_Dashboard_Facts!$K$13)*0.25*$D29),2))</f>
      </c>
      <c r="F29">
        <f>IF($E29&gt;=5,"Critical",IF($E29&gt;=cfg_CrisisHighCut,"High",IF($E29&gt;=cfg_CrisisMedCut,"Medium","Low")))</f>
      </c>
    </row>
    <row r="30">
      <c r="A30">
        <f>_xlfn.RANK.EQ(E30,$E$21:$E$37,0)+COUNTIF($E$21:E30,E30)-1</f>
      </c>
      <c r="B30">
        <f>_DATA_Dashboard_Facts!$A$14</f>
      </c>
      <c r="C30">
        <f>_DATA_Dashboard_Facts!$H$14</f>
      </c>
      <c r="D30">
        <f>IFERROR(ROUND(MIN(_ENGINE_Crisis!$AH$306,SUMIFS(_ENGINE_Crisis!$D$5:$D$208,_ENGINE_Crisis!$A$5:$A$208,$B$6,_ENGINE_Crisis!$B$5:$B$208,$B30)+_ENGINE_Crisis!$AH$305*SUMPRODUCT((_ENGINE_Crisis!$B$5:$B$208=$B30)*_ENGINE_Crisis!$K$5:$K$208*(_ENGINE_Crisis!$D$5:$D$208&gt;1)*(_ENGINE_Crisis!$D$5:$D$208-1))),2),1)</f>
      </c>
      <c r="E30">
        <f>IF($C30="","",ROUND(((5-$C30)*$D30)+((_DATA_Dashboard_Facts!$J$14+_DATA_Dashboard_Facts!$K$14)*0.25*$D30),2))</f>
      </c>
      <c r="F30">
        <f>IF($E30&gt;=5,"Critical",IF($E30&gt;=cfg_CrisisHighCut,"High",IF($E30&gt;=cfg_CrisisMedCut,"Medium","Low")))</f>
      </c>
    </row>
    <row r="31">
      <c r="A31">
        <f>_xlfn.RANK.EQ(E31,$E$21:$E$37,0)+COUNTIF($E$21:E31,E31)-1</f>
      </c>
      <c r="B31">
        <f>_DATA_Dashboard_Facts!$A$15</f>
      </c>
      <c r="C31">
        <f>_DATA_Dashboard_Facts!$H$15</f>
      </c>
      <c r="D31">
        <f>IFERROR(ROUND(MIN(_ENGINE_Crisis!$AH$306,SUMIFS(_ENGINE_Crisis!$D$5:$D$208,_ENGINE_Crisis!$A$5:$A$208,$B$6,_ENGINE_Crisis!$B$5:$B$208,$B31)+_ENGINE_Crisis!$AH$305*SUMPRODUCT((_ENGINE_Crisis!$B$5:$B$208=$B31)*_ENGINE_Crisis!$K$5:$K$208*(_ENGINE_Crisis!$D$5:$D$208&gt;1)*(_ENGINE_Crisis!$D$5:$D$208-1))),2),1)</f>
      </c>
      <c r="E31">
        <f>IF($C31="","",ROUND(((5-$C31)*$D31)+((_DATA_Dashboard_Facts!$J$15+_DATA_Dashboard_Facts!$K$15)*0.25*$D31),2))</f>
      </c>
      <c r="F31">
        <f>IF($E31&gt;=5,"Critical",IF($E31&gt;=cfg_CrisisHighCut,"High",IF($E31&gt;=cfg_CrisisMedCut,"Medium","Low")))</f>
      </c>
    </row>
    <row r="32">
      <c r="A32">
        <f>_xlfn.RANK.EQ(E32,$E$21:$E$37,0)+COUNTIF($E$21:E32,E32)-1</f>
      </c>
      <c r="B32">
        <f>_DATA_Dashboard_Facts!$A$16</f>
      </c>
      <c r="C32">
        <f>_DATA_Dashboard_Facts!$H$16</f>
      </c>
      <c r="D32">
        <f>IFERROR(ROUND(MIN(_ENGINE_Crisis!$AH$306,SUMIFS(_ENGINE_Crisis!$D$5:$D$208,_ENGINE_Crisis!$A$5:$A$208,$B$6,_ENGINE_Crisis!$B$5:$B$208,$B32)+_ENGINE_Crisis!$AH$305*SUMPRODUCT((_ENGINE_Crisis!$B$5:$B$208=$B32)*_ENGINE_Crisis!$K$5:$K$208*(_ENGINE_Crisis!$D$5:$D$208&gt;1)*(_ENGINE_Crisis!$D$5:$D$208-1))),2),1)</f>
      </c>
      <c r="E32">
        <f>IF($C32="","",ROUND(((5-$C32)*$D32)+((_DATA_Dashboard_Facts!$J$16+_DATA_Dashboard_Facts!$K$16)*0.25*$D32),2))</f>
      </c>
      <c r="F32">
        <f>IF($E32&gt;=5,"Critical",IF($E32&gt;=cfg_CrisisHighCut,"High",IF($E32&gt;=cfg_CrisisMedCut,"Medium","Low")))</f>
      </c>
    </row>
    <row r="33">
      <c r="A33">
        <f>_xlfn.RANK.EQ(E33,$E$21:$E$37,0)+COUNTIF($E$21:E33,E33)-1</f>
      </c>
      <c r="B33">
        <f>_DATA_Dashboard_Facts!$A$17</f>
      </c>
      <c r="C33">
        <f>_DATA_Dashboard_Facts!$H$17</f>
      </c>
      <c r="D33">
        <f>IFERROR(ROUND(MIN(_ENGINE_Crisis!$AH$306,SUMIFS(_ENGINE_Crisis!$D$5:$D$208,_ENGINE_Crisis!$A$5:$A$208,$B$6,_ENGINE_Crisis!$B$5:$B$208,$B33)+_ENGINE_Crisis!$AH$305*SUMPRODUCT((_ENGINE_Crisis!$B$5:$B$208=$B33)*_ENGINE_Crisis!$K$5:$K$208*(_ENGINE_Crisis!$D$5:$D$208&gt;1)*(_ENGINE_Crisis!$D$5:$D$208-1))),2),1)</f>
      </c>
      <c r="E33">
        <f>IF($C33="","",ROUND(((5-$C33)*$D33)+((_DATA_Dashboard_Facts!$J$17+_DATA_Dashboard_Facts!$K$17)*0.25*$D33),2))</f>
      </c>
      <c r="F33">
        <f>IF($E33&gt;=5,"Critical",IF($E33&gt;=cfg_CrisisHighCut,"High",IF($E33&gt;=cfg_CrisisMedCut,"Medium","Low")))</f>
      </c>
    </row>
    <row r="34">
      <c r="A34">
        <f>_xlfn.RANK.EQ(E34,$E$21:$E$37,0)+COUNTIF($E$21:E34,E34)-1</f>
      </c>
      <c r="B34">
        <f>_DATA_Dashboard_Facts!$A$18</f>
      </c>
      <c r="C34">
        <f>_DATA_Dashboard_Facts!$H$18</f>
      </c>
      <c r="D34">
        <f>IFERROR(ROUND(MIN(_ENGINE_Crisis!$AH$306,SUMIFS(_ENGINE_Crisis!$D$5:$D$208,_ENGINE_Crisis!$A$5:$A$208,$B$6,_ENGINE_Crisis!$B$5:$B$208,$B34)+_ENGINE_Crisis!$AH$305*SUMPRODUCT((_ENGINE_Crisis!$B$5:$B$208=$B34)*_ENGINE_Crisis!$K$5:$K$208*(_ENGINE_Crisis!$D$5:$D$208&gt;1)*(_ENGINE_Crisis!$D$5:$D$208-1))),2),1)</f>
      </c>
      <c r="E34">
        <f>IF($C34="","",ROUND(((5-$C34)*$D34)+((_DATA_Dashboard_Facts!$J$18+_DATA_Dashboard_Facts!$K$18)*0.25*$D34),2))</f>
      </c>
      <c r="F34">
        <f>IF($E34&gt;=5,"Critical",IF($E34&gt;=cfg_CrisisHighCut,"High",IF($E34&gt;=cfg_CrisisMedCut,"Medium","Low")))</f>
      </c>
    </row>
    <row r="35">
      <c r="A35">
        <f>_xlfn.RANK.EQ(E35,$E$21:$E$37,0)+COUNTIF($E$21:E35,E35)-1</f>
      </c>
      <c r="B35">
        <f>_DATA_Dashboard_Facts!$A$19</f>
      </c>
      <c r="C35">
        <f>_DATA_Dashboard_Facts!$H$19</f>
      </c>
      <c r="D35">
        <f>IFERROR(ROUND(MIN(_ENGINE_Crisis!$AH$306,SUMIFS(_ENGINE_Crisis!$D$5:$D$208,_ENGINE_Crisis!$A$5:$A$208,$B$6,_ENGINE_Crisis!$B$5:$B$208,$B35)+_ENGINE_Crisis!$AH$305*SUMPRODUCT((_ENGINE_Crisis!$B$5:$B$208=$B35)*_ENGINE_Crisis!$K$5:$K$208*(_ENGINE_Crisis!$D$5:$D$208&gt;1)*(_ENGINE_Crisis!$D$5:$D$208-1))),2),1)</f>
      </c>
      <c r="E35">
        <f>IF($C35="","",ROUND(((5-$C35)*$D35)+((_DATA_Dashboard_Facts!$J$19+_DATA_Dashboard_Facts!$K$19)*0.25*$D35),2))</f>
      </c>
      <c r="F35">
        <f>IF($E35&gt;=5,"Critical",IF($E35&gt;=cfg_CrisisHighCut,"High",IF($E35&gt;=cfg_CrisisMedCut,"Medium","Low")))</f>
      </c>
    </row>
    <row r="36">
      <c r="A36">
        <f>_xlfn.RANK.EQ(E36,$E$21:$E$37,0)+COUNTIF($E$21:E36,E36)-1</f>
      </c>
      <c r="B36">
        <f>_DATA_Dashboard_Facts!$A$20</f>
      </c>
      <c r="C36">
        <f>_DATA_Dashboard_Facts!$H$20</f>
      </c>
      <c r="D36">
        <f>IFERROR(ROUND(MIN(_ENGINE_Crisis!$AH$306,SUMIFS(_ENGINE_Crisis!$D$5:$D$208,_ENGINE_Crisis!$A$5:$A$208,$B$6,_ENGINE_Crisis!$B$5:$B$208,$B36)+_ENGINE_Crisis!$AH$305*SUMPRODUCT((_ENGINE_Crisis!$B$5:$B$208=$B36)*_ENGINE_Crisis!$K$5:$K$208*(_ENGINE_Crisis!$D$5:$D$208&gt;1)*(_ENGINE_Crisis!$D$5:$D$208-1))),2),1)</f>
      </c>
      <c r="E36">
        <f>IF($C36="","",ROUND(((5-$C36)*$D36)+((_DATA_Dashboard_Facts!$J$20+_DATA_Dashboard_Facts!$K$20)*0.25*$D36),2))</f>
      </c>
      <c r="F36">
        <f>IF($E36&gt;=5,"Critical",IF($E36&gt;=cfg_CrisisHighCut,"High",IF($E36&gt;=cfg_CrisisMedCut,"Medium","Low")))</f>
      </c>
    </row>
    <row r="37">
      <c r="A37">
        <f>_xlfn.RANK.EQ(E37,$E$21:$E$37,0)+COUNTIF($E$21:E37,E37)-1</f>
      </c>
      <c r="B37">
        <f>_DATA_Dashboard_Facts!$A$21</f>
      </c>
      <c r="C37">
        <f>_DATA_Dashboard_Facts!$H$21</f>
      </c>
      <c r="D37">
        <f>IFERROR(ROUND(MIN(_ENGINE_Crisis!$AH$306,SUMIFS(_ENGINE_Crisis!$D$5:$D$208,_ENGINE_Crisis!$A$5:$A$208,$B$6,_ENGINE_Crisis!$B$5:$B$208,$B37)+_ENGINE_Crisis!$AH$305*SUMPRODUCT((_ENGINE_Crisis!$B$5:$B$208=$B37)*_ENGINE_Crisis!$K$5:$K$208*(_ENGINE_Crisis!$D$5:$D$208&gt;1)*(_ENGINE_Crisis!$D$5:$D$208-1))),2),1)</f>
      </c>
      <c r="E37">
        <f>IF($C37="","",ROUND(((5-$C37)*$D37)+((_DATA_Dashboard_Facts!$J$21+_DATA_Dashboard_Facts!$K$21)*0.25*$D37),2))</f>
      </c>
      <c r="F37">
        <f>IF($E37&gt;=5,"Critical",IF($E37&gt;=cfg_CrisisHighCut,"High",IF($E37&gt;=cfg_CrisisMedCut,"Medium","Low")))</f>
      </c>
    </row>
    <row r="38"/>
    <row r="39">
      <c r="A39" t="inlineStr">
        <is>
          <t>Top risk-treatment priorities</t>
        </is>
      </c>
    </row>
    <row r="40">
      <c r="A40" t="inlineStr">
        <is>
          <t>Rank</t>
        </is>
      </c>
      <c r="B40" t="inlineStr">
        <is>
          <t>Risk ID</t>
        </is>
      </c>
      <c r="C40" t="inlineStr">
        <is>
          <t>Domain</t>
        </is>
      </c>
      <c r="D40" t="inlineStr">
        <is>
          <t>Risk level</t>
        </is>
      </c>
      <c r="E40" t="inlineStr">
        <is>
          <t>Probability</t>
        </is>
      </c>
      <c r="F40" t="inlineStr">
        <is>
          <t>Impact</t>
        </is>
      </c>
      <c r="G40" t="inlineStr">
        <is>
          <t>P1 adjusted score</t>
        </is>
      </c>
      <c r="H40" t="inlineStr">
        <is>
          <t>Recommendation</t>
        </is>
      </c>
    </row>
    <row r="41">
      <c r="A41">
        <v>1</v>
      </c>
      <c r="B41">
        <f>'_ENGINE_Risk'!$B$500</f>
      </c>
      <c r="C41">
        <f>'_ENGINE_Risk'!$C$500</f>
      </c>
      <c r="D41">
        <f>'_ENGINE_Risk'!$I$500</f>
      </c>
      <c r="E41">
        <f>'_ENGINE_Risk'!$BP$500</f>
      </c>
      <c r="F41">
        <f>'_ENGINE_Risk'!$BQ$500</f>
      </c>
      <c r="G41">
        <f>'_ENGINE_Risk'!$BS$500</f>
      </c>
      <c r="H41">
        <f>'_ENGINE_Risk'!$N$500</f>
      </c>
    </row>
    <row r="42">
      <c r="A42">
        <v>2</v>
      </c>
      <c r="B42">
        <f>'_ENGINE_Risk'!$B$501</f>
      </c>
      <c r="C42">
        <f>'_ENGINE_Risk'!$C$501</f>
      </c>
      <c r="D42">
        <f>'_ENGINE_Risk'!$I$501</f>
      </c>
      <c r="E42">
        <f>'_ENGINE_Risk'!$BP$501</f>
      </c>
      <c r="F42">
        <f>'_ENGINE_Risk'!$BQ$501</f>
      </c>
      <c r="G42">
        <f>'_ENGINE_Risk'!$BS$501</f>
      </c>
      <c r="H42">
        <f>'_ENGINE_Risk'!$N$501</f>
      </c>
    </row>
    <row r="43">
      <c r="A43">
        <v>3</v>
      </c>
      <c r="B43">
        <f>'_ENGINE_Risk'!$B$502</f>
      </c>
      <c r="C43">
        <f>'_ENGINE_Risk'!$C$502</f>
      </c>
      <c r="D43">
        <f>'_ENGINE_Risk'!$I$502</f>
      </c>
      <c r="E43">
        <f>'_ENGINE_Risk'!$BP$502</f>
      </c>
      <c r="F43">
        <f>'_ENGINE_Risk'!$BQ$502</f>
      </c>
      <c r="G43">
        <f>'_ENGINE_Risk'!$BS$502</f>
      </c>
      <c r="H43">
        <f>'_ENGINE_Risk'!$N$502</f>
      </c>
    </row>
    <row r="44">
      <c r="A44">
        <v>4</v>
      </c>
      <c r="B44">
        <f>'_ENGINE_Risk'!$B$503</f>
      </c>
      <c r="C44">
        <f>'_ENGINE_Risk'!$C$503</f>
      </c>
      <c r="D44">
        <f>'_ENGINE_Risk'!$I$503</f>
      </c>
      <c r="E44">
        <f>'_ENGINE_Risk'!$BP$503</f>
      </c>
      <c r="F44">
        <f>'_ENGINE_Risk'!$BQ$503</f>
      </c>
      <c r="G44">
        <f>'_ENGINE_Risk'!$BS$503</f>
      </c>
      <c r="H44">
        <f>'_ENGINE_Risk'!$N$503</f>
      </c>
    </row>
    <row r="45">
      <c r="A45">
        <v>5</v>
      </c>
      <c r="B45">
        <f>'_ENGINE_Risk'!$B$504</f>
      </c>
      <c r="C45">
        <f>'_ENGINE_Risk'!$C$504</f>
      </c>
      <c r="D45">
        <f>'_ENGINE_Risk'!$I$504</f>
      </c>
      <c r="E45">
        <f>'_ENGINE_Risk'!$BP$504</f>
      </c>
      <c r="F45">
        <f>'_ENGINE_Risk'!$BQ$504</f>
      </c>
      <c r="G45">
        <f>'_ENGINE_Risk'!$BS$504</f>
      </c>
      <c r="H45">
        <f>'_ENGINE_Risk'!$N$504</f>
      </c>
    </row>
    <row r="46">
      <c r="A46">
        <v>6</v>
      </c>
      <c r="B46">
        <f>'_ENGINE_Risk'!$B$505</f>
      </c>
      <c r="C46">
        <f>'_ENGINE_Risk'!$C$505</f>
      </c>
      <c r="D46">
        <f>'_ENGINE_Risk'!$I$505</f>
      </c>
      <c r="E46">
        <f>'_ENGINE_Risk'!$BP$505</f>
      </c>
      <c r="F46">
        <f>'_ENGINE_Risk'!$BQ$505</f>
      </c>
      <c r="G46">
        <f>'_ENGINE_Risk'!$BS$505</f>
      </c>
      <c r="H46">
        <f>'_ENGINE_Risk'!$N$505</f>
      </c>
    </row>
    <row r="47">
      <c r="A47">
        <v>7</v>
      </c>
      <c r="B47">
        <f>'_ENGINE_Risk'!$B$506</f>
      </c>
      <c r="C47">
        <f>'_ENGINE_Risk'!$C$506</f>
      </c>
      <c r="D47">
        <f>'_ENGINE_Risk'!$I$506</f>
      </c>
      <c r="E47">
        <f>'_ENGINE_Risk'!$BP$506</f>
      </c>
      <c r="F47">
        <f>'_ENGINE_Risk'!$BQ$506</f>
      </c>
      <c r="G47">
        <f>'_ENGINE_Risk'!$BS$506</f>
      </c>
      <c r="H47">
        <f>'_ENGINE_Risk'!$N$506</f>
      </c>
    </row>
    <row r="48">
      <c r="A48">
        <v>8</v>
      </c>
      <c r="B48">
        <f>'_ENGINE_Risk'!$B$507</f>
      </c>
      <c r="C48">
        <f>'_ENGINE_Risk'!$C$507</f>
      </c>
      <c r="D48">
        <f>'_ENGINE_Risk'!$I$507</f>
      </c>
      <c r="E48">
        <f>'_ENGINE_Risk'!$BP$507</f>
      </c>
      <c r="F48">
        <f>'_ENGINE_Risk'!$BQ$507</f>
      </c>
      <c r="G48">
        <f>'_ENGINE_Risk'!$BS$507</f>
      </c>
      <c r="H48">
        <f>'_ENGINE_Risk'!$N$507</f>
      </c>
    </row>
    <row r="49">
      <c r="A49">
        <v>9</v>
      </c>
      <c r="B49">
        <f>'_ENGINE_Risk'!$B$508</f>
      </c>
      <c r="C49">
        <f>'_ENGINE_Risk'!$C$508</f>
      </c>
      <c r="D49">
        <f>'_ENGINE_Risk'!$I$508</f>
      </c>
      <c r="E49">
        <f>'_ENGINE_Risk'!$BP$508</f>
      </c>
      <c r="F49">
        <f>'_ENGINE_Risk'!$BQ$508</f>
      </c>
      <c r="G49">
        <f>'_ENGINE_Risk'!$BS$508</f>
      </c>
      <c r="H49">
        <f>'_ENGINE_Risk'!$N$508</f>
      </c>
    </row>
    <row r="50">
      <c r="A50">
        <v>10</v>
      </c>
      <c r="B50">
        <f>'_ENGINE_Risk'!$B$509</f>
      </c>
      <c r="C50">
        <f>'_ENGINE_Risk'!$C$509</f>
      </c>
      <c r="D50">
        <f>'_ENGINE_Risk'!$I$509</f>
      </c>
      <c r="E50">
        <f>'_ENGINE_Risk'!$BP$509</f>
      </c>
      <c r="F50">
        <f>'_ENGINE_Risk'!$BQ$509</f>
      </c>
      <c r="G50">
        <f>'_ENGINE_Risk'!$BS$509</f>
      </c>
      <c r="H50">
        <f>'_ENGINE_Risk'!$N$509</f>
      </c>
    </row>
    <row r="51"/>
    <row r="52">
      <c r="A52" t="inlineStr">
        <is>
          <t>Backlog note</t>
        </is>
      </c>
      <c>
        <is>
          <t>Backlog note: crisis/fuzzy staging has been removed in v1.992. Scenario inputs and risk outputs now flow through visible workflow plus engine/data layers.</t>
        </is>
      </c>
    </row>
  </sheetData>
  <pageMargins left="0.7" right="0.7" top="0.75" bottom="0.75" header="0.3" footer="0.3"/>
</worksheet>
</file>

<file path=xl/worksheets/sheet31.xml><?xml version="1.0" encoding="utf-8"?>
<ns0:worksheet xmlns:ns0="http://schemas.openxmlformats.org/spreadsheetml/2006/main">
  <ns0:dimension ref="A1:L70"/>
  <ns0:sheetViews>
    <ns0:sheetView workbookViewId="0">
      <ns0:pane ySplit="12" topLeftCell="A13" activePane="bottomLeft" state="frozen"/>
    </ns0:sheetView>
  </ns0:sheetViews>
  <ns0:sheetFormatPr defaultRowHeight="15"/>
  <ns0:cols>
    <ns0:col min="1" max="1" width="10" customWidth="1"/>
    <ns0:col min="2" max="2" width="18" customWidth="1"/>
    <ns0:col min="3" max="3" width="38" customWidth="1"/>
    <ns0:col min="4" max="4" width="20" customWidth="1"/>
    <ns0:col min="5" max="5" width="20" customWidth="1"/>
    <ns0:col min="6" max="6" width="24" customWidth="1"/>
    <ns0:col min="7" max="7" width="15" customWidth="1"/>
    <ns0:col min="8" max="8" width="12" customWidth="1"/>
    <ns0:col min="9" max="9" width="14" customWidth="1"/>
    <ns0:col min="10" max="10" width="14" customWidth="1"/>
    <ns0:col min="11" max="11" width="14" customWidth="1"/>
    <ns0:col min="12" max="12" width="14" customWidth="1"/>
  </ns0:cols>
  <ns0:sheetData>
    <ns0:row r="1">
      <ns0:c r="A1" t="inlineStr">
        <ns0:is>
          <ns0:t>Action Plan &amp; Roadmap</ns0:t>
        </ns0:is>
      </ns0:c>
    </ns0:row>
    <ns0:row r="2">
      <ns0:c r="A2" t="inlineStr">
        <ns0:is>
          <ns0:t>What to do next: recommendations, initiatives, WSJF and roadmap waves. This sheet connects risk treatment to portfolio execution.</ns0:t>
        </ns0:is>
      </ns0:c>
    </ns0:row>
    <ns0:row r="3">
      <ns0:c r="A3">
        <ns0:f>HYPERLINK("#'① START HERE'!A1","⌂ START HERE")</ns0:f>
      </ns0:c>
      <ns0:c r="C3">
        <ns0:f>HYPERLINK("#'Resilience &amp; Risk Scenario'!A1","Risk Scenario")</ns0:f>
      </ns0:c>
      <ns0:c r="E3">
        <ns0:f>HYPERLINK("#'Model Calibration'!A1","Model Calibration")</ns0:f>
      </ns0:c>
    </ns0:row>
    <ns0:row r="4"/>
    <ns0:row r="5">
      <ns0:c r="A5" t="inlineStr">
        <ns0:is>
          <ns0:t>Strategy / action KPI</ns0:t>
        </ns0:is>
      </ns0:c>
      <ns0:c r="B5" t="inlineStr">
        <ns0:is>
          <ns0:t>Value</ns0:t>
        </ns0:is>
      </ns0:c>
      <ns0:c r="C5" t="inlineStr">
        <ns0:is>
          <ns0:t>Source / Logic</ns0:t>
        </ns0:is>
      </ns0:c>
    </ns0:row>
    <ns0:row r="6">
      <ns0:c r="A6" t="inlineStr">
        <ns0:is>
          <ns0:t>Primary strategy</ns0:t>
        </ns0:is>
      </ns0:c>
      <ns0:c r="B6">
        <ns0:f>'_ENGINE_Strategy'!$B$95</ns0:f>
      </ns0:c>
      <ns0:c r="C6" t="inlineStr">
        <ns0:is>
          <ns0:t>Risk &amp; Recommendations</ns0:t>
        </ns0:is>
      </ns0:c>
    </ns0:row>
    <ns0:row r="7">
      <ns0:c r="A7" t="inlineStr">
        <ns0:is>
          <ns0:t>Supporting strategy 1</ns0:t>
        </ns0:is>
      </ns0:c>
      <ns0:c r="B7">
        <ns0:f>'_ENGINE_Strategy'!$B$96</ns0:f>
      </ns0:c>
      <ns0:c r="C7" t="inlineStr">
        <ns0:is>
          <ns0:t>Risk &amp; Recommendations</ns0:t>
        </ns0:is>
      </ns0:c>
    </ns0:row>
    <ns0:row r="8">
      <ns0:c r="A8" t="inlineStr">
        <ns0:is>
          <ns0:t>Top P2 initiative WSJF</ns0:t>
        </ns0:is>
      </ns0:c>
      <ns0:c r="B8">
        <ns0:f>IFERROR(INDEX(_ENGINE_Initiatives!$BV$5:$BV$76,MATCH(1,_ENGINE_Initiatives!$BW$5:$BW$76,0)),"")</ns0:f>
      </ns0:c>
      <ns0:c r="C8" t="inlineStr">
        <ns0:is>
          <ns0:t>_ENGINE_Initiatives</ns0:t>
        </ns0:is>
      </ns0:c>
    </ns0:row>
    <ns0:row r="9">
      <ns0:c r="A9" t="inlineStr">
        <ns0:is>
          <ns0:t>Top roadmap wave</ns0:t>
        </ns0:is>
      </ns0:c>
      <ns0:c r="B9">
        <ns0:f>IFERROR(INDEX(_ENGINE_Initiatives!$BX$5:$BX$76,MATCH(1,_ENGINE_Initiatives!$BW$5:$BW$76,0)),"")</ns0:f>
      </ns0:c>
      <ns0:c r="C9" t="inlineStr">
        <ns0:is>
          <ns0:t>_ENGINE_Initiatives</ns0:t>
        </ns0:is>
      </ns0:c>
    </ns0:row>
    <ns0:row r="10"/>
    <ns0:row r="11">
      <ns0:c r="A11" t="inlineStr">
        <ns0:is>
          <ns0:t>Top prioritized initiatives</ns0:t>
        </ns0:is>
      </ns0:c>
    </ns0:row>
    <ns0:row r="12">
      <ns0:c r="A12" t="inlineStr">
        <ns0:is>
          <ns0:t>Rank</ns0:t>
        </ns0:is>
      </ns0:c>
      <ns0:c r="B12" t="inlineStr">
        <ns0:is>
          <ns0:t>Initiative ID</ns0:t>
        </ns0:is>
      </ns0:c>
      <ns0:c r="C12" t="inlineStr">
        <ns0:is>
          <ns0:t>Initiative</ns0:t>
        </ns0:is>
      </ns0:c>
      <ns0:c r="D12" t="inlineStr">
        <ns0:is>
          <ns0:t>Domain</ns0:t>
        </ns0:is>
      </ns0:c>
      <ns0:c r="E12" t="inlineStr">
        <ns0:is>
          <ns0:t>Subdomain</ns0:t>
        </ns0:is>
      </ns0:c>
      <ns0:c r="F12" t="inlineStr">
        <ns0:is>
          <ns0:t>Strategy</ns0:t>
        </ns0:is>
      </ns0:c>
      <ns0:c r="G12" t="inlineStr">
        <ns0:is>
          <ns0:t>Wave</ns0:t>
        </ns0:is>
      </ns0:c>
      <ns0:c r="H12" t="inlineStr">
        <ns0:is>
          <ns0:t>P2 WSJF</ns0:t>
        </ns0:is>
      </ns0:c>
      <ns0:c r="I12" t="inlineStr">
        <ns0:is>
          <ns0:t>Business value</ns0:t>
        </ns0:is>
      </ns0:c>
      <ns0:c r="J12" t="inlineStr">
        <ns0:is>
          <ns0:t>Time criticality</ns0:t>
        </ns0:is>
      </ns0:c>
      <ns0:c r="K12" t="inlineStr">
        <ns0:is>
          <ns0:t>Risk reduction</ns0:t>
        </ns0:is>
      </ns0:c>
      <ns0:c r="L12" t="inlineStr">
        <ns0:is>
          <ns0:t>Opportunity</ns0:t>
        </ns0:is>
      </ns0:c>
    </ns0:row>
    <ns0:row r="13">
      <ns0:c r="A13">
        <ns0:f>IFERROR(ROWS($A$13:A13),"")</ns0:f>
      </ns0:c>
      <ns0:c r="B13">
        <ns0:f>IFERROR(INDEX(_ENGINE_Initiatives!$A$5:$A$76,MATCH(ROWS($A$13:A13),_ENGINE_Initiatives!$BW$5:$BW$76,0)),"")</ns0:f>
      </ns0:c>
      <ns0:c r="C13">
        <ns0:f>IFERROR(INDEX(_ENGINE_Initiatives!$F$5:$F$76,MATCH(ROWS($A$13:A13),_ENGINE_Initiatives!$BW$5:$BW$76,0)),"")</ns0:f>
      </ns0:c>
      <ns0:c r="D13">
        <ns0:f>IFERROR(INDEX(_ENGINE_Initiatives!$B$5:$B$76,MATCH(ROWS($A$13:A13),_ENGINE_Initiatives!$BW$5:$BW$76,0)),"")</ns0:f>
      </ns0:c>
      <ns0:c r="E13">
        <ns0:f>IFERROR(INDEX(_ENGINE_Initiatives!$C$5:$C$76,MATCH(ROWS($A$13:A13),_ENGINE_Initiatives!$BW$5:$BW$76,0)),"")</ns0:f>
      </ns0:c>
      <ns0:c r="F13">
        <ns0:f>IFERROR(INDEX(_ENGINE_Initiatives!$D$5:$D$76,MATCH(ROWS($A$13:A13),_ENGINE_Initiatives!$BW$5:$BW$76,0)),"")</ns0:f>
      </ns0:c>
      <ns0:c r="G13">
        <ns0:f>IFERROR(INDEX(_ENGINE_Initiatives!$BX$5:$BX$76,MATCH(ROWS($A$13:A13),_ENGINE_Initiatives!$BW$5:$BW$76,0)),"")</ns0:f>
      </ns0:c>
      <ns0:c r="H13">
        <ns0:f>IFERROR(INDEX(_ENGINE_Initiatives!$BV$5:$BV$76,MATCH(ROWS($A$13:A13),_ENGINE_Initiatives!$BW$5:$BW$76,0)),"")</ns0:f>
      </ns0:c>
      <ns0:c r="I13">
        <ns0:f>IFERROR(INDEX(_ENGINE_Initiatives!$X$5:$X$76,MATCH(ROWS($A$13:A13),_ENGINE_Initiatives!$BW$5:$BW$76,0)),"")</ns0:f>
      </ns0:c>
      <ns0:c r="J13">
        <ns0:f>IFERROR(INDEX(_ENGINE_Initiatives!$Y$5:$Y$76,MATCH(ROWS($A$13:A13),_ENGINE_Initiatives!$BW$5:$BW$76,0)),"")</ns0:f>
      </ns0:c>
      <ns0:c r="K13">
        <ns0:f>IFERROR(INDEX(_ENGINE_Initiatives!$BD$5:$BD$76,MATCH(ROWS($A$13:A13),_ENGINE_Initiatives!$BW$5:$BW$76,0)),"")</ns0:f>
      </ns0:c>
      <ns0:c r="L13">
        <ns0:f>IFERROR(INDEX(_ENGINE_Initiatives!$AA$5:$AA$76,MATCH(ROWS($A$13:A13),_ENGINE_Initiatives!$BW$5:$BW$76,0)),"")</ns0:f>
      </ns0:c>
    </ns0:row>
    <ns0:row r="14">
      <ns0:c r="A14">
        <ns0:f>IFERROR(ROWS($A$13:A14),"")</ns0:f>
      </ns0:c>
      <ns0:c r="B14">
        <ns0:f>IFERROR(INDEX(_ENGINE_Initiatives!$A$5:$A$76,MATCH(ROWS($A$13:A14),_ENGINE_Initiatives!$BW$5:$BW$76,0)),"")</ns0:f>
      </ns0:c>
      <ns0:c r="C14">
        <ns0:f>IFERROR(INDEX(_ENGINE_Initiatives!$F$5:$F$76,MATCH(ROWS($A$13:A14),_ENGINE_Initiatives!$BW$5:$BW$76,0)),"")</ns0:f>
      </ns0:c>
      <ns0:c r="D14">
        <ns0:f>IFERROR(INDEX(_ENGINE_Initiatives!$B$5:$B$76,MATCH(ROWS($A$13:A14),_ENGINE_Initiatives!$BW$5:$BW$76,0)),"")</ns0:f>
      </ns0:c>
      <ns0:c r="E14">
        <ns0:f>IFERROR(INDEX(_ENGINE_Initiatives!$C$5:$C$76,MATCH(ROWS($A$13:A14),_ENGINE_Initiatives!$BW$5:$BW$76,0)),"")</ns0:f>
      </ns0:c>
      <ns0:c r="F14">
        <ns0:f>IFERROR(INDEX(_ENGINE_Initiatives!$D$5:$D$76,MATCH(ROWS($A$13:A14),_ENGINE_Initiatives!$BW$5:$BW$76,0)),"")</ns0:f>
      </ns0:c>
      <ns0:c r="G14">
        <ns0:f>IFERROR(INDEX(_ENGINE_Initiatives!$BX$5:$BX$76,MATCH(ROWS($A$13:A14),_ENGINE_Initiatives!$BW$5:$BW$76,0)),"")</ns0:f>
      </ns0:c>
      <ns0:c r="H14">
        <ns0:f>IFERROR(INDEX(_ENGINE_Initiatives!$BV$5:$BV$76,MATCH(ROWS($A$13:A14),_ENGINE_Initiatives!$BW$5:$BW$76,0)),"")</ns0:f>
      </ns0:c>
      <ns0:c r="I14">
        <ns0:f>IFERROR(INDEX(_ENGINE_Initiatives!$X$5:$X$76,MATCH(ROWS($A$13:A14),_ENGINE_Initiatives!$BW$5:$BW$76,0)),"")</ns0:f>
      </ns0:c>
      <ns0:c r="J14">
        <ns0:f>IFERROR(INDEX(_ENGINE_Initiatives!$Y$5:$Y$76,MATCH(ROWS($A$13:A14),_ENGINE_Initiatives!$BW$5:$BW$76,0)),"")</ns0:f>
      </ns0:c>
      <ns0:c r="K14">
        <ns0:f>IFERROR(INDEX(_ENGINE_Initiatives!$BD$5:$BD$76,MATCH(ROWS($A$13:A14),_ENGINE_Initiatives!$BW$5:$BW$76,0)),"")</ns0:f>
      </ns0:c>
      <ns0:c r="L14">
        <ns0:f>IFERROR(INDEX(_ENGINE_Initiatives!$AA$5:$AA$76,MATCH(ROWS($A$13:A14),_ENGINE_Initiatives!$BW$5:$BW$76,0)),"")</ns0:f>
      </ns0:c>
    </ns0:row>
    <ns0:row r="15">
      <ns0:c r="A15">
        <ns0:f>IFERROR(ROWS($A$13:A15),"")</ns0:f>
      </ns0:c>
      <ns0:c r="B15">
        <ns0:f>IFERROR(INDEX(_ENGINE_Initiatives!$A$5:$A$76,MATCH(ROWS($A$13:A15),_ENGINE_Initiatives!$BW$5:$BW$76,0)),"")</ns0:f>
      </ns0:c>
      <ns0:c r="C15">
        <ns0:f>IFERROR(INDEX(_ENGINE_Initiatives!$F$5:$F$76,MATCH(ROWS($A$13:A15),_ENGINE_Initiatives!$BW$5:$BW$76,0)),"")</ns0:f>
      </ns0:c>
      <ns0:c r="D15">
        <ns0:f>IFERROR(INDEX(_ENGINE_Initiatives!$B$5:$B$76,MATCH(ROWS($A$13:A15),_ENGINE_Initiatives!$BW$5:$BW$76,0)),"")</ns0:f>
      </ns0:c>
      <ns0:c r="E15">
        <ns0:f>IFERROR(INDEX(_ENGINE_Initiatives!$C$5:$C$76,MATCH(ROWS($A$13:A15),_ENGINE_Initiatives!$BW$5:$BW$76,0)),"")</ns0:f>
      </ns0:c>
      <ns0:c r="F15">
        <ns0:f>IFERROR(INDEX(_ENGINE_Initiatives!$D$5:$D$76,MATCH(ROWS($A$13:A15),_ENGINE_Initiatives!$BW$5:$BW$76,0)),"")</ns0:f>
      </ns0:c>
      <ns0:c r="G15">
        <ns0:f>IFERROR(INDEX(_ENGINE_Initiatives!$BX$5:$BX$76,MATCH(ROWS($A$13:A15),_ENGINE_Initiatives!$BW$5:$BW$76,0)),"")</ns0:f>
      </ns0:c>
      <ns0:c r="H15">
        <ns0:f>IFERROR(INDEX(_ENGINE_Initiatives!$BV$5:$BV$76,MATCH(ROWS($A$13:A15),_ENGINE_Initiatives!$BW$5:$BW$76,0)),"")</ns0:f>
      </ns0:c>
      <ns0:c r="I15">
        <ns0:f>IFERROR(INDEX(_ENGINE_Initiatives!$X$5:$X$76,MATCH(ROWS($A$13:A15),_ENGINE_Initiatives!$BW$5:$BW$76,0)),"")</ns0:f>
      </ns0:c>
      <ns0:c r="J15">
        <ns0:f>IFERROR(INDEX(_ENGINE_Initiatives!$Y$5:$Y$76,MATCH(ROWS($A$13:A15),_ENGINE_Initiatives!$BW$5:$BW$76,0)),"")</ns0:f>
      </ns0:c>
      <ns0:c r="K15">
        <ns0:f>IFERROR(INDEX(_ENGINE_Initiatives!$BD$5:$BD$76,MATCH(ROWS($A$13:A15),_ENGINE_Initiatives!$BW$5:$BW$76,0)),"")</ns0:f>
      </ns0:c>
      <ns0:c r="L15">
        <ns0:f>IFERROR(INDEX(_ENGINE_Initiatives!$AA$5:$AA$76,MATCH(ROWS($A$13:A15),_ENGINE_Initiatives!$BW$5:$BW$76,0)),"")</ns0:f>
      </ns0:c>
    </ns0:row>
    <ns0:row r="16">
      <ns0:c r="A16">
        <ns0:f>IFERROR(ROWS($A$13:A16),"")</ns0:f>
      </ns0:c>
      <ns0:c r="B16">
        <ns0:f>IFERROR(INDEX(_ENGINE_Initiatives!$A$5:$A$76,MATCH(ROWS($A$13:A16),_ENGINE_Initiatives!$BW$5:$BW$76,0)),"")</ns0:f>
      </ns0:c>
      <ns0:c r="C16">
        <ns0:f>IFERROR(INDEX(_ENGINE_Initiatives!$F$5:$F$76,MATCH(ROWS($A$13:A16),_ENGINE_Initiatives!$BW$5:$BW$76,0)),"")</ns0:f>
      </ns0:c>
      <ns0:c r="D16">
        <ns0:f>IFERROR(INDEX(_ENGINE_Initiatives!$B$5:$B$76,MATCH(ROWS($A$13:A16),_ENGINE_Initiatives!$BW$5:$BW$76,0)),"")</ns0:f>
      </ns0:c>
      <ns0:c r="E16">
        <ns0:f>IFERROR(INDEX(_ENGINE_Initiatives!$C$5:$C$76,MATCH(ROWS($A$13:A16),_ENGINE_Initiatives!$BW$5:$BW$76,0)),"")</ns0:f>
      </ns0:c>
      <ns0:c r="F16">
        <ns0:f>IFERROR(INDEX(_ENGINE_Initiatives!$D$5:$D$76,MATCH(ROWS($A$13:A16),_ENGINE_Initiatives!$BW$5:$BW$76,0)),"")</ns0:f>
      </ns0:c>
      <ns0:c r="G16">
        <ns0:f>IFERROR(INDEX(_ENGINE_Initiatives!$BX$5:$BX$76,MATCH(ROWS($A$13:A16),_ENGINE_Initiatives!$BW$5:$BW$76,0)),"")</ns0:f>
      </ns0:c>
      <ns0:c r="H16">
        <ns0:f>IFERROR(INDEX(_ENGINE_Initiatives!$BV$5:$BV$76,MATCH(ROWS($A$13:A16),_ENGINE_Initiatives!$BW$5:$BW$76,0)),"")</ns0:f>
      </ns0:c>
      <ns0:c r="I16">
        <ns0:f>IFERROR(INDEX(_ENGINE_Initiatives!$X$5:$X$76,MATCH(ROWS($A$13:A16),_ENGINE_Initiatives!$BW$5:$BW$76,0)),"")</ns0:f>
      </ns0:c>
      <ns0:c r="J16">
        <ns0:f>IFERROR(INDEX(_ENGINE_Initiatives!$Y$5:$Y$76,MATCH(ROWS($A$13:A16),_ENGINE_Initiatives!$BW$5:$BW$76,0)),"")</ns0:f>
      </ns0:c>
      <ns0:c r="K16">
        <ns0:f>IFERROR(INDEX(_ENGINE_Initiatives!$BD$5:$BD$76,MATCH(ROWS($A$13:A16),_ENGINE_Initiatives!$BW$5:$BW$76,0)),"")</ns0:f>
      </ns0:c>
      <ns0:c r="L16">
        <ns0:f>IFERROR(INDEX(_ENGINE_Initiatives!$AA$5:$AA$76,MATCH(ROWS($A$13:A16),_ENGINE_Initiatives!$BW$5:$BW$76,0)),"")</ns0:f>
      </ns0:c>
    </ns0:row>
    <ns0:row r="17">
      <ns0:c r="A17">
        <ns0:f>IFERROR(ROWS($A$13:A17),"")</ns0:f>
      </ns0:c>
      <ns0:c r="B17">
        <ns0:f>IFERROR(INDEX(_ENGINE_Initiatives!$A$5:$A$76,MATCH(ROWS($A$13:A17),_ENGINE_Initiatives!$BW$5:$BW$76,0)),"")</ns0:f>
      </ns0:c>
      <ns0:c r="C17">
        <ns0:f>IFERROR(INDEX(_ENGINE_Initiatives!$F$5:$F$76,MATCH(ROWS($A$13:A17),_ENGINE_Initiatives!$BW$5:$BW$76,0)),"")</ns0:f>
      </ns0:c>
      <ns0:c r="D17">
        <ns0:f>IFERROR(INDEX(_ENGINE_Initiatives!$B$5:$B$76,MATCH(ROWS($A$13:A17),_ENGINE_Initiatives!$BW$5:$BW$76,0)),"")</ns0:f>
      </ns0:c>
      <ns0:c r="E17">
        <ns0:f>IFERROR(INDEX(_ENGINE_Initiatives!$C$5:$C$76,MATCH(ROWS($A$13:A17),_ENGINE_Initiatives!$BW$5:$BW$76,0)),"")</ns0:f>
      </ns0:c>
      <ns0:c r="F17">
        <ns0:f>IFERROR(INDEX(_ENGINE_Initiatives!$D$5:$D$76,MATCH(ROWS($A$13:A17),_ENGINE_Initiatives!$BW$5:$BW$76,0)),"")</ns0:f>
      </ns0:c>
      <ns0:c r="G17">
        <ns0:f>IFERROR(INDEX(_ENGINE_Initiatives!$BX$5:$BX$76,MATCH(ROWS($A$13:A17),_ENGINE_Initiatives!$BW$5:$BW$76,0)),"")</ns0:f>
      </ns0:c>
      <ns0:c r="H17">
        <ns0:f>IFERROR(INDEX(_ENGINE_Initiatives!$BV$5:$BV$76,MATCH(ROWS($A$13:A17),_ENGINE_Initiatives!$BW$5:$BW$76,0)),"")</ns0:f>
      </ns0:c>
      <ns0:c r="I17">
        <ns0:f>IFERROR(INDEX(_ENGINE_Initiatives!$X$5:$X$76,MATCH(ROWS($A$13:A17),_ENGINE_Initiatives!$BW$5:$BW$76,0)),"")</ns0:f>
      </ns0:c>
      <ns0:c r="J17">
        <ns0:f>IFERROR(INDEX(_ENGINE_Initiatives!$Y$5:$Y$76,MATCH(ROWS($A$13:A17),_ENGINE_Initiatives!$BW$5:$BW$76,0)),"")</ns0:f>
      </ns0:c>
      <ns0:c r="K17">
        <ns0:f>IFERROR(INDEX(_ENGINE_Initiatives!$BD$5:$BD$76,MATCH(ROWS($A$13:A17),_ENGINE_Initiatives!$BW$5:$BW$76,0)),"")</ns0:f>
      </ns0:c>
      <ns0:c r="L17">
        <ns0:f>IFERROR(INDEX(_ENGINE_Initiatives!$AA$5:$AA$76,MATCH(ROWS($A$13:A17),_ENGINE_Initiatives!$BW$5:$BW$76,0)),"")</ns0:f>
      </ns0:c>
    </ns0:row>
    <ns0:row r="18">
      <ns0:c r="A18">
        <ns0:f>IFERROR(ROWS($A$13:A18),"")</ns0:f>
      </ns0:c>
      <ns0:c r="B18">
        <ns0:f>IFERROR(INDEX(_ENGINE_Initiatives!$A$5:$A$76,MATCH(ROWS($A$13:A18),_ENGINE_Initiatives!$BW$5:$BW$76,0)),"")</ns0:f>
      </ns0:c>
      <ns0:c r="C18">
        <ns0:f>IFERROR(INDEX(_ENGINE_Initiatives!$F$5:$F$76,MATCH(ROWS($A$13:A18),_ENGINE_Initiatives!$BW$5:$BW$76,0)),"")</ns0:f>
      </ns0:c>
      <ns0:c r="D18">
        <ns0:f>IFERROR(INDEX(_ENGINE_Initiatives!$B$5:$B$76,MATCH(ROWS($A$13:A18),_ENGINE_Initiatives!$BW$5:$BW$76,0)),"")</ns0:f>
      </ns0:c>
      <ns0:c r="E18">
        <ns0:f>IFERROR(INDEX(_ENGINE_Initiatives!$C$5:$C$76,MATCH(ROWS($A$13:A18),_ENGINE_Initiatives!$BW$5:$BW$76,0)),"")</ns0:f>
      </ns0:c>
      <ns0:c r="F18">
        <ns0:f>IFERROR(INDEX(_ENGINE_Initiatives!$D$5:$D$76,MATCH(ROWS($A$13:A18),_ENGINE_Initiatives!$BW$5:$BW$76,0)),"")</ns0:f>
      </ns0:c>
      <ns0:c r="G18">
        <ns0:f>IFERROR(INDEX(_ENGINE_Initiatives!$BX$5:$BX$76,MATCH(ROWS($A$13:A18),_ENGINE_Initiatives!$BW$5:$BW$76,0)),"")</ns0:f>
      </ns0:c>
      <ns0:c r="H18">
        <ns0:f>IFERROR(INDEX(_ENGINE_Initiatives!$BV$5:$BV$76,MATCH(ROWS($A$13:A18),_ENGINE_Initiatives!$BW$5:$BW$76,0)),"")</ns0:f>
      </ns0:c>
      <ns0:c r="I18">
        <ns0:f>IFERROR(INDEX(_ENGINE_Initiatives!$X$5:$X$76,MATCH(ROWS($A$13:A18),_ENGINE_Initiatives!$BW$5:$BW$76,0)),"")</ns0:f>
      </ns0:c>
      <ns0:c r="J18">
        <ns0:f>IFERROR(INDEX(_ENGINE_Initiatives!$Y$5:$Y$76,MATCH(ROWS($A$13:A18),_ENGINE_Initiatives!$BW$5:$BW$76,0)),"")</ns0:f>
      </ns0:c>
      <ns0:c r="K18">
        <ns0:f>IFERROR(INDEX(_ENGINE_Initiatives!$BD$5:$BD$76,MATCH(ROWS($A$13:A18),_ENGINE_Initiatives!$BW$5:$BW$76,0)),"")</ns0:f>
      </ns0:c>
      <ns0:c r="L18">
        <ns0:f>IFERROR(INDEX(_ENGINE_Initiatives!$AA$5:$AA$76,MATCH(ROWS($A$13:A18),_ENGINE_Initiatives!$BW$5:$BW$76,0)),"")</ns0:f>
      </ns0:c>
    </ns0:row>
    <ns0:row r="19">
      <ns0:c r="A19">
        <ns0:f>IFERROR(ROWS($A$13:A19),"")</ns0:f>
      </ns0:c>
      <ns0:c r="B19">
        <ns0:f>IFERROR(INDEX(_ENGINE_Initiatives!$A$5:$A$76,MATCH(ROWS($A$13:A19),_ENGINE_Initiatives!$BW$5:$BW$76,0)),"")</ns0:f>
      </ns0:c>
      <ns0:c r="C19">
        <ns0:f>IFERROR(INDEX(_ENGINE_Initiatives!$F$5:$F$76,MATCH(ROWS($A$13:A19),_ENGINE_Initiatives!$BW$5:$BW$76,0)),"")</ns0:f>
      </ns0:c>
      <ns0:c r="D19">
        <ns0:f>IFERROR(INDEX(_ENGINE_Initiatives!$B$5:$B$76,MATCH(ROWS($A$13:A19),_ENGINE_Initiatives!$BW$5:$BW$76,0)),"")</ns0:f>
      </ns0:c>
      <ns0:c r="E19">
        <ns0:f>IFERROR(INDEX(_ENGINE_Initiatives!$C$5:$C$76,MATCH(ROWS($A$13:A19),_ENGINE_Initiatives!$BW$5:$BW$76,0)),"")</ns0:f>
      </ns0:c>
      <ns0:c r="F19">
        <ns0:f>IFERROR(INDEX(_ENGINE_Initiatives!$D$5:$D$76,MATCH(ROWS($A$13:A19),_ENGINE_Initiatives!$BW$5:$BW$76,0)),"")</ns0:f>
      </ns0:c>
      <ns0:c r="G19">
        <ns0:f>IFERROR(INDEX(_ENGINE_Initiatives!$BX$5:$BX$76,MATCH(ROWS($A$13:A19),_ENGINE_Initiatives!$BW$5:$BW$76,0)),"")</ns0:f>
      </ns0:c>
      <ns0:c r="H19">
        <ns0:f>IFERROR(INDEX(_ENGINE_Initiatives!$BV$5:$BV$76,MATCH(ROWS($A$13:A19),_ENGINE_Initiatives!$BW$5:$BW$76,0)),"")</ns0:f>
      </ns0:c>
      <ns0:c r="I19">
        <ns0:f>IFERROR(INDEX(_ENGINE_Initiatives!$X$5:$X$76,MATCH(ROWS($A$13:A19),_ENGINE_Initiatives!$BW$5:$BW$76,0)),"")</ns0:f>
      </ns0:c>
      <ns0:c r="J19">
        <ns0:f>IFERROR(INDEX(_ENGINE_Initiatives!$Y$5:$Y$76,MATCH(ROWS($A$13:A19),_ENGINE_Initiatives!$BW$5:$BW$76,0)),"")</ns0:f>
      </ns0:c>
      <ns0:c r="K19">
        <ns0:f>IFERROR(INDEX(_ENGINE_Initiatives!$BD$5:$BD$76,MATCH(ROWS($A$13:A19),_ENGINE_Initiatives!$BW$5:$BW$76,0)),"")</ns0:f>
      </ns0:c>
      <ns0:c r="L19">
        <ns0:f>IFERROR(INDEX(_ENGINE_Initiatives!$AA$5:$AA$76,MATCH(ROWS($A$13:A19),_ENGINE_Initiatives!$BW$5:$BW$76,0)),"")</ns0:f>
      </ns0:c>
    </ns0:row>
    <ns0:row r="20">
      <ns0:c r="A20">
        <ns0:f>IFERROR(ROWS($A$13:A20),"")</ns0:f>
      </ns0:c>
      <ns0:c r="B20">
        <ns0:f>IFERROR(INDEX(_ENGINE_Initiatives!$A$5:$A$76,MATCH(ROWS($A$13:A20),_ENGINE_Initiatives!$BW$5:$BW$76,0)),"")</ns0:f>
      </ns0:c>
      <ns0:c r="C20">
        <ns0:f>IFERROR(INDEX(_ENGINE_Initiatives!$F$5:$F$76,MATCH(ROWS($A$13:A20),_ENGINE_Initiatives!$BW$5:$BW$76,0)),"")</ns0:f>
      </ns0:c>
      <ns0:c r="D20">
        <ns0:f>IFERROR(INDEX(_ENGINE_Initiatives!$B$5:$B$76,MATCH(ROWS($A$13:A20),_ENGINE_Initiatives!$BW$5:$BW$76,0)),"")</ns0:f>
      </ns0:c>
      <ns0:c r="E20">
        <ns0:f>IFERROR(INDEX(_ENGINE_Initiatives!$C$5:$C$76,MATCH(ROWS($A$13:A20),_ENGINE_Initiatives!$BW$5:$BW$76,0)),"")</ns0:f>
      </ns0:c>
      <ns0:c r="F20">
        <ns0:f>IFERROR(INDEX(_ENGINE_Initiatives!$D$5:$D$76,MATCH(ROWS($A$13:A20),_ENGINE_Initiatives!$BW$5:$BW$76,0)),"")</ns0:f>
      </ns0:c>
      <ns0:c r="G20">
        <ns0:f>IFERROR(INDEX(_ENGINE_Initiatives!$BX$5:$BX$76,MATCH(ROWS($A$13:A20),_ENGINE_Initiatives!$BW$5:$BW$76,0)),"")</ns0:f>
      </ns0:c>
      <ns0:c r="H20">
        <ns0:f>IFERROR(INDEX(_ENGINE_Initiatives!$BV$5:$BV$76,MATCH(ROWS($A$13:A20),_ENGINE_Initiatives!$BW$5:$BW$76,0)),"")</ns0:f>
      </ns0:c>
      <ns0:c r="I20">
        <ns0:f>IFERROR(INDEX(_ENGINE_Initiatives!$X$5:$X$76,MATCH(ROWS($A$13:A20),_ENGINE_Initiatives!$BW$5:$BW$76,0)),"")</ns0:f>
      </ns0:c>
      <ns0:c r="J20">
        <ns0:f>IFERROR(INDEX(_ENGINE_Initiatives!$Y$5:$Y$76,MATCH(ROWS($A$13:A20),_ENGINE_Initiatives!$BW$5:$BW$76,0)),"")</ns0:f>
      </ns0:c>
      <ns0:c r="K20">
        <ns0:f>IFERROR(INDEX(_ENGINE_Initiatives!$BD$5:$BD$76,MATCH(ROWS($A$13:A20),_ENGINE_Initiatives!$BW$5:$BW$76,0)),"")</ns0:f>
      </ns0:c>
      <ns0:c r="L20">
        <ns0:f>IFERROR(INDEX(_ENGINE_Initiatives!$AA$5:$AA$76,MATCH(ROWS($A$13:A20),_ENGINE_Initiatives!$BW$5:$BW$76,0)),"")</ns0:f>
      </ns0:c>
    </ns0:row>
    <ns0:row r="21">
      <ns0:c r="A21">
        <ns0:f>IFERROR(ROWS($A$13:A21),"")</ns0:f>
      </ns0:c>
      <ns0:c r="B21">
        <ns0:f>IFERROR(INDEX(_ENGINE_Initiatives!$A$5:$A$76,MATCH(ROWS($A$13:A21),_ENGINE_Initiatives!$BW$5:$BW$76,0)),"")</ns0:f>
      </ns0:c>
      <ns0:c r="C21">
        <ns0:f>IFERROR(INDEX(_ENGINE_Initiatives!$F$5:$F$76,MATCH(ROWS($A$13:A21),_ENGINE_Initiatives!$BW$5:$BW$76,0)),"")</ns0:f>
      </ns0:c>
      <ns0:c r="D21">
        <ns0:f>IFERROR(INDEX(_ENGINE_Initiatives!$B$5:$B$76,MATCH(ROWS($A$13:A21),_ENGINE_Initiatives!$BW$5:$BW$76,0)),"")</ns0:f>
      </ns0:c>
      <ns0:c r="E21">
        <ns0:f>IFERROR(INDEX(_ENGINE_Initiatives!$C$5:$C$76,MATCH(ROWS($A$13:A21),_ENGINE_Initiatives!$BW$5:$BW$76,0)),"")</ns0:f>
      </ns0:c>
      <ns0:c r="F21">
        <ns0:f>IFERROR(INDEX(_ENGINE_Initiatives!$D$5:$D$76,MATCH(ROWS($A$13:A21),_ENGINE_Initiatives!$BW$5:$BW$76,0)),"")</ns0:f>
      </ns0:c>
      <ns0:c r="G21">
        <ns0:f>IFERROR(INDEX(_ENGINE_Initiatives!$BX$5:$BX$76,MATCH(ROWS($A$13:A21),_ENGINE_Initiatives!$BW$5:$BW$76,0)),"")</ns0:f>
      </ns0:c>
      <ns0:c r="H21">
        <ns0:f>IFERROR(INDEX(_ENGINE_Initiatives!$BV$5:$BV$76,MATCH(ROWS($A$13:A21),_ENGINE_Initiatives!$BW$5:$BW$76,0)),"")</ns0:f>
      </ns0:c>
      <ns0:c r="I21">
        <ns0:f>IFERROR(INDEX(_ENGINE_Initiatives!$X$5:$X$76,MATCH(ROWS($A$13:A21),_ENGINE_Initiatives!$BW$5:$BW$76,0)),"")</ns0:f>
      </ns0:c>
      <ns0:c r="J21">
        <ns0:f>IFERROR(INDEX(_ENGINE_Initiatives!$Y$5:$Y$76,MATCH(ROWS($A$13:A21),_ENGINE_Initiatives!$BW$5:$BW$76,0)),"")</ns0:f>
      </ns0:c>
      <ns0:c r="K21">
        <ns0:f>IFERROR(INDEX(_ENGINE_Initiatives!$BD$5:$BD$76,MATCH(ROWS($A$13:A21),_ENGINE_Initiatives!$BW$5:$BW$76,0)),"")</ns0:f>
      </ns0:c>
      <ns0:c r="L21">
        <ns0:f>IFERROR(INDEX(_ENGINE_Initiatives!$AA$5:$AA$76,MATCH(ROWS($A$13:A21),_ENGINE_Initiatives!$BW$5:$BW$76,0)),"")</ns0:f>
      </ns0:c>
    </ns0:row>
    <ns0:row r="22">
      <ns0:c r="A22">
        <ns0:f>IFERROR(ROWS($A$13:A22),"")</ns0:f>
      </ns0:c>
      <ns0:c r="B22">
        <ns0:f>IFERROR(INDEX(_ENGINE_Initiatives!$A$5:$A$76,MATCH(ROWS($A$13:A22),_ENGINE_Initiatives!$BW$5:$BW$76,0)),"")</ns0:f>
      </ns0:c>
      <ns0:c r="C22">
        <ns0:f>IFERROR(INDEX(_ENGINE_Initiatives!$F$5:$F$76,MATCH(ROWS($A$13:A22),_ENGINE_Initiatives!$BW$5:$BW$76,0)),"")</ns0:f>
      </ns0:c>
      <ns0:c r="D22">
        <ns0:f>IFERROR(INDEX(_ENGINE_Initiatives!$B$5:$B$76,MATCH(ROWS($A$13:A22),_ENGINE_Initiatives!$BW$5:$BW$76,0)),"")</ns0:f>
      </ns0:c>
      <ns0:c r="E22">
        <ns0:f>IFERROR(INDEX(_ENGINE_Initiatives!$C$5:$C$76,MATCH(ROWS($A$13:A22),_ENGINE_Initiatives!$BW$5:$BW$76,0)),"")</ns0:f>
      </ns0:c>
      <ns0:c r="F22">
        <ns0:f>IFERROR(INDEX(_ENGINE_Initiatives!$D$5:$D$76,MATCH(ROWS($A$13:A22),_ENGINE_Initiatives!$BW$5:$BW$76,0)),"")</ns0:f>
      </ns0:c>
      <ns0:c r="G22">
        <ns0:f>IFERROR(INDEX(_ENGINE_Initiatives!$BX$5:$BX$76,MATCH(ROWS($A$13:A22),_ENGINE_Initiatives!$BW$5:$BW$76,0)),"")</ns0:f>
      </ns0:c>
      <ns0:c r="H22">
        <ns0:f>IFERROR(INDEX(_ENGINE_Initiatives!$BV$5:$BV$76,MATCH(ROWS($A$13:A22),_ENGINE_Initiatives!$BW$5:$BW$76,0)),"")</ns0:f>
      </ns0:c>
      <ns0:c r="I22">
        <ns0:f>IFERROR(INDEX(_ENGINE_Initiatives!$X$5:$X$76,MATCH(ROWS($A$13:A22),_ENGINE_Initiatives!$BW$5:$BW$76,0)),"")</ns0:f>
      </ns0:c>
      <ns0:c r="J22">
        <ns0:f>IFERROR(INDEX(_ENGINE_Initiatives!$Y$5:$Y$76,MATCH(ROWS($A$13:A22),_ENGINE_Initiatives!$BW$5:$BW$76,0)),"")</ns0:f>
      </ns0:c>
      <ns0:c r="K22">
        <ns0:f>IFERROR(INDEX(_ENGINE_Initiatives!$BD$5:$BD$76,MATCH(ROWS($A$13:A22),_ENGINE_Initiatives!$BW$5:$BW$76,0)),"")</ns0:f>
      </ns0:c>
      <ns0:c r="L22">
        <ns0:f>IFERROR(INDEX(_ENGINE_Initiatives!$AA$5:$AA$76,MATCH(ROWS($A$13:A22),_ENGINE_Initiatives!$BW$5:$BW$76,0)),"")</ns0:f>
      </ns0:c>
    </ns0:row>
    <ns0:row r="23">
      <ns0:c r="A23">
        <ns0:f>IFERROR(ROWS($A$13:A23),"")</ns0:f>
      </ns0:c>
      <ns0:c r="B23">
        <ns0:f>IFERROR(INDEX(_ENGINE_Initiatives!$A$5:$A$76,MATCH(ROWS($A$13:A23),_ENGINE_Initiatives!$BW$5:$BW$76,0)),"")</ns0:f>
      </ns0:c>
      <ns0:c r="C23">
        <ns0:f>IFERROR(INDEX(_ENGINE_Initiatives!$F$5:$F$76,MATCH(ROWS($A$13:A23),_ENGINE_Initiatives!$BW$5:$BW$76,0)),"")</ns0:f>
      </ns0:c>
      <ns0:c r="D23">
        <ns0:f>IFERROR(INDEX(_ENGINE_Initiatives!$B$5:$B$76,MATCH(ROWS($A$13:A23),_ENGINE_Initiatives!$BW$5:$BW$76,0)),"")</ns0:f>
      </ns0:c>
      <ns0:c r="E23">
        <ns0:f>IFERROR(INDEX(_ENGINE_Initiatives!$C$5:$C$76,MATCH(ROWS($A$13:A23),_ENGINE_Initiatives!$BW$5:$BW$76,0)),"")</ns0:f>
      </ns0:c>
      <ns0:c r="F23">
        <ns0:f>IFERROR(INDEX(_ENGINE_Initiatives!$D$5:$D$76,MATCH(ROWS($A$13:A23),_ENGINE_Initiatives!$BW$5:$BW$76,0)),"")</ns0:f>
      </ns0:c>
      <ns0:c r="G23">
        <ns0:f>IFERROR(INDEX(_ENGINE_Initiatives!$BX$5:$BX$76,MATCH(ROWS($A$13:A23),_ENGINE_Initiatives!$BW$5:$BW$76,0)),"")</ns0:f>
      </ns0:c>
      <ns0:c r="H23">
        <ns0:f>IFERROR(INDEX(_ENGINE_Initiatives!$BV$5:$BV$76,MATCH(ROWS($A$13:A23),_ENGINE_Initiatives!$BW$5:$BW$76,0)),"")</ns0:f>
      </ns0:c>
      <ns0:c r="I23">
        <ns0:f>IFERROR(INDEX(_ENGINE_Initiatives!$X$5:$X$76,MATCH(ROWS($A$13:A23),_ENGINE_Initiatives!$BW$5:$BW$76,0)),"")</ns0:f>
      </ns0:c>
      <ns0:c r="J23">
        <ns0:f>IFERROR(INDEX(_ENGINE_Initiatives!$Y$5:$Y$76,MATCH(ROWS($A$13:A23),_ENGINE_Initiatives!$BW$5:$BW$76,0)),"")</ns0:f>
      </ns0:c>
      <ns0:c r="K23">
        <ns0:f>IFERROR(INDEX(_ENGINE_Initiatives!$BD$5:$BD$76,MATCH(ROWS($A$13:A23),_ENGINE_Initiatives!$BW$5:$BW$76,0)),"")</ns0:f>
      </ns0:c>
      <ns0:c r="L23">
        <ns0:f>IFERROR(INDEX(_ENGINE_Initiatives!$AA$5:$AA$76,MATCH(ROWS($A$13:A23),_ENGINE_Initiatives!$BW$5:$BW$76,0)),"")</ns0:f>
      </ns0:c>
    </ns0:row>
    <ns0:row r="24">
      <ns0:c r="A24">
        <ns0:f>IFERROR(ROWS($A$13:A24),"")</ns0:f>
      </ns0:c>
      <ns0:c r="B24">
        <ns0:f>IFERROR(INDEX(_ENGINE_Initiatives!$A$5:$A$76,MATCH(ROWS($A$13:A24),_ENGINE_Initiatives!$BW$5:$BW$76,0)),"")</ns0:f>
      </ns0:c>
      <ns0:c r="C24">
        <ns0:f>IFERROR(INDEX(_ENGINE_Initiatives!$F$5:$F$76,MATCH(ROWS($A$13:A24),_ENGINE_Initiatives!$BW$5:$BW$76,0)),"")</ns0:f>
      </ns0:c>
      <ns0:c r="D24">
        <ns0:f>IFERROR(INDEX(_ENGINE_Initiatives!$B$5:$B$76,MATCH(ROWS($A$13:A24),_ENGINE_Initiatives!$BW$5:$BW$76,0)),"")</ns0:f>
      </ns0:c>
      <ns0:c r="E24">
        <ns0:f>IFERROR(INDEX(_ENGINE_Initiatives!$C$5:$C$76,MATCH(ROWS($A$13:A24),_ENGINE_Initiatives!$BW$5:$BW$76,0)),"")</ns0:f>
      </ns0:c>
      <ns0:c r="F24">
        <ns0:f>IFERROR(INDEX(_ENGINE_Initiatives!$D$5:$D$76,MATCH(ROWS($A$13:A24),_ENGINE_Initiatives!$BW$5:$BW$76,0)),"")</ns0:f>
      </ns0:c>
      <ns0:c r="G24">
        <ns0:f>IFERROR(INDEX(_ENGINE_Initiatives!$BX$5:$BX$76,MATCH(ROWS($A$13:A24),_ENGINE_Initiatives!$BW$5:$BW$76,0)),"")</ns0:f>
      </ns0:c>
      <ns0:c r="H24">
        <ns0:f>IFERROR(INDEX(_ENGINE_Initiatives!$BV$5:$BV$76,MATCH(ROWS($A$13:A24),_ENGINE_Initiatives!$BW$5:$BW$76,0)),"")</ns0:f>
      </ns0:c>
      <ns0:c r="I24">
        <ns0:f>IFERROR(INDEX(_ENGINE_Initiatives!$X$5:$X$76,MATCH(ROWS($A$13:A24),_ENGINE_Initiatives!$BW$5:$BW$76,0)),"")</ns0:f>
      </ns0:c>
      <ns0:c r="J24">
        <ns0:f>IFERROR(INDEX(_ENGINE_Initiatives!$Y$5:$Y$76,MATCH(ROWS($A$13:A24),_ENGINE_Initiatives!$BW$5:$BW$76,0)),"")</ns0:f>
      </ns0:c>
      <ns0:c r="K24">
        <ns0:f>IFERROR(INDEX(_ENGINE_Initiatives!$BD$5:$BD$76,MATCH(ROWS($A$13:A24),_ENGINE_Initiatives!$BW$5:$BW$76,0)),"")</ns0:f>
      </ns0:c>
      <ns0:c r="L24">
        <ns0:f>IFERROR(INDEX(_ENGINE_Initiatives!$AA$5:$AA$76,MATCH(ROWS($A$13:A24),_ENGINE_Initiatives!$BW$5:$BW$76,0)),"")</ns0:f>
      </ns0:c>
    </ns0:row>
    <ns0:row r="25">
      <ns0:c r="A25">
        <ns0:f>IFERROR(ROWS($A$13:A25),"")</ns0:f>
      </ns0:c>
      <ns0:c r="B25">
        <ns0:f>IFERROR(INDEX(_ENGINE_Initiatives!$A$5:$A$76,MATCH(ROWS($A$13:A25),_ENGINE_Initiatives!$BW$5:$BW$76,0)),"")</ns0:f>
      </ns0:c>
      <ns0:c r="C25">
        <ns0:f>IFERROR(INDEX(_ENGINE_Initiatives!$F$5:$F$76,MATCH(ROWS($A$13:A25),_ENGINE_Initiatives!$BW$5:$BW$76,0)),"")</ns0:f>
      </ns0:c>
      <ns0:c r="D25">
        <ns0:f>IFERROR(INDEX(_ENGINE_Initiatives!$B$5:$B$76,MATCH(ROWS($A$13:A25),_ENGINE_Initiatives!$BW$5:$BW$76,0)),"")</ns0:f>
      </ns0:c>
      <ns0:c r="E25">
        <ns0:f>IFERROR(INDEX(_ENGINE_Initiatives!$C$5:$C$76,MATCH(ROWS($A$13:A25),_ENGINE_Initiatives!$BW$5:$BW$76,0)),"")</ns0:f>
      </ns0:c>
      <ns0:c r="F25">
        <ns0:f>IFERROR(INDEX(_ENGINE_Initiatives!$D$5:$D$76,MATCH(ROWS($A$13:A25),_ENGINE_Initiatives!$BW$5:$BW$76,0)),"")</ns0:f>
      </ns0:c>
      <ns0:c r="G25">
        <ns0:f>IFERROR(INDEX(_ENGINE_Initiatives!$BX$5:$BX$76,MATCH(ROWS($A$13:A25),_ENGINE_Initiatives!$BW$5:$BW$76,0)),"")</ns0:f>
      </ns0:c>
      <ns0:c r="H25">
        <ns0:f>IFERROR(INDEX(_ENGINE_Initiatives!$BV$5:$BV$76,MATCH(ROWS($A$13:A25),_ENGINE_Initiatives!$BW$5:$BW$76,0)),"")</ns0:f>
      </ns0:c>
      <ns0:c r="I25">
        <ns0:f>IFERROR(INDEX(_ENGINE_Initiatives!$X$5:$X$76,MATCH(ROWS($A$13:A25),_ENGINE_Initiatives!$BW$5:$BW$76,0)),"")</ns0:f>
      </ns0:c>
      <ns0:c r="J25">
        <ns0:f>IFERROR(INDEX(_ENGINE_Initiatives!$Y$5:$Y$76,MATCH(ROWS($A$13:A25),_ENGINE_Initiatives!$BW$5:$BW$76,0)),"")</ns0:f>
      </ns0:c>
      <ns0:c r="K25">
        <ns0:f>IFERROR(INDEX(_ENGINE_Initiatives!$BD$5:$BD$76,MATCH(ROWS($A$13:A25),_ENGINE_Initiatives!$BW$5:$BW$76,0)),"")</ns0:f>
      </ns0:c>
      <ns0:c r="L25">
        <ns0:f>IFERROR(INDEX(_ENGINE_Initiatives!$AA$5:$AA$76,MATCH(ROWS($A$13:A25),_ENGINE_Initiatives!$BW$5:$BW$76,0)),"")</ns0:f>
      </ns0:c>
    </ns0:row>
    <ns0:row r="26">
      <ns0:c r="A26">
        <ns0:f>IFERROR(ROWS($A$13:A26),"")</ns0:f>
      </ns0:c>
      <ns0:c r="B26">
        <ns0:f>IFERROR(INDEX(_ENGINE_Initiatives!$A$5:$A$76,MATCH(ROWS($A$13:A26),_ENGINE_Initiatives!$BW$5:$BW$76,0)),"")</ns0:f>
      </ns0:c>
      <ns0:c r="C26">
        <ns0:f>IFERROR(INDEX(_ENGINE_Initiatives!$F$5:$F$76,MATCH(ROWS($A$13:A26),_ENGINE_Initiatives!$BW$5:$BW$76,0)),"")</ns0:f>
      </ns0:c>
      <ns0:c r="D26">
        <ns0:f>IFERROR(INDEX(_ENGINE_Initiatives!$B$5:$B$76,MATCH(ROWS($A$13:A26),_ENGINE_Initiatives!$BW$5:$BW$76,0)),"")</ns0:f>
      </ns0:c>
      <ns0:c r="E26">
        <ns0:f>IFERROR(INDEX(_ENGINE_Initiatives!$C$5:$C$76,MATCH(ROWS($A$13:A26),_ENGINE_Initiatives!$BW$5:$BW$76,0)),"")</ns0:f>
      </ns0:c>
      <ns0:c r="F26">
        <ns0:f>IFERROR(INDEX(_ENGINE_Initiatives!$D$5:$D$76,MATCH(ROWS($A$13:A26),_ENGINE_Initiatives!$BW$5:$BW$76,0)),"")</ns0:f>
      </ns0:c>
      <ns0:c r="G26">
        <ns0:f>IFERROR(INDEX(_ENGINE_Initiatives!$BX$5:$BX$76,MATCH(ROWS($A$13:A26),_ENGINE_Initiatives!$BW$5:$BW$76,0)),"")</ns0:f>
      </ns0:c>
      <ns0:c r="H26">
        <ns0:f>IFERROR(INDEX(_ENGINE_Initiatives!$BV$5:$BV$76,MATCH(ROWS($A$13:A26),_ENGINE_Initiatives!$BW$5:$BW$76,0)),"")</ns0:f>
      </ns0:c>
      <ns0:c r="I26">
        <ns0:f>IFERROR(INDEX(_ENGINE_Initiatives!$X$5:$X$76,MATCH(ROWS($A$13:A26),_ENGINE_Initiatives!$BW$5:$BW$76,0)),"")</ns0:f>
      </ns0:c>
      <ns0:c r="J26">
        <ns0:f>IFERROR(INDEX(_ENGINE_Initiatives!$Y$5:$Y$76,MATCH(ROWS($A$13:A26),_ENGINE_Initiatives!$BW$5:$BW$76,0)),"")</ns0:f>
      </ns0:c>
      <ns0:c r="K26">
        <ns0:f>IFERROR(INDEX(_ENGINE_Initiatives!$BD$5:$BD$76,MATCH(ROWS($A$13:A26),_ENGINE_Initiatives!$BW$5:$BW$76,0)),"")</ns0:f>
      </ns0:c>
      <ns0:c r="L26">
        <ns0:f>IFERROR(INDEX(_ENGINE_Initiatives!$AA$5:$AA$76,MATCH(ROWS($A$13:A26),_ENGINE_Initiatives!$BW$5:$BW$76,0)),"")</ns0:f>
      </ns0:c>
    </ns0:row>
    <ns0:row r="27">
      <ns0:c r="A27">
        <ns0:f>IFERROR(ROWS($A$13:A27),"")</ns0:f>
      </ns0:c>
      <ns0:c r="B27">
        <ns0:f>IFERROR(INDEX(_ENGINE_Initiatives!$A$5:$A$76,MATCH(ROWS($A$13:A27),_ENGINE_Initiatives!$BW$5:$BW$76,0)),"")</ns0:f>
      </ns0:c>
      <ns0:c r="C27">
        <ns0:f>IFERROR(INDEX(_ENGINE_Initiatives!$F$5:$F$76,MATCH(ROWS($A$13:A27),_ENGINE_Initiatives!$BW$5:$BW$76,0)),"")</ns0:f>
      </ns0:c>
      <ns0:c r="D27">
        <ns0:f>IFERROR(INDEX(_ENGINE_Initiatives!$B$5:$B$76,MATCH(ROWS($A$13:A27),_ENGINE_Initiatives!$BW$5:$BW$76,0)),"")</ns0:f>
      </ns0:c>
      <ns0:c r="E27">
        <ns0:f>IFERROR(INDEX(_ENGINE_Initiatives!$C$5:$C$76,MATCH(ROWS($A$13:A27),_ENGINE_Initiatives!$BW$5:$BW$76,0)),"")</ns0:f>
      </ns0:c>
      <ns0:c r="F27">
        <ns0:f>IFERROR(INDEX(_ENGINE_Initiatives!$D$5:$D$76,MATCH(ROWS($A$13:A27),_ENGINE_Initiatives!$BW$5:$BW$76,0)),"")</ns0:f>
      </ns0:c>
      <ns0:c r="G27">
        <ns0:f>IFERROR(INDEX(_ENGINE_Initiatives!$BX$5:$BX$76,MATCH(ROWS($A$13:A27),_ENGINE_Initiatives!$BW$5:$BW$76,0)),"")</ns0:f>
      </ns0:c>
      <ns0:c r="H27">
        <ns0:f>IFERROR(INDEX(_ENGINE_Initiatives!$BV$5:$BV$76,MATCH(ROWS($A$13:A27),_ENGINE_Initiatives!$BW$5:$BW$76,0)),"")</ns0:f>
      </ns0:c>
      <ns0:c r="I27">
        <ns0:f>IFERROR(INDEX(_ENGINE_Initiatives!$X$5:$X$76,MATCH(ROWS($A$13:A27),_ENGINE_Initiatives!$BW$5:$BW$76,0)),"")</ns0:f>
      </ns0:c>
      <ns0:c r="J27">
        <ns0:f>IFERROR(INDEX(_ENGINE_Initiatives!$Y$5:$Y$76,MATCH(ROWS($A$13:A27),_ENGINE_Initiatives!$BW$5:$BW$76,0)),"")</ns0:f>
      </ns0:c>
      <ns0:c r="K27">
        <ns0:f>IFERROR(INDEX(_ENGINE_Initiatives!$BD$5:$BD$76,MATCH(ROWS($A$13:A27),_ENGINE_Initiatives!$BW$5:$BW$76,0)),"")</ns0:f>
      </ns0:c>
      <ns0:c r="L27">
        <ns0:f>IFERROR(INDEX(_ENGINE_Initiatives!$AA$5:$AA$76,MATCH(ROWS($A$13:A27),_ENGINE_Initiatives!$BW$5:$BW$76,0)),"")</ns0:f>
      </ns0:c>
    </ns0:row>
    <ns0:row r="28">
      <ns0:c r="A28">
        <ns0:f>IFERROR(ROWS($A$13:A28),"")</ns0:f>
      </ns0:c>
      <ns0:c r="B28">
        <ns0:f>IFERROR(INDEX(_ENGINE_Initiatives!$A$5:$A$76,MATCH(ROWS($A$13:A28),_ENGINE_Initiatives!$BW$5:$BW$76,0)),"")</ns0:f>
      </ns0:c>
      <ns0:c r="C28">
        <ns0:f>IFERROR(INDEX(_ENGINE_Initiatives!$F$5:$F$76,MATCH(ROWS($A$13:A28),_ENGINE_Initiatives!$BW$5:$BW$76,0)),"")</ns0:f>
      </ns0:c>
      <ns0:c r="D28">
        <ns0:f>IFERROR(INDEX(_ENGINE_Initiatives!$B$5:$B$76,MATCH(ROWS($A$13:A28),_ENGINE_Initiatives!$BW$5:$BW$76,0)),"")</ns0:f>
      </ns0:c>
      <ns0:c r="E28">
        <ns0:f>IFERROR(INDEX(_ENGINE_Initiatives!$C$5:$C$76,MATCH(ROWS($A$13:A28),_ENGINE_Initiatives!$BW$5:$BW$76,0)),"")</ns0:f>
      </ns0:c>
      <ns0:c r="F28">
        <ns0:f>IFERROR(INDEX(_ENGINE_Initiatives!$D$5:$D$76,MATCH(ROWS($A$13:A28),_ENGINE_Initiatives!$BW$5:$BW$76,0)),"")</ns0:f>
      </ns0:c>
      <ns0:c r="G28">
        <ns0:f>IFERROR(INDEX(_ENGINE_Initiatives!$BX$5:$BX$76,MATCH(ROWS($A$13:A28),_ENGINE_Initiatives!$BW$5:$BW$76,0)),"")</ns0:f>
      </ns0:c>
      <ns0:c r="H28">
        <ns0:f>IFERROR(INDEX(_ENGINE_Initiatives!$BV$5:$BV$76,MATCH(ROWS($A$13:A28),_ENGINE_Initiatives!$BW$5:$BW$76,0)),"")</ns0:f>
      </ns0:c>
      <ns0:c r="I28">
        <ns0:f>IFERROR(INDEX(_ENGINE_Initiatives!$X$5:$X$76,MATCH(ROWS($A$13:A28),_ENGINE_Initiatives!$BW$5:$BW$76,0)),"")</ns0:f>
      </ns0:c>
      <ns0:c r="J28">
        <ns0:f>IFERROR(INDEX(_ENGINE_Initiatives!$Y$5:$Y$76,MATCH(ROWS($A$13:A28),_ENGINE_Initiatives!$BW$5:$BW$76,0)),"")</ns0:f>
      </ns0:c>
      <ns0:c r="K28">
        <ns0:f>IFERROR(INDEX(_ENGINE_Initiatives!$BD$5:$BD$76,MATCH(ROWS($A$13:A28),_ENGINE_Initiatives!$BW$5:$BW$76,0)),"")</ns0:f>
      </ns0:c>
      <ns0:c r="L28">
        <ns0:f>IFERROR(INDEX(_ENGINE_Initiatives!$AA$5:$AA$76,MATCH(ROWS($A$13:A28),_ENGINE_Initiatives!$BW$5:$BW$76,0)),"")</ns0:f>
      </ns0:c>
    </ns0:row>
    <ns0:row r="29">
      <ns0:c r="A29">
        <ns0:f>IFERROR(ROWS($A$13:A29),"")</ns0:f>
      </ns0:c>
      <ns0:c r="B29">
        <ns0:f>IFERROR(INDEX(_ENGINE_Initiatives!$A$5:$A$76,MATCH(ROWS($A$13:A29),_ENGINE_Initiatives!$BW$5:$BW$76,0)),"")</ns0:f>
      </ns0:c>
      <ns0:c r="C29">
        <ns0:f>IFERROR(INDEX(_ENGINE_Initiatives!$F$5:$F$76,MATCH(ROWS($A$13:A29),_ENGINE_Initiatives!$BW$5:$BW$76,0)),"")</ns0:f>
      </ns0:c>
      <ns0:c r="D29">
        <ns0:f>IFERROR(INDEX(_ENGINE_Initiatives!$B$5:$B$76,MATCH(ROWS($A$13:A29),_ENGINE_Initiatives!$BW$5:$BW$76,0)),"")</ns0:f>
      </ns0:c>
      <ns0:c r="E29">
        <ns0:f>IFERROR(INDEX(_ENGINE_Initiatives!$C$5:$C$76,MATCH(ROWS($A$13:A29),_ENGINE_Initiatives!$BW$5:$BW$76,0)),"")</ns0:f>
      </ns0:c>
      <ns0:c r="F29">
        <ns0:f>IFERROR(INDEX(_ENGINE_Initiatives!$D$5:$D$76,MATCH(ROWS($A$13:A29),_ENGINE_Initiatives!$BW$5:$BW$76,0)),"")</ns0:f>
      </ns0:c>
      <ns0:c r="G29">
        <ns0:f>IFERROR(INDEX(_ENGINE_Initiatives!$BX$5:$BX$76,MATCH(ROWS($A$13:A29),_ENGINE_Initiatives!$BW$5:$BW$76,0)),"")</ns0:f>
      </ns0:c>
      <ns0:c r="H29">
        <ns0:f>IFERROR(INDEX(_ENGINE_Initiatives!$BV$5:$BV$76,MATCH(ROWS($A$13:A29),_ENGINE_Initiatives!$BW$5:$BW$76,0)),"")</ns0:f>
      </ns0:c>
      <ns0:c r="I29">
        <ns0:f>IFERROR(INDEX(_ENGINE_Initiatives!$X$5:$X$76,MATCH(ROWS($A$13:A29),_ENGINE_Initiatives!$BW$5:$BW$76,0)),"")</ns0:f>
      </ns0:c>
      <ns0:c r="J29">
        <ns0:f>IFERROR(INDEX(_ENGINE_Initiatives!$Y$5:$Y$76,MATCH(ROWS($A$13:A29),_ENGINE_Initiatives!$BW$5:$BW$76,0)),"")</ns0:f>
      </ns0:c>
      <ns0:c r="K29">
        <ns0:f>IFERROR(INDEX(_ENGINE_Initiatives!$BD$5:$BD$76,MATCH(ROWS($A$13:A29),_ENGINE_Initiatives!$BW$5:$BW$76,0)),"")</ns0:f>
      </ns0:c>
      <ns0:c r="L29">
        <ns0:f>IFERROR(INDEX(_ENGINE_Initiatives!$AA$5:$AA$76,MATCH(ROWS($A$13:A29),_ENGINE_Initiatives!$BW$5:$BW$76,0)),"")</ns0:f>
      </ns0:c>
    </ns0:row>
    <ns0:row r="30">
      <ns0:c r="A30">
        <ns0:f>IFERROR(ROWS($A$13:A30),"")</ns0:f>
      </ns0:c>
      <ns0:c r="B30">
        <ns0:f>IFERROR(INDEX(_ENGINE_Initiatives!$A$5:$A$76,MATCH(ROWS($A$13:A30),_ENGINE_Initiatives!$BW$5:$BW$76,0)),"")</ns0:f>
      </ns0:c>
      <ns0:c r="C30">
        <ns0:f>IFERROR(INDEX(_ENGINE_Initiatives!$F$5:$F$76,MATCH(ROWS($A$13:A30),_ENGINE_Initiatives!$BW$5:$BW$76,0)),"")</ns0:f>
      </ns0:c>
      <ns0:c r="D30">
        <ns0:f>IFERROR(INDEX(_ENGINE_Initiatives!$B$5:$B$76,MATCH(ROWS($A$13:A30),_ENGINE_Initiatives!$BW$5:$BW$76,0)),"")</ns0:f>
      </ns0:c>
      <ns0:c r="E30">
        <ns0:f>IFERROR(INDEX(_ENGINE_Initiatives!$C$5:$C$76,MATCH(ROWS($A$13:A30),_ENGINE_Initiatives!$BW$5:$BW$76,0)),"")</ns0:f>
      </ns0:c>
      <ns0:c r="F30">
        <ns0:f>IFERROR(INDEX(_ENGINE_Initiatives!$D$5:$D$76,MATCH(ROWS($A$13:A30),_ENGINE_Initiatives!$BW$5:$BW$76,0)),"")</ns0:f>
      </ns0:c>
      <ns0:c r="G30">
        <ns0:f>IFERROR(INDEX(_ENGINE_Initiatives!$BX$5:$BX$76,MATCH(ROWS($A$13:A30),_ENGINE_Initiatives!$BW$5:$BW$76,0)),"")</ns0:f>
      </ns0:c>
      <ns0:c r="H30">
        <ns0:f>IFERROR(INDEX(_ENGINE_Initiatives!$BV$5:$BV$76,MATCH(ROWS($A$13:A30),_ENGINE_Initiatives!$BW$5:$BW$76,0)),"")</ns0:f>
      </ns0:c>
      <ns0:c r="I30">
        <ns0:f>IFERROR(INDEX(_ENGINE_Initiatives!$X$5:$X$76,MATCH(ROWS($A$13:A30),_ENGINE_Initiatives!$BW$5:$BW$76,0)),"")</ns0:f>
      </ns0:c>
      <ns0:c r="J30">
        <ns0:f>IFERROR(INDEX(_ENGINE_Initiatives!$Y$5:$Y$76,MATCH(ROWS($A$13:A30),_ENGINE_Initiatives!$BW$5:$BW$76,0)),"")</ns0:f>
      </ns0:c>
      <ns0:c r="K30">
        <ns0:f>IFERROR(INDEX(_ENGINE_Initiatives!$BD$5:$BD$76,MATCH(ROWS($A$13:A30),_ENGINE_Initiatives!$BW$5:$BW$76,0)),"")</ns0:f>
      </ns0:c>
      <ns0:c r="L30">
        <ns0:f>IFERROR(INDEX(_ENGINE_Initiatives!$AA$5:$AA$76,MATCH(ROWS($A$13:A30),_ENGINE_Initiatives!$BW$5:$BW$76,0)),"")</ns0:f>
      </ns0:c>
    </ns0:row>
    <ns0:row r="31">
      <ns0:c r="A31">
        <ns0:f>IFERROR(ROWS($A$13:A31),"")</ns0:f>
      </ns0:c>
      <ns0:c r="B31">
        <ns0:f>IFERROR(INDEX(_ENGINE_Initiatives!$A$5:$A$76,MATCH(ROWS($A$13:A31),_ENGINE_Initiatives!$BW$5:$BW$76,0)),"")</ns0:f>
      </ns0:c>
      <ns0:c r="C31">
        <ns0:f>IFERROR(INDEX(_ENGINE_Initiatives!$F$5:$F$76,MATCH(ROWS($A$13:A31),_ENGINE_Initiatives!$BW$5:$BW$76,0)),"")</ns0:f>
      </ns0:c>
      <ns0:c r="D31">
        <ns0:f>IFERROR(INDEX(_ENGINE_Initiatives!$B$5:$B$76,MATCH(ROWS($A$13:A31),_ENGINE_Initiatives!$BW$5:$BW$76,0)),"")</ns0:f>
      </ns0:c>
      <ns0:c r="E31">
        <ns0:f>IFERROR(INDEX(_ENGINE_Initiatives!$C$5:$C$76,MATCH(ROWS($A$13:A31),_ENGINE_Initiatives!$BW$5:$BW$76,0)),"")</ns0:f>
      </ns0:c>
      <ns0:c r="F31">
        <ns0:f>IFERROR(INDEX(_ENGINE_Initiatives!$D$5:$D$76,MATCH(ROWS($A$13:A31),_ENGINE_Initiatives!$BW$5:$BW$76,0)),"")</ns0:f>
      </ns0:c>
      <ns0:c r="G31">
        <ns0:f>IFERROR(INDEX(_ENGINE_Initiatives!$BX$5:$BX$76,MATCH(ROWS($A$13:A31),_ENGINE_Initiatives!$BW$5:$BW$76,0)),"")</ns0:f>
      </ns0:c>
      <ns0:c r="H31">
        <ns0:f>IFERROR(INDEX(_ENGINE_Initiatives!$BV$5:$BV$76,MATCH(ROWS($A$13:A31),_ENGINE_Initiatives!$BW$5:$BW$76,0)),"")</ns0:f>
      </ns0:c>
      <ns0:c r="I31">
        <ns0:f>IFERROR(INDEX(_ENGINE_Initiatives!$X$5:$X$76,MATCH(ROWS($A$13:A31),_ENGINE_Initiatives!$BW$5:$BW$76,0)),"")</ns0:f>
      </ns0:c>
      <ns0:c r="J31">
        <ns0:f>IFERROR(INDEX(_ENGINE_Initiatives!$Y$5:$Y$76,MATCH(ROWS($A$13:A31),_ENGINE_Initiatives!$BW$5:$BW$76,0)),"")</ns0:f>
      </ns0:c>
      <ns0:c r="K31">
        <ns0:f>IFERROR(INDEX(_ENGINE_Initiatives!$BD$5:$BD$76,MATCH(ROWS($A$13:A31),_ENGINE_Initiatives!$BW$5:$BW$76,0)),"")</ns0:f>
      </ns0:c>
      <ns0:c r="L31">
        <ns0:f>IFERROR(INDEX(_ENGINE_Initiatives!$AA$5:$AA$76,MATCH(ROWS($A$13:A31),_ENGINE_Initiatives!$BW$5:$BW$76,0)),"")</ns0:f>
      </ns0:c>
    </ns0:row>
    <ns0:row r="32">
      <ns0:c r="A32">
        <ns0:f>IFERROR(ROWS($A$13:A32),"")</ns0:f>
      </ns0:c>
      <ns0:c r="B32">
        <ns0:f>IFERROR(INDEX(_ENGINE_Initiatives!$A$5:$A$76,MATCH(ROWS($A$13:A32),_ENGINE_Initiatives!$BW$5:$BW$76,0)),"")</ns0:f>
      </ns0:c>
      <ns0:c r="C32">
        <ns0:f>IFERROR(INDEX(_ENGINE_Initiatives!$F$5:$F$76,MATCH(ROWS($A$13:A32),_ENGINE_Initiatives!$BW$5:$BW$76,0)),"")</ns0:f>
      </ns0:c>
      <ns0:c r="D32">
        <ns0:f>IFERROR(INDEX(_ENGINE_Initiatives!$B$5:$B$76,MATCH(ROWS($A$13:A32),_ENGINE_Initiatives!$BW$5:$BW$76,0)),"")</ns0:f>
      </ns0:c>
      <ns0:c r="E32">
        <ns0:f>IFERROR(INDEX(_ENGINE_Initiatives!$C$5:$C$76,MATCH(ROWS($A$13:A32),_ENGINE_Initiatives!$BW$5:$BW$76,0)),"")</ns0:f>
      </ns0:c>
      <ns0:c r="F32">
        <ns0:f>IFERROR(INDEX(_ENGINE_Initiatives!$D$5:$D$76,MATCH(ROWS($A$13:A32),_ENGINE_Initiatives!$BW$5:$BW$76,0)),"")</ns0:f>
      </ns0:c>
      <ns0:c r="G32">
        <ns0:f>IFERROR(INDEX(_ENGINE_Initiatives!$BX$5:$BX$76,MATCH(ROWS($A$13:A32),_ENGINE_Initiatives!$BW$5:$BW$76,0)),"")</ns0:f>
      </ns0:c>
      <ns0:c r="H32">
        <ns0:f>IFERROR(INDEX(_ENGINE_Initiatives!$BV$5:$BV$76,MATCH(ROWS($A$13:A32),_ENGINE_Initiatives!$BW$5:$BW$76,0)),"")</ns0:f>
      </ns0:c>
      <ns0:c r="I32">
        <ns0:f>IFERROR(INDEX(_ENGINE_Initiatives!$X$5:$X$76,MATCH(ROWS($A$13:A32),_ENGINE_Initiatives!$BW$5:$BW$76,0)),"")</ns0:f>
      </ns0:c>
      <ns0:c r="J32">
        <ns0:f>IFERROR(INDEX(_ENGINE_Initiatives!$Y$5:$Y$76,MATCH(ROWS($A$13:A32),_ENGINE_Initiatives!$BW$5:$BW$76,0)),"")</ns0:f>
      </ns0:c>
      <ns0:c r="K32">
        <ns0:f>IFERROR(INDEX(_ENGINE_Initiatives!$BD$5:$BD$76,MATCH(ROWS($A$13:A32),_ENGINE_Initiatives!$BW$5:$BW$76,0)),"")</ns0:f>
      </ns0:c>
      <ns0:c r="L32">
        <ns0:f>IFERROR(INDEX(_ENGINE_Initiatives!$AA$5:$AA$76,MATCH(ROWS($A$13:A32),_ENGINE_Initiatives!$BW$5:$BW$76,0)),"")</ns0:f>
      </ns0:c>
    </ns0:row>
    <ns0:row r="33"/>
    <ns0:row r="34">
      <ns0:c r="A34" t="inlineStr">
        <ns0:is>
          <ns0:t>Recommendation sample / top risk-linked actions</ns0:t>
        </ns0:is>
      </ns0:c>
    </ns0:row>
    <ns0:row r="35">
      <ns0:c r="A35" t="inlineStr">
        <ns0:is>
          <ns0:t>Rank</ns0:t>
        </ns0:is>
      </ns0:c>
      <ns0:c r="B35" t="inlineStr">
        <ns0:is>
          <ns0:t>Risk / Question ID</ns0:t>
        </ns0:is>
      </ns0:c>
      <ns0:c r="C35" t="inlineStr">
        <ns0:is>
          <ns0:t>Recommendation</ns0:t>
        </ns0:is>
      </ns0:c>
      <ns0:c r="D35" t="inlineStr">
        <ns0:is>
          <ns0:t>Complexity</ns0:t>
        </ns0:is>
      </ns0:c>
      <ns0:c r="E35" t="inlineStr">
        <ns0:is>
          <ns0:t>Priority / WSJF</ns0:t>
        </ns0:is>
      </ns0:c>
    </ns0:row>
    <ns0:row r="36">
      <ns0:c r="A36">
        <ns0:v>1</ns0:v>
      </ns0:c>
      <ns0:c r="B36">
        <ns0:f>'_ENGINE_Risk'!$A$500</ns0:f>
      </ns0:c>
      <ns0:c r="C36">
        <ns0:f>'_ENGINE_Risk'!$N$500</ns0:f>
      </ns0:c>
      <ns0:c r="D36">
        <ns0:f>'_ENGINE_Risk'!$Q$500</ns0:f>
      </ns0:c>
      <ns0:c r="E36">
        <ns0:f>'_ENGINE_Risk'!$BD$500</ns0:f>
      </ns0:c>
    </ns0:row>
    <ns0:row r="37">
      <ns0:c r="A37">
        <ns0:v>2</ns0:v>
      </ns0:c>
      <ns0:c r="B37">
        <ns0:f>'_ENGINE_Risk'!$A$501</ns0:f>
      </ns0:c>
      <ns0:c r="C37">
        <ns0:f>'_ENGINE_Risk'!$N$501</ns0:f>
      </ns0:c>
      <ns0:c r="D37">
        <ns0:f>'_ENGINE_Risk'!$Q$501</ns0:f>
      </ns0:c>
      <ns0:c r="E37">
        <ns0:f>'_ENGINE_Risk'!$BD$501</ns0:f>
      </ns0:c>
    </ns0:row>
    <ns0:row r="38">
      <ns0:c r="A38">
        <ns0:v>3</ns0:v>
      </ns0:c>
      <ns0:c r="B38">
        <ns0:f>'_ENGINE_Risk'!$A$502</ns0:f>
      </ns0:c>
      <ns0:c r="C38">
        <ns0:f>'_ENGINE_Risk'!$N$502</ns0:f>
      </ns0:c>
      <ns0:c r="D38">
        <ns0:f>'_ENGINE_Risk'!$Q$502</ns0:f>
      </ns0:c>
      <ns0:c r="E38">
        <ns0:f>'_ENGINE_Risk'!$BD$502</ns0:f>
      </ns0:c>
    </ns0:row>
    <ns0:row r="39">
      <ns0:c r="A39">
        <ns0:v>4</ns0:v>
      </ns0:c>
      <ns0:c r="B39">
        <ns0:f>'_ENGINE_Risk'!$A$503</ns0:f>
      </ns0:c>
      <ns0:c r="C39">
        <ns0:f>'_ENGINE_Risk'!$N$503</ns0:f>
      </ns0:c>
      <ns0:c r="D39">
        <ns0:f>'_ENGINE_Risk'!$Q$503</ns0:f>
      </ns0:c>
      <ns0:c r="E39">
        <ns0:f>'_ENGINE_Risk'!$BD$503</ns0:f>
      </ns0:c>
    </ns0:row>
    <ns0:row r="40">
      <ns0:c r="A40">
        <ns0:v>5</ns0:v>
      </ns0:c>
      <ns0:c r="B40">
        <ns0:f>'_ENGINE_Risk'!$A$504</ns0:f>
      </ns0:c>
      <ns0:c r="C40">
        <ns0:f>'_ENGINE_Risk'!$N$504</ns0:f>
      </ns0:c>
      <ns0:c r="D40">
        <ns0:f>'_ENGINE_Risk'!$Q$504</ns0:f>
      </ns0:c>
      <ns0:c r="E40">
        <ns0:f>'_ENGINE_Risk'!$BD$504</ns0:f>
      </ns0:c>
    </ns0:row>
    <ns0:row r="41">
      <ns0:c r="A41">
        <ns0:v>6</ns0:v>
      </ns0:c>
      <ns0:c r="B41">
        <ns0:f>'_ENGINE_Risk'!$A$505</ns0:f>
      </ns0:c>
      <ns0:c r="C41">
        <ns0:f>'_ENGINE_Risk'!$N$505</ns0:f>
      </ns0:c>
      <ns0:c r="D41">
        <ns0:f>'_ENGINE_Risk'!$Q$505</ns0:f>
      </ns0:c>
      <ns0:c r="E41">
        <ns0:f>'_ENGINE_Risk'!$BD$505</ns0:f>
      </ns0:c>
    </ns0:row>
    <ns0:row r="42">
      <ns0:c r="A42">
        <ns0:v>7</ns0:v>
      </ns0:c>
      <ns0:c r="B42">
        <ns0:f>'_ENGINE_Risk'!$A$506</ns0:f>
      </ns0:c>
      <ns0:c r="C42">
        <ns0:f>'_ENGINE_Risk'!$N$506</ns0:f>
      </ns0:c>
      <ns0:c r="D42">
        <ns0:f>'_ENGINE_Risk'!$Q$506</ns0:f>
      </ns0:c>
      <ns0:c r="E42">
        <ns0:f>'_ENGINE_Risk'!$BD$506</ns0:f>
      </ns0:c>
    </ns0:row>
    <ns0:row r="43">
      <ns0:c r="A43">
        <ns0:v>8</ns0:v>
      </ns0:c>
      <ns0:c r="B43">
        <ns0:f>'_ENGINE_Risk'!$A$507</ns0:f>
      </ns0:c>
      <ns0:c r="C43">
        <ns0:f>'_ENGINE_Risk'!$N$507</ns0:f>
      </ns0:c>
      <ns0:c r="D43">
        <ns0:f>'_ENGINE_Risk'!$Q$507</ns0:f>
      </ns0:c>
      <ns0:c r="E43">
        <ns0:f>'_ENGINE_Risk'!$BD$507</ns0:f>
      </ns0:c>
    </ns0:row>
    <ns0:row r="44">
      <ns0:c r="A44">
        <ns0:v>9</ns0:v>
      </ns0:c>
      <ns0:c r="B44">
        <ns0:f>'_ENGINE_Risk'!$A$508</ns0:f>
      </ns0:c>
      <ns0:c r="C44">
        <ns0:f>'_ENGINE_Risk'!$N$508</ns0:f>
      </ns0:c>
      <ns0:c r="D44">
        <ns0:f>'_ENGINE_Risk'!$Q$508</ns0:f>
      </ns0:c>
      <ns0:c r="E44">
        <ns0:f>'_ENGINE_Risk'!$BD$508</ns0:f>
      </ns0:c>
    </ns0:row>
    <ns0:row r="45">
      <ns0:c r="A45">
        <ns0:v>10</ns0:v>
      </ns0:c>
      <ns0:c r="B45">
        <ns0:f>'_ENGINE_Risk'!$A$509</ns0:f>
      </ns0:c>
      <ns0:c r="C45">
        <ns0:f>'_ENGINE_Risk'!$N$509</ns0:f>
      </ns0:c>
      <ns0:c r="D45">
        <ns0:f>'_ENGINE_Risk'!$Q$509</ns0:f>
      </ns0:c>
      <ns0:c r="E45">
        <ns0:f>'_ENGINE_Risk'!$BD$509</ns0:f>
      </ns0:c>
    </ns0:row>
    <ns0:row r="46"/>
    <ns0:row r="47">
      <ns0:c r="A47" t="inlineStr">
        <ns0:is>
          <ns0:t>Backlog note</ns0:t>
        </ns0:is>
      </ns0:c>
      <ns0:c r="B47" t="inlineStr">
        <ns0:is>
          <ns0:t>Legacy Roadmap &amp; Portfolio staging was refactored and removed in v1.98. Action Plan &amp; Roadmap now owns the visible action/status workflow.</ns0:t>
        </ns0:is>
      </ns0:c>
    </ns0:row>
    <ns0:row r="55">
      <ns0:c r="A55" t="inlineStr">
        <ns0:is>
          <ns0:t>Initiative status input</ns0:t>
        </ns0:is>
      </ns0:c>
    </ns0:row>
    <ns0:row r="56">
      <ns0:c r="A56" t="inlineStr">
        <ns0:is>
          <ns0:t>Optional brownfield input: set current status and notes for each initiative. _ENGINE_Initiatives reads this table directly.</ns0:t>
        </ns0:is>
      </ns0:c>
    </ns0:row>
    <ns0:row r="58">
      <ns0:c r="A58" t="inlineStr">
        <ns0:is>
          <ns0:t>Initiative ID</ns0:t>
        </ns0:is>
      </ns0:c>
      <ns0:c r="B58" t="inlineStr">
        <ns0:is>
          <ns0:t>Initiative theme</ns0:t>
        </ns0:is>
      </ns0:c>
      <ns0:c r="C58" t="inlineStr">
        <ns0:is>
          <ns0:t>Domain</ns0:t>
        </ns0:is>
      </ns0:c>
      <ns0:c r="D58" t="inlineStr">
        <ns0:is>
          <ns0:t>Current status</ns0:t>
        </ns0:is>
      </ns0:c>
      <ns0:c r="E58" t="inlineStr">
        <ns0:is>
          <ns0:t>Notes</ns0:t>
        </ns0:is>
      </ns0:c>
    </ns0:row>
    <ns0:row r="59">
      <ns0:c r="A59">
        <ns0:f>IF(_ENGINE_Initiatives!A5="","",_ENGINE_Initiatives!A5)</ns0:f>
      </ns0:c>
      <ns0:c r="B59">
        <ns0:f>IF(_ENGINE_Initiatives!A5="","",_ENGINE_Initiatives!F5)</ns0:f>
      </ns0:c>
      <ns0:c r="C59">
        <ns0:f>IF(_ENGINE_Initiatives!A5="","",_ENGINE_Initiatives!B5)</ns0:f>
      </ns0:c>
      <ns0:c r="D59"/>
      <ns0:c r="E59"/>
    </ns0:row>
    <ns0:row r="60">
      <ns0:c r="A60">
        <ns0:f>IF(_ENGINE_Initiatives!A6="","",_ENGINE_Initiatives!A6)</ns0:f>
      </ns0:c>
      <ns0:c r="B60">
        <ns0:f>IF(_ENGINE_Initiatives!A6="","",_ENGINE_Initiatives!F6)</ns0:f>
      </ns0:c>
      <ns0:c r="C60">
        <ns0:f>IF(_ENGINE_Initiatives!A6="","",_ENGINE_Initiatives!B6)</ns0:f>
      </ns0:c>
      <ns0:c r="D60"/>
      <ns0:c r="E60"/>
    </ns0:row>
    <ns0:row r="61">
      <ns0:c r="A61">
        <ns0:f>IF(_ENGINE_Initiatives!A7="","",_ENGINE_Initiatives!A7)</ns0:f>
      </ns0:c>
      <ns0:c r="B61">
        <ns0:f>IF(_ENGINE_Initiatives!A7="","",_ENGINE_Initiatives!F7)</ns0:f>
      </ns0:c>
      <ns0:c r="C61">
        <ns0:f>IF(_ENGINE_Initiatives!A7="","",_ENGINE_Initiatives!B7)</ns0:f>
      </ns0:c>
      <ns0:c r="D61"/>
      <ns0:c r="E61"/>
    </ns0:row>
    <ns0:row r="62">
      <ns0:c r="A62">
        <ns0:f>IF(_ENGINE_Initiatives!A8="","",_ENGINE_Initiatives!A8)</ns0:f>
      </ns0:c>
      <ns0:c r="B62">
        <ns0:f>IF(_ENGINE_Initiatives!A8="","",_ENGINE_Initiatives!F8)</ns0:f>
      </ns0:c>
      <ns0:c r="C62">
        <ns0:f>IF(_ENGINE_Initiatives!A8="","",_ENGINE_Initiatives!B8)</ns0:f>
      </ns0:c>
      <ns0:c r="D62"/>
      <ns0:c r="E62"/>
    </ns0:row>
    <ns0:row r="63">
      <ns0:c r="A63">
        <ns0:f>IF(_ENGINE_Initiatives!A9="","",_ENGINE_Initiatives!A9)</ns0:f>
      </ns0:c>
      <ns0:c r="B63">
        <ns0:f>IF(_ENGINE_Initiatives!A9="","",_ENGINE_Initiatives!F9)</ns0:f>
      </ns0:c>
      <ns0:c r="C63">
        <ns0:f>IF(_ENGINE_Initiatives!A9="","",_ENGINE_Initiatives!B9)</ns0:f>
      </ns0:c>
      <ns0:c r="D63"/>
      <ns0:c r="E63"/>
    </ns0:row>
    <ns0:row r="64">
      <ns0:c r="A64">
        <ns0:f>IF(_ENGINE_Initiatives!A10="","",_ENGINE_Initiatives!A10)</ns0:f>
      </ns0:c>
      <ns0:c r="B64">
        <ns0:f>IF(_ENGINE_Initiatives!A10="","",_ENGINE_Initiatives!F10)</ns0:f>
      </ns0:c>
      <ns0:c r="C64">
        <ns0:f>IF(_ENGINE_Initiatives!A10="","",_ENGINE_Initiatives!B10)</ns0:f>
      </ns0:c>
      <ns0:c r="D64"/>
      <ns0:c r="E64"/>
    </ns0:row>
    <ns0:row r="65">
      <ns0:c r="A65">
        <ns0:f>IF(_ENGINE_Initiatives!A11="","",_ENGINE_Initiatives!A11)</ns0:f>
      </ns0:c>
      <ns0:c r="B65">
        <ns0:f>IF(_ENGINE_Initiatives!A11="","",_ENGINE_Initiatives!F11)</ns0:f>
      </ns0:c>
      <ns0:c r="C65">
        <ns0:f>IF(_ENGINE_Initiatives!A11="","",_ENGINE_Initiatives!B11)</ns0:f>
      </ns0:c>
      <ns0:c r="D65"/>
      <ns0:c r="E65"/>
    </ns0:row>
    <ns0:row r="66">
      <ns0:c r="A66">
        <ns0:f>IF(_ENGINE_Initiatives!A12="","",_ENGINE_Initiatives!A12)</ns0:f>
      </ns0:c>
      <ns0:c r="B66">
        <ns0:f>IF(_ENGINE_Initiatives!A12="","",_ENGINE_Initiatives!F12)</ns0:f>
      </ns0:c>
      <ns0:c r="C66">
        <ns0:f>IF(_ENGINE_Initiatives!A12="","",_ENGINE_Initiatives!B12)</ns0:f>
      </ns0:c>
      <ns0:c r="D66"/>
      <ns0:c r="E66"/>
    </ns0:row>
    <ns0:row r="67">
      <ns0:c r="A67">
        <ns0:f>IF(_ENGINE_Initiatives!A13="","",_ENGINE_Initiatives!A13)</ns0:f>
      </ns0:c>
      <ns0:c r="B67">
        <ns0:f>IF(_ENGINE_Initiatives!A13="","",_ENGINE_Initiatives!F13)</ns0:f>
      </ns0:c>
      <ns0:c r="C67">
        <ns0:f>IF(_ENGINE_Initiatives!A13="","",_ENGINE_Initiatives!B13)</ns0:f>
      </ns0:c>
      <ns0:c r="D67"/>
      <ns0:c r="E67"/>
    </ns0:row>
    <ns0:row r="68">
      <ns0:c r="A68">
        <ns0:f>IF(_ENGINE_Initiatives!A14="","",_ENGINE_Initiatives!A14)</ns0:f>
      </ns0:c>
      <ns0:c r="B68">
        <ns0:f>IF(_ENGINE_Initiatives!A14="","",_ENGINE_Initiatives!F14)</ns0:f>
      </ns0:c>
      <ns0:c r="C68">
        <ns0:f>IF(_ENGINE_Initiatives!A14="","",_ENGINE_Initiatives!B14)</ns0:f>
      </ns0:c>
      <ns0:c r="D68"/>
      <ns0:c r="E68"/>
    </ns0:row>
    <ns0:row r="69">
      <ns0:c r="A69">
        <ns0:f>IF(_ENGINE_Initiatives!A15="","",_ENGINE_Initiatives!A15)</ns0:f>
      </ns0:c>
      <ns0:c r="B69">
        <ns0:f>IF(_ENGINE_Initiatives!A15="","",_ENGINE_Initiatives!F15)</ns0:f>
      </ns0:c>
      <ns0:c r="C69">
        <ns0:f>IF(_ENGINE_Initiatives!A15="","",_ENGINE_Initiatives!B15)</ns0:f>
      </ns0:c>
      <ns0:c r="D69"/>
      <ns0:c r="E69"/>
    </ns0:row>
    <ns0:row r="70">
      <ns0:c r="A70">
        <ns0:f>IF(_ENGINE_Initiatives!A16="","",_ENGINE_Initiatives!A16)</ns0:f>
      </ns0:c>
      <ns0:c r="B70">
        <ns0:f>IF(_ENGINE_Initiatives!A16="","",_ENGINE_Initiatives!F16)</ns0:f>
      </ns0:c>
      <ns0:c r="C70">
        <ns0:f>IF(_ENGINE_Initiatives!A16="","",_ENGINE_Initiatives!B16)</ns0:f>
      </ns0:c>
      <ns0:c r="D70"/>
      <ns0:c r="E70"/>
    </ns0:row>
    <ns0:row r="71">
      <ns0:c r="A71">
        <ns0:f>IF(_ENGINE_Initiatives!A17="","",_ENGINE_Initiatives!A17)</ns0:f>
      </ns0:c>
      <ns0:c r="B71">
        <ns0:f>IF(_ENGINE_Initiatives!A17="","",_ENGINE_Initiatives!F17)</ns0:f>
      </ns0:c>
      <ns0:c r="C71">
        <ns0:f>IF(_ENGINE_Initiatives!A17="","",_ENGINE_Initiatives!B17)</ns0:f>
      </ns0:c>
      <ns0:c r="D71"/>
      <ns0:c r="E71"/>
    </ns0:row>
    <ns0:row r="72">
      <ns0:c r="A72">
        <ns0:f>IF(_ENGINE_Initiatives!A18="","",_ENGINE_Initiatives!A18)</ns0:f>
      </ns0:c>
      <ns0:c r="B72">
        <ns0:f>IF(_ENGINE_Initiatives!A18="","",_ENGINE_Initiatives!F18)</ns0:f>
      </ns0:c>
      <ns0:c r="C72">
        <ns0:f>IF(_ENGINE_Initiatives!A18="","",_ENGINE_Initiatives!B18)</ns0:f>
      </ns0:c>
      <ns0:c r="D72"/>
      <ns0:c r="E72"/>
    </ns0:row>
    <ns0:row r="73">
      <ns0:c r="A73">
        <ns0:f>IF(_ENGINE_Initiatives!A19="","",_ENGINE_Initiatives!A19)</ns0:f>
      </ns0:c>
      <ns0:c r="B73">
        <ns0:f>IF(_ENGINE_Initiatives!A19="","",_ENGINE_Initiatives!F19)</ns0:f>
      </ns0:c>
      <ns0:c r="C73">
        <ns0:f>IF(_ENGINE_Initiatives!A19="","",_ENGINE_Initiatives!B19)</ns0:f>
      </ns0:c>
      <ns0:c r="D73"/>
      <ns0:c r="E73"/>
    </ns0:row>
    <ns0:row r="74">
      <ns0:c r="A74">
        <ns0:f>IF(_ENGINE_Initiatives!A20="","",_ENGINE_Initiatives!A20)</ns0:f>
      </ns0:c>
      <ns0:c r="B74">
        <ns0:f>IF(_ENGINE_Initiatives!A20="","",_ENGINE_Initiatives!F20)</ns0:f>
      </ns0:c>
      <ns0:c r="C74">
        <ns0:f>IF(_ENGINE_Initiatives!A20="","",_ENGINE_Initiatives!B20)</ns0:f>
      </ns0:c>
      <ns0:c r="D74"/>
      <ns0:c r="E74"/>
    </ns0:row>
    <ns0:row r="75">
      <ns0:c r="A75">
        <ns0:f>IF(_ENGINE_Initiatives!A21="","",_ENGINE_Initiatives!A21)</ns0:f>
      </ns0:c>
      <ns0:c r="B75">
        <ns0:f>IF(_ENGINE_Initiatives!A21="","",_ENGINE_Initiatives!F21)</ns0:f>
      </ns0:c>
      <ns0:c r="C75">
        <ns0:f>IF(_ENGINE_Initiatives!A21="","",_ENGINE_Initiatives!B21)</ns0:f>
      </ns0:c>
      <ns0:c r="D75"/>
      <ns0:c r="E75"/>
    </ns0:row>
    <ns0:row r="76">
      <ns0:c r="A76">
        <ns0:f>IF(_ENGINE_Initiatives!A22="","",_ENGINE_Initiatives!A22)</ns0:f>
      </ns0:c>
      <ns0:c r="B76">
        <ns0:f>IF(_ENGINE_Initiatives!A22="","",_ENGINE_Initiatives!F22)</ns0:f>
      </ns0:c>
      <ns0:c r="C76">
        <ns0:f>IF(_ENGINE_Initiatives!A22="","",_ENGINE_Initiatives!B22)</ns0:f>
      </ns0:c>
      <ns0:c r="D76"/>
      <ns0:c r="E76"/>
    </ns0:row>
    <ns0:row r="77">
      <ns0:c r="A77">
        <ns0:f>IF(_ENGINE_Initiatives!A23="","",_ENGINE_Initiatives!A23)</ns0:f>
      </ns0:c>
      <ns0:c r="B77">
        <ns0:f>IF(_ENGINE_Initiatives!A23="","",_ENGINE_Initiatives!F23)</ns0:f>
      </ns0:c>
      <ns0:c r="C77">
        <ns0:f>IF(_ENGINE_Initiatives!A23="","",_ENGINE_Initiatives!B23)</ns0:f>
      </ns0:c>
      <ns0:c r="D77"/>
      <ns0:c r="E77"/>
    </ns0:row>
    <ns0:row r="78">
      <ns0:c r="A78">
        <ns0:f>IF(_ENGINE_Initiatives!A24="","",_ENGINE_Initiatives!A24)</ns0:f>
      </ns0:c>
      <ns0:c r="B78">
        <ns0:f>IF(_ENGINE_Initiatives!A24="","",_ENGINE_Initiatives!F24)</ns0:f>
      </ns0:c>
      <ns0:c r="C78">
        <ns0:f>IF(_ENGINE_Initiatives!A24="","",_ENGINE_Initiatives!B24)</ns0:f>
      </ns0:c>
      <ns0:c r="D78"/>
      <ns0:c r="E78"/>
    </ns0:row>
    <ns0:row r="79">
      <ns0:c r="A79">
        <ns0:f>IF(_ENGINE_Initiatives!A25="","",_ENGINE_Initiatives!A25)</ns0:f>
      </ns0:c>
      <ns0:c r="B79">
        <ns0:f>IF(_ENGINE_Initiatives!A25="","",_ENGINE_Initiatives!F25)</ns0:f>
      </ns0:c>
      <ns0:c r="C79">
        <ns0:f>IF(_ENGINE_Initiatives!A25="","",_ENGINE_Initiatives!B25)</ns0:f>
      </ns0:c>
      <ns0:c r="D79"/>
      <ns0:c r="E79"/>
    </ns0:row>
    <ns0:row r="80">
      <ns0:c r="A80">
        <ns0:f>IF(_ENGINE_Initiatives!A26="","",_ENGINE_Initiatives!A26)</ns0:f>
      </ns0:c>
      <ns0:c r="B80">
        <ns0:f>IF(_ENGINE_Initiatives!A26="","",_ENGINE_Initiatives!F26)</ns0:f>
      </ns0:c>
      <ns0:c r="C80">
        <ns0:f>IF(_ENGINE_Initiatives!A26="","",_ENGINE_Initiatives!B26)</ns0:f>
      </ns0:c>
      <ns0:c r="D80"/>
      <ns0:c r="E80"/>
    </ns0:row>
    <ns0:row r="81">
      <ns0:c r="A81">
        <ns0:f>IF(_ENGINE_Initiatives!A27="","",_ENGINE_Initiatives!A27)</ns0:f>
      </ns0:c>
      <ns0:c r="B81">
        <ns0:f>IF(_ENGINE_Initiatives!A27="","",_ENGINE_Initiatives!F27)</ns0:f>
      </ns0:c>
      <ns0:c r="C81">
        <ns0:f>IF(_ENGINE_Initiatives!A27="","",_ENGINE_Initiatives!B27)</ns0:f>
      </ns0:c>
      <ns0:c r="D81"/>
      <ns0:c r="E81"/>
    </ns0:row>
    <ns0:row r="82">
      <ns0:c r="A82">
        <ns0:f>IF(_ENGINE_Initiatives!A28="","",_ENGINE_Initiatives!A28)</ns0:f>
      </ns0:c>
      <ns0:c r="B82">
        <ns0:f>IF(_ENGINE_Initiatives!A28="","",_ENGINE_Initiatives!F28)</ns0:f>
      </ns0:c>
      <ns0:c r="C82">
        <ns0:f>IF(_ENGINE_Initiatives!A28="","",_ENGINE_Initiatives!B28)</ns0:f>
      </ns0:c>
      <ns0:c r="D82"/>
      <ns0:c r="E82"/>
    </ns0:row>
    <ns0:row r="83">
      <ns0:c r="A83">
        <ns0:f>IF(_ENGINE_Initiatives!A29="","",_ENGINE_Initiatives!A29)</ns0:f>
      </ns0:c>
      <ns0:c r="B83">
        <ns0:f>IF(_ENGINE_Initiatives!A29="","",_ENGINE_Initiatives!F29)</ns0:f>
      </ns0:c>
      <ns0:c r="C83">
        <ns0:f>IF(_ENGINE_Initiatives!A29="","",_ENGINE_Initiatives!B29)</ns0:f>
      </ns0:c>
      <ns0:c r="D83"/>
      <ns0:c r="E83"/>
    </ns0:row>
    <ns0:row r="84">
      <ns0:c r="A84">
        <ns0:f>IF(_ENGINE_Initiatives!A30="","",_ENGINE_Initiatives!A30)</ns0:f>
      </ns0:c>
      <ns0:c r="B84">
        <ns0:f>IF(_ENGINE_Initiatives!A30="","",_ENGINE_Initiatives!F30)</ns0:f>
      </ns0:c>
      <ns0:c r="C84">
        <ns0:f>IF(_ENGINE_Initiatives!A30="","",_ENGINE_Initiatives!B30)</ns0:f>
      </ns0:c>
      <ns0:c r="D84"/>
      <ns0:c r="E84"/>
    </ns0:row>
    <ns0:row r="85">
      <ns0:c r="A85">
        <ns0:f>IF(_ENGINE_Initiatives!A31="","",_ENGINE_Initiatives!A31)</ns0:f>
      </ns0:c>
      <ns0:c r="B85">
        <ns0:f>IF(_ENGINE_Initiatives!A31="","",_ENGINE_Initiatives!F31)</ns0:f>
      </ns0:c>
      <ns0:c r="C85">
        <ns0:f>IF(_ENGINE_Initiatives!A31="","",_ENGINE_Initiatives!B31)</ns0:f>
      </ns0:c>
      <ns0:c r="D85"/>
      <ns0:c r="E85"/>
    </ns0:row>
    <ns0:row r="86">
      <ns0:c r="A86">
        <ns0:f>IF(_ENGINE_Initiatives!A32="","",_ENGINE_Initiatives!A32)</ns0:f>
      </ns0:c>
      <ns0:c r="B86">
        <ns0:f>IF(_ENGINE_Initiatives!A32="","",_ENGINE_Initiatives!F32)</ns0:f>
      </ns0:c>
      <ns0:c r="C86">
        <ns0:f>IF(_ENGINE_Initiatives!A32="","",_ENGINE_Initiatives!B32)</ns0:f>
      </ns0:c>
      <ns0:c r="D86"/>
      <ns0:c r="E86"/>
    </ns0:row>
    <ns0:row r="87">
      <ns0:c r="A87">
        <ns0:f>IF(_ENGINE_Initiatives!A33="","",_ENGINE_Initiatives!A33)</ns0:f>
      </ns0:c>
      <ns0:c r="B87">
        <ns0:f>IF(_ENGINE_Initiatives!A33="","",_ENGINE_Initiatives!F33)</ns0:f>
      </ns0:c>
      <ns0:c r="C87">
        <ns0:f>IF(_ENGINE_Initiatives!A33="","",_ENGINE_Initiatives!B33)</ns0:f>
      </ns0:c>
      <ns0:c r="D87"/>
      <ns0:c r="E87"/>
    </ns0:row>
    <ns0:row r="88">
      <ns0:c r="A88">
        <ns0:f>IF(_ENGINE_Initiatives!A34="","",_ENGINE_Initiatives!A34)</ns0:f>
      </ns0:c>
      <ns0:c r="B88">
        <ns0:f>IF(_ENGINE_Initiatives!A34="","",_ENGINE_Initiatives!F34)</ns0:f>
      </ns0:c>
      <ns0:c r="C88">
        <ns0:f>IF(_ENGINE_Initiatives!A34="","",_ENGINE_Initiatives!B34)</ns0:f>
      </ns0:c>
      <ns0:c r="D88"/>
      <ns0:c r="E88"/>
    </ns0:row>
    <ns0:row r="89">
      <ns0:c r="A89">
        <ns0:f>IF(_ENGINE_Initiatives!A35="","",_ENGINE_Initiatives!A35)</ns0:f>
      </ns0:c>
      <ns0:c r="B89">
        <ns0:f>IF(_ENGINE_Initiatives!A35="","",_ENGINE_Initiatives!F35)</ns0:f>
      </ns0:c>
      <ns0:c r="C89">
        <ns0:f>IF(_ENGINE_Initiatives!A35="","",_ENGINE_Initiatives!B35)</ns0:f>
      </ns0:c>
      <ns0:c r="D89"/>
      <ns0:c r="E89"/>
    </ns0:row>
    <ns0:row r="90">
      <ns0:c r="A90">
        <ns0:f>IF(_ENGINE_Initiatives!A36="","",_ENGINE_Initiatives!A36)</ns0:f>
      </ns0:c>
      <ns0:c r="B90">
        <ns0:f>IF(_ENGINE_Initiatives!A36="","",_ENGINE_Initiatives!F36)</ns0:f>
      </ns0:c>
      <ns0:c r="C90">
        <ns0:f>IF(_ENGINE_Initiatives!A36="","",_ENGINE_Initiatives!B36)</ns0:f>
      </ns0:c>
      <ns0:c r="D90"/>
      <ns0:c r="E90"/>
    </ns0:row>
    <ns0:row r="91">
      <ns0:c r="A91">
        <ns0:f>IF(_ENGINE_Initiatives!A37="","",_ENGINE_Initiatives!A37)</ns0:f>
      </ns0:c>
      <ns0:c r="B91">
        <ns0:f>IF(_ENGINE_Initiatives!A37="","",_ENGINE_Initiatives!F37)</ns0:f>
      </ns0:c>
      <ns0:c r="C91">
        <ns0:f>IF(_ENGINE_Initiatives!A37="","",_ENGINE_Initiatives!B37)</ns0:f>
      </ns0:c>
      <ns0:c r="D91"/>
      <ns0:c r="E91"/>
    </ns0:row>
    <ns0:row r="92">
      <ns0:c r="A92">
        <ns0:f>IF(_ENGINE_Initiatives!A38="","",_ENGINE_Initiatives!A38)</ns0:f>
      </ns0:c>
      <ns0:c r="B92">
        <ns0:f>IF(_ENGINE_Initiatives!A38="","",_ENGINE_Initiatives!F38)</ns0:f>
      </ns0:c>
      <ns0:c r="C92">
        <ns0:f>IF(_ENGINE_Initiatives!A38="","",_ENGINE_Initiatives!B38)</ns0:f>
      </ns0:c>
      <ns0:c r="D92"/>
      <ns0:c r="E92"/>
    </ns0:row>
    <ns0:row r="93">
      <ns0:c r="A93">
        <ns0:f>IF(_ENGINE_Initiatives!A39="","",_ENGINE_Initiatives!A39)</ns0:f>
      </ns0:c>
      <ns0:c r="B93">
        <ns0:f>IF(_ENGINE_Initiatives!A39="","",_ENGINE_Initiatives!F39)</ns0:f>
      </ns0:c>
      <ns0:c r="C93">
        <ns0:f>IF(_ENGINE_Initiatives!A39="","",_ENGINE_Initiatives!B39)</ns0:f>
      </ns0:c>
      <ns0:c r="D93"/>
      <ns0:c r="E93"/>
    </ns0:row>
    <ns0:row r="94">
      <ns0:c r="A94">
        <ns0:f>IF(_ENGINE_Initiatives!A40="","",_ENGINE_Initiatives!A40)</ns0:f>
      </ns0:c>
      <ns0:c r="B94">
        <ns0:f>IF(_ENGINE_Initiatives!A40="","",_ENGINE_Initiatives!F40)</ns0:f>
      </ns0:c>
      <ns0:c r="C94">
        <ns0:f>IF(_ENGINE_Initiatives!A40="","",_ENGINE_Initiatives!B40)</ns0:f>
      </ns0:c>
      <ns0:c r="D94"/>
      <ns0:c r="E94"/>
    </ns0:row>
    <ns0:row r="95">
      <ns0:c r="A95">
        <ns0:f>IF(_ENGINE_Initiatives!A41="","",_ENGINE_Initiatives!A41)</ns0:f>
      </ns0:c>
      <ns0:c r="B95">
        <ns0:f>IF(_ENGINE_Initiatives!A41="","",_ENGINE_Initiatives!F41)</ns0:f>
      </ns0:c>
      <ns0:c r="C95">
        <ns0:f>IF(_ENGINE_Initiatives!A41="","",_ENGINE_Initiatives!B41)</ns0:f>
      </ns0:c>
      <ns0:c r="D95"/>
      <ns0:c r="E95"/>
    </ns0:row>
    <ns0:row r="96">
      <ns0:c r="A96">
        <ns0:f>IF(_ENGINE_Initiatives!A42="","",_ENGINE_Initiatives!A42)</ns0:f>
      </ns0:c>
      <ns0:c r="B96">
        <ns0:f>IF(_ENGINE_Initiatives!A42="","",_ENGINE_Initiatives!F42)</ns0:f>
      </ns0:c>
      <ns0:c r="C96">
        <ns0:f>IF(_ENGINE_Initiatives!A42="","",_ENGINE_Initiatives!B42)</ns0:f>
      </ns0:c>
      <ns0:c r="D96"/>
      <ns0:c r="E96"/>
    </ns0:row>
    <ns0:row r="97">
      <ns0:c r="A97">
        <ns0:f>IF(_ENGINE_Initiatives!A43="","",_ENGINE_Initiatives!A43)</ns0:f>
      </ns0:c>
      <ns0:c r="B97">
        <ns0:f>IF(_ENGINE_Initiatives!A43="","",_ENGINE_Initiatives!F43)</ns0:f>
      </ns0:c>
      <ns0:c r="C97">
        <ns0:f>IF(_ENGINE_Initiatives!A43="","",_ENGINE_Initiatives!B43)</ns0:f>
      </ns0:c>
      <ns0:c r="D97"/>
      <ns0:c r="E97"/>
    </ns0:row>
    <ns0:row r="98">
      <ns0:c r="A98">
        <ns0:f>IF(_ENGINE_Initiatives!A44="","",_ENGINE_Initiatives!A44)</ns0:f>
      </ns0:c>
      <ns0:c r="B98">
        <ns0:f>IF(_ENGINE_Initiatives!A44="","",_ENGINE_Initiatives!F44)</ns0:f>
      </ns0:c>
      <ns0:c r="C98">
        <ns0:f>IF(_ENGINE_Initiatives!A44="","",_ENGINE_Initiatives!B44)</ns0:f>
      </ns0:c>
      <ns0:c r="D98"/>
      <ns0:c r="E98"/>
    </ns0:row>
    <ns0:row r="99">
      <ns0:c r="A99">
        <ns0:f>IF(_ENGINE_Initiatives!A45="","",_ENGINE_Initiatives!A45)</ns0:f>
      </ns0:c>
      <ns0:c r="B99">
        <ns0:f>IF(_ENGINE_Initiatives!A45="","",_ENGINE_Initiatives!F45)</ns0:f>
      </ns0:c>
      <ns0:c r="C99">
        <ns0:f>IF(_ENGINE_Initiatives!A45="","",_ENGINE_Initiatives!B45)</ns0:f>
      </ns0:c>
      <ns0:c r="D99"/>
      <ns0:c r="E99"/>
    </ns0:row>
    <ns0:row r="100">
      <ns0:c r="A100">
        <ns0:f>IF(_ENGINE_Initiatives!A46="","",_ENGINE_Initiatives!A46)</ns0:f>
      </ns0:c>
      <ns0:c r="B100">
        <ns0:f>IF(_ENGINE_Initiatives!A46="","",_ENGINE_Initiatives!F46)</ns0:f>
      </ns0:c>
      <ns0:c r="C100">
        <ns0:f>IF(_ENGINE_Initiatives!A46="","",_ENGINE_Initiatives!B46)</ns0:f>
      </ns0:c>
      <ns0:c r="D100"/>
      <ns0:c r="E100"/>
    </ns0:row>
    <ns0:row r="101">
      <ns0:c r="A101">
        <ns0:f>IF(_ENGINE_Initiatives!A47="","",_ENGINE_Initiatives!A47)</ns0:f>
      </ns0:c>
      <ns0:c r="B101">
        <ns0:f>IF(_ENGINE_Initiatives!A47="","",_ENGINE_Initiatives!F47)</ns0:f>
      </ns0:c>
      <ns0:c r="C101">
        <ns0:f>IF(_ENGINE_Initiatives!A47="","",_ENGINE_Initiatives!B47)</ns0:f>
      </ns0:c>
      <ns0:c r="D101"/>
      <ns0:c r="E101"/>
    </ns0:row>
    <ns0:row r="102">
      <ns0:c r="A102">
        <ns0:f>IF(_ENGINE_Initiatives!A48="","",_ENGINE_Initiatives!A48)</ns0:f>
      </ns0:c>
      <ns0:c r="B102">
        <ns0:f>IF(_ENGINE_Initiatives!A48="","",_ENGINE_Initiatives!F48)</ns0:f>
      </ns0:c>
      <ns0:c r="C102">
        <ns0:f>IF(_ENGINE_Initiatives!A48="","",_ENGINE_Initiatives!B48)</ns0:f>
      </ns0:c>
      <ns0:c r="D102"/>
      <ns0:c r="E102"/>
    </ns0:row>
    <ns0:row r="103">
      <ns0:c r="A103">
        <ns0:f>IF(_ENGINE_Initiatives!A49="","",_ENGINE_Initiatives!A49)</ns0:f>
      </ns0:c>
      <ns0:c r="B103">
        <ns0:f>IF(_ENGINE_Initiatives!A49="","",_ENGINE_Initiatives!F49)</ns0:f>
      </ns0:c>
      <ns0:c r="C103">
        <ns0:f>IF(_ENGINE_Initiatives!A49="","",_ENGINE_Initiatives!B49)</ns0:f>
      </ns0:c>
      <ns0:c r="D103"/>
      <ns0:c r="E103"/>
    </ns0:row>
    <ns0:row r="104">
      <ns0:c r="A104">
        <ns0:f>IF(_ENGINE_Initiatives!A50="","",_ENGINE_Initiatives!A50)</ns0:f>
      </ns0:c>
      <ns0:c r="B104">
        <ns0:f>IF(_ENGINE_Initiatives!A50="","",_ENGINE_Initiatives!F50)</ns0:f>
      </ns0:c>
      <ns0:c r="C104">
        <ns0:f>IF(_ENGINE_Initiatives!A50="","",_ENGINE_Initiatives!B50)</ns0:f>
      </ns0:c>
      <ns0:c r="D104"/>
      <ns0:c r="E104"/>
    </ns0:row>
    <ns0:row r="105">
      <ns0:c r="A105">
        <ns0:f>IF(_ENGINE_Initiatives!A51="","",_ENGINE_Initiatives!A51)</ns0:f>
      </ns0:c>
      <ns0:c r="B105">
        <ns0:f>IF(_ENGINE_Initiatives!A51="","",_ENGINE_Initiatives!F51)</ns0:f>
      </ns0:c>
      <ns0:c r="C105">
        <ns0:f>IF(_ENGINE_Initiatives!A51="","",_ENGINE_Initiatives!B51)</ns0:f>
      </ns0:c>
      <ns0:c r="D105"/>
      <ns0:c r="E105"/>
    </ns0:row>
    <ns0:row r="106">
      <ns0:c r="A106">
        <ns0:f>IF(_ENGINE_Initiatives!A52="","",_ENGINE_Initiatives!A52)</ns0:f>
      </ns0:c>
      <ns0:c r="B106">
        <ns0:f>IF(_ENGINE_Initiatives!A52="","",_ENGINE_Initiatives!F52)</ns0:f>
      </ns0:c>
      <ns0:c r="C106">
        <ns0:f>IF(_ENGINE_Initiatives!A52="","",_ENGINE_Initiatives!B52)</ns0:f>
      </ns0:c>
      <ns0:c r="D106"/>
      <ns0:c r="E106"/>
    </ns0:row>
    <ns0:row r="107">
      <ns0:c r="A107">
        <ns0:f>IF(_ENGINE_Initiatives!A53="","",_ENGINE_Initiatives!A53)</ns0:f>
      </ns0:c>
      <ns0:c r="B107">
        <ns0:f>IF(_ENGINE_Initiatives!A53="","",_ENGINE_Initiatives!F53)</ns0:f>
      </ns0:c>
      <ns0:c r="C107">
        <ns0:f>IF(_ENGINE_Initiatives!A53="","",_ENGINE_Initiatives!B53)</ns0:f>
      </ns0:c>
      <ns0:c r="D107"/>
      <ns0:c r="E107"/>
    </ns0:row>
    <ns0:row r="108">
      <ns0:c r="A108">
        <ns0:f>IF(_ENGINE_Initiatives!A54="","",_ENGINE_Initiatives!A54)</ns0:f>
      </ns0:c>
      <ns0:c r="B108">
        <ns0:f>IF(_ENGINE_Initiatives!A54="","",_ENGINE_Initiatives!F54)</ns0:f>
      </ns0:c>
      <ns0:c r="C108">
        <ns0:f>IF(_ENGINE_Initiatives!A54="","",_ENGINE_Initiatives!B54)</ns0:f>
      </ns0:c>
      <ns0:c r="D108"/>
      <ns0:c r="E108"/>
    </ns0:row>
    <ns0:row r="109">
      <ns0:c r="A109">
        <ns0:f>IF(_ENGINE_Initiatives!A55="","",_ENGINE_Initiatives!A55)</ns0:f>
      </ns0:c>
      <ns0:c r="B109">
        <ns0:f>IF(_ENGINE_Initiatives!A55="","",_ENGINE_Initiatives!F55)</ns0:f>
      </ns0:c>
      <ns0:c r="C109">
        <ns0:f>IF(_ENGINE_Initiatives!A55="","",_ENGINE_Initiatives!B55)</ns0:f>
      </ns0:c>
      <ns0:c r="D109"/>
      <ns0:c r="E109"/>
    </ns0:row>
    <ns0:row r="110">
      <ns0:c r="A110">
        <ns0:f>IF(_ENGINE_Initiatives!A56="","",_ENGINE_Initiatives!A56)</ns0:f>
      </ns0:c>
      <ns0:c r="B110">
        <ns0:f>IF(_ENGINE_Initiatives!A56="","",_ENGINE_Initiatives!F56)</ns0:f>
      </ns0:c>
      <ns0:c r="C110">
        <ns0:f>IF(_ENGINE_Initiatives!A56="","",_ENGINE_Initiatives!B56)</ns0:f>
      </ns0:c>
      <ns0:c r="D110"/>
      <ns0:c r="E110"/>
    </ns0:row>
    <ns0:row r="111">
      <ns0:c r="A111">
        <ns0:f>IF(_ENGINE_Initiatives!A57="","",_ENGINE_Initiatives!A57)</ns0:f>
      </ns0:c>
      <ns0:c r="B111">
        <ns0:f>IF(_ENGINE_Initiatives!A57="","",_ENGINE_Initiatives!F57)</ns0:f>
      </ns0:c>
      <ns0:c r="C111">
        <ns0:f>IF(_ENGINE_Initiatives!A57="","",_ENGINE_Initiatives!B57)</ns0:f>
      </ns0:c>
      <ns0:c r="D111"/>
      <ns0:c r="E111"/>
    </ns0:row>
    <ns0:row r="112">
      <ns0:c r="A112">
        <ns0:f>IF(_ENGINE_Initiatives!A58="","",_ENGINE_Initiatives!A58)</ns0:f>
      </ns0:c>
      <ns0:c r="B112">
        <ns0:f>IF(_ENGINE_Initiatives!A58="","",_ENGINE_Initiatives!F58)</ns0:f>
      </ns0:c>
      <ns0:c r="C112">
        <ns0:f>IF(_ENGINE_Initiatives!A58="","",_ENGINE_Initiatives!B58)</ns0:f>
      </ns0:c>
      <ns0:c r="D112"/>
      <ns0:c r="E112"/>
    </ns0:row>
    <ns0:row r="113">
      <ns0:c r="A113">
        <ns0:f>IF(_ENGINE_Initiatives!A59="","",_ENGINE_Initiatives!A59)</ns0:f>
      </ns0:c>
      <ns0:c r="B113">
        <ns0:f>IF(_ENGINE_Initiatives!A59="","",_ENGINE_Initiatives!F59)</ns0:f>
      </ns0:c>
      <ns0:c r="C113">
        <ns0:f>IF(_ENGINE_Initiatives!A59="","",_ENGINE_Initiatives!B59)</ns0:f>
      </ns0:c>
      <ns0:c r="D113"/>
      <ns0:c r="E113"/>
    </ns0:row>
    <ns0:row r="114">
      <ns0:c r="A114">
        <ns0:f>IF(_ENGINE_Initiatives!A60="","",_ENGINE_Initiatives!A60)</ns0:f>
      </ns0:c>
      <ns0:c r="B114">
        <ns0:f>IF(_ENGINE_Initiatives!A60="","",_ENGINE_Initiatives!F60)</ns0:f>
      </ns0:c>
      <ns0:c r="C114">
        <ns0:f>IF(_ENGINE_Initiatives!A60="","",_ENGINE_Initiatives!B60)</ns0:f>
      </ns0:c>
      <ns0:c r="D114"/>
      <ns0:c r="E114"/>
    </ns0:row>
    <ns0:row r="115">
      <ns0:c r="A115">
        <ns0:f>IF(_ENGINE_Initiatives!A61="","",_ENGINE_Initiatives!A61)</ns0:f>
      </ns0:c>
      <ns0:c r="B115">
        <ns0:f>IF(_ENGINE_Initiatives!A61="","",_ENGINE_Initiatives!F61)</ns0:f>
      </ns0:c>
      <ns0:c r="C115">
        <ns0:f>IF(_ENGINE_Initiatives!A61="","",_ENGINE_Initiatives!B61)</ns0:f>
      </ns0:c>
      <ns0:c r="D115"/>
      <ns0:c r="E115"/>
    </ns0:row>
    <ns0:row r="116">
      <ns0:c r="A116">
        <ns0:f>IF(_ENGINE_Initiatives!A62="","",_ENGINE_Initiatives!A62)</ns0:f>
      </ns0:c>
      <ns0:c r="B116">
        <ns0:f>IF(_ENGINE_Initiatives!A62="","",_ENGINE_Initiatives!F62)</ns0:f>
      </ns0:c>
      <ns0:c r="C116">
        <ns0:f>IF(_ENGINE_Initiatives!A62="","",_ENGINE_Initiatives!B62)</ns0:f>
      </ns0:c>
      <ns0:c r="D116"/>
      <ns0:c r="E116"/>
    </ns0:row>
    <ns0:row r="117">
      <ns0:c r="A117">
        <ns0:f>IF(_ENGINE_Initiatives!A63="","",_ENGINE_Initiatives!A63)</ns0:f>
      </ns0:c>
      <ns0:c r="B117">
        <ns0:f>IF(_ENGINE_Initiatives!A63="","",_ENGINE_Initiatives!F63)</ns0:f>
      </ns0:c>
      <ns0:c r="C117">
        <ns0:f>IF(_ENGINE_Initiatives!A63="","",_ENGINE_Initiatives!B63)</ns0:f>
      </ns0:c>
      <ns0:c r="D117"/>
      <ns0:c r="E117"/>
    </ns0:row>
    <ns0:row r="118">
      <ns0:c r="A118">
        <ns0:f>IF(_ENGINE_Initiatives!A64="","",_ENGINE_Initiatives!A64)</ns0:f>
      </ns0:c>
      <ns0:c r="B118">
        <ns0:f>IF(_ENGINE_Initiatives!A64="","",_ENGINE_Initiatives!F64)</ns0:f>
      </ns0:c>
      <ns0:c r="C118">
        <ns0:f>IF(_ENGINE_Initiatives!A64="","",_ENGINE_Initiatives!B64)</ns0:f>
      </ns0:c>
      <ns0:c r="D118"/>
      <ns0:c r="E118"/>
    </ns0:row>
    <ns0:row r="119">
      <ns0:c r="A119">
        <ns0:f>IF(_ENGINE_Initiatives!A65="","",_ENGINE_Initiatives!A65)</ns0:f>
      </ns0:c>
      <ns0:c r="B119">
        <ns0:f>IF(_ENGINE_Initiatives!A65="","",_ENGINE_Initiatives!F65)</ns0:f>
      </ns0:c>
      <ns0:c r="C119">
        <ns0:f>IF(_ENGINE_Initiatives!A65="","",_ENGINE_Initiatives!B65)</ns0:f>
      </ns0:c>
      <ns0:c r="D119"/>
      <ns0:c r="E119"/>
    </ns0:row>
    <ns0:row r="120">
      <ns0:c r="A120">
        <ns0:f>IF(_ENGINE_Initiatives!A66="","",_ENGINE_Initiatives!A66)</ns0:f>
      </ns0:c>
      <ns0:c r="B120">
        <ns0:f>IF(_ENGINE_Initiatives!A66="","",_ENGINE_Initiatives!F66)</ns0:f>
      </ns0:c>
      <ns0:c r="C120">
        <ns0:f>IF(_ENGINE_Initiatives!A66="","",_ENGINE_Initiatives!B66)</ns0:f>
      </ns0:c>
      <ns0:c r="D120"/>
      <ns0:c r="E120"/>
    </ns0:row>
    <ns0:row r="121">
      <ns0:c r="A121">
        <ns0:f>IF(_ENGINE_Initiatives!A67="","",_ENGINE_Initiatives!A67)</ns0:f>
      </ns0:c>
      <ns0:c r="B121">
        <ns0:f>IF(_ENGINE_Initiatives!A67="","",_ENGINE_Initiatives!F67)</ns0:f>
      </ns0:c>
      <ns0:c r="C121">
        <ns0:f>IF(_ENGINE_Initiatives!A67="","",_ENGINE_Initiatives!B67)</ns0:f>
      </ns0:c>
      <ns0:c r="D121"/>
      <ns0:c r="E121"/>
    </ns0:row>
    <ns0:row r="122">
      <ns0:c r="A122">
        <ns0:f>IF(_ENGINE_Initiatives!A68="","",_ENGINE_Initiatives!A68)</ns0:f>
      </ns0:c>
      <ns0:c r="B122">
        <ns0:f>IF(_ENGINE_Initiatives!A68="","",_ENGINE_Initiatives!F68)</ns0:f>
      </ns0:c>
      <ns0:c r="C122">
        <ns0:f>IF(_ENGINE_Initiatives!A68="","",_ENGINE_Initiatives!B68)</ns0:f>
      </ns0:c>
      <ns0:c r="D122"/>
      <ns0:c r="E122"/>
    </ns0:row>
    <ns0:row r="123">
      <ns0:c r="A123">
        <ns0:f>IF(_ENGINE_Initiatives!A69="","",_ENGINE_Initiatives!A69)</ns0:f>
      </ns0:c>
      <ns0:c r="B123">
        <ns0:f>IF(_ENGINE_Initiatives!A69="","",_ENGINE_Initiatives!F69)</ns0:f>
      </ns0:c>
      <ns0:c r="C123">
        <ns0:f>IF(_ENGINE_Initiatives!A69="","",_ENGINE_Initiatives!B69)</ns0:f>
      </ns0:c>
      <ns0:c r="D123"/>
      <ns0:c r="E123"/>
    </ns0:row>
    <ns0:row r="124">
      <ns0:c r="A124">
        <ns0:f>IF(_ENGINE_Initiatives!A70="","",_ENGINE_Initiatives!A70)</ns0:f>
      </ns0:c>
      <ns0:c r="B124">
        <ns0:f>IF(_ENGINE_Initiatives!A70="","",_ENGINE_Initiatives!F70)</ns0:f>
      </ns0:c>
      <ns0:c r="C124">
        <ns0:f>IF(_ENGINE_Initiatives!A70="","",_ENGINE_Initiatives!B70)</ns0:f>
      </ns0:c>
      <ns0:c r="D124"/>
      <ns0:c r="E124"/>
    </ns0:row>
    <ns0:row r="125">
      <ns0:c r="A125">
        <ns0:f>IF(_ENGINE_Initiatives!A71="","",_ENGINE_Initiatives!A71)</ns0:f>
      </ns0:c>
      <ns0:c r="B125">
        <ns0:f>IF(_ENGINE_Initiatives!A71="","",_ENGINE_Initiatives!F71)</ns0:f>
      </ns0:c>
      <ns0:c r="C125">
        <ns0:f>IF(_ENGINE_Initiatives!A71="","",_ENGINE_Initiatives!B71)</ns0:f>
      </ns0:c>
      <ns0:c r="D125"/>
      <ns0:c r="E125"/>
    </ns0:row>
    <ns0:row r="126">
      <ns0:c r="A126">
        <ns0:f>IF(_ENGINE_Initiatives!A72="","",_ENGINE_Initiatives!A72)</ns0:f>
      </ns0:c>
      <ns0:c r="B126">
        <ns0:f>IF(_ENGINE_Initiatives!A72="","",_ENGINE_Initiatives!F72)</ns0:f>
      </ns0:c>
      <ns0:c r="C126">
        <ns0:f>IF(_ENGINE_Initiatives!A72="","",_ENGINE_Initiatives!B72)</ns0:f>
      </ns0:c>
      <ns0:c r="D126"/>
      <ns0:c r="E126"/>
    </ns0:row>
    <ns0:row r="127">
      <ns0:c r="A127">
        <ns0:f>IF(_ENGINE_Initiatives!A73="","",_ENGINE_Initiatives!A73)</ns0:f>
      </ns0:c>
      <ns0:c r="B127">
        <ns0:f>IF(_ENGINE_Initiatives!A73="","",_ENGINE_Initiatives!F73)</ns0:f>
      </ns0:c>
      <ns0:c r="C127">
        <ns0:f>IF(_ENGINE_Initiatives!A73="","",_ENGINE_Initiatives!B73)</ns0:f>
      </ns0:c>
      <ns0:c r="D127"/>
      <ns0:c r="E127"/>
    </ns0:row>
    <ns0:row r="128">
      <ns0:c r="A128">
        <ns0:f>IF(_ENGINE_Initiatives!A74="","",_ENGINE_Initiatives!A74)</ns0:f>
      </ns0:c>
      <ns0:c r="B128">
        <ns0:f>IF(_ENGINE_Initiatives!A74="","",_ENGINE_Initiatives!F74)</ns0:f>
      </ns0:c>
      <ns0:c r="C128">
        <ns0:f>IF(_ENGINE_Initiatives!A74="","",_ENGINE_Initiatives!B74)</ns0:f>
      </ns0:c>
      <ns0:c r="D128"/>
      <ns0:c r="E128"/>
    </ns0:row>
    <ns0:row r="129">
      <ns0:c r="A129">
        <ns0:f>IF(_ENGINE_Initiatives!A75="","",_ENGINE_Initiatives!A75)</ns0:f>
      </ns0:c>
      <ns0:c r="B129">
        <ns0:f>IF(_ENGINE_Initiatives!A75="","",_ENGINE_Initiatives!F75)</ns0:f>
      </ns0:c>
      <ns0:c r="C129">
        <ns0:f>IF(_ENGINE_Initiatives!A75="","",_ENGINE_Initiatives!B75)</ns0:f>
      </ns0:c>
      <ns0:c r="D129"/>
      <ns0:c r="E129"/>
    </ns0:row>
    <ns0:row r="130">
      <ns0:c r="A130">
        <ns0:f>IF(_ENGINE_Initiatives!A76="","",_ENGINE_Initiatives!A76)</ns0:f>
      </ns0:c>
      <ns0:c r="B130">
        <ns0:f>IF(_ENGINE_Initiatives!A76="","",_ENGINE_Initiatives!F76)</ns0:f>
      </ns0:c>
      <ns0:c r="C130">
        <ns0:f>IF(_ENGINE_Initiatives!A76="","",_ENGINE_Initiatives!B76)</ns0:f>
      </ns0:c>
      <ns0:c r="D130"/>
      <ns0:c r="E130"/>
    </ns0:row>
  </ns0:sheetData>
  <ns0:pageMargins left="0.7" right="0.7" top="0.75" bottom="0.75" header="0.3" footer="0.3"/>
</ns0:worksheet>
</file>

<file path=docProps/app.xml><?xml version="1.0" encoding="utf-8"?>
<ns0:Properties xmlns:ns0="http://schemas.openxmlformats.org/officeDocument/2006/extended-properties">
  <ns0:Application>Microsoft Excel Compatible / Open XML</ns0:Application>
  <ns0:AppVersion>3.1</ns0:AppVersion>
</ns0:Properties>
</file>

<file path=docProps/core.xml><?xml version="1.0" encoding="utf-8"?>
<cp:coreProperties xmlns:cp="http://schemas.openxmlformats.org/package/2006/metadata/core-properties" xmlns:dc="http://purl.org/dc/elements/1.1/" xmlns:dcterms="http://purl.org/dc/terms/" xmlns:xsi="http://www.w3.org/2001/XMLSchema-instance">
  <dc:creator>Roman Reznikov</dc:creator>
  <dc:title>RR-framework v1.992 Crisis/Fuzzy Staging Refactor</dc:title>
  <dc:description>v1.992 removes the former crisis/fuzzy staging sheet after redirecting dependencies to the visible scenario sheet and engine/data layers.</dc:description>
  <dc:subject>RR-framework logic-engine prototype with incremental safe staging cleanup</dc:subject>
  <dcterms:created xsi:type="dcterms:W3CDTF">2026-06-06T16:23:55Z</dcterms:created>
  <dcterms:modified xsi:type="dcterms:W3CDTF">2026-06-19T00:00:00Z</dcterms:modified>
  <cp:lastModifiedBy>OpenAI / ChatGPT assisted v1.992 controlled refactor</cp:lastModifiedBy>
  <cp:keywords>RR-framework, resilience, digital maturity, crisis, fuzzy logic, WSJF, risk calibration</cp:keywords>
</cp:coreProperties>
</file>

<file path=docProps/custom.xml><?xml version="1.0" encoding="utf-8"?>
<ns0:Properties xmlns:ns0="http://schemas.openxmlformats.org/officeDocument/2006/custom-properties" xmlns:vt="http://schemas.openxmlformats.org/officeDocument/2006/docPropsVTypes">
  <ns0:property name="FrameworkName" fmtid="{D5CDD505-2E9C-101B-9397-08002B2CF9AE}" pid="2">
    <vt:lpwstr>RR-framework</vt:lpwstr>
  </ns0:property>
  <ns0:property name="Version" fmtid="{D5CDD505-2E9C-101B-9397-08002B2CF9AE}" pid="3">
    <vt:lpwstr>1.992</vt:lpwstr>
  </ns0:property>
  <ns0:property name="BuildID" fmtid="{D5CDD505-2E9C-101B-9397-08002B2CF9AE}" pid="4">
    <vt:lpwstr>RR-FRAMEWORK-v1.992-CRISIS-FUZZY-STAGING-REFACTOR-20260619</vt:lpwstr>
  </ns0:property>
  <ns0:property name="License" fmtid="{D5CDD505-2E9C-101B-9397-08002B2CF9AE}" pid="5">
    <vt:lpwstr>Creative Commons Attribution-NonCommercial-ShareAlike 4.0 International</vt:lpwstr>
  </ns0:property>
  <ns0:property name="SPDXLicenseIdentifier" fmtid="{D5CDD505-2E9C-101B-9397-08002B2CF9AE}" pid="6">
    <vt:lpwstr>CC-BY-NC-SA-4.0</vt:lpwstr>
  </ns0:property>
  <ns0:property name="Copyright" fmtid="{D5CDD505-2E9C-101B-9397-08002B2CF9AE}" pid="7">
    <vt:lpwstr>Copyright © 2026 Roman Reznikov</vt:lpwstr>
  </ns0:property>
  <ns0:property name="Author" fmtid="{D5CDD505-2E9C-101B-9397-08002B2CF9AE}" pid="8">
    <vt:lpwstr>Roman Reznikov</vt:lpwstr>
  </ns0:property>
  <ns0:property name="ReleaseDate" fmtid="{D5CDD505-2E9C-101B-9397-08002B2CF9AE}" pid="9">
    <vt:lpwstr>2026-06-19</vt:lpwstr>
  </ns0:property>
  <ns0:property name="AttributionRequired" fmtid="{D5CDD505-2E9C-101B-9397-08002B2CF9AE}" pid="10">
    <vt:lpwstr>Yes</vt:lpwstr>
  </ns0:property>
  <ns0:property name="CommercialUse" fmtid="{D5CDD505-2E9C-101B-9397-08002B2CF9AE}" pid="11">
    <vt:lpwstr>Requires separate written permission</vt:lpwstr>
  </ns0:property>
  <ns0:property name="DOI" fmtid="{D5CDD505-2E9C-101B-9397-08002B2CF9AE}" pid="12">
    <vt:lpwstr>10.5281/zenodo.20583866</vt:lpwstr>
  </ns0:property>
  <ns0:property name="ConceptDOI" fmtid="{D5CDD505-2E9C-101B-9397-08002B2CF9AE}" pid="13">
    <vt:lpwstr>10.5281/zenodo.20583865</vt:lpwstr>
  </ns0:property>
  <ns0:property name="OfficialRepository" fmtid="{D5CDD505-2E9C-101B-9397-08002B2CF9AE}" pid="14">
    <vt:lpwstr>Official versions are those published through the official GitHub repository and Zenodo DOI</vt:lpwstr>
  </ns0:property>
  <ns0:property name="TemplateState" fmtid="{D5CDD505-2E9C-101B-9397-08002B2CF9AE}" pid="15">
    <vt:lpwstr>Clean template: no active company profile, assessment answers, crisis selection or client objective</vt:lpwstr>
  </ns0:property>
  <ns0:property name="Description" fmtid="{D5CDD505-2E9C-101B-9397-08002B2CF9AE}" pid="16">
    <vt:lpwstr>v1.992 removes the former crisis/fuzzy staging sheet after redirecting dependencies to Resilience &amp; Risk Scenario, _ENGINE_Crisis, _ENGINE_Fuzzy_Posture and _DATA_Dashboard_Facts.</vt:lpwstr>
  </ns0:property>
</ns0:Properties>
</file>